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2.xml"/>
  <Override ContentType="application/vnd.openxmlformats-officedocument.spreadsheetml.comments+xml" PartName="/xl/comments1.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spreadsheetml.comments+xml" PartName="/xl/comments14.xml"/>
  <Override ContentType="application/vnd.openxmlformats-officedocument.spreadsheetml.comments+xml" PartName="/xl/comments15.xml"/>
  <Override ContentType="application/vnd.openxmlformats-officedocument.spreadsheetml.comments+xml" PartName="/xl/comments16.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14.xml"/>
  <Override ContentType="application/vnd.openxmlformats-officedocument.spreadsheetml.externalLink+xml" PartName="/xl/externalLinks/externalLink15.xml"/>
  <Override ContentType="application/vnd.openxmlformats-officedocument.spreadsheetml.externalLink+xml" PartName="/xl/externalLinks/externalLink16.xml"/>
  <Override ContentType="application/vnd.openxmlformats-officedocument.spreadsheetml.externalLink+xml" PartName="/xl/externalLinks/externalLink17.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945" windowWidth="16200" windowHeight="11235" tabRatio="908"/>
  </bookViews>
  <sheets>
    <sheet name="ImportantDisclosures" sheetId="105" r:id="rId1"/>
    <sheet name="BullBaseBear" sheetId="87" r:id="rId2"/>
    <sheet name="Earnings" sheetId="88" r:id="rId3"/>
    <sheet name="sumry" sheetId="30" r:id="rId4"/>
    <sheet name="qtrSales" sheetId="19" r:id="rId5"/>
    <sheet name="SegqtrSales" sheetId="21" r:id="rId6"/>
    <sheet name="SegP&amp;L" sheetId="39" r:id="rId7"/>
    <sheet name="qtrP&amp;L" sheetId="36" r:id="rId8"/>
    <sheet name="yrP&amp;L" sheetId="8" r:id="rId9"/>
    <sheet name="yrSales" sheetId="14" r:id="rId10"/>
    <sheet name="bal" sheetId="3" r:id="rId11"/>
    <sheet name="flow" sheetId="32" r:id="rId12"/>
    <sheet name="__FDSCACHE__" sheetId="61" state="veryHidden" r:id="rId13"/>
    <sheet name="dtc" sheetId="31" r:id="rId14"/>
    <sheet name="work" sheetId="35" r:id="rId15"/>
    <sheet name="turn" sheetId="2" r:id="rId16"/>
    <sheet name="MW-Cache" sheetId="66" state="veryHidden" r:id="rId17"/>
    <sheet name="Stores" sheetId="40" r:id="rId18"/>
    <sheet name="MWA Lease" sheetId="60" r:id="rId19"/>
    <sheet name="DCF" sheetId="99" r:id="rId20"/>
    <sheet name="inv sales spread" sheetId="101" r:id="rId21"/>
    <sheet name="IndexInformation" sheetId="106" r:id="rId22"/>
    <sheet name="ModPubIndex" sheetId="107" r:id="rId23"/>
  </sheets>
  <functionGroups builtInGroupCount="17"/>
  <externalReferences>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s>
  <definedNames>
    <definedName name="__FDS_HYPERLINK_TOGGLE_STATE__" hidden="1">"ON"</definedName>
    <definedName name="__FDS_UNIQUE_RANGE_ID_GENERATOR_COUNTER" localSheetId="20">155</definedName>
    <definedName name="__FDS_UNIQUE_RANGE_ID_GENERATOR_COUNTER">1</definedName>
    <definedName name="__FDS_USED_FOR_REUSING_RANGE_IDS_RECYCLE" localSheetId="20">{1,1,1,1}</definedName>
    <definedName name="__FDS_USED_FOR_REUSING_RANGE_IDS_RECYCLE" localSheetId="18">{1,1,1,1}</definedName>
    <definedName name="__FDS_USED_FOR_REUSING_RANGE_IDS_RECYCLE">{1,1,1,1}</definedName>
    <definedName name="_1__FDSAUDITLINK__" localSheetId="20" hidden="1">{"fdsup://Directions/FactSet Auditing Viewer?action=AUDIT_VALUE&amp;DB=129&amp;ID1=87416110&amp;VALUEID=02101&amp;SDATE=201001&amp;PERIODTYPE=QTR_STD&amp;window=popup_no_bar&amp;width=385&amp;height=120&amp;START_MAXIMIZED=FALSE&amp;creator=factset&amp;display_string=Audit"}</definedName>
    <definedName name="_1__FDSAUDITLINK__" hidden="1">{"fdsup://Directions/FactSet Auditing Viewer?action=AUDIT_VALUE&amp;DB=129&amp;ID1=02313510&amp;VALUEID=01001&amp;SDATE=2005&amp;PERIODTYPE=ANN_STD&amp;window=popup_no_bar&amp;width=385&amp;height=120&amp;START_MAXIMIZED=FALSE&amp;creator=factset&amp;display_string=Audit"}</definedName>
    <definedName name="_10__FDSAUDITLINK__" localSheetId="20" hidden="1">{"fdsup://Directions/FactSet Auditing Viewer?action=AUDIT_VALUE&amp;DB=129&amp;ID1=03611510&amp;VALUEID=02101&amp;SDATE=201001&amp;PERIODTYPE=QTR_STD&amp;window=popup_no_bar&amp;width=385&amp;height=120&amp;START_MAXIMIZED=FALSE&amp;creator=factset&amp;display_string=Audit"}</definedName>
    <definedName name="_10__FDSAUDITLINK__" hidden="1">{"fdsup://Directions/FactSet Auditing Viewer?action=AUDIT_VALUE&amp;DB=129&amp;ID1=02313510&amp;VALUEID=04601&amp;SDATE=2009&amp;PERIODTYPE=ANN_STD&amp;window=popup_no_bar&amp;width=385&amp;height=120&amp;START_MAXIMIZED=FALSE&amp;creator=factset&amp;display_string=Audit"}</definedName>
    <definedName name="_100__FDSAUDITLINK__" localSheetId="20" hidden="1">{"fdsup://Directions/FactSet Auditing Viewer?action=AUDIT_VALUE&amp;DB=129&amp;ID1=00786510&amp;VALUEID=13040&amp;SDATE=200901&amp;PERIODTYPE=QTR_STD&amp;window=popup_no_bar&amp;width=385&amp;height=120&amp;START_MAXIMIZED=FALSE&amp;creator=factset&amp;display_string=Audit"}</definedName>
    <definedName name="_100__FDSAUDITLINK__" hidden="1">{"fdsup://Directions/FactSet Auditing Viewer?action=AUDIT_VALUE&amp;DB=129&amp;ID1=86923310&amp;VALUEID=01001&amp;SDATE=2007&amp;PERIODTYPE=ANN_STD&amp;window=popup_no_bar&amp;width=385&amp;height=120&amp;START_MAXIMIZED=FALSE&amp;creator=factset&amp;display_string=Audit"}</definedName>
    <definedName name="_1000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1001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1002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1003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1004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1005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1006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1007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1008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1009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101__FDSAUDITLINK__" localSheetId="20" hidden="1">{"fdsup://Directions/FactSet Auditing Viewer?action=AUDIT_VALUE&amp;DB=129&amp;ID1=00289620&amp;VALUEID=13040&amp;SDATE=200901&amp;PERIODTYPE=QTR_STD&amp;window=popup_no_bar&amp;width=385&amp;height=120&amp;START_MAXIMIZED=FALSE&amp;creator=factset&amp;display_string=Audit"}</definedName>
    <definedName name="_101__FDSAUDITLINK__" hidden="1">{"fdsup://Directions/FactSet Auditing Viewer?action=AUDIT_VALUE&amp;DB=129&amp;ID1=86923310&amp;VALUEID=04601&amp;SDATE=2007&amp;PERIODTYPE=ANN_STD&amp;window=popup_no_bar&amp;width=385&amp;height=120&amp;START_MAXIMIZED=FALSE&amp;creator=factset&amp;display_string=Audit"}</definedName>
    <definedName name="_1010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1011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1012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1013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1014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1015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1016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1017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1018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1019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102__FDSAUDITLINK__" localSheetId="20" hidden="1">{"fdsup://Directions/FactSet Auditing Viewer?action=AUDIT_VALUE&amp;DB=129&amp;ID1=87416110&amp;VALUEID=01001&amp;SDATE=200804&amp;PERIODTYPE=QTR_STD&amp;window=popup_no_bar&amp;width=385&amp;height=120&amp;START_MAXIMIZED=FALSE&amp;creator=factset&amp;display_string=Audit"}</definedName>
    <definedName name="_102__FDSAUDITLINK__" hidden="1">{"fdsup://Directions/FactSet Auditing Viewer?action=AUDIT_VALUE&amp;DB=129&amp;ID1=86923310&amp;VALUEID=01001&amp;SDATE=2008&amp;PERIODTYPE=ANN_STD&amp;window=popup_no_bar&amp;width=385&amp;height=120&amp;START_MAXIMIZED=FALSE&amp;creator=factset&amp;display_string=Audit"}</definedName>
    <definedName name="_1020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1021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1022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1023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1024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1025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1026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1027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1028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1029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103__FDSAUDITLINK__" localSheetId="20"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03__FDSAUDITLINK__" hidden="1">{"fdsup://Directions/FactSet Auditing Viewer?action=AUDIT_VALUE&amp;DB=129&amp;ID1=86923310&amp;VALUEID=04601&amp;SDATE=2008&amp;PERIODTYPE=ANN_STD&amp;window=popup_no_bar&amp;width=385&amp;height=120&amp;START_MAXIMIZED=FALSE&amp;creator=factset&amp;display_string=Audit"}</definedName>
    <definedName name="_1030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1031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1032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1033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1034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1035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1036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1037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1038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1039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104__FDSAUDITLINK__" localSheetId="20" hidden="1">{"fdsup://Directions/FactSet Auditing Viewer?action=AUDIT_VALUE&amp;DB=129&amp;ID1=46612H40&amp;VALUEID=01001&amp;SDATE=200804&amp;PERIODTYPE=QTR_STD&amp;window=popup_no_bar&amp;width=385&amp;height=120&amp;START_MAXIMIZED=FALSE&amp;creator=factset&amp;display_string=Audit"}</definedName>
    <definedName name="_104__FDSAUDITLINK__" hidden="1">{"fdsup://Directions/FactSet Auditing Viewer?action=AUDIT_VALUE&amp;DB=129&amp;ID1=86923310&amp;VALUEID=01001&amp;SDATE=2009&amp;PERIODTYPE=ANN_STD&amp;window=popup_no_bar&amp;width=385&amp;height=120&amp;START_MAXIMIZED=FALSE&amp;creator=factset&amp;display_string=Audit"}</definedName>
    <definedName name="_1040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1041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1042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1043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1044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1045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1046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1047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1048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1049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105__FDSAUDITLINK__" localSheetId="20" hidden="1">{"fdsup://Directions/FactSet Auditing Viewer?action=AUDIT_VALUE&amp;DB=129&amp;ID1=46612H40&amp;VALUEID=13040&amp;SDATE=200804&amp;PERIODTYPE=QTR_STD&amp;window=popup_no_bar&amp;width=385&amp;height=120&amp;START_MAXIMIZED=FALSE&amp;creator=factset&amp;display_string=Audit"}</definedName>
    <definedName name="_105__FDSAUDITLINK__" hidden="1">{"fdsup://Directions/FactSet Auditing Viewer?action=AUDIT_VALUE&amp;DB=129&amp;ID1=39006410&amp;VALUEID=01001&amp;SDATE=2005&amp;PERIODTYPE=ANN_STD&amp;window=popup_no_bar&amp;width=385&amp;height=120&amp;START_MAXIMIZED=FALSE&amp;creator=factset&amp;display_string=Audit"}</definedName>
    <definedName name="_1050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1051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1052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1053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1054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1055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1056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1057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1058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1059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106__FDSAUDITLINK__" localSheetId="20" hidden="1">{"fdsup://Directions/FactSet Auditing Viewer?action=AUDIT_VALUE&amp;DB=129&amp;ID1=36476010&amp;VALUEID=01001&amp;SDATE=200804&amp;PERIODTYPE=QTR_STD&amp;window=popup_no_bar&amp;width=385&amp;height=120&amp;START_MAXIMIZED=FALSE&amp;creator=factset&amp;display_string=Audit"}</definedName>
    <definedName name="_106__FDSAUDITLINK__" hidden="1">{"fdsup://Directions/FactSet Auditing Viewer?action=AUDIT_VALUE&amp;DB=129&amp;ID1=39006410&amp;VALUEID=04601&amp;SDATE=2005&amp;PERIODTYPE=ANN_STD&amp;window=popup_no_bar&amp;width=385&amp;height=120&amp;START_MAXIMIZED=FALSE&amp;creator=factset&amp;display_string=Audit"}</definedName>
    <definedName name="_1060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1061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1062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1063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1064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1065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1066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1067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1068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1069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107__FDSAUDITLINK__" localSheetId="20" hidden="1">{"fdsup://Directions/FactSet Auditing Viewer?action=AUDIT_VALUE&amp;DB=129&amp;ID1=03611510&amp;VALUEID=01001&amp;SDATE=200804&amp;PERIODTYPE=QTR_STD&amp;window=popup_no_bar&amp;width=385&amp;height=120&amp;START_MAXIMIZED=FALSE&amp;creator=factset&amp;display_string=Audit"}</definedName>
    <definedName name="_107__FDSAUDITLINK__" hidden="1">{"fdsup://Directions/FactSet Auditing Viewer?action=AUDIT_VALUE&amp;DB=129&amp;ID1=39006410&amp;VALUEID=01001&amp;SDATE=2006&amp;PERIODTYPE=ANN_STD&amp;window=popup_no_bar&amp;width=385&amp;height=120&amp;START_MAXIMIZED=FALSE&amp;creator=factset&amp;display_string=Audit"}</definedName>
    <definedName name="_1070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1071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1072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1073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1074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1075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1076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1077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1078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1079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108__FDSAUDITLINK__" localSheetId="20" hidden="1">{"fdsup://Directions/FactSet Auditing Viewer?action=AUDIT_VALUE&amp;DB=129&amp;ID1=16890510&amp;VALUEID=01001&amp;SDATE=200804&amp;PERIODTYPE=QTR_STD&amp;window=popup_no_bar&amp;width=385&amp;height=120&amp;START_MAXIMIZED=FALSE&amp;creator=factset&amp;display_string=Audit"}</definedName>
    <definedName name="_108__FDSAUDITLINK__" hidden="1">{"fdsup://Directions/FactSet Auditing Viewer?action=AUDIT_VALUE&amp;DB=129&amp;ID1=39006410&amp;VALUEID=04601&amp;SDATE=2006&amp;PERIODTYPE=ANN_STD&amp;window=popup_no_bar&amp;width=385&amp;height=120&amp;START_MAXIMIZED=FALSE&amp;creator=factset&amp;display_string=Audit"}</definedName>
    <definedName name="_1080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1081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1082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1083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1084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085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1086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1087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1088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1089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109__FDSAUDITLINK__" localSheetId="20" hidden="1">{"fdsup://Directions/FactSet Auditing Viewer?action=AUDIT_VALUE&amp;DB=129&amp;ID1=00786510&amp;VALUEID=01001&amp;SDATE=200804&amp;PERIODTYPE=QTR_STD&amp;window=popup_no_bar&amp;width=385&amp;height=120&amp;START_MAXIMIZED=FALSE&amp;creator=factset&amp;display_string=Audit"}</definedName>
    <definedName name="_109__FDSAUDITLINK__" hidden="1">{"fdsup://Directions/FactSet Auditing Viewer?action=AUDIT_VALUE&amp;DB=129&amp;ID1=39006410&amp;VALUEID=01001&amp;SDATE=2007&amp;PERIODTYPE=ANN_STD&amp;window=popup_no_bar&amp;width=385&amp;height=120&amp;START_MAXIMIZED=FALSE&amp;creator=factset&amp;display_string=Audit"}</definedName>
    <definedName name="_1090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1091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1092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1093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1094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095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1096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1097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1098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1099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11__123Graph_XLIQUIDS" hidden="1">[1]P!$R$29:$AK$29</definedName>
    <definedName name="_11__FDSAUDITLINK__" localSheetId="20" hidden="1">{"fdsup://Directions/FactSet Auditing Viewer?action=AUDIT_VALUE&amp;DB=129&amp;ID1=03611510&amp;VALUEID=13040&amp;SDATE=201001&amp;PERIODTYPE=QTR_STD&amp;window=popup_no_bar&amp;width=385&amp;height=120&amp;START_MAXIMIZED=FALSE&amp;creator=factset&amp;display_string=Audit"}</definedName>
    <definedName name="_11__FDSAUDITLINK__" hidden="1">{"fdsup://Directions/FactSet Auditing Viewer?action=AUDIT_VALUE&amp;DB=129&amp;ID1=03783310&amp;VALUEID=01001&amp;SDATE=2005&amp;PERIODTYPE=ANN_STD&amp;window=popup_no_bar&amp;width=385&amp;height=120&amp;START_MAXIMIZED=FALSE&amp;creator=factset&amp;display_string=Audit"}</definedName>
    <definedName name="_110__FDSAUDITLINK__" localSheetId="20" hidden="1">{"fdsup://Directions/FactSet Auditing Viewer?action=AUDIT_VALUE&amp;DB=129&amp;ID1=87416110&amp;VALUEID=02101&amp;SDATE=200803&amp;PERIODTYPE=QTR_STD&amp;window=popup_no_bar&amp;width=385&amp;height=120&amp;START_MAXIMIZED=FALSE&amp;creator=factset&amp;display_string=Audit"}</definedName>
    <definedName name="_110__FDSAUDITLINK__" hidden="1">{"fdsup://Directions/FactSet Auditing Viewer?action=AUDIT_VALUE&amp;DB=129&amp;ID1=39006410&amp;VALUEID=04601&amp;SDATE=2007&amp;PERIODTYPE=ANN_STD&amp;window=popup_no_bar&amp;width=385&amp;height=120&amp;START_MAXIMIZED=FALSE&amp;creator=factset&amp;display_string=Audit"}</definedName>
    <definedName name="_1100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1101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1102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1103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1104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1105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1106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1107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1108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1109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111__FDSAUDITLINK__" localSheetId="20" hidden="1">{"fdsup://Directions/FactSet Auditing Viewer?action=AUDIT_VALUE&amp;DB=129&amp;ID1=87416110&amp;VALUEID=01001&amp;SDATE=200803&amp;PERIODTYPE=QTR_STD&amp;window=popup_no_bar&amp;width=385&amp;height=120&amp;START_MAXIMIZED=FALSE&amp;creator=factset&amp;display_string=Audit"}</definedName>
    <definedName name="_111__FDSAUDITLINK__" hidden="1">{"fdsup://Directions/FactSet Auditing Viewer?action=AUDIT_VALUE&amp;DB=129&amp;ID1=39006410&amp;VALUEID=01001&amp;SDATE=2008&amp;PERIODTYPE=ANN_STD&amp;window=popup_no_bar&amp;width=385&amp;height=120&amp;START_MAXIMIZED=FALSE&amp;creator=factset&amp;display_string=Audit"}</definedName>
    <definedName name="_1110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1111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1112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1113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1114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1115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1116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1117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1118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1119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112__FDSAUDITLINK__" localSheetId="20" hidden="1">{"fdsup://Directions/FactSet Auditing Viewer?action=AUDIT_VALUE&amp;DB=129&amp;ID1=87416110&amp;VALUEID=13040&amp;SDATE=200803&amp;PERIODTYPE=QTR_STD&amp;window=popup_no_bar&amp;width=385&amp;height=120&amp;START_MAXIMIZED=FALSE&amp;creator=factset&amp;display_string=Audit"}</definedName>
    <definedName name="_112__FDSAUDITLINK__" hidden="1">{"fdsup://Directions/FactSet Auditing Viewer?action=AUDIT_VALUE&amp;DB=129&amp;ID1=39006410&amp;VALUEID=04601&amp;SDATE=2008&amp;PERIODTYPE=ANN_STD&amp;window=popup_no_bar&amp;width=385&amp;height=120&amp;START_MAXIMIZED=FALSE&amp;creator=factset&amp;display_string=Audit"}</definedName>
    <definedName name="_1120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1121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1122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1123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1124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1125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1126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1127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1128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1129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113__FDSAUDITLINK__" localSheetId="20"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13__FDSAUDITLINK__" hidden="1">{"fdsup://Directions/FactSet Auditing Viewer?action=AUDIT_VALUE&amp;DB=129&amp;ID1=69865710&amp;VALUEID=01001&amp;SDATE=2005&amp;PERIODTYPE=ANN_STD&amp;window=popup_no_bar&amp;width=385&amp;height=120&amp;START_MAXIMIZED=FALSE&amp;creator=factset&amp;display_string=Audit"}</definedName>
    <definedName name="_1130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1131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1132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1133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1134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1135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1136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1137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1138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1139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114__FDSAUDITLINK__" localSheetId="20" hidden="1">{"fdsup://Directions/FactSet Auditing Viewer?action=AUDIT_VALUE&amp;DB=129&amp;ID1=46612H40&amp;VALUEID=02101&amp;SDATE=200803&amp;PERIODTYPE=QTR_STD&amp;window=popup_no_bar&amp;width=385&amp;height=120&amp;START_MAXIMIZED=FALSE&amp;creator=factset&amp;display_string=Audit"}</definedName>
    <definedName name="_114__FDSAUDITLINK__" hidden="1">{"fdsup://Directions/FactSet Auditing Viewer?action=AUDIT_VALUE&amp;DB=129&amp;ID1=69865710&amp;VALUEID=04601&amp;SDATE=2005&amp;PERIODTYPE=ANN_STD&amp;window=popup_no_bar&amp;width=385&amp;height=120&amp;START_MAXIMIZED=FALSE&amp;creator=factset&amp;display_string=Audit"}</definedName>
    <definedName name="_1140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1141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1142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1143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1144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1145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1146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1147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1148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1149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115__FDSAUDITLINK__" localSheetId="20" hidden="1">{"fdsup://Directions/FactSet Auditing Viewer?action=AUDIT_VALUE&amp;DB=129&amp;ID1=46612H40&amp;VALUEID=01001&amp;SDATE=200803&amp;PERIODTYPE=QTR_STD&amp;window=popup_no_bar&amp;width=385&amp;height=120&amp;START_MAXIMIZED=FALSE&amp;creator=factset&amp;display_string=Audit"}</definedName>
    <definedName name="_115__FDSAUDITLINK__" hidden="1">{"fdsup://Directions/FactSet Auditing Viewer?action=AUDIT_VALUE&amp;DB=129&amp;ID1=69865710&amp;VALUEID=01001&amp;SDATE=2006&amp;PERIODTYPE=ANN_STD&amp;window=popup_no_bar&amp;width=385&amp;height=120&amp;START_MAXIMIZED=FALSE&amp;creator=factset&amp;display_string=Audit"}</definedName>
    <definedName name="_1150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1151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1152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1153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1154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1155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1156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1157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1158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1159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116__FDSAUDITLINK__" localSheetId="20" hidden="1">{"fdsup://Directions/FactSet Auditing Viewer?action=AUDIT_VALUE&amp;DB=129&amp;ID1=46612H40&amp;VALUEID=13040&amp;SDATE=200803&amp;PERIODTYPE=QTR_STD&amp;window=popup_no_bar&amp;width=385&amp;height=120&amp;START_MAXIMIZED=FALSE&amp;creator=factset&amp;display_string=Audit"}</definedName>
    <definedName name="_116__FDSAUDITLINK__" hidden="1">{"fdsup://Directions/FactSet Auditing Viewer?action=AUDIT_VALUE&amp;DB=129&amp;ID1=69865710&amp;VALUEID=04601&amp;SDATE=2006&amp;PERIODTYPE=ANN_STD&amp;window=popup_no_bar&amp;width=385&amp;height=120&amp;START_MAXIMIZED=FALSE&amp;creator=factset&amp;display_string=Audit"}</definedName>
    <definedName name="_1160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1161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1162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1163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1164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1165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1166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1167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1168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1169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117__FDSAUDITLINK__" localSheetId="20" hidden="1">{"fdsup://Directions/FactSet Auditing Viewer?action=AUDIT_VALUE&amp;DB=129&amp;ID1=36476010&amp;VALUEID=02101&amp;SDATE=200803&amp;PERIODTYPE=QTR_STD&amp;window=popup_no_bar&amp;width=385&amp;height=120&amp;START_MAXIMIZED=FALSE&amp;creator=factset&amp;display_string=Audit"}</definedName>
    <definedName name="_117__FDSAUDITLINK__" hidden="1">{"fdsup://Directions/FactSet Auditing Viewer?action=AUDIT_VALUE&amp;DB=129&amp;ID1=69865710&amp;VALUEID=01001&amp;SDATE=2007&amp;PERIODTYPE=ANN_STD&amp;window=popup_no_bar&amp;width=385&amp;height=120&amp;START_MAXIMIZED=FALSE&amp;creator=factset&amp;display_string=Audit"}</definedName>
    <definedName name="_1170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1171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1172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1173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1174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1175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1176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1177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1178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1179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118__FDSAUDITLINK__" localSheetId="20" hidden="1">{"fdsup://Directions/FactSet Auditing Viewer?action=AUDIT_VALUE&amp;DB=129&amp;ID1=36476010&amp;VALUEID=01001&amp;SDATE=200803&amp;PERIODTYPE=QTR_STD&amp;window=popup_no_bar&amp;width=385&amp;height=120&amp;START_MAXIMIZED=FALSE&amp;creator=factset&amp;display_string=Audit"}</definedName>
    <definedName name="_118__FDSAUDITLINK__" hidden="1">{"fdsup://Directions/FactSet Auditing Viewer?action=AUDIT_VALUE&amp;DB=129&amp;ID1=69865710&amp;VALUEID=04601&amp;SDATE=2007&amp;PERIODTYPE=ANN_STD&amp;window=popup_no_bar&amp;width=385&amp;height=120&amp;START_MAXIMIZED=FALSE&amp;creator=factset&amp;display_string=Audit"}</definedName>
    <definedName name="_1180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1181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1182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1183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1184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1185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1186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1187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1188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1189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119__FDSAUDITLINK__" localSheetId="20" hidden="1">{"fdsup://Directions/FactSet Auditing Viewer?action=AUDIT_VALUE&amp;DB=129&amp;ID1=36476010&amp;VALUEID=13040&amp;SDATE=200803&amp;PERIODTYPE=QTR_STD&amp;window=popup_no_bar&amp;width=385&amp;height=120&amp;START_MAXIMIZED=FALSE&amp;creator=factset&amp;display_string=Audit"}</definedName>
    <definedName name="_119__FDSAUDITLINK__" hidden="1">{"fdsup://Directions/FactSet Auditing Viewer?action=AUDIT_VALUE&amp;DB=129&amp;ID1=69865710&amp;VALUEID=01001&amp;SDATE=2008&amp;PERIODTYPE=ANN_STD&amp;window=popup_no_bar&amp;width=385&amp;height=120&amp;START_MAXIMIZED=FALSE&amp;creator=factset&amp;display_string=Audit"}</definedName>
    <definedName name="_1190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1191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1192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1193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1194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1195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1196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1197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1198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1199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12__FDSAUDITLINK__" localSheetId="20" hidden="1">{"fdsup://Directions/FactSet Auditing Viewer?action=AUDIT_VALUE&amp;DB=129&amp;ID1=16890510&amp;VALUEID=02101&amp;SDATE=201001&amp;PERIODTYPE=QTR_STD&amp;window=popup_no_bar&amp;width=385&amp;height=120&amp;START_MAXIMIZED=FALSE&amp;creator=factset&amp;display_string=Audit"}</definedName>
    <definedName name="_12__FDSAUDITLINK__" hidden="1">{"fdsup://Directions/FactSet Auditing Viewer?action=AUDIT_VALUE&amp;DB=129&amp;ID1=03783310&amp;VALUEID=04601&amp;SDATE=2005&amp;PERIODTYPE=ANN_STD&amp;window=popup_no_bar&amp;width=385&amp;height=120&amp;START_MAXIMIZED=FALSE&amp;creator=factset&amp;display_string=Audit"}</definedName>
    <definedName name="_120__FDSAUDITLINK__" localSheetId="20" hidden="1">{"fdsup://Directions/FactSet Auditing Viewer?action=AUDIT_VALUE&amp;DB=129&amp;ID1=03611510&amp;VALUEID=02101&amp;SDATE=200803&amp;PERIODTYPE=QTR_STD&amp;window=popup_no_bar&amp;width=385&amp;height=120&amp;START_MAXIMIZED=FALSE&amp;creator=factset&amp;display_string=Audit"}</definedName>
    <definedName name="_120__FDSAUDITLINK__" hidden="1">{"fdsup://Directions/FactSet Auditing Viewer?action=AUDIT_VALUE&amp;DB=129&amp;ID1=69865710&amp;VALUEID=04601&amp;SDATE=2008&amp;PERIODTYPE=ANN_STD&amp;window=popup_no_bar&amp;width=385&amp;height=120&amp;START_MAXIMIZED=FALSE&amp;creator=factset&amp;display_string=Audit"}</definedName>
    <definedName name="_1200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1201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1202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1203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1204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1205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1206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1207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1208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1209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121__FDSAUDITLINK__" localSheetId="20" hidden="1">{"fdsup://Directions/FactSet Auditing Viewer?action=AUDIT_VALUE&amp;DB=129&amp;ID1=03611510&amp;VALUEID=01001&amp;SDATE=200803&amp;PERIODTYPE=QTR_STD&amp;window=popup_no_bar&amp;width=385&amp;height=120&amp;START_MAXIMIZED=FALSE&amp;creator=factset&amp;display_string=Audit"}</definedName>
    <definedName name="_121__FDSAUDITLINK__" hidden="1">{"fdsup://Directions/FactSet Auditing Viewer?action=AUDIT_VALUE&amp;DB=129&amp;ID1=69865710&amp;VALUEID=01001&amp;SDATE=2009&amp;PERIODTYPE=ANN_STD&amp;window=popup_no_bar&amp;width=385&amp;height=120&amp;START_MAXIMIZED=FALSE&amp;creator=factset&amp;display_string=Audit"}</definedName>
    <definedName name="_1210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1211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1212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1213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1214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1215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1216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1217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1218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1219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122__FDSAUDITLINK__" localSheetId="20" hidden="1">{"fdsup://Directions/FactSet Auditing Viewer?action=AUDIT_VALUE&amp;DB=129&amp;ID1=16890510&amp;VALUEID=02101&amp;SDATE=200803&amp;PERIODTYPE=QTR_STD&amp;window=popup_no_bar&amp;width=385&amp;height=120&amp;START_MAXIMIZED=FALSE&amp;creator=factset&amp;display_string=Audit"}</definedName>
    <definedName name="_122__FDSAUDITLINK__" hidden="1">{"fdsup://Directions/FactSet Auditing Viewer?action=AUDIT_VALUE&amp;DB=129&amp;ID1=69865710&amp;VALUEID=04601&amp;SDATE=2009&amp;PERIODTYPE=ANN_STD&amp;window=popup_no_bar&amp;width=385&amp;height=120&amp;START_MAXIMIZED=FALSE&amp;creator=factset&amp;display_string=Audit"}</definedName>
    <definedName name="_1220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1221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1222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1223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1224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1225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1226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1227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1228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1229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123__FDSAUDITLINK__" localSheetId="20" hidden="1">{"fdsup://Directions/FactSet Auditing Viewer?action=AUDIT_VALUE&amp;DB=129&amp;ID1=16890510&amp;VALUEID=01001&amp;SDATE=200803&amp;PERIODTYPE=QTR_STD&amp;window=popup_no_bar&amp;width=385&amp;height=120&amp;START_MAXIMIZED=FALSE&amp;creator=factset&amp;display_string=Audit"}</definedName>
    <definedName name="_123__FDSAUDITLINK__" hidden="1">{"fdsup://Directions/FactSet Auditing Viewer?action=AUDIT_VALUE&amp;DB=129&amp;ID1=36467W10&amp;VALUEID=01001&amp;SDATE=2005&amp;PERIODTYPE=ANN_STD&amp;window=popup_no_bar&amp;width=385&amp;height=120&amp;START_MAXIMIZED=FALSE&amp;creator=factset&amp;display_string=Audit"}</definedName>
    <definedName name="_1230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1231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1232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1233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1234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1235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1236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1237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1238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1239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124__FDSAUDITLINK__" localSheetId="20" hidden="1">{"fdsup://Directions/FactSet Auditing Viewer?action=AUDIT_VALUE&amp;DB=129&amp;ID1=91704710&amp;VALUEID=02101&amp;SDATE=200803&amp;PERIODTYPE=QTR_STD&amp;window=popup_no_bar&amp;width=385&amp;height=120&amp;START_MAXIMIZED=FALSE&amp;creator=factset&amp;display_string=Audit"}</definedName>
    <definedName name="_124__FDSAUDITLINK__" hidden="1">{"fdsup://Directions/FactSet Auditing Viewer?action=AUDIT_VALUE&amp;DB=129&amp;ID1=36467W10&amp;VALUEID=04601&amp;SDATE=2005&amp;PERIODTYPE=ANN_STD&amp;window=popup_no_bar&amp;width=385&amp;height=120&amp;START_MAXIMIZED=FALSE&amp;creator=factset&amp;display_string=Audit"}</definedName>
    <definedName name="_1240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1241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1242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1243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1244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1245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1246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1247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1248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1249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125__FDSAUDITLINK__" localSheetId="20" hidden="1">{"fdsup://Directions/FactSet Auditing Viewer?action=AUDIT_VALUE&amp;DB=129&amp;ID1=91704710&amp;VALUEID=01001&amp;SDATE=200803&amp;PERIODTYPE=QTR_STD&amp;window=popup_no_bar&amp;width=385&amp;height=120&amp;START_MAXIMIZED=FALSE&amp;creator=factset&amp;display_string=Audit"}</definedName>
    <definedName name="_125__FDSAUDITLINK__" hidden="1">{"fdsup://Directions/FactSet Auditing Viewer?action=AUDIT_VALUE&amp;DB=129&amp;ID1=36467W10&amp;VALUEID=01001&amp;SDATE=2006&amp;PERIODTYPE=ANN_STD&amp;window=popup_no_bar&amp;width=385&amp;height=120&amp;START_MAXIMIZED=FALSE&amp;creator=factset&amp;display_string=Audit"}</definedName>
    <definedName name="_1250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1251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1252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1253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1254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1255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1256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1257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1258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1259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126__FDSAUDITLINK__" localSheetId="20" hidden="1">{"fdsup://Directions/FactSet Auditing Viewer?action=AUDIT_VALUE&amp;DB=129&amp;ID1=91704710&amp;VALUEID=13040&amp;SDATE=200803&amp;PERIODTYPE=QTR_STD&amp;window=popup_no_bar&amp;width=385&amp;height=120&amp;START_MAXIMIZED=FALSE&amp;creator=factset&amp;display_string=Audit"}</definedName>
    <definedName name="_126__FDSAUDITLINK__" hidden="1">{"fdsup://Directions/FactSet Auditing Viewer?action=AUDIT_VALUE&amp;DB=129&amp;ID1=36467W10&amp;VALUEID=04601&amp;SDATE=2006&amp;PERIODTYPE=ANN_STD&amp;window=popup_no_bar&amp;width=385&amp;height=120&amp;START_MAXIMIZED=FALSE&amp;creator=factset&amp;display_string=Audit"}</definedName>
    <definedName name="_1260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1261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1262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1263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1264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1265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1266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1267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1268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1269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127__FDSAUDITLINK__" localSheetId="20" hidden="1">{"fdsup://Directions/FactSet Auditing Viewer?action=AUDIT_VALUE&amp;DB=129&amp;ID1=02553E10&amp;VALUEID=02101&amp;SDATE=200803&amp;PERIODTYPE=QTR_STD&amp;window=popup_no_bar&amp;width=385&amp;height=120&amp;START_MAXIMIZED=FALSE&amp;creator=factset&amp;display_string=Audit"}</definedName>
    <definedName name="_127__FDSAUDITLINK__" hidden="1">{"fdsup://Directions/FactSet Auditing Viewer?action=AUDIT_VALUE&amp;DB=129&amp;ID1=36467W10&amp;VALUEID=01001&amp;SDATE=2007&amp;PERIODTYPE=ANN_STD&amp;window=popup_no_bar&amp;width=385&amp;height=120&amp;START_MAXIMIZED=FALSE&amp;creator=factset&amp;display_string=Audit"}</definedName>
    <definedName name="_1270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1271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1272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1273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1274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1275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1276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1277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1278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1279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128__FDSAUDITLINK__" localSheetId="20" hidden="1">{"fdsup://Directions/FactSet Auditing Viewer?action=AUDIT_VALUE&amp;DB=129&amp;ID1=02553E10&amp;VALUEID=01001&amp;SDATE=200803&amp;PERIODTYPE=QTR_STD&amp;window=popup_no_bar&amp;width=385&amp;height=120&amp;START_MAXIMIZED=FALSE&amp;creator=factset&amp;display_string=Audit"}</definedName>
    <definedName name="_128__FDSAUDITLINK__" hidden="1">{"fdsup://Directions/FactSet Auditing Viewer?action=AUDIT_VALUE&amp;DB=129&amp;ID1=36467W10&amp;VALUEID=04601&amp;SDATE=2007&amp;PERIODTYPE=ANN_STD&amp;window=popup_no_bar&amp;width=385&amp;height=120&amp;START_MAXIMIZED=FALSE&amp;creator=factset&amp;display_string=Audit"}</definedName>
    <definedName name="_1280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1281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1282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1283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1284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1285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1286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1287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1288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1289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129__FDSAUDITLINK__" localSheetId="20" hidden="1">{"fdsup://Directions/FactSet Auditing Viewer?action=AUDIT_VALUE&amp;DB=129&amp;ID1=02553E10&amp;VALUEID=13040&amp;SDATE=200803&amp;PERIODTYPE=QTR_STD&amp;window=popup_no_bar&amp;width=385&amp;height=120&amp;START_MAXIMIZED=FALSE&amp;creator=factset&amp;display_string=Audit"}</definedName>
    <definedName name="_129__FDSAUDITLINK__" hidden="1">{"fdsup://Directions/FactSet Auditing Viewer?action=AUDIT_VALUE&amp;DB=129&amp;ID1=36467W10&amp;VALUEID=01001&amp;SDATE=2008&amp;PERIODTYPE=ANN_STD&amp;window=popup_no_bar&amp;width=385&amp;height=120&amp;START_MAXIMIZED=FALSE&amp;creator=factset&amp;display_string=Audit"}</definedName>
    <definedName name="_1290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1291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1292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1293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1294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1295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1296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1297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1298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1299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13__123Graph_XR_M_MARG" hidden="1">[1]P!$R$29:$AK$29</definedName>
    <definedName name="_13__FDSAUDITLINK__" localSheetId="20" hidden="1">{"fdsup://Directions/FactSet Auditing Viewer?action=AUDIT_VALUE&amp;DB=129&amp;ID1=91704710&amp;VALUEID=02101&amp;SDATE=201001&amp;PERIODTYPE=QTR_STD&amp;window=popup_no_bar&amp;width=385&amp;height=120&amp;START_MAXIMIZED=FALSE&amp;creator=factset&amp;display_string=Audit"}</definedName>
    <definedName name="_13__FDSAUDITLINK__" hidden="1">{"fdsup://Directions/FactSet Auditing Viewer?action=AUDIT_VALUE&amp;DB=129&amp;ID1=03783310&amp;VALUEID=01001&amp;SDATE=2006&amp;PERIODTYPE=ANN_STD&amp;window=popup_no_bar&amp;width=385&amp;height=120&amp;START_MAXIMIZED=FALSE&amp;creator=factset&amp;display_string=Audit"}</definedName>
    <definedName name="_130__FDSAUDITLINK__" localSheetId="20" hidden="1">{"fdsup://Directions/FactSet Auditing Viewer?action=AUDIT_VALUE&amp;DB=129&amp;ID1=00786510&amp;VALUEID=02101&amp;SDATE=200803&amp;PERIODTYPE=QTR_STD&amp;window=popup_no_bar&amp;width=385&amp;height=120&amp;START_MAXIMIZED=FALSE&amp;creator=factset&amp;display_string=Audit"}</definedName>
    <definedName name="_130__FDSAUDITLINK__" hidden="1">{"fdsup://Directions/FactSet Auditing Viewer?action=AUDIT_VALUE&amp;DB=129&amp;ID1=36467W10&amp;VALUEID=04601&amp;SDATE=2008&amp;PERIODTYPE=ANN_STD&amp;window=popup_no_bar&amp;width=385&amp;height=120&amp;START_MAXIMIZED=FALSE&amp;creator=factset&amp;display_string=Audit"}</definedName>
    <definedName name="_1300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1301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1302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1303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1304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1305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1306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1307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1308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1309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131__FDSAUDITLINK__" localSheetId="20" hidden="1">{"fdsup://Directions/FactSet Auditing Viewer?action=AUDIT_VALUE&amp;DB=129&amp;ID1=00786510&amp;VALUEID=01001&amp;SDATE=200803&amp;PERIODTYPE=QTR_STD&amp;window=popup_no_bar&amp;width=385&amp;height=120&amp;START_MAXIMIZED=FALSE&amp;creator=factset&amp;display_string=Audit"}</definedName>
    <definedName name="_131__FDSAUDITLINK__" hidden="1">{"fdsup://Directions/FactSet Auditing Viewer?action=AUDIT_VALUE&amp;DB=129&amp;ID1=25406710&amp;VALUEID=01001&amp;SDATE=2005&amp;PERIODTYPE=ANN_STD&amp;window=popup_no_bar&amp;width=385&amp;height=120&amp;START_MAXIMIZED=FALSE&amp;creator=factset&amp;display_string=Audit"}</definedName>
    <definedName name="_1310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1311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1312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1313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1314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1315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1316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1317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1318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1319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132__FDSAUDITLINK__" localSheetId="20" hidden="1">{"fdsup://Directions/FactSet Auditing Viewer?action=AUDIT_VALUE&amp;DB=129&amp;ID1=00786510&amp;VALUEID=13040&amp;SDATE=200803&amp;PERIODTYPE=QTR_STD&amp;window=popup_no_bar&amp;width=385&amp;height=120&amp;START_MAXIMIZED=FALSE&amp;creator=factset&amp;display_string=Audit"}</definedName>
    <definedName name="_132__FDSAUDITLINK__" hidden="1">{"fdsup://Directions/FactSet Auditing Viewer?action=AUDIT_VALUE&amp;DB=129&amp;ID1=25406710&amp;VALUEID=04601&amp;SDATE=2005&amp;PERIODTYPE=ANN_STD&amp;window=popup_no_bar&amp;width=385&amp;height=120&amp;START_MAXIMIZED=FALSE&amp;creator=factset&amp;display_string=Audit"}</definedName>
    <definedName name="_1320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1321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1322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1323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1324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1325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1326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1327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1328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1329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133__FDSAUDITLINK__" localSheetId="20" hidden="1">{"fdsup://Directions/FactSet Auditing Viewer?action=AUDIT_VALUE&amp;DB=129&amp;ID1=00289620&amp;VALUEID=02101&amp;SDATE=200803&amp;PERIODTYPE=QTR_STD&amp;window=popup_no_bar&amp;width=385&amp;height=120&amp;START_MAXIMIZED=FALSE&amp;creator=factset&amp;display_string=Audit"}</definedName>
    <definedName name="_133__FDSAUDITLINK__" hidden="1">{"fdsup://Directions/FactSet Auditing Viewer?action=AUDIT_VALUE&amp;DB=129&amp;ID1=25406710&amp;VALUEID=01001&amp;SDATE=2006&amp;PERIODTYPE=ANN_STD&amp;window=popup_no_bar&amp;width=385&amp;height=120&amp;START_MAXIMIZED=FALSE&amp;creator=factset&amp;display_string=Audit"}</definedName>
    <definedName name="_1330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1331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1332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1333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1334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1335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1336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1337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1338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1339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134__FDSAUDITLINK__" localSheetId="20" hidden="1">{"fdsup://Directions/FactSet Auditing Viewer?action=AUDIT_VALUE&amp;DB=129&amp;ID1=00289620&amp;VALUEID=01001&amp;SDATE=200803&amp;PERIODTYPE=QTR_STD&amp;window=popup_no_bar&amp;width=385&amp;height=120&amp;START_MAXIMIZED=FALSE&amp;creator=factset&amp;display_string=Audit"}</definedName>
    <definedName name="_134__FDSAUDITLINK__" hidden="1">{"fdsup://Directions/FactSet Auditing Viewer?action=AUDIT_VALUE&amp;DB=129&amp;ID1=25406710&amp;VALUEID=04601&amp;SDATE=2006&amp;PERIODTYPE=ANN_STD&amp;window=popup_no_bar&amp;width=385&amp;height=120&amp;START_MAXIMIZED=FALSE&amp;creator=factset&amp;display_string=Audit"}</definedName>
    <definedName name="_1340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1341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1342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1343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1344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1345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1346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1347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1348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1349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135__FDSAUDITLINK__" localSheetId="20" hidden="1">{"fdsup://Directions/FactSet Auditing Viewer?action=AUDIT_VALUE&amp;DB=129&amp;ID1=00289620&amp;VALUEID=13040&amp;SDATE=200803&amp;PERIODTYPE=QTR_STD&amp;window=popup_no_bar&amp;width=385&amp;height=120&amp;START_MAXIMIZED=FALSE&amp;creator=factset&amp;display_string=Audit"}</definedName>
    <definedName name="_135__FDSAUDITLINK__" hidden="1">{"fdsup://Directions/FactSet Auditing Viewer?action=AUDIT_VALUE&amp;DB=129&amp;ID1=25406710&amp;VALUEID=01001&amp;SDATE=2007&amp;PERIODTYPE=ANN_STD&amp;window=popup_no_bar&amp;width=385&amp;height=120&amp;START_MAXIMIZED=FALSE&amp;creator=factset&amp;display_string=Audit"}</definedName>
    <definedName name="_1350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1351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1352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1353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1354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1355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1356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1357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1358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1359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136__FDSAUDITLINK__" localSheetId="20" hidden="1">{"fdsup://Directions/FactSet Auditing Viewer?action=AUDIT_VALUE&amp;DB=129&amp;ID1=87416110&amp;VALUEID=02101&amp;SDATE=200802&amp;PERIODTYPE=QTR_STD&amp;window=popup_no_bar&amp;width=385&amp;height=120&amp;START_MAXIMIZED=FALSE&amp;creator=factset&amp;display_string=Audit"}</definedName>
    <definedName name="_136__FDSAUDITLINK__" hidden="1">{"fdsup://Directions/FactSet Auditing Viewer?action=AUDIT_VALUE&amp;DB=129&amp;ID1=25406710&amp;VALUEID=04601&amp;SDATE=2007&amp;PERIODTYPE=ANN_STD&amp;window=popup_no_bar&amp;width=385&amp;height=120&amp;START_MAXIMIZED=FALSE&amp;creator=factset&amp;display_string=Audit"}</definedName>
    <definedName name="_1360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1361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1362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1363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1364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1365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1366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1367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1368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1369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137__FDSAUDITLINK__" localSheetId="20" hidden="1">{"fdsup://Directions/FactSet Auditing Viewer?action=AUDIT_VALUE&amp;DB=129&amp;ID1=87416110&amp;VALUEID=01001&amp;SDATE=200802&amp;PERIODTYPE=QTR_STD&amp;window=popup_no_bar&amp;width=385&amp;height=120&amp;START_MAXIMIZED=FALSE&amp;creator=factset&amp;display_string=Audit"}</definedName>
    <definedName name="_137__FDSAUDITLINK__" hidden="1">{"fdsup://Directions/FactSet Auditing Viewer?action=AUDIT_VALUE&amp;DB=129&amp;ID1=25406710&amp;VALUEID=01001&amp;SDATE=2008&amp;PERIODTYPE=ANN_STD&amp;window=popup_no_bar&amp;width=385&amp;height=120&amp;START_MAXIMIZED=FALSE&amp;creator=factset&amp;display_string=Audit"}</definedName>
    <definedName name="_1370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1371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1372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1373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1374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1375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1376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1377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1378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1379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138__FDSAUDITLINK__" localSheetId="20" hidden="1">{"fdsup://Directions/FactSet Auditing Viewer?action=AUDIT_VALUE&amp;DB=129&amp;ID1=53271610&amp;VALUEID=02101&amp;SDATE=200802&amp;PERIODTYPE=QTR_STD&amp;window=popup_no_bar&amp;width=385&amp;height=120&amp;START_MAXIMIZED=FALSE&amp;creator=factset&amp;display_string=Audit"}</definedName>
    <definedName name="_138__FDSAUDITLINK__" hidden="1">{"fdsup://Directions/FactSet Auditing Viewer?action=AUDIT_VALUE&amp;DB=129&amp;ID1=25406710&amp;VALUEID=04601&amp;SDATE=2008&amp;PERIODTYPE=ANN_STD&amp;window=popup_no_bar&amp;width=385&amp;height=120&amp;START_MAXIMIZED=FALSE&amp;creator=factset&amp;display_string=Audit"}</definedName>
    <definedName name="_1380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1381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1382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1383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1384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1385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1386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1387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1388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1389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139__FDSAUDITLINK__" localSheetId="20" hidden="1">{"fdsup://Directions/FactSet Auditing Viewer?action=AUDIT_VALUE&amp;DB=129&amp;ID1=53271610&amp;VALUEID=01001&amp;SDATE=200802&amp;PERIODTYPE=QTR_STD&amp;window=popup_no_bar&amp;width=385&amp;height=120&amp;START_MAXIMIZED=FALSE&amp;creator=factset&amp;display_string=Audit"}</definedName>
    <definedName name="_139__FDSAUDITLINK__" hidden="1">{"fdsup://Directions/FactSet Auditing Viewer?action=AUDIT_VALUE&amp;DB=129&amp;ID1=97428030&amp;VALUEID=01001&amp;SDATE=2005&amp;PERIODTYPE=ANN_STD&amp;window=popup_no_bar&amp;width=385&amp;height=120&amp;START_MAXIMIZED=FALSE&amp;creator=factset&amp;display_string=Audit"}</definedName>
    <definedName name="_1390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1391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1392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1393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1394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1395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1396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1397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1398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1399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14__FDSAUDITLINK__" localSheetId="20" hidden="1">{"fdsup://Directions/FactSet Auditing Viewer?action=AUDIT_VALUE&amp;DB=129&amp;ID1=91704710&amp;VALUEID=13040&amp;SDATE=201001&amp;PERIODTYPE=QTR_STD&amp;window=popup_no_bar&amp;width=385&amp;height=120&amp;START_MAXIMIZED=FALSE&amp;creator=factset&amp;display_string=Audit"}</definedName>
    <definedName name="_14__FDSAUDITLINK__" hidden="1">{"fdsup://Directions/FactSet Auditing Viewer?action=AUDIT_VALUE&amp;DB=129&amp;ID1=03783310&amp;VALUEID=04601&amp;SDATE=2006&amp;PERIODTYPE=ANN_STD&amp;window=popup_no_bar&amp;width=385&amp;height=120&amp;START_MAXIMIZED=FALSE&amp;creator=factset&amp;display_string=Audit"}</definedName>
    <definedName name="_140__FDSAUDITLINK__" localSheetId="20" hidden="1">{"fdsup://Directions/FactSet Auditing Viewer?action=AUDIT_VALUE&amp;DB=129&amp;ID1=53271610&amp;VALUEID=13040&amp;SDATE=200802&amp;PERIODTYPE=QTR_STD&amp;window=popup_no_bar&amp;width=385&amp;height=120&amp;START_MAXIMIZED=FALSE&amp;creator=factset&amp;display_string=Audit"}</definedName>
    <definedName name="_140__FDSAUDITLINK__" hidden="1">{"fdsup://Directions/FactSet Auditing Viewer?action=AUDIT_VALUE&amp;DB=129&amp;ID1=97428030&amp;VALUEID=04601&amp;SDATE=2005&amp;PERIODTYPE=ANN_STD&amp;window=popup_no_bar&amp;width=385&amp;height=120&amp;START_MAXIMIZED=FALSE&amp;creator=factset&amp;display_string=Audit"}</definedName>
    <definedName name="_1400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1401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1402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1403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1404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1405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1406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1407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1408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1409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141__FDSAUDITLINK__" localSheetId="20" hidden="1">{"fdsup://Directions/FactSet Auditing Viewer?action=AUDIT_VALUE&amp;DB=129&amp;ID1=46612H40&amp;VALUEID=02101&amp;SDATE=200802&amp;PERIODTYPE=QTR_STD&amp;window=popup_no_bar&amp;width=385&amp;height=120&amp;START_MAXIMIZED=FALSE&amp;creator=factset&amp;display_string=Audit"}</definedName>
    <definedName name="_141__FDSAUDITLINK__" hidden="1">{"fdsup://Directions/FactSet Auditing Viewer?action=AUDIT_VALUE&amp;DB=129&amp;ID1=97428030&amp;VALUEID=01001&amp;SDATE=2006&amp;PERIODTYPE=ANN_STD&amp;window=popup_no_bar&amp;width=385&amp;height=120&amp;START_MAXIMIZED=FALSE&amp;creator=factset&amp;display_string=Audit"}</definedName>
    <definedName name="_1410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1411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1412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1413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1414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1415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1416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1417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1418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1419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142__FDSAUDITLINK__" localSheetId="20" hidden="1">{"fdsup://Directions/FactSet Auditing Viewer?action=AUDIT_VALUE&amp;DB=129&amp;ID1=46612H40&amp;VALUEID=01001&amp;SDATE=200802&amp;PERIODTYPE=QTR_STD&amp;window=popup_no_bar&amp;width=385&amp;height=120&amp;START_MAXIMIZED=FALSE&amp;creator=factset&amp;display_string=Audit"}</definedName>
    <definedName name="_142__FDSAUDITLINK__" hidden="1">{"fdsup://Directions/FactSet Auditing Viewer?action=AUDIT_VALUE&amp;DB=129&amp;ID1=97428030&amp;VALUEID=04601&amp;SDATE=2006&amp;PERIODTYPE=ANN_STD&amp;window=popup_no_bar&amp;width=385&amp;height=120&amp;START_MAXIMIZED=FALSE&amp;creator=factset&amp;display_string=Audit"}</definedName>
    <definedName name="_1420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1421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1422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1423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1424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1425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1426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1427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1428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1429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143__FDSAUDITLINK__" localSheetId="20" hidden="1">{"fdsup://Directions/FactSet Auditing Viewer?action=AUDIT_VALUE&amp;DB=129&amp;ID1=46612H40&amp;VALUEID=13040&amp;SDATE=200802&amp;PERIODTYPE=QTR_STD&amp;window=popup_no_bar&amp;width=385&amp;height=120&amp;START_MAXIMIZED=FALSE&amp;creator=factset&amp;display_string=Audit"}</definedName>
    <definedName name="_143__FDSAUDITLINK__" hidden="1">{"fdsup://Directions/FactSet Auditing Viewer?action=AUDIT_VALUE&amp;DB=129&amp;ID1=97428030&amp;VALUEID=01001&amp;SDATE=2008&amp;PERIODTYPE=ANN_STD&amp;window=popup_no_bar&amp;width=385&amp;height=120&amp;START_MAXIMIZED=FALSE&amp;creator=factset&amp;display_string=Audit"}</definedName>
    <definedName name="_1430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1431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1432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1433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1434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1435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1436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1437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1438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1439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144__FDSAUDITLINK__" localSheetId="20" hidden="1">{"fdsup://Directions/FactSet Auditing Viewer?action=AUDIT_VALUE&amp;DB=129&amp;ID1=36476010&amp;VALUEID=02101&amp;SDATE=200802&amp;PERIODTYPE=QTR_STD&amp;window=popup_no_bar&amp;width=385&amp;height=120&amp;START_MAXIMIZED=FALSE&amp;creator=factset&amp;display_string=Audit"}</definedName>
    <definedName name="_144__FDSAUDITLINK__" hidden="1">{"fdsup://Directions/FactSet Auditing Viewer?action=AUDIT_VALUE&amp;DB=129&amp;ID1=97428030&amp;VALUEID=04601&amp;SDATE=2008&amp;PERIODTYPE=ANN_STD&amp;window=popup_no_bar&amp;width=385&amp;height=120&amp;START_MAXIMIZED=FALSE&amp;creator=factset&amp;display_string=Audit"}</definedName>
    <definedName name="_1440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1441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1442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1443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1444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1445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1446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1447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1448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1449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145__FDSAUDITLINK__" localSheetId="20" hidden="1">{"fdsup://Directions/FactSet Auditing Viewer?action=AUDIT_VALUE&amp;DB=129&amp;ID1=36476010&amp;VALUEID=01001&amp;SDATE=200802&amp;PERIODTYPE=QTR_STD&amp;window=popup_no_bar&amp;width=385&amp;height=120&amp;START_MAXIMIZED=FALSE&amp;creator=factset&amp;display_string=Audit"}</definedName>
    <definedName name="_145__FDSAUDITLINK__" hidden="1">{"fdsup://Directions/FactSet Auditing Viewer?action=AUDIT_VALUE&amp;DB=129&amp;ID1=97428030&amp;VALUEID=01001&amp;SDATE=2009&amp;PERIODTYPE=ANN_STD&amp;window=popup_no_bar&amp;width=385&amp;height=120&amp;START_MAXIMIZED=FALSE&amp;creator=factset&amp;display_string=Audit"}</definedName>
    <definedName name="_1450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1451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1452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1453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1454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1455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1456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1457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1458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1459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146__FDSAUDITLINK__" localSheetId="20" hidden="1">{"fdsup://Directions/FactSet Auditing Viewer?action=AUDIT_VALUE&amp;DB=129&amp;ID1=36476010&amp;VALUEID=13040&amp;SDATE=200802&amp;PERIODTYPE=QTR_STD&amp;window=popup_no_bar&amp;width=385&amp;height=120&amp;START_MAXIMIZED=FALSE&amp;creator=factset&amp;display_string=Audit"}</definedName>
    <definedName name="_146__FDSAUDITLINK__" hidden="1">{"fdsup://Directions/FactSet Auditing Viewer?action=AUDIT_VALUE&amp;DB=129&amp;ID1=97428030&amp;VALUEID=04601&amp;SDATE=2009&amp;PERIODTYPE=ANN_STD&amp;window=popup_no_bar&amp;width=385&amp;height=120&amp;START_MAXIMIZED=FALSE&amp;creator=factset&amp;display_string=Audit"}</definedName>
    <definedName name="_1460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1461__FDSAUDITLINK__" hidden="1">{"fdsup://Directions/FactSet Auditing Viewer?action=AUDIT_VALUE&amp;DB=129&amp;ID1=58711810&amp;VALUEID=13040&amp;SDATE=200601&amp;PERIODTYPE=QTR_STD&amp;window=popup_no_bar&amp;width=385&amp;height=120&amp;START_MAXIMIZED=FALSE&amp;creator=factset&amp;display_string=Audit"}</definedName>
    <definedName name="_1462__FDSAUDITLINK__" hidden="1">{"fdsup://Directions/FactSet Auditing Viewer?action=AUDIT_VALUE&amp;DB=129&amp;ID1=58711810&amp;VALUEID=01001&amp;SDATE=200601&amp;PERIODTYPE=QTR_STD&amp;window=popup_no_bar&amp;width=385&amp;height=120&amp;START_MAXIMIZED=FALSE&amp;creator=factset&amp;display_string=Audit"}</definedName>
    <definedName name="_1463__FDSAUDITLINK__" hidden="1">{"fdsup://Directions/FactSet Auditing Viewer?action=AUDIT_VALUE&amp;DB=129&amp;ID1=58711810&amp;VALUEID=02101&amp;SDATE=200601&amp;PERIODTYPE=QTR_STD&amp;window=popup_no_bar&amp;width=385&amp;height=120&amp;START_MAXIMIZED=FALSE&amp;creator=factset&amp;display_string=Audit"}</definedName>
    <definedName name="_1464__FDSAUDITLINK__" hidden="1">{"fdsup://Directions/FactSet Auditing Viewer?action=AUDIT_VALUE&amp;DB=129&amp;ID1=58711810&amp;VALUEID=13040&amp;SDATE=200602&amp;PERIODTYPE=QTR_STD&amp;window=popup_no_bar&amp;width=385&amp;height=120&amp;START_MAXIMIZED=FALSE&amp;creator=factset&amp;display_string=Audit"}</definedName>
    <definedName name="_1465__FDSAUDITLINK__" hidden="1">{"fdsup://Directions/FactSet Auditing Viewer?action=AUDIT_VALUE&amp;DB=129&amp;ID1=58711810&amp;VALUEID=01001&amp;SDATE=200602&amp;PERIODTYPE=QTR_STD&amp;window=popup_no_bar&amp;width=385&amp;height=120&amp;START_MAXIMIZED=FALSE&amp;creator=factset&amp;display_string=Audit"}</definedName>
    <definedName name="_1466__FDSAUDITLINK__" hidden="1">{"fdsup://Directions/FactSet Auditing Viewer?action=AUDIT_VALUE&amp;DB=129&amp;ID1=58711810&amp;VALUEID=02101&amp;SDATE=200602&amp;PERIODTYPE=QTR_STD&amp;window=popup_no_bar&amp;width=385&amp;height=120&amp;START_MAXIMIZED=FALSE&amp;creator=factset&amp;display_string=Audit"}</definedName>
    <definedName name="_1467__FDSAUDITLINK__" hidden="1">{"fdsup://Directions/FactSet Auditing Viewer?action=AUDIT_VALUE&amp;DB=129&amp;ID1=58711810&amp;VALUEID=13040&amp;SDATE=200603&amp;PERIODTYPE=QTR_STD&amp;window=popup_no_bar&amp;width=385&amp;height=120&amp;START_MAXIMIZED=FALSE&amp;creator=factset&amp;display_string=Audit"}</definedName>
    <definedName name="_1468__FDSAUDITLINK__" hidden="1">{"fdsup://Directions/FactSet Auditing Viewer?action=AUDIT_VALUE&amp;DB=129&amp;ID1=58711810&amp;VALUEID=01001&amp;SDATE=200603&amp;PERIODTYPE=QTR_STD&amp;window=popup_no_bar&amp;width=385&amp;height=120&amp;START_MAXIMIZED=FALSE&amp;creator=factset&amp;display_string=Audit"}</definedName>
    <definedName name="_1469__FDSAUDITLINK__" hidden="1">{"fdsup://Directions/FactSet Auditing Viewer?action=AUDIT_VALUE&amp;DB=129&amp;ID1=58711810&amp;VALUEID=02101&amp;SDATE=200603&amp;PERIODTYPE=QTR_STD&amp;window=popup_no_bar&amp;width=385&amp;height=120&amp;START_MAXIMIZED=FALSE&amp;creator=factset&amp;display_string=Audit"}</definedName>
    <definedName name="_147__FDSAUDITLINK__" localSheetId="20" hidden="1">{"fdsup://Directions/FactSet Auditing Viewer?action=AUDIT_VALUE&amp;DB=129&amp;ID1=03611510&amp;VALUEID=02101&amp;SDATE=200802&amp;PERIODTYPE=QTR_STD&amp;window=popup_no_bar&amp;width=385&amp;height=120&amp;START_MAXIMIZED=FALSE&amp;creator=factset&amp;display_string=Audit"}</definedName>
    <definedName name="_147__FDSAUDITLINK__" hidden="1">{"fdsup://Directions/FactSet Auditing Viewer?action=AUDIT_VALUE&amp;DB=129&amp;ID1=09367910&amp;VALUEID=01001&amp;SDATE=2005&amp;PERIODTYPE=ANN_STD&amp;window=popup_no_bar&amp;width=385&amp;height=120&amp;START_MAXIMIZED=FALSE&amp;creator=factset&amp;display_string=Audit"}</definedName>
    <definedName name="_1470__FDSAUDITLINK__" hidden="1">{"fdsup://Directions/FactSet Auditing Viewer?action=AUDIT_VALUE&amp;DB=129&amp;ID1=58711810&amp;VALUEID=01001&amp;SDATE=200604&amp;PERIODTYPE=QTR_STD&amp;window=popup_no_bar&amp;width=385&amp;height=120&amp;START_MAXIMIZED=FALSE&amp;creator=factset&amp;display_string=Audit"}</definedName>
    <definedName name="_1471__FDSAUDITLINK__" hidden="1">{"fdsup://Directions/FactSet Auditing Viewer?action=AUDIT_VALUE&amp;DB=129&amp;ID1=58711810&amp;VALUEID=13040&amp;SDATE=200701&amp;PERIODTYPE=QTR_STD&amp;window=popup_no_bar&amp;width=385&amp;height=120&amp;START_MAXIMIZED=FALSE&amp;creator=factset&amp;display_string=Audit"}</definedName>
    <definedName name="_1472__FDSAUDITLINK__" hidden="1">{"fdsup://Directions/FactSet Auditing Viewer?action=AUDIT_VALUE&amp;DB=129&amp;ID1=58711810&amp;VALUEID=01001&amp;SDATE=200701&amp;PERIODTYPE=QTR_STD&amp;window=popup_no_bar&amp;width=385&amp;height=120&amp;START_MAXIMIZED=FALSE&amp;creator=factset&amp;display_string=Audit"}</definedName>
    <definedName name="_1473__FDSAUDITLINK__" hidden="1">{"fdsup://Directions/FactSet Auditing Viewer?action=AUDIT_VALUE&amp;DB=129&amp;ID1=58711810&amp;VALUEID=02101&amp;SDATE=200701&amp;PERIODTYPE=QTR_STD&amp;window=popup_no_bar&amp;width=385&amp;height=120&amp;START_MAXIMIZED=FALSE&amp;creator=factset&amp;display_string=Audit"}</definedName>
    <definedName name="_1474__FDSAUDITLINK__" hidden="1">{"fdsup://Directions/FactSet Auditing Viewer?action=AUDIT_VALUE&amp;DB=129&amp;ID1=58711810&amp;VALUEID=13040&amp;SDATE=200702&amp;PERIODTYPE=QTR_STD&amp;window=popup_no_bar&amp;width=385&amp;height=120&amp;START_MAXIMIZED=FALSE&amp;creator=factset&amp;display_string=Audit"}</definedName>
    <definedName name="_1475__FDSAUDITLINK__" hidden="1">{"fdsup://Directions/FactSet Auditing Viewer?action=AUDIT_VALUE&amp;DB=129&amp;ID1=58711810&amp;VALUEID=01001&amp;SDATE=200702&amp;PERIODTYPE=QTR_STD&amp;window=popup_no_bar&amp;width=385&amp;height=120&amp;START_MAXIMIZED=FALSE&amp;creator=factset&amp;display_string=Audit"}</definedName>
    <definedName name="_1476__FDSAUDITLINK__" hidden="1">{"fdsup://Directions/FactSet Auditing Viewer?action=AUDIT_VALUE&amp;DB=129&amp;ID1=58711810&amp;VALUEID=02101&amp;SDATE=200702&amp;PERIODTYPE=QTR_STD&amp;window=popup_no_bar&amp;width=385&amp;height=120&amp;START_MAXIMIZED=FALSE&amp;creator=factset&amp;display_string=Audit"}</definedName>
    <definedName name="_1477__FDSAUDITLINK__" hidden="1">{"fdsup://Directions/FactSet Auditing Viewer?action=AUDIT_VALUE&amp;DB=129&amp;ID1=58711810&amp;VALUEID=13040&amp;SDATE=200703&amp;PERIODTYPE=QTR_STD&amp;window=popup_no_bar&amp;width=385&amp;height=120&amp;START_MAXIMIZED=FALSE&amp;creator=factset&amp;display_string=Audit"}</definedName>
    <definedName name="_1478__FDSAUDITLINK__" hidden="1">{"fdsup://Directions/FactSet Auditing Viewer?action=AUDIT_VALUE&amp;DB=129&amp;ID1=58711810&amp;VALUEID=01001&amp;SDATE=200703&amp;PERIODTYPE=QTR_STD&amp;window=popup_no_bar&amp;width=385&amp;height=120&amp;START_MAXIMIZED=FALSE&amp;creator=factset&amp;display_string=Audit"}</definedName>
    <definedName name="_1479__FDSAUDITLINK__" hidden="1">{"fdsup://Directions/FactSet Auditing Viewer?action=AUDIT_VALUE&amp;DB=129&amp;ID1=58711810&amp;VALUEID=02101&amp;SDATE=200703&amp;PERIODTYPE=QTR_STD&amp;window=popup_no_bar&amp;width=385&amp;height=120&amp;START_MAXIMIZED=FALSE&amp;creator=factset&amp;display_string=Audit"}</definedName>
    <definedName name="_148__FDSAUDITLINK__" localSheetId="20" hidden="1">{"fdsup://Directions/FactSet Auditing Viewer?action=AUDIT_VALUE&amp;DB=129&amp;ID1=03611510&amp;VALUEID=01001&amp;SDATE=200802&amp;PERIODTYPE=QTR_STD&amp;window=popup_no_bar&amp;width=385&amp;height=120&amp;START_MAXIMIZED=FALSE&amp;creator=factset&amp;display_string=Audit"}</definedName>
    <definedName name="_148__FDSAUDITLINK__" hidden="1">{"fdsup://Directions/FactSet Auditing Viewer?action=AUDIT_VALUE&amp;DB=129&amp;ID1=09367910&amp;VALUEID=04601&amp;SDATE=2005&amp;PERIODTYPE=ANN_STD&amp;window=popup_no_bar&amp;width=385&amp;height=120&amp;START_MAXIMIZED=FALSE&amp;creator=factset&amp;display_string=Audit"}</definedName>
    <definedName name="_1480__FDSAUDITLINK__" hidden="1">{"fdsup://Directions/FactSet Auditing Viewer?action=AUDIT_VALUE&amp;DB=129&amp;ID1=58711810&amp;VALUEID=01001&amp;SDATE=200704&amp;PERIODTYPE=QTR_STD&amp;window=popup_no_bar&amp;width=385&amp;height=120&amp;START_MAXIMIZED=FALSE&amp;creator=factset&amp;display_string=Audit"}</definedName>
    <definedName name="_1481__FDSAUDITLINK__" hidden="1">{"fdsup://Directions/FactSet Auditing Viewer?action=AUDIT_VALUE&amp;DB=129&amp;ID1=58711810&amp;VALUEID=13040&amp;SDATE=200801&amp;PERIODTYPE=QTR_STD&amp;window=popup_no_bar&amp;width=385&amp;height=120&amp;START_MAXIMIZED=FALSE&amp;creator=factset&amp;display_string=Audit"}</definedName>
    <definedName name="_1482__FDSAUDITLINK__" hidden="1">{"fdsup://Directions/FactSet Auditing Viewer?action=AUDIT_VALUE&amp;DB=129&amp;ID1=58711810&amp;VALUEID=01001&amp;SDATE=200801&amp;PERIODTYPE=QTR_STD&amp;window=popup_no_bar&amp;width=385&amp;height=120&amp;START_MAXIMIZED=FALSE&amp;creator=factset&amp;display_string=Audit"}</definedName>
    <definedName name="_1483__FDSAUDITLINK__" hidden="1">{"fdsup://Directions/FactSet Auditing Viewer?action=AUDIT_VALUE&amp;DB=129&amp;ID1=58711810&amp;VALUEID=02101&amp;SDATE=200801&amp;PERIODTYPE=QTR_STD&amp;window=popup_no_bar&amp;width=385&amp;height=120&amp;START_MAXIMIZED=FALSE&amp;creator=factset&amp;display_string=Audit"}</definedName>
    <definedName name="_1484__FDSAUDITLINK__" hidden="1">{"fdsup://Directions/FactSet Auditing Viewer?action=AUDIT_VALUE&amp;DB=129&amp;ID1=58711810&amp;VALUEID=13040&amp;SDATE=200802&amp;PERIODTYPE=QTR_STD&amp;window=popup_no_bar&amp;width=385&amp;height=120&amp;START_MAXIMIZED=FALSE&amp;creator=factset&amp;display_string=Audit"}</definedName>
    <definedName name="_1485__FDSAUDITLINK__" hidden="1">{"fdsup://Directions/FactSet Auditing Viewer?action=AUDIT_VALUE&amp;DB=129&amp;ID1=58711810&amp;VALUEID=01001&amp;SDATE=200802&amp;PERIODTYPE=QTR_STD&amp;window=popup_no_bar&amp;width=385&amp;height=120&amp;START_MAXIMIZED=FALSE&amp;creator=factset&amp;display_string=Audit"}</definedName>
    <definedName name="_1486__FDSAUDITLINK__" hidden="1">{"fdsup://Directions/FactSet Auditing Viewer?action=AUDIT_VALUE&amp;DB=129&amp;ID1=58711810&amp;VALUEID=02101&amp;SDATE=200802&amp;PERIODTYPE=QTR_STD&amp;window=popup_no_bar&amp;width=385&amp;height=120&amp;START_MAXIMIZED=FALSE&amp;creator=factset&amp;display_string=Audit"}</definedName>
    <definedName name="_1487__FDSAUDITLINK__" hidden="1">{"fdsup://Directions/FactSet Auditing Viewer?action=AUDIT_VALUE&amp;DB=129&amp;ID1=58711810&amp;VALUEID=13040&amp;SDATE=200803&amp;PERIODTYPE=QTR_STD&amp;window=popup_no_bar&amp;width=385&amp;height=120&amp;START_MAXIMIZED=FALSE&amp;creator=factset&amp;display_string=Audit"}</definedName>
    <definedName name="_1488__FDSAUDITLINK__" hidden="1">{"fdsup://Directions/FactSet Auditing Viewer?action=AUDIT_VALUE&amp;DB=129&amp;ID1=58711810&amp;VALUEID=01001&amp;SDATE=200803&amp;PERIODTYPE=QTR_STD&amp;window=popup_no_bar&amp;width=385&amp;height=120&amp;START_MAXIMIZED=FALSE&amp;creator=factset&amp;display_string=Audit"}</definedName>
    <definedName name="_1489__FDSAUDITLINK__" hidden="1">{"fdsup://Directions/FactSet Auditing Viewer?action=AUDIT_VALUE&amp;DB=129&amp;ID1=58711810&amp;VALUEID=02101&amp;SDATE=200803&amp;PERIODTYPE=QTR_STD&amp;window=popup_no_bar&amp;width=385&amp;height=120&amp;START_MAXIMIZED=FALSE&amp;creator=factset&amp;display_string=Audit"}</definedName>
    <definedName name="_149__FDSAUDITLINK__" localSheetId="20" hidden="1">{"fdsup://Directions/FactSet Auditing Viewer?action=AUDIT_VALUE&amp;DB=129&amp;ID1=16890510&amp;VALUEID=02101&amp;SDATE=200802&amp;PERIODTYPE=QTR_STD&amp;window=popup_no_bar&amp;width=385&amp;height=120&amp;START_MAXIMIZED=FALSE&amp;creator=factset&amp;display_string=Audit"}</definedName>
    <definedName name="_149__FDSAUDITLINK__" hidden="1">{"fdsup://Directions/FactSet Auditing Viewer?action=AUDIT_VALUE&amp;DB=129&amp;ID1=09367910&amp;VALUEID=01001&amp;SDATE=2006&amp;PERIODTYPE=ANN_STD&amp;window=popup_no_bar&amp;width=385&amp;height=120&amp;START_MAXIMIZED=FALSE&amp;creator=factset&amp;display_string=Audit"}</definedName>
    <definedName name="_1490__FDSAUDITLINK__" hidden="1">{"fdsup://Directions/FactSet Auditing Viewer?action=AUDIT_VALUE&amp;DB=129&amp;ID1=58711810&amp;VALUEID=01001&amp;SDATE=200804&amp;PERIODTYPE=QTR_STD&amp;window=popup_no_bar&amp;width=385&amp;height=120&amp;START_MAXIMIZED=FALSE&amp;creator=factset&amp;display_string=Audit"}</definedName>
    <definedName name="_1491__FDSAUDITLINK__" hidden="1">{"fdsup://Directions/FactSet Auditing Viewer?action=AUDIT_VALUE&amp;DB=129&amp;ID1=58711810&amp;VALUEID=13040&amp;SDATE=200902&amp;PERIODTYPE=QTR_STD&amp;window=popup_no_bar&amp;width=385&amp;height=120&amp;START_MAXIMIZED=FALSE&amp;creator=factset&amp;display_string=Audit"}</definedName>
    <definedName name="_1492__FDSAUDITLINK__" hidden="1">{"fdsup://Directions/FactSet Auditing Viewer?action=AUDIT_VALUE&amp;DB=129&amp;ID1=58711810&amp;VALUEID=01001&amp;SDATE=200902&amp;PERIODTYPE=QTR_STD&amp;window=popup_no_bar&amp;width=385&amp;height=120&amp;START_MAXIMIZED=FALSE&amp;creator=factset&amp;display_string=Audit"}</definedName>
    <definedName name="_1493__FDSAUDITLINK__" hidden="1">{"fdsup://Directions/FactSet Auditing Viewer?action=AUDIT_VALUE&amp;DB=129&amp;ID1=58711810&amp;VALUEID=02101&amp;SDATE=200902&amp;PERIODTYPE=QTR_STD&amp;window=popup_no_bar&amp;width=385&amp;height=120&amp;START_MAXIMIZED=FALSE&amp;creator=factset&amp;display_string=Audit"}</definedName>
    <definedName name="_1494__FDSAUDITLINK__" hidden="1">{"fdsup://Directions/FactSet Auditing Viewer?action=AUDIT_VALUE&amp;DB=129&amp;ID1=58711810&amp;VALUEID=13040&amp;SDATE=200903&amp;PERIODTYPE=QTR_STD&amp;window=popup_no_bar&amp;width=385&amp;height=120&amp;START_MAXIMIZED=FALSE&amp;creator=factset&amp;display_string=Audit"}</definedName>
    <definedName name="_1495__FDSAUDITLINK__" hidden="1">{"fdsup://Directions/FactSet Auditing Viewer?action=AUDIT_VALUE&amp;DB=129&amp;ID1=58711810&amp;VALUEID=01001&amp;SDATE=200903&amp;PERIODTYPE=QTR_STD&amp;window=popup_no_bar&amp;width=385&amp;height=120&amp;START_MAXIMIZED=FALSE&amp;creator=factset&amp;display_string=Audit"}</definedName>
    <definedName name="_1496__FDSAUDITLINK__" hidden="1">{"fdsup://Directions/FactSet Auditing Viewer?action=AUDIT_VALUE&amp;DB=129&amp;ID1=58711810&amp;VALUEID=02101&amp;SDATE=200903&amp;PERIODTYPE=QTR_STD&amp;window=popup_no_bar&amp;width=385&amp;height=120&amp;START_MAXIMIZED=FALSE&amp;creator=factset&amp;display_string=Audit"}</definedName>
    <definedName name="_1497__FDSAUDITLINK__" hidden="1">{"fdsup://Directions/FactSet Auditing Viewer?action=AUDIT_VALUE&amp;DB=129&amp;ID1=58711810&amp;VALUEID=13040&amp;SDATE=200904&amp;PERIODTYPE=QTR_STD&amp;window=popup_no_bar&amp;width=385&amp;height=120&amp;START_MAXIMIZED=FALSE&amp;creator=factset&amp;display_string=Audit"}</definedName>
    <definedName name="_1498__FDSAUDITLINK__" hidden="1">{"fdsup://Directions/FactSet Auditing Viewer?action=AUDIT_VALUE&amp;DB=129&amp;ID1=58711810&amp;VALUEID=01001&amp;SDATE=200904&amp;PERIODTYPE=QTR_STD&amp;window=popup_no_bar&amp;width=385&amp;height=120&amp;START_MAXIMIZED=FALSE&amp;creator=factset&amp;display_string=Audit"}</definedName>
    <definedName name="_1499__FDSAUDITLINK__" hidden="1">{"fdsup://Directions/FactSet Auditing Viewer?action=AUDIT_VALUE&amp;DB=129&amp;ID1=58711810&amp;VALUEID=13040&amp;SDATE=201001&amp;PERIODTYPE=QTR_STD&amp;window=popup_no_bar&amp;width=385&amp;height=120&amp;START_MAXIMIZED=FALSE&amp;creator=factset&amp;display_string=Audit"}</definedName>
    <definedName name="_15__FDSAUDITLINK__" localSheetId="20" hidden="1">{"fdsup://Directions/FactSet Auditing Viewer?action=AUDIT_VALUE&amp;DB=129&amp;ID1=02553E10&amp;VALUEID=02101&amp;SDATE=201001&amp;PERIODTYPE=QTR_STD&amp;window=popup_no_bar&amp;width=385&amp;height=120&amp;START_MAXIMIZED=FALSE&amp;creator=factset&amp;display_string=Audit"}</definedName>
    <definedName name="_15__FDSAUDITLINK__" hidden="1">{"fdsup://Directions/FactSet Auditing Viewer?action=AUDIT_VALUE&amp;DB=129&amp;ID1=03783310&amp;VALUEID=01001&amp;SDATE=2007&amp;PERIODTYPE=ANN_STD&amp;window=popup_no_bar&amp;width=385&amp;height=120&amp;START_MAXIMIZED=FALSE&amp;creator=factset&amp;display_string=Audit"}</definedName>
    <definedName name="_150__FDSAUDITLINK__" localSheetId="20" hidden="1">{"fdsup://Directions/FactSet Auditing Viewer?action=AUDIT_VALUE&amp;DB=129&amp;ID1=16890510&amp;VALUEID=01001&amp;SDATE=200802&amp;PERIODTYPE=QTR_STD&amp;window=popup_no_bar&amp;width=385&amp;height=120&amp;START_MAXIMIZED=FALSE&amp;creator=factset&amp;display_string=Audit"}</definedName>
    <definedName name="_150__FDSAUDITLINK__" hidden="1">{"fdsup://Directions/FactSet Auditing Viewer?action=AUDIT_VALUE&amp;DB=129&amp;ID1=09367910&amp;VALUEID=04601&amp;SDATE=2006&amp;PERIODTYPE=ANN_STD&amp;window=popup_no_bar&amp;width=385&amp;height=120&amp;START_MAXIMIZED=FALSE&amp;creator=factset&amp;display_string=Audit"}</definedName>
    <definedName name="_1500__FDSAUDITLINK__" hidden="1">{"fdsup://Directions/FactSet Auditing Viewer?action=AUDIT_VALUE&amp;DB=129&amp;ID1=58711810&amp;VALUEID=01001&amp;SDATE=201001&amp;PERIODTYPE=QTR_STD&amp;window=popup_no_bar&amp;width=385&amp;height=120&amp;START_MAXIMIZED=FALSE&amp;creator=factset&amp;display_string=Audit"}</definedName>
    <definedName name="_1501__FDSAUDITLINK__" hidden="1">{"fdsup://Directions/FactSet Auditing Viewer?action=AUDIT_VALUE&amp;DB=129&amp;ID1=58711810&amp;VALUEID=02101&amp;SDATE=201001&amp;PERIODTYPE=QTR_STD&amp;window=popup_no_bar&amp;width=385&amp;height=120&amp;START_MAXIMIZED=FALSE&amp;creator=factset&amp;display_string=Audit"}</definedName>
    <definedName name="_1502__FDSAUDITLINK__"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1503__FDSAUDITLINK__"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1504__FDSAUDITLINK__"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1505__FDSAUDITLINK__"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1506__FDSAUDITLINK__"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1507__FDSAUDITLINK__"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1508__FDSAUDITLINK__"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1509__FDSAUDITLINK__"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151__FDSAUDITLINK__" localSheetId="20" hidden="1">{"fdsup://Directions/FactSet Auditing Viewer?action=AUDIT_VALUE&amp;DB=129&amp;ID1=91704710&amp;VALUEID=02101&amp;SDATE=200802&amp;PERIODTYPE=QTR_STD&amp;window=popup_no_bar&amp;width=385&amp;height=120&amp;START_MAXIMIZED=FALSE&amp;creator=factset&amp;display_string=Audit"}</definedName>
    <definedName name="_151__FDSAUDITLINK__" hidden="1">{"fdsup://Directions/FactSet Auditing Viewer?action=AUDIT_VALUE&amp;DB=129&amp;ID1=09367910&amp;VALUEID=01001&amp;SDATE=2007&amp;PERIODTYPE=ANN_STD&amp;window=popup_no_bar&amp;width=385&amp;height=120&amp;START_MAXIMIZED=FALSE&amp;creator=factset&amp;display_string=Audit"}</definedName>
    <definedName name="_1510__FDSAUDITLINK__"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1511__FDSAUDITLINK__"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1512__FDSAUDITLINK__"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1513__FDSAUDITLINK__"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1514__FDSAUDITLINK__"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1515__FDSAUDITLINK__"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1516__FDSAUDITLINK__"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1517__FDSAUDITLINK__"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1518__FDSAUDITLINK__"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1519__FDSAUDITLINK__"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152__FDSAUDITLINK__" localSheetId="20" hidden="1">{"fdsup://Directions/FactSet Auditing Viewer?action=AUDIT_VALUE&amp;DB=129&amp;ID1=91704710&amp;VALUEID=01001&amp;SDATE=200802&amp;PERIODTYPE=QTR_STD&amp;window=popup_no_bar&amp;width=385&amp;height=120&amp;START_MAXIMIZED=FALSE&amp;creator=factset&amp;display_string=Audit"}</definedName>
    <definedName name="_152__FDSAUDITLINK__" hidden="1">{"fdsup://Directions/FactSet Auditing Viewer?action=AUDIT_VALUE&amp;DB=129&amp;ID1=09367910&amp;VALUEID=04601&amp;SDATE=2007&amp;PERIODTYPE=ANN_STD&amp;window=popup_no_bar&amp;width=385&amp;height=120&amp;START_MAXIMIZED=FALSE&amp;creator=factset&amp;display_string=Audit"}</definedName>
    <definedName name="_1520__FDSAUDITLINK__"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1521__FDSAUDITLINK__"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1522__FDSAUDITLINK__"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1523__FDSAUDITLINK__"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1524__FDSAUDITLINK__"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1525__FDSAUDITLINK__"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1526__FDSAUDITLINK__"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1527__FDSAUDITLINK__"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1528__FDSAUDITLINK__"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1529__FDSAUDITLINK__"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153__FDSAUDITLINK__" localSheetId="20" hidden="1">{"fdsup://Directions/FactSet Auditing Viewer?action=AUDIT_VALUE&amp;DB=129&amp;ID1=91704710&amp;VALUEID=13040&amp;SDATE=200802&amp;PERIODTYPE=QTR_STD&amp;window=popup_no_bar&amp;width=385&amp;height=120&amp;START_MAXIMIZED=FALSE&amp;creator=factset&amp;display_string=Audit"}</definedName>
    <definedName name="_153__FDSAUDITLINK__" hidden="1">{"fdsup://Directions/FactSet Auditing Viewer?action=AUDIT_VALUE&amp;DB=129&amp;ID1=09367910&amp;VALUEID=01001&amp;SDATE=2008&amp;PERIODTYPE=ANN_STD&amp;window=popup_no_bar&amp;width=385&amp;height=120&amp;START_MAXIMIZED=FALSE&amp;creator=factset&amp;display_string=Audit"}</definedName>
    <definedName name="_1530__FDSAUDITLINK__" hidden="1">{"fdsup://directions/FAT Viewer?action=UPDATE&amp;creator=factset&amp;DYN_ARGS=TRUE&amp;DOC_NAME=FAT:FQL_AUDITING_CLIENT_TEMPLATE.FAT&amp;display_string=Audit&amp;VAR:KEY=RKPQDQZENU&amp;VAR:QUERY=RkZfUlRfU0ZfVE9UX0dST1NTKFFUUiwtMTYp&amp;WINDOW=FIRST_POPUP&amp;HEIGHT=450&amp;WIDTH=450&amp;START_MA","XIMIZED=FALSE&amp;VAR:CALENDAR=US&amp;VAR:SYMBOL=MW&amp;VAR:INDEX=0"}</definedName>
    <definedName name="_1531__FDSAUDITLINK__" hidden="1">{"fdsup://directions/FAT Viewer?action=UPDATE&amp;creator=factset&amp;DYN_ARGS=TRUE&amp;DOC_NAME=FAT:FQL_AUDITING_CLIENT_TEMPLATE.FAT&amp;display_string=Audit&amp;VAR:KEY=DGFWHAXCHW&amp;VAR:QUERY=RkZfUlRfU0ZfVE9UX0dST1NTKFFUUiwtMTUp&amp;WINDOW=FIRST_POPUP&amp;HEIGHT=450&amp;WIDTH=450&amp;START_MA","XIMIZED=FALSE&amp;VAR:CALENDAR=US&amp;VAR:SYMBOL=MW&amp;VAR:INDEX=0"}</definedName>
    <definedName name="_1532__FDSAUDITLINK__" hidden="1">{"fdsup://directions/FAT Viewer?action=UPDATE&amp;creator=factset&amp;DYN_ARGS=TRUE&amp;DOC_NAME=FAT:FQL_AUDITING_CLIENT_TEMPLATE.FAT&amp;display_string=Audit&amp;VAR:KEY=RIPOZCVKJU&amp;VAR:QUERY=RkZfUlRfU0ZfVE9UX0dST1NTKFFUUiwtMTQp&amp;WINDOW=FIRST_POPUP&amp;HEIGHT=450&amp;WIDTH=450&amp;START_MA","XIMIZED=FALSE&amp;VAR:CALENDAR=US&amp;VAR:SYMBOL=MW&amp;VAR:INDEX=0"}</definedName>
    <definedName name="_1533__FDSAUDITLINK__"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1534__FDSAUDITLINK__" hidden="1">{"fdsup://directions/FAT Viewer?action=UPDATE&amp;creator=factset&amp;DYN_ARGS=TRUE&amp;DOC_NAME=FAT:FQL_AUDITING_CLIENT_TEMPLATE.FAT&amp;display_string=Audit&amp;VAR:KEY=TSBWJUTAVW&amp;VAR:QUERY=RkZfUlRfU0ZfVE9UX0dST1NTKFFUUiwtMTIp&amp;WINDOW=FIRST_POPUP&amp;HEIGHT=450&amp;WIDTH=450&amp;START_MA","XIMIZED=FALSE&amp;VAR:CALENDAR=US&amp;VAR:SYMBOL=MW&amp;VAR:INDEX=0"}</definedName>
    <definedName name="_1535__FDSAUDITLINK__" hidden="1">{"fdsup://directions/FAT Viewer?action=UPDATE&amp;creator=factset&amp;DYN_ARGS=TRUE&amp;DOC_NAME=FAT:FQL_AUDITING_CLIENT_TEMPLATE.FAT&amp;display_string=Audit&amp;VAR:KEY=NOFAHIRKNW&amp;VAR:QUERY=RkZfUlRfU0ZfVE9UX0dST1NTKFFUUiwtMTEp&amp;WINDOW=FIRST_POPUP&amp;HEIGHT=450&amp;WIDTH=450&amp;START_MA","XIMIZED=FALSE&amp;VAR:CALENDAR=US&amp;VAR:SYMBOL=MW&amp;VAR:INDEX=0"}</definedName>
    <definedName name="_1536__FDSAUDITLINK__" hidden="1">{"fdsup://directions/FAT Viewer?action=UPDATE&amp;creator=factset&amp;DYN_ARGS=TRUE&amp;DOC_NAME=FAT:FQL_AUDITING_CLIENT_TEMPLATE.FAT&amp;display_string=Audit&amp;VAR:KEY=NIVIHMZYZO&amp;VAR:QUERY=RkZfUlRfU0ZfVE9UX0dST1NTKFFUUiwtMTAp&amp;WINDOW=FIRST_POPUP&amp;HEIGHT=450&amp;WIDTH=450&amp;START_MA","XIMIZED=FALSE&amp;VAR:CALENDAR=US&amp;VAR:SYMBOL=MW&amp;VAR:INDEX=0"}</definedName>
    <definedName name="_1537__FDSAUDITLINK__"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1538__FDSAUDITLINK__" hidden="1">{"fdsup://directions/FAT Viewer?action=UPDATE&amp;creator=factset&amp;DYN_ARGS=TRUE&amp;DOC_NAME=FAT:FQL_AUDITING_CLIENT_TEMPLATE.FAT&amp;display_string=Audit&amp;VAR:KEY=ZYBGTQFENI&amp;VAR:QUERY=RkZfUlRfU0ZfVE9UX0dST1NTKFFUUiwtOCk=&amp;WINDOW=FIRST_POPUP&amp;HEIGHT=450&amp;WIDTH=450&amp;START_MA","XIMIZED=FALSE&amp;VAR:CALENDAR=US&amp;VAR:SYMBOL=MW&amp;VAR:INDEX=0"}</definedName>
    <definedName name="_1539__FDSAUDITLINK__" hidden="1">{"fdsup://directions/FAT Viewer?action=UPDATE&amp;creator=factset&amp;DYN_ARGS=TRUE&amp;DOC_NAME=FAT:FQL_AUDITING_CLIENT_TEMPLATE.FAT&amp;display_string=Audit&amp;VAR:KEY=PKHARSBEJO&amp;VAR:QUERY=RkZfUlRfU0ZfVE9UX0dST1NTKFFUUiwtNyk=&amp;WINDOW=FIRST_POPUP&amp;HEIGHT=450&amp;WIDTH=450&amp;START_MA","XIMIZED=FALSE&amp;VAR:CALENDAR=US&amp;VAR:SYMBOL=MW&amp;VAR:INDEX=0"}</definedName>
    <definedName name="_154__FDSAUDITLINK__" localSheetId="20" hidden="1">{"fdsup://Directions/FactSet Auditing Viewer?action=AUDIT_VALUE&amp;DB=129&amp;ID1=02553E10&amp;VALUEID=02101&amp;SDATE=200802&amp;PERIODTYPE=QTR_STD&amp;window=popup_no_bar&amp;width=385&amp;height=120&amp;START_MAXIMIZED=FALSE&amp;creator=factset&amp;display_string=Audit"}</definedName>
    <definedName name="_154__FDSAUDITLINK__" hidden="1">{"fdsup://Directions/FactSet Auditing Viewer?action=AUDIT_VALUE&amp;DB=129&amp;ID1=09367910&amp;VALUEID=04601&amp;SDATE=2008&amp;PERIODTYPE=ANN_STD&amp;window=popup_no_bar&amp;width=385&amp;height=120&amp;START_MAXIMIZED=FALSE&amp;creator=factset&amp;display_string=Audit"}</definedName>
    <definedName name="_1540__FDSAUDITLINK__" hidden="1">{"fdsup://directions/FAT Viewer?action=UPDATE&amp;creator=factset&amp;DYN_ARGS=TRUE&amp;DOC_NAME=FAT:FQL_AUDITING_CLIENT_TEMPLATE.FAT&amp;display_string=Audit&amp;VAR:KEY=TUFIDOPGDK&amp;VAR:QUERY=RkZfUlRfU0ZfVE9UX0dST1NTKFFUUiwtNik=&amp;WINDOW=FIRST_POPUP&amp;HEIGHT=450&amp;WIDTH=450&amp;START_MA","XIMIZED=FALSE&amp;VAR:CALENDAR=US&amp;VAR:SYMBOL=MW&amp;VAR:INDEX=0"}</definedName>
    <definedName name="_1541__FDSAUDITLINK__"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1542__FDSAUDITLINK__" hidden="1">{"fdsup://directions/FAT Viewer?action=UPDATE&amp;creator=factset&amp;DYN_ARGS=TRUE&amp;DOC_NAME=FAT:FQL_AUDITING_CLIENT_TEMPLATE.FAT&amp;display_string=Audit&amp;VAR:KEY=VWLUVOLOTS&amp;VAR:QUERY=RkZfUlRfU0ZfVE9UX0dST1NTKFFUUiwtNCk=&amp;WINDOW=FIRST_POPUP&amp;HEIGHT=450&amp;WIDTH=450&amp;START_MA","XIMIZED=FALSE&amp;VAR:CALENDAR=US&amp;VAR:SYMBOL=MW&amp;VAR:INDEX=0"}</definedName>
    <definedName name="_1543__FDSAUDITLINK__" hidden="1">{"fdsup://directions/FAT Viewer?action=UPDATE&amp;creator=factset&amp;DYN_ARGS=TRUE&amp;DOC_NAME=FAT:FQL_AUDITING_CLIENT_TEMPLATE.FAT&amp;display_string=Audit&amp;VAR:KEY=NUNEHSBQVC&amp;VAR:QUERY=RkZfUlRfU0ZfVE9UX0dST1NTKFFUUiwtMyk=&amp;WINDOW=FIRST_POPUP&amp;HEIGHT=450&amp;WIDTH=450&amp;START_MA","XIMIZED=FALSE&amp;VAR:CALENDAR=US&amp;VAR:SYMBOL=MW&amp;VAR:INDEX=0"}</definedName>
    <definedName name="_1544__FDSAUDITLINK__" hidden="1">{"fdsup://directions/FAT Viewer?action=UPDATE&amp;creator=factset&amp;DYN_ARGS=TRUE&amp;DOC_NAME=FAT:FQL_AUDITING_CLIENT_TEMPLATE.FAT&amp;display_string=Audit&amp;VAR:KEY=DYVEJGLOTU&amp;VAR:QUERY=RkZfUlRfU0ZfVE9UX0dST1NTKFFUUiwtMik=&amp;WINDOW=FIRST_POPUP&amp;HEIGHT=450&amp;WIDTH=450&amp;START_MA","XIMIZED=FALSE&amp;VAR:CALENDAR=US&amp;VAR:SYMBOL=MW&amp;VAR:INDEX=0"}</definedName>
    <definedName name="_1545__FDSAUDITLINK__"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1546__FDSAUDITLINK__" hidden="1">{"fdsup://directions/FAT Viewer?action=UPDATE&amp;creator=factset&amp;DYN_ARGS=TRUE&amp;DOC_NAME=FAT:FQL_AUDITING_CLIENT_TEMPLATE.FAT&amp;display_string=Audit&amp;VAR:KEY=XIDOJQDIDO&amp;VAR:QUERY=RkZfUlRfU0ZfVE9UX0dST1NTKFFUUiwwKQ==&amp;WINDOW=FIRST_POPUP&amp;HEIGHT=450&amp;WIDTH=450&amp;START_MA","XIMIZED=FALSE&amp;VAR:CALENDAR=US&amp;VAR:SYMBOL=MW&amp;VAR:INDEX=0"}</definedName>
    <definedName name="_1547__FDSAUDITLINK__" hidden="1">{"fdsup://directions/FAT Viewer?action=UPDATE&amp;creator=factset&amp;DYN_ARGS=TRUE&amp;DOC_NAME=FAT:FQL_AUDITING_CLIENT_TEMPLATE.FAT&amp;display_string=Audit&amp;VAR:KEY=TSBWJUTAVW&amp;VAR:QUERY=RkZfUlRfU0ZfVE9UX0dST1NTKFFUUiwtMTIp&amp;WINDOW=FIRST_POPUP&amp;HEIGHT=450&amp;WIDTH=450&amp;START_MA","XIMIZED=FALSE&amp;VAR:CALENDAR=US&amp;VAR:SYMBOL=MW&amp;VAR:INDEX=0"}</definedName>
    <definedName name="_1548__FDSAUDITLINK__" hidden="1">{"fdsup://directions/FAT Viewer?action=UPDATE&amp;creator=factset&amp;DYN_ARGS=TRUE&amp;DOC_NAME=FAT:FQL_AUDITING_CLIENT_TEMPLATE.FAT&amp;display_string=Audit&amp;VAR:KEY=NOFAHIRKNW&amp;VAR:QUERY=RkZfUlRfU0ZfVE9UX0dST1NTKFFUUiwtMTEp&amp;WINDOW=FIRST_POPUP&amp;HEIGHT=450&amp;WIDTH=450&amp;START_MA","XIMIZED=FALSE&amp;VAR:CALENDAR=US&amp;VAR:SYMBOL=MW&amp;VAR:INDEX=0"}</definedName>
    <definedName name="_1549__FDSAUDITLINK__" hidden="1">{"fdsup://directions/FAT Viewer?action=UPDATE&amp;creator=factset&amp;DYN_ARGS=TRUE&amp;DOC_NAME=FAT:FQL_AUDITING_CLIENT_TEMPLATE.FAT&amp;display_string=Audit&amp;VAR:KEY=NIVIHMZYZO&amp;VAR:QUERY=RkZfUlRfU0ZfVE9UX0dST1NTKFFUUiwtMTAp&amp;WINDOW=FIRST_POPUP&amp;HEIGHT=450&amp;WIDTH=450&amp;START_MA","XIMIZED=FALSE&amp;VAR:CALENDAR=US&amp;VAR:SYMBOL=MW&amp;VAR:INDEX=0"}</definedName>
    <definedName name="_155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1550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1551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1552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1553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1554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1555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1556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1557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1558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1559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156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1560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1561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1562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1563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1564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1565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1566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1567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1568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1569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157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1570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1571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1572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1573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1574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1575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1576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1577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1578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1579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158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1580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1581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1582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1583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1584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1585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1586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1587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1588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1589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159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1590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1591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1592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1593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1594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1595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1596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1597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1598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1599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16__FDSAUDITLINK__" localSheetId="20" hidden="1">{"fdsup://Directions/FactSet Auditing Viewer?action=AUDIT_VALUE&amp;DB=129&amp;ID1=02553E10&amp;VALUEID=13040&amp;SDATE=201001&amp;PERIODTYPE=QTR_STD&amp;window=popup_no_bar&amp;width=385&amp;height=120&amp;START_MAXIMIZED=FALSE&amp;creator=factset&amp;display_string=Audit"}</definedName>
    <definedName name="_16__FDSAUDITLINK__" hidden="1">{"fdsup://Directions/FactSet Auditing Viewer?action=AUDIT_VALUE&amp;DB=129&amp;ID1=03783310&amp;VALUEID=04601&amp;SDATE=2007&amp;PERIODTYPE=ANN_STD&amp;window=popup_no_bar&amp;width=385&amp;height=120&amp;START_MAXIMIZED=FALSE&amp;creator=factset&amp;display_string=Audit"}</definedName>
    <definedName name="_160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1600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1601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1602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1603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1604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1605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1606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1607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1608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1609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161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1610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1611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1612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1613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1614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1615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1616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1617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1618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1619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162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1620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1621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1622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1623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1624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1625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1626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1627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1628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1629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163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1630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1631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1632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1633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1634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1635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1636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1637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1638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1639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164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1640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1641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1642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1643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1644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1645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1646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1647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1648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1649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165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1650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1651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1652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653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1654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1655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1656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1657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1658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1659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166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1660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1661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1662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663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1664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1665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1666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1667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1668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1669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167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1670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1671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1672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1673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1674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1675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1676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1677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1678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1679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168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1680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1681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1682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1683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1684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1685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1686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1687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1688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1689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169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1690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1691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1692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1693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1694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1695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1696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1697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1698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1699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17__FDSAUDITLINK__" localSheetId="20" hidden="1">{"fdsup://Directions/FactSet Auditing Viewer?action=AUDIT_VALUE&amp;DB=129&amp;ID1=00786510&amp;VALUEID=02101&amp;SDATE=201001&amp;PERIODTYPE=QTR_STD&amp;window=popup_no_bar&amp;width=385&amp;height=120&amp;START_MAXIMIZED=FALSE&amp;creator=factset&amp;display_string=Audit"}</definedName>
    <definedName name="_17__FDSAUDITLINK__" hidden="1">{"fdsup://Directions/FactSet Auditing Viewer?action=AUDIT_VALUE&amp;DB=129&amp;ID1=03783310&amp;VALUEID=01001&amp;SDATE=2008&amp;PERIODTYPE=ANN_STD&amp;window=popup_no_bar&amp;width=385&amp;height=120&amp;START_MAXIMIZED=FALSE&amp;creator=factset&amp;display_string=Audit"}</definedName>
    <definedName name="_170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1700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1701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1702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1703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1704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1705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1706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1707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1708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1709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171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1710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1711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1712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1713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1714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1715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1716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1717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1718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1719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172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1720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1721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1722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1723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1724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1725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1726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1727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1728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1729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173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1730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1731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1732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1733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1734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1735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1736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1737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1738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1739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174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1740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1741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1742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1743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1744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1745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1746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1747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1748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1749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175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1750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1751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1752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1753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1754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1755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1756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1757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1758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1759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176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1760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1761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1762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1763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1764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1765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1766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1767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1768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1769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177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1770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1771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1772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1773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1774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1775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1776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1777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1778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1779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178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1780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1781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1782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1783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1784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1785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1786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1787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1788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1789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179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1790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1791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1792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1793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1794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1795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1796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1797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1798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1799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18__FDSAUDITLINK__" localSheetId="20" hidden="1">{"fdsup://Directions/FactSet Auditing Viewer?action=AUDIT_VALUE&amp;DB=129&amp;ID1=00786510&amp;VALUEID=13040&amp;SDATE=201001&amp;PERIODTYPE=QTR_STD&amp;window=popup_no_bar&amp;width=385&amp;height=120&amp;START_MAXIMIZED=FALSE&amp;creator=factset&amp;display_string=Audit"}</definedName>
    <definedName name="_18__FDSAUDITLINK__" hidden="1">{"fdsup://Directions/FactSet Auditing Viewer?action=AUDIT_VALUE&amp;DB=129&amp;ID1=03783310&amp;VALUEID=04601&amp;SDATE=2008&amp;PERIODTYPE=ANN_STD&amp;window=popup_no_bar&amp;width=385&amp;height=120&amp;START_MAXIMIZED=FALSE&amp;creator=factset&amp;display_string=Audit"}</definedName>
    <definedName name="_180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1800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1801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1802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1803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1804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1805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1806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1807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1808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1809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181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1810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1811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1812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1813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1814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1815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1816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1817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1818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1819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182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1820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1821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1822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1823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1824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1825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1826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1827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1828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1829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183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1830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1831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1832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1833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1834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1835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1836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1837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1838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1839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184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1840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1841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1842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1843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1844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1845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1846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1847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1848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1849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185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1850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1851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1852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1853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1854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1855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1856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1857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1858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1859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186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1860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1861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1862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1863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1864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1865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1866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1867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1868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1869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187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1870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1871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1872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1873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1874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1875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1876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1877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1878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1879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188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1880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1881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1882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1883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1884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1885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1886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1887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1888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1889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189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1890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1891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1892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1893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1894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1895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1896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1897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1898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1899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19__FDSAUDITLINK__" localSheetId="20" hidden="1">{"fdsup://Directions/FactSet Auditing Viewer?action=AUDIT_VALUE&amp;DB=129&amp;ID1=00289620&amp;VALUEID=02101&amp;SDATE=201001&amp;PERIODTYPE=QTR_STD&amp;window=popup_no_bar&amp;width=385&amp;height=120&amp;START_MAXIMIZED=FALSE&amp;creator=factset&amp;display_string=Audit"}</definedName>
    <definedName name="_19__FDSAUDITLINK__" hidden="1">{"fdsup://Directions/FactSet Auditing Viewer?action=AUDIT_VALUE&amp;DB=129&amp;ID1=03783310&amp;VALUEID=01001&amp;SDATE=2009&amp;PERIODTYPE=ANN_STD&amp;window=popup_no_bar&amp;width=385&amp;height=120&amp;START_MAXIMIZED=FALSE&amp;creator=factset&amp;display_string=Audit"}</definedName>
    <definedName name="_190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1900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1901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1902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1903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1904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1905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1906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1907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1908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1909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191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1910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1911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1912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1913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1914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1915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1916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1917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1918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1919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192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1920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1921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1922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1923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1924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1925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1926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1927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1928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1929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193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1930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1931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1932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1933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1934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1935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1936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1937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1938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1939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194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1940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1941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1942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1943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1944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1945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1946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1947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1948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1949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195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1950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1951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1952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1953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1954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1955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1956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1957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1958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1959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196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1960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1961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1962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1963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1964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1965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1966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1967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1968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1969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197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1970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1971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1972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1973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1974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1975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1976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1977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1978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1979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198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1980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1981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1982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1983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1984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1985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1986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1987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1988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1989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199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1990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1991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1992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1993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1994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1995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1996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1997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1998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1999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2__123Graph_Aｸﾞﾗﾌ_1" hidden="1">[2]ｾｸﾞﾒﾝﾄ!$E$164:$I$164</definedName>
    <definedName name="_2__FDSAUDITLINK__" localSheetId="20" hidden="1">{"fdsup://Directions/FactSet Auditing Viewer?action=AUDIT_VALUE&amp;DB=129&amp;ID1=87416110&amp;VALUEID=13040&amp;SDATE=201001&amp;PERIODTYPE=QTR_STD&amp;window=popup_no_bar&amp;width=385&amp;height=120&amp;START_MAXIMIZED=FALSE&amp;creator=factset&amp;display_string=Audit"}</definedName>
    <definedName name="_2__FDSAUDITLINK__" hidden="1">{"fdsup://Directions/FactSet Auditing Viewer?action=AUDIT_VALUE&amp;DB=129&amp;ID1=02313510&amp;VALUEID=04601&amp;SDATE=2005&amp;PERIODTYPE=ANN_STD&amp;window=popup_no_bar&amp;width=385&amp;height=120&amp;START_MAXIMIZED=FALSE&amp;creator=factset&amp;display_string=Audit"}</definedName>
    <definedName name="_20__FDSAUDITLINK__" localSheetId="20" hidden="1">{"fdsup://Directions/FactSet Auditing Viewer?action=AUDIT_VALUE&amp;DB=129&amp;ID1=00289620&amp;VALUEID=13040&amp;SDATE=201001&amp;PERIODTYPE=QTR_STD&amp;window=popup_no_bar&amp;width=385&amp;height=120&amp;START_MAXIMIZED=FALSE&amp;creator=factset&amp;display_string=Audit"}</definedName>
    <definedName name="_20__FDSAUDITLINK__" hidden="1">{"fdsup://Directions/FactSet Auditing Viewer?action=AUDIT_VALUE&amp;DB=129&amp;ID1=03783310&amp;VALUEID=04601&amp;SDATE=2009&amp;PERIODTYPE=ANN_STD&amp;window=popup_no_bar&amp;width=385&amp;height=120&amp;START_MAXIMIZED=FALSE&amp;creator=factset&amp;display_string=Audit"}</definedName>
    <definedName name="_200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2000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2001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2002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2003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2004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2005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2006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2007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2008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2009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201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2010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2011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2012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2013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2014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2015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2016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2017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2018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2019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202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2020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2021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2022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2023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2024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2025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2026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2027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2028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2029__FDSAUDITLINK__" hidden="1">{"fdsup://Directions/FactSet Auditing Viewer?action=AUDIT_VALUE&amp;DB=129&amp;ID1=58711810&amp;VALUEID=01001&amp;SDATE=200601&amp;PERIODTYPE=QTR_STD&amp;window=popup_no_bar&amp;width=385&amp;height=120&amp;START_MAXIMIZED=FALSE&amp;creator=factset&amp;display_string=Audit"}</definedName>
    <definedName name="_203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2030__FDSAUDITLINK__" hidden="1">{"fdsup://Directions/FactSet Auditing Viewer?action=AUDIT_VALUE&amp;DB=129&amp;ID1=58711810&amp;VALUEID=02101&amp;SDATE=200601&amp;PERIODTYPE=QTR_STD&amp;window=popup_no_bar&amp;width=385&amp;height=120&amp;START_MAXIMIZED=FALSE&amp;creator=factset&amp;display_string=Audit"}</definedName>
    <definedName name="_2031__FDSAUDITLINK__" hidden="1">{"fdsup://Directions/FactSet Auditing Viewer?action=AUDIT_VALUE&amp;DB=129&amp;ID1=58711810&amp;VALUEID=01001&amp;SDATE=200602&amp;PERIODTYPE=QTR_STD&amp;window=popup_no_bar&amp;width=385&amp;height=120&amp;START_MAXIMIZED=FALSE&amp;creator=factset&amp;display_string=Audit"}</definedName>
    <definedName name="_2032__FDSAUDITLINK__" hidden="1">{"fdsup://Directions/FactSet Auditing Viewer?action=AUDIT_VALUE&amp;DB=129&amp;ID1=58711810&amp;VALUEID=02101&amp;SDATE=200602&amp;PERIODTYPE=QTR_STD&amp;window=popup_no_bar&amp;width=385&amp;height=120&amp;START_MAXIMIZED=FALSE&amp;creator=factset&amp;display_string=Audit"}</definedName>
    <definedName name="_2033__FDSAUDITLINK__" hidden="1">{"fdsup://Directions/FactSet Auditing Viewer?action=AUDIT_VALUE&amp;DB=129&amp;ID1=58711810&amp;VALUEID=01001&amp;SDATE=200603&amp;PERIODTYPE=QTR_STD&amp;window=popup_no_bar&amp;width=385&amp;height=120&amp;START_MAXIMIZED=FALSE&amp;creator=factset&amp;display_string=Audit"}</definedName>
    <definedName name="_2034__FDSAUDITLINK__" hidden="1">{"fdsup://Directions/FactSet Auditing Viewer?action=AUDIT_VALUE&amp;DB=129&amp;ID1=58711810&amp;VALUEID=02101&amp;SDATE=200603&amp;PERIODTYPE=QTR_STD&amp;window=popup_no_bar&amp;width=385&amp;height=120&amp;START_MAXIMIZED=FALSE&amp;creator=factset&amp;display_string=Audit"}</definedName>
    <definedName name="_2035__FDSAUDITLINK__" hidden="1">{"fdsup://Directions/FactSet Auditing Viewer?action=AUDIT_VALUE&amp;DB=129&amp;ID1=58711810&amp;VALUEID=01001&amp;SDATE=200604&amp;PERIODTYPE=QTR_STD&amp;window=popup_no_bar&amp;width=385&amp;height=120&amp;START_MAXIMIZED=FALSE&amp;creator=factset&amp;display_string=Audit"}</definedName>
    <definedName name="_2036__FDSAUDITLINK__" hidden="1">{"fdsup://Directions/FactSet Auditing Viewer?action=AUDIT_VALUE&amp;DB=129&amp;ID1=58711810&amp;VALUEID=01001&amp;SDATE=200701&amp;PERIODTYPE=QTR_STD&amp;window=popup_no_bar&amp;width=385&amp;height=120&amp;START_MAXIMIZED=FALSE&amp;creator=factset&amp;display_string=Audit"}</definedName>
    <definedName name="_2037__FDSAUDITLINK__" hidden="1">{"fdsup://Directions/FactSet Auditing Viewer?action=AUDIT_VALUE&amp;DB=129&amp;ID1=58711810&amp;VALUEID=02101&amp;SDATE=200701&amp;PERIODTYPE=QTR_STD&amp;window=popup_no_bar&amp;width=385&amp;height=120&amp;START_MAXIMIZED=FALSE&amp;creator=factset&amp;display_string=Audit"}</definedName>
    <definedName name="_2038__FDSAUDITLINK__" hidden="1">{"fdsup://Directions/FactSet Auditing Viewer?action=AUDIT_VALUE&amp;DB=129&amp;ID1=58711810&amp;VALUEID=01001&amp;SDATE=200702&amp;PERIODTYPE=QTR_STD&amp;window=popup_no_bar&amp;width=385&amp;height=120&amp;START_MAXIMIZED=FALSE&amp;creator=factset&amp;display_string=Audit"}</definedName>
    <definedName name="_2039__FDSAUDITLINK__" hidden="1">{"fdsup://Directions/FactSet Auditing Viewer?action=AUDIT_VALUE&amp;DB=129&amp;ID1=58711810&amp;VALUEID=02101&amp;SDATE=200702&amp;PERIODTYPE=QTR_STD&amp;window=popup_no_bar&amp;width=385&amp;height=120&amp;START_MAXIMIZED=FALSE&amp;creator=factset&amp;display_string=Audit"}</definedName>
    <definedName name="_204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2040__FDSAUDITLINK__" hidden="1">{"fdsup://Directions/FactSet Auditing Viewer?action=AUDIT_VALUE&amp;DB=129&amp;ID1=58711810&amp;VALUEID=01001&amp;SDATE=200703&amp;PERIODTYPE=QTR_STD&amp;window=popup_no_bar&amp;width=385&amp;height=120&amp;START_MAXIMIZED=FALSE&amp;creator=factset&amp;display_string=Audit"}</definedName>
    <definedName name="_2041__FDSAUDITLINK__" hidden="1">{"fdsup://Directions/FactSet Auditing Viewer?action=AUDIT_VALUE&amp;DB=129&amp;ID1=58711810&amp;VALUEID=02101&amp;SDATE=200703&amp;PERIODTYPE=QTR_STD&amp;window=popup_no_bar&amp;width=385&amp;height=120&amp;START_MAXIMIZED=FALSE&amp;creator=factset&amp;display_string=Audit"}</definedName>
    <definedName name="_2042__FDSAUDITLINK__" hidden="1">{"fdsup://Directions/FactSet Auditing Viewer?action=AUDIT_VALUE&amp;DB=129&amp;ID1=58711810&amp;VALUEID=01001&amp;SDATE=200704&amp;PERIODTYPE=QTR_STD&amp;window=popup_no_bar&amp;width=385&amp;height=120&amp;START_MAXIMIZED=FALSE&amp;creator=factset&amp;display_string=Audit"}</definedName>
    <definedName name="_2043__FDSAUDITLINK__" hidden="1">{"fdsup://Directions/FactSet Auditing Viewer?action=AUDIT_VALUE&amp;DB=129&amp;ID1=58711810&amp;VALUEID=01001&amp;SDATE=200801&amp;PERIODTYPE=QTR_STD&amp;window=popup_no_bar&amp;width=385&amp;height=120&amp;START_MAXIMIZED=FALSE&amp;creator=factset&amp;display_string=Audit"}</definedName>
    <definedName name="_2044__FDSAUDITLINK__" hidden="1">{"fdsup://Directions/FactSet Auditing Viewer?action=AUDIT_VALUE&amp;DB=129&amp;ID1=58711810&amp;VALUEID=02101&amp;SDATE=200801&amp;PERIODTYPE=QTR_STD&amp;window=popup_no_bar&amp;width=385&amp;height=120&amp;START_MAXIMIZED=FALSE&amp;creator=factset&amp;display_string=Audit"}</definedName>
    <definedName name="_2045__FDSAUDITLINK__" hidden="1">{"fdsup://Directions/FactSet Auditing Viewer?action=AUDIT_VALUE&amp;DB=129&amp;ID1=58711810&amp;VALUEID=01001&amp;SDATE=200802&amp;PERIODTYPE=QTR_STD&amp;window=popup_no_bar&amp;width=385&amp;height=120&amp;START_MAXIMIZED=FALSE&amp;creator=factset&amp;display_string=Audit"}</definedName>
    <definedName name="_2046__FDSAUDITLINK__" hidden="1">{"fdsup://Directions/FactSet Auditing Viewer?action=AUDIT_VALUE&amp;DB=129&amp;ID1=58711810&amp;VALUEID=02101&amp;SDATE=200802&amp;PERIODTYPE=QTR_STD&amp;window=popup_no_bar&amp;width=385&amp;height=120&amp;START_MAXIMIZED=FALSE&amp;creator=factset&amp;display_string=Audit"}</definedName>
    <definedName name="_2047__FDSAUDITLINK__" hidden="1">{"fdsup://Directions/FactSet Auditing Viewer?action=AUDIT_VALUE&amp;DB=129&amp;ID1=58711810&amp;VALUEID=01001&amp;SDATE=200803&amp;PERIODTYPE=QTR_STD&amp;window=popup_no_bar&amp;width=385&amp;height=120&amp;START_MAXIMIZED=FALSE&amp;creator=factset&amp;display_string=Audit"}</definedName>
    <definedName name="_2048__FDSAUDITLINK__" hidden="1">{"fdsup://Directions/FactSet Auditing Viewer?action=AUDIT_VALUE&amp;DB=129&amp;ID1=58711810&amp;VALUEID=02101&amp;SDATE=200803&amp;PERIODTYPE=QTR_STD&amp;window=popup_no_bar&amp;width=385&amp;height=120&amp;START_MAXIMIZED=FALSE&amp;creator=factset&amp;display_string=Audit"}</definedName>
    <definedName name="_2049__FDSAUDITLINK__" hidden="1">{"fdsup://Directions/FactSet Auditing Viewer?action=AUDIT_VALUE&amp;DB=129&amp;ID1=58711810&amp;VALUEID=01001&amp;SDATE=200804&amp;PERIODTYPE=QTR_STD&amp;window=popup_no_bar&amp;width=385&amp;height=120&amp;START_MAXIMIZED=FALSE&amp;creator=factset&amp;display_string=Audit"}</definedName>
    <definedName name="_205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2050__FDSAUDITLINK__" hidden="1">{"fdsup://Directions/FactSet Auditing Viewer?action=AUDIT_VALUE&amp;DB=129&amp;ID1=58711810&amp;VALUEID=01001&amp;SDATE=200902&amp;PERIODTYPE=QTR_STD&amp;window=popup_no_bar&amp;width=385&amp;height=120&amp;START_MAXIMIZED=FALSE&amp;creator=factset&amp;display_string=Audit"}</definedName>
    <definedName name="_2051__FDSAUDITLINK__" hidden="1">{"fdsup://Directions/FactSet Auditing Viewer?action=AUDIT_VALUE&amp;DB=129&amp;ID1=58711810&amp;VALUEID=02101&amp;SDATE=200902&amp;PERIODTYPE=QTR_STD&amp;window=popup_no_bar&amp;width=385&amp;height=120&amp;START_MAXIMIZED=FALSE&amp;creator=factset&amp;display_string=Audit"}</definedName>
    <definedName name="_2052__FDSAUDITLINK__" hidden="1">{"fdsup://Directions/FactSet Auditing Viewer?action=AUDIT_VALUE&amp;DB=129&amp;ID1=58711810&amp;VALUEID=01001&amp;SDATE=200903&amp;PERIODTYPE=QTR_STD&amp;window=popup_no_bar&amp;width=385&amp;height=120&amp;START_MAXIMIZED=FALSE&amp;creator=factset&amp;display_string=Audit"}</definedName>
    <definedName name="_2053__FDSAUDITLINK__" hidden="1">{"fdsup://Directions/FactSet Auditing Viewer?action=AUDIT_VALUE&amp;DB=129&amp;ID1=58711810&amp;VALUEID=02101&amp;SDATE=200903&amp;PERIODTYPE=QTR_STD&amp;window=popup_no_bar&amp;width=385&amp;height=120&amp;START_MAXIMIZED=FALSE&amp;creator=factset&amp;display_string=Audit"}</definedName>
    <definedName name="_2054__FDSAUDITLINK__" hidden="1">{"fdsup://Directions/FactSet Auditing Viewer?action=AUDIT_VALUE&amp;DB=129&amp;ID1=58711810&amp;VALUEID=01001&amp;SDATE=200904&amp;PERIODTYPE=QTR_STD&amp;window=popup_no_bar&amp;width=385&amp;height=120&amp;START_MAXIMIZED=FALSE&amp;creator=factset&amp;display_string=Audit"}</definedName>
    <definedName name="_2055__FDSAUDITLINK__" hidden="1">{"fdsup://Directions/FactSet Auditing Viewer?action=AUDIT_VALUE&amp;DB=129&amp;ID1=58711810&amp;VALUEID=01001&amp;SDATE=201001&amp;PERIODTYPE=QTR_STD&amp;window=popup_no_bar&amp;width=385&amp;height=120&amp;START_MAXIMIZED=FALSE&amp;creator=factset&amp;display_string=Audit"}</definedName>
    <definedName name="_2056__FDSAUDITLINK__" hidden="1">{"fdsup://Directions/FactSet Auditing Viewer?action=AUDIT_VALUE&amp;DB=129&amp;ID1=58711810&amp;VALUEID=02101&amp;SDATE=201001&amp;PERIODTYPE=QTR_STD&amp;window=popup_no_bar&amp;width=385&amp;height=120&amp;START_MAXIMIZED=FALSE&amp;creator=factset&amp;display_string=Audit"}</definedName>
    <definedName name="_2057__FDSAUDITLINK__"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2058__FDSAUDITLINK__"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2059__FDSAUDITLINK__"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206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2060__FDSAUDITLINK__"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2061__FDSAUDITLINK__"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2062__FDSAUDITLINK__"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2063__FDSAUDITLINK__"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2064__FDSAUDITLINK__"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2065__FDSAUDITLINK__"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2066__FDSAUDITLINK__"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2067__FDSAUDITLINK__"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2068__FDSAUDITLINK__"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2069__FDSAUDITLINK__"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207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2070__FDSAUDITLINK__"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2071__FDSAUDITLINK__"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2072__FDSAUDITLINK__"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2073__FDSAUDITLINK__"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2074__FDSAUDITLINK__"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2075__FDSAUDITLINK__"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2076__FDSAUDITLINK__"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2077__FDSAUDITLINK__"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2078__FDSAUDITLINK__"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2079__FDSAUDITLINK__"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208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2080__FDSAUDITLINK__"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2081__FDSAUDITLINK__"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2082__FDSAUDITLINK__"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2083__FDSAUDITLINK__"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2084__FDSAUDITLINK__" hidden="1">{"fdsup://Directions/FactSet Auditing Viewer?action=AUDIT_VALUE&amp;DB=129&amp;ID1=58711810&amp;VALUEID=13040&amp;SDATE=200702&amp;PERIODTYPE=QTR_STD&amp;window=popup_no_bar&amp;width=385&amp;height=120&amp;START_MAXIMIZED=FALSE&amp;creator=factset&amp;display_string=Audit"}</definedName>
    <definedName name="_2085__FDSAUDITLINK__" hidden="1">{"fdsup://Directions/FactSet Auditing Viewer?action=AUDIT_VALUE&amp;DB=129&amp;ID1=58711810&amp;VALUEID=13040&amp;SDATE=200701&amp;PERIODTYPE=QTR_STD&amp;window=popup_no_bar&amp;width=385&amp;height=120&amp;START_MAXIMIZED=FALSE&amp;creator=factset&amp;display_string=Audit"}</definedName>
    <definedName name="_2086__FDSAUDITLINK__" hidden="1">{"fdsup://Directions/FactSet Auditing Viewer?action=AUDIT_VALUE&amp;DB=129&amp;ID1=58711810&amp;VALUEID=13040&amp;SDATE=200703&amp;PERIODTYPE=QTR_STD&amp;window=popup_no_bar&amp;width=385&amp;height=120&amp;START_MAXIMIZED=FALSE&amp;creator=factset&amp;display_string=Audit"}</definedName>
    <definedName name="_2087__FDSAUDITLINK__" hidden="1">{"fdsup://Directions/FactSet Auditing Viewer?action=AUDIT_VALUE&amp;DB=129&amp;ID1=58711810&amp;VALUEID=13040&amp;SDATE=200802&amp;PERIODTYPE=QTR_STD&amp;window=popup_no_bar&amp;width=385&amp;height=120&amp;START_MAXIMIZED=FALSE&amp;creator=factset&amp;display_string=Audit"}</definedName>
    <definedName name="_2088__FDSAUDITLINK__" hidden="1">{"fdsup://Directions/FactSet Auditing Viewer?action=AUDIT_VALUE&amp;DB=129&amp;ID1=58711810&amp;VALUEID=13040&amp;SDATE=200801&amp;PERIODTYPE=QTR_STD&amp;window=popup_no_bar&amp;width=385&amp;height=120&amp;START_MAXIMIZED=FALSE&amp;creator=factset&amp;display_string=Audit"}</definedName>
    <definedName name="_2089__FDSAUDITLINK__"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209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2090__FDSAUDITLINK__" hidden="1">{"fdsup://Directions/FactSet Auditing Viewer?action=AUDIT_VALUE&amp;DB=129&amp;ID1=58711810&amp;VALUEID=13040&amp;SDATE=200803&amp;PERIODTYPE=QTR_STD&amp;window=popup_no_bar&amp;width=385&amp;height=120&amp;START_MAXIMIZED=FALSE&amp;creator=factset&amp;display_string=Audit"}</definedName>
    <definedName name="_2091__FDSAUDITLINK__" hidden="1">{"fdsup://Directions/FactSet Auditing Viewer?action=AUDIT_VALUE&amp;DB=129&amp;ID1=58711810&amp;VALUEID=13040&amp;SDATE=200902&amp;PERIODTYPE=QTR_STD&amp;window=popup_no_bar&amp;width=385&amp;height=120&amp;START_MAXIMIZED=FALSE&amp;creator=factset&amp;display_string=Audit"}</definedName>
    <definedName name="_2092__FDSAUDITLINK__"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2093__FDSAUDITLINK__" hidden="1">{"fdsup://Directions/FactSet Auditing Viewer?action=AUDIT_VALUE&amp;DB=129&amp;ID1=58711810&amp;VALUEID=13040&amp;SDATE=200903&amp;PERIODTYPE=QTR_STD&amp;window=popup_no_bar&amp;width=385&amp;height=120&amp;START_MAXIMIZED=FALSE&amp;creator=factset&amp;display_string=Audit"}</definedName>
    <definedName name="_2094__FDSAUDITLINK__" hidden="1">{"fdsup://Directions/FactSet Auditing Viewer?action=AUDIT_VALUE&amp;DB=129&amp;ID1=58711810&amp;VALUEID=13040&amp;SDATE=200602&amp;PERIODTYPE=QTR_STD&amp;window=popup_no_bar&amp;width=385&amp;height=120&amp;START_MAXIMIZED=FALSE&amp;creator=factset&amp;display_string=Audit"}</definedName>
    <definedName name="_2095__FDSAUDITLINK__" hidden="1">{"fdsup://Directions/FactSet Auditing Viewer?action=AUDIT_VALUE&amp;DB=129&amp;ID1=58711810&amp;VALUEID=13040&amp;SDATE=200601&amp;PERIODTYPE=QTR_STD&amp;window=popup_no_bar&amp;width=385&amp;height=120&amp;START_MAXIMIZED=FALSE&amp;creator=factset&amp;display_string=Audit"}</definedName>
    <definedName name="_2096__FDSAUDITLINK__"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2097__FDSAUDITLINK__" hidden="1">{"fdsup://Directions/FactSet Auditing Viewer?action=AUDIT_VALUE&amp;DB=129&amp;ID1=58711810&amp;VALUEID=13040&amp;SDATE=200603&amp;PERIODTYPE=QTR_STD&amp;window=popup_no_bar&amp;width=385&amp;height=120&amp;START_MAXIMIZED=FALSE&amp;creator=factset&amp;display_string=Audit"}</definedName>
    <definedName name="_2098__FDSAUDITLINK__"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2099__FDSAUDITLINK__" hidden="1">{"fdsup://Directions/FactSet Auditing Viewer?action=AUDIT_VALUE&amp;DB=129&amp;ID1=58711810&amp;VALUEID=13040&amp;SDATE=201001&amp;PERIODTYPE=QTR_STD&amp;window=popup_no_bar&amp;width=385&amp;height=120&amp;START_MAXIMIZED=FALSE&amp;creator=factset&amp;display_string=Audit"}</definedName>
    <definedName name="_21__FDSAUDITLINK__" localSheetId="20" hidden="1">{"fdsup://Directions/FactSet Auditing Viewer?action=AUDIT_VALUE&amp;DB=129&amp;ID1=87416110&amp;VALUEID=01001&amp;SDATE=200904&amp;PERIODTYPE=QTR_STD&amp;window=popup_no_bar&amp;width=385&amp;height=120&amp;START_MAXIMIZED=FALSE&amp;creator=factset&amp;display_string=Audit"}</definedName>
    <definedName name="_21__FDSAUDITLINK__" hidden="1">{"fdsup://Directions/FactSet Auditing Viewer?action=AUDIT_VALUE&amp;DB=129&amp;ID1=86923310&amp;VALUEID=01001&amp;SDATE=2006&amp;PERIODTYPE=ANN_STD&amp;window=popup_no_bar&amp;width=385&amp;height=120&amp;START_MAXIMIZED=FALSE&amp;creator=factset&amp;display_string=Audit"}</definedName>
    <definedName name="_210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2100__FDSAUDITLINK__" hidden="1">{"fdsup://Directions/FactSet Auditing Viewer?action=AUDIT_VALUE&amp;DB=129&amp;ID1=58711810&amp;VALUEID=13040&amp;SDATE=200904&amp;PERIODTYPE=QTR_STD&amp;window=popup_no_bar&amp;width=385&amp;height=120&amp;START_MAXIMIZED=FALSE&amp;creator=factset&amp;display_string=Audit"}</definedName>
    <definedName name="_2101__FDSAUDITLINK__"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2102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2103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2104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2105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2106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2107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2108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2109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211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2110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2111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2112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2113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2114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2115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2116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2117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2118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2119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212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2120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2121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2122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2123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2124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2125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2126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2127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2128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2129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213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2130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2131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2132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2133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2134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2135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2136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2137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2138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2139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214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2140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2141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2142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2143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2144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2145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2146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2147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2148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2149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215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2150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2151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2152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2153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2154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2155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2156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2157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2158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2159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216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2160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2161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2162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2163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2164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2165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2166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2167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2168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2169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217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2170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2171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2172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2173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2174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2175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2176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2177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2178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2179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218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2180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2181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2182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2183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2184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2185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2186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2187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2188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2189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219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2190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2191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2192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2193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2194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2195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2196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2197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2198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2199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22__FDSAUDITLINK__" localSheetId="20"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22__FDSAUDITLINK__" hidden="1">{"fdsup://Directions/FactSet Auditing Viewer?action=AUDIT_VALUE&amp;DB=129&amp;ID1=86923310&amp;VALUEID=04601&amp;SDATE=2006&amp;PERIODTYPE=ANN_STD&amp;window=popup_no_bar&amp;width=385&amp;height=120&amp;START_MAXIMIZED=FALSE&amp;creator=factset&amp;display_string=Audit"}</definedName>
    <definedName name="_220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2200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2201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2202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2203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2204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2205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2206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2207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2208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2209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221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2210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2211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2212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2213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2214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2215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2216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2217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2218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2219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222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2220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2221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2222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2223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2224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2225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2226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2227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2228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2229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223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2230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2231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2232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2233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2234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2235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2236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2237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2238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2239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224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2240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2241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2242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2243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2244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2245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2246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2247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2248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2249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225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2250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2251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2252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2253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2254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2255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2256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2257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2258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2259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226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2260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2261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2262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2263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2264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2265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2266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2267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2268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2269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227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2270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2271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2272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2273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2274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2275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2276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2277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2278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2279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228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2280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2281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2282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2283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2284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2285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2286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2287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2288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2289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229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2290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2291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2292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2293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2294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2295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2296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2297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2298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2299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23__FDSAUDITLINK__" localSheetId="20" hidden="1">{"fdsup://Directions/FactSet Auditing Viewer?action=AUDIT_VALUE&amp;DB=129&amp;ID1=46612H40&amp;VALUEID=01001&amp;SDATE=200904&amp;PERIODTYPE=QTR_STD&amp;window=popup_no_bar&amp;width=385&amp;height=120&amp;START_MAXIMIZED=FALSE&amp;creator=factset&amp;display_string=Audit"}</definedName>
    <definedName name="_23__FDSAUDITLINK__" hidden="1">{"fdsup://Directions/FactSet Auditing Viewer?action=AUDIT_VALUE&amp;DB=129&amp;ID1=86923310&amp;VALUEID=01001&amp;SDATE=2007&amp;PERIODTYPE=ANN_STD&amp;window=popup_no_bar&amp;width=385&amp;height=120&amp;START_MAXIMIZED=FALSE&amp;creator=factset&amp;display_string=Audit"}</definedName>
    <definedName name="_230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2300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2301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2302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2303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2304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2305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2306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2307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2308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2309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231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2310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2311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2312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2313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2314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2315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2316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2317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2318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2319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232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2320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2321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2322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2323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2324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2325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2326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2327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2328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2329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233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2330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2331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2332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2333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2334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2335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2336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2337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2338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2339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234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2340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2341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2342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2343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2344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2345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2346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2347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2348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2349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235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2350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2351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2352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2353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2354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2355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2356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2357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2358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2359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236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2360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2361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2362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2363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2364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2365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2366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2367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2368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2369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237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2370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2371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2372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2373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2374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2375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2376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2377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2378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2379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238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2380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2381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2382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2383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2384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2385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2386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2387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2388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2389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239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2390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2391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2392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2393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2394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2395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2396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2397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2398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2399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24__FDSAUDITLINK__" localSheetId="20" hidden="1">{"fdsup://Directions/FactSet Auditing Viewer?action=AUDIT_VALUE&amp;DB=129&amp;ID1=36476010&amp;VALUEID=01001&amp;SDATE=200904&amp;PERIODTYPE=QTR_STD&amp;window=popup_no_bar&amp;width=385&amp;height=120&amp;START_MAXIMIZED=FALSE&amp;creator=factset&amp;display_string=Audit"}</definedName>
    <definedName name="_24__FDSAUDITLINK__" hidden="1">{"fdsup://Directions/FactSet Auditing Viewer?action=AUDIT_VALUE&amp;DB=129&amp;ID1=86923310&amp;VALUEID=04601&amp;SDATE=2007&amp;PERIODTYPE=ANN_STD&amp;window=popup_no_bar&amp;width=385&amp;height=120&amp;START_MAXIMIZED=FALSE&amp;creator=factset&amp;display_string=Audit"}</definedName>
    <definedName name="_240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2400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2401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2402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2403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2404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2405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2406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2407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2408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2409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241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2410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2411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2412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2413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2414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2415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2416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2417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2418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2419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242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2420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2421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2422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2423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2424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2425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2426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2427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2428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2429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243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2430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2431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2432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2433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2434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2435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2436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2437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2438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2439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244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2440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2441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2442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2443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2444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2445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2446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2447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2448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2449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245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2450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2451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2452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2453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2454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2455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2456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2457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2458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2459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246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2460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2461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2462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2463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2464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2465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2466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2467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2468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2469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247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2470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2471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2472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2473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2474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2475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2476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2477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2478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2479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248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2480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2481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2482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2483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2484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2485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2486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2487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2488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2489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249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2490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2491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2492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2493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2494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2495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2496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2497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2498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2499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25__FDSAUDITLINK__" localSheetId="20" hidden="1">{"fdsup://Directions/FactSet Auditing Viewer?action=AUDIT_VALUE&amp;DB=129&amp;ID1=03611510&amp;VALUEID=01001&amp;SDATE=200904&amp;PERIODTYPE=QTR_STD&amp;window=popup_no_bar&amp;width=385&amp;height=120&amp;START_MAXIMIZED=FALSE&amp;creator=factset&amp;display_string=Audit"}</definedName>
    <definedName name="_25__FDSAUDITLINK__" hidden="1">{"fdsup://Directions/FactSet Auditing Viewer?action=AUDIT_VALUE&amp;DB=129&amp;ID1=86923310&amp;VALUEID=01001&amp;SDATE=2008&amp;PERIODTYPE=ANN_STD&amp;window=popup_no_bar&amp;width=385&amp;height=120&amp;START_MAXIMIZED=FALSE&amp;creator=factset&amp;display_string=Audit"}</definedName>
    <definedName name="_250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2500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2501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2502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2503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2504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2505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2506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2507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2508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2509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251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2510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2511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2512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2513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2514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2515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2516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2517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2518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2519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252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2520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2521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2522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2523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2524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2525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2526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2527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2528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2529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253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2530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2531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2532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2533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2534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2535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2536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2537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2538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2539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254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2540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2541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2542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2543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2544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2545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2546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2547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2548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2549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255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2550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2551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2552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2553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2554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2555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2556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2557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2558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2559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256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2560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2561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2562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2563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2564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2565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2566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2567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2568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2569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257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2570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2571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2572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2573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2574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2575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2576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2577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2578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2579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258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2580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2581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2582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2583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2584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2585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2586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2587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2588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2589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259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2590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2591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2592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2593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2594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2595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2596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2597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2598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2599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26__FDSAUDITLINK__" localSheetId="20" hidden="1">{"fdsup://Directions/FactSet Auditing Viewer?action=AUDIT_VALUE&amp;DB=129&amp;ID1=16890510&amp;VALUEID=01001&amp;SDATE=200904&amp;PERIODTYPE=QTR_STD&amp;window=popup_no_bar&amp;width=385&amp;height=120&amp;START_MAXIMIZED=FALSE&amp;creator=factset&amp;display_string=Audit"}</definedName>
    <definedName name="_26__FDSAUDITLINK__" hidden="1">{"fdsup://Directions/FactSet Auditing Viewer?action=AUDIT_VALUE&amp;DB=129&amp;ID1=86923310&amp;VALUEID=04601&amp;SDATE=2008&amp;PERIODTYPE=ANN_STD&amp;window=popup_no_bar&amp;width=385&amp;height=120&amp;START_MAXIMIZED=FALSE&amp;creator=factset&amp;display_string=Audit"}</definedName>
    <definedName name="_260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2600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2601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2602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2603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2604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2605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2606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2607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2608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2609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261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2610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2611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2612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2613__FDSAUDITLINK__" hidden="1">{"fdsup://Directions/FactSet Auditing Viewer?action=AUDIT_VALUE&amp;DB=129&amp;ID1=58711810&amp;VALUEID=01001&amp;SDATE=200601&amp;PERIODTYPE=QTR_STD&amp;window=popup_no_bar&amp;width=385&amp;height=120&amp;START_MAXIMIZED=FALSE&amp;creator=factset&amp;display_string=Audit"}</definedName>
    <definedName name="_2614__FDSAUDITLINK__" hidden="1">{"fdsup://Directions/FactSet Auditing Viewer?action=AUDIT_VALUE&amp;DB=129&amp;ID1=58711810&amp;VALUEID=02101&amp;SDATE=200601&amp;PERIODTYPE=QTR_STD&amp;window=popup_no_bar&amp;width=385&amp;height=120&amp;START_MAXIMIZED=FALSE&amp;creator=factset&amp;display_string=Audit"}</definedName>
    <definedName name="_2615__FDSAUDITLINK__" hidden="1">{"fdsup://Directions/FactSet Auditing Viewer?action=AUDIT_VALUE&amp;DB=129&amp;ID1=58711810&amp;VALUEID=01001&amp;SDATE=200602&amp;PERIODTYPE=QTR_STD&amp;window=popup_no_bar&amp;width=385&amp;height=120&amp;START_MAXIMIZED=FALSE&amp;creator=factset&amp;display_string=Audit"}</definedName>
    <definedName name="_2616__FDSAUDITLINK__" hidden="1">{"fdsup://Directions/FactSet Auditing Viewer?action=AUDIT_VALUE&amp;DB=129&amp;ID1=58711810&amp;VALUEID=02101&amp;SDATE=200602&amp;PERIODTYPE=QTR_STD&amp;window=popup_no_bar&amp;width=385&amp;height=120&amp;START_MAXIMIZED=FALSE&amp;creator=factset&amp;display_string=Audit"}</definedName>
    <definedName name="_2617__FDSAUDITLINK__" hidden="1">{"fdsup://Directions/FactSet Auditing Viewer?action=AUDIT_VALUE&amp;DB=129&amp;ID1=58711810&amp;VALUEID=01001&amp;SDATE=200603&amp;PERIODTYPE=QTR_STD&amp;window=popup_no_bar&amp;width=385&amp;height=120&amp;START_MAXIMIZED=FALSE&amp;creator=factset&amp;display_string=Audit"}</definedName>
    <definedName name="_2618__FDSAUDITLINK__" hidden="1">{"fdsup://Directions/FactSet Auditing Viewer?action=AUDIT_VALUE&amp;DB=129&amp;ID1=58711810&amp;VALUEID=02101&amp;SDATE=200603&amp;PERIODTYPE=QTR_STD&amp;window=popup_no_bar&amp;width=385&amp;height=120&amp;START_MAXIMIZED=FALSE&amp;creator=factset&amp;display_string=Audit"}</definedName>
    <definedName name="_2619__FDSAUDITLINK__" hidden="1">{"fdsup://Directions/FactSet Auditing Viewer?action=AUDIT_VALUE&amp;DB=129&amp;ID1=58711810&amp;VALUEID=01001&amp;SDATE=200604&amp;PERIODTYPE=QTR_STD&amp;window=popup_no_bar&amp;width=385&amp;height=120&amp;START_MAXIMIZED=FALSE&amp;creator=factset&amp;display_string=Audit"}</definedName>
    <definedName name="_262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2620__FDSAUDITLINK__" hidden="1">{"fdsup://Directions/FactSet Auditing Viewer?action=AUDIT_VALUE&amp;DB=129&amp;ID1=58711810&amp;VALUEID=01001&amp;SDATE=200701&amp;PERIODTYPE=QTR_STD&amp;window=popup_no_bar&amp;width=385&amp;height=120&amp;START_MAXIMIZED=FALSE&amp;creator=factset&amp;display_string=Audit"}</definedName>
    <definedName name="_2621__FDSAUDITLINK__" hidden="1">{"fdsup://Directions/FactSet Auditing Viewer?action=AUDIT_VALUE&amp;DB=129&amp;ID1=58711810&amp;VALUEID=02101&amp;SDATE=200701&amp;PERIODTYPE=QTR_STD&amp;window=popup_no_bar&amp;width=385&amp;height=120&amp;START_MAXIMIZED=FALSE&amp;creator=factset&amp;display_string=Audit"}</definedName>
    <definedName name="_2622__FDSAUDITLINK__" hidden="1">{"fdsup://Directions/FactSet Auditing Viewer?action=AUDIT_VALUE&amp;DB=129&amp;ID1=58711810&amp;VALUEID=01001&amp;SDATE=200702&amp;PERIODTYPE=QTR_STD&amp;window=popup_no_bar&amp;width=385&amp;height=120&amp;START_MAXIMIZED=FALSE&amp;creator=factset&amp;display_string=Audit"}</definedName>
    <definedName name="_2623__FDSAUDITLINK__" hidden="1">{"fdsup://Directions/FactSet Auditing Viewer?action=AUDIT_VALUE&amp;DB=129&amp;ID1=58711810&amp;VALUEID=02101&amp;SDATE=200702&amp;PERIODTYPE=QTR_STD&amp;window=popup_no_bar&amp;width=385&amp;height=120&amp;START_MAXIMIZED=FALSE&amp;creator=factset&amp;display_string=Audit"}</definedName>
    <definedName name="_2624__FDSAUDITLINK__" hidden="1">{"fdsup://Directions/FactSet Auditing Viewer?action=AUDIT_VALUE&amp;DB=129&amp;ID1=58711810&amp;VALUEID=01001&amp;SDATE=200703&amp;PERIODTYPE=QTR_STD&amp;window=popup_no_bar&amp;width=385&amp;height=120&amp;START_MAXIMIZED=FALSE&amp;creator=factset&amp;display_string=Audit"}</definedName>
    <definedName name="_2625__FDSAUDITLINK__" hidden="1">{"fdsup://Directions/FactSet Auditing Viewer?action=AUDIT_VALUE&amp;DB=129&amp;ID1=58711810&amp;VALUEID=02101&amp;SDATE=200703&amp;PERIODTYPE=QTR_STD&amp;window=popup_no_bar&amp;width=385&amp;height=120&amp;START_MAXIMIZED=FALSE&amp;creator=factset&amp;display_string=Audit"}</definedName>
    <definedName name="_2626__FDSAUDITLINK__" hidden="1">{"fdsup://Directions/FactSet Auditing Viewer?action=AUDIT_VALUE&amp;DB=129&amp;ID1=58711810&amp;VALUEID=01001&amp;SDATE=200704&amp;PERIODTYPE=QTR_STD&amp;window=popup_no_bar&amp;width=385&amp;height=120&amp;START_MAXIMIZED=FALSE&amp;creator=factset&amp;display_string=Audit"}</definedName>
    <definedName name="_2627__FDSAUDITLINK__" hidden="1">{"fdsup://Directions/FactSet Auditing Viewer?action=AUDIT_VALUE&amp;DB=129&amp;ID1=58711810&amp;VALUEID=01001&amp;SDATE=200801&amp;PERIODTYPE=QTR_STD&amp;window=popup_no_bar&amp;width=385&amp;height=120&amp;START_MAXIMIZED=FALSE&amp;creator=factset&amp;display_string=Audit"}</definedName>
    <definedName name="_2628__FDSAUDITLINK__" hidden="1">{"fdsup://Directions/FactSet Auditing Viewer?action=AUDIT_VALUE&amp;DB=129&amp;ID1=58711810&amp;VALUEID=02101&amp;SDATE=200801&amp;PERIODTYPE=QTR_STD&amp;window=popup_no_bar&amp;width=385&amp;height=120&amp;START_MAXIMIZED=FALSE&amp;creator=factset&amp;display_string=Audit"}</definedName>
    <definedName name="_2629__FDSAUDITLINK__" hidden="1">{"fdsup://Directions/FactSet Auditing Viewer?action=AUDIT_VALUE&amp;DB=129&amp;ID1=58711810&amp;VALUEID=01001&amp;SDATE=200802&amp;PERIODTYPE=QTR_STD&amp;window=popup_no_bar&amp;width=385&amp;height=120&amp;START_MAXIMIZED=FALSE&amp;creator=factset&amp;display_string=Audit"}</definedName>
    <definedName name="_263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2630__FDSAUDITLINK__" hidden="1">{"fdsup://Directions/FactSet Auditing Viewer?action=AUDIT_VALUE&amp;DB=129&amp;ID1=58711810&amp;VALUEID=02101&amp;SDATE=200802&amp;PERIODTYPE=QTR_STD&amp;window=popup_no_bar&amp;width=385&amp;height=120&amp;START_MAXIMIZED=FALSE&amp;creator=factset&amp;display_string=Audit"}</definedName>
    <definedName name="_2631__FDSAUDITLINK__" hidden="1">{"fdsup://Directions/FactSet Auditing Viewer?action=AUDIT_VALUE&amp;DB=129&amp;ID1=58711810&amp;VALUEID=01001&amp;SDATE=200803&amp;PERIODTYPE=QTR_STD&amp;window=popup_no_bar&amp;width=385&amp;height=120&amp;START_MAXIMIZED=FALSE&amp;creator=factset&amp;display_string=Audit"}</definedName>
    <definedName name="_2632__FDSAUDITLINK__" hidden="1">{"fdsup://Directions/FactSet Auditing Viewer?action=AUDIT_VALUE&amp;DB=129&amp;ID1=58711810&amp;VALUEID=02101&amp;SDATE=200803&amp;PERIODTYPE=QTR_STD&amp;window=popup_no_bar&amp;width=385&amp;height=120&amp;START_MAXIMIZED=FALSE&amp;creator=factset&amp;display_string=Audit"}</definedName>
    <definedName name="_2633__FDSAUDITLINK__" hidden="1">{"fdsup://Directions/FactSet Auditing Viewer?action=AUDIT_VALUE&amp;DB=129&amp;ID1=58711810&amp;VALUEID=01001&amp;SDATE=200804&amp;PERIODTYPE=QTR_STD&amp;window=popup_no_bar&amp;width=385&amp;height=120&amp;START_MAXIMIZED=FALSE&amp;creator=factset&amp;display_string=Audit"}</definedName>
    <definedName name="_2634__FDSAUDITLINK__" hidden="1">{"fdsup://Directions/FactSet Auditing Viewer?action=AUDIT_VALUE&amp;DB=129&amp;ID1=58711810&amp;VALUEID=01001&amp;SDATE=200902&amp;PERIODTYPE=QTR_STD&amp;window=popup_no_bar&amp;width=385&amp;height=120&amp;START_MAXIMIZED=FALSE&amp;creator=factset&amp;display_string=Audit"}</definedName>
    <definedName name="_2635__FDSAUDITLINK__" hidden="1">{"fdsup://Directions/FactSet Auditing Viewer?action=AUDIT_VALUE&amp;DB=129&amp;ID1=58711810&amp;VALUEID=02101&amp;SDATE=200902&amp;PERIODTYPE=QTR_STD&amp;window=popup_no_bar&amp;width=385&amp;height=120&amp;START_MAXIMIZED=FALSE&amp;creator=factset&amp;display_string=Audit"}</definedName>
    <definedName name="_2636__FDSAUDITLINK__" hidden="1">{"fdsup://Directions/FactSet Auditing Viewer?action=AUDIT_VALUE&amp;DB=129&amp;ID1=58711810&amp;VALUEID=01001&amp;SDATE=200903&amp;PERIODTYPE=QTR_STD&amp;window=popup_no_bar&amp;width=385&amp;height=120&amp;START_MAXIMIZED=FALSE&amp;creator=factset&amp;display_string=Audit"}</definedName>
    <definedName name="_2637__FDSAUDITLINK__" hidden="1">{"fdsup://Directions/FactSet Auditing Viewer?action=AUDIT_VALUE&amp;DB=129&amp;ID1=58711810&amp;VALUEID=02101&amp;SDATE=200903&amp;PERIODTYPE=QTR_STD&amp;window=popup_no_bar&amp;width=385&amp;height=120&amp;START_MAXIMIZED=FALSE&amp;creator=factset&amp;display_string=Audit"}</definedName>
    <definedName name="_2638__FDSAUDITLINK__" hidden="1">{"fdsup://Directions/FactSet Auditing Viewer?action=AUDIT_VALUE&amp;DB=129&amp;ID1=58711810&amp;VALUEID=01001&amp;SDATE=200904&amp;PERIODTYPE=QTR_STD&amp;window=popup_no_bar&amp;width=385&amp;height=120&amp;START_MAXIMIZED=FALSE&amp;creator=factset&amp;display_string=Audit"}</definedName>
    <definedName name="_2639__FDSAUDITLINK__" hidden="1">{"fdsup://Directions/FactSet Auditing Viewer?action=AUDIT_VALUE&amp;DB=129&amp;ID1=58711810&amp;VALUEID=02101&amp;SDATE=201001&amp;PERIODTYPE=QTR_STD&amp;window=popup_no_bar&amp;width=385&amp;height=120&amp;START_MAXIMIZED=FALSE&amp;creator=factset&amp;display_string=Audit"}</definedName>
    <definedName name="_264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2640__FDSAUDITLINK__"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2641__FDSAUDITLINK__"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2642__FDSAUDITLINK__"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2643__FDSAUDITLINK__"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2644__FDSAUDITLINK__"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2645__FDSAUDITLINK__"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2646__FDSAUDITLINK__"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2647__FDSAUDITLINK__"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2648__FDSAUDITLINK__"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2649__FDSAUDITLINK__"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265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2650__FDSAUDITLINK__"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2651__FDSAUDITLINK__"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2652__FDSAUDITLINK__"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2653__FDSAUDITLINK__"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2654__FDSAUDITLINK__"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2655__FDSAUDITLINK__"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2656__FDSAUDITLINK__"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2657__FDSAUDITLINK__"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2658__FDSAUDITLINK__"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2659__FDSAUDITLINK__"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266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2660__FDSAUDITLINK__"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2661__FDSAUDITLINK__"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2662__FDSAUDITLINK__"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2663__FDSAUDITLINK__"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2664__FDSAUDITLINK__"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2665__FDSAUDITLINK__"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2666__FDSAUDITLINK__"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2667__FDSAUDITLINK__" hidden="1">{"fdsup://Directions/FactSet Auditing Viewer?action=AUDIT_VALUE&amp;DB=129&amp;ID1=58711810&amp;VALUEID=13040&amp;SDATE=200702&amp;PERIODTYPE=QTR_STD&amp;window=popup_no_bar&amp;width=385&amp;height=120&amp;START_MAXIMIZED=FALSE&amp;creator=factset&amp;display_string=Audit"}</definedName>
    <definedName name="_2668__FDSAUDITLINK__" hidden="1">{"fdsup://Directions/FactSet Auditing Viewer?action=AUDIT_VALUE&amp;DB=129&amp;ID1=58711810&amp;VALUEID=13040&amp;SDATE=200701&amp;PERIODTYPE=QTR_STD&amp;window=popup_no_bar&amp;width=385&amp;height=120&amp;START_MAXIMIZED=FALSE&amp;creator=factset&amp;display_string=Audit"}</definedName>
    <definedName name="_2669__FDSAUDITLINK__" hidden="1">{"fdsup://Directions/FactSet Auditing Viewer?action=AUDIT_VALUE&amp;DB=129&amp;ID1=58711810&amp;VALUEID=13040&amp;SDATE=200703&amp;PERIODTYPE=QTR_STD&amp;window=popup_no_bar&amp;width=385&amp;height=120&amp;START_MAXIMIZED=FALSE&amp;creator=factset&amp;display_string=Audit"}</definedName>
    <definedName name="_267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2670__FDSAUDITLINK__" hidden="1">{"fdsup://Directions/FactSet Auditing Viewer?action=AUDIT_VALUE&amp;DB=129&amp;ID1=58711810&amp;VALUEID=13040&amp;SDATE=200802&amp;PERIODTYPE=QTR_STD&amp;window=popup_no_bar&amp;width=385&amp;height=120&amp;START_MAXIMIZED=FALSE&amp;creator=factset&amp;display_string=Audit"}</definedName>
    <definedName name="_2671__FDSAUDITLINK__" hidden="1">{"fdsup://Directions/FactSet Auditing Viewer?action=AUDIT_VALUE&amp;DB=129&amp;ID1=58711810&amp;VALUEID=13040&amp;SDATE=200801&amp;PERIODTYPE=QTR_STD&amp;window=popup_no_bar&amp;width=385&amp;height=120&amp;START_MAXIMIZED=FALSE&amp;creator=factset&amp;display_string=Audit"}</definedName>
    <definedName name="_2672__FDSAUDITLINK__"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2673__FDSAUDITLINK__" hidden="1">{"fdsup://Directions/FactSet Auditing Viewer?action=AUDIT_VALUE&amp;DB=129&amp;ID1=58711810&amp;VALUEID=13040&amp;SDATE=200803&amp;PERIODTYPE=QTR_STD&amp;window=popup_no_bar&amp;width=385&amp;height=120&amp;START_MAXIMIZED=FALSE&amp;creator=factset&amp;display_string=Audit"}</definedName>
    <definedName name="_2674__FDSAUDITLINK__" hidden="1">{"fdsup://Directions/FactSet Auditing Viewer?action=AUDIT_VALUE&amp;DB=129&amp;ID1=58711810&amp;VALUEID=13040&amp;SDATE=200902&amp;PERIODTYPE=QTR_STD&amp;window=popup_no_bar&amp;width=385&amp;height=120&amp;START_MAXIMIZED=FALSE&amp;creator=factset&amp;display_string=Audit"}</definedName>
    <definedName name="_2675__FDSAUDITLINK__"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2676__FDSAUDITLINK__" hidden="1">{"fdsup://Directions/FactSet Auditing Viewer?action=AUDIT_VALUE&amp;DB=129&amp;ID1=58711810&amp;VALUEID=13040&amp;SDATE=200903&amp;PERIODTYPE=QTR_STD&amp;window=popup_no_bar&amp;width=385&amp;height=120&amp;START_MAXIMIZED=FALSE&amp;creator=factset&amp;display_string=Audit"}</definedName>
    <definedName name="_2677__FDSAUDITLINK__" hidden="1">{"fdsup://Directions/FactSet Auditing Viewer?action=AUDIT_VALUE&amp;DB=129&amp;ID1=58711810&amp;VALUEID=13040&amp;SDATE=200602&amp;PERIODTYPE=QTR_STD&amp;window=popup_no_bar&amp;width=385&amp;height=120&amp;START_MAXIMIZED=FALSE&amp;creator=factset&amp;display_string=Audit"}</definedName>
    <definedName name="_2678__FDSAUDITLINK__" hidden="1">{"fdsup://Directions/FactSet Auditing Viewer?action=AUDIT_VALUE&amp;DB=129&amp;ID1=58711810&amp;VALUEID=13040&amp;SDATE=200601&amp;PERIODTYPE=QTR_STD&amp;window=popup_no_bar&amp;width=385&amp;height=120&amp;START_MAXIMIZED=FALSE&amp;creator=factset&amp;display_string=Audit"}</definedName>
    <definedName name="_2679__FDSAUDITLINK__"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268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2680__FDSAUDITLINK__" hidden="1">{"fdsup://Directions/FactSet Auditing Viewer?action=AUDIT_VALUE&amp;DB=129&amp;ID1=58711810&amp;VALUEID=13040&amp;SDATE=200603&amp;PERIODTYPE=QTR_STD&amp;window=popup_no_bar&amp;width=385&amp;height=120&amp;START_MAXIMIZED=FALSE&amp;creator=factset&amp;display_string=Audit"}</definedName>
    <definedName name="_2681__FDSAUDITLINK__"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2682__FDSAUDITLINK__" hidden="1">{"fdsup://Directions/FactSet Auditing Viewer?action=AUDIT_VALUE&amp;DB=129&amp;ID1=58711810&amp;VALUEID=13040&amp;SDATE=201001&amp;PERIODTYPE=QTR_STD&amp;window=popup_no_bar&amp;width=385&amp;height=120&amp;START_MAXIMIZED=FALSE&amp;creator=factset&amp;display_string=Audit"}</definedName>
    <definedName name="_2683__FDSAUDITLINK__" hidden="1">{"fdsup://Directions/FactSet Auditing Viewer?action=AUDIT_VALUE&amp;DB=129&amp;ID1=58711810&amp;VALUEID=13040&amp;SDATE=200904&amp;PERIODTYPE=QTR_STD&amp;window=popup_no_bar&amp;width=385&amp;height=120&amp;START_MAXIMIZED=FALSE&amp;creator=factset&amp;display_string=Audit"}</definedName>
    <definedName name="_2684__FDSAUDITLINK__"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2685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2686__FDSAUDITLINK__" hidden="1">{"fdsup://Directions/FactSet Auditing Viewer?action=AUDIT_VALUE&amp;DB=129&amp;ID1=58711810&amp;VALUEID=01001&amp;SDATE=201001&amp;PERIODTYPE=QTR_STD&amp;window=popup_no_bar&amp;width=385&amp;height=120&amp;START_MAXIMIZED=FALSE&amp;creator=factset&amp;display_string=Audit"}</definedName>
    <definedName name="_2687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2688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2689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269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2690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2691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2692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2693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2694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2695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2696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2697__FDSAUDITLINK__" hidden="1">{"fdsup://Directions/FactSet Auditing Viewer?action=AUDIT_VALUE&amp;DB=129&amp;ID1=26157010&amp;VALUEID=13040&amp;SDATE=200602&amp;PERIODTYPE=QTR_STD&amp;window=popup_no_bar&amp;width=385&amp;height=120&amp;START_MAXIMIZED=FALSE&amp;creator=factset&amp;display_string=Audit"}</definedName>
    <definedName name="_2698__FDSAUDITLINK__" hidden="1">{"fdsup://Directions/FactSet Auditing Viewer?action=AUDIT_VALUE&amp;DB=129&amp;ID1=26157010&amp;VALUEID=01001&amp;SDATE=200602&amp;PERIODTYPE=QTR_STD&amp;window=popup_no_bar&amp;width=385&amp;height=120&amp;START_MAXIMIZED=FALSE&amp;creator=factset&amp;display_string=Audit"}</definedName>
    <definedName name="_2699__FDSAUDITLINK__" hidden="1">{"fdsup://Directions/FactSet Auditing Viewer?action=AUDIT_VALUE&amp;DB=129&amp;ID1=26157010&amp;VALUEID=02101&amp;SDATE=200602&amp;PERIODTYPE=QTR_STD&amp;window=popup_no_bar&amp;width=385&amp;height=120&amp;START_MAXIMIZED=FALSE&amp;creator=factset&amp;display_string=Audit"}</definedName>
    <definedName name="_27__FDSAUDITLINK__" localSheetId="20" hidden="1">{"fdsup://Directions/FactSet Auditing Viewer?action=AUDIT_VALUE&amp;DB=129&amp;ID1=91704710&amp;VALUEID=01001&amp;SDATE=200904&amp;PERIODTYPE=QTR_STD&amp;window=popup_no_bar&amp;width=385&amp;height=120&amp;START_MAXIMIZED=FALSE&amp;creator=factset&amp;display_string=Audit"}</definedName>
    <definedName name="_27__FDSAUDITLINK__" hidden="1">{"fdsup://Directions/FactSet Auditing Viewer?action=AUDIT_VALUE&amp;DB=129&amp;ID1=86923310&amp;VALUEID=01001&amp;SDATE=2009&amp;PERIODTYPE=ANN_STD&amp;window=popup_no_bar&amp;width=385&amp;height=120&amp;START_MAXIMIZED=FALSE&amp;creator=factset&amp;display_string=Audit"}</definedName>
    <definedName name="_270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2700__FDSAUDITLINK__" hidden="1">{"fdsup://Directions/FactSet Auditing Viewer?action=AUDIT_VALUE&amp;DB=129&amp;ID1=26157010&amp;VALUEID=13040&amp;SDATE=200603&amp;PERIODTYPE=QTR_STD&amp;window=popup_no_bar&amp;width=385&amp;height=120&amp;START_MAXIMIZED=FALSE&amp;creator=factset&amp;display_string=Audit"}</definedName>
    <definedName name="_2701__FDSAUDITLINK__" hidden="1">{"fdsup://Directions/FactSet Auditing Viewer?action=AUDIT_VALUE&amp;DB=129&amp;ID1=26157010&amp;VALUEID=01001&amp;SDATE=200603&amp;PERIODTYPE=QTR_STD&amp;window=popup_no_bar&amp;width=385&amp;height=120&amp;START_MAXIMIZED=FALSE&amp;creator=factset&amp;display_string=Audit"}</definedName>
    <definedName name="_2702__FDSAUDITLINK__" hidden="1">{"fdsup://Directions/FactSet Auditing Viewer?action=AUDIT_VALUE&amp;DB=129&amp;ID1=26157010&amp;VALUEID=02101&amp;SDATE=200603&amp;PERIODTYPE=QTR_STD&amp;window=popup_no_bar&amp;width=385&amp;height=120&amp;START_MAXIMIZED=FALSE&amp;creator=factset&amp;display_string=Audit"}</definedName>
    <definedName name="_2703__FDSAUDITLINK__" hidden="1">{"fdsup://Directions/FactSet Auditing Viewer?action=AUDIT_VALUE&amp;DB=129&amp;ID1=26157010&amp;VALUEID=13040&amp;SDATE=200701&amp;PERIODTYPE=QTR_STD&amp;window=popup_no_bar&amp;width=385&amp;height=120&amp;START_MAXIMIZED=FALSE&amp;creator=factset&amp;display_string=Audit"}</definedName>
    <definedName name="_2704__FDSAUDITLINK__" hidden="1">{"fdsup://Directions/FactSet Auditing Viewer?action=AUDIT_VALUE&amp;DB=129&amp;ID1=26157010&amp;VALUEID=01001&amp;SDATE=200701&amp;PERIODTYPE=QTR_STD&amp;window=popup_no_bar&amp;width=385&amp;height=120&amp;START_MAXIMIZED=FALSE&amp;creator=factset&amp;display_string=Audit"}</definedName>
    <definedName name="_2705__FDSAUDITLINK__" hidden="1">{"fdsup://Directions/FactSet Auditing Viewer?action=AUDIT_VALUE&amp;DB=129&amp;ID1=26157010&amp;VALUEID=02101&amp;SDATE=200701&amp;PERIODTYPE=QTR_STD&amp;window=popup_no_bar&amp;width=385&amp;height=120&amp;START_MAXIMIZED=FALSE&amp;creator=factset&amp;display_string=Audit"}</definedName>
    <definedName name="_2706__FDSAUDITLINK__" hidden="1">{"fdsup://Directions/FactSet Auditing Viewer?action=AUDIT_VALUE&amp;DB=129&amp;ID1=26157010&amp;VALUEID=13040&amp;SDATE=200702&amp;PERIODTYPE=QTR_STD&amp;window=popup_no_bar&amp;width=385&amp;height=120&amp;START_MAXIMIZED=FALSE&amp;creator=factset&amp;display_string=Audit"}</definedName>
    <definedName name="_2707__FDSAUDITLINK__" hidden="1">{"fdsup://Directions/FactSet Auditing Viewer?action=AUDIT_VALUE&amp;DB=129&amp;ID1=26157010&amp;VALUEID=01001&amp;SDATE=200702&amp;PERIODTYPE=QTR_STD&amp;window=popup_no_bar&amp;width=385&amp;height=120&amp;START_MAXIMIZED=FALSE&amp;creator=factset&amp;display_string=Audit"}</definedName>
    <definedName name="_2708__FDSAUDITLINK__" hidden="1">{"fdsup://Directions/FactSet Auditing Viewer?action=AUDIT_VALUE&amp;DB=129&amp;ID1=26157010&amp;VALUEID=02101&amp;SDATE=200702&amp;PERIODTYPE=QTR_STD&amp;window=popup_no_bar&amp;width=385&amp;height=120&amp;START_MAXIMIZED=FALSE&amp;creator=factset&amp;display_string=Audit"}</definedName>
    <definedName name="_2709__FDSAUDITLINK__" hidden="1">{"fdsup://Directions/FactSet Auditing Viewer?action=AUDIT_VALUE&amp;DB=129&amp;ID1=26157010&amp;VALUEID=13040&amp;SDATE=200703&amp;PERIODTYPE=QTR_STD&amp;window=popup_no_bar&amp;width=385&amp;height=120&amp;START_MAXIMIZED=FALSE&amp;creator=factset&amp;display_string=Audit"}</definedName>
    <definedName name="_271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2710__FDSAUDITLINK__" hidden="1">{"fdsup://Directions/FactSet Auditing Viewer?action=AUDIT_VALUE&amp;DB=129&amp;ID1=26157010&amp;VALUEID=01001&amp;SDATE=200703&amp;PERIODTYPE=QTR_STD&amp;window=popup_no_bar&amp;width=385&amp;height=120&amp;START_MAXIMIZED=FALSE&amp;creator=factset&amp;display_string=Audit"}</definedName>
    <definedName name="_2711__FDSAUDITLINK__" hidden="1">{"fdsup://Directions/FactSet Auditing Viewer?action=AUDIT_VALUE&amp;DB=129&amp;ID1=26157010&amp;VALUEID=02101&amp;SDATE=200703&amp;PERIODTYPE=QTR_STD&amp;window=popup_no_bar&amp;width=385&amp;height=120&amp;START_MAXIMIZED=FALSE&amp;creator=factset&amp;display_string=Audit"}</definedName>
    <definedName name="_2712__FDSAUDITLINK__" hidden="1">{"fdsup://Directions/FactSet Auditing Viewer?action=AUDIT_VALUE&amp;DB=129&amp;ID1=26157010&amp;VALUEID=01001&amp;SDATE=200704&amp;PERIODTYPE=QTR_STD&amp;window=popup_no_bar&amp;width=385&amp;height=120&amp;START_MAXIMIZED=FALSE&amp;creator=factset&amp;display_string=Audit"}</definedName>
    <definedName name="_2713__FDSAUDITLINK__" hidden="1">{"fdsup://Directions/FactSet Auditing Viewer?action=AUDIT_VALUE&amp;DB=129&amp;ID1=26157010&amp;VALUEID=13040&amp;SDATE=200801&amp;PERIODTYPE=QTR_STD&amp;window=popup_no_bar&amp;width=385&amp;height=120&amp;START_MAXIMIZED=FALSE&amp;creator=factset&amp;display_string=Audit"}</definedName>
    <definedName name="_2714__FDSAUDITLINK__" hidden="1">{"fdsup://Directions/FactSet Auditing Viewer?action=AUDIT_VALUE&amp;DB=129&amp;ID1=26157010&amp;VALUEID=01001&amp;SDATE=200801&amp;PERIODTYPE=QTR_STD&amp;window=popup_no_bar&amp;width=385&amp;height=120&amp;START_MAXIMIZED=FALSE&amp;creator=factset&amp;display_string=Audit"}</definedName>
    <definedName name="_2715__FDSAUDITLINK__" hidden="1">{"fdsup://Directions/FactSet Auditing Viewer?action=AUDIT_VALUE&amp;DB=129&amp;ID1=26157010&amp;VALUEID=02101&amp;SDATE=200801&amp;PERIODTYPE=QTR_STD&amp;window=popup_no_bar&amp;width=385&amp;height=120&amp;START_MAXIMIZED=FALSE&amp;creator=factset&amp;display_string=Audit"}</definedName>
    <definedName name="_2716__FDSAUDITLINK__" hidden="1">{"fdsup://Directions/FactSet Auditing Viewer?action=AUDIT_VALUE&amp;DB=129&amp;ID1=26157010&amp;VALUEID=01001&amp;SDATE=200802&amp;PERIODTYPE=QTR_STD&amp;window=popup_no_bar&amp;width=385&amp;height=120&amp;START_MAXIMIZED=FALSE&amp;creator=factset&amp;display_string=Audit"}</definedName>
    <definedName name="_2717__FDSAUDITLINK__" hidden="1">{"fdsup://Directions/FactSet Auditing Viewer?action=AUDIT_VALUE&amp;DB=129&amp;ID1=26157010&amp;VALUEID=02101&amp;SDATE=200802&amp;PERIODTYPE=QTR_STD&amp;window=popup_no_bar&amp;width=385&amp;height=120&amp;START_MAXIMIZED=FALSE&amp;creator=factset&amp;display_string=Audit"}</definedName>
    <definedName name="_2718__FDSAUDITLINK__" hidden="1">{"fdsup://Directions/FactSet Auditing Viewer?action=AUDIT_VALUE&amp;DB=129&amp;ID1=26157010&amp;VALUEID=13040&amp;SDATE=200803&amp;PERIODTYPE=QTR_STD&amp;window=popup_no_bar&amp;width=385&amp;height=120&amp;START_MAXIMIZED=FALSE&amp;creator=factset&amp;display_string=Audit"}</definedName>
    <definedName name="_2719__FDSAUDITLINK__" hidden="1">{"fdsup://Directions/FactSet Auditing Viewer?action=AUDIT_VALUE&amp;DB=129&amp;ID1=26157010&amp;VALUEID=01001&amp;SDATE=200803&amp;PERIODTYPE=QTR_STD&amp;window=popup_no_bar&amp;width=385&amp;height=120&amp;START_MAXIMIZED=FALSE&amp;creator=factset&amp;display_string=Audit"}</definedName>
    <definedName name="_272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2720__FDSAUDITLINK__" hidden="1">{"fdsup://Directions/FactSet Auditing Viewer?action=AUDIT_VALUE&amp;DB=129&amp;ID1=26157010&amp;VALUEID=02101&amp;SDATE=200803&amp;PERIODTYPE=QTR_STD&amp;window=popup_no_bar&amp;width=385&amp;height=120&amp;START_MAXIMIZED=FALSE&amp;creator=factset&amp;display_string=Audit"}</definedName>
    <definedName name="_2721__FDSAUDITLINK__" hidden="1">{"fdsup://Directions/FactSet Auditing Viewer?action=AUDIT_VALUE&amp;DB=129&amp;ID1=26157010&amp;VALUEID=13040&amp;SDATE=200901&amp;PERIODTYPE=QTR_STD&amp;window=popup_no_bar&amp;width=385&amp;height=120&amp;START_MAXIMIZED=FALSE&amp;creator=factset&amp;display_string=Audit"}</definedName>
    <definedName name="_2722__FDSAUDITLINK__" hidden="1">{"fdsup://Directions/FactSet Auditing Viewer?action=AUDIT_VALUE&amp;DB=129&amp;ID1=26157010&amp;VALUEID=01001&amp;SDATE=200901&amp;PERIODTYPE=QTR_STD&amp;window=popup_no_bar&amp;width=385&amp;height=120&amp;START_MAXIMIZED=FALSE&amp;creator=factset&amp;display_string=Audit"}</definedName>
    <definedName name="_2723__FDSAUDITLINK__" hidden="1">{"fdsup://Directions/FactSet Auditing Viewer?action=AUDIT_VALUE&amp;DB=129&amp;ID1=26157010&amp;VALUEID=02101&amp;SDATE=200901&amp;PERIODTYPE=QTR_STD&amp;window=popup_no_bar&amp;width=385&amp;height=120&amp;START_MAXIMIZED=FALSE&amp;creator=factset&amp;display_string=Audit"}</definedName>
    <definedName name="_2724__FDSAUDITLINK__" hidden="1">{"fdsup://Directions/FactSet Auditing Viewer?action=AUDIT_VALUE&amp;DB=129&amp;ID1=26157010&amp;VALUEID=13040&amp;SDATE=200902&amp;PERIODTYPE=QTR_STD&amp;window=popup_no_bar&amp;width=385&amp;height=120&amp;START_MAXIMIZED=FALSE&amp;creator=factset&amp;display_string=Audit"}</definedName>
    <definedName name="_2725__FDSAUDITLINK__" hidden="1">{"fdsup://Directions/FactSet Auditing Viewer?action=AUDIT_VALUE&amp;DB=129&amp;ID1=26157010&amp;VALUEID=01001&amp;SDATE=200902&amp;PERIODTYPE=QTR_STD&amp;window=popup_no_bar&amp;width=385&amp;height=120&amp;START_MAXIMIZED=FALSE&amp;creator=factset&amp;display_string=Audit"}</definedName>
    <definedName name="_2726__FDSAUDITLINK__" hidden="1">{"fdsup://Directions/FactSet Auditing Viewer?action=AUDIT_VALUE&amp;DB=129&amp;ID1=26157010&amp;VALUEID=02101&amp;SDATE=200902&amp;PERIODTYPE=QTR_STD&amp;window=popup_no_bar&amp;width=385&amp;height=120&amp;START_MAXIMIZED=FALSE&amp;creator=factset&amp;display_string=Audit"}</definedName>
    <definedName name="_2727__FDSAUDITLINK__" hidden="1">{"fdsup://Directions/FactSet Auditing Viewer?action=AUDIT_VALUE&amp;DB=129&amp;ID1=26157010&amp;VALUEID=01001&amp;SDATE=200904&amp;PERIODTYPE=QTR_STD&amp;window=popup_no_bar&amp;width=385&amp;height=120&amp;START_MAXIMIZED=FALSE&amp;creator=factset&amp;display_string=Audit"}</definedName>
    <definedName name="_2728__FDSAUDITLINK__" hidden="1">{"fdsup://Directions/FactSet Auditing Viewer?action=AUDIT_VALUE&amp;DB=129&amp;ID1=26157010&amp;VALUEID=13040&amp;SDATE=201001&amp;PERIODTYPE=QTR_STD&amp;window=popup_no_bar&amp;width=385&amp;height=120&amp;START_MAXIMIZED=FALSE&amp;creator=factset&amp;display_string=Audit"}</definedName>
    <definedName name="_2729__FDSAUDITLINK__" hidden="1">{"fdsup://Directions/FactSet Auditing Viewer?action=AUDIT_VALUE&amp;DB=129&amp;ID1=26157010&amp;VALUEID=01001&amp;SDATE=201001&amp;PERIODTYPE=QTR_STD&amp;window=popup_no_bar&amp;width=385&amp;height=120&amp;START_MAXIMIZED=FALSE&amp;creator=factset&amp;display_string=Audit"}</definedName>
    <definedName name="_273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2730__FDSAUDITLINK__" hidden="1">{"fdsup://Directions/FactSet Auditing Viewer?action=AUDIT_VALUE&amp;DB=129&amp;ID1=26157010&amp;VALUEID=02101&amp;SDATE=201001&amp;PERIODTYPE=QTR_STD&amp;window=popup_no_bar&amp;width=385&amp;height=120&amp;START_MAXIMIZED=FALSE&amp;creator=factset&amp;display_string=Audit"}</definedName>
    <definedName name="_2731__FDSAUDITLINK__" hidden="1">{"fdsup://Directions/FactSet Auditing Viewer?action=AUDIT_VALUE&amp;DB=129&amp;ID1=26157010&amp;VALUEID=01001&amp;SDATE=201002&amp;PERIODTYPE=QTR_STD&amp;window=popup_no_bar&amp;width=385&amp;height=120&amp;START_MAXIMIZED=FALSE&amp;creator=factset&amp;display_string=Audit"}</definedName>
    <definedName name="_2732__FDSAUDITLINK__" hidden="1">{"fdsup://Directions/FactSet Auditing Viewer?action=AUDIT_VALUE&amp;DB=129&amp;ID1=26157010&amp;VALUEID=02101&amp;SDATE=201002&amp;PERIODTYPE=QTR_STD&amp;window=popup_no_bar&amp;width=385&amp;height=120&amp;START_MAXIMIZED=FALSE&amp;creator=factset&amp;display_string=Audit"}</definedName>
    <definedName name="_2733__FDSAUDITLINK__" hidden="1">{"fdsup://Directions/FactSet Auditing Viewer?action=AUDIT_VALUE&amp;DB=129&amp;ID1=26157010&amp;VALUEID=13040&amp;SDATE=201003&amp;PERIODTYPE=QTR_STD&amp;window=popup_no_bar&amp;width=385&amp;height=120&amp;START_MAXIMIZED=FALSE&amp;creator=factset&amp;display_string=Audit"}</definedName>
    <definedName name="_2734__FDSAUDITLINK__" hidden="1">{"fdsup://Directions/FactSet Auditing Viewer?action=AUDIT_VALUE&amp;DB=129&amp;ID1=26157010&amp;VALUEID=01001&amp;SDATE=201003&amp;PERIODTYPE=QTR_STD&amp;window=popup_no_bar&amp;width=385&amp;height=120&amp;START_MAXIMIZED=FALSE&amp;creator=factset&amp;display_string=Audit"}</definedName>
    <definedName name="_2735__FDSAUDITLINK__" hidden="1">{"fdsup://Directions/FactSet Auditing Viewer?action=AUDIT_VALUE&amp;DB=129&amp;ID1=26157010&amp;VALUEID=02101&amp;SDATE=201003&amp;PERIODTYPE=QTR_STD&amp;window=popup_no_bar&amp;width=385&amp;height=120&amp;START_MAXIMIZED=FALSE&amp;creator=factset&amp;display_string=Audit"}</definedName>
    <definedName name="_2736__FDSAUDITLINK__" hidden="1">{"fdsup://directions/FAT Viewer?action=UPDATE&amp;creator=factset&amp;DYN_ARGS=TRUE&amp;DOC_NAME=FAT:FQL_AUDITING_CLIENT_TEMPLATE.FAT&amp;display_string=Audit&amp;VAR:KEY=TMTSRWJYFA&amp;VAR:QUERY=RkZfUlRfU0ZfVE9UX0dST1NTKFFUUiwtNDQp&amp;WINDOW=FIRST_POPUP&amp;HEIGHT=450&amp;WIDTH=450&amp;START_MA","XIMIZED=FALSE&amp;VAR:CALENDAR=US&amp;VAR:SYMBOL=DBRN&amp;VAR:INDEX=0"}</definedName>
    <definedName name="_2737__FDSAUDITLINK__" hidden="1">{"fdsup://directions/FAT Viewer?action=UPDATE&amp;creator=factset&amp;DYN_ARGS=TRUE&amp;DOC_NAME=FAT:FQL_AUDITING_CLIENT_TEMPLATE.FAT&amp;display_string=Audit&amp;VAR:KEY=ZGPAREJEDG&amp;VAR:QUERY=RkZfUlRfU0ZfVE9UX0dST1NTKFFUUiwtNDMp&amp;WINDOW=FIRST_POPUP&amp;HEIGHT=450&amp;WIDTH=450&amp;START_MA","XIMIZED=FALSE&amp;VAR:CALENDAR=US&amp;VAR:SYMBOL=DBRN&amp;VAR:INDEX=0"}</definedName>
    <definedName name="_2738__FDSAUDITLINK__" hidden="1">{"fdsup://directions/FAT Viewer?action=UPDATE&amp;creator=factset&amp;DYN_ARGS=TRUE&amp;DOC_NAME=FAT:FQL_AUDITING_CLIENT_TEMPLATE.FAT&amp;display_string=Audit&amp;VAR:KEY=VOXSREHORM&amp;VAR:QUERY=RkZfUlRfU0ZfVE9UX0dST1NTKFFUUiwtNDIp&amp;WINDOW=FIRST_POPUP&amp;HEIGHT=450&amp;WIDTH=450&amp;START_MA","XIMIZED=FALSE&amp;VAR:CALENDAR=US&amp;VAR:SYMBOL=DBRN&amp;VAR:INDEX=0"}</definedName>
    <definedName name="_2739__FDSAUDITLINK__" hidden="1">{"fdsup://directions/FAT Viewer?action=UPDATE&amp;creator=factset&amp;DYN_ARGS=TRUE&amp;DOC_NAME=FAT:FQL_AUDITING_CLIENT_TEMPLATE.FAT&amp;display_string=Audit&amp;VAR:KEY=VWNGJWDSNC&amp;VAR:QUERY=RkZfUlRfU0ZfVE9UX0dST1NTKFFUUiwtNDEp&amp;WINDOW=FIRST_POPUP&amp;HEIGHT=450&amp;WIDTH=450&amp;START_MA","XIMIZED=FALSE&amp;VAR:CALENDAR=US&amp;VAR:SYMBOL=DBRN&amp;VAR:INDEX=0"}</definedName>
    <definedName name="_274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2740__FDSAUDITLINK__" hidden="1">{"fdsup://directions/FAT Viewer?action=UPDATE&amp;creator=factset&amp;DYN_ARGS=TRUE&amp;DOC_NAME=FAT:FQL_AUDITING_CLIENT_TEMPLATE.FAT&amp;display_string=Audit&amp;VAR:KEY=JGJWPYNKXE&amp;VAR:QUERY=RkZfUlRfU0ZfVE9UX0dST1NTKFFUUiwtNDAp&amp;WINDOW=FIRST_POPUP&amp;HEIGHT=450&amp;WIDTH=450&amp;START_MA","XIMIZED=FALSE&amp;VAR:CALENDAR=US&amp;VAR:SYMBOL=DBRN&amp;VAR:INDEX=0"}</definedName>
    <definedName name="_2741__FDSAUDITLINK__" hidden="1">{"fdsup://directions/FAT Viewer?action=UPDATE&amp;creator=factset&amp;DYN_ARGS=TRUE&amp;DOC_NAME=FAT:FQL_AUDITING_CLIENT_TEMPLATE.FAT&amp;display_string=Audit&amp;VAR:KEY=DCROFUZQNW&amp;VAR:QUERY=RkZfUlRfU0ZfVE9UX0dST1NTKFFUUiwtMzkp&amp;WINDOW=FIRST_POPUP&amp;HEIGHT=450&amp;WIDTH=450&amp;START_MA","XIMIZED=FALSE&amp;VAR:CALENDAR=US&amp;VAR:SYMBOL=DBRN&amp;VAR:INDEX=0"}</definedName>
    <definedName name="_2742__FDSAUDITLINK__" hidden="1">{"fdsup://directions/FAT Viewer?action=UPDATE&amp;creator=factset&amp;DYN_ARGS=TRUE&amp;DOC_NAME=FAT:FQL_AUDITING_CLIENT_TEMPLATE.FAT&amp;display_string=Audit&amp;VAR:KEY=NGTSNGJMPW&amp;VAR:QUERY=RkZfUlRfU0ZfVE9UX0dST1NTKFFUUiwtMzgp&amp;WINDOW=FIRST_POPUP&amp;HEIGHT=450&amp;WIDTH=450&amp;START_MA","XIMIZED=FALSE&amp;VAR:CALENDAR=US&amp;VAR:SYMBOL=DBRN&amp;VAR:INDEX=0"}</definedName>
    <definedName name="_2743__FDSAUDITLINK__" hidden="1">{"fdsup://directions/FAT Viewer?action=UPDATE&amp;creator=factset&amp;DYN_ARGS=TRUE&amp;DOC_NAME=FAT:FQL_AUDITING_CLIENT_TEMPLATE.FAT&amp;display_string=Audit&amp;VAR:KEY=LYVOVQVWJK&amp;VAR:QUERY=RkZfUlRfU0ZfVE9UX0dST1NTKFFUUiwtMzcp&amp;WINDOW=FIRST_POPUP&amp;HEIGHT=450&amp;WIDTH=450&amp;START_MA","XIMIZED=FALSE&amp;VAR:CALENDAR=US&amp;VAR:SYMBOL=DBRN&amp;VAR:INDEX=0"}</definedName>
    <definedName name="_2744__FDSAUDITLINK__" hidden="1">{"fdsup://directions/FAT Viewer?action=UPDATE&amp;creator=factset&amp;DYN_ARGS=TRUE&amp;DOC_NAME=FAT:FQL_AUDITING_CLIENT_TEMPLATE.FAT&amp;display_string=Audit&amp;VAR:KEY=NGTGVKJKLU&amp;VAR:QUERY=RkZfUlRfU0ZfVE9UX0dST1NTKFFUUiwtMzYp&amp;WINDOW=FIRST_POPUP&amp;HEIGHT=450&amp;WIDTH=450&amp;START_MA","XIMIZED=FALSE&amp;VAR:CALENDAR=US&amp;VAR:SYMBOL=DBRN&amp;VAR:INDEX=0"}</definedName>
    <definedName name="_2745__FDSAUDITLINK__" hidden="1">{"fdsup://directions/FAT Viewer?action=UPDATE&amp;creator=factset&amp;DYN_ARGS=TRUE&amp;DOC_NAME=FAT:FQL_AUDITING_CLIENT_TEMPLATE.FAT&amp;display_string=Audit&amp;VAR:KEY=RUPKHALQHU&amp;VAR:QUERY=RkZfUlRfU0ZfVE9UX0dST1NTKFFUUiwtMzUp&amp;WINDOW=FIRST_POPUP&amp;HEIGHT=450&amp;WIDTH=450&amp;START_MA","XIMIZED=FALSE&amp;VAR:CALENDAR=US&amp;VAR:SYMBOL=DBRN&amp;VAR:INDEX=0"}</definedName>
    <definedName name="_2746__FDSAUDITLINK__" hidden="1">{"fdsup://directions/FAT Viewer?action=UPDATE&amp;creator=factset&amp;DYN_ARGS=TRUE&amp;DOC_NAME=FAT:FQL_AUDITING_CLIENT_TEMPLATE.FAT&amp;display_string=Audit&amp;VAR:KEY=NKVOJYFWZI&amp;VAR:QUERY=RkZfUlRfU0ZfVE9UX0dST1NTKFFUUiwtMzQp&amp;WINDOW=FIRST_POPUP&amp;HEIGHT=450&amp;WIDTH=450&amp;START_MA","XIMIZED=FALSE&amp;VAR:CALENDAR=US&amp;VAR:SYMBOL=DBRN&amp;VAR:INDEX=0"}</definedName>
    <definedName name="_2747__FDSAUDITLINK__" hidden="1">{"fdsup://directions/FAT Viewer?action=UPDATE&amp;creator=factset&amp;DYN_ARGS=TRUE&amp;DOC_NAME=FAT:FQL_AUDITING_CLIENT_TEMPLATE.FAT&amp;display_string=Audit&amp;VAR:KEY=XCPADWPADE&amp;VAR:QUERY=RkZfUlRfU0ZfVE9UX0dST1NTKFFUUiwtMzMp&amp;WINDOW=FIRST_POPUP&amp;HEIGHT=450&amp;WIDTH=450&amp;START_MA","XIMIZED=FALSE&amp;VAR:CALENDAR=US&amp;VAR:SYMBOL=DBRN&amp;VAR:INDEX=0"}</definedName>
    <definedName name="_2748__FDSAUDITLINK__" hidden="1">{"fdsup://directions/FAT Viewer?action=UPDATE&amp;creator=factset&amp;DYN_ARGS=TRUE&amp;DOC_NAME=FAT:FQL_AUDITING_CLIENT_TEMPLATE.FAT&amp;display_string=Audit&amp;VAR:KEY=RKTCJUHCJM&amp;VAR:QUERY=RkZfUlRfU0ZfVE9UX0dST1NTKFFUUiwtMzIp&amp;WINDOW=FIRST_POPUP&amp;HEIGHT=450&amp;WIDTH=450&amp;START_MA","XIMIZED=FALSE&amp;VAR:CALENDAR=US&amp;VAR:SYMBOL=DBRN&amp;VAR:INDEX=0"}</definedName>
    <definedName name="_2749__FDSAUDITLINK__" hidden="1">{"fdsup://directions/FAT Viewer?action=UPDATE&amp;creator=factset&amp;DYN_ARGS=TRUE&amp;DOC_NAME=FAT:FQL_AUDITING_CLIENT_TEMPLATE.FAT&amp;display_string=Audit&amp;VAR:KEY=VQBUBCVANQ&amp;VAR:QUERY=RkZfUlRfU0ZfVE9UX0dST1NTKFFUUiwtMzEp&amp;WINDOW=FIRST_POPUP&amp;HEIGHT=450&amp;WIDTH=450&amp;START_MA","XIMIZED=FALSE&amp;VAR:CALENDAR=US&amp;VAR:SYMBOL=DBRN&amp;VAR:INDEX=0"}</definedName>
    <definedName name="_275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2750__FDSAUDITLINK__" hidden="1">{"fdsup://directions/FAT Viewer?action=UPDATE&amp;creator=factset&amp;DYN_ARGS=TRUE&amp;DOC_NAME=FAT:FQL_AUDITING_CLIENT_TEMPLATE.FAT&amp;display_string=Audit&amp;VAR:KEY=LIBWRWZOFE&amp;VAR:QUERY=RkZfUlRfU0ZfVE9UX0dST1NTKFFUUiwtMzAp&amp;WINDOW=FIRST_POPUP&amp;HEIGHT=450&amp;WIDTH=450&amp;START_MA","XIMIZED=FALSE&amp;VAR:CALENDAR=US&amp;VAR:SYMBOL=DBRN&amp;VAR:INDEX=0"}</definedName>
    <definedName name="_2751__FDSAUDITLINK__" hidden="1">{"fdsup://directions/FAT Viewer?action=UPDATE&amp;creator=factset&amp;DYN_ARGS=TRUE&amp;DOC_NAME=FAT:FQL_AUDITING_CLIENT_TEMPLATE.FAT&amp;display_string=Audit&amp;VAR:KEY=HMDIRANAZM&amp;VAR:QUERY=RkZfUlRfU0ZfVE9UX0dST1NTKFFUUiwtMjkp&amp;WINDOW=FIRST_POPUP&amp;HEIGHT=450&amp;WIDTH=450&amp;START_MA","XIMIZED=FALSE&amp;VAR:CALENDAR=US&amp;VAR:SYMBOL=DBRN&amp;VAR:INDEX=0"}</definedName>
    <definedName name="_2752__FDSAUDITLINK__" hidden="1">{"fdsup://directions/FAT Viewer?action=UPDATE&amp;creator=factset&amp;DYN_ARGS=TRUE&amp;DOC_NAME=FAT:FQL_AUDITING_CLIENT_TEMPLATE.FAT&amp;display_string=Audit&amp;VAR:KEY=BUPMXCPCFM&amp;VAR:QUERY=RkZfUlRfU0ZfVE9UX0dST1NTKFFUUiwtMjgp&amp;WINDOW=FIRST_POPUP&amp;HEIGHT=450&amp;WIDTH=450&amp;START_MA","XIMIZED=FALSE&amp;VAR:CALENDAR=US&amp;VAR:SYMBOL=DBRN&amp;VAR:INDEX=0"}</definedName>
    <definedName name="_2753__FDSAUDITLINK__" hidden="1">{"fdsup://directions/FAT Viewer?action=UPDATE&amp;creator=factset&amp;DYN_ARGS=TRUE&amp;DOC_NAME=FAT:FQL_AUDITING_CLIENT_TEMPLATE.FAT&amp;display_string=Audit&amp;VAR:KEY=ZEJGTYHGNY&amp;VAR:QUERY=RkZfUlRfU0ZfVE9UX0dST1NTKFFUUiwtMjcp&amp;WINDOW=FIRST_POPUP&amp;HEIGHT=450&amp;WIDTH=450&amp;START_MA","XIMIZED=FALSE&amp;VAR:CALENDAR=US&amp;VAR:SYMBOL=DBRN&amp;VAR:INDEX=0"}</definedName>
    <definedName name="_2754__FDSAUDITLINK__" hidden="1">{"fdsup://directions/FAT Viewer?action=UPDATE&amp;creator=factset&amp;DYN_ARGS=TRUE&amp;DOC_NAME=FAT:FQL_AUDITING_CLIENT_TEMPLATE.FAT&amp;display_string=Audit&amp;VAR:KEY=ZMXYXARSHK&amp;VAR:QUERY=RkZfUlRfU0ZfVE9UX0dST1NTKFFUUiwtMjYp&amp;WINDOW=FIRST_POPUP&amp;HEIGHT=450&amp;WIDTH=450&amp;START_MA","XIMIZED=FALSE&amp;VAR:CALENDAR=US&amp;VAR:SYMBOL=DBRN&amp;VAR:INDEX=0"}</definedName>
    <definedName name="_2755__FDSAUDITLINK__" hidden="1">{"fdsup://directions/FAT Viewer?action=UPDATE&amp;creator=factset&amp;DYN_ARGS=TRUE&amp;DOC_NAME=FAT:FQL_AUDITING_CLIENT_TEMPLATE.FAT&amp;display_string=Audit&amp;VAR:KEY=ZGDMXCXMLA&amp;VAR:QUERY=RkZfUlRfU0ZfVE9UX0dST1NTKFFUUiwtMjUp&amp;WINDOW=FIRST_POPUP&amp;HEIGHT=450&amp;WIDTH=450&amp;START_MA","XIMIZED=FALSE&amp;VAR:CALENDAR=US&amp;VAR:SYMBOL=DBRN&amp;VAR:INDEX=0"}</definedName>
    <definedName name="_2756__FDSAUDITLINK__" hidden="1">{"fdsup://directions/FAT Viewer?action=UPDATE&amp;creator=factset&amp;DYN_ARGS=TRUE&amp;DOC_NAME=FAT:FQL_AUDITING_CLIENT_TEMPLATE.FAT&amp;display_string=Audit&amp;VAR:KEY=RAPUZEXQDA&amp;VAR:QUERY=RkZfUlRfU0ZfVE9UX0dST1NTKFFUUiwtMjQp&amp;WINDOW=FIRST_POPUP&amp;HEIGHT=450&amp;WIDTH=450&amp;START_MA","XIMIZED=FALSE&amp;VAR:CALENDAR=US&amp;VAR:SYMBOL=DBRN&amp;VAR:INDEX=0"}</definedName>
    <definedName name="_2757__FDSAUDITLINK__" hidden="1">{"fdsup://directions/FAT Viewer?action=UPDATE&amp;creator=factset&amp;DYN_ARGS=TRUE&amp;DOC_NAME=FAT:FQL_AUDITING_CLIENT_TEMPLATE.FAT&amp;display_string=Audit&amp;VAR:KEY=FUPMROVYPW&amp;VAR:QUERY=RkZfUlRfU0ZfVE9UX0dST1NTKFFUUiwtMjMp&amp;WINDOW=FIRST_POPUP&amp;HEIGHT=450&amp;WIDTH=450&amp;START_MA","XIMIZED=FALSE&amp;VAR:CALENDAR=US&amp;VAR:SYMBOL=DBRN&amp;VAR:INDEX=0"}</definedName>
    <definedName name="_2758__FDSAUDITLINK__" hidden="1">{"fdsup://directions/FAT Viewer?action=UPDATE&amp;creator=factset&amp;DYN_ARGS=TRUE&amp;DOC_NAME=FAT:FQL_AUDITING_CLIENT_TEMPLATE.FAT&amp;display_string=Audit&amp;VAR:KEY=PCHYVEJMZO&amp;VAR:QUERY=RkZfUlRfU0ZfVE9UX0dST1NTKFFUUiwtMjIp&amp;WINDOW=FIRST_POPUP&amp;HEIGHT=450&amp;WIDTH=450&amp;START_MA","XIMIZED=FALSE&amp;VAR:CALENDAR=US&amp;VAR:SYMBOL=DBRN&amp;VAR:INDEX=0"}</definedName>
    <definedName name="_2759__FDSAUDITLINK__" hidden="1">{"fdsup://directions/FAT Viewer?action=UPDATE&amp;creator=factset&amp;DYN_ARGS=TRUE&amp;DOC_NAME=FAT:FQL_AUDITING_CLIENT_TEMPLATE.FAT&amp;display_string=Audit&amp;VAR:KEY=PEBSFAHQFE&amp;VAR:QUERY=RkZfUlRfU0ZfVE9UX0dST1NTKFFUUiwtMjEp&amp;WINDOW=FIRST_POPUP&amp;HEIGHT=450&amp;WIDTH=450&amp;START_MA","XIMIZED=FALSE&amp;VAR:CALENDAR=US&amp;VAR:SYMBOL=DBRN&amp;VAR:INDEX=0"}</definedName>
    <definedName name="_276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2760__FDSAUDITLINK__" hidden="1">{"fdsup://directions/FAT Viewer?action=UPDATE&amp;creator=factset&amp;DYN_ARGS=TRUE&amp;DOC_NAME=FAT:FQL_AUDITING_CLIENT_TEMPLATE.FAT&amp;display_string=Audit&amp;VAR:KEY=XAHOVYTITS&amp;VAR:QUERY=RkZfUlRfU0ZfVE9UX0dST1NTKFFUUiwtMjAp&amp;WINDOW=FIRST_POPUP&amp;HEIGHT=450&amp;WIDTH=450&amp;START_MA","XIMIZED=FALSE&amp;VAR:CALENDAR=US&amp;VAR:SYMBOL=DBRN&amp;VAR:INDEX=0"}</definedName>
    <definedName name="_2761__FDSAUDITLINK__" hidden="1">{"fdsup://directions/FAT Viewer?action=UPDATE&amp;creator=factset&amp;DYN_ARGS=TRUE&amp;DOC_NAME=FAT:FQL_AUDITING_CLIENT_TEMPLATE.FAT&amp;display_string=Audit&amp;VAR:KEY=PCZURWLAJY&amp;VAR:QUERY=RkZfUlRfU0ZfVE9UX0dST1NTKFFUUiwtMTkp&amp;WINDOW=FIRST_POPUP&amp;HEIGHT=450&amp;WIDTH=450&amp;START_MA","XIMIZED=FALSE&amp;VAR:CALENDAR=US&amp;VAR:SYMBOL=DBRN&amp;VAR:INDEX=0"}</definedName>
    <definedName name="_2762__FDSAUDITLINK__" hidden="1">{"fdsup://directions/FAT Viewer?action=UPDATE&amp;creator=factset&amp;DYN_ARGS=TRUE&amp;DOC_NAME=FAT:FQL_AUDITING_CLIENT_TEMPLATE.FAT&amp;display_string=Audit&amp;VAR:KEY=PWNQRKFAJI&amp;VAR:QUERY=RkZfUlRfU0ZfVE9UX0dST1NTKFFUUiwtMTgp&amp;WINDOW=FIRST_POPUP&amp;HEIGHT=450&amp;WIDTH=450&amp;START_MA","XIMIZED=FALSE&amp;VAR:CALENDAR=US&amp;VAR:SYMBOL=DBRN&amp;VAR:INDEX=0"}</definedName>
    <definedName name="_2763__FDSAUDITLINK__" hidden="1">{"fdsup://directions/FAT Viewer?action=UPDATE&amp;creator=factset&amp;DYN_ARGS=TRUE&amp;DOC_NAME=FAT:FQL_AUDITING_CLIENT_TEMPLATE.FAT&amp;display_string=Audit&amp;VAR:KEY=VEJSFSLURG&amp;VAR:QUERY=RkZfUlRfU0ZfVE9UX0dST1NTKFFUUiwtMTcp&amp;WINDOW=FIRST_POPUP&amp;HEIGHT=450&amp;WIDTH=450&amp;START_MA","XIMIZED=FALSE&amp;VAR:CALENDAR=US&amp;VAR:SYMBOL=DBRN&amp;VAR:INDEX=0"}</definedName>
    <definedName name="_2764__FDSAUDITLINK__" hidden="1">{"fdsup://directions/FAT Viewer?action=UPDATE&amp;creator=factset&amp;DYN_ARGS=TRUE&amp;DOC_NAME=FAT:FQL_AUDITING_CLIENT_TEMPLATE.FAT&amp;display_string=Audit&amp;VAR:KEY=VMZSFOTIPO&amp;VAR:QUERY=RkZfUlRfU0ZfVE9UX0dST1NTKFFUUiwtMTYp&amp;WINDOW=FIRST_POPUP&amp;HEIGHT=450&amp;WIDTH=450&amp;START_MA","XIMIZED=FALSE&amp;VAR:CALENDAR=US&amp;VAR:SYMBOL=DBRN&amp;VAR:INDEX=0"}</definedName>
    <definedName name="_2765__FDSAUDITLINK__" hidden="1">{"fdsup://directions/FAT Viewer?action=UPDATE&amp;creator=factset&amp;DYN_ARGS=TRUE&amp;DOC_NAME=FAT:FQL_AUDITING_CLIENT_TEMPLATE.FAT&amp;display_string=Audit&amp;VAR:KEY=NYTEXIPWHK&amp;VAR:QUERY=RkZfUlRfU0ZfVE9UX0dST1NTKFFUUiwtMTUp&amp;WINDOW=FIRST_POPUP&amp;HEIGHT=450&amp;WIDTH=450&amp;START_MA","XIMIZED=FALSE&amp;VAR:CALENDAR=US&amp;VAR:SYMBOL=DBRN&amp;VAR:INDEX=0"}</definedName>
    <definedName name="_2766__FDSAUDITLINK__" hidden="1">{"fdsup://directions/FAT Viewer?action=UPDATE&amp;creator=factset&amp;DYN_ARGS=TRUE&amp;DOC_NAME=FAT:FQL_AUDITING_CLIENT_TEMPLATE.FAT&amp;display_string=Audit&amp;VAR:KEY=DSVMZSVMZO&amp;VAR:QUERY=RkZfUlRfU0ZfVE9UX0dST1NTKFFUUiwtMTQp&amp;WINDOW=FIRST_POPUP&amp;HEIGHT=450&amp;WIDTH=450&amp;START_MA","XIMIZED=FALSE&amp;VAR:CALENDAR=US&amp;VAR:SYMBOL=DBRN&amp;VAR:INDEX=0"}</definedName>
    <definedName name="_2767__FDSAUDITLINK__" hidden="1">{"fdsup://directions/FAT Viewer?action=UPDATE&amp;creator=factset&amp;DYN_ARGS=TRUE&amp;DOC_NAME=FAT:FQL_AUDITING_CLIENT_TEMPLATE.FAT&amp;display_string=Audit&amp;VAR:KEY=VQXSJSNKJG&amp;VAR:QUERY=RkZfUlRfU0ZfVE9UX0dST1NTKFFUUiwtMTMp&amp;WINDOW=FIRST_POPUP&amp;HEIGHT=450&amp;WIDTH=450&amp;START_MA","XIMIZED=FALSE&amp;VAR:CALENDAR=US&amp;VAR:SYMBOL=DBRN&amp;VAR:INDEX=0"}</definedName>
    <definedName name="_2768__FDSAUDITLINK__" hidden="1">{"fdsup://directions/FAT Viewer?action=UPDATE&amp;creator=factset&amp;DYN_ARGS=TRUE&amp;DOC_NAME=FAT:FQL_AUDITING_CLIENT_TEMPLATE.FAT&amp;display_string=Audit&amp;VAR:KEY=PUFCXIVAXG&amp;VAR:QUERY=RkZfUlRfU0ZfVE9UX0dST1NTKFFUUiwtMTIp&amp;WINDOW=FIRST_POPUP&amp;HEIGHT=450&amp;WIDTH=450&amp;START_MA","XIMIZED=FALSE&amp;VAR:CALENDAR=US&amp;VAR:SYMBOL=DBRN&amp;VAR:INDEX=0"}</definedName>
    <definedName name="_2769__FDSAUDITLINK__" hidden="1">{"fdsup://directions/FAT Viewer?action=UPDATE&amp;creator=factset&amp;DYN_ARGS=TRUE&amp;DOC_NAME=FAT:FQL_AUDITING_CLIENT_TEMPLATE.FAT&amp;display_string=Audit&amp;VAR:KEY=DUPETUHELY&amp;VAR:QUERY=RkZfUlRfU0ZfVE9UX0dST1NTKFFUUiwtMTEp&amp;WINDOW=FIRST_POPUP&amp;HEIGHT=450&amp;WIDTH=450&amp;START_MA","XIMIZED=FALSE&amp;VAR:CALENDAR=US&amp;VAR:SYMBOL=DBRN&amp;VAR:INDEX=0"}</definedName>
    <definedName name="_277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2770__FDSAUDITLINK__" hidden="1">{"fdsup://directions/FAT Viewer?action=UPDATE&amp;creator=factset&amp;DYN_ARGS=TRUE&amp;DOC_NAME=FAT:FQL_AUDITING_CLIENT_TEMPLATE.FAT&amp;display_string=Audit&amp;VAR:KEY=NSVOPELSHM&amp;VAR:QUERY=RkZfUlRfU0ZfVE9UX0dST1NTKFFUUiwtMTAp&amp;WINDOW=FIRST_POPUP&amp;HEIGHT=450&amp;WIDTH=450&amp;START_MA","XIMIZED=FALSE&amp;VAR:CALENDAR=US&amp;VAR:SYMBOL=DBRN&amp;VAR:INDEX=0"}</definedName>
    <definedName name="_2771__FDSAUDITLINK__" hidden="1">{"fdsup://directions/FAT Viewer?action=UPDATE&amp;creator=factset&amp;DYN_ARGS=TRUE&amp;DOC_NAME=FAT:FQL_AUDITING_CLIENT_TEMPLATE.FAT&amp;display_string=Audit&amp;VAR:KEY=LUJMZERCNC&amp;VAR:QUERY=RkZfUlRfU0ZfVE9UX0dST1NTKFFUUiwtOSk=&amp;WINDOW=FIRST_POPUP&amp;HEIGHT=450&amp;WIDTH=450&amp;START_MA","XIMIZED=FALSE&amp;VAR:CALENDAR=US&amp;VAR:SYMBOL=DBRN&amp;VAR:INDEX=0"}</definedName>
    <definedName name="_2772__FDSAUDITLINK__" hidden="1">{"fdsup://directions/FAT Viewer?action=UPDATE&amp;creator=factset&amp;DYN_ARGS=TRUE&amp;DOC_NAME=FAT:FQL_AUDITING_CLIENT_TEMPLATE.FAT&amp;display_string=Audit&amp;VAR:KEY=TMDOHSFIJW&amp;VAR:QUERY=RkZfUlRfU0ZfVE9UX0dST1NTKFFUUiwtOCk=&amp;WINDOW=FIRST_POPUP&amp;HEIGHT=450&amp;WIDTH=450&amp;START_MA","XIMIZED=FALSE&amp;VAR:CALENDAR=US&amp;VAR:SYMBOL=DBRN&amp;VAR:INDEX=0"}</definedName>
    <definedName name="_2773__FDSAUDITLINK__" hidden="1">{"fdsup://directions/FAT Viewer?action=UPDATE&amp;creator=factset&amp;DYN_ARGS=TRUE&amp;DOC_NAME=FAT:FQL_AUDITING_CLIENT_TEMPLATE.FAT&amp;display_string=Audit&amp;VAR:KEY=HYDSPKZIXU&amp;VAR:QUERY=RkZfUlRfU0ZfVE9UX0dST1NTKFFUUiwtNyk=&amp;WINDOW=FIRST_POPUP&amp;HEIGHT=450&amp;WIDTH=450&amp;START_MA","XIMIZED=FALSE&amp;VAR:CALENDAR=US&amp;VAR:SYMBOL=DBRN&amp;VAR:INDEX=0"}</definedName>
    <definedName name="_2774__FDSAUDITLINK__" hidden="1">{"fdsup://directions/FAT Viewer?action=UPDATE&amp;creator=factset&amp;DYN_ARGS=TRUE&amp;DOC_NAME=FAT:FQL_AUDITING_CLIENT_TEMPLATE.FAT&amp;display_string=Audit&amp;VAR:KEY=DUDYFUJIHE&amp;VAR:QUERY=RkZfUlRfU0ZfVE9UX0dST1NTKFFUUiwtNik=&amp;WINDOW=FIRST_POPUP&amp;HEIGHT=450&amp;WIDTH=450&amp;START_MA","XIMIZED=FALSE&amp;VAR:CALENDAR=US&amp;VAR:SYMBOL=DBRN&amp;VAR:INDEX=0"}</definedName>
    <definedName name="_2775__FDSAUDITLINK__" hidden="1">{"fdsup://directions/FAT Viewer?action=UPDATE&amp;creator=factset&amp;DYN_ARGS=TRUE&amp;DOC_NAME=FAT:FQL_AUDITING_CLIENT_TEMPLATE.FAT&amp;display_string=Audit&amp;VAR:KEY=BMXMBQZYBW&amp;VAR:QUERY=RkZfUlRfU0ZfVE9UX0dST1NTKFFUUiwtNSk=&amp;WINDOW=FIRST_POPUP&amp;HEIGHT=450&amp;WIDTH=450&amp;START_MA","XIMIZED=FALSE&amp;VAR:CALENDAR=US&amp;VAR:SYMBOL=DBRN&amp;VAR:INDEX=0"}</definedName>
    <definedName name="_2776__FDSAUDITLINK__" hidden="1">{"fdsup://directions/FAT Viewer?action=UPDATE&amp;creator=factset&amp;DYN_ARGS=TRUE&amp;DOC_NAME=FAT:FQL_AUDITING_CLIENT_TEMPLATE.FAT&amp;display_string=Audit&amp;VAR:KEY=FMXGVCLQVA&amp;VAR:QUERY=RkZfUlRfU0ZfVE9UX0dST1NTKFFUUiwtNCk=&amp;WINDOW=FIRST_POPUP&amp;HEIGHT=450&amp;WIDTH=450&amp;START_MA","XIMIZED=FALSE&amp;VAR:CALENDAR=US&amp;VAR:SYMBOL=DBRN&amp;VAR:INDEX=0"}</definedName>
    <definedName name="_2777__FDSAUDITLINK__" hidden="1">{"fdsup://directions/FAT Viewer?action=UPDATE&amp;creator=factset&amp;DYN_ARGS=TRUE&amp;DOC_NAME=FAT:FQL_AUDITING_CLIENT_TEMPLATE.FAT&amp;display_string=Audit&amp;VAR:KEY=JKNULCRGRS&amp;VAR:QUERY=RkZfUlRfU0ZfVE9UX0dST1NTKFFUUiwtMyk=&amp;WINDOW=FIRST_POPUP&amp;HEIGHT=450&amp;WIDTH=450&amp;START_MA","XIMIZED=FALSE&amp;VAR:CALENDAR=US&amp;VAR:SYMBOL=DBRN&amp;VAR:INDEX=0"}</definedName>
    <definedName name="_2778__FDSAUDITLINK__" hidden="1">{"fdsup://directions/FAT Viewer?action=UPDATE&amp;creator=factset&amp;DYN_ARGS=TRUE&amp;DOC_NAME=FAT:FQL_AUDITING_CLIENT_TEMPLATE.FAT&amp;display_string=Audit&amp;VAR:KEY=TIRMXCDUPO&amp;VAR:QUERY=RkZfUlRfU0ZfVE9UX0dST1NTKFFUUiwtMik=&amp;WINDOW=FIRST_POPUP&amp;HEIGHT=450&amp;WIDTH=450&amp;START_MA","XIMIZED=FALSE&amp;VAR:CALENDAR=US&amp;VAR:SYMBOL=DBRN&amp;VAR:INDEX=0"}</definedName>
    <definedName name="_2779__FDSAUDITLINK__" hidden="1">{"fdsup://directions/FAT Viewer?action=UPDATE&amp;creator=factset&amp;DYN_ARGS=TRUE&amp;DOC_NAME=FAT:FQL_AUDITING_CLIENT_TEMPLATE.FAT&amp;display_string=Audit&amp;VAR:KEY=XMFIZGVCXS&amp;VAR:QUERY=RkZfUlRfU0ZfVE9UX0dST1NTKFFUUiwtMSk=&amp;WINDOW=FIRST_POPUP&amp;HEIGHT=450&amp;WIDTH=450&amp;START_MA","XIMIZED=FALSE&amp;VAR:CALENDAR=US&amp;VAR:SYMBOL=DBRN&amp;VAR:INDEX=0"}</definedName>
    <definedName name="_278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2780__FDSAUDITLINK__" hidden="1">{"fdsup://directions/FAT Viewer?action=UPDATE&amp;creator=factset&amp;DYN_ARGS=TRUE&amp;DOC_NAME=FAT:FQL_AUDITING_CLIENT_TEMPLATE.FAT&amp;display_string=Audit&amp;VAR:KEY=FCXIFIFAHG&amp;VAR:QUERY=RkZfUlRfU0ZfVE9UX0dST1NTKFFUUiwwKQ==&amp;WINDOW=FIRST_POPUP&amp;HEIGHT=450&amp;WIDTH=450&amp;START_MA","XIMIZED=FALSE&amp;VAR:CALENDAR=US&amp;VAR:SYMBOL=DBRN&amp;VAR:INDEX=0"}</definedName>
    <definedName name="_2781__FDSAUDITLINK__" hidden="1">{"fdsup://directions/FAT Viewer?action=UPDATE&amp;creator=factset&amp;DYN_ARGS=TRUE&amp;DOC_NAME=FAT:FQL_AUDITING_CLIENT_TEMPLATE.FAT&amp;display_string=Audit&amp;VAR:KEY=FCXIFIFAHG&amp;VAR:QUERY=RkZfUlRfU0ZfVE9UX0dST1NTKFFUUiwwKQ==&amp;WINDOW=FIRST_POPUP&amp;HEIGHT=450&amp;WIDTH=450&amp;START_MA","XIMIZED=FALSE&amp;VAR:CALENDAR=US&amp;VAR:SYMBOL=DBRN&amp;VAR:INDEX=0"}</definedName>
    <definedName name="_2782__FDSAUDITLINK__" hidden="1">{"fdsup://directions/FAT Viewer?action=UPDATE&amp;creator=factset&amp;DYN_ARGS=TRUE&amp;DOC_NAME=FAT:FQL_AUDITING_CLIENT_TEMPLATE.FAT&amp;display_string=Audit&amp;VAR:KEY=XMFIZGVCXS&amp;VAR:QUERY=RkZfUlRfU0ZfVE9UX0dST1NTKFFUUiwtMSk=&amp;WINDOW=FIRST_POPUP&amp;HEIGHT=450&amp;WIDTH=450&amp;START_MA","XIMIZED=FALSE&amp;VAR:CALENDAR=US&amp;VAR:SYMBOL=DBRN&amp;VAR:INDEX=0"}</definedName>
    <definedName name="_2783__FDSAUDITLINK__" hidden="1">{"fdsup://directions/FAT Viewer?action=UPDATE&amp;creator=factset&amp;DYN_ARGS=TRUE&amp;DOC_NAME=FAT:FQL_AUDITING_CLIENT_TEMPLATE.FAT&amp;display_string=Audit&amp;VAR:KEY=TIRMXCDUPO&amp;VAR:QUERY=RkZfUlRfU0ZfVE9UX0dST1NTKFFUUiwtMik=&amp;WINDOW=FIRST_POPUP&amp;HEIGHT=450&amp;WIDTH=450&amp;START_MA","XIMIZED=FALSE&amp;VAR:CALENDAR=US&amp;VAR:SYMBOL=DBRN&amp;VAR:INDEX=0"}</definedName>
    <definedName name="_279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28__FDSAUDITLINK__" localSheetId="20" hidden="1">{"fdsup://Directions/FactSet Auditing Viewer?action=AUDIT_VALUE&amp;DB=129&amp;ID1=02553E10&amp;VALUEID=01001&amp;SDATE=200904&amp;PERIODTYPE=QTR_STD&amp;window=popup_no_bar&amp;width=385&amp;height=120&amp;START_MAXIMIZED=FALSE&amp;creator=factset&amp;display_string=Audit"}</definedName>
    <definedName name="_28__FDSAUDITLINK__" hidden="1">{"fdsup://Directions/FactSet Auditing Viewer?action=AUDIT_VALUE&amp;DB=129&amp;ID1=39006410&amp;VALUEID=01001&amp;SDATE=2005&amp;PERIODTYPE=ANN_STD&amp;window=popup_no_bar&amp;width=385&amp;height=120&amp;START_MAXIMIZED=FALSE&amp;creator=factset&amp;display_string=Audit"}</definedName>
    <definedName name="_280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281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282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283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284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285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286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287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288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289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29__FDSAUDITLINK__" localSheetId="20" hidden="1">{"fdsup://Directions/FactSet Auditing Viewer?action=AUDIT_VALUE&amp;DB=129&amp;ID1=00786510&amp;VALUEID=01001&amp;SDATE=200904&amp;PERIODTYPE=QTR_STD&amp;window=popup_no_bar&amp;width=385&amp;height=120&amp;START_MAXIMIZED=FALSE&amp;creator=factset&amp;display_string=Audit"}</definedName>
    <definedName name="_29__FDSAUDITLINK__" hidden="1">{"fdsup://Directions/FactSet Auditing Viewer?action=AUDIT_VALUE&amp;DB=129&amp;ID1=39006410&amp;VALUEID=04601&amp;SDATE=2005&amp;PERIODTYPE=ANN_STD&amp;window=popup_no_bar&amp;width=385&amp;height=120&amp;START_MAXIMIZED=FALSE&amp;creator=factset&amp;display_string=Audit"}</definedName>
    <definedName name="_290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291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292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293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294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295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296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297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298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299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3__123Graph_Aｸﾞﾗﾌ_2" hidden="1">[2]単独!$AR$14:$AR$18</definedName>
    <definedName name="_3__FDSAUDITLINK__" localSheetId="20"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3__FDSAUDITLINK__" hidden="1">{"fdsup://Directions/FactSet Auditing Viewer?action=AUDIT_VALUE&amp;DB=129&amp;ID1=02313510&amp;VALUEID=01001&amp;SDATE=2006&amp;PERIODTYPE=ANN_STD&amp;window=popup_no_bar&amp;width=385&amp;height=120&amp;START_MAXIMIZED=FALSE&amp;creator=factset&amp;display_string=Audit"}</definedName>
    <definedName name="_30__FDSAUDITLINK__" localSheetId="20" hidden="1">{"fdsup://Directions/FactSet Auditing Viewer?action=AUDIT_VALUE&amp;DB=129&amp;ID1=87416110&amp;VALUEID=02101&amp;SDATE=200903&amp;PERIODTYPE=QTR_STD&amp;window=popup_no_bar&amp;width=385&amp;height=120&amp;START_MAXIMIZED=FALSE&amp;creator=factset&amp;display_string=Audit"}</definedName>
    <definedName name="_30__FDSAUDITLINK__" hidden="1">{"fdsup://Directions/FactSet Auditing Viewer?action=AUDIT_VALUE&amp;DB=129&amp;ID1=39006410&amp;VALUEID=01001&amp;SDATE=2006&amp;PERIODTYPE=ANN_STD&amp;window=popup_no_bar&amp;width=385&amp;height=120&amp;START_MAXIMIZED=FALSE&amp;creator=factset&amp;display_string=Audit"}</definedName>
    <definedName name="_300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301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302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303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304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305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306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307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308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309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31__FDSAUDITLINK__" localSheetId="20" hidden="1">{"fdsup://Directions/FactSet Auditing Viewer?action=AUDIT_VALUE&amp;DB=129&amp;ID1=87416110&amp;VALUEID=01001&amp;SDATE=200903&amp;PERIODTYPE=QTR_STD&amp;window=popup_no_bar&amp;width=385&amp;height=120&amp;START_MAXIMIZED=FALSE&amp;creator=factset&amp;display_string=Audit"}</definedName>
    <definedName name="_31__FDSAUDITLINK__" hidden="1">{"fdsup://Directions/FactSet Auditing Viewer?action=AUDIT_VALUE&amp;DB=129&amp;ID1=39006410&amp;VALUEID=04601&amp;SDATE=2006&amp;PERIODTYPE=ANN_STD&amp;window=popup_no_bar&amp;width=385&amp;height=120&amp;START_MAXIMIZED=FALSE&amp;creator=factset&amp;display_string=Audit"}</definedName>
    <definedName name="_310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311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312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313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314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315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316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317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318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319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32__FDSAUDITLINK__" localSheetId="20" hidden="1">{"fdsup://Directions/FactSet Auditing Viewer?action=AUDIT_VALUE&amp;DB=129&amp;ID1=87416110&amp;VALUEID=13040&amp;SDATE=200903&amp;PERIODTYPE=QTR_STD&amp;window=popup_no_bar&amp;width=385&amp;height=120&amp;START_MAXIMIZED=FALSE&amp;creator=factset&amp;display_string=Audit"}</definedName>
    <definedName name="_32__FDSAUDITLINK__" hidden="1">{"fdsup://Directions/FactSet Auditing Viewer?action=AUDIT_VALUE&amp;DB=129&amp;ID1=39006410&amp;VALUEID=01001&amp;SDATE=2007&amp;PERIODTYPE=ANN_STD&amp;window=popup_no_bar&amp;width=385&amp;height=120&amp;START_MAXIMIZED=FALSE&amp;creator=factset&amp;display_string=Audit"}</definedName>
    <definedName name="_320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321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322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323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324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325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326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327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328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329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33__FDSAUDITLINK__" localSheetId="20"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33__FDSAUDITLINK__" hidden="1">{"fdsup://Directions/FactSet Auditing Viewer?action=AUDIT_VALUE&amp;DB=129&amp;ID1=39006410&amp;VALUEID=04601&amp;SDATE=2007&amp;PERIODTYPE=ANN_STD&amp;window=popup_no_bar&amp;width=385&amp;height=120&amp;START_MAXIMIZED=FALSE&amp;creator=factset&amp;display_string=Audit"}</definedName>
    <definedName name="_330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331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332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333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334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335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336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337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338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339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34__FDSAUDITLINK__" localSheetId="20" hidden="1">{"fdsup://Directions/FactSet Auditing Viewer?action=AUDIT_VALUE&amp;DB=129&amp;ID1=53271610&amp;VALUEID=02101&amp;SDATE=200903&amp;PERIODTYPE=QTR_STD&amp;window=popup_no_bar&amp;width=385&amp;height=120&amp;START_MAXIMIZED=FALSE&amp;creator=factset&amp;display_string=Audit"}</definedName>
    <definedName name="_34__FDSAUDITLINK__" hidden="1">{"fdsup://Directions/FactSet Auditing Viewer?action=AUDIT_VALUE&amp;DB=129&amp;ID1=39006410&amp;VALUEID=01001&amp;SDATE=2008&amp;PERIODTYPE=ANN_STD&amp;window=popup_no_bar&amp;width=385&amp;height=120&amp;START_MAXIMIZED=FALSE&amp;creator=factset&amp;display_string=Audit"}</definedName>
    <definedName name="_340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341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342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343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344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345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346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347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348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349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35__FDSAUDITLINK__" localSheetId="20" hidden="1">{"fdsup://Directions/FactSet Auditing Viewer?action=AUDIT_VALUE&amp;DB=129&amp;ID1=53271610&amp;VALUEID=01001&amp;SDATE=200903&amp;PERIODTYPE=QTR_STD&amp;window=popup_no_bar&amp;width=385&amp;height=120&amp;START_MAXIMIZED=FALSE&amp;creator=factset&amp;display_string=Audit"}</definedName>
    <definedName name="_35__FDSAUDITLINK__" hidden="1">{"fdsup://Directions/FactSet Auditing Viewer?action=AUDIT_VALUE&amp;DB=129&amp;ID1=39006410&amp;VALUEID=04601&amp;SDATE=2008&amp;PERIODTYPE=ANN_STD&amp;window=popup_no_bar&amp;width=385&amp;height=120&amp;START_MAXIMIZED=FALSE&amp;creator=factset&amp;display_string=Audit"}</definedName>
    <definedName name="_350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351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352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353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354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355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356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357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358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359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36__FDSAUDITLINK__" localSheetId="20" hidden="1">{"fdsup://Directions/FactSet Auditing Viewer?action=AUDIT_VALUE&amp;DB=129&amp;ID1=53271610&amp;VALUEID=13040&amp;SDATE=200903&amp;PERIODTYPE=QTR_STD&amp;window=popup_no_bar&amp;width=385&amp;height=120&amp;START_MAXIMIZED=FALSE&amp;creator=factset&amp;display_string=Audit"}</definedName>
    <definedName name="_36__FDSAUDITLINK__" hidden="1">{"fdsup://Directions/FactSet Auditing Viewer?action=AUDIT_VALUE&amp;DB=129&amp;ID1=69865710&amp;VALUEID=01001&amp;SDATE=2005&amp;PERIODTYPE=ANN_STD&amp;window=popup_no_bar&amp;width=385&amp;height=120&amp;START_MAXIMIZED=FALSE&amp;creator=factset&amp;display_string=Audit"}</definedName>
    <definedName name="_360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361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362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363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364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365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366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367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368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369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37__FDSAUDITLINK__" localSheetId="20" hidden="1">{"fdsup://Directions/FactSet Auditing Viewer?action=AUDIT_VALUE&amp;DB=129&amp;ID1=46612H40&amp;VALUEID=02101&amp;SDATE=200903&amp;PERIODTYPE=QTR_STD&amp;window=popup_no_bar&amp;width=385&amp;height=120&amp;START_MAXIMIZED=FALSE&amp;creator=factset&amp;display_string=Audit"}</definedName>
    <definedName name="_37__FDSAUDITLINK__" hidden="1">{"fdsup://Directions/FactSet Auditing Viewer?action=AUDIT_VALUE&amp;DB=129&amp;ID1=69865710&amp;VALUEID=04601&amp;SDATE=2005&amp;PERIODTYPE=ANN_STD&amp;window=popup_no_bar&amp;width=385&amp;height=120&amp;START_MAXIMIZED=FALSE&amp;creator=factset&amp;display_string=Audit"}</definedName>
    <definedName name="_370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371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372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373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374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375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376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377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378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379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38__FDSAUDITLINK__" localSheetId="20" hidden="1">{"fdsup://Directions/FactSet Auditing Viewer?action=AUDIT_VALUE&amp;DB=129&amp;ID1=46612H40&amp;VALUEID=01001&amp;SDATE=200903&amp;PERIODTYPE=QTR_STD&amp;window=popup_no_bar&amp;width=385&amp;height=120&amp;START_MAXIMIZED=FALSE&amp;creator=factset&amp;display_string=Audit"}</definedName>
    <definedName name="_38__FDSAUDITLINK__" hidden="1">{"fdsup://Directions/FactSet Auditing Viewer?action=AUDIT_VALUE&amp;DB=129&amp;ID1=69865710&amp;VALUEID=01001&amp;SDATE=2006&amp;PERIODTYPE=ANN_STD&amp;window=popup_no_bar&amp;width=385&amp;height=120&amp;START_MAXIMIZED=FALSE&amp;creator=factset&amp;display_string=Audit"}</definedName>
    <definedName name="_380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381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382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383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384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385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386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387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388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389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39__FDSAUDITLINK__" localSheetId="20" hidden="1">{"fdsup://Directions/FactSet Auditing Viewer?action=AUDIT_VALUE&amp;DB=129&amp;ID1=46612H40&amp;VALUEID=13040&amp;SDATE=200903&amp;PERIODTYPE=QTR_STD&amp;window=popup_no_bar&amp;width=385&amp;height=120&amp;START_MAXIMIZED=FALSE&amp;creator=factset&amp;display_string=Audit"}</definedName>
    <definedName name="_39__FDSAUDITLINK__" hidden="1">{"fdsup://Directions/FactSet Auditing Viewer?action=AUDIT_VALUE&amp;DB=129&amp;ID1=69865710&amp;VALUEID=04601&amp;SDATE=2006&amp;PERIODTYPE=ANN_STD&amp;window=popup_no_bar&amp;width=385&amp;height=120&amp;START_MAXIMIZED=FALSE&amp;creator=factset&amp;display_string=Audit"}</definedName>
    <definedName name="_390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391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392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393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394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395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396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397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398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399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4__123Graph_Bｸﾞﾗﾌ_1" hidden="1">[2]ｾｸﾞﾒﾝﾄ!$E$165:$I$165</definedName>
    <definedName name="_4__FDSAUDITLINK__" localSheetId="20" hidden="1">{"fdsup://Directions/FactSet Auditing Viewer?action=AUDIT_VALUE&amp;DB=129&amp;ID1=53271610&amp;VALUEID=02101&amp;SDATE=201001&amp;PERIODTYPE=QTR_STD&amp;window=popup_no_bar&amp;width=385&amp;height=120&amp;START_MAXIMIZED=FALSE&amp;creator=factset&amp;display_string=Audit"}</definedName>
    <definedName name="_4__FDSAUDITLINK__" hidden="1">{"fdsup://Directions/FactSet Auditing Viewer?action=AUDIT_VALUE&amp;DB=129&amp;ID1=02313510&amp;VALUEID=04601&amp;SDATE=2006&amp;PERIODTYPE=ANN_STD&amp;window=popup_no_bar&amp;width=385&amp;height=120&amp;START_MAXIMIZED=FALSE&amp;creator=factset&amp;display_string=Audit"}</definedName>
    <definedName name="_40__FDSAUDITLINK__" localSheetId="20" hidden="1">{"fdsup://Directions/FactSet Auditing Viewer?action=AUDIT_VALUE&amp;DB=129&amp;ID1=36476010&amp;VALUEID=02101&amp;SDATE=200903&amp;PERIODTYPE=QTR_STD&amp;window=popup_no_bar&amp;width=385&amp;height=120&amp;START_MAXIMIZED=FALSE&amp;creator=factset&amp;display_string=Audit"}</definedName>
    <definedName name="_40__FDSAUDITLINK__" hidden="1">{"fdsup://Directions/FactSet Auditing Viewer?action=AUDIT_VALUE&amp;DB=129&amp;ID1=69865710&amp;VALUEID=01001&amp;SDATE=2007&amp;PERIODTYPE=ANN_STD&amp;window=popup_no_bar&amp;width=385&amp;height=120&amp;START_MAXIMIZED=FALSE&amp;creator=factset&amp;display_string=Audit"}</definedName>
    <definedName name="_400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401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402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403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404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405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406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407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408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409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41__FDSAUDITLINK__" localSheetId="20" hidden="1">{"fdsup://Directions/FactSet Auditing Viewer?action=AUDIT_VALUE&amp;DB=129&amp;ID1=36476010&amp;VALUEID=01001&amp;SDATE=200903&amp;PERIODTYPE=QTR_STD&amp;window=popup_no_bar&amp;width=385&amp;height=120&amp;START_MAXIMIZED=FALSE&amp;creator=factset&amp;display_string=Audit"}</definedName>
    <definedName name="_41__FDSAUDITLINK__" hidden="1">{"fdsup://Directions/FactSet Auditing Viewer?action=AUDIT_VALUE&amp;DB=129&amp;ID1=69865710&amp;VALUEID=04601&amp;SDATE=2007&amp;PERIODTYPE=ANN_STD&amp;window=popup_no_bar&amp;width=385&amp;height=120&amp;START_MAXIMIZED=FALSE&amp;creator=factset&amp;display_string=Audit"}</definedName>
    <definedName name="_410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411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412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413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414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415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416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417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418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419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42__FDSAUDITLINK__" localSheetId="20" hidden="1">{"fdsup://Directions/FactSet Auditing Viewer?action=AUDIT_VALUE&amp;DB=129&amp;ID1=36476010&amp;VALUEID=13040&amp;SDATE=200903&amp;PERIODTYPE=QTR_STD&amp;window=popup_no_bar&amp;width=385&amp;height=120&amp;START_MAXIMIZED=FALSE&amp;creator=factset&amp;display_string=Audit"}</definedName>
    <definedName name="_42__FDSAUDITLINK__" hidden="1">{"fdsup://Directions/FactSet Auditing Viewer?action=AUDIT_VALUE&amp;DB=129&amp;ID1=69865710&amp;VALUEID=01001&amp;SDATE=2008&amp;PERIODTYPE=ANN_STD&amp;window=popup_no_bar&amp;width=385&amp;height=120&amp;START_MAXIMIZED=FALSE&amp;creator=factset&amp;display_string=Audit"}</definedName>
    <definedName name="_420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421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422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423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424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425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426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427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428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429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43__FDSAUDITLINK__" localSheetId="20" hidden="1">{"fdsup://Directions/FactSet Auditing Viewer?action=AUDIT_VALUE&amp;DB=129&amp;ID1=03611510&amp;VALUEID=02101&amp;SDATE=200903&amp;PERIODTYPE=QTR_STD&amp;window=popup_no_bar&amp;width=385&amp;height=120&amp;START_MAXIMIZED=FALSE&amp;creator=factset&amp;display_string=Audit"}</definedName>
    <definedName name="_43__FDSAUDITLINK__" hidden="1">{"fdsup://Directions/FactSet Auditing Viewer?action=AUDIT_VALUE&amp;DB=129&amp;ID1=69865710&amp;VALUEID=04601&amp;SDATE=2008&amp;PERIODTYPE=ANN_STD&amp;window=popup_no_bar&amp;width=385&amp;height=120&amp;START_MAXIMIZED=FALSE&amp;creator=factset&amp;display_string=Audit"}</definedName>
    <definedName name="_430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431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432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433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434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435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436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437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438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439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44__FDSAUDITLINK__" localSheetId="20" hidden="1">{"fdsup://Directions/FactSet Auditing Viewer?action=AUDIT_VALUE&amp;DB=129&amp;ID1=03611510&amp;VALUEID=01001&amp;SDATE=200903&amp;PERIODTYPE=QTR_STD&amp;window=popup_no_bar&amp;width=385&amp;height=120&amp;START_MAXIMIZED=FALSE&amp;creator=factset&amp;display_string=Audit"}</definedName>
    <definedName name="_44__FDSAUDITLINK__" hidden="1">{"fdsup://Directions/FactSet Auditing Viewer?action=AUDIT_VALUE&amp;DB=129&amp;ID1=69865710&amp;VALUEID=01001&amp;SDATE=2009&amp;PERIODTYPE=ANN_STD&amp;window=popup_no_bar&amp;width=385&amp;height=120&amp;START_MAXIMIZED=FALSE&amp;creator=factset&amp;display_string=Audit"}</definedName>
    <definedName name="_440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441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442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443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444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445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446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447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448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449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45__FDSAUDITLINK__" localSheetId="20" hidden="1">{"fdsup://Directions/FactSet Auditing Viewer?action=AUDIT_VALUE&amp;DB=129&amp;ID1=03611510&amp;VALUEID=13040&amp;SDATE=200903&amp;PERIODTYPE=QTR_STD&amp;window=popup_no_bar&amp;width=385&amp;height=120&amp;START_MAXIMIZED=FALSE&amp;creator=factset&amp;display_string=Audit"}</definedName>
    <definedName name="_45__FDSAUDITLINK__" hidden="1">{"fdsup://Directions/FactSet Auditing Viewer?action=AUDIT_VALUE&amp;DB=129&amp;ID1=69865710&amp;VALUEID=04601&amp;SDATE=2009&amp;PERIODTYPE=ANN_STD&amp;window=popup_no_bar&amp;width=385&amp;height=120&amp;START_MAXIMIZED=FALSE&amp;creator=factset&amp;display_string=Audit"}</definedName>
    <definedName name="_450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451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452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453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454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455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456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457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458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459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46__FDSAUDITLINK__" localSheetId="20" hidden="1">{"fdsup://Directions/FactSet Auditing Viewer?action=AUDIT_VALUE&amp;DB=129&amp;ID1=16890510&amp;VALUEID=02101&amp;SDATE=200903&amp;PERIODTYPE=QTR_STD&amp;window=popup_no_bar&amp;width=385&amp;height=120&amp;START_MAXIMIZED=FALSE&amp;creator=factset&amp;display_string=Audit"}</definedName>
    <definedName name="_46__FDSAUDITLINK__" hidden="1">{"fdsup://Directions/FactSet Auditing Viewer?action=AUDIT_VALUE&amp;DB=129&amp;ID1=36467W10&amp;VALUEID=01001&amp;SDATE=2005&amp;PERIODTYPE=ANN_STD&amp;window=popup_no_bar&amp;width=385&amp;height=120&amp;START_MAXIMIZED=FALSE&amp;creator=factset&amp;display_string=Audit"}</definedName>
    <definedName name="_460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461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462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463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464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465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466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467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468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469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47__FDSAUDITLINK__" localSheetId="20" hidden="1">{"fdsup://Directions/FactSet Auditing Viewer?action=AUDIT_VALUE&amp;DB=129&amp;ID1=16890510&amp;VALUEID=01001&amp;SDATE=200903&amp;PERIODTYPE=QTR_STD&amp;window=popup_no_bar&amp;width=385&amp;height=120&amp;START_MAXIMIZED=FALSE&amp;creator=factset&amp;display_string=Audit"}</definedName>
    <definedName name="_47__FDSAUDITLINK__" hidden="1">{"fdsup://Directions/FactSet Auditing Viewer?action=AUDIT_VALUE&amp;DB=129&amp;ID1=36467W10&amp;VALUEID=04601&amp;SDATE=2005&amp;PERIODTYPE=ANN_STD&amp;window=popup_no_bar&amp;width=385&amp;height=120&amp;START_MAXIMIZED=FALSE&amp;creator=factset&amp;display_string=Audit"}</definedName>
    <definedName name="_470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471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472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473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474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475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476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477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478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479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48__FDSAUDITLINK__" localSheetId="20" hidden="1">{"fdsup://Directions/FactSet Auditing Viewer?action=AUDIT_VALUE&amp;DB=129&amp;ID1=91704710&amp;VALUEID=02101&amp;SDATE=200903&amp;PERIODTYPE=QTR_STD&amp;window=popup_no_bar&amp;width=385&amp;height=120&amp;START_MAXIMIZED=FALSE&amp;creator=factset&amp;display_string=Audit"}</definedName>
    <definedName name="_48__FDSAUDITLINK__" hidden="1">{"fdsup://Directions/FactSet Auditing Viewer?action=AUDIT_VALUE&amp;DB=129&amp;ID1=36467W10&amp;VALUEID=01001&amp;SDATE=2006&amp;PERIODTYPE=ANN_STD&amp;window=popup_no_bar&amp;width=385&amp;height=120&amp;START_MAXIMIZED=FALSE&amp;creator=factset&amp;display_string=Audit"}</definedName>
    <definedName name="_480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481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482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483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484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485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486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487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488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489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49__FDSAUDITLINK__" localSheetId="20" hidden="1">{"fdsup://Directions/FactSet Auditing Viewer?action=AUDIT_VALUE&amp;DB=129&amp;ID1=91704710&amp;VALUEID=01001&amp;SDATE=200903&amp;PERIODTYPE=QTR_STD&amp;window=popup_no_bar&amp;width=385&amp;height=120&amp;START_MAXIMIZED=FALSE&amp;creator=factset&amp;display_string=Audit"}</definedName>
    <definedName name="_49__FDSAUDITLINK__" hidden="1">{"fdsup://Directions/FactSet Auditing Viewer?action=AUDIT_VALUE&amp;DB=129&amp;ID1=36467W10&amp;VALUEID=04601&amp;SDATE=2006&amp;PERIODTYPE=ANN_STD&amp;window=popup_no_bar&amp;width=385&amp;height=120&amp;START_MAXIMIZED=FALSE&amp;creator=factset&amp;display_string=Audit"}</definedName>
    <definedName name="_490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491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492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493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494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495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496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497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498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499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5__123Graph_Aｸﾞﾗﾌ_1" hidden="1">[2]ｾｸﾞﾒﾝﾄ!$E$164:$I$164</definedName>
    <definedName name="_5__123Graph_Dｸﾞﾗﾌ_1" hidden="1">[2]ｾｸﾞﾒﾝﾄ!$E$167:$I$167</definedName>
    <definedName name="_5__FDSAUDITLINK__" localSheetId="20" hidden="1">{"fdsup://Directions/FactSet Auditing Viewer?action=AUDIT_VALUE&amp;DB=129&amp;ID1=53271610&amp;VALUEID=13040&amp;SDATE=201001&amp;PERIODTYPE=QTR_STD&amp;window=popup_no_bar&amp;width=385&amp;height=120&amp;START_MAXIMIZED=FALSE&amp;creator=factset&amp;display_string=Audit"}</definedName>
    <definedName name="_5__FDSAUDITLINK__" hidden="1">{"fdsup://Directions/FactSet Auditing Viewer?action=AUDIT_VALUE&amp;DB=129&amp;ID1=02313510&amp;VALUEID=01001&amp;SDATE=2007&amp;PERIODTYPE=ANN_STD&amp;window=popup_no_bar&amp;width=385&amp;height=120&amp;START_MAXIMIZED=FALSE&amp;creator=factset&amp;display_string=Audit"}</definedName>
    <definedName name="_50__FDSAUDITLINK__" localSheetId="20" hidden="1">{"fdsup://Directions/FactSet Auditing Viewer?action=AUDIT_VALUE&amp;DB=129&amp;ID1=91704710&amp;VALUEID=13040&amp;SDATE=200903&amp;PERIODTYPE=QTR_STD&amp;window=popup_no_bar&amp;width=385&amp;height=120&amp;START_MAXIMIZED=FALSE&amp;creator=factset&amp;display_string=Audit"}</definedName>
    <definedName name="_50__FDSAUDITLINK__" hidden="1">{"fdsup://Directions/FactSet Auditing Viewer?action=AUDIT_VALUE&amp;DB=129&amp;ID1=36467W10&amp;VALUEID=01001&amp;SDATE=2007&amp;PERIODTYPE=ANN_STD&amp;window=popup_no_bar&amp;width=385&amp;height=120&amp;START_MAXIMIZED=FALSE&amp;creator=factset&amp;display_string=Audit"}</definedName>
    <definedName name="_500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501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502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503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504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505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506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507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508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509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51__FDSAUDITLINK__" localSheetId="20" hidden="1">{"fdsup://Directions/FactSet Auditing Viewer?action=AUDIT_VALUE&amp;DB=129&amp;ID1=02553E10&amp;VALUEID=02101&amp;SDATE=200903&amp;PERIODTYPE=QTR_STD&amp;window=popup_no_bar&amp;width=385&amp;height=120&amp;START_MAXIMIZED=FALSE&amp;creator=factset&amp;display_string=Audit"}</definedName>
    <definedName name="_51__FDSAUDITLINK__" hidden="1">{"fdsup://Directions/FactSet Auditing Viewer?action=AUDIT_VALUE&amp;DB=129&amp;ID1=36467W10&amp;VALUEID=04601&amp;SDATE=2007&amp;PERIODTYPE=ANN_STD&amp;window=popup_no_bar&amp;width=385&amp;height=120&amp;START_MAXIMIZED=FALSE&amp;creator=factset&amp;display_string=Audit"}</definedName>
    <definedName name="_510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511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512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513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514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515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516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517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518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519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52__FDSAUDITLINK__" localSheetId="20" hidden="1">{"fdsup://Directions/FactSet Auditing Viewer?action=AUDIT_VALUE&amp;DB=129&amp;ID1=02553E10&amp;VALUEID=01001&amp;SDATE=200903&amp;PERIODTYPE=QTR_STD&amp;window=popup_no_bar&amp;width=385&amp;height=120&amp;START_MAXIMIZED=FALSE&amp;creator=factset&amp;display_string=Audit"}</definedName>
    <definedName name="_52__FDSAUDITLINK__" hidden="1">{"fdsup://Directions/FactSet Auditing Viewer?action=AUDIT_VALUE&amp;DB=129&amp;ID1=36467W10&amp;VALUEID=01001&amp;SDATE=2008&amp;PERIODTYPE=ANN_STD&amp;window=popup_no_bar&amp;width=385&amp;height=120&amp;START_MAXIMIZED=FALSE&amp;creator=factset&amp;display_string=Audit"}</definedName>
    <definedName name="_520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521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522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523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524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525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526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527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528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529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53__FDSAUDITLINK__" localSheetId="20" hidden="1">{"fdsup://Directions/FactSet Auditing Viewer?action=AUDIT_VALUE&amp;DB=129&amp;ID1=00786510&amp;VALUEID=02101&amp;SDATE=200903&amp;PERIODTYPE=QTR_STD&amp;window=popup_no_bar&amp;width=385&amp;height=120&amp;START_MAXIMIZED=FALSE&amp;creator=factset&amp;display_string=Audit"}</definedName>
    <definedName name="_53__FDSAUDITLINK__" hidden="1">{"fdsup://Directions/FactSet Auditing Viewer?action=AUDIT_VALUE&amp;DB=129&amp;ID1=36467W10&amp;VALUEID=04601&amp;SDATE=2008&amp;PERIODTYPE=ANN_STD&amp;window=popup_no_bar&amp;width=385&amp;height=120&amp;START_MAXIMIZED=FALSE&amp;creator=factset&amp;display_string=Audit"}</definedName>
    <definedName name="_530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531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532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533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534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535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536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537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538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539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54__FDSAUDITLINK__" localSheetId="20" hidden="1">{"fdsup://Directions/FactSet Auditing Viewer?action=AUDIT_VALUE&amp;DB=129&amp;ID1=00786510&amp;VALUEID=01001&amp;SDATE=200903&amp;PERIODTYPE=QTR_STD&amp;window=popup_no_bar&amp;width=385&amp;height=120&amp;START_MAXIMIZED=FALSE&amp;creator=factset&amp;display_string=Audit"}</definedName>
    <definedName name="_54__FDSAUDITLINK__" hidden="1">{"fdsup://Directions/FactSet Auditing Viewer?action=AUDIT_VALUE&amp;DB=129&amp;ID1=25406710&amp;VALUEID=01001&amp;SDATE=2005&amp;PERIODTYPE=ANN_STD&amp;window=popup_no_bar&amp;width=385&amp;height=120&amp;START_MAXIMIZED=FALSE&amp;creator=factset&amp;display_string=Audit"}</definedName>
    <definedName name="_540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541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542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543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544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545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546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547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548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549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55__FDSAUDITLINK__" localSheetId="20" hidden="1">{"fdsup://Directions/FactSet Auditing Viewer?action=AUDIT_VALUE&amp;DB=129&amp;ID1=00786510&amp;VALUEID=13040&amp;SDATE=200903&amp;PERIODTYPE=QTR_STD&amp;window=popup_no_bar&amp;width=385&amp;height=120&amp;START_MAXIMIZED=FALSE&amp;creator=factset&amp;display_string=Audit"}</definedName>
    <definedName name="_55__FDSAUDITLINK__" hidden="1">{"fdsup://Directions/FactSet Auditing Viewer?action=AUDIT_VALUE&amp;DB=129&amp;ID1=25406710&amp;VALUEID=04601&amp;SDATE=2005&amp;PERIODTYPE=ANN_STD&amp;window=popup_no_bar&amp;width=385&amp;height=120&amp;START_MAXIMIZED=FALSE&amp;creator=factset&amp;display_string=Audit"}</definedName>
    <definedName name="_550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551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552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553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554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555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556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557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558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559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56__FDSAUDITLINK__" localSheetId="20" hidden="1">{"fdsup://Directions/FactSet Auditing Viewer?action=AUDIT_VALUE&amp;DB=129&amp;ID1=00289620&amp;VALUEID=02101&amp;SDATE=200903&amp;PERIODTYPE=QTR_STD&amp;window=popup_no_bar&amp;width=385&amp;height=120&amp;START_MAXIMIZED=FALSE&amp;creator=factset&amp;display_string=Audit"}</definedName>
    <definedName name="_56__FDSAUDITLINK__" hidden="1">{"fdsup://Directions/FactSet Auditing Viewer?action=AUDIT_VALUE&amp;DB=129&amp;ID1=25406710&amp;VALUEID=01001&amp;SDATE=2006&amp;PERIODTYPE=ANN_STD&amp;window=popup_no_bar&amp;width=385&amp;height=120&amp;START_MAXIMIZED=FALSE&amp;creator=factset&amp;display_string=Audit"}</definedName>
    <definedName name="_560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561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562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563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564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565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566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567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568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569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57__FDSAUDITLINK__" localSheetId="20" hidden="1">{"fdsup://Directions/FactSet Auditing Viewer?action=AUDIT_VALUE&amp;DB=129&amp;ID1=00289620&amp;VALUEID=01001&amp;SDATE=200903&amp;PERIODTYPE=QTR_STD&amp;window=popup_no_bar&amp;width=385&amp;height=120&amp;START_MAXIMIZED=FALSE&amp;creator=factset&amp;display_string=Audit"}</definedName>
    <definedName name="_57__FDSAUDITLINK__" hidden="1">{"fdsup://Directions/FactSet Auditing Viewer?action=AUDIT_VALUE&amp;DB=129&amp;ID1=25406710&amp;VALUEID=04601&amp;SDATE=2006&amp;PERIODTYPE=ANN_STD&amp;window=popup_no_bar&amp;width=385&amp;height=120&amp;START_MAXIMIZED=FALSE&amp;creator=factset&amp;display_string=Audit"}</definedName>
    <definedName name="_570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571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572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573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574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575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576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577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578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579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58__FDSAUDITLINK__" localSheetId="20" hidden="1">{"fdsup://Directions/FactSet Auditing Viewer?action=AUDIT_VALUE&amp;DB=129&amp;ID1=00289620&amp;VALUEID=13040&amp;SDATE=200903&amp;PERIODTYPE=QTR_STD&amp;window=popup_no_bar&amp;width=385&amp;height=120&amp;START_MAXIMIZED=FALSE&amp;creator=factset&amp;display_string=Audit"}</definedName>
    <definedName name="_58__FDSAUDITLINK__" hidden="1">{"fdsup://Directions/FactSet Auditing Viewer?action=AUDIT_VALUE&amp;DB=129&amp;ID1=25406710&amp;VALUEID=01001&amp;SDATE=2007&amp;PERIODTYPE=ANN_STD&amp;window=popup_no_bar&amp;width=385&amp;height=120&amp;START_MAXIMIZED=FALSE&amp;creator=factset&amp;display_string=Audit"}</definedName>
    <definedName name="_580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581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582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583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584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585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586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587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588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589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59__FDSAUDITLINK__" localSheetId="20" hidden="1">{"fdsup://Directions/FactSet Auditing Viewer?action=AUDIT_VALUE&amp;DB=129&amp;ID1=87416110&amp;VALUEID=02101&amp;SDATE=200902&amp;PERIODTYPE=QTR_STD&amp;window=popup_no_bar&amp;width=385&amp;height=120&amp;START_MAXIMIZED=FALSE&amp;creator=factset&amp;display_string=Audit"}</definedName>
    <definedName name="_59__FDSAUDITLINK__" hidden="1">{"fdsup://Directions/FactSet Auditing Viewer?action=AUDIT_VALUE&amp;DB=129&amp;ID1=25406710&amp;VALUEID=04601&amp;SDATE=2007&amp;PERIODTYPE=ANN_STD&amp;window=popup_no_bar&amp;width=385&amp;height=120&amp;START_MAXIMIZED=FALSE&amp;creator=factset&amp;display_string=Audit"}</definedName>
    <definedName name="_590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591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592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593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594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595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596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597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598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599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6__123Graph_Aｸﾞﾗﾌ_2" hidden="1">[2]単独!$AR$14:$AR$18</definedName>
    <definedName name="_6__FDSAUDITLINK__" localSheetId="20" hidden="1">{"fdsup://Directions/FactSet Auditing Viewer?action=AUDIT_VALUE&amp;DB=129&amp;ID1=46612H40&amp;VALUEID=02101&amp;SDATE=201001&amp;PERIODTYPE=QTR_STD&amp;window=popup_no_bar&amp;width=385&amp;height=120&amp;START_MAXIMIZED=FALSE&amp;creator=factset&amp;display_string=Audit"}</definedName>
    <definedName name="_6__FDSAUDITLINK__" hidden="1">{"fdsup://Directions/FactSet Auditing Viewer?action=AUDIT_VALUE&amp;DB=129&amp;ID1=02313510&amp;VALUEID=04601&amp;SDATE=2007&amp;PERIODTYPE=ANN_STD&amp;window=popup_no_bar&amp;width=385&amp;height=120&amp;START_MAXIMIZED=FALSE&amp;creator=factset&amp;display_string=Audit"}</definedName>
    <definedName name="_60__FDSAUDITLINK__" localSheetId="20" hidden="1">{"fdsup://Directions/FactSet Auditing Viewer?action=AUDIT_VALUE&amp;DB=129&amp;ID1=87416110&amp;VALUEID=01001&amp;SDATE=200902&amp;PERIODTYPE=QTR_STD&amp;window=popup_no_bar&amp;width=385&amp;height=120&amp;START_MAXIMIZED=FALSE&amp;creator=factset&amp;display_string=Audit"}</definedName>
    <definedName name="_60__FDSAUDITLINK__" hidden="1">{"fdsup://Directions/FactSet Auditing Viewer?action=AUDIT_VALUE&amp;DB=129&amp;ID1=25406710&amp;VALUEID=01001&amp;SDATE=2008&amp;PERIODTYPE=ANN_STD&amp;window=popup_no_bar&amp;width=385&amp;height=120&amp;START_MAXIMIZED=FALSE&amp;creator=factset&amp;display_string=Audit"}</definedName>
    <definedName name="_600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601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602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603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604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605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606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607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608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609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61__FDSAUDITLINK__" localSheetId="20" hidden="1">{"fdsup://Directions/FactSet Auditing Viewer?action=AUDIT_VALUE&amp;DB=129&amp;ID1=53271610&amp;VALUEID=02101&amp;SDATE=200902&amp;PERIODTYPE=QTR_STD&amp;window=popup_no_bar&amp;width=385&amp;height=120&amp;START_MAXIMIZED=FALSE&amp;creator=factset&amp;display_string=Audit"}</definedName>
    <definedName name="_61__FDSAUDITLINK__" hidden="1">{"fdsup://Directions/FactSet Auditing Viewer?action=AUDIT_VALUE&amp;DB=129&amp;ID1=25406710&amp;VALUEID=04601&amp;SDATE=2008&amp;PERIODTYPE=ANN_STD&amp;window=popup_no_bar&amp;width=385&amp;height=120&amp;START_MAXIMIZED=FALSE&amp;creator=factset&amp;display_string=Audit"}</definedName>
    <definedName name="_610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611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612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613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614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615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616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617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618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619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62__FDSAUDITLINK__" localSheetId="20" hidden="1">{"fdsup://Directions/FactSet Auditing Viewer?action=AUDIT_VALUE&amp;DB=129&amp;ID1=53271610&amp;VALUEID=01001&amp;SDATE=200902&amp;PERIODTYPE=QTR_STD&amp;window=popup_no_bar&amp;width=385&amp;height=120&amp;START_MAXIMIZED=FALSE&amp;creator=factset&amp;display_string=Audit"}</definedName>
    <definedName name="_62__FDSAUDITLINK__" hidden="1">{"fdsup://Directions/FactSet Auditing Viewer?action=AUDIT_VALUE&amp;DB=129&amp;ID1=97428030&amp;VALUEID=01001&amp;SDATE=2005&amp;PERIODTYPE=ANN_STD&amp;window=popup_no_bar&amp;width=385&amp;height=120&amp;START_MAXIMIZED=FALSE&amp;creator=factset&amp;display_string=Audit"}</definedName>
    <definedName name="_620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621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622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623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624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625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626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627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628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629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63__FDSAUDITLINK__" localSheetId="20" hidden="1">{"fdsup://Directions/FactSet Auditing Viewer?action=AUDIT_VALUE&amp;DB=129&amp;ID1=53271610&amp;VALUEID=13040&amp;SDATE=200902&amp;PERIODTYPE=QTR_STD&amp;window=popup_no_bar&amp;width=385&amp;height=120&amp;START_MAXIMIZED=FALSE&amp;creator=factset&amp;display_string=Audit"}</definedName>
    <definedName name="_63__FDSAUDITLINK__" hidden="1">{"fdsup://Directions/FactSet Auditing Viewer?action=AUDIT_VALUE&amp;DB=129&amp;ID1=97428030&amp;VALUEID=04601&amp;SDATE=2005&amp;PERIODTYPE=ANN_STD&amp;window=popup_no_bar&amp;width=385&amp;height=120&amp;START_MAXIMIZED=FALSE&amp;creator=factset&amp;display_string=Audit"}</definedName>
    <definedName name="_630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631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632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633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634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635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636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637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638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639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64__FDSAUDITLINK__" localSheetId="20" hidden="1">{"fdsup://Directions/FactSet Auditing Viewer?action=AUDIT_VALUE&amp;DB=129&amp;ID1=46612H40&amp;VALUEID=02101&amp;SDATE=200902&amp;PERIODTYPE=QTR_STD&amp;window=popup_no_bar&amp;width=385&amp;height=120&amp;START_MAXIMIZED=FALSE&amp;creator=factset&amp;display_string=Audit"}</definedName>
    <definedName name="_64__FDSAUDITLINK__" hidden="1">{"fdsup://Directions/FactSet Auditing Viewer?action=AUDIT_VALUE&amp;DB=129&amp;ID1=97428030&amp;VALUEID=01001&amp;SDATE=2006&amp;PERIODTYPE=ANN_STD&amp;window=popup_no_bar&amp;width=385&amp;height=120&amp;START_MAXIMIZED=FALSE&amp;creator=factset&amp;display_string=Audit"}</definedName>
    <definedName name="_640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641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642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643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644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645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646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647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648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649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65__FDSAUDITLINK__" localSheetId="20" hidden="1">{"fdsup://Directions/FactSet Auditing Viewer?action=AUDIT_VALUE&amp;DB=129&amp;ID1=46612H40&amp;VALUEID=01001&amp;SDATE=200902&amp;PERIODTYPE=QTR_STD&amp;window=popup_no_bar&amp;width=385&amp;height=120&amp;START_MAXIMIZED=FALSE&amp;creator=factset&amp;display_string=Audit"}</definedName>
    <definedName name="_65__FDSAUDITLINK__" hidden="1">{"fdsup://Directions/FactSet Auditing Viewer?action=AUDIT_VALUE&amp;DB=129&amp;ID1=97428030&amp;VALUEID=04601&amp;SDATE=2006&amp;PERIODTYPE=ANN_STD&amp;window=popup_no_bar&amp;width=385&amp;height=120&amp;START_MAXIMIZED=FALSE&amp;creator=factset&amp;display_string=Audit"}</definedName>
    <definedName name="_650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651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652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653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654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655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656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657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658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659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66__FDSAUDITLINK__" localSheetId="20" hidden="1">{"fdsup://Directions/FactSet Auditing Viewer?action=AUDIT_VALUE&amp;DB=129&amp;ID1=46612H40&amp;VALUEID=13040&amp;SDATE=200902&amp;PERIODTYPE=QTR_STD&amp;window=popup_no_bar&amp;width=385&amp;height=120&amp;START_MAXIMIZED=FALSE&amp;creator=factset&amp;display_string=Audit"}</definedName>
    <definedName name="_66__FDSAUDITLINK__" hidden="1">{"fdsup://Directions/FactSet Auditing Viewer?action=AUDIT_VALUE&amp;DB=129&amp;ID1=97428030&amp;VALUEID=01001&amp;SDATE=2008&amp;PERIODTYPE=ANN_STD&amp;window=popup_no_bar&amp;width=385&amp;height=120&amp;START_MAXIMIZED=FALSE&amp;creator=factset&amp;display_string=Audit"}</definedName>
    <definedName name="_660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661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662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663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664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665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666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667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668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669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67__FDSAUDITLINK__" localSheetId="20" hidden="1">{"fdsup://Directions/FactSet Auditing Viewer?action=AUDIT_VALUE&amp;DB=129&amp;ID1=36476010&amp;VALUEID=02101&amp;SDATE=200902&amp;PERIODTYPE=QTR_STD&amp;window=popup_no_bar&amp;width=385&amp;height=120&amp;START_MAXIMIZED=FALSE&amp;creator=factset&amp;display_string=Audit"}</definedName>
    <definedName name="_67__FDSAUDITLINK__" hidden="1">{"fdsup://Directions/FactSet Auditing Viewer?action=AUDIT_VALUE&amp;DB=129&amp;ID1=97428030&amp;VALUEID=04601&amp;SDATE=2008&amp;PERIODTYPE=ANN_STD&amp;window=popup_no_bar&amp;width=385&amp;height=120&amp;START_MAXIMIZED=FALSE&amp;creator=factset&amp;display_string=Audit"}</definedName>
    <definedName name="_670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671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672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673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674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675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676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677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678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679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68__FDSAUDITLINK__" localSheetId="20" hidden="1">{"fdsup://Directions/FactSet Auditing Viewer?action=AUDIT_VALUE&amp;DB=129&amp;ID1=36476010&amp;VALUEID=01001&amp;SDATE=200902&amp;PERIODTYPE=QTR_STD&amp;window=popup_no_bar&amp;width=385&amp;height=120&amp;START_MAXIMIZED=FALSE&amp;creator=factset&amp;display_string=Audit"}</definedName>
    <definedName name="_68__FDSAUDITLINK__" hidden="1">{"fdsup://Directions/FactSet Auditing Viewer?action=AUDIT_VALUE&amp;DB=129&amp;ID1=97428030&amp;VALUEID=01001&amp;SDATE=2009&amp;PERIODTYPE=ANN_STD&amp;window=popup_no_bar&amp;width=385&amp;height=120&amp;START_MAXIMIZED=FALSE&amp;creator=factset&amp;display_string=Audit"}</definedName>
    <definedName name="_680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681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682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683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684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685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686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687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688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689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69__FDSAUDITLINK__" localSheetId="20" hidden="1">{"fdsup://Directions/FactSet Auditing Viewer?action=AUDIT_VALUE&amp;DB=129&amp;ID1=36476010&amp;VALUEID=13040&amp;SDATE=200902&amp;PERIODTYPE=QTR_STD&amp;window=popup_no_bar&amp;width=385&amp;height=120&amp;START_MAXIMIZED=FALSE&amp;creator=factset&amp;display_string=Audit"}</definedName>
    <definedName name="_69__FDSAUDITLINK__" hidden="1">{"fdsup://Directions/FactSet Auditing Viewer?action=AUDIT_VALUE&amp;DB=129&amp;ID1=97428030&amp;VALUEID=04601&amp;SDATE=2009&amp;PERIODTYPE=ANN_STD&amp;window=popup_no_bar&amp;width=385&amp;height=120&amp;START_MAXIMIZED=FALSE&amp;creator=factset&amp;display_string=Audit"}</definedName>
    <definedName name="_690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691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692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693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694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695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696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697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698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699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7__FDSAUDITLINK__" localSheetId="20" hidden="1">{"fdsup://Directions/FactSet Auditing Viewer?action=AUDIT_VALUE&amp;DB=129&amp;ID1=46612H40&amp;VALUEID=13040&amp;SDATE=201001&amp;PERIODTYPE=QTR_STD&amp;window=popup_no_bar&amp;width=385&amp;height=120&amp;START_MAXIMIZED=FALSE&amp;creator=factset&amp;display_string=Audit"}</definedName>
    <definedName name="_7__FDSAUDITLINK__" hidden="1">{"fdsup://Directions/FactSet Auditing Viewer?action=AUDIT_VALUE&amp;DB=129&amp;ID1=02313510&amp;VALUEID=01001&amp;SDATE=2008&amp;PERIODTYPE=ANN_STD&amp;window=popup_no_bar&amp;width=385&amp;height=120&amp;START_MAXIMIZED=FALSE&amp;creator=factset&amp;display_string=Audit"}</definedName>
    <definedName name="_70__FDSAUDITLINK__" localSheetId="20" hidden="1">{"fdsup://Directions/FactSet Auditing Viewer?action=AUDIT_VALUE&amp;DB=129&amp;ID1=03611510&amp;VALUEID=02101&amp;SDATE=200902&amp;PERIODTYPE=QTR_STD&amp;window=popup_no_bar&amp;width=385&amp;height=120&amp;START_MAXIMIZED=FALSE&amp;creator=factset&amp;display_string=Audit"}</definedName>
    <definedName name="_70__FDSAUDITLINK__" hidden="1">{"fdsup://Directions/FactSet Auditing Viewer?action=AUDIT_VALUE&amp;DB=129&amp;ID1=09367910&amp;VALUEID=01001&amp;SDATE=2005&amp;PERIODTYPE=ANN_STD&amp;window=popup_no_bar&amp;width=385&amp;height=120&amp;START_MAXIMIZED=FALSE&amp;creator=factset&amp;display_string=Audit"}</definedName>
    <definedName name="_700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701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702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703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704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705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706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707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708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709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71__FDSAUDITLINK__" localSheetId="20" hidden="1">{"fdsup://Directions/FactSet Auditing Viewer?action=AUDIT_VALUE&amp;DB=129&amp;ID1=03611510&amp;VALUEID=01001&amp;SDATE=200902&amp;PERIODTYPE=QTR_STD&amp;window=popup_no_bar&amp;width=385&amp;height=120&amp;START_MAXIMIZED=FALSE&amp;creator=factset&amp;display_string=Audit"}</definedName>
    <definedName name="_71__FDSAUDITLINK__" hidden="1">{"fdsup://Directions/FactSet Auditing Viewer?action=AUDIT_VALUE&amp;DB=129&amp;ID1=09367910&amp;VALUEID=04601&amp;SDATE=2005&amp;PERIODTYPE=ANN_STD&amp;window=popup_no_bar&amp;width=385&amp;height=120&amp;START_MAXIMIZED=FALSE&amp;creator=factset&amp;display_string=Audit"}</definedName>
    <definedName name="_710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711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712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713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714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715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716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717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718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719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72__FDSAUDITLINK__" localSheetId="20" hidden="1">{"fdsup://Directions/FactSet Auditing Viewer?action=AUDIT_VALUE&amp;DB=129&amp;ID1=03611510&amp;VALUEID=13040&amp;SDATE=200902&amp;PERIODTYPE=QTR_STD&amp;window=popup_no_bar&amp;width=385&amp;height=120&amp;START_MAXIMIZED=FALSE&amp;creator=factset&amp;display_string=Audit"}</definedName>
    <definedName name="_72__FDSAUDITLINK__" hidden="1">{"fdsup://Directions/FactSet Auditing Viewer?action=AUDIT_VALUE&amp;DB=129&amp;ID1=09367910&amp;VALUEID=01001&amp;SDATE=2006&amp;PERIODTYPE=ANN_STD&amp;window=popup_no_bar&amp;width=385&amp;height=120&amp;START_MAXIMIZED=FALSE&amp;creator=factset&amp;display_string=Audit"}</definedName>
    <definedName name="_720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721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722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723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724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725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726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727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728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729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73__FDSAUDITLINK__" localSheetId="20" hidden="1">{"fdsup://Directions/FactSet Auditing Viewer?action=AUDIT_VALUE&amp;DB=129&amp;ID1=16890510&amp;VALUEID=02101&amp;SDATE=200902&amp;PERIODTYPE=QTR_STD&amp;window=popup_no_bar&amp;width=385&amp;height=120&amp;START_MAXIMIZED=FALSE&amp;creator=factset&amp;display_string=Audit"}</definedName>
    <definedName name="_73__FDSAUDITLINK__" hidden="1">{"fdsup://Directions/FactSet Auditing Viewer?action=AUDIT_VALUE&amp;DB=129&amp;ID1=09367910&amp;VALUEID=04601&amp;SDATE=2006&amp;PERIODTYPE=ANN_STD&amp;window=popup_no_bar&amp;width=385&amp;height=120&amp;START_MAXIMIZED=FALSE&amp;creator=factset&amp;display_string=Audit"}</definedName>
    <definedName name="_730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731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732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733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734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735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736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737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738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739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74__FDSAUDITLINK__" localSheetId="20" hidden="1">{"fdsup://Directions/FactSet Auditing Viewer?action=AUDIT_VALUE&amp;DB=129&amp;ID1=16890510&amp;VALUEID=01001&amp;SDATE=200902&amp;PERIODTYPE=QTR_STD&amp;window=popup_no_bar&amp;width=385&amp;height=120&amp;START_MAXIMIZED=FALSE&amp;creator=factset&amp;display_string=Audit"}</definedName>
    <definedName name="_74__FDSAUDITLINK__" hidden="1">{"fdsup://Directions/FactSet Auditing Viewer?action=AUDIT_VALUE&amp;DB=129&amp;ID1=09367910&amp;VALUEID=01001&amp;SDATE=2007&amp;PERIODTYPE=ANN_STD&amp;window=popup_no_bar&amp;width=385&amp;height=120&amp;START_MAXIMIZED=FALSE&amp;creator=factset&amp;display_string=Audit"}</definedName>
    <definedName name="_740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741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742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743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744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745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746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747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748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749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75__FDSAUDITLINK__" localSheetId="20" hidden="1">{"fdsup://Directions/FactSet Auditing Viewer?action=AUDIT_VALUE&amp;DB=129&amp;ID1=91704710&amp;VALUEID=02101&amp;SDATE=200902&amp;PERIODTYPE=QTR_STD&amp;window=popup_no_bar&amp;width=385&amp;height=120&amp;START_MAXIMIZED=FALSE&amp;creator=factset&amp;display_string=Audit"}</definedName>
    <definedName name="_75__FDSAUDITLINK__" hidden="1">{"fdsup://Directions/FactSet Auditing Viewer?action=AUDIT_VALUE&amp;DB=129&amp;ID1=09367910&amp;VALUEID=04601&amp;SDATE=2007&amp;PERIODTYPE=ANN_STD&amp;window=popup_no_bar&amp;width=385&amp;height=120&amp;START_MAXIMIZED=FALSE&amp;creator=factset&amp;display_string=Audit"}</definedName>
    <definedName name="_750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751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752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753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754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755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756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757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758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759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76__FDSAUDITLINK__" localSheetId="20" hidden="1">{"fdsup://Directions/FactSet Auditing Viewer?action=AUDIT_VALUE&amp;DB=129&amp;ID1=91704710&amp;VALUEID=01001&amp;SDATE=200902&amp;PERIODTYPE=QTR_STD&amp;window=popup_no_bar&amp;width=385&amp;height=120&amp;START_MAXIMIZED=FALSE&amp;creator=factset&amp;display_string=Audit"}</definedName>
    <definedName name="_76__FDSAUDITLINK__" hidden="1">{"fdsup://Directions/FactSet Auditing Viewer?action=AUDIT_VALUE&amp;DB=129&amp;ID1=09367910&amp;VALUEID=01001&amp;SDATE=2008&amp;PERIODTYPE=ANN_STD&amp;window=popup_no_bar&amp;width=385&amp;height=120&amp;START_MAXIMIZED=FALSE&amp;creator=factset&amp;display_string=Audit"}</definedName>
    <definedName name="_760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761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762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763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764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765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766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767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768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769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77__FDSAUDITLINK__" localSheetId="20" hidden="1">{"fdsup://Directions/FactSet Auditing Viewer?action=AUDIT_VALUE&amp;DB=129&amp;ID1=02553E10&amp;VALUEID=02101&amp;SDATE=200902&amp;PERIODTYPE=QTR_STD&amp;window=popup_no_bar&amp;width=385&amp;height=120&amp;START_MAXIMIZED=FALSE&amp;creator=factset&amp;display_string=Audit"}</definedName>
    <definedName name="_77__FDSAUDITLINK__" hidden="1">{"fdsup://Directions/FactSet Auditing Viewer?action=AUDIT_VALUE&amp;DB=129&amp;ID1=09367910&amp;VALUEID=04601&amp;SDATE=2008&amp;PERIODTYPE=ANN_STD&amp;window=popup_no_bar&amp;width=385&amp;height=120&amp;START_MAXIMIZED=FALSE&amp;creator=factset&amp;display_string=Audit"}</definedName>
    <definedName name="_770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771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772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773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774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775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776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777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778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779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78__FDSAUDITLINK__" localSheetId="20" hidden="1">{"fdsup://Directions/FactSet Auditing Viewer?action=AUDIT_VALUE&amp;DB=129&amp;ID1=02553E10&amp;VALUEID=01001&amp;SDATE=200902&amp;PERIODTYPE=QTR_STD&amp;window=popup_no_bar&amp;width=385&amp;height=120&amp;START_MAXIMIZED=FALSE&amp;creator=factset&amp;display_string=Audit"}</definedName>
    <definedName name="_78__FDSAUDITLINK__" hidden="1">{"fdsup://Directions/FactSet Auditing Viewer?action=AUDIT_VALUE&amp;DB=129&amp;ID1=02313510&amp;VALUEID=01001&amp;SDATE=2005&amp;PERIODTYPE=ANN_STD&amp;window=popup_no_bar&amp;width=385&amp;height=120&amp;START_MAXIMIZED=FALSE&amp;creator=factset&amp;display_string=Audit"}</definedName>
    <definedName name="_780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781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782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783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784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785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786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787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788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789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79__FDSAUDITLINK__" localSheetId="20" hidden="1">{"fdsup://Directions/FactSet Auditing Viewer?action=AUDIT_VALUE&amp;DB=129&amp;ID1=02553E10&amp;VALUEID=13040&amp;SDATE=200902&amp;PERIODTYPE=QTR_STD&amp;window=popup_no_bar&amp;width=385&amp;height=120&amp;START_MAXIMIZED=FALSE&amp;creator=factset&amp;display_string=Audit"}</definedName>
    <definedName name="_79__FDSAUDITLINK__" hidden="1">{"fdsup://Directions/FactSet Auditing Viewer?action=AUDIT_VALUE&amp;DB=129&amp;ID1=02313510&amp;VALUEID=04601&amp;SDATE=2005&amp;PERIODTYPE=ANN_STD&amp;window=popup_no_bar&amp;width=385&amp;height=120&amp;START_MAXIMIZED=FALSE&amp;creator=factset&amp;display_string=Audit"}</definedName>
    <definedName name="_790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791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792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793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794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795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796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797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798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799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8__123Graph_Bｸﾞﾗﾌ_1" hidden="1">[2]ｾｸﾞﾒﾝﾄ!$E$165:$I$165</definedName>
    <definedName name="_8__FDSAUDITLINK__" localSheetId="20" hidden="1">{"fdsup://Directions/FactSet Auditing Viewer?action=AUDIT_VALUE&amp;DB=129&amp;ID1=36476010&amp;VALUEID=02101&amp;SDATE=201001&amp;PERIODTYPE=QTR_STD&amp;window=popup_no_bar&amp;width=385&amp;height=120&amp;START_MAXIMIZED=FALSE&amp;creator=factset&amp;display_string=Audit"}</definedName>
    <definedName name="_8__FDSAUDITLINK__" hidden="1">{"fdsup://Directions/FactSet Auditing Viewer?action=AUDIT_VALUE&amp;DB=129&amp;ID1=02313510&amp;VALUEID=04601&amp;SDATE=2008&amp;PERIODTYPE=ANN_STD&amp;window=popup_no_bar&amp;width=385&amp;height=120&amp;START_MAXIMIZED=FALSE&amp;creator=factset&amp;display_string=Audit"}</definedName>
    <definedName name="_80__FDSAUDITLINK__" localSheetId="20" hidden="1">{"fdsup://Directions/FactSet Auditing Viewer?action=AUDIT_VALUE&amp;DB=129&amp;ID1=00786510&amp;VALUEID=02101&amp;SDATE=200902&amp;PERIODTYPE=QTR_STD&amp;window=popup_no_bar&amp;width=385&amp;height=120&amp;START_MAXIMIZED=FALSE&amp;creator=factset&amp;display_string=Audit"}</definedName>
    <definedName name="_80__FDSAUDITLINK__" hidden="1">{"fdsup://Directions/FactSet Auditing Viewer?action=AUDIT_VALUE&amp;DB=129&amp;ID1=02313510&amp;VALUEID=01001&amp;SDATE=2006&amp;PERIODTYPE=ANN_STD&amp;window=popup_no_bar&amp;width=385&amp;height=120&amp;START_MAXIMIZED=FALSE&amp;creator=factset&amp;display_string=Audit"}</definedName>
    <definedName name="_800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801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802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803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804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805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806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807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808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809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81__FDSAUDITLINK__" localSheetId="20" hidden="1">{"fdsup://Directions/FactSet Auditing Viewer?action=AUDIT_VALUE&amp;DB=129&amp;ID1=00786510&amp;VALUEID=01001&amp;SDATE=200902&amp;PERIODTYPE=QTR_STD&amp;window=popup_no_bar&amp;width=385&amp;height=120&amp;START_MAXIMIZED=FALSE&amp;creator=factset&amp;display_string=Audit"}</definedName>
    <definedName name="_81__FDSAUDITLINK__" hidden="1">{"fdsup://Directions/FactSet Auditing Viewer?action=AUDIT_VALUE&amp;DB=129&amp;ID1=02313510&amp;VALUEID=04601&amp;SDATE=2006&amp;PERIODTYPE=ANN_STD&amp;window=popup_no_bar&amp;width=385&amp;height=120&amp;START_MAXIMIZED=FALSE&amp;creator=factset&amp;display_string=Audit"}</definedName>
    <definedName name="_810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811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812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813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814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815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816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817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818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819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82__FDSAUDITLINK__" localSheetId="20" hidden="1">{"fdsup://Directions/FactSet Auditing Viewer?action=AUDIT_VALUE&amp;DB=129&amp;ID1=00786510&amp;VALUEID=13040&amp;SDATE=200902&amp;PERIODTYPE=QTR_STD&amp;window=popup_no_bar&amp;width=385&amp;height=120&amp;START_MAXIMIZED=FALSE&amp;creator=factset&amp;display_string=Audit"}</definedName>
    <definedName name="_82__FDSAUDITLINK__" hidden="1">{"fdsup://Directions/FactSet Auditing Viewer?action=AUDIT_VALUE&amp;DB=129&amp;ID1=02313510&amp;VALUEID=01001&amp;SDATE=2007&amp;PERIODTYPE=ANN_STD&amp;window=popup_no_bar&amp;width=385&amp;height=120&amp;START_MAXIMIZED=FALSE&amp;creator=factset&amp;display_string=Audit"}</definedName>
    <definedName name="_820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821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822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823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824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825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826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827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828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829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83__FDSAUDITLINK__" localSheetId="20" hidden="1">{"fdsup://Directions/FactSet Auditing Viewer?action=AUDIT_VALUE&amp;DB=129&amp;ID1=00289620&amp;VALUEID=02101&amp;SDATE=200902&amp;PERIODTYPE=QTR_STD&amp;window=popup_no_bar&amp;width=385&amp;height=120&amp;START_MAXIMIZED=FALSE&amp;creator=factset&amp;display_string=Audit"}</definedName>
    <definedName name="_83__FDSAUDITLINK__" hidden="1">{"fdsup://Directions/FactSet Auditing Viewer?action=AUDIT_VALUE&amp;DB=129&amp;ID1=02313510&amp;VALUEID=04601&amp;SDATE=2007&amp;PERIODTYPE=ANN_STD&amp;window=popup_no_bar&amp;width=385&amp;height=120&amp;START_MAXIMIZED=FALSE&amp;creator=factset&amp;display_string=Audit"}</definedName>
    <definedName name="_830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831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832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833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834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835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836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837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838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839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84__FDSAUDITLINK__" localSheetId="20" hidden="1">{"fdsup://Directions/FactSet Auditing Viewer?action=AUDIT_VALUE&amp;DB=129&amp;ID1=00289620&amp;VALUEID=01001&amp;SDATE=200902&amp;PERIODTYPE=QTR_STD&amp;window=popup_no_bar&amp;width=385&amp;height=120&amp;START_MAXIMIZED=FALSE&amp;creator=factset&amp;display_string=Audit"}</definedName>
    <definedName name="_84__FDSAUDITLINK__" hidden="1">{"fdsup://Directions/FactSet Auditing Viewer?action=AUDIT_VALUE&amp;DB=129&amp;ID1=02313510&amp;VALUEID=01001&amp;SDATE=2008&amp;PERIODTYPE=ANN_STD&amp;window=popup_no_bar&amp;width=385&amp;height=120&amp;START_MAXIMIZED=FALSE&amp;creator=factset&amp;display_string=Audit"}</definedName>
    <definedName name="_840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841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842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843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844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845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846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847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848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849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85__FDSAUDITLINK__" localSheetId="20" hidden="1">{"fdsup://Directions/FactSet Auditing Viewer?action=AUDIT_VALUE&amp;DB=129&amp;ID1=00289620&amp;VALUEID=13040&amp;SDATE=200902&amp;PERIODTYPE=QTR_STD&amp;window=popup_no_bar&amp;width=385&amp;height=120&amp;START_MAXIMIZED=FALSE&amp;creator=factset&amp;display_string=Audit"}</definedName>
    <definedName name="_85__FDSAUDITLINK__" hidden="1">{"fdsup://Directions/FactSet Auditing Viewer?action=AUDIT_VALUE&amp;DB=129&amp;ID1=02313510&amp;VALUEID=04601&amp;SDATE=2008&amp;PERIODTYPE=ANN_STD&amp;window=popup_no_bar&amp;width=385&amp;height=120&amp;START_MAXIMIZED=FALSE&amp;creator=factset&amp;display_string=Audit"}</definedName>
    <definedName name="_850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851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852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853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854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855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856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857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858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859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86__FDSAUDITLINK__" localSheetId="20" hidden="1">{"fdsup://Directions/FactSet Auditing Viewer?action=AUDIT_VALUE&amp;DB=129&amp;ID1=87416110&amp;VALUEID=02101&amp;SDATE=200901&amp;PERIODTYPE=QTR_STD&amp;window=popup_no_bar&amp;width=385&amp;height=120&amp;START_MAXIMIZED=FALSE&amp;creator=factset&amp;display_string=Audit"}</definedName>
    <definedName name="_86__FDSAUDITLINK__" hidden="1">{"fdsup://Directions/FactSet Auditing Viewer?action=AUDIT_VALUE&amp;DB=129&amp;ID1=02313510&amp;VALUEID=01001&amp;SDATE=2009&amp;PERIODTYPE=ANN_STD&amp;window=popup_no_bar&amp;width=385&amp;height=120&amp;START_MAXIMIZED=FALSE&amp;creator=factset&amp;display_string=Audit"}</definedName>
    <definedName name="_860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861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862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863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864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865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866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867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868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869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87__FDSAUDITLINK__" localSheetId="20" hidden="1">{"fdsup://Directions/FactSet Auditing Viewer?action=AUDIT_VALUE&amp;DB=129&amp;ID1=87416110&amp;VALUEID=01001&amp;SDATE=200901&amp;PERIODTYPE=QTR_STD&amp;window=popup_no_bar&amp;width=385&amp;height=120&amp;START_MAXIMIZED=FALSE&amp;creator=factset&amp;display_string=Audit"}</definedName>
    <definedName name="_87__FDSAUDITLINK__" hidden="1">{"fdsup://Directions/FactSet Auditing Viewer?action=AUDIT_VALUE&amp;DB=129&amp;ID1=02313510&amp;VALUEID=04601&amp;SDATE=2009&amp;PERIODTYPE=ANN_STD&amp;window=popup_no_bar&amp;width=385&amp;height=120&amp;START_MAXIMIZED=FALSE&amp;creator=factset&amp;display_string=Audit"}</definedName>
    <definedName name="_870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871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872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873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874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875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876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877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878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879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88__FDSAUDITLINK__" localSheetId="20" hidden="1">{"fdsup://Directions/FactSet Auditing Viewer?action=AUDIT_VALUE&amp;DB=129&amp;ID1=87416110&amp;VALUEID=13040&amp;SDATE=200901&amp;PERIODTYPE=QTR_STD&amp;window=popup_no_bar&amp;width=385&amp;height=120&amp;START_MAXIMIZED=FALSE&amp;creator=factset&amp;display_string=Audit"}</definedName>
    <definedName name="_88__FDSAUDITLINK__" hidden="1">{"fdsup://Directions/FactSet Auditing Viewer?action=AUDIT_VALUE&amp;DB=129&amp;ID1=03783310&amp;VALUEID=01001&amp;SDATE=2005&amp;PERIODTYPE=ANN_STD&amp;window=popup_no_bar&amp;width=385&amp;height=120&amp;START_MAXIMIZED=FALSE&amp;creator=factset&amp;display_string=Audit"}</definedName>
    <definedName name="_880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881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882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883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884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885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886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887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888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889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89__FDSAUDITLINK__" localSheetId="20"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89__FDSAUDITLINK__" hidden="1">{"fdsup://Directions/FactSet Auditing Viewer?action=AUDIT_VALUE&amp;DB=129&amp;ID1=03783310&amp;VALUEID=04601&amp;SDATE=2005&amp;PERIODTYPE=ANN_STD&amp;window=popup_no_bar&amp;width=385&amp;height=120&amp;START_MAXIMIZED=FALSE&amp;creator=factset&amp;display_string=Audit"}</definedName>
    <definedName name="_890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891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892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893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894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895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896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897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898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899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9__123Graph_Dｸﾞﾗﾌ_1" hidden="1">[2]ｾｸﾞﾒﾝﾄ!$E$167:$I$167</definedName>
    <definedName name="_9__FDSAUDITLINK__" localSheetId="20" hidden="1">{"fdsup://Directions/FactSet Auditing Viewer?action=AUDIT_VALUE&amp;DB=129&amp;ID1=36476010&amp;VALUEID=13040&amp;SDATE=201001&amp;PERIODTYPE=QTR_STD&amp;window=popup_no_bar&amp;width=385&amp;height=120&amp;START_MAXIMIZED=FALSE&amp;creator=factset&amp;display_string=Audit"}</definedName>
    <definedName name="_9__FDSAUDITLINK__" hidden="1">{"fdsup://Directions/FactSet Auditing Viewer?action=AUDIT_VALUE&amp;DB=129&amp;ID1=02313510&amp;VALUEID=01001&amp;SDATE=2009&amp;PERIODTYPE=ANN_STD&amp;window=popup_no_bar&amp;width=385&amp;height=120&amp;START_MAXIMIZED=FALSE&amp;creator=factset&amp;display_string=Audit"}</definedName>
    <definedName name="_90__FDSAUDITLINK__" localSheetId="20" hidden="1">{"fdsup://Directions/FactSet Auditing Viewer?action=AUDIT_VALUE&amp;DB=129&amp;ID1=53271610&amp;VALUEID=13040&amp;SDATE=200901&amp;PERIODTYPE=QTR_STD&amp;window=popup_no_bar&amp;width=385&amp;height=120&amp;START_MAXIMIZED=FALSE&amp;creator=factset&amp;display_string=Audit"}</definedName>
    <definedName name="_90__FDSAUDITLINK__" hidden="1">{"fdsup://Directions/FactSet Auditing Viewer?action=AUDIT_VALUE&amp;DB=129&amp;ID1=03783310&amp;VALUEID=01001&amp;SDATE=2006&amp;PERIODTYPE=ANN_STD&amp;window=popup_no_bar&amp;width=385&amp;height=120&amp;START_MAXIMIZED=FALSE&amp;creator=factset&amp;display_string=Audit"}</definedName>
    <definedName name="_900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901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902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903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904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905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906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907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908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909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91__FDSAUDITLINK__" localSheetId="20" hidden="1">{"fdsup://Directions/FactSet Auditing Viewer?action=AUDIT_VALUE&amp;DB=129&amp;ID1=46612H40&amp;VALUEID=02101&amp;SDATE=200901&amp;PERIODTYPE=QTR_STD&amp;window=popup_no_bar&amp;width=385&amp;height=120&amp;START_MAXIMIZED=FALSE&amp;creator=factset&amp;display_string=Audit"}</definedName>
    <definedName name="_91__FDSAUDITLINK__" hidden="1">{"fdsup://Directions/FactSet Auditing Viewer?action=AUDIT_VALUE&amp;DB=129&amp;ID1=03783310&amp;VALUEID=04601&amp;SDATE=2006&amp;PERIODTYPE=ANN_STD&amp;window=popup_no_bar&amp;width=385&amp;height=120&amp;START_MAXIMIZED=FALSE&amp;creator=factset&amp;display_string=Audit"}</definedName>
    <definedName name="_910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911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912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913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914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915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916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917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918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919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92__FDSAUDITLINK__" localSheetId="20" hidden="1">{"fdsup://Directions/FactSet Auditing Viewer?action=AUDIT_VALUE&amp;DB=129&amp;ID1=46612H40&amp;VALUEID=01001&amp;SDATE=200901&amp;PERIODTYPE=QTR_STD&amp;window=popup_no_bar&amp;width=385&amp;height=120&amp;START_MAXIMIZED=FALSE&amp;creator=factset&amp;display_string=Audit"}</definedName>
    <definedName name="_92__FDSAUDITLINK__" hidden="1">{"fdsup://Directions/FactSet Auditing Viewer?action=AUDIT_VALUE&amp;DB=129&amp;ID1=03783310&amp;VALUEID=01001&amp;SDATE=2007&amp;PERIODTYPE=ANN_STD&amp;window=popup_no_bar&amp;width=385&amp;height=120&amp;START_MAXIMIZED=FALSE&amp;creator=factset&amp;display_string=Audit"}</definedName>
    <definedName name="_920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921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922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923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924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925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926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927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928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929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93__FDSAUDITLINK__" localSheetId="20" hidden="1">{"fdsup://Directions/FactSet Auditing Viewer?action=AUDIT_VALUE&amp;DB=129&amp;ID1=46612H40&amp;VALUEID=13040&amp;SDATE=200901&amp;PERIODTYPE=QTR_STD&amp;window=popup_no_bar&amp;width=385&amp;height=120&amp;START_MAXIMIZED=FALSE&amp;creator=factset&amp;display_string=Audit"}</definedName>
    <definedName name="_93__FDSAUDITLINK__" hidden="1">{"fdsup://Directions/FactSet Auditing Viewer?action=AUDIT_VALUE&amp;DB=129&amp;ID1=03783310&amp;VALUEID=04601&amp;SDATE=2007&amp;PERIODTYPE=ANN_STD&amp;window=popup_no_bar&amp;width=385&amp;height=120&amp;START_MAXIMIZED=FALSE&amp;creator=factset&amp;display_string=Audit"}</definedName>
    <definedName name="_930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931__FDSAUDITLINK__" hidden="1">{"fdsup://directions/FAT Viewer?action=UPDATE&amp;creator=factset&amp;DYN_ARGS=TRUE&amp;DOC_NAME=FAT:FQL_AUDITING_CLIENT_TEMPLATE.FAT&amp;display_string=Audit&amp;VAR:KEY=TKVMRALGPI&amp;VAR:QUERY=RkZfUlRfU0ZfVE9UX0dST1NTKFFUUiwtMTYp&amp;WINDOW=FIRST_POPUP&amp;HEIGHT=450&amp;WIDTH=450&amp;START_MA","XIMIZED=FALSE&amp;VAR:CALENDAR=US&amp;VAR:SYMBOL=GYMB&amp;VAR:INDEX=0"}</definedName>
    <definedName name="_932__FDSAUDITLINK__" hidden="1">{"fdsup://directions/FAT Viewer?action=UPDATE&amp;creator=factset&amp;DYN_ARGS=TRUE&amp;DOC_NAME=FAT:FQL_AUDITING_CLIENT_TEMPLATE.FAT&amp;display_string=Audit&amp;VAR:KEY=XWBCDMJGPU&amp;VAR:QUERY=RkZfUlRfU0ZfVE9UX0dST1NTKFFUUiwtMTUp&amp;WINDOW=FIRST_POPUP&amp;HEIGHT=450&amp;WIDTH=450&amp;START_MA","XIMIZED=FALSE&amp;VAR:CALENDAR=US&amp;VAR:SYMBOL=GYMB&amp;VAR:INDEX=0"}</definedName>
    <definedName name="_933__FDSAUDITLINK__" hidden="1">{"fdsup://directions/FAT Viewer?action=UPDATE&amp;creator=factset&amp;DYN_ARGS=TRUE&amp;DOC_NAME=FAT:FQL_AUDITING_CLIENT_TEMPLATE.FAT&amp;display_string=Audit&amp;VAR:KEY=JENWXOZCJS&amp;VAR:QUERY=RkZfUlRfU0ZfVE9UX0dST1NTKFFUUiwtMTQp&amp;WINDOW=FIRST_POPUP&amp;HEIGHT=450&amp;WIDTH=450&amp;START_MA","XIMIZED=FALSE&amp;VAR:CALENDAR=US&amp;VAR:SYMBOL=GYMB&amp;VAR:INDEX=0"}</definedName>
    <definedName name="_934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935__FDSAUDITLINK__" hidden="1">{"fdsup://directions/FAT Viewer?action=UPDATE&amp;creator=factset&amp;DYN_ARGS=TRUE&amp;DOC_NAME=FAT:FQL_AUDITING_CLIENT_TEMPLATE.FAT&amp;display_string=Audit&amp;VAR:KEY=DWXWHUPIHW&amp;VAR:QUERY=RkZfUlRfU0ZfVE9UX0dST1NTKFFUUiwtMTIp&amp;WINDOW=FIRST_POPUP&amp;HEIGHT=450&amp;WIDTH=450&amp;START_MA","XIMIZED=FALSE&amp;VAR:CALENDAR=US&amp;VAR:SYMBOL=GYMB&amp;VAR:INDEX=0"}</definedName>
    <definedName name="_936__FDSAUDITLINK__" hidden="1">{"fdsup://directions/FAT Viewer?action=UPDATE&amp;creator=factset&amp;DYN_ARGS=TRUE&amp;DOC_NAME=FAT:FQL_AUDITING_CLIENT_TEMPLATE.FAT&amp;display_string=Audit&amp;VAR:KEY=NQVAXKPMVA&amp;VAR:QUERY=RkZfUlRfU0ZfVE9UX0dST1NTKFFUUiwtMTEp&amp;WINDOW=FIRST_POPUP&amp;HEIGHT=450&amp;WIDTH=450&amp;START_MA","XIMIZED=FALSE&amp;VAR:CALENDAR=US&amp;VAR:SYMBOL=GYMB&amp;VAR:INDEX=0"}</definedName>
    <definedName name="_937__FDSAUDITLINK__" hidden="1">{"fdsup://directions/FAT Viewer?action=UPDATE&amp;creator=factset&amp;DYN_ARGS=TRUE&amp;DOC_NAME=FAT:FQL_AUDITING_CLIENT_TEMPLATE.FAT&amp;display_string=Audit&amp;VAR:KEY=ZONMZAPSJI&amp;VAR:QUERY=RkZfUlRfU0ZfVE9UX0dST1NTKFFUUiwtMTAp&amp;WINDOW=FIRST_POPUP&amp;HEIGHT=450&amp;WIDTH=450&amp;START_MA","XIMIZED=FALSE&amp;VAR:CALENDAR=US&amp;VAR:SYMBOL=GYMB&amp;VAR:INDEX=0"}</definedName>
    <definedName name="_938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939__FDSAUDITLINK__" hidden="1">{"fdsup://directions/FAT Viewer?action=UPDATE&amp;creator=factset&amp;DYN_ARGS=TRUE&amp;DOC_NAME=FAT:FQL_AUDITING_CLIENT_TEMPLATE.FAT&amp;display_string=Audit&amp;VAR:KEY=TSDWNSLQPS&amp;VAR:QUERY=RkZfUlRfU0ZfVE9UX0dST1NTKFFUUiwtOCk=&amp;WINDOW=FIRST_POPUP&amp;HEIGHT=450&amp;WIDTH=450&amp;START_MA","XIMIZED=FALSE&amp;VAR:CALENDAR=US&amp;VAR:SYMBOL=GYMB&amp;VAR:INDEX=0"}</definedName>
    <definedName name="_94__FDSAUDITLINK__" localSheetId="20" hidden="1">{"fdsup://Directions/FactSet Auditing Viewer?action=AUDIT_VALUE&amp;DB=129&amp;ID1=03611510&amp;VALUEID=02101&amp;SDATE=200901&amp;PERIODTYPE=QTR_STD&amp;window=popup_no_bar&amp;width=385&amp;height=120&amp;START_MAXIMIZED=FALSE&amp;creator=factset&amp;display_string=Audit"}</definedName>
    <definedName name="_94__FDSAUDITLINK__" hidden="1">{"fdsup://Directions/FactSet Auditing Viewer?action=AUDIT_VALUE&amp;DB=129&amp;ID1=03783310&amp;VALUEID=01001&amp;SDATE=2008&amp;PERIODTYPE=ANN_STD&amp;window=popup_no_bar&amp;width=385&amp;height=120&amp;START_MAXIMIZED=FALSE&amp;creator=factset&amp;display_string=Audit"}</definedName>
    <definedName name="_940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941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942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943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944__FDSAUDITLINK__" hidden="1">{"fdsup://directions/FAT Viewer?action=UPDATE&amp;creator=factset&amp;DYN_ARGS=TRUE&amp;DOC_NAME=FAT:FQL_AUDITING_CLIENT_TEMPLATE.FAT&amp;display_string=Audit&amp;VAR:KEY=VSNOZWVYLU&amp;VAR:QUERY=RkZfUlRfU0ZfVE9UX0dST1NTKFFUUiwtMyk=&amp;WINDOW=FIRST_POPUP&amp;HEIGHT=450&amp;WIDTH=450&amp;START_MA","XIMIZED=FALSE&amp;VAR:CALENDAR=US&amp;VAR:SYMBOL=GYMB&amp;VAR:INDEX=0"}</definedName>
    <definedName name="_945__FDSAUDITLINK__" hidden="1">{"fdsup://directions/FAT Viewer?action=UPDATE&amp;creator=factset&amp;DYN_ARGS=TRUE&amp;DOC_NAME=FAT:FQL_AUDITING_CLIENT_TEMPLATE.FAT&amp;display_string=Audit&amp;VAR:KEY=PKPWPYPSJW&amp;VAR:QUERY=RkZfUlRfU0ZfVE9UX0dST1NTKFFUUiwtMik=&amp;WINDOW=FIRST_POPUP&amp;HEIGHT=450&amp;WIDTH=450&amp;START_MA","XIMIZED=FALSE&amp;VAR:CALENDAR=US&amp;VAR:SYMBOL=GYMB&amp;VAR:INDEX=0"}</definedName>
    <definedName name="_946__FDSAUDITLINK__" hidden="1">{"fdsup://directions/FAT Viewer?action=UPDATE&amp;creator=factset&amp;DYN_ARGS=TRUE&amp;DOC_NAME=FAT:FQL_AUDITING_CLIENT_TEMPLATE.FAT&amp;display_string=Audit&amp;VAR:KEY=XSVCHMLSHM&amp;VAR:QUERY=RkZfUlRfU0ZfVE9UX0dST1NTKFFUUiwtMSk=&amp;WINDOW=FIRST_POPUP&amp;HEIGHT=450&amp;WIDTH=450&amp;START_MA","XIMIZED=FALSE&amp;VAR:CALENDAR=US&amp;VAR:SYMBOL=GYMB&amp;VAR:INDEX=0"}</definedName>
    <definedName name="_947__FDSAUDITLINK__" hidden="1">{"fdsup://directions/FAT Viewer?action=UPDATE&amp;creator=factset&amp;DYN_ARGS=TRUE&amp;DOC_NAME=FAT:FQL_AUDITING_CLIENT_TEMPLATE.FAT&amp;display_string=Audit&amp;VAR:KEY=DYNCLOXCRA&amp;VAR:QUERY=RkZfUlRfU0ZfVE9UX0dST1NTKFFUUiwwKQ==&amp;WINDOW=FIRST_POPUP&amp;HEIGHT=450&amp;WIDTH=450&amp;START_MA","XIMIZED=FALSE&amp;VAR:CALENDAR=US&amp;VAR:SYMBOL=GYMB&amp;VAR:INDEX=0"}</definedName>
    <definedName name="_948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949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95__FDSAUDITLINK__" localSheetId="20" hidden="1">{"fdsup://Directions/FactSet Auditing Viewer?action=AUDIT_VALUE&amp;DB=129&amp;ID1=03611510&amp;VALUEID=01001&amp;SDATE=200901&amp;PERIODTYPE=QTR_STD&amp;window=popup_no_bar&amp;width=385&amp;height=120&amp;START_MAXIMIZED=FALSE&amp;creator=factset&amp;display_string=Audit"}</definedName>
    <definedName name="_95__FDSAUDITLINK__" hidden="1">{"fdsup://Directions/FactSet Auditing Viewer?action=AUDIT_VALUE&amp;DB=129&amp;ID1=03783310&amp;VALUEID=04601&amp;SDATE=2008&amp;PERIODTYPE=ANN_STD&amp;window=popup_no_bar&amp;width=385&amp;height=120&amp;START_MAXIMIZED=FALSE&amp;creator=factset&amp;display_string=Audit"}</definedName>
    <definedName name="_950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951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952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953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954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955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956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957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958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959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96__FDSAUDITLINK__" localSheetId="20" hidden="1">{"fdsup://Directions/FactSet Auditing Viewer?action=AUDIT_VALUE&amp;DB=129&amp;ID1=16890510&amp;VALUEID=02101&amp;SDATE=200901&amp;PERIODTYPE=QTR_STD&amp;window=popup_no_bar&amp;width=385&amp;height=120&amp;START_MAXIMIZED=FALSE&amp;creator=factset&amp;display_string=Audit"}</definedName>
    <definedName name="_96__FDSAUDITLINK__" hidden="1">{"fdsup://Directions/FactSet Auditing Viewer?action=AUDIT_VALUE&amp;DB=129&amp;ID1=03783310&amp;VALUEID=01001&amp;SDATE=2009&amp;PERIODTYPE=ANN_STD&amp;window=popup_no_bar&amp;width=385&amp;height=120&amp;START_MAXIMIZED=FALSE&amp;creator=factset&amp;display_string=Audit"}</definedName>
    <definedName name="_960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961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962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963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964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965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966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967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968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969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97__FDSAUDITLINK__" localSheetId="20" hidden="1">{"fdsup://Directions/FactSet Auditing Viewer?action=AUDIT_VALUE&amp;DB=129&amp;ID1=16890510&amp;VALUEID=01001&amp;SDATE=200901&amp;PERIODTYPE=QTR_STD&amp;window=popup_no_bar&amp;width=385&amp;height=120&amp;START_MAXIMIZED=FALSE&amp;creator=factset&amp;display_string=Audit"}</definedName>
    <definedName name="_97__FDSAUDITLINK__" hidden="1">{"fdsup://Directions/FactSet Auditing Viewer?action=AUDIT_VALUE&amp;DB=129&amp;ID1=03783310&amp;VALUEID=04601&amp;SDATE=2009&amp;PERIODTYPE=ANN_STD&amp;window=popup_no_bar&amp;width=385&amp;height=120&amp;START_MAXIMIZED=FALSE&amp;creator=factset&amp;display_string=Audit"}</definedName>
    <definedName name="_970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971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972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973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974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975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976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977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978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979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98__FDSAUDITLINK__" localSheetId="20" hidden="1">{"fdsup://Directions/FactSet Auditing Viewer?action=AUDIT_VALUE&amp;DB=129&amp;ID1=00786510&amp;VALUEID=02101&amp;SDATE=200901&amp;PERIODTYPE=QTR_STD&amp;window=popup_no_bar&amp;width=385&amp;height=120&amp;START_MAXIMIZED=FALSE&amp;creator=factset&amp;display_string=Audit"}</definedName>
    <definedName name="_98__FDSAUDITLINK__" hidden="1">{"fdsup://Directions/FactSet Auditing Viewer?action=AUDIT_VALUE&amp;DB=129&amp;ID1=86923310&amp;VALUEID=01001&amp;SDATE=2006&amp;PERIODTYPE=ANN_STD&amp;window=popup_no_bar&amp;width=385&amp;height=120&amp;START_MAXIMIZED=FALSE&amp;creator=factset&amp;display_string=Audit"}</definedName>
    <definedName name="_980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981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982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983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984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985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986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987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988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989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99__FDSAUDITLINK__" localSheetId="20" hidden="1">{"fdsup://Directions/FactSet Auditing Viewer?action=AUDIT_VALUE&amp;DB=129&amp;ID1=00786510&amp;VALUEID=01001&amp;SDATE=200901&amp;PERIODTYPE=QTR_STD&amp;window=popup_no_bar&amp;width=385&amp;height=120&amp;START_MAXIMIZED=FALSE&amp;creator=factset&amp;display_string=Audit"}</definedName>
    <definedName name="_99__FDSAUDITLINK__" hidden="1">{"fdsup://Directions/FactSet Auditing Viewer?action=AUDIT_VALUE&amp;DB=129&amp;ID1=86923310&amp;VALUEID=04601&amp;SDATE=2006&amp;PERIODTYPE=ANN_STD&amp;window=popup_no_bar&amp;width=385&amp;height=120&amp;START_MAXIMIZED=FALSE&amp;creator=factset&amp;display_string=Audit"}</definedName>
    <definedName name="_990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991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992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993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994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995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996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997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998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999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bdm.02E29E7B1053433EA3CCCBE4E5141596.edm" hidden="1">[3]Sheet1!$A:$IV</definedName>
    <definedName name="_bdm.17F0EB48B3AA4306BD71AB7825465F01.edm" hidden="1">'[4]Divisional Comps'!$A:$IV</definedName>
    <definedName name="_bdm.43797866FC7241EF8C9CE384364FCF94.edm" hidden="1">[5]VALUATION!$A:$IV</definedName>
    <definedName name="_bdm.7C2CB5B4DEB449469D1D5E3C7741FFE0.edm" hidden="1">[6]Returns!$A:$IV</definedName>
    <definedName name="_bdm.96D7DC1981E443A8B0A8D27935EDB273.edm" hidden="1">'[5]RNOA - ROE'!$A:$IV</definedName>
    <definedName name="_bdm.9CFC4B40814842C5A60DA0FF269F6C15.edm" hidden="1">[4]LBO!$A:$IV</definedName>
    <definedName name="_bdm.AAED9F19000E46028FCDE96D8F29E5D2.edm" hidden="1">[7]Traffic!$A:$IV</definedName>
    <definedName name="_bdm.E5DEEA40694A44FE9C4D9E65A3FEBDA6.edm" hidden="1">'[6]Comp Performance'!$A:$IV</definedName>
    <definedName name="_bdm.EC60D1277E4B41F690EF779A4DB3EE14.edm" hidden="1">'[4]LINKED DATA'!$A:$IV</definedName>
    <definedName name="_bdm.F4CACB89157644C48CD4B3ECB81DCE38.edm" hidden="1">'[6]Op Margin'!$A:$IV</definedName>
    <definedName name="_Order1">255</definedName>
    <definedName name="AAB_GSPPG">"AAB_Goldman Sachs PPG Chart Utilities 1.0g"</definedName>
    <definedName name="abc" localSheetId="20"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ct_Price" localSheetId="19">OFFSET(Date_Range,0,1,,1)</definedName>
    <definedName name="Act_Price" localSheetId="2">OFFSET(Date_Range,0,1,,1)</definedName>
    <definedName name="Act_Price" localSheetId="20">OFFSET(Date_Range,0,1,,1)</definedName>
    <definedName name="Act_Price" localSheetId="18">OFFSET(Date_Range,0,1,,1)</definedName>
    <definedName name="Act_Price">OFFSET(Date_Range,0,1,,1)</definedName>
    <definedName name="Actual" hidden="1">{#N/A,#N/A,TRUE,"Historicals";#N/A,#N/A,TRUE,"Charts";#N/A,#N/A,TRUE,"Forecasts"}</definedName>
    <definedName name="AdditionalInstructions">IndexInformation!$B$42</definedName>
    <definedName name="Address" localSheetId="0">ImportantDisclosures!$A$2:$A$2</definedName>
    <definedName name="ANA" localSheetId="22">ModPubIndex!$A$7</definedName>
    <definedName name="ann_bs">'[8]Old BKS'!$G$462:$M$523</definedName>
    <definedName name="ann_cf">'[8]Old BKS'!$B$525:$I$589</definedName>
    <definedName name="ann_div">'[8]Old BKS'!$C$325:$M$381</definedName>
    <definedName name="ann_is_short">[9]Income!$C$1:$H$105</definedName>
    <definedName name="ann_store">'[8]Old BKS'!$C$204:$T$296</definedName>
    <definedName name="anscount">1</definedName>
    <definedName name="asd"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uthors" localSheetId="0">ImportantDisclosures!$A$7</definedName>
    <definedName name="Authors" localSheetId="21">IndexInformation!$B$18</definedName>
    <definedName name="Avg">"Avg"</definedName>
    <definedName name="BRO" localSheetId="22">ModPubIndex!$A$1</definedName>
    <definedName name="BS">'[5]Bal Sht'!$E$16:$K$137</definedName>
    <definedName name="CF">[5]CF!$D$1:$K$110</definedName>
    <definedName name="comps_1">[9]Income!$A$119:$IV$119</definedName>
    <definedName name="comps_2">[9]Income!$A$120:$IV$120</definedName>
    <definedName name="comps_3">[9]Income!$A$121:$IV$121</definedName>
    <definedName name="CopyrightStamp">ImportantDisclosures!$A$27</definedName>
    <definedName name="COU" localSheetId="22">ModPubIndex!$A$5</definedName>
    <definedName name="CQEnd" localSheetId="21">IndexInformation!$B$31</definedName>
    <definedName name="Currency" localSheetId="21">IndexInformation!$B$24</definedName>
    <definedName name="CurrentStockPrice" localSheetId="21">IndexInformation!$B$23</definedName>
    <definedName name="CurrQtrEPS" localSheetId="21">IndexInformation!$B$29</definedName>
    <definedName name="CurrYearEPS" localSheetId="21">IndexInformation!$B$11</definedName>
    <definedName name="CurrYearTotalRevenue" localSheetId="21">IndexInformation!$B$10</definedName>
    <definedName name="CurrYearTotalRevenueActual" localSheetId="21">IndexInformation!$B$32</definedName>
    <definedName name="CUSIP" localSheetId="21">IndexInformation!$B$20</definedName>
    <definedName name="CYEnd" localSheetId="21">IndexInformation!$B$30</definedName>
    <definedName name="dataseries4">OFFSET([11]c1!$G$12,0,0,COUNTA([11]c1!$G$12:$G$31),1)</definedName>
    <definedName name="Date" localSheetId="0">ImportantDisclosures!$A$8</definedName>
    <definedName name="DCF_KSS">{"Client Name or Project Name"}</definedName>
    <definedName name="Deleted" localSheetId="21">IndexInformation!$B$27</definedName>
    <definedName name="Description" localSheetId="21">IndexInformation!$B$7</definedName>
    <definedName name="DEVELOPMENT">5</definedName>
    <definedName name="Discipline" localSheetId="21">IndexInformation!$B$3</definedName>
    <definedName name="DISCIPLINE" localSheetId="22">ModPubIndex!$A$12</definedName>
    <definedName name="DisclosuresText">ImportantDisclosures!$A$22</definedName>
    <definedName name="Distribution" localSheetId="21">IndexInformation!$B$26</definedName>
    <definedName name="DistTable" localSheetId="0">ImportantDisclosures!#REF!</definedName>
    <definedName name="DistTablePreamble" localSheetId="0">ImportantDisclosures!#REF!</definedName>
    <definedName name="Djzh15" xlm="1" functionGroupId="14">0</definedName>
    <definedName name="Djzh16" xlm="1" functionGroupId="14">0</definedName>
    <definedName name="DOCDAT" localSheetId="22">ModPubIndex!$A$2</definedName>
    <definedName name="DOCTIME" localSheetId="22">ModPubIndex!$A$3</definedName>
    <definedName name="DocType" localSheetId="21">IndexInformation!$B$5</definedName>
    <definedName name="Download_series">[12]!Download_series</definedName>
    <definedName name="e">[9]Income!$EP$106</definedName>
    <definedName name="EMAIL_ALERT" localSheetId="22">ModPubIndex!$A$10</definedName>
    <definedName name="EmailAlert" localSheetId="21">IndexInformation!$B$28</definedName>
    <definedName name="ExpandModel">[10]!ExpandModel</definedName>
    <definedName name="ExpandOutputs">[10]!ExpandOutputs</definedName>
    <definedName name="ExpandVPeriods">[10]!ExpandVPeriods</definedName>
    <definedName name="ExportFile">[10]!ExportFile</definedName>
    <definedName name="ｆ" hidden="1">"iQShowAnnual"</definedName>
    <definedName name="FINCopyDirection">1</definedName>
    <definedName name="FINCriteriaType">1</definedName>
    <definedName name="FiveYearGrowthRate" localSheetId="21">IndexInformation!$B$16</definedName>
    <definedName name="FollowingYearEPS" localSheetId="21">IndexInformation!$B$15</definedName>
    <definedName name="FollowingYearTotalRevenue" localSheetId="21">IndexInformation!$B$14</definedName>
    <definedName name="FollowingYearTotalRevenueActual" localSheetId="21">IndexInformation!$B$34</definedName>
    <definedName name="FSTicker" localSheetId="18">'MWA Lease'!$F$4</definedName>
    <definedName name="HL" localSheetId="22">ModPubIndex!$A$8</definedName>
    <definedName name="ImportFile">[10]!ImportFile</definedName>
    <definedName name="income">[9]Income!$A:$IV</definedName>
    <definedName name="IND" localSheetId="22">ModPubIndex!$A$9</definedName>
    <definedName name="Industry" localSheetId="0">ImportantDisclosures!$A$12</definedName>
    <definedName name="IndustryId">IndexInformation!$B$40</definedName>
    <definedName name="IndustryRating" localSheetId="0">ImportantDisclosures!$A$13</definedName>
    <definedName name="IQ_ACCOUNT_CHANGE">"c1449"</definedName>
    <definedName name="IQ_ACCOUNTS_PAY">"c1343"</definedName>
    <definedName name="IQ_ACCR_INT_PAY">"c1"</definedName>
    <definedName name="IQ_ACCR_INT_PAY_CF">"c2"</definedName>
    <definedName name="IQ_ACCR_INT_RECEIV">"c3"</definedName>
    <definedName name="IQ_ACCR_INT_RECEIV_CF">"c4"</definedName>
    <definedName name="IQ_ACCRUED_EXP">"c1341"</definedName>
    <definedName name="IQ_ACCT_RECV_10YR_ANN_GROWTH">"c1924"</definedName>
    <definedName name="IQ_ACCT_RECV_1YR_ANN_GROWTH">"c1919"</definedName>
    <definedName name="IQ_ACCT_RECV_2YR_ANN_GROWTH">"c1920"</definedName>
    <definedName name="IQ_ACCT_RECV_3YR_ANN_GROWTH">"c1921"</definedName>
    <definedName name="IQ_ACCT_RECV_5YR_ANN_GROWTH">"c1922"</definedName>
    <definedName name="IQ_ACCT_RECV_7YR_ANN_GROWTH">"c1923"</definedName>
    <definedName name="IQ_ACCUM_DEP">"c1340"</definedName>
    <definedName name="IQ_ACCUMULATED_PENSION_OBLIGATION">"c2244"</definedName>
    <definedName name="IQ_ACCUMULATED_PENSION_OBLIGATION_DOMESTIC">"c2657"</definedName>
    <definedName name="IQ_ACCUMULATED_PENSION_OBLIGATION_FOREIGN">"c2665"</definedName>
    <definedName name="IQ_ACQ_COST_SUB">"c2125"</definedName>
    <definedName name="IQ_ACQ_COSTS_CAPITALIZED">"c5"</definedName>
    <definedName name="IQ_ACQUIRE_REAL_ESTATE_CF">"c6"</definedName>
    <definedName name="IQ_ACQUISITION_RE_ASSETS">"c1628"</definedName>
    <definedName name="IQ_AD">"c7"</definedName>
    <definedName name="IQ_ADD_PAID_IN">"c1344"</definedName>
    <definedName name="IQ_ADDIN" hidden="1">"AUTO"</definedName>
    <definedName name="IQ_ADJ_AVG_BANK_ASSETS">"c2671"</definedName>
    <definedName name="IQ_ADMIN_RATIO">"c2784"</definedName>
    <definedName name="IQ_ADVERTISING">"c2246"</definedName>
    <definedName name="IQ_ADVERTISING_MARKETING">"c1566"</definedName>
    <definedName name="IQ_AE">"c8"</definedName>
    <definedName name="IQ_AE_BNK">"c9"</definedName>
    <definedName name="IQ_AE_BR">"c10"</definedName>
    <definedName name="IQ_AE_FIN">"c11"</definedName>
    <definedName name="IQ_AE_INS">"c12"</definedName>
    <definedName name="IQ_AE_REIT">"c13"</definedName>
    <definedName name="IQ_AE_UTI">"c14"</definedName>
    <definedName name="IQ_AH_EARNED">"c2744"</definedName>
    <definedName name="IQ_AH_POLICY_BENEFITS_EXP">"c2789"</definedName>
    <definedName name="IQ_AIR_AIRPLANES_NOT_IN_SERVICE">"c2842"</definedName>
    <definedName name="IQ_AIR_AIRPLANES_SUBLEASED">"c2841"</definedName>
    <definedName name="IQ_AIR_ASK">"c2813"</definedName>
    <definedName name="IQ_AIR_ASK_INCREASE">"c2826"</definedName>
    <definedName name="IQ_AIR_ASM">"c2812"</definedName>
    <definedName name="IQ_AIR_ASM_INCREASE">"c2825"</definedName>
    <definedName name="IQ_AIR_AVG_AGE">"c2843"</definedName>
    <definedName name="IQ_AIR_BREAK_EVEN_FACTOR">"c2822"</definedName>
    <definedName name="IQ_AIR_CAPITAL_LEASE">"c2833"</definedName>
    <definedName name="IQ_AIR_COMPLETION_FACTOR">"c2824"</definedName>
    <definedName name="IQ_AIR_ENPLANED_PSGRS">"c2809"</definedName>
    <definedName name="IQ_AIR_FUEL_CONSUMED">"c2806"</definedName>
    <definedName name="IQ_AIR_FUEL_CONSUMED_L">"c2807"</definedName>
    <definedName name="IQ_AIR_FUEL_COST">"c2803"</definedName>
    <definedName name="IQ_AIR_FUEL_COST_L">"c2804"</definedName>
    <definedName name="IQ_AIR_FUEL_EXP">"c2802"</definedName>
    <definedName name="IQ_AIR_FUEL_EXP_PERCENT">"c2805"</definedName>
    <definedName name="IQ_AIR_LEASED">"c2835"</definedName>
    <definedName name="IQ_AIR_LOAD_FACTOR">"c2823"</definedName>
    <definedName name="IQ_AIR_NEW_AIRPLANES">"c2839"</definedName>
    <definedName name="IQ_AIR_OPER_EXP_ASK">"c2821"</definedName>
    <definedName name="IQ_AIR_OPER_EXP_ASM">"c2820"</definedName>
    <definedName name="IQ_AIR_OPER_LEASE">"c2834"</definedName>
    <definedName name="IQ_AIR_OPER_REV_YIELD_ASK">"c2819"</definedName>
    <definedName name="IQ_AIR_OPER_REV_YIELD_ASM">"c2818"</definedName>
    <definedName name="IQ_AIR_OPTIONS">"c2837"</definedName>
    <definedName name="IQ_AIR_ORDERS">"c2836"</definedName>
    <definedName name="IQ_AIR_OWNED">"c2832"</definedName>
    <definedName name="IQ_AIR_PSGR_REV_YIELD_ASK">"c2817"</definedName>
    <definedName name="IQ_AIR_PSGR_REV_YIELD_ASM">"c2816"</definedName>
    <definedName name="IQ_AIR_PSGR_REV_YIELD_RPK">"c2815"</definedName>
    <definedName name="IQ_AIR_PSGR_REV_YIELD_RPM">"c2814"</definedName>
    <definedName name="IQ_AIR_PURCHASE_RIGHTS">"c2838"</definedName>
    <definedName name="IQ_AIR_RETIRED_AIRPLANES">"c2840"</definedName>
    <definedName name="IQ_AIR_REV_PSGRS_CARRIED">"c2808"</definedName>
    <definedName name="IQ_AIR_REV_SCHEDULED_SERVICE">"c2830"</definedName>
    <definedName name="IQ_AIR_RPK">"c2811"</definedName>
    <definedName name="IQ_AIR_RPM">"c2810"</definedName>
    <definedName name="IQ_AIR_STAGE_LENGTH">"c2828"</definedName>
    <definedName name="IQ_AIR_STAGE_LENGTH_KM">"c2829"</definedName>
    <definedName name="IQ_AIR_TOTAL">"c2831"</definedName>
    <definedName name="IQ_AIR_UTILIZATION">"c2827"</definedName>
    <definedName name="IQ_ALLOW_BORROW_CONST">"c15"</definedName>
    <definedName name="IQ_ALLOW_CONST">"c1342"</definedName>
    <definedName name="IQ_ALLOW_DOUBT_ACCT">"c2092"</definedName>
    <definedName name="IQ_ALLOW_EQUITY_CONST">"c16"</definedName>
    <definedName name="IQ_ALLOW_LL">"c17"</definedName>
    <definedName name="IQ_ALLOWANCE_10YR_ANN_GROWTH">"c18"</definedName>
    <definedName name="IQ_ALLOWANCE_1YR_ANN_GROWTH">"c19"</definedName>
    <definedName name="IQ_ALLOWANCE_2YR_ANN_GROWTH">"c20"</definedName>
    <definedName name="IQ_ALLOWANCE_3YR_ANN_GROWTH">"c21"</definedName>
    <definedName name="IQ_ALLOWANCE_5YR_ANN_GROWTH">"c22"</definedName>
    <definedName name="IQ_ALLOWANCE_7YR_ANN_GROWTH">"c23"</definedName>
    <definedName name="IQ_ALLOWANCE_CHARGE_OFFS">"c24"</definedName>
    <definedName name="IQ_ALLOWANCE_NON_PERF_LOANS">"c25"</definedName>
    <definedName name="IQ_ALLOWANCE_TOTAL_LOANS">"c26"</definedName>
    <definedName name="IQ_AMORTIZATION">"c1591"</definedName>
    <definedName name="IQ_AMT_OUT">"c2145"</definedName>
    <definedName name="IQ_ANNU_DISTRIBUTION_UNIT">"c3004"</definedName>
    <definedName name="IQ_ANNUALIZED_DIVIDEND">"c1579"</definedName>
    <definedName name="IQ_ANNUITY_LIAB">"c27"</definedName>
    <definedName name="IQ_ANNUITY_PAY">"c28"</definedName>
    <definedName name="IQ_ANNUITY_POLICY_EXP">"c29"</definedName>
    <definedName name="IQ_ANNUITY_REC">"c30"</definedName>
    <definedName name="IQ_ANNUITY_REV">"c31"</definedName>
    <definedName name="IQ_AP">"c32"</definedName>
    <definedName name="IQ_AP_BNK">"c33"</definedName>
    <definedName name="IQ_AP_BR">"c34"</definedName>
    <definedName name="IQ_AP_FIN">"c35"</definedName>
    <definedName name="IQ_AP_INS">"c36"</definedName>
    <definedName name="IQ_AP_REIT">"c37"</definedName>
    <definedName name="IQ_AP_UTI">"c38"</definedName>
    <definedName name="IQ_APIC">"c39"</definedName>
    <definedName name="IQ_AR">"c40"</definedName>
    <definedName name="IQ_AR_BR">"c41"</definedName>
    <definedName name="IQ_AR_LT">"c42"</definedName>
    <definedName name="IQ_AR_REIT">"c43"</definedName>
    <definedName name="IQ_AR_TURNS">"c44"</definedName>
    <definedName name="IQ_AR_UTI">"c45"</definedName>
    <definedName name="IQ_ARPU">"c2126"</definedName>
    <definedName name="IQ_ASSET_MGMT_FEE">"c46"</definedName>
    <definedName name="IQ_ASSET_TURNS">"c47"</definedName>
    <definedName name="IQ_ASSET_WRITEDOWN">"c48"</definedName>
    <definedName name="IQ_ASSET_WRITEDOWN_BNK">"c49"</definedName>
    <definedName name="IQ_ASSET_WRITEDOWN_BR">"c50"</definedName>
    <definedName name="IQ_ASSET_WRITEDOWN_CF">"c51"</definedName>
    <definedName name="IQ_ASSET_WRITEDOWN_CF_BNK">"c52"</definedName>
    <definedName name="IQ_ASSET_WRITEDOWN_CF_BR">"c53"</definedName>
    <definedName name="IQ_ASSET_WRITEDOWN_CF_FIN">"c54"</definedName>
    <definedName name="IQ_ASSET_WRITEDOWN_CF_INS">"c55"</definedName>
    <definedName name="IQ_ASSET_WRITEDOWN_CF_REIT">"c56"</definedName>
    <definedName name="IQ_ASSET_WRITEDOWN_CF_UTI">"c57"</definedName>
    <definedName name="IQ_ASSET_WRITEDOWN_FIN">"c58"</definedName>
    <definedName name="IQ_ASSET_WRITEDOWN_INS">"c59"</definedName>
    <definedName name="IQ_ASSET_WRITEDOWN_REIT">"c60"</definedName>
    <definedName name="IQ_ASSET_WRITEDOWN_UTI">"c61"</definedName>
    <definedName name="IQ_ASSETS_CAP_LEASE_DEPR">"c2068"</definedName>
    <definedName name="IQ_ASSETS_CAP_LEASE_GROSS">"c2069"</definedName>
    <definedName name="IQ_ASSETS_OPER_LEASE_DEPR">"c2070"</definedName>
    <definedName name="IQ_ASSETS_OPER_LEASE_GROSS">"c2071"</definedName>
    <definedName name="IQ_ASSUMED_AH_EARNED">"c2741"</definedName>
    <definedName name="IQ_ASSUMED_EARNED">"c2731"</definedName>
    <definedName name="IQ_ASSUMED_LIFE_EARNED">"c2736"</definedName>
    <definedName name="IQ_ASSUMED_LIFE_IN_FORCE">"c2766"</definedName>
    <definedName name="IQ_ASSUMED_PC_EARNED">"c2746"</definedName>
    <definedName name="IQ_ASSUMED_WRITTEN">"c2725"</definedName>
    <definedName name="IQ_AUDITOR_NAME">"c1539"</definedName>
    <definedName name="IQ_AUDITOR_OPINION">"c1540"</definedName>
    <definedName name="IQ_AUTO_WRITTEN">"c62"</definedName>
    <definedName name="IQ_AVG_BANK_ASSETS">"c2072"</definedName>
    <definedName name="IQ_AVG_BANK_LOANS">"c2073"</definedName>
    <definedName name="IQ_AVG_BROKER_REC">"c63"</definedName>
    <definedName name="IQ_AVG_BROKER_REC_NO">"c64"</definedName>
    <definedName name="IQ_AVG_BROKER_REC_NO_REUT">"c5315"</definedName>
    <definedName name="IQ_AVG_BROKER_REC_REUT">"c3630"</definedName>
    <definedName name="IQ_AVG_DAILY_VOL">"c65"</definedName>
    <definedName name="IQ_AVG_INDUSTRY_REC">"c4455"</definedName>
    <definedName name="IQ_AVG_INT_BEAR_LIAB">"c66"</definedName>
    <definedName name="IQ_AVG_INT_BEAR_LIAB_10YR_ANN_GROWTH">"c67"</definedName>
    <definedName name="IQ_AVG_INT_BEAR_LIAB_1YR_ANN_GROWTH">"c68"</definedName>
    <definedName name="IQ_AVG_INT_BEAR_LIAB_2YR_ANN_GROWTH">"c69"</definedName>
    <definedName name="IQ_AVG_INT_BEAR_LIAB_3YR_ANN_GROWTH">"c70"</definedName>
    <definedName name="IQ_AVG_INT_BEAR_LIAB_5YR_ANN_GROWTH">"c71"</definedName>
    <definedName name="IQ_AVG_INT_BEAR_LIAB_7YR_ANN_GROWTH">"c72"</definedName>
    <definedName name="IQ_AVG_INT_EARN_ASSETS">"c73"</definedName>
    <definedName name="IQ_AVG_INT_EARN_ASSETS_10YR_ANN_GROWTH">"c74"</definedName>
    <definedName name="IQ_AVG_INT_EARN_ASSETS_1YR_ANN_GROWTH">"c75"</definedName>
    <definedName name="IQ_AVG_INT_EARN_ASSETS_2YR_ANN_GROWTH">"c76"</definedName>
    <definedName name="IQ_AVG_INT_EARN_ASSETS_3YR_ANN_GROWTH">"c77"</definedName>
    <definedName name="IQ_AVG_INT_EARN_ASSETS_5YR_ANN_GROWTH">"c78"</definedName>
    <definedName name="IQ_AVG_INT_EARN_ASSETS_7YR_ANN_GROWTH">"c79"</definedName>
    <definedName name="IQ_AVG_MKTCAP">"c80"</definedName>
    <definedName name="IQ_AVG_PRICE">"c81"</definedName>
    <definedName name="IQ_AVG_SHAREOUTSTANDING">"c83"</definedName>
    <definedName name="IQ_AVG_TEV">"c84"</definedName>
    <definedName name="IQ_AVG_VOLUME">"c1346"</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NK_DEBT">"c2544"</definedName>
    <definedName name="IQ_BANK_DEBT_PCT">"c2545"</definedName>
    <definedName name="IQ_BASIC_EPS_EXCL">"c85"</definedName>
    <definedName name="IQ_BASIC_EPS_INCL">"c86"</definedName>
    <definedName name="IQ_BASIC_NORMAL_EPS">"c1592"</definedName>
    <definedName name="IQ_BASIC_WEIGHT">"c87"</definedName>
    <definedName name="IQ_BENCHMARK_SECURITY">"c2154"</definedName>
    <definedName name="IQ_BENCHMARK_SPRD">"c2153"</definedName>
    <definedName name="IQ_BETA">"c2133"</definedName>
    <definedName name="IQ_BETA_1YR">"c1966"</definedName>
    <definedName name="IQ_BETA_1YR_RSQ">"c2132"</definedName>
    <definedName name="IQ_BETA_2YR">"c1965"</definedName>
    <definedName name="IQ_BETA_2YR_RSQ">"c2131"</definedName>
    <definedName name="IQ_BETA_5YR">"c88"</definedName>
    <definedName name="IQ_BETA_5YR_RSQ">"c2130"</definedName>
    <definedName name="IQ_BIG_INT_BEAR_CD">"c89"</definedName>
    <definedName name="IQ_BOARD_MEMBER">"c96"</definedName>
    <definedName name="IQ_BOARD_MEMBER_BACKGROUND">"c2101"</definedName>
    <definedName name="IQ_BOARD_MEMBER_TITLE">"c97"</definedName>
    <definedName name="IQ_BOND_COUPON">"c2183"</definedName>
    <definedName name="IQ_BOND_COUPON_TYPE">"c2184"</definedName>
    <definedName name="IQ_BOND_PRICE">"c2162"</definedName>
    <definedName name="IQ_BROK_COMISSION">"c98"</definedName>
    <definedName name="IQ_BROK_COMMISSION">"c3514"</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"c99"</definedName>
    <definedName name="IQ_BUS_SEG_ASSETS">"c4067"</definedName>
    <definedName name="IQ_BUS_SEG_ASSETS_ABS">"c4089"</definedName>
    <definedName name="IQ_BUS_SEG_ASSETS_TOTAL">"c4112"</definedName>
    <definedName name="IQ_BUS_SEG_CAPEX">"c4079"</definedName>
    <definedName name="IQ_BUS_SEG_CAPEX_ABS">"c4101"</definedName>
    <definedName name="IQ_BUS_SEG_CAPEX_TOTAL">"c4116"</definedName>
    <definedName name="IQ_BUS_SEG_DA">"c4078"</definedName>
    <definedName name="IQ_BUS_SEG_DA_ABS">"c4100"</definedName>
    <definedName name="IQ_BUS_SEG_DA_TOTAL">"c4115"</definedName>
    <definedName name="IQ_BUS_SEG_EARNINGS_OP">"c4063"</definedName>
    <definedName name="IQ_BUS_SEG_EARNINGS_OP_ABS">"c4085"</definedName>
    <definedName name="IQ_BUS_SEG_EARNINGS_OP_TOTAL">"c4108"</definedName>
    <definedName name="IQ_BUS_SEG_EBT">"c4064"</definedName>
    <definedName name="IQ_BUS_SEG_EBT_ABS">"c4086"</definedName>
    <definedName name="IQ_BUS_SEG_EBT_TOTAL">"c4110"</definedName>
    <definedName name="IQ_BUS_SEG_GP">"c4066"</definedName>
    <definedName name="IQ_BUS_SEG_GP_ABS">"c4088"</definedName>
    <definedName name="IQ_BUS_SEG_GP_TOTAL">"c4109"</definedName>
    <definedName name="IQ_BUS_SEG_INC_TAX">"c4077"</definedName>
    <definedName name="IQ_BUS_SEG_INC_TAX_ABS">"c4099"</definedName>
    <definedName name="IQ_BUS_SEG_INC_TAX_TOTAL">"c4114"</definedName>
    <definedName name="IQ_BUS_SEG_INTEREST_EXP">"c4076"</definedName>
    <definedName name="IQ_BUS_SEG_INTEREST_EXP_ABS">"c4098"</definedName>
    <definedName name="IQ_BUS_SEG_INTEREST_EXP_TOTAL">"c4113"</definedName>
    <definedName name="IQ_BUS_SEG_NAME">"c5482"</definedName>
    <definedName name="IQ_BUS_SEG_NAME_ABS">"c5483"</definedName>
    <definedName name="IQ_BUS_SEG_NI">"c4065"</definedName>
    <definedName name="IQ_BUS_SEG_NI_ABS">"c4087"</definedName>
    <definedName name="IQ_BUS_SEG_NI_TOTAL">"c4111"</definedName>
    <definedName name="IQ_BUS_SEG_OPER_INC">"c4062"</definedName>
    <definedName name="IQ_BUS_SEG_OPER_INC_ABS">"c4084"</definedName>
    <definedName name="IQ_BUS_SEG_OPER_INC_TOTAL">"c4107"</definedName>
    <definedName name="IQ_BUS_SEG_REV">"c4068"</definedName>
    <definedName name="IQ_BUS_SEG_REV_ABS">"c4090"</definedName>
    <definedName name="IQ_BUS_SEG_REV_TOTAL">"c4106"</definedName>
    <definedName name="IQ_BUSINESS_DESCRIPTION">"c322"</definedName>
    <definedName name="IQ_BV_OVER_SHARES">"c1349"</definedName>
    <definedName name="IQ_BV_SHARE">"c100"</definedName>
    <definedName name="IQ_CABLE_ARPU">"c2869"</definedName>
    <definedName name="IQ_CABLE_ARPU_ANALOG">"c2864"</definedName>
    <definedName name="IQ_CABLE_ARPU_BASIC">"c2866"</definedName>
    <definedName name="IQ_CABLE_ARPU_BBAND">"c2867"</definedName>
    <definedName name="IQ_CABLE_ARPU_DIG">"c2865"</definedName>
    <definedName name="IQ_CABLE_ARPU_PHONE">"c2868"</definedName>
    <definedName name="IQ_CABLE_BASIC_PENETRATION">"c2850"</definedName>
    <definedName name="IQ_CABLE_BBAND_PENETRATION">"c2852"</definedName>
    <definedName name="IQ_CABLE_BBAND_PENETRATION_THP">"c2851"</definedName>
    <definedName name="IQ_CABLE_CHURN">"c2874"</definedName>
    <definedName name="IQ_CABLE_CHURN_BASIC">"c2871"</definedName>
    <definedName name="IQ_CABLE_CHURN_BBAND">"c2872"</definedName>
    <definedName name="IQ_CABLE_CHURN_DIG">"c2870"</definedName>
    <definedName name="IQ_CABLE_CHURN_PHONE">"c2873"</definedName>
    <definedName name="IQ_CABLE_HOMES_PER_MILE">"c2849"</definedName>
    <definedName name="IQ_CABLE_HP_BBAND">"c2845"</definedName>
    <definedName name="IQ_CABLE_HP_DIG">"c2844"</definedName>
    <definedName name="IQ_CABLE_HP_PHONE">"c2846"</definedName>
    <definedName name="IQ_CABLE_MILES_PASSED">"c2848"</definedName>
    <definedName name="IQ_CABLE_OTHER_REV">"c2882"</definedName>
    <definedName name="IQ_CABLE_PHONE_PENETRATION">"c2853"</definedName>
    <definedName name="IQ_CABLE_PROGRAMMING_COSTS">"c2884"</definedName>
    <definedName name="IQ_CABLE_REV_ADVERT">"c2880"</definedName>
    <definedName name="IQ_CABLE_REV_ANALOG">"c2875"</definedName>
    <definedName name="IQ_CABLE_REV_BASIC">"c2877"</definedName>
    <definedName name="IQ_CABLE_REV_BBAND">"c2878"</definedName>
    <definedName name="IQ_CABLE_REV_COMMERCIAL">"c2881"</definedName>
    <definedName name="IQ_CABLE_REV_DIG">"c2876"</definedName>
    <definedName name="IQ_CABLE_REV_PHONE">"c2879"</definedName>
    <definedName name="IQ_CABLE_RGU">"c2863"</definedName>
    <definedName name="IQ_CABLE_SUBS_ANALOG">"c2855"</definedName>
    <definedName name="IQ_CABLE_SUBS_BASIC">"c2857"</definedName>
    <definedName name="IQ_CABLE_SUBS_BBAND">"c2858"</definedName>
    <definedName name="IQ_CABLE_SUBS_BUNDLED">"c2861"</definedName>
    <definedName name="IQ_CABLE_SUBS_DIG">"c2856"</definedName>
    <definedName name="IQ_CABLE_SUBS_NON_VIDEO">"c2860"</definedName>
    <definedName name="IQ_CABLE_SUBS_PHONE">"c2859"</definedName>
    <definedName name="IQ_CABLE_SUBS_TOTAL">"c2862"</definedName>
    <definedName name="IQ_CABLE_THP">"c2847"</definedName>
    <definedName name="IQ_CABLE_TOTAL_PENETRATION">"c2854"</definedName>
    <definedName name="IQ_CABLE_TOTAL_REV">"c2883"</definedName>
    <definedName name="IQ_CAL_Q">"c101"</definedName>
    <definedName name="IQ_CAL_Y">"c102"</definedName>
    <definedName name="IQ_CALC_TYPE_BS">"c3086"</definedName>
    <definedName name="IQ_CALC_TYPE_CF">"c3085"</definedName>
    <definedName name="IQ_CALC_TYPE_IS">"c3084"</definedName>
    <definedName name="IQ_CALL_DATE_SCHEDULE">"c2481"</definedName>
    <definedName name="IQ_CALL_FEATURE">"c2197"</definedName>
    <definedName name="IQ_CALL_PRICE_SCHEDULE">"c2482"</definedName>
    <definedName name="IQ_CALLABLE">"c2196"</definedName>
    <definedName name="IQ_CAP_LOSS_CF_1YR">"c3474"</definedName>
    <definedName name="IQ_CAP_LOSS_CF_2YR">"c3475"</definedName>
    <definedName name="IQ_CAP_LOSS_CF_3YR">"c3476"</definedName>
    <definedName name="IQ_CAP_LOSS_CF_4YR">"c3477"</definedName>
    <definedName name="IQ_CAP_LOSS_CF_5YR">"c3478"</definedName>
    <definedName name="IQ_CAP_LOSS_CF_AFTER_FIVE">"c3479"</definedName>
    <definedName name="IQ_CAP_LOSS_CF_MAX_YEAR">"c3482"</definedName>
    <definedName name="IQ_CAP_LOSS_CF_NO_EXP">"c3480"</definedName>
    <definedName name="IQ_CAP_LOSS_CF_TOTAL">"c3481"</definedName>
    <definedName name="IQ_CAPEX">"c103"</definedName>
    <definedName name="IQ_CAPEX_10YR_ANN_GROWTH">"c104"</definedName>
    <definedName name="IQ_CAPEX_1YR_ANN_GROWTH">"c105"</definedName>
    <definedName name="IQ_CAPEX_2YR_ANN_GROWTH">"c106"</definedName>
    <definedName name="IQ_CAPEX_3YR_ANN_GROWTH">"c107"</definedName>
    <definedName name="IQ_CAPEX_5YR_ANN_GROWTH">"c108"</definedName>
    <definedName name="IQ_CAPEX_7YR_ANN_GROWTH">"c109"</definedName>
    <definedName name="IQ_CAPEX_BNK">"c110"</definedName>
    <definedName name="IQ_CAPEX_BR">"c111"</definedName>
    <definedName name="IQ_CAPEX_FIN">"c112"</definedName>
    <definedName name="IQ_CAPEX_INS">"c113"</definedName>
    <definedName name="IQ_CAPEX_UTI">"c114"</definedName>
    <definedName name="IQ_CAPITAL_LEASE">"c1350"</definedName>
    <definedName name="IQ_CAPITAL_LEASES">"c115"</definedName>
    <definedName name="IQ_CAPITAL_LEASES_TOTAL">"c3031"</definedName>
    <definedName name="IQ_CAPITAL_LEASES_TOTAL_PCT">"c2506"</definedName>
    <definedName name="IQ_CAPITALIZED_INTEREST" localSheetId="20">"c3460"</definedName>
    <definedName name="IQ_CAPITALIZED_INTEREST">"c2076"</definedName>
    <definedName name="IQ_CAPITALIZED_INTEREST_BOP">"c3459"</definedName>
    <definedName name="IQ_CAPITALIZED_INTEREST_EOP">"c3464"</definedName>
    <definedName name="IQ_CAPITALIZED_INTEREST_EXP">"c3461"</definedName>
    <definedName name="IQ_CAPITALIZED_INTEREST_OTHER_ADJ">"c3463"</definedName>
    <definedName name="IQ_CAPITALIZED_INTEREST_WRITE_OFF">"c3462"</definedName>
    <definedName name="IQ_CASH">"c1458"</definedName>
    <definedName name="IQ_CASH_ACQUIRE_CF">"c116"</definedName>
    <definedName name="IQ_CASH_CONVERSION">"c117"</definedName>
    <definedName name="IQ_CASH_DUE_BANKS">"c1351"</definedName>
    <definedName name="IQ_CASH_EQUIV">"c118"</definedName>
    <definedName name="IQ_CASH_FINAN">"c119"</definedName>
    <definedName name="IQ_CASH_FLOW_ACT_OR_EST">"c4154"</definedName>
    <definedName name="IQ_CASH_INTEREST">"c120"</definedName>
    <definedName name="IQ_CASH_INVEST">"c121"</definedName>
    <definedName name="IQ_CASH_OPER">"c122"</definedName>
    <definedName name="IQ_CASH_OPER_ACT_OR_EST">"c4164"</definedName>
    <definedName name="IQ_CASH_SEGREG">"c123"</definedName>
    <definedName name="IQ_CASH_SHARE">"c1911"</definedName>
    <definedName name="IQ_CASH_ST">"c1355"</definedName>
    <definedName name="IQ_CASH_ST_INVEST">"c124"</definedName>
    <definedName name="IQ_CASH_TAXES">"c125"</definedName>
    <definedName name="IQ_CEDED_AH_EARNED">"c2743"</definedName>
    <definedName name="IQ_CEDED_CLAIM_EXP_INCUR">"c2756"</definedName>
    <definedName name="IQ_CEDED_CLAIM_EXP_PAID">"c2759"</definedName>
    <definedName name="IQ_CEDED_CLAIM_EXP_RES">"c2753"</definedName>
    <definedName name="IQ_CEDED_EARNED">"c2733"</definedName>
    <definedName name="IQ_CEDED_LIFE_EARNED">"c2738"</definedName>
    <definedName name="IQ_CEDED_LIFE_IN_FORCE">"c2768"</definedName>
    <definedName name="IQ_CEDED_PC_EARNED">"c2748"</definedName>
    <definedName name="IQ_CEDED_WRITTEN">"c2727"</definedName>
    <definedName name="IQ_CFO_10YR_ANN_GROWTH">"c126"</definedName>
    <definedName name="IQ_CFO_1YR_ANN_GROWTH">"c127"</definedName>
    <definedName name="IQ_CFO_2YR_ANN_GROWTH">"c128"</definedName>
    <definedName name="IQ_CFO_3YR_ANN_GROWTH">"c129"</definedName>
    <definedName name="IQ_CFO_5YR_ANN_GROWTH">"c130"</definedName>
    <definedName name="IQ_CFO_7YR_ANN_GROWTH">"c131"</definedName>
    <definedName name="IQ_CFO_CURRENT_LIAB">"c132"</definedName>
    <definedName name="IQ_CH" hidden="1">110000</definedName>
    <definedName name="IQ_CHANGE_AP">"c133"</definedName>
    <definedName name="IQ_CHANGE_AP_BNK">"c134"</definedName>
    <definedName name="IQ_CHANGE_AP_BR">"c135"</definedName>
    <definedName name="IQ_CHANGE_AP_FIN">"c136"</definedName>
    <definedName name="IQ_CHANGE_AP_INS">"c137"</definedName>
    <definedName name="IQ_CHANGE_AP_REIT">"c138"</definedName>
    <definedName name="IQ_CHANGE_AP_UTI">"c139"</definedName>
    <definedName name="IQ_CHANGE_AR">"c140"</definedName>
    <definedName name="IQ_CHANGE_AR_BNK">"c141"</definedName>
    <definedName name="IQ_CHANGE_AR_BR">"c142"</definedName>
    <definedName name="IQ_CHANGE_AR_FIN">"c143"</definedName>
    <definedName name="IQ_CHANGE_AR_INS">"c144"</definedName>
    <definedName name="IQ_CHANGE_AR_REIT">"c145"</definedName>
    <definedName name="IQ_CHANGE_AR_UTI">"c146"</definedName>
    <definedName name="IQ_CHANGE_DEF_TAX">"c147"</definedName>
    <definedName name="IQ_CHANGE_DEPOSIT_ACCT">"c148"</definedName>
    <definedName name="IQ_CHANGE_INC_TAX">"c149"</definedName>
    <definedName name="IQ_CHANGE_INS_RES_LIAB">"c150"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"c151"</definedName>
    <definedName name="IQ_CHANGE_NET_OPER_ASSETS">"c3592"</definedName>
    <definedName name="IQ_CHANGE_NET_WORKING_CAPITAL">"c1909"</definedName>
    <definedName name="IQ_CHANGE_OTHER_NET_OPER_ASSETS">"c3593"</definedName>
    <definedName name="IQ_CHANGE_OTHER_NET_OPER_ASSETS_BNK">"c3594"</definedName>
    <definedName name="IQ_CHANGE_OTHER_NET_OPER_ASSETS_BR">"c3595"</definedName>
    <definedName name="IQ_CHANGE_OTHER_NET_OPER_ASSETS_FIN">"c3596"</definedName>
    <definedName name="IQ_CHANGE_OTHER_NET_OPER_ASSETS_INS">"c3597"</definedName>
    <definedName name="IQ_CHANGE_OTHER_NET_OPER_ASSETS_REIT">"c3598"</definedName>
    <definedName name="IQ_CHANGE_OTHER_NET_OPER_ASSETS_UTI">"c3599"</definedName>
    <definedName name="IQ_CHANGE_OTHER_WORK_CAP">"c152"</definedName>
    <definedName name="IQ_CHANGE_OTHER_WORK_CAP_BNK">"c153"</definedName>
    <definedName name="IQ_CHANGE_OTHER_WORK_CAP_BR">"c154"</definedName>
    <definedName name="IQ_CHANGE_OTHER_WORK_CAP_FIN">"c155"</definedName>
    <definedName name="IQ_CHANGE_OTHER_WORK_CAP_INS">"c156"</definedName>
    <definedName name="IQ_CHANGE_OTHER_WORK_CAP_REIT">"c157"</definedName>
    <definedName name="IQ_CHANGE_OTHER_WORK_CAP_UTI">"c158"</definedName>
    <definedName name="IQ_CHANGE_TRADING_ASSETS">"c159"</definedName>
    <definedName name="IQ_CHANGE_UNEARN_REV">"c160"</definedName>
    <definedName name="IQ_CHANGE_WORK_CAP">"c161"</definedName>
    <definedName name="IQ_CHANGES_WORK_CAP">"c1357"</definedName>
    <definedName name="IQ_CHARGE_OFFS_GROSS">"c162"</definedName>
    <definedName name="IQ_CHARGE_OFFS_NET">"c163"</definedName>
    <definedName name="IQ_CHARGE_OFFS_RECOVERED">"c164"</definedName>
    <definedName name="IQ_CHARGE_OFFS_TOTAL_AVG_LOANS">"c165"</definedName>
    <definedName name="IQ_CITY">"c166"</definedName>
    <definedName name="IQ_CL_DUE_AFTER_FIVE">"c167"</definedName>
    <definedName name="IQ_CL_DUE_CY">"c168"</definedName>
    <definedName name="IQ_CL_DUE_CY1">"c169"</definedName>
    <definedName name="IQ_CL_DUE_CY2">"c170"</definedName>
    <definedName name="IQ_CL_DUE_CY3">"c171"</definedName>
    <definedName name="IQ_CL_DUE_CY4">"c172"</definedName>
    <definedName name="IQ_CL_DUE_NEXT_FIVE">"c173"</definedName>
    <definedName name="IQ_CL_OBLIGATION_IMMEDIATE">"c2253"</definedName>
    <definedName name="IQ_CLASSA_OPTIONS_BEG_OS">"c2679"</definedName>
    <definedName name="IQ_CLASSA_OPTIONS_CANCELLED">"c2682"</definedName>
    <definedName name="IQ_CLASSA_OPTIONS_END_OS">"c2683"</definedName>
    <definedName name="IQ_CLASSA_OPTIONS_EXERCISED">"c2681"</definedName>
    <definedName name="IQ_CLASSA_OPTIONS_GRANTED">"c2680"</definedName>
    <definedName name="IQ_CLASSA_OPTIONS_STRIKE_PRICE_OS">"c2684"</definedName>
    <definedName name="IQ_CLASSA_OUTSTANDING_BS_DATE">"c1971"</definedName>
    <definedName name="IQ_CLASSA_OUTSTANDING_FILING_DATE">"c1973"</definedName>
    <definedName name="IQ_CLASSA_STRIKE_PRICE_GRANTED">"c2685"</definedName>
    <definedName name="IQ_CLASSA_WARRANTS_BEG_OS">"c2705"</definedName>
    <definedName name="IQ_CLASSA_WARRANTS_CANCELLED">"c2708"</definedName>
    <definedName name="IQ_CLASSA_WARRANTS_END_OS">"c2709"</definedName>
    <definedName name="IQ_CLASSA_WARRANTS_EXERCISED">"c2707"</definedName>
    <definedName name="IQ_CLASSA_WARRANTS_ISSUED">"c2706"</definedName>
    <definedName name="IQ_CLASSA_WARRANTS_STRIKE_PRICE_ISSUED">"c2711"</definedName>
    <definedName name="IQ_CLASSA_WARRANTS_STRIKE_PRICE_OS">"c2710"</definedName>
    <definedName name="IQ_CLOSEPRICE">"c174"</definedName>
    <definedName name="IQ_CLOSEPRICE_ADJ">"c2115"</definedName>
    <definedName name="IQ_COGS">"c175"</definedName>
    <definedName name="IQ_COMBINED_RATIO">"c176"</definedName>
    <definedName name="IQ_COMMERCIAL_DOM">"c177"</definedName>
    <definedName name="IQ_COMMERCIAL_FIRE_WRITTEN">"c178"</definedName>
    <definedName name="IQ_COMMERCIAL_MORT">"c179"</definedName>
    <definedName name="IQ_COMMISS_FEES">"c180"</definedName>
    <definedName name="IQ_COMMISSION_DEF">"c181"</definedName>
    <definedName name="IQ_COMMON">"c182"</definedName>
    <definedName name="IQ_COMMON_APIC">"c183"</definedName>
    <definedName name="IQ_COMMON_APIC_BNK">"c184"</definedName>
    <definedName name="IQ_COMMON_APIC_BR">"c185"</definedName>
    <definedName name="IQ_COMMON_APIC_FIN">"c186"</definedName>
    <definedName name="IQ_COMMON_APIC_INS">"c187"</definedName>
    <definedName name="IQ_COMMON_APIC_REIT">"c188"</definedName>
    <definedName name="IQ_COMMON_APIC_UTI">"c189"</definedName>
    <definedName name="IQ_COMMON_DIV">"c3006"</definedName>
    <definedName name="IQ_COMMON_DIV_CF">"c190"</definedName>
    <definedName name="IQ_COMMON_EQUITY_10YR_ANN_GROWTH">"c191"</definedName>
    <definedName name="IQ_COMMON_EQUITY_1YR_ANN_GROWTH">"c192"</definedName>
    <definedName name="IQ_COMMON_EQUITY_2YR_ANN_GROWTH">"c193"</definedName>
    <definedName name="IQ_COMMON_EQUITY_3YR_ANN_GROWTH">"c194"</definedName>
    <definedName name="IQ_COMMON_EQUITY_5YR_ANN_GROWTH">"c195"</definedName>
    <definedName name="IQ_COMMON_EQUITY_7YR_ANN_GROWTH">"c196"</definedName>
    <definedName name="IQ_COMMON_ISSUED">"c197"</definedName>
    <definedName name="IQ_COMMON_ISSUED_BNK">"c198"</definedName>
    <definedName name="IQ_COMMON_ISSUED_BR">"c199"</definedName>
    <definedName name="IQ_COMMON_ISSUED_FIN">"c200"</definedName>
    <definedName name="IQ_COMMON_ISSUED_INS">"c201"</definedName>
    <definedName name="IQ_COMMON_ISSUED_REIT">"c202"</definedName>
    <definedName name="IQ_COMMON_ISSUED_UTI">"c203"</definedName>
    <definedName name="IQ_COMMON_PER_ADR">"c204"</definedName>
    <definedName name="IQ_COMMON_PREF_DIV_CF">"c205"</definedName>
    <definedName name="IQ_COMMON_REP">"c206"</definedName>
    <definedName name="IQ_COMMON_REP_BNK">"c207"</definedName>
    <definedName name="IQ_COMMON_REP_BR">"c208"</definedName>
    <definedName name="IQ_COMMON_REP_FIN">"c209"</definedName>
    <definedName name="IQ_COMMON_REP_INS">"c210"</definedName>
    <definedName name="IQ_COMMON_REP_REIT">"c211"</definedName>
    <definedName name="IQ_COMMON_REP_UTI">"c212"</definedName>
    <definedName name="IQ_COMMON_STOCK">"c1358"</definedName>
    <definedName name="IQ_COMP_BENEFITS">"c213"</definedName>
    <definedName name="IQ_COMPANY_ADDRESS">"c214"</definedName>
    <definedName name="IQ_COMPANY_ID">"c3513"</definedName>
    <definedName name="IQ_COMPANY_NAME">"c215"</definedName>
    <definedName name="IQ_COMPANY_NAME_LONG">"c1585"</definedName>
    <definedName name="IQ_COMPANY_PHONE">"c216"</definedName>
    <definedName name="IQ_COMPANY_STATUS">"c2097"</definedName>
    <definedName name="IQ_COMPANY_STREET1">"c217"</definedName>
    <definedName name="IQ_COMPANY_STREET2">"c218"</definedName>
    <definedName name="IQ_COMPANY_TICKER">"c219"</definedName>
    <definedName name="IQ_COMPANY_TYPE">"c2096"</definedName>
    <definedName name="IQ_COMPANY_WEBSITE">"c220"</definedName>
    <definedName name="IQ_COMPANY_ZIP">"c221"</definedName>
    <definedName name="IQ_CONSTRUCTION_LOANS">"c222"</definedName>
    <definedName name="IQ_CONSUMER_LOANS">"c223"</definedName>
    <definedName name="IQ_CONTRACTS_OTHER_COMMODITIES_EQUITIES._FDIC" hidden="1">"c6522"</definedName>
    <definedName name="IQ_CONV_DATE">"c2191"</definedName>
    <definedName name="IQ_CONV_EXP_DATE">"c3043"</definedName>
    <definedName name="IQ_CONV_PREMIUM">"c2195"</definedName>
    <definedName name="IQ_CONV_PRICE">"c2193"</definedName>
    <definedName name="IQ_CONV_RATE">"c2192"</definedName>
    <definedName name="IQ_CONV_RATIO">"c2192"</definedName>
    <definedName name="IQ_CONV_SECURITY">"c2189"</definedName>
    <definedName name="IQ_CONV_SECURITY_ISSUER">"c2190"</definedName>
    <definedName name="IQ_CONV_SECURITY_PRICE">"c2194"</definedName>
    <definedName name="IQ_CONVERT">"c2536"</definedName>
    <definedName name="IQ_CONVERT_PCT">"c2537"</definedName>
    <definedName name="IQ_CONVEXITY">"c2182"</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"c2936"</definedName>
    <definedName name="IQ_COST_BORROWINGS">"c225"</definedName>
    <definedName name="IQ_COST_REV">"c226"</definedName>
    <definedName name="IQ_COST_REVENUE">"c1359"</definedName>
    <definedName name="IQ_COST_SAVINGS">"c227"</definedName>
    <definedName name="IQ_COST_SERVICE">"c228"</definedName>
    <definedName name="IQ_COST_TOTAL_BORROWINGS">"c229"</definedName>
    <definedName name="IQ_COUNTRY_NAME">"c230"</definedName>
    <definedName name="IQ_COVERED_POPS">"c2124"</definedName>
    <definedName name="IQ_CP">"c2495"</definedName>
    <definedName name="IQ_CP_PCT">"c2496"</definedName>
    <definedName name="IQ_CQ">5000</definedName>
    <definedName name="IQ_CREDIT_CARD_FEE_BNK">"c231"</definedName>
    <definedName name="IQ_CREDIT_CARD_FEE_FIN">"c1583"</definedName>
    <definedName name="IQ_CREDIT_LOSS_CF">"c232"</definedName>
    <definedName name="IQ_CUMULATIVE_SPLIT_FACTOR">"c2094"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"c2074"</definedName>
    <definedName name="IQ_CURR_FOREIGN_TAXES">"c2075"</definedName>
    <definedName name="IQ_CURRENCY_FACTOR_BS">"c233"</definedName>
    <definedName name="IQ_CURRENCY_FACTOR_IS">"c234"</definedName>
    <definedName name="IQ_CURRENCY_GAIN">"c235"</definedName>
    <definedName name="IQ_CURRENCY_GAIN_BR">"c236"</definedName>
    <definedName name="IQ_CURRENCY_GAIN_FIN">"c237"</definedName>
    <definedName name="IQ_CURRENCY_GAIN_INS">"c238"</definedName>
    <definedName name="IQ_CURRENCY_GAIN_REIT">"c239"</definedName>
    <definedName name="IQ_CURRENCY_GAIN_UTI">"c240"</definedName>
    <definedName name="IQ_CURRENT_PORT">"c241"</definedName>
    <definedName name="IQ_CURRENT_PORT_BNK">"c242"</definedName>
    <definedName name="IQ_CURRENT_PORT_DEBT">"c243"</definedName>
    <definedName name="IQ_CURRENT_PORT_DEBT_BNK">"c244"</definedName>
    <definedName name="IQ_CURRENT_PORT_DEBT_BR">"c1567"</definedName>
    <definedName name="IQ_CURRENT_PORT_DEBT_FIN">"c1568"</definedName>
    <definedName name="IQ_CURRENT_PORT_DEBT_INS">"c1569"</definedName>
    <definedName name="IQ_CURRENT_PORT_DEBT_REIT">"c1570"</definedName>
    <definedName name="IQ_CURRENT_PORT_DEBT_UTI">"c1571"</definedName>
    <definedName name="IQ_CURRENT_PORT_LEASES">"c245"</definedName>
    <definedName name="IQ_CURRENT_PORT_PCT">"c2541"</definedName>
    <definedName name="IQ_CURRENT_RATIO">"c246"</definedName>
    <definedName name="IQ_CUSIP">"c2245"</definedName>
    <definedName name="IQ_CY">10000</definedName>
    <definedName name="IQ_DA">"c247"</definedName>
    <definedName name="IQ_DA_BR">"c248"</definedName>
    <definedName name="IQ_DA_CF">"c249"</definedName>
    <definedName name="IQ_DA_CF_BNK">"c250"</definedName>
    <definedName name="IQ_DA_CF_BR">"c251"</definedName>
    <definedName name="IQ_DA_CF_FIN">"c252"</definedName>
    <definedName name="IQ_DA_CF_INS">"c253"</definedName>
    <definedName name="IQ_DA_CF_REIT">"c254"</definedName>
    <definedName name="IQ_DA_CF_UTI">"c255"</definedName>
    <definedName name="IQ_DA_EBITDA">"c5528"</definedName>
    <definedName name="IQ_DA_FIN">"c256"</definedName>
    <definedName name="IQ_DA_INS">"c257"</definedName>
    <definedName name="IQ_DA_REIT">"c258"</definedName>
    <definedName name="IQ_DA_SUPPL">"c259"</definedName>
    <definedName name="IQ_DA_SUPPL_BR">"c260"</definedName>
    <definedName name="IQ_DA_SUPPL_CF">"c261"</definedName>
    <definedName name="IQ_DA_SUPPL_CF_BNK">"c262"</definedName>
    <definedName name="IQ_DA_SUPPL_CF_BR">"c263"</definedName>
    <definedName name="IQ_DA_SUPPL_CF_FIN">"c264"</definedName>
    <definedName name="IQ_DA_SUPPL_CF_INS">"c265"</definedName>
    <definedName name="IQ_DA_SUPPL_CF_REIT">"c266"</definedName>
    <definedName name="IQ_DA_SUPPL_CF_UTI">"c267"</definedName>
    <definedName name="IQ_DA_SUPPL_FIN">"c268"</definedName>
    <definedName name="IQ_DA_SUPPL_INS">"c269"</definedName>
    <definedName name="IQ_DA_SUPPL_REIT">"c270"</definedName>
    <definedName name="IQ_DA_SUPPL_UTI">"c271"</definedName>
    <definedName name="IQ_DA_UTI">"c272"</definedName>
    <definedName name="IQ_DATED_DATE">"c2185"</definedName>
    <definedName name="IQ_DAY_COUNT">"c2161"</definedName>
    <definedName name="IQ_DAYS_COVER_SHORT">"c1578"</definedName>
    <definedName name="IQ_DAYS_INVENTORY_OUT">"c273"</definedName>
    <definedName name="IQ_DAYS_PAY_OUTST">"c1362"</definedName>
    <definedName name="IQ_DAYS_PAYABLE_OUT">"c274"</definedName>
    <definedName name="IQ_DAYS_SALES_OUT">"c275"</definedName>
    <definedName name="IQ_DAYS_SALES_OUTST">"c1363"</definedName>
    <definedName name="IQ_DEBT_ADJ">"c2515"</definedName>
    <definedName name="IQ_DEBT_ADJ_PCT">"c2516"</definedName>
    <definedName name="IQ_DEBT_EQUIV_NET_PBO">"c2938"</definedName>
    <definedName name="IQ_DEBT_EQUIV_OPER_LEASE">"c2935"</definedName>
    <definedName name="IQ_DEF_ACQ_CST">"c1364"</definedName>
    <definedName name="IQ_DEF_AMORT">"c276"</definedName>
    <definedName name="IQ_DEF_AMORT_BNK">"c277"</definedName>
    <definedName name="IQ_DEF_AMORT_BR">"c278"</definedName>
    <definedName name="IQ_DEF_AMORT_FIN">"c279"</definedName>
    <definedName name="IQ_DEF_AMORT_INS">"c280"</definedName>
    <definedName name="IQ_DEF_AMORT_REIT">"c281"</definedName>
    <definedName name="IQ_DEF_AMORT_UTI">"c282"</definedName>
    <definedName name="IQ_DEF_BENEFIT_INTEREST_COST">"c283"</definedName>
    <definedName name="IQ_DEF_BENEFIT_INTEREST_COST_DOMESTIC">"c2652"</definedName>
    <definedName name="IQ_DEF_BENEFIT_INTEREST_COST_FOREIGN">"c2660"</definedName>
    <definedName name="IQ_DEF_BENEFIT_OTHER_COST">"c284"</definedName>
    <definedName name="IQ_DEF_BENEFIT_OTHER_COST_DOMESTIC">"c2654"</definedName>
    <definedName name="IQ_DEF_BENEFIT_OTHER_COST_FOREIGN">"c2662"</definedName>
    <definedName name="IQ_DEF_BENEFIT_ROA">"c285"</definedName>
    <definedName name="IQ_DEF_BENEFIT_ROA_DOMESTIC">"c2653"</definedName>
    <definedName name="IQ_DEF_BENEFIT_ROA_FOREIGN">"c2661"</definedName>
    <definedName name="IQ_DEF_BENEFIT_SERVICE_COST">"c286"</definedName>
    <definedName name="IQ_DEF_BENEFIT_SERVICE_COST_DOMESTIC">"c2651"</definedName>
    <definedName name="IQ_DEF_BENEFIT_SERVICE_COST_FOREIGN">"c2659"</definedName>
    <definedName name="IQ_DEF_BENEFIT_TOTAL_COST">"c287"</definedName>
    <definedName name="IQ_DEF_BENEFIT_TOTAL_COST_DOMESTIC">"c2655"</definedName>
    <definedName name="IQ_DEF_BENEFIT_TOTAL_COST_FOREIGN">"c2663"</definedName>
    <definedName name="IQ_DEF_CHARGES_BR">"c288"</definedName>
    <definedName name="IQ_DEF_CHARGES_CF">"c289"</definedName>
    <definedName name="IQ_DEF_CHARGES_FIN">"c290"</definedName>
    <definedName name="IQ_DEF_CHARGES_INS">"c291"</definedName>
    <definedName name="IQ_DEF_CHARGES_LT">"c292"</definedName>
    <definedName name="IQ_DEF_CHARGES_LT_BNK">"c293"</definedName>
    <definedName name="IQ_DEF_CHARGES_LT_BR">"c294"</definedName>
    <definedName name="IQ_DEF_CHARGES_LT_FIN">"c295"</definedName>
    <definedName name="IQ_DEF_CHARGES_LT_INS">"c296"</definedName>
    <definedName name="IQ_DEF_CHARGES_LT_REIT">"c297"</definedName>
    <definedName name="IQ_DEF_CHARGES_LT_UTI">"c298"</definedName>
    <definedName name="IQ_DEF_CHARGES_REIT">"c299"</definedName>
    <definedName name="IQ_DEF_CONTRIBUTION_TOTAL_COST">"c300"</definedName>
    <definedName name="IQ_DEF_INC_TAX">"c1365"</definedName>
    <definedName name="IQ_DEF_POLICY_ACQ_COSTS">"c301"</definedName>
    <definedName name="IQ_DEF_POLICY_ACQ_COSTS_CF">"c302"</definedName>
    <definedName name="IQ_DEF_POLICY_AMORT">"c303"</definedName>
    <definedName name="IQ_DEF_TAX_ASSET_LT_BR">"c304"</definedName>
    <definedName name="IQ_DEF_TAX_ASSET_LT_FIN">"c305"</definedName>
    <definedName name="IQ_DEF_TAX_ASSET_LT_INS">"c306"</definedName>
    <definedName name="IQ_DEF_TAX_ASSET_LT_REIT">"c307"</definedName>
    <definedName name="IQ_DEF_TAX_ASSET_LT_UTI">"c308"</definedName>
    <definedName name="IQ_DEF_TAX_ASSETS_CURRENT">"c309"</definedName>
    <definedName name="IQ_DEF_TAX_ASSETS_LT">"c310"</definedName>
    <definedName name="IQ_DEF_TAX_ASSETS_LT_BNK">"c311"</definedName>
    <definedName name="IQ_DEF_TAX_LIAB_CURRENT">"c312"</definedName>
    <definedName name="IQ_DEF_TAX_LIAB_LT">"c313"</definedName>
    <definedName name="IQ_DEF_TAX_LIAB_LT_BNK">"c314"</definedName>
    <definedName name="IQ_DEF_TAX_LIAB_LT_BR">"c315"</definedName>
    <definedName name="IQ_DEF_TAX_LIAB_LT_FIN">"c316"</definedName>
    <definedName name="IQ_DEF_TAX_LIAB_LT_INS">"c317"</definedName>
    <definedName name="IQ_DEF_TAX_LIAB_LT_REIT">"c318"</definedName>
    <definedName name="IQ_DEF_TAX_LIAB_LT_UTI">"c319"</definedName>
    <definedName name="IQ_DEFERRED_DOMESTIC_TAXES">"c2077"</definedName>
    <definedName name="IQ_DEFERRED_FOREIGN_TAXES">"c2078"</definedName>
    <definedName name="IQ_DEFERRED_INC_TAX">"c1447"</definedName>
    <definedName name="IQ_DEFERRED_TAXES">"c1356"</definedName>
    <definedName name="IQ_DEMAND_DEP">"c320"</definedName>
    <definedName name="IQ_DEPOSITS_FIN">"c321"</definedName>
    <definedName name="IQ_DEPOSITS_INTEREST_SECURITIES">"c5509"</definedName>
    <definedName name="IQ_DEPRE_AMORT">"c1360"</definedName>
    <definedName name="IQ_DEPRE_AMORT_SUPPL">"c1593"</definedName>
    <definedName name="IQ_DEPRE_DEPLE">"c1361"</definedName>
    <definedName name="IQ_DEPRE_SUPP">"c1443"</definedName>
    <definedName name="IQ_DESCRIPTION_LONG">"c1520"</definedName>
    <definedName name="IQ_DEVELOP_LAND">"c323"</definedName>
    <definedName name="IQ_DIFF_LASTCLOSE_TARGET_PRICE">"c1854"</definedName>
    <definedName name="IQ_DILUT_ADJUST">"c1621"</definedName>
    <definedName name="IQ_DILUT_EPS_EXCL">"c324"</definedName>
    <definedName name="IQ_DILUT_EPS_INCL">"c325"</definedName>
    <definedName name="IQ_DILUT_EPS_NORM">"c1903"</definedName>
    <definedName name="IQ_DILUT_NI">"c2079"</definedName>
    <definedName name="IQ_DILUT_NORMAL_EPS">"c1594"</definedName>
    <definedName name="IQ_DILUT_WEIGHT">"c326"</definedName>
    <definedName name="IQ_DIRECT_AH_EARNED">"c2740"</definedName>
    <definedName name="IQ_DIRECT_EARNED">"c2730"</definedName>
    <definedName name="IQ_DIRECT_LIFE_EARNED">"c2735"</definedName>
    <definedName name="IQ_DIRECT_LIFE_IN_FORCE">"c2765"</definedName>
    <definedName name="IQ_DIRECT_PC_EARNED">"c2745"</definedName>
    <definedName name="IQ_DIRECT_WRITTEN">"c2724"</definedName>
    <definedName name="IQ_DISCONT_OPER">"c1367"</definedName>
    <definedName name="IQ_DISCOUNT_RATE_PENSION_DOMESTIC">"c327"</definedName>
    <definedName name="IQ_DISCOUNT_RATE_PENSION_FOREIGN">"c328"</definedName>
    <definedName name="IQ_DISTR_EXCESS_EARN">"c329"</definedName>
    <definedName name="IQ_DISTRIBUTABLE_CASH">"c3002"</definedName>
    <definedName name="IQ_DISTRIBUTABLE_CASH_ACT_OR_EST">"c4278"</definedName>
    <definedName name="IQ_DISTRIBUTABLE_CASH_PAYOUT">"c3005"</definedName>
    <definedName name="IQ_DISTRIBUTABLE_CASH_SHARE">"c3003"</definedName>
    <definedName name="IQ_DISTRIBUTABLE_CASH_SHARE_ACT_OR_EST">"c4286"</definedName>
    <definedName name="IQ_DIV_AMOUNT">"c3041"</definedName>
    <definedName name="IQ_DIV_PAYMENT_DATE">"c2205"</definedName>
    <definedName name="IQ_DIV_RECORD_DATE">"c2204"</definedName>
    <definedName name="IQ_DIV_SHARE">"c330"</definedName>
    <definedName name="IQ_DIVEST_CF">"c331"</definedName>
    <definedName name="IQ_DIVID_SHARE">"c1366"</definedName>
    <definedName name="IQ_DIVIDEND_YIELD">"c332"</definedName>
    <definedName name="IQ_DO">"c333"</definedName>
    <definedName name="IQ_DO_ASSETS_CURRENT">"c334"</definedName>
    <definedName name="IQ_DO_ASSETS_LT">"c335"</definedName>
    <definedName name="IQ_DO_CF">"c336"</definedName>
    <definedName name="IQ_DPAC_ACC">"c2799"</definedName>
    <definedName name="IQ_DPAC_AMORT">"c2795"</definedName>
    <definedName name="IQ_DPAC_BEG">"c2791"</definedName>
    <definedName name="IQ_DPAC_COMMISSIONS">"c2792"</definedName>
    <definedName name="IQ_DPAC_END">"c2801"</definedName>
    <definedName name="IQ_DPAC_FX">"c2798"</definedName>
    <definedName name="IQ_DPAC_OTHER_ADJ">"c2800"</definedName>
    <definedName name="IQ_DPAC_OTHERS">"c2793"</definedName>
    <definedName name="IQ_DPAC_PERIOD">"c2794"</definedName>
    <definedName name="IQ_DPAC_REAL_GAIN">"c2797"</definedName>
    <definedName name="IQ_DPAC_UNREAL_GAIN">"c2796"</definedName>
    <definedName name="IQ_DPS_10YR_ANN_GROWTH">"c337"</definedName>
    <definedName name="IQ_DPS_1YR_ANN_GROWTH">"c338"</definedName>
    <definedName name="IQ_DPS_2YR_ANN_GROWTH">"c339"</definedName>
    <definedName name="IQ_DPS_3YR_ANN_GROWTH">"c340"</definedName>
    <definedName name="IQ_DPS_5YR_ANN_GROWTH">"c341"</definedName>
    <definedName name="IQ_DPS_7YR_ANN_GROWTH">"c342"</definedName>
    <definedName name="IQ_DURATION">"c2181"</definedName>
    <definedName name="IQ_EARNING_ASSET_YIELD">"c343"</definedName>
    <definedName name="IQ_EARNING_CO">"c344"</definedName>
    <definedName name="IQ_EARNING_CO_10YR_ANN_GROWTH">"c345"</definedName>
    <definedName name="IQ_EARNING_CO_1YR_ANN_GROWTH">"c346"</definedName>
    <definedName name="IQ_EARNING_CO_2YR_ANN_GROWTH">"c347"</definedName>
    <definedName name="IQ_EARNING_CO_3YR_ANN_GROWTH">"c348"</definedName>
    <definedName name="IQ_EARNING_CO_5YR_ANN_GROWTH">"c349"</definedName>
    <definedName name="IQ_EARNING_CO_7YR_ANN_GROWTH">"c350"</definedName>
    <definedName name="IQ_EARNING_CO_MARGIN">"c351"</definedName>
    <definedName name="IQ_EARNINGS_ANNOUNCE_DATE">"c1649"</definedName>
    <definedName name="IQ_EARNINGS_ANNOUNCE_DATE_REUT">"c5314"</definedName>
    <definedName name="IQ_EBIT">"c352"</definedName>
    <definedName name="IQ_EBIT_10YR_ANN_GROWTH">"c353"</definedName>
    <definedName name="IQ_EBIT_1YR_ANN_GROWTH">"c354"</definedName>
    <definedName name="IQ_EBIT_2YR_ANN_GROWTH">"c355"</definedName>
    <definedName name="IQ_EBIT_3YR_ANN_GROWTH">"c356"</definedName>
    <definedName name="IQ_EBIT_5YR_ANN_GROWTH">"c357"</definedName>
    <definedName name="IQ_EBIT_7YR_ANN_GROWTH">"c358"</definedName>
    <definedName name="IQ_EBIT_EQ_INC">"c3498"</definedName>
    <definedName name="IQ_EBIT_EQ_INC_EXCL_SBC">"c3502"</definedName>
    <definedName name="IQ_EBIT_EXCL_SBC">"c3082"</definedName>
    <definedName name="IQ_EBIT_GW_ACT_OR_EST">"c4306"</definedName>
    <definedName name="IQ_EBIT_INT">"c360"</definedName>
    <definedName name="IQ_EBIT_MARGIN">"c359"</definedName>
    <definedName name="IQ_EBIT_OVER_IE">"c1369"</definedName>
    <definedName name="IQ_EBIT_SBC_ACT_OR_EST">"c4316"</definedName>
    <definedName name="IQ_EBIT_SBC_GW_ACT_OR_EST">"c4320"</definedName>
    <definedName name="IQ_EBITA">"c1910"</definedName>
    <definedName name="IQ_EBITA_10YR_ANN_GROWTH">"c1954"</definedName>
    <definedName name="IQ_EBITA_1YR_ANN_GROWTH">"c1949"</definedName>
    <definedName name="IQ_EBITA_2YR_ANN_GROWTH">"c1950"</definedName>
    <definedName name="IQ_EBITA_3YR_ANN_GROWTH">"c1951"</definedName>
    <definedName name="IQ_EBITA_5YR_ANN_GROWTH">"c1952"</definedName>
    <definedName name="IQ_EBITA_7YR_ANN_GROWTH">"c1953"</definedName>
    <definedName name="IQ_EBITA_EQ_INC">"c3497"</definedName>
    <definedName name="IQ_EBITA_EQ_INC_EXCL_SBC">"c3501"</definedName>
    <definedName name="IQ_EBITA_EXCL_SBC">"c3080"</definedName>
    <definedName name="IQ_EBITA_MARGIN">"c1963"</definedName>
    <definedName name="IQ_EBITDA">"c361"</definedName>
    <definedName name="IQ_EBITDA_10YR_ANN_GROWTH">"c362"</definedName>
    <definedName name="IQ_EBITDA_1YR_ANN_GROWTH">"c363"</definedName>
    <definedName name="IQ_EBITDA_2YR_ANN_GROWTH">"c364"</definedName>
    <definedName name="IQ_EBITDA_3YR_ANN_GROWTH">"c365"</definedName>
    <definedName name="IQ_EBITDA_5YR_ANN_GROWTH">"c366"</definedName>
    <definedName name="IQ_EBITDA_7YR_ANN_GROWTH">"c367"</definedName>
    <definedName name="IQ_EBITDA_ACT_OR_EST">"c2215"</definedName>
    <definedName name="IQ_EBITDA_CAPEX_INT">"c368"</definedName>
    <definedName name="IQ_EBITDA_CAPEX_OVER_TOTAL_IE">"c1370"</definedName>
    <definedName name="IQ_EBITDA_EQ_INC">"c3496"</definedName>
    <definedName name="IQ_EBITDA_EQ_INC_EXCL_SBC">"c3500"</definedName>
    <definedName name="IQ_EBITDA_EST">"c369"</definedName>
    <definedName name="IQ_EBITDA_EST_REUT">"c3640"</definedName>
    <definedName name="IQ_EBITDA_EXCL_SBC">"c3081"</definedName>
    <definedName name="IQ_EBITDA_HIGH_EST">"c370"</definedName>
    <definedName name="IQ_EBITDA_HIGH_EST_REUT">"c3642"</definedName>
    <definedName name="IQ_EBITDA_INT">"c373"</definedName>
    <definedName name="IQ_EBITDA_LOW_EST">"c371"</definedName>
    <definedName name="IQ_EBITDA_LOW_EST_REUT">"c3643"</definedName>
    <definedName name="IQ_EBITDA_MARGIN">"c372"</definedName>
    <definedName name="IQ_EBITDA_MEDIAN_EST">"c1663"</definedName>
    <definedName name="IQ_EBITDA_MEDIAN_EST_REUT">"c3641"</definedName>
    <definedName name="IQ_EBITDA_NUM_EST">"c374"</definedName>
    <definedName name="IQ_EBITDA_NUM_EST_REUT">"c3644"</definedName>
    <definedName name="IQ_EBITDA_OVER_TOTAL_IE">"c1371"</definedName>
    <definedName name="IQ_EBITDA_SBC_ACT_OR_EST">"c4337"</definedName>
    <definedName name="IQ_EBITDA_STDDEV_EST">"c375"</definedName>
    <definedName name="IQ_EBITDA_STDDEV_EST_REUT">"c3645"</definedName>
    <definedName name="IQ_EBITDAR">"c2989"</definedName>
    <definedName name="IQ_EBITDAR_EQ_INC">"c3499"</definedName>
    <definedName name="IQ_EBITDAR_EQ_INC_EXCL_SBC">"c3503"</definedName>
    <definedName name="IQ_EBITDAR_EXCL_SBC">"c3083"</definedName>
    <definedName name="IQ_EBT">"c376"</definedName>
    <definedName name="IQ_EBT_BNK">"c377"</definedName>
    <definedName name="IQ_EBT_BR">"c378"</definedName>
    <definedName name="IQ_EBT_EXCL">"c379"</definedName>
    <definedName name="IQ_EBT_EXCL_BNK">"c380"</definedName>
    <definedName name="IQ_EBT_EXCL_BR">"c381"</definedName>
    <definedName name="IQ_EBT_EXCL_FIN">"c382"</definedName>
    <definedName name="IQ_EBT_EXCL_INS">"c383"</definedName>
    <definedName name="IQ_EBT_EXCL_MARGIN">"c1462"</definedName>
    <definedName name="IQ_EBT_EXCL_REIT">"c384"</definedName>
    <definedName name="IQ_EBT_EXCL_UTI">"c385"</definedName>
    <definedName name="IQ_EBT_FIN">"c386"</definedName>
    <definedName name="IQ_EBT_INCL_MARGIN">"c387"</definedName>
    <definedName name="IQ_EBT_INS">"c388"</definedName>
    <definedName name="IQ_EBT_REIT">"c389"</definedName>
    <definedName name="IQ_EBT_SBC_ACT_OR_EST">"c4350"</definedName>
    <definedName name="IQ_EBT_SBC_GW_ACT_OR_EST">"c4354"</definedName>
    <definedName name="IQ_EBT_UTI">"c390"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FFECT_SPECIAL_CHARGE">"c1595"</definedName>
    <definedName name="IQ_EFFECT_TAX_RATE">"c1899"</definedName>
    <definedName name="IQ_EFFICIENCY_RATIO">"c391"</definedName>
    <definedName name="IQ_EMPLOYEES">"c392"</definedName>
    <definedName name="IQ_ENTERPRISE_VALUE">"c1348"</definedName>
    <definedName name="IQ_EPS_10YR_ANN_GROWTH">"c393"</definedName>
    <definedName name="IQ_EPS_1YR_ANN_GROWTH">"c394"</definedName>
    <definedName name="IQ_EPS_2YR_ANN_GROWTH">"c395"</definedName>
    <definedName name="IQ_EPS_3YR_ANN_GROWTH">"c396"</definedName>
    <definedName name="IQ_EPS_5YR_ANN_GROWTH">"c397"</definedName>
    <definedName name="IQ_EPS_7YR_ANN_GROWTH">"c398"</definedName>
    <definedName name="IQ_EPS_ACT_OR_EST">"c2213"</definedName>
    <definedName name="IQ_EPS_EST">"c399"</definedName>
    <definedName name="IQ_EPS_EST_REUT">"c5453"</definedName>
    <definedName name="IQ_EPS_HIGH_EST">"c400"</definedName>
    <definedName name="IQ_EPS_HIGH_EST_REUT">"c5454"</definedName>
    <definedName name="IQ_EPS_LOW_EST">"c401"</definedName>
    <definedName name="IQ_EPS_LOW_EST_REUT">"c5455"</definedName>
    <definedName name="IQ_EPS_MEDIAN_EST">"c1661"</definedName>
    <definedName name="IQ_EPS_MEDIAN_EST_REUT">"c5456"</definedName>
    <definedName name="IQ_EPS_NORM">"c1902"</definedName>
    <definedName name="IQ_EPS_NUM_EST">"c402"</definedName>
    <definedName name="IQ_EPS_NUM_EST_REUT">"c5451"</definedName>
    <definedName name="IQ_EPS_SBC_ACT_OR_EST">"c4376"</definedName>
    <definedName name="IQ_EPS_SBC_GW_ACT_OR_EST">"c4380"</definedName>
    <definedName name="IQ_EPS_STDDEV_EST">"c403"</definedName>
    <definedName name="IQ_EPS_STDDEV_EST_REUT">"c5452"</definedName>
    <definedName name="IQ_EQUITY_AFFIL">"c1451"</definedName>
    <definedName name="IQ_EQUITY_METHOD">"c404"</definedName>
    <definedName name="IQ_EQV_OVER_BV">"c1596"</definedName>
    <definedName name="IQ_EQV_OVER_LTM_PRETAX_INC">"c1390"</definedName>
    <definedName name="IQ_ESOP_DEBT">"c1597"</definedName>
    <definedName name="IQ_EST_ACT_EPS">"c1648"</definedName>
    <definedName name="IQ_EST_CURRENCY">"c2140"</definedName>
    <definedName name="IQ_EST_CURRENCY_REUT">"c5437"</definedName>
    <definedName name="IQ_EST_DATE">"c1634"</definedName>
    <definedName name="IQ_EST_DATE_REUT">"c5438"</definedName>
    <definedName name="IQ_EST_EPS_DIFF">"c1864"</definedName>
    <definedName name="IQ_EST_EPS_GROWTH_1YR">"c1636"</definedName>
    <definedName name="IQ_EST_EPS_GROWTH_1YR_REUT">"c3646"</definedName>
    <definedName name="IQ_EST_EPS_GROWTH_5YR">"c1655"</definedName>
    <definedName name="IQ_EST_EPS_GROWTH_5YR_REUT">"c3633"</definedName>
    <definedName name="IQ_EST_EPS_GROWTH_Q_1YR">"c1641"</definedName>
    <definedName name="IQ_EST_EPS_GROWTH_Q_1YR_REUT">"c5410"</definedName>
    <definedName name="IQ_EST_VENDOR">"c5564"</definedName>
    <definedName name="IQ_EV_OVER_EMPLOYEE">"c1428"</definedName>
    <definedName name="IQ_EV_OVER_LTM_EBIT">"c1426"</definedName>
    <definedName name="IQ_EV_OVER_LTM_EBITDA">"c1427"</definedName>
    <definedName name="IQ_EV_OVER_LTM_REVENUE">"c1429"</definedName>
    <definedName name="IQ_EVAL_DATE">"c2180"</definedName>
    <definedName name="IQ_EXCHANGE">"c405"</definedName>
    <definedName name="IQ_EXCISE_TAXES_EXCL_SALES">"c5515"</definedName>
    <definedName name="IQ_EXCISE_TAXES_INCL_SALES">"c5514"</definedName>
    <definedName name="IQ_EXERCISE_PRICE">"c1897"</definedName>
    <definedName name="IQ_EXERCISED">"c406"</definedName>
    <definedName name="IQ_EXP_RETURN_PENSION_DOMESTIC">"c407"</definedName>
    <definedName name="IQ_EXP_RETURN_PENSION_FOREIGN">"c408"</definedName>
    <definedName name="IQ_EXPLORE_DRILL">"c409"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"c410"</definedName>
    <definedName name="IQ_EXTRA_ACC_ITEMS_BNK">"c411"</definedName>
    <definedName name="IQ_EXTRA_ACC_ITEMS_BR">"c412"</definedName>
    <definedName name="IQ_EXTRA_ACC_ITEMS_FIN">"c413"</definedName>
    <definedName name="IQ_EXTRA_ACC_ITEMS_INS">"c414"</definedName>
    <definedName name="IQ_EXTRA_ACC_ITEMS_REIT">"c415"</definedName>
    <definedName name="IQ_EXTRA_ACC_ITEMS_UTI">"c416"</definedName>
    <definedName name="IQ_EXTRA_ITEMS">"c1459"</definedName>
    <definedName name="IQ_FDIC">"c417"</definedName>
    <definedName name="IQ_FEDFUNDS_SOLD">"c2256"</definedName>
    <definedName name="IQ_FFO">"c1574"</definedName>
    <definedName name="IQ_FFO_ADJ_ACT_OR_EST">"c4435"</definedName>
    <definedName name="IQ_FFO_PAYOUT_RATIO">"c3492"</definedName>
    <definedName name="IQ_FFO_SHARE_ACT_OR_EST">"c4446"</definedName>
    <definedName name="IQ_FH" hidden="1">100000</definedName>
    <definedName name="IQ_FHLB_DEBT">"c423"</definedName>
    <definedName name="IQ_FHLB_DUE_CY">"c2080"</definedName>
    <definedName name="IQ_FHLB_DUE_CY1">"c2081"</definedName>
    <definedName name="IQ_FHLB_DUE_CY2">"c2082"</definedName>
    <definedName name="IQ_FHLB_DUE_CY3">"c2083"</definedName>
    <definedName name="IQ_FHLB_DUE_CY4">"c2084"</definedName>
    <definedName name="IQ_FHLB_DUE_NEXT_FIVE">"c2085"</definedName>
    <definedName name="IQ_FILING_CURRENCY">"c2129"</definedName>
    <definedName name="IQ_FILINGDATE_BS">"c424"</definedName>
    <definedName name="IQ_FILINGDATE_CF">"c425"</definedName>
    <definedName name="IQ_FILINGDATE_IS">"c426"</definedName>
    <definedName name="IQ_FILM_RIGHTS">"c2254"</definedName>
    <definedName name="IQ_FIN_DIV_ASSETS_CURRENT">"c427"</definedName>
    <definedName name="IQ_FIN_DIV_ASSETS_LT">"c428"</definedName>
    <definedName name="IQ_FIN_DIV_CURRENT_PORT_DEBT_TOTAL">"c5524"</definedName>
    <definedName name="IQ_FIN_DIV_CURRENT_PORT_LEASES_TOTAL">"c5523"</definedName>
    <definedName name="IQ_FIN_DIV_DEBT_CURRENT">"c429"</definedName>
    <definedName name="IQ_FIN_DIV_DEBT_LT">"c430"</definedName>
    <definedName name="IQ_FIN_DIV_DEBT_LT_TOTAL">"c5526"</definedName>
    <definedName name="IQ_FIN_DIV_EXP">"c431"</definedName>
    <definedName name="IQ_FIN_DIV_INT_EXP">"c432"</definedName>
    <definedName name="IQ_FIN_DIV_LEASES_LT_TOTAL">"c5525"</definedName>
    <definedName name="IQ_FIN_DIV_LIAB_CURRENT">"c433"</definedName>
    <definedName name="IQ_FIN_DIV_LIAB_LT">"c434"</definedName>
    <definedName name="IQ_FIN_DIV_LOANS_CURRENT">"c435"</definedName>
    <definedName name="IQ_FIN_DIV_LOANS_LT">"c436"</definedName>
    <definedName name="IQ_FIN_DIV_NOTES_PAY_TOTAL">"c5522"</definedName>
    <definedName name="IQ_FIN_DIV_REV">"c437"</definedName>
    <definedName name="IQ_FIN_DIV_ST_DEBT_TOTAL">"c5527"</definedName>
    <definedName name="IQ_FINANCING_CASH">"c1405"</definedName>
    <definedName name="IQ_FINANCING_CASH_SUPPL">"c1406"</definedName>
    <definedName name="IQ_FINISHED_INV">"c438"</definedName>
    <definedName name="IQ_FIRST_INT_DATE">"c2186"</definedName>
    <definedName name="IQ_FIRST_YEAR_LIFE">"c439"</definedName>
    <definedName name="IQ_FIRST_YEAR_LIFE_PREM">"c2787"</definedName>
    <definedName name="IQ_FIRST_YEAR_PREM">"c2786"</definedName>
    <definedName name="IQ_FIRSTPRICINGDATE">"c3050"</definedName>
    <definedName name="IQ_FISCAL_Q">"c440"</definedName>
    <definedName name="IQ_FISCAL_Y">"c441"</definedName>
    <definedName name="IQ_FIVE_PERCENT_OWNER">"c442"</definedName>
    <definedName name="IQ_FIVEPERCENT_PERCENT">"c443"</definedName>
    <definedName name="IQ_FIVEPERCENT_SHARES">"c444"</definedName>
    <definedName name="IQ_FIXED_ASSET_TURNS">"c445"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"c1575"</definedName>
    <definedName name="IQ_FOREIGN_BRANCHES_U.S._BANKS_LOANS_FDIC" hidden="1">"c6438"</definedName>
    <definedName name="IQ_FOREIGN_DEP_IB">"c446"</definedName>
    <definedName name="IQ_FOREIGN_DEP_NON_IB">"c447"</definedName>
    <definedName name="IQ_FOREIGN_EXCHANGE">"c1376"</definedName>
    <definedName name="IQ_FOREIGN_LOANS">"c448"</definedName>
    <definedName name="IQ_FQ">500</definedName>
    <definedName name="IQ_FUEL">"c449"</definedName>
    <definedName name="IQ_FULL_TIME">"c450"</definedName>
    <definedName name="IQ_FWD_CY">10001</definedName>
    <definedName name="IQ_FWD_CY1">10002</definedName>
    <definedName name="IQ_FWD_CY2">10003</definedName>
    <definedName name="IQ_FWD_FY">1001</definedName>
    <definedName name="IQ_FWD_FY1">1002</definedName>
    <definedName name="IQ_FWD_FY2">1003</definedName>
    <definedName name="IQ_FWD_Q">501</definedName>
    <definedName name="IQ_FWD_Q1">502</definedName>
    <definedName name="IQ_FWD_Q2">503</definedName>
    <definedName name="IQ_FX">"c451"</definedName>
    <definedName name="IQ_FY">1000</definedName>
    <definedName name="IQ_GA_EXP">"c2241"</definedName>
    <definedName name="IQ_GAIN_ASSETS">"c452"</definedName>
    <definedName name="IQ_GAIN_ASSETS_BNK">"c453"</definedName>
    <definedName name="IQ_GAIN_ASSETS_BR">"c454"</definedName>
    <definedName name="IQ_GAIN_ASSETS_CF">"c455"</definedName>
    <definedName name="IQ_GAIN_ASSETS_CF_BNK">"c456"</definedName>
    <definedName name="IQ_GAIN_ASSETS_CF_BR">"c457"</definedName>
    <definedName name="IQ_GAIN_ASSETS_CF_FIN">"c458"</definedName>
    <definedName name="IQ_GAIN_ASSETS_CF_INS">"c459"</definedName>
    <definedName name="IQ_GAIN_ASSETS_CF_REIT">"c460"</definedName>
    <definedName name="IQ_GAIN_ASSETS_CF_UTI">"c461"</definedName>
    <definedName name="IQ_GAIN_ASSETS_FIN">"c462"</definedName>
    <definedName name="IQ_GAIN_ASSETS_INS">"c463"</definedName>
    <definedName name="IQ_GAIN_ASSETS_REIT">"c471"</definedName>
    <definedName name="IQ_GAIN_ASSETS_REV">"c472"</definedName>
    <definedName name="IQ_GAIN_ASSETS_REV_BNK">"c473"</definedName>
    <definedName name="IQ_GAIN_ASSETS_REV_BR">"c474"</definedName>
    <definedName name="IQ_GAIN_ASSETS_REV_FIN">"c475"</definedName>
    <definedName name="IQ_GAIN_ASSETS_REV_INS">"c476"</definedName>
    <definedName name="IQ_GAIN_ASSETS_REV_REIT">"c477"</definedName>
    <definedName name="IQ_GAIN_ASSETS_REV_UTI">"c478"</definedName>
    <definedName name="IQ_GAIN_ASSETS_UTI">"c479"</definedName>
    <definedName name="IQ_GAIN_INVEST">"c1463"</definedName>
    <definedName name="IQ_GAIN_INVEST_BNK">"c1582"</definedName>
    <definedName name="IQ_GAIN_INVEST_BR">"c1464"</definedName>
    <definedName name="IQ_GAIN_INVEST_CF">"c480"</definedName>
    <definedName name="IQ_GAIN_INVEST_CF_BNK">"c481"</definedName>
    <definedName name="IQ_GAIN_INVEST_CF_BR">"c482"</definedName>
    <definedName name="IQ_GAIN_INVEST_CF_FIN">"c483"</definedName>
    <definedName name="IQ_GAIN_INVEST_CF_INS">"c484"</definedName>
    <definedName name="IQ_GAIN_INVEST_CF_REIT">"c485"</definedName>
    <definedName name="IQ_GAIN_INVEST_CF_UTI">"c486"</definedName>
    <definedName name="IQ_GAIN_INVEST_FIN">"c1465"</definedName>
    <definedName name="IQ_GAIN_INVEST_INS">"c1466"</definedName>
    <definedName name="IQ_GAIN_INVEST_REIT">"c1467"</definedName>
    <definedName name="IQ_GAIN_INVEST_REV">"c494"</definedName>
    <definedName name="IQ_GAIN_INVEST_REV_BNK">"c495"</definedName>
    <definedName name="IQ_GAIN_INVEST_REV_BR">"c496"</definedName>
    <definedName name="IQ_GAIN_INVEST_REV_FIN">"c497"</definedName>
    <definedName name="IQ_GAIN_INVEST_REV_INS">"c498"</definedName>
    <definedName name="IQ_GAIN_INVEST_REV_REIT">"c499"</definedName>
    <definedName name="IQ_GAIN_INVEST_REV_UTI">"c500"</definedName>
    <definedName name="IQ_GAIN_INVEST_UTI">"c1468"</definedName>
    <definedName name="IQ_GAIN_LOANS_REC">"c501"</definedName>
    <definedName name="IQ_GAIN_LOANS_RECEIV">"c502"</definedName>
    <definedName name="IQ_GAIN_LOANS_RECEIV_REV_FIN">"c503"</definedName>
    <definedName name="IQ_GAIN_LOANS_REV">"c504"</definedName>
    <definedName name="IQ_GAIN_SALE_ASSETS">"c1377"</definedName>
    <definedName name="IQ_GEO_SEG_ASSETS">"c4069"</definedName>
    <definedName name="IQ_GEO_SEG_ASSETS_ABS">"c4091"</definedName>
    <definedName name="IQ_GEO_SEG_ASSETS_TOTAL">"c4123"</definedName>
    <definedName name="IQ_GEO_SEG_CAPEX">"c4083"</definedName>
    <definedName name="IQ_GEO_SEG_CAPEX_ABS">"c4105"</definedName>
    <definedName name="IQ_GEO_SEG_CAPEX_TOTAL">"c4127"</definedName>
    <definedName name="IQ_GEO_SEG_DA">"c4082"</definedName>
    <definedName name="IQ_GEO_SEG_DA_ABS">"c4104"</definedName>
    <definedName name="IQ_GEO_SEG_DA_TOTAL">"c4126"</definedName>
    <definedName name="IQ_GEO_SEG_EARNINGS_OP">"c4073"</definedName>
    <definedName name="IQ_GEO_SEG_EARNINGS_OP_ABS">"c4095"</definedName>
    <definedName name="IQ_GEO_SEG_EARNINGS_OP_TOTAL">"c4119"</definedName>
    <definedName name="IQ_GEO_SEG_EBT">"c4072"</definedName>
    <definedName name="IQ_GEO_SEG_EBT_ABS">"c4094"</definedName>
    <definedName name="IQ_GEO_SEG_EBT_TOTAL">"c4121"</definedName>
    <definedName name="IQ_GEO_SEG_GP">"c4070"</definedName>
    <definedName name="IQ_GEO_SEG_GP_ABS">"c4092"</definedName>
    <definedName name="IQ_GEO_SEG_GP_TOTAL">"c4120"</definedName>
    <definedName name="IQ_GEO_SEG_INC_TAX">"c4081"</definedName>
    <definedName name="IQ_GEO_SEG_INC_TAX_ABS">"c4103"</definedName>
    <definedName name="IQ_GEO_SEG_INC_TAX_TOTAL">"c4125"</definedName>
    <definedName name="IQ_GEO_SEG_INTEREST_EXP">"c4080"</definedName>
    <definedName name="IQ_GEO_SEG_INTEREST_EXP_ABS">"c4102"</definedName>
    <definedName name="IQ_GEO_SEG_INTEREST_EXP_TOTAL">"c4124"</definedName>
    <definedName name="IQ_GEO_SEG_NAME">"c5484"</definedName>
    <definedName name="IQ_GEO_SEG_NAME_ABS">"c5485"</definedName>
    <definedName name="IQ_GEO_SEG_NI">"c4071"</definedName>
    <definedName name="IQ_GEO_SEG_NI_ABS">"c4093"</definedName>
    <definedName name="IQ_GEO_SEG_NI_TOTAL">"c4122"</definedName>
    <definedName name="IQ_GEO_SEG_OPER_INC">"c4075"</definedName>
    <definedName name="IQ_GEO_SEG_OPER_INC_ABS">"c4097"</definedName>
    <definedName name="IQ_GEO_SEG_OPER_INC_TOTAL">"c4118"</definedName>
    <definedName name="IQ_GEO_SEG_REV">"c4074"</definedName>
    <definedName name="IQ_GEO_SEG_REV_ABS">"c4096"</definedName>
    <definedName name="IQ_GEO_SEG_REV_TOTAL">"c4117"</definedName>
    <definedName name="IQ_GOODWILL_NET">"c1380"</definedName>
    <definedName name="IQ_GP">"c511"</definedName>
    <definedName name="IQ_GP_10YR_ANN_GROWTH">"c512"</definedName>
    <definedName name="IQ_GP_1YR_ANN_GROWTH">"c513"</definedName>
    <definedName name="IQ_GP_2YR_ANN_GROWTH">"c514"</definedName>
    <definedName name="IQ_GP_3YR_ANN_GROWTH">"c515"</definedName>
    <definedName name="IQ_GP_5YR_ANN_GROWTH">"c516"</definedName>
    <definedName name="IQ_GP_7YR_ANN_GROWTH">"c517"</definedName>
    <definedName name="IQ_GPPE">"c518"</definedName>
    <definedName name="IQ_GROSS_AH_EARNED">"c2742"</definedName>
    <definedName name="IQ_GROSS_CLAIM_EXP_INCUR">"c2755"</definedName>
    <definedName name="IQ_GROSS_CLAIM_EXP_PAID">"c2758"</definedName>
    <definedName name="IQ_GROSS_CLAIM_EXP_RES">"c2752"</definedName>
    <definedName name="IQ_GROSS_DIVID">"c1446"</definedName>
    <definedName name="IQ_GROSS_EARNED">"c2732"</definedName>
    <definedName name="IQ_GROSS_LIFE_EARNED">"c2737"</definedName>
    <definedName name="IQ_GROSS_LIFE_IN_FORCE">"c2767"</definedName>
    <definedName name="IQ_GROSS_LOANS">"c521"</definedName>
    <definedName name="IQ_GROSS_LOANS_10YR_ANN_GROWTH">"c522"</definedName>
    <definedName name="IQ_GROSS_LOANS_1YR_ANN_GROWTH">"c523"</definedName>
    <definedName name="IQ_GROSS_LOANS_2YR_ANN_GROWTH">"c524"</definedName>
    <definedName name="IQ_GROSS_LOANS_3YR_ANN_GROWTH">"c525"</definedName>
    <definedName name="IQ_GROSS_LOANS_5YR_ANN_GROWTH">"c526"</definedName>
    <definedName name="IQ_GROSS_LOANS_7YR_ANN_GROWTH">"c527"</definedName>
    <definedName name="IQ_GROSS_LOANS_TOTAL_DEPOSITS">"c528"</definedName>
    <definedName name="IQ_GROSS_MARGIN">"c529"</definedName>
    <definedName name="IQ_GROSS_PC_EARNED">"c2747"</definedName>
    <definedName name="IQ_GROSS_PROFIT">"c1378"</definedName>
    <definedName name="IQ_GROSS_SPRD">"c2155"</definedName>
    <definedName name="IQ_GROSS_WRITTEN">"c2726"</definedName>
    <definedName name="IQ_GW">"c530"</definedName>
    <definedName name="IQ_GW_AMORT_BR">"c532"</definedName>
    <definedName name="IQ_GW_AMORT_FIN">"c540"</definedName>
    <definedName name="IQ_GW_AMORT_INS">"c541"</definedName>
    <definedName name="IQ_GW_AMORT_REIT">"c542"</definedName>
    <definedName name="IQ_GW_AMORT_UTI">"c543"</definedName>
    <definedName name="IQ_GW_INTAN_AMORT">"c1469"</definedName>
    <definedName name="IQ_GW_INTAN_AMORT_BNK">"c544"</definedName>
    <definedName name="IQ_GW_INTAN_AMORT_BR">"c1470"</definedName>
    <definedName name="IQ_GW_INTAN_AMORT_CF">"c1471"</definedName>
    <definedName name="IQ_GW_INTAN_AMORT_CF_BNK">"c1472"</definedName>
    <definedName name="IQ_GW_INTAN_AMORT_CF_BR">"c1473"</definedName>
    <definedName name="IQ_GW_INTAN_AMORT_CF_FIN">"c1474"</definedName>
    <definedName name="IQ_GW_INTAN_AMORT_CF_INS">"c1475"</definedName>
    <definedName name="IQ_GW_INTAN_AMORT_CF_REIT">"c1476"</definedName>
    <definedName name="IQ_GW_INTAN_AMORT_CF_UTI">"c1477"</definedName>
    <definedName name="IQ_GW_INTAN_AMORT_FIN">"c1478"</definedName>
    <definedName name="IQ_GW_INTAN_AMORT_INS">"c1479"</definedName>
    <definedName name="IQ_GW_INTAN_AMORT_REIT">"c1480"</definedName>
    <definedName name="IQ_GW_INTAN_AMORT_UTI">"c1481"</definedName>
    <definedName name="IQ_HIGH_TARGET_PRICE">"c1651"</definedName>
    <definedName name="IQ_HIGH_TARGET_PRICE_REUT">"c5317"</definedName>
    <definedName name="IQ_HIGHPRICE">"c545"</definedName>
    <definedName name="IQ_HOMEOWNERS_WRITTEN">"c546"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"c547"</definedName>
    <definedName name="IQ_IMPAIRMENT_GW">"c548"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"c2987"</definedName>
    <definedName name="IQ_IMPUT_OPER_LEASE_INT_EXP">"c2986"</definedName>
    <definedName name="IQ_INC_AFTER_TAX">"c1598"</definedName>
    <definedName name="IQ_INC_AVAIL_EXCL">"c1395"</definedName>
    <definedName name="IQ_INC_AVAIL_INCL">"c1396"</definedName>
    <definedName name="IQ_INC_BEFORE_TAX">"c1375"</definedName>
    <definedName name="IQ_INC_EQUITY">"c549"</definedName>
    <definedName name="IQ_INC_EQUITY_BR">"c550"</definedName>
    <definedName name="IQ_INC_EQUITY_CF">"c551"</definedName>
    <definedName name="IQ_INC_EQUITY_FIN">"c552"</definedName>
    <definedName name="IQ_INC_EQUITY_INS">"c553"</definedName>
    <definedName name="IQ_INC_EQUITY_REC_BNK">"c554"</definedName>
    <definedName name="IQ_INC_EQUITY_REIT">"c555"</definedName>
    <definedName name="IQ_INC_EQUITY_REV_BNK">"c556"</definedName>
    <definedName name="IQ_INC_EQUITY_UTI">"c557"</definedName>
    <definedName name="IQ_INC_REAL_ESTATE_REC">"c558"</definedName>
    <definedName name="IQ_INC_REAL_ESTATE_REV">"c559"</definedName>
    <definedName name="IQ_INC_TAX">"c560"</definedName>
    <definedName name="IQ_INC_TAX_EXCL">"c1599"</definedName>
    <definedName name="IQ_INC_TAX_PAY_CURRENT">"c561"</definedName>
    <definedName name="IQ_INC_TRADE_ACT">"c562"</definedName>
    <definedName name="IQ_INDUSTRY">"c3601"</definedName>
    <definedName name="IQ_INDUSTRY_GROUP">"c3602"</definedName>
    <definedName name="IQ_INDUSTRY_SECTOR">"c3603"</definedName>
    <definedName name="IQ_INS_ANNUITY_LIAB">"c563"</definedName>
    <definedName name="IQ_INS_ANNUITY_REV">"c2788"</definedName>
    <definedName name="IQ_INS_DIV_EXP">"c564"</definedName>
    <definedName name="IQ_INS_DIV_REV">"c565"</definedName>
    <definedName name="IQ_INS_IN_FORCE">"c566"</definedName>
    <definedName name="IQ_INS_LIAB">"c567"</definedName>
    <definedName name="IQ_INS_POLICY_EXP">"c568"</definedName>
    <definedName name="IQ_INS_REV">"c569"</definedName>
    <definedName name="IQ_INS_SETTLE">"c570"</definedName>
    <definedName name="IQ_INS_SETTLE_BNK">"c571"</definedName>
    <definedName name="IQ_INS_SETTLE_BR">"c572"</definedName>
    <definedName name="IQ_INS_SETTLE_FIN">"c573"</definedName>
    <definedName name="IQ_INS_SETTLE_INS">"c574"</definedName>
    <definedName name="IQ_INS_SETTLE_REIT">"c575"</definedName>
    <definedName name="IQ_INS_SETTLE_UTI">"c576"</definedName>
    <definedName name="IQ_INSIDER_3MTH_BOUGHT_PCT">"c1534"</definedName>
    <definedName name="IQ_INSIDER_3MTH_NET_PCT">"c1535"</definedName>
    <definedName name="IQ_INSIDER_3MTH_SOLD_PCT">"c1533"</definedName>
    <definedName name="IQ_INSIDER_6MTH_BOUGHT_PCT">"c1537"</definedName>
    <definedName name="IQ_INSIDER_6MTH_NET_PCT">"c1538"</definedName>
    <definedName name="IQ_INSIDER_6MTH_SOLD_PCT">"c1536"</definedName>
    <definedName name="IQ_INSIDER_OVER_TOTAL">"c1581"</definedName>
    <definedName name="IQ_INSIDER_OWNER">"c577"</definedName>
    <definedName name="IQ_INSIDER_PERCENT">"c578"</definedName>
    <definedName name="IQ_INSIDER_SHARES">"c579"</definedName>
    <definedName name="IQ_INSTITUTIONAL_OVER_TOTAL">"c1580"</definedName>
    <definedName name="IQ_INSTITUTIONAL_OWNER">"c580"</definedName>
    <definedName name="IQ_INSTITUTIONAL_PERCENT">"c581"</definedName>
    <definedName name="IQ_INSTITUTIONAL_SHARES">"c582"</definedName>
    <definedName name="IQ_INSUR_RECEIV">"c1600"</definedName>
    <definedName name="IQ_INT_BORROW">"c583"</definedName>
    <definedName name="IQ_INT_DEPOSITS">"c584"</definedName>
    <definedName name="IQ_INT_DIV_INC">"c585"</definedName>
    <definedName name="IQ_INT_EXP_BR">"c586"</definedName>
    <definedName name="IQ_INT_EXP_COVERAGE">"c587"</definedName>
    <definedName name="IQ_INT_EXP_FIN">"c588"</definedName>
    <definedName name="IQ_INT_EXP_INCL_CAP">"c2988"</definedName>
    <definedName name="IQ_INT_EXP_INS">"c589"</definedName>
    <definedName name="IQ_INT_EXP_LTD">"c2086"</definedName>
    <definedName name="IQ_INT_EXP_REIT">"c590"</definedName>
    <definedName name="IQ_INT_EXP_TOTAL">"c591"</definedName>
    <definedName name="IQ_INT_EXP_UTI">"c592"</definedName>
    <definedName name="IQ_INT_INC_BR">"c593"</definedName>
    <definedName name="IQ_INT_INC_FIN">"c594"</definedName>
    <definedName name="IQ_INT_INC_INVEST">"c595"</definedName>
    <definedName name="IQ_INT_INC_LOANS">"c596"</definedName>
    <definedName name="IQ_INT_INC_REIT">"c597"</definedName>
    <definedName name="IQ_INT_INC_TOTAL">"c598"</definedName>
    <definedName name="IQ_INT_INC_UTI">"c599"</definedName>
    <definedName name="IQ_INT_INV_INC">"c600"</definedName>
    <definedName name="IQ_INT_INV_INC_REIT">"c601"</definedName>
    <definedName name="IQ_INT_INV_INC_UTI">"c602"</definedName>
    <definedName name="IQ_INT_ON_BORROWING_COVERAGE">"c603"</definedName>
    <definedName name="IQ_INT_RATE_SPREAD">"c604"</definedName>
    <definedName name="IQ_INTANGIBLES_NET">"c1407"</definedName>
    <definedName name="IQ_INTEREST_CASH_DEPOSITS">"c2255"</definedName>
    <definedName name="IQ_INTEREST_EXP">"c618"</definedName>
    <definedName name="IQ_INTEREST_EXP_NET">"c1450"</definedName>
    <definedName name="IQ_INTEREST_EXP_NON">"c1383"</definedName>
    <definedName name="IQ_INTEREST_EXP_SUPPL">"c1460"</definedName>
    <definedName name="IQ_INTEREST_INC">"c1393"</definedName>
    <definedName name="IQ_INTEREST_INC_NON">"c1384"</definedName>
    <definedName name="IQ_INTEREST_INVEST_INC">"c619"</definedName>
    <definedName name="IQ_INV_10YR_ANN_GROWTH">"c1930"</definedName>
    <definedName name="IQ_INV_1YR_ANN_GROWTH">"c1925"</definedName>
    <definedName name="IQ_INV_2YR_ANN_GROWTH">"c1926"</definedName>
    <definedName name="IQ_INV_3YR_ANN_GROWTH">"c1927"</definedName>
    <definedName name="IQ_INV_5YR_ANN_GROWTH">"c1928"</definedName>
    <definedName name="IQ_INV_7YR_ANN_GROWTH">"c1929"</definedName>
    <definedName name="IQ_INV_BANKING_FEE">"c620"</definedName>
    <definedName name="IQ_INV_METHOD">"c621"</definedName>
    <definedName name="IQ_INVENTORY">"c622"</definedName>
    <definedName name="IQ_INVENTORY_TURNS">"c623"</definedName>
    <definedName name="IQ_INVENTORY_UTI">"c624"</definedName>
    <definedName name="IQ_INVEST_DEBT">"c625"</definedName>
    <definedName name="IQ_INVEST_EQUITY_PREF">"c626"</definedName>
    <definedName name="IQ_INVEST_FHLB">"c627"</definedName>
    <definedName name="IQ_INVEST_GOV_SECURITY">"c5510"</definedName>
    <definedName name="IQ_INVEST_LOANS_CF">"c628"</definedName>
    <definedName name="IQ_INVEST_LOANS_CF_BNK">"c629"</definedName>
    <definedName name="IQ_INVEST_LOANS_CF_BR">"c630"</definedName>
    <definedName name="IQ_INVEST_LOANS_CF_FIN">"c631"</definedName>
    <definedName name="IQ_INVEST_LOANS_CF_INS">"c632"</definedName>
    <definedName name="IQ_INVEST_LOANS_CF_REIT">"c633"</definedName>
    <definedName name="IQ_INVEST_LOANS_CF_UTI">"c634"</definedName>
    <definedName name="IQ_INVEST_MUNI_SECURITY">"c5512"</definedName>
    <definedName name="IQ_INVEST_REAL_ESTATE">"c635"</definedName>
    <definedName name="IQ_INVEST_SECURITY">"c636"</definedName>
    <definedName name="IQ_INVEST_SECURITY_CF">"c637"</definedName>
    <definedName name="IQ_INVEST_SECURITY_CF_BNK">"c638"</definedName>
    <definedName name="IQ_INVEST_SECURITY_CF_BR">"c639"</definedName>
    <definedName name="IQ_INVEST_SECURITY_CF_FIN">"c640"</definedName>
    <definedName name="IQ_INVEST_SECURITY_CF_INS">"c641"</definedName>
    <definedName name="IQ_INVEST_SECURITY_CF_REIT">"c642"</definedName>
    <definedName name="IQ_INVEST_SECURITY_CF_UTI">"c643"</definedName>
    <definedName name="IQ_INVEST_SECURITY_SUPPL">"c5511"</definedName>
    <definedName name="IQ_IPRD">"c644"</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"c1391"</definedName>
    <definedName name="IQ_ISS_STOCK_NET">"c1601"</definedName>
    <definedName name="IQ_ISSUE_CURRENCY">"c2156"</definedName>
    <definedName name="IQ_ISSUE_NAME">"c2142"</definedName>
    <definedName name="IQ_ISSUER">"c2143"</definedName>
    <definedName name="IQ_ISSUER_CIQID">"c2258"</definedName>
    <definedName name="IQ_ISSUER_PARENT">"c2144"</definedName>
    <definedName name="IQ_ISSUER_PARENT_CIQID">"c2260"</definedName>
    <definedName name="IQ_ISSUER_PARENT_TICKER">"c2259"</definedName>
    <definedName name="IQ_ISSUER_TICKER">"c2252"</definedName>
    <definedName name="IQ_JR_SUB_DEBT">"c2534"</definedName>
    <definedName name="IQ_JR_SUB_DEBT_EBITDA">"c2560"</definedName>
    <definedName name="IQ_JR_SUB_DEBT_EBITDA_CAPEX">"c2561"</definedName>
    <definedName name="IQ_JR_SUB_DEBT_PCT">"c2535"</definedName>
    <definedName name="IQ_LAND">"c645"</definedName>
    <definedName name="IQ_LAST_PMT_DATE">"c2188"</definedName>
    <definedName name="IQ_LAST_SPLIT_DATE">"c2095"</definedName>
    <definedName name="IQ_LAST_SPLIT_FACTOR">"c2093"</definedName>
    <definedName name="IQ_LASTPRICINGDATE">"c3051"</definedName>
    <definedName name="IQ_LASTSALEPRICE">"c646"</definedName>
    <definedName name="IQ_LASTSALEPRICE_DATE">"c2109"</definedName>
    <definedName name="IQ_LATESTK">1000</definedName>
    <definedName name="IQ_LATESTQ">500</definedName>
    <definedName name="IQ_LEGAL_SETTLE">"c647"</definedName>
    <definedName name="IQ_LEGAL_SETTLE_BNK">"c648"</definedName>
    <definedName name="IQ_LEGAL_SETTLE_BR">"c649"</definedName>
    <definedName name="IQ_LEGAL_SETTLE_FIN">"c650"</definedName>
    <definedName name="IQ_LEGAL_SETTLE_INS">"c651"</definedName>
    <definedName name="IQ_LEGAL_SETTLE_REIT">"c652"</definedName>
    <definedName name="IQ_LEGAL_SETTLE_UTI">"c653"</definedName>
    <definedName name="IQ_LEVERAGE_RATIO">"c654"</definedName>
    <definedName name="IQ_LEVERED_FCF">"c1907"</definedName>
    <definedName name="IQ_LFCF_10YR_ANN_GROWTH">"c1942"</definedName>
    <definedName name="IQ_LFCF_1YR_ANN_GROWTH">"c1937"</definedName>
    <definedName name="IQ_LFCF_2YR_ANN_GROWTH">"c1938"</definedName>
    <definedName name="IQ_LFCF_3YR_ANN_GROWTH">"c1939"</definedName>
    <definedName name="IQ_LFCF_5YR_ANN_GROWTH">"c1940"</definedName>
    <definedName name="IQ_LFCF_7YR_ANN_GROWTH">"c1941"</definedName>
    <definedName name="IQ_LFCF_MARGIN">"c1961"</definedName>
    <definedName name="IQ_LH_STATUTORY_SURPLUS">"c2771"</definedName>
    <definedName name="IQ_LICENSED_POPS">"c2123"</definedName>
    <definedName name="IQ_LIFE_EARNED">"c2739"</definedName>
    <definedName name="IQ_LIFOR">"c655"</definedName>
    <definedName name="IQ_LL">"c656"</definedName>
    <definedName name="IQ_LOAN_LEASE_RECEIV">"c657"</definedName>
    <definedName name="IQ_LOAN_LOSS">"c1386"</definedName>
    <definedName name="IQ_LOAN_SERVICE_REV">"c658"</definedName>
    <definedName name="IQ_LOANS_CF">"c659"</definedName>
    <definedName name="IQ_LOANS_CF_BNK">"c660"</definedName>
    <definedName name="IQ_LOANS_CF_BR">"c661"</definedName>
    <definedName name="IQ_LOANS_CF_FIN">"c662"</definedName>
    <definedName name="IQ_LOANS_CF_INS">"c663"</definedName>
    <definedName name="IQ_LOANS_CF_REIT">"c664"</definedName>
    <definedName name="IQ_LOANS_CF_UTI">"c665"</definedName>
    <definedName name="IQ_LOANS_FOR_SALE">"c666"</definedName>
    <definedName name="IQ_LOANS_PAST_DUE">"c667"</definedName>
    <definedName name="IQ_LOANS_RECEIV_CURRENT">"c668"</definedName>
    <definedName name="IQ_LOANS_RECEIV_LT">"c669"</definedName>
    <definedName name="IQ_LOANS_RECEIV_LT_UTI">"c670"</definedName>
    <definedName name="IQ_LONG_TERM_DEBT">"c1387"</definedName>
    <definedName name="IQ_LONG_TERM_DEBT_OVER_TOTAL_CAP">"c1388"</definedName>
    <definedName name="IQ_LONG_TERM_GROWTH">"c671"</definedName>
    <definedName name="IQ_LONG_TERM_INV">"c1389"</definedName>
    <definedName name="IQ_LOSS_LOSS_EXP">"c672"</definedName>
    <definedName name="IQ_LOSS_TO_NET_EARNED">"c2751"</definedName>
    <definedName name="IQ_LOW_TARGET_PRICE">"c1652"</definedName>
    <definedName name="IQ_LOW_TARGET_PRICE_REUT">"c5318"</definedName>
    <definedName name="IQ_LOWPRICE">"c673"</definedName>
    <definedName name="IQ_LT_DEBT">"c674"</definedName>
    <definedName name="IQ_LT_DEBT_BNK">"c675"</definedName>
    <definedName name="IQ_LT_DEBT_BR">"c676"</definedName>
    <definedName name="IQ_LT_DEBT_CAPITAL">"c677"</definedName>
    <definedName name="IQ_LT_DEBT_CAPITAL_LEASES">"c2542"</definedName>
    <definedName name="IQ_LT_DEBT_CAPITAL_LEASES_PCT">"c2543"</definedName>
    <definedName name="IQ_LT_DEBT_EQUITY">"c678"</definedName>
    <definedName name="IQ_LT_DEBT_FIN">"c679"</definedName>
    <definedName name="IQ_LT_DEBT_INS">"c680"</definedName>
    <definedName name="IQ_LT_DEBT_ISSUED">"c681"</definedName>
    <definedName name="IQ_LT_DEBT_ISSUED_BNK">"c682"</definedName>
    <definedName name="IQ_LT_DEBT_ISSUED_BR">"c683"</definedName>
    <definedName name="IQ_LT_DEBT_ISSUED_FIN">"c684"</definedName>
    <definedName name="IQ_LT_DEBT_ISSUED_INS">"c685"</definedName>
    <definedName name="IQ_LT_DEBT_ISSUED_REIT">"c686"</definedName>
    <definedName name="IQ_LT_DEBT_ISSUED_UTI">"c687"</definedName>
    <definedName name="IQ_LT_DEBT_REIT">"c688"</definedName>
    <definedName name="IQ_LT_DEBT_REPAID">"c689"</definedName>
    <definedName name="IQ_LT_DEBT_REPAID_BNK">"c690"</definedName>
    <definedName name="IQ_LT_DEBT_REPAID_BR">"c691"</definedName>
    <definedName name="IQ_LT_DEBT_REPAID_FIN">"c692"</definedName>
    <definedName name="IQ_LT_DEBT_REPAID_INS">"c693"</definedName>
    <definedName name="IQ_LT_DEBT_REPAID_REIT">"c694"</definedName>
    <definedName name="IQ_LT_DEBT_REPAID_UTI">"c695"</definedName>
    <definedName name="IQ_LT_DEBT_UTI">"c696"</definedName>
    <definedName name="IQ_LT_INVEST">"c697"</definedName>
    <definedName name="IQ_LT_INVEST_BR">"c698"</definedName>
    <definedName name="IQ_LT_INVEST_FIN">"c699"</definedName>
    <definedName name="IQ_LT_INVEST_REIT">"c700"</definedName>
    <definedName name="IQ_LT_INVEST_UTI">"c701"</definedName>
    <definedName name="IQ_LT_NOTE_RECEIV">"c1602"</definedName>
    <definedName name="IQ_LTD_DUE_AFTER_FIVE">"c704"</definedName>
    <definedName name="IQ_LTD_DUE_CY">"c705"</definedName>
    <definedName name="IQ_LTD_DUE_CY1">"c706"</definedName>
    <definedName name="IQ_LTD_DUE_CY2">"c707"</definedName>
    <definedName name="IQ_LTD_DUE_CY3">"c708"</definedName>
    <definedName name="IQ_LTD_DUE_CY4">"c709"</definedName>
    <definedName name="IQ_LTD_DUE_NEXT_FIVE">"c710"</definedName>
    <definedName name="IQ_LTM">2000</definedName>
    <definedName name="IQ_LTM_REVENUE_OVER_EMPLOYEES">"c1437"</definedName>
    <definedName name="IQ_MACHINERY">"c711"</definedName>
    <definedName name="IQ_MAINT_CAPEX">"c2947"</definedName>
    <definedName name="IQ_MAINT_CAPEX_ACT_OR_EST">"c4458"</definedName>
    <definedName name="IQ_MAINT_REPAIR">"c2087"</definedName>
    <definedName name="IQ_MAKE_WHOLE_END_DATE">"c2493"</definedName>
    <definedName name="IQ_MAKE_WHOLE_SPREAD">"c2494"</definedName>
    <definedName name="IQ_MAKE_WHOLE_START_DATE">"c2492"</definedName>
    <definedName name="IQ_MARKET_CAP_LFCF">"c2209"</definedName>
    <definedName name="IQ_MARKETCAP">"c712"</definedName>
    <definedName name="IQ_MARKETING">"c2239"</definedName>
    <definedName name="IQ_MATURITY_DATE">"c2146"</definedName>
    <definedName name="IQ_MC_RATIO">"c2783"</definedName>
    <definedName name="IQ_MC_STATUTORY_SURPLUS">"c2772"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"c1650"</definedName>
    <definedName name="IQ_MEDIAN_TARGET_PRICE_REUT">"c5316"</definedName>
    <definedName name="IQ_MERGER">"c713"</definedName>
    <definedName name="IQ_MERGER_BNK">"c714"</definedName>
    <definedName name="IQ_MERGER_BR">"c715"</definedName>
    <definedName name="IQ_MERGER_FIN">"c716"</definedName>
    <definedName name="IQ_MERGER_INS">"c717"</definedName>
    <definedName name="IQ_MERGER_REIT">"c718"</definedName>
    <definedName name="IQ_MERGER_RESTRUCTURE">"c719"</definedName>
    <definedName name="IQ_MERGER_RESTRUCTURE_BNK">"c720"</definedName>
    <definedName name="IQ_MERGER_RESTRUCTURE_BR">"c721"</definedName>
    <definedName name="IQ_MERGER_RESTRUCTURE_FIN">"c722"</definedName>
    <definedName name="IQ_MERGER_RESTRUCTURE_INS">"c723"</definedName>
    <definedName name="IQ_MERGER_RESTRUCTURE_REIT">"c724"</definedName>
    <definedName name="IQ_MERGER_RESTRUCTURE_UTI">"c725"</definedName>
    <definedName name="IQ_MERGER_UTI">"c726"</definedName>
    <definedName name="IQ_MINORITY_INTEREST">"c727"</definedName>
    <definedName name="IQ_MINORITY_INTEREST_BNK">"c728"</definedName>
    <definedName name="IQ_MINORITY_INTEREST_BR">"c729"</definedName>
    <definedName name="IQ_MINORITY_INTEREST_CF">"c730"</definedName>
    <definedName name="IQ_MINORITY_INTEREST_FIN">"c731"</definedName>
    <definedName name="IQ_MINORITY_INTEREST_INS">"c732"</definedName>
    <definedName name="IQ_MINORITY_INTEREST_IS">"c733"</definedName>
    <definedName name="IQ_MINORITY_INTEREST_REIT">"c734"</definedName>
    <definedName name="IQ_MINORITY_INTEREST_TOTAL">"c1905"</definedName>
    <definedName name="IQ_MINORITY_INTEREST_UTI">"c735"</definedName>
    <definedName name="IQ_MISC_ADJUST_CF">"c736"</definedName>
    <definedName name="IQ_MISC_EARN_ADJ">"c1603"</definedName>
    <definedName name="IQ_MKTCAP_EBT_EXCL">"c737"</definedName>
    <definedName name="IQ_MKTCAP_EBT_EXCL_AVG">"c738"</definedName>
    <definedName name="IQ_MKTCAP_EBT_INCL_AVG">"c739"</definedName>
    <definedName name="IQ_MKTCAP_TOTAL_REV">"c740"</definedName>
    <definedName name="IQ_MKTCAP_TOTAL_REV_AVG">"c741"</definedName>
    <definedName name="IQ_MKTCAP_TOTAL_REV_FWD">"c742"</definedName>
    <definedName name="IQ_MKTCAP_TOTAL_REV_FWD_REUT">"c4048"</definedName>
    <definedName name="IQ_MM_ACCOUNT">"c743"</definedName>
    <definedName name="IQ_MONTH" hidden="1">15000</definedName>
    <definedName name="IQ_MORT_BANK_ACT">"c744"</definedName>
    <definedName name="IQ_MORT_BANKING_FEE">"c745"</definedName>
    <definedName name="IQ_MORT_INT_INC">"c746"</definedName>
    <definedName name="IQ_MORT_LOANS">"c747"</definedName>
    <definedName name="IQ_MORT_SECURITY">"c748"</definedName>
    <definedName name="IQ_MORTGAGE_SERV_RIGHTS">"c2242"</definedName>
    <definedName name="IQ_NAMES_REVISION_DATE_" hidden="1">40263.0052546296</definedName>
    <definedName name="IQ_NET_CHANGE">"c749"</definedName>
    <definedName name="IQ_NET_CLAIM_EXP_INCUR">"c2757"</definedName>
    <definedName name="IQ_NET_CLAIM_EXP_INCUR_CY">"c2761"</definedName>
    <definedName name="IQ_NET_CLAIM_EXP_INCUR_PY">"c2762"</definedName>
    <definedName name="IQ_NET_CLAIM_EXP_PAID">"c2760"</definedName>
    <definedName name="IQ_NET_CLAIM_EXP_PAID_CY">"c2763"</definedName>
    <definedName name="IQ_NET_CLAIM_EXP_PAID_PY">"c2764"</definedName>
    <definedName name="IQ_NET_CLAIM_EXP_RES">"c2754"</definedName>
    <definedName name="IQ_NET_DEBT">"c1584"</definedName>
    <definedName name="IQ_NET_DEBT_EBITDA">"c750"</definedName>
    <definedName name="IQ_NET_DEBT_EBITDA_CAPEX">"c2949"</definedName>
    <definedName name="IQ_NET_DEBT_ISSUED">"c751"</definedName>
    <definedName name="IQ_NET_DEBT_ISSUED_BNK">"c752"</definedName>
    <definedName name="IQ_NET_DEBT_ISSUED_BR">"c753"</definedName>
    <definedName name="IQ_NET_DEBT_ISSUED_FIN">"c754"</definedName>
    <definedName name="IQ_NET_DEBT_ISSUED_INS">"c755"</definedName>
    <definedName name="IQ_NET_DEBT_ISSUED_REIT">"c756"</definedName>
    <definedName name="IQ_NET_DEBT_ISSUED_UTI">"c757"</definedName>
    <definedName name="IQ_NET_EARNED">"c2734"</definedName>
    <definedName name="IQ_NET_INC">"c1394"</definedName>
    <definedName name="IQ_NET_INC_BEFORE">"c1368"</definedName>
    <definedName name="IQ_NET_INC_CF">"c1397"</definedName>
    <definedName name="IQ_NET_INC_MARGIN">"c1398"</definedName>
    <definedName name="IQ_NET_INT_INC_10YR_ANN_GROWTH">"c758"</definedName>
    <definedName name="IQ_NET_INT_INC_1YR_ANN_GROWTH">"c759"</definedName>
    <definedName name="IQ_NET_INT_INC_2YR_ANN_GROWTH">"c760"</definedName>
    <definedName name="IQ_NET_INT_INC_3YR_ANN_GROWTH">"c761"</definedName>
    <definedName name="IQ_NET_INT_INC_5YR_ANN_GROWTH">"c762"</definedName>
    <definedName name="IQ_NET_INT_INC_7YR_ANN_GROWTH">"c763"</definedName>
    <definedName name="IQ_NET_INT_INC_BNK">"c764"</definedName>
    <definedName name="IQ_NET_INT_INC_BR">"c765"</definedName>
    <definedName name="IQ_NET_INT_INC_FIN">"c766"</definedName>
    <definedName name="IQ_NET_INT_INC_TOTAL_REV">"c767"</definedName>
    <definedName name="IQ_NET_INT_MARGIN">"c768"</definedName>
    <definedName name="IQ_NET_INTEREST_EXP">"c769"</definedName>
    <definedName name="IQ_NET_INTEREST_EXP_REIT">"c770"</definedName>
    <definedName name="IQ_NET_INTEREST_EXP_UTI">"c771"</definedName>
    <definedName name="IQ_NET_INTEREST_INC">"c1392"</definedName>
    <definedName name="IQ_NET_INTEREST_INC_AFTER_LL">"c1604"</definedName>
    <definedName name="IQ_NET_LIFE_INS_IN_FORCE">"c2769"</definedName>
    <definedName name="IQ_NET_LOANS">"c772"</definedName>
    <definedName name="IQ_NET_LOANS_10YR_ANN_GROWTH">"c773"</definedName>
    <definedName name="IQ_NET_LOANS_1YR_ANN_GROWTH">"c774"</definedName>
    <definedName name="IQ_NET_LOANS_2YR_ANN_GROWTH">"c775"</definedName>
    <definedName name="IQ_NET_LOANS_3YR_ANN_GROWTH">"c776"</definedName>
    <definedName name="IQ_NET_LOANS_5YR_ANN_GROWTH">"c777"</definedName>
    <definedName name="IQ_NET_LOANS_7YR_ANN_GROWTH">"c778"</definedName>
    <definedName name="IQ_NET_LOANS_TOTAL_DEPOSITS">"c779"</definedName>
    <definedName name="IQ_NET_RENTAL_EXP_FN">"c780"</definedName>
    <definedName name="IQ_NET_TO_GROSS_EARNED">"c2750"</definedName>
    <definedName name="IQ_NET_TO_GROSS_WRITTEN">"c2729"</definedName>
    <definedName name="IQ_NET_WORKING_CAP">"c3493"</definedName>
    <definedName name="IQ_NET_WRITTEN">"c2728"</definedName>
    <definedName name="IQ_NEW_PREM">"c2785"</definedName>
    <definedName name="IQ_NEXT_CALL_DATE">"c2198"</definedName>
    <definedName name="IQ_NEXT_CALL_PRICE">"c2199"</definedName>
    <definedName name="IQ_NEXT_INT_DATE">"c2187"</definedName>
    <definedName name="IQ_NEXT_PUT_DATE">"c2200"</definedName>
    <definedName name="IQ_NEXT_PUT_PRICE">"c2201"</definedName>
    <definedName name="IQ_NEXT_SINK_FUND_AMOUNT">"c2490"</definedName>
    <definedName name="IQ_NEXT_SINK_FUND_DATE">"c2489"</definedName>
    <definedName name="IQ_NEXT_SINK_FUND_PRICE">"c2491"</definedName>
    <definedName name="IQ_NI">"c781"</definedName>
    <definedName name="IQ_NI_10YR_ANN_GROWTH">"c782"</definedName>
    <definedName name="IQ_NI_1YR_ANN_GROWTH">"c783"</definedName>
    <definedName name="IQ_NI_2YR_ANN_GROWTH">"c784"</definedName>
    <definedName name="IQ_NI_3YR_ANN_GROWTH">"c785"</definedName>
    <definedName name="IQ_NI_5YR_ANN_GROWTH">"c786"</definedName>
    <definedName name="IQ_NI_7YR_ANN_GROWTH">"c787"</definedName>
    <definedName name="IQ_NI_AFTER_CAPITALIZED">"c788"</definedName>
    <definedName name="IQ_NI_AVAIL_EXCL">"c789"</definedName>
    <definedName name="IQ_NI_AVAIL_EXCL_MARGIN">"c790"</definedName>
    <definedName name="IQ_NI_AVAIL_INCL">"c791"</definedName>
    <definedName name="IQ_NI_BEFORE_CAPITALIZED">"c792"</definedName>
    <definedName name="IQ_NI_CF">"c793"</definedName>
    <definedName name="IQ_NI_MARGIN">"c794"</definedName>
    <definedName name="IQ_NI_NORM">"c1901"</definedName>
    <definedName name="IQ_NI_NORM_10YR_ANN_GROWTH">"c1960"</definedName>
    <definedName name="IQ_NI_NORM_1YR_ANN_GROWTH">"c1955"</definedName>
    <definedName name="IQ_NI_NORM_2YR_ANN_GROWTH">"c1956"</definedName>
    <definedName name="IQ_NI_NORM_3YR_ANN_GROWTH">"c1957"</definedName>
    <definedName name="IQ_NI_NORM_5YR_ANN_GROWTH">"c1958"</definedName>
    <definedName name="IQ_NI_NORM_7YR_ANN_GROWTH">"c1959"</definedName>
    <definedName name="IQ_NI_NORM_MARGIN">"c1964"</definedName>
    <definedName name="IQ_NI_SBC_ACT_OR_EST">"c4474"</definedName>
    <definedName name="IQ_NI_SBC_GW_ACT_OR_EST">"c4478"</definedName>
    <definedName name="IQ_NI_SFAS">"c795"</definedName>
    <definedName name="IQ_NOL_CF_1YR">"c3465"</definedName>
    <definedName name="IQ_NOL_CF_2YR">"c3466"</definedName>
    <definedName name="IQ_NOL_CF_3YR">"c3467"</definedName>
    <definedName name="IQ_NOL_CF_4YR">"c3468"</definedName>
    <definedName name="IQ_NOL_CF_5YR">"c3469"</definedName>
    <definedName name="IQ_NOL_CF_AFTER_FIVE">"c3470"</definedName>
    <definedName name="IQ_NOL_CF_MAX_YEAR">"c3473"</definedName>
    <definedName name="IQ_NOL_CF_NO_EXP">"c3471"</definedName>
    <definedName name="IQ_NOL_CF_TOTAL">"c3472"</definedName>
    <definedName name="IQ_NON_ACCRUAL_LOANS">"c796"</definedName>
    <definedName name="IQ_NON_CASH">"c1399"</definedName>
    <definedName name="IQ_NON_CASH_ITEMS">"c797"</definedName>
    <definedName name="IQ_NON_INS_EXP">"c798"</definedName>
    <definedName name="IQ_NON_INS_REV">"c799"</definedName>
    <definedName name="IQ_NON_INT_BEAR_CD">"c800"</definedName>
    <definedName name="IQ_NON_INT_EXP">"c801"</definedName>
    <definedName name="IQ_NON_INT_INC">"c802"</definedName>
    <definedName name="IQ_NON_INT_INC_10YR_ANN_GROWTH">"c803"</definedName>
    <definedName name="IQ_NON_INT_INC_1YR_ANN_GROWTH">"c804"</definedName>
    <definedName name="IQ_NON_INT_INC_2YR_ANN_GROWTH">"c805"</definedName>
    <definedName name="IQ_NON_INT_INC_3YR_ANN_GROWTH">"c806"</definedName>
    <definedName name="IQ_NON_INT_INC_5YR_ANN_GROWTH">"c807"</definedName>
    <definedName name="IQ_NON_INT_INC_7YR_ANN_GROWTH">"c808"</definedName>
    <definedName name="IQ_NON_INTEREST_EXP">"c1400"</definedName>
    <definedName name="IQ_NON_INTEREST_INC">"c1401"</definedName>
    <definedName name="IQ_NON_OPER_EXP">"c809"</definedName>
    <definedName name="IQ_NON_OPER_INC">"c810"</definedName>
    <definedName name="IQ_NON_PERF_ASSETS_10YR_ANN_GROWTH">"c811"</definedName>
    <definedName name="IQ_NON_PERF_ASSETS_1YR_ANN_GROWTH">"c812"</definedName>
    <definedName name="IQ_NON_PERF_ASSETS_2YR_ANN_GROWTH">"c813"</definedName>
    <definedName name="IQ_NON_PERF_ASSETS_3YR_ANN_GROWTH">"c814"</definedName>
    <definedName name="IQ_NON_PERF_ASSETS_5YR_ANN_GROWTH">"c815"</definedName>
    <definedName name="IQ_NON_PERF_ASSETS_7YR_ANN_GROWTH">"c816"</definedName>
    <definedName name="IQ_NON_PERF_ASSETS_TOTAL_ASSETS">"c817"</definedName>
    <definedName name="IQ_NON_PERF_LOANS_10YR_ANN_GROWTH">"c818"</definedName>
    <definedName name="IQ_NON_PERF_LOANS_1YR_ANN_GROWTH">"c819"</definedName>
    <definedName name="IQ_NON_PERF_LOANS_2YR_ANN_GROWTH">"c820"</definedName>
    <definedName name="IQ_NON_PERF_LOANS_3YR_ANN_GROWTH">"c821"</definedName>
    <definedName name="IQ_NON_PERF_LOANS_5YR_ANN_GROWTH">"c822"</definedName>
    <definedName name="IQ_NON_PERF_LOANS_7YR_ANN_GROWTH">"c823"</definedName>
    <definedName name="IQ_NON_PERF_LOANS_TOTAL_ASSETS">"c824"</definedName>
    <definedName name="IQ_NON_PERF_LOANS_TOTAL_LOANS">"c825"</definedName>
    <definedName name="IQ_NON_PERFORMING_ASSETS">"c826"</definedName>
    <definedName name="IQ_NON_PERFORMING_LOANS">"c827"</definedName>
    <definedName name="IQ_NONCASH_PENSION_EXP">"c3000"</definedName>
    <definedName name="IQ_NONRECOURSE_DEBT">"c2550"</definedName>
    <definedName name="IQ_NONRECOURSE_DEBT_PCT">"c2551"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UTIL_REV">"c2089"</definedName>
    <definedName name="IQ_NORMAL_INC_AFTER">"c1605"</definedName>
    <definedName name="IQ_NORMAL_INC_AVAIL">"c1606"</definedName>
    <definedName name="IQ_NORMAL_INC_BEFORE">"c1607"</definedName>
    <definedName name="IQ_NOTES_PAY">"c1423"</definedName>
    <definedName name="IQ_NOW_ACCOUNT">"c828"</definedName>
    <definedName name="IQ_NPPE">"c829"</definedName>
    <definedName name="IQ_NPPE_10YR_ANN_GROWTH">"c830"</definedName>
    <definedName name="IQ_NPPE_1YR_ANN_GROWTH">"c831"</definedName>
    <definedName name="IQ_NPPE_2YR_ANN_GROWTH">"c832"</definedName>
    <definedName name="IQ_NPPE_3YR_ANN_GROWTH">"c833"</definedName>
    <definedName name="IQ_NPPE_5YR_ANN_GROWTH">"c834"</definedName>
    <definedName name="IQ_NPPE_7YR_ANN_GROWTH">"c835"</definedName>
    <definedName name="IQ_NTM">6000</definedName>
    <definedName name="IQ_NUKE">"c836"</definedName>
    <definedName name="IQ_NUKE_CF">"c837"</definedName>
    <definedName name="IQ_NUKE_CONTR">"c838"</definedName>
    <definedName name="IQ_NUM_BRANCHES">"c2088"</definedName>
    <definedName name="IQ_NUMBER_ADRHOLDERS">"c1970"</definedName>
    <definedName name="IQ_NUMBER_DAYS">"c1904"</definedName>
    <definedName name="IQ_NUMBER_SHAREHOLDERS">"c1967"</definedName>
    <definedName name="IQ_NUMBER_SHAREHOLDERS_CLASSA">"c1968"</definedName>
    <definedName name="IQ_NUMBER_SHAREHOLDERS_OTHER">"c1969"</definedName>
    <definedName name="IQ_OCCUPY_EXP">"c839"</definedName>
    <definedName name="IQ_OFFER_AMOUNT">"c2152"</definedName>
    <definedName name="IQ_OFFER_COUPON">"c2147"</definedName>
    <definedName name="IQ_OFFER_COUPON_TYPE">"c2148"</definedName>
    <definedName name="IQ_OFFER_DATE">"c2149"</definedName>
    <definedName name="IQ_OFFER_PRICE">"c2150"</definedName>
    <definedName name="IQ_OFFER_YIELD">"c2151"</definedName>
    <definedName name="IQ_OG_10DISC">"c1998"</definedName>
    <definedName name="IQ_OG_10DISC_GAS">"c2018"</definedName>
    <definedName name="IQ_OG_10DISC_OIL">"c2008"</definedName>
    <definedName name="IQ_OG_ACQ_COST_PROVED">"c1975"</definedName>
    <definedName name="IQ_OG_ACQ_COST_PROVED_GAS">"c1987"</definedName>
    <definedName name="IQ_OG_ACQ_COST_PROVED_OIL">"c1981"</definedName>
    <definedName name="IQ_OG_ACQ_COST_UNPROVED">"c1976"</definedName>
    <definedName name="IQ_OG_ACQ_COST_UNPROVED_GAS">"c1988"</definedName>
    <definedName name="IQ_OG_ACQ_COST_UNPROVED_OIL">"c1982"</definedName>
    <definedName name="IQ_OG_AVG_DAILY_PROD_GAS">"c2910"</definedName>
    <definedName name="IQ_OG_AVG_DAILY_PROD_NGL">"c2911"</definedName>
    <definedName name="IQ_OG_AVG_DAILY_PROD_OIL">"c2909"</definedName>
    <definedName name="IQ_OG_CLOSE_BALANCE_GAS">"c2049"</definedName>
    <definedName name="IQ_OG_CLOSE_BALANCE_NGL">"c2920"</definedName>
    <definedName name="IQ_OG_CLOSE_BALANCE_OIL">"c2037"</definedName>
    <definedName name="IQ_OG_DCF_BEFORE_TAXES">"c2023"</definedName>
    <definedName name="IQ_OG_DCF_BEFORE_TAXES_GAS">"c2025"</definedName>
    <definedName name="IQ_OG_DCF_BEFORE_TAXES_OIL">"c2024"</definedName>
    <definedName name="IQ_OG_DEVELOPED_RESERVES_GAS">"c2053"</definedName>
    <definedName name="IQ_OG_DEVELOPED_RESERVES_NGL">"c2922"</definedName>
    <definedName name="IQ_OG_DEVELOPED_RESERVES_OIL">"c2054"</definedName>
    <definedName name="IQ_OG_DEVELOPMENT_COSTS">"c1978"</definedName>
    <definedName name="IQ_OG_DEVELOPMENT_COSTS_GAS">"c1990"</definedName>
    <definedName name="IQ_OG_DEVELOPMENT_COSTS_OIL">"c1984"</definedName>
    <definedName name="IQ_OG_EQUITY_DCF">"c2002"</definedName>
    <definedName name="IQ_OG_EQUITY_DCF_GAS">"c2022"</definedName>
    <definedName name="IQ_OG_EQUITY_DCF_OIL">"c2012"</definedName>
    <definedName name="IQ_OG_EQUTY_RESERVES_GAS">"c2050"</definedName>
    <definedName name="IQ_OG_EQUTY_RESERVES_NGL">"c2921"</definedName>
    <definedName name="IQ_OG_EQUTY_RESERVES_OIL">"c2038"</definedName>
    <definedName name="IQ_OG_EXPLORATION_COSTS">"c1977"</definedName>
    <definedName name="IQ_OG_EXPLORATION_COSTS_GAS">"c1989"</definedName>
    <definedName name="IQ_OG_EXPLORATION_COSTS_OIL">"c1983"</definedName>
    <definedName name="IQ_OG_EXT_DISC_GAS">"c2043"</definedName>
    <definedName name="IQ_OG_EXT_DISC_NGL">"c2914"</definedName>
    <definedName name="IQ_OG_EXT_DISC_OIL">"c2031"</definedName>
    <definedName name="IQ_OG_FUTURE_CASH_INFLOWS">"c1993"</definedName>
    <definedName name="IQ_OG_FUTURE_CASH_INFLOWS_GAS">"c2013"</definedName>
    <definedName name="IQ_OG_FUTURE_CASH_INFLOWS_OIL">"c2003"</definedName>
    <definedName name="IQ_OG_FUTURE_DEVELOPMENT_COSTS">"c1995"</definedName>
    <definedName name="IQ_OG_FUTURE_DEVELOPMENT_COSTS_GAS">"c2015"</definedName>
    <definedName name="IQ_OG_FUTURE_DEVELOPMENT_COSTS_OIL">"c2005"</definedName>
    <definedName name="IQ_OG_FUTURE_INC_TAXES">"c1997"</definedName>
    <definedName name="IQ_OG_FUTURE_INC_TAXES_GAS">"c2017"</definedName>
    <definedName name="IQ_OG_FUTURE_INC_TAXES_OIL">"c2007"</definedName>
    <definedName name="IQ_OG_FUTURE_PRODUCTION_COSTS">"c1994"</definedName>
    <definedName name="IQ_OG_FUTURE_PRODUCTION_COSTS_GAS">"c2014"</definedName>
    <definedName name="IQ_OG_FUTURE_PRODUCTION_COSTS_OIL">"c2004"</definedName>
    <definedName name="IQ_OG_GAS_PRICE_HEDGED">"c2056"</definedName>
    <definedName name="IQ_OG_GAS_PRICE_UNHEDGED">"c2058"</definedName>
    <definedName name="IQ_OG_IMPROVED_RECOVERY_GAS">"c2044"</definedName>
    <definedName name="IQ_OG_IMPROVED_RECOVERY_NGL">"c2915"</definedName>
    <definedName name="IQ_OG_IMPROVED_RECOVERY_OIL">"c2032"</definedName>
    <definedName name="IQ_OG_LIQUID_GAS_PRICE_HEDGED">"c2233"</definedName>
    <definedName name="IQ_OG_LIQUID_GAS_PRICE_UNHEDGED">"c2234"</definedName>
    <definedName name="IQ_OG_NET_FUTURE_CASH_FLOWS">"c1996"</definedName>
    <definedName name="IQ_OG_NET_FUTURE_CASH_FLOWS_GAS">"c2016"</definedName>
    <definedName name="IQ_OG_NET_FUTURE_CASH_FLOWS_OIL">"c2006"</definedName>
    <definedName name="IQ_OG_OIL_PRICE_HEDGED">"c2055"</definedName>
    <definedName name="IQ_OG_OIL_PRICE_UNHEDGED">"c2057"</definedName>
    <definedName name="IQ_OG_OPEN_BALANCE_GAS">"c2041"</definedName>
    <definedName name="IQ_OG_OPEN_BALANCE_NGL">"c2912"</definedName>
    <definedName name="IQ_OG_OPEN_BALANCE_OIL">"c2029"</definedName>
    <definedName name="IQ_OG_OTHER_ADJ_FCF">"c1999"</definedName>
    <definedName name="IQ_OG_OTHER_ADJ_FCF_GAS">"c2019"</definedName>
    <definedName name="IQ_OG_OTHER_ADJ_FCF_OIL">"c2009"</definedName>
    <definedName name="IQ_OG_OTHER_ADJ_GAS">"c2048"</definedName>
    <definedName name="IQ_OG_OTHER_ADJ_NGL">"c2919"</definedName>
    <definedName name="IQ_OG_OTHER_ADJ_OIL">"c2036"</definedName>
    <definedName name="IQ_OG_OTHER_COSTS">"c1979"</definedName>
    <definedName name="IQ_OG_OTHER_COSTS_GAS">"c1991"</definedName>
    <definedName name="IQ_OG_OTHER_COSTS_OIL">"c1985"</definedName>
    <definedName name="IQ_OG_PRODUCTION_GAS">"c2047"</definedName>
    <definedName name="IQ_OG_PRODUCTION_NGL">"c2918"</definedName>
    <definedName name="IQ_OG_PRODUCTION_OIL">"c2035"</definedName>
    <definedName name="IQ_OG_PURCHASES_GAS">"c2045"</definedName>
    <definedName name="IQ_OG_PURCHASES_NGL">"c2916"</definedName>
    <definedName name="IQ_OG_PURCHASES_OIL">"c2033"</definedName>
    <definedName name="IQ_OG_REVISIONS_GAS">"c2042"</definedName>
    <definedName name="IQ_OG_REVISIONS_NGL">"c2913"</definedName>
    <definedName name="IQ_OG_REVISIONS_OIL">"c2030"</definedName>
    <definedName name="IQ_OG_SALES_IN_PLACE_GAS">"c2046"</definedName>
    <definedName name="IQ_OG_SALES_IN_PLACE_NGL">"c2917"</definedName>
    <definedName name="IQ_OG_SALES_IN_PLACE_OIL">"c2034"</definedName>
    <definedName name="IQ_OG_STANDARDIZED_DCF">"c2000"</definedName>
    <definedName name="IQ_OG_STANDARDIZED_DCF_GAS">"c2020"</definedName>
    <definedName name="IQ_OG_STANDARDIZED_DCF_HEDGED">"c2001"</definedName>
    <definedName name="IQ_OG_STANDARDIZED_DCF_HEDGED_GAS">"c2021"</definedName>
    <definedName name="IQ_OG_STANDARDIZED_DCF_HEDGED_OIL">"c2011"</definedName>
    <definedName name="IQ_OG_STANDARDIZED_DCF_OIL">"c2010"</definedName>
    <definedName name="IQ_OG_TAXES">"c2026"</definedName>
    <definedName name="IQ_OG_TAXES_GAS">"c2028"</definedName>
    <definedName name="IQ_OG_TAXES_OIL">"c2027"</definedName>
    <definedName name="IQ_OG_TOTAL_COSTS">"c1980"</definedName>
    <definedName name="IQ_OG_TOTAL_COSTS_GAS">"c1992"</definedName>
    <definedName name="IQ_OG_TOTAL_COSTS_OIL">"c1986"</definedName>
    <definedName name="IQ_OG_TOTAL_EST_PROVED_RESERVES_GAS">"c2052"</definedName>
    <definedName name="IQ_OG_TOTAL_GAS_PRODUCTION">"c2060"</definedName>
    <definedName name="IQ_OG_TOTAL_LIQUID_GAS_PRODUCTION">"c2235"</definedName>
    <definedName name="IQ_OG_TOTAL_OIL_PRODUCTION">"c2059"</definedName>
    <definedName name="IQ_OG_UNDEVELOPED_RESERVES_GAS">"c2051"</definedName>
    <definedName name="IQ_OG_UNDEVELOPED_RESERVES_NGL">"c2923"</definedName>
    <definedName name="IQ_OG_UNDEVELOPED_RESERVES_OIL">"c2039"</definedName>
    <definedName name="IQ_OIL_IMPAIR">"c840"</definedName>
    <definedName name="IQ_OL_COMM_AFTER_FIVE">"c841"</definedName>
    <definedName name="IQ_OL_COMM_CY">"c842"</definedName>
    <definedName name="IQ_OL_COMM_CY1">"c843"</definedName>
    <definedName name="IQ_OL_COMM_CY2">"c844"</definedName>
    <definedName name="IQ_OL_COMM_CY3">"c845"</definedName>
    <definedName name="IQ_OL_COMM_CY4">"c846"</definedName>
    <definedName name="IQ_OL_COMM_NEXT_FIVE">"c847"</definedName>
    <definedName name="IQ_OPEB_ACCRUED_LIAB">"c3308"</definedName>
    <definedName name="IQ_OPEB_ACCRUED_LIAB_DOM">"c3306"</definedName>
    <definedName name="IQ_OPEB_ACCRUED_LIAB_FOREIGN">"c3307"</definedName>
    <definedName name="IQ_OPEB_ACCUM_OTHER_CI">"c3314"</definedName>
    <definedName name="IQ_OPEB_ACCUM_OTHER_CI_DOM">"c3312"</definedName>
    <definedName name="IQ_OPEB_ACCUM_OTHER_CI_FOREIGN">"c3313"</definedName>
    <definedName name="IQ_OPEB_ASSETS">"c3356"</definedName>
    <definedName name="IQ_OPEB_ASSETS_ACQ">"c3347"</definedName>
    <definedName name="IQ_OPEB_ASSETS_ACQ_DOM">"c3345"</definedName>
    <definedName name="IQ_OPEB_ASSETS_ACQ_FOREIGN">"c3346"</definedName>
    <definedName name="IQ_OPEB_ASSETS_ACTUAL_RETURN">"c3332"</definedName>
    <definedName name="IQ_OPEB_ASSETS_ACTUAL_RETURN_DOM">"c3330"</definedName>
    <definedName name="IQ_OPEB_ASSETS_ACTUAL_RETURN_FOREIGN">"c3331"</definedName>
    <definedName name="IQ_OPEB_ASSETS_BEG">"c3329"</definedName>
    <definedName name="IQ_OPEB_ASSETS_BEG_DOM">"c3327"</definedName>
    <definedName name="IQ_OPEB_ASSETS_BEG_FOREIGN">"c3328"</definedName>
    <definedName name="IQ_OPEB_ASSETS_BENEFITS_PAID">"c3341"</definedName>
    <definedName name="IQ_OPEB_ASSETS_BENEFITS_PAID_DOM">"c3339"</definedName>
    <definedName name="IQ_OPEB_ASSETS_BENEFITS_PAID_FOREIGN">"c3340"</definedName>
    <definedName name="IQ_OPEB_ASSETS_CURTAIL">"c3350"</definedName>
    <definedName name="IQ_OPEB_ASSETS_CURTAIL_DOM">"c3348"</definedName>
    <definedName name="IQ_OPEB_ASSETS_CURTAIL_FOREIGN">"c3349"</definedName>
    <definedName name="IQ_OPEB_ASSETS_DOM">"c3354"</definedName>
    <definedName name="IQ_OPEB_ASSETS_EMPLOYER_CONTRIBUTIONS">"c3335"</definedName>
    <definedName name="IQ_OPEB_ASSETS_EMPLOYER_CONTRIBUTIONS_DOM">"c3333"</definedName>
    <definedName name="IQ_OPEB_ASSETS_EMPLOYER_CONTRIBUTIONS_FOREIGN">"c3334"</definedName>
    <definedName name="IQ_OPEB_ASSETS_FOREIGN">"c3355"</definedName>
    <definedName name="IQ_OPEB_ASSETS_FX_ADJ">"c3344"</definedName>
    <definedName name="IQ_OPEB_ASSETS_FX_ADJ_DOM">"c3342"</definedName>
    <definedName name="IQ_OPEB_ASSETS_FX_ADJ_FOREIGN">"c3343"</definedName>
    <definedName name="IQ_OPEB_ASSETS_OTHER_PLAN_ADJ">"c3353"</definedName>
    <definedName name="IQ_OPEB_ASSETS_OTHER_PLAN_ADJ_DOM">"c3351"</definedName>
    <definedName name="IQ_OPEB_ASSETS_OTHER_PLAN_ADJ_FOREIGN">"c3352"</definedName>
    <definedName name="IQ_OPEB_ASSETS_PARTICIP_CONTRIBUTIONS">"c3338"</definedName>
    <definedName name="IQ_OPEB_ASSETS_PARTICIP_CONTRIBUTIONS_DOM">"c3336"</definedName>
    <definedName name="IQ_OPEB_ASSETS_PARTICIP_CONTRIBUTIONS_FOREIGN">"c3337"</definedName>
    <definedName name="IQ_OPEB_BENEFIT_INFO_DATE">"c3410"</definedName>
    <definedName name="IQ_OPEB_BENEFIT_INFO_DATE_DOM">"c3408"</definedName>
    <definedName name="IQ_OPEB_BENEFIT_INFO_DATE_FOREIGN">"c3409"</definedName>
    <definedName name="IQ_OPEB_BREAKDOWN_EQ">"c3275"</definedName>
    <definedName name="IQ_OPEB_BREAKDOWN_EQ_DOM">"c3273"</definedName>
    <definedName name="IQ_OPEB_BREAKDOWN_EQ_FOREIGN">"c3274"</definedName>
    <definedName name="IQ_OPEB_BREAKDOWN_FI">"c3278"</definedName>
    <definedName name="IQ_OPEB_BREAKDOWN_FI_DOM">"c3276"</definedName>
    <definedName name="IQ_OPEB_BREAKDOWN_FI_FOREIGN">"c3277"</definedName>
    <definedName name="IQ_OPEB_BREAKDOWN_OTHER">"c3284"</definedName>
    <definedName name="IQ_OPEB_BREAKDOWN_OTHER_DOM">"c3282"</definedName>
    <definedName name="IQ_OPEB_BREAKDOWN_OTHER_FOREIGN">"c3283"</definedName>
    <definedName name="IQ_OPEB_BREAKDOWN_PCT_EQ">"c3263"</definedName>
    <definedName name="IQ_OPEB_BREAKDOWN_PCT_EQ_DOM">"c3261"</definedName>
    <definedName name="IQ_OPEB_BREAKDOWN_PCT_EQ_FOREIGN">"c3262"</definedName>
    <definedName name="IQ_OPEB_BREAKDOWN_PCT_FI">"c3266"</definedName>
    <definedName name="IQ_OPEB_BREAKDOWN_PCT_FI_DOM">"c3264"</definedName>
    <definedName name="IQ_OPEB_BREAKDOWN_PCT_FI_FOREIGN">"c3265"</definedName>
    <definedName name="IQ_OPEB_BREAKDOWN_PCT_OTHER">"c3272"</definedName>
    <definedName name="IQ_OPEB_BREAKDOWN_PCT_OTHER_DOM">"c3270"</definedName>
    <definedName name="IQ_OPEB_BREAKDOWN_PCT_OTHER_FOREIGN">"c3271"</definedName>
    <definedName name="IQ_OPEB_BREAKDOWN_PCT_RE">"c3269"</definedName>
    <definedName name="IQ_OPEB_BREAKDOWN_PCT_RE_DOM">"c3267"</definedName>
    <definedName name="IQ_OPEB_BREAKDOWN_PCT_RE_FOREIGN">"c3268"</definedName>
    <definedName name="IQ_OPEB_BREAKDOWN_RE">"c3281"</definedName>
    <definedName name="IQ_OPEB_BREAKDOWN_RE_DOM">"c3279"</definedName>
    <definedName name="IQ_OPEB_BREAKDOWN_RE_FOREIGN">"c3280"</definedName>
    <definedName name="IQ_OPEB_DECREASE_EFFECT_PBO">"c3458"</definedName>
    <definedName name="IQ_OPEB_DECREASE_EFFECT_PBO_DOM">"c3456"</definedName>
    <definedName name="IQ_OPEB_DECREASE_EFFECT_PBO_FOREIGN">"c3457"</definedName>
    <definedName name="IQ_OPEB_DECREASE_EFFECT_SERVICE_INT_COST">"c3455"</definedName>
    <definedName name="IQ_OPEB_DECREASE_EFFECT_SERVICE_INT_COST_DOM">"c3453"</definedName>
    <definedName name="IQ_OPEB_DECREASE_EFFECT_SERVICE_INT_COST_FOREIGN">"c3454"</definedName>
    <definedName name="IQ_OPEB_DISC_RATE_MAX">"c3422"</definedName>
    <definedName name="IQ_OPEB_DISC_RATE_MAX_DOM">"c3420"</definedName>
    <definedName name="IQ_OPEB_DISC_RATE_MAX_FOREIGN">"c3421"</definedName>
    <definedName name="IQ_OPEB_DISC_RATE_MIN">"c3419"</definedName>
    <definedName name="IQ_OPEB_DISC_RATE_MIN_DOM">"c3417"</definedName>
    <definedName name="IQ_OPEB_DISC_RATE_MIN_FOREIGN">"c3418"</definedName>
    <definedName name="IQ_OPEB_EST_BENEFIT_1YR">"c3287"</definedName>
    <definedName name="IQ_OPEB_EST_BENEFIT_1YR_DOM">"c3285"</definedName>
    <definedName name="IQ_OPEB_EST_BENEFIT_1YR_FOREIGN">"c3286"</definedName>
    <definedName name="IQ_OPEB_EST_BENEFIT_2YR">"c3290"</definedName>
    <definedName name="IQ_OPEB_EST_BENEFIT_2YR_DOM">"c3288"</definedName>
    <definedName name="IQ_OPEB_EST_BENEFIT_2YR_FOREIGN">"c3289"</definedName>
    <definedName name="IQ_OPEB_EST_BENEFIT_3YR">"c3293"</definedName>
    <definedName name="IQ_OPEB_EST_BENEFIT_3YR_DOM">"c3291"</definedName>
    <definedName name="IQ_OPEB_EST_BENEFIT_3YR_FOREIGN">"c3292"</definedName>
    <definedName name="IQ_OPEB_EST_BENEFIT_4YR">"c3296"</definedName>
    <definedName name="IQ_OPEB_EST_BENEFIT_4YR_DOM">"c3294"</definedName>
    <definedName name="IQ_OPEB_EST_BENEFIT_4YR_FOREIGN">"c3295"</definedName>
    <definedName name="IQ_OPEB_EST_BENEFIT_5YR">"c3299"</definedName>
    <definedName name="IQ_OPEB_EST_BENEFIT_5YR_DOM">"c3297"</definedName>
    <definedName name="IQ_OPEB_EST_BENEFIT_5YR_FOREIGN">"c3298"</definedName>
    <definedName name="IQ_OPEB_EST_BENEFIT_AFTER5">"c3302"</definedName>
    <definedName name="IQ_OPEB_EST_BENEFIT_AFTER5_DOM">"c3300"</definedName>
    <definedName name="IQ_OPEB_EST_BENEFIT_AFTER5_FOREIGN">"c3301"</definedName>
    <definedName name="IQ_OPEB_EXP_RATE_RETURN_MAX">"c3434"</definedName>
    <definedName name="IQ_OPEB_EXP_RATE_RETURN_MAX_DOM">"c3432"</definedName>
    <definedName name="IQ_OPEB_EXP_RATE_RETURN_MAX_FOREIGN">"c3433"</definedName>
    <definedName name="IQ_OPEB_EXP_RATE_RETURN_MIN">"c3431"</definedName>
    <definedName name="IQ_OPEB_EXP_RATE_RETURN_MIN_DOM">"c3429"</definedName>
    <definedName name="IQ_OPEB_EXP_RATE_RETURN_MIN_FOREIGN">"c3430"</definedName>
    <definedName name="IQ_OPEB_EXP_RETURN">"c3398"</definedName>
    <definedName name="IQ_OPEB_EXP_RETURN_DOM">"c3396"</definedName>
    <definedName name="IQ_OPEB_EXP_RETURN_FOREIGN">"c3397"</definedName>
    <definedName name="IQ_OPEB_HEALTH_COST_TREND_INITIAL">"c3413"</definedName>
    <definedName name="IQ_OPEB_HEALTH_COST_TREND_INITIAL_DOM">"c3411"</definedName>
    <definedName name="IQ_OPEB_HEALTH_COST_TREND_INITIAL_FOREIGN">"c3412"</definedName>
    <definedName name="IQ_OPEB_HEALTH_COST_TREND_ULTIMATE">"c3416"</definedName>
    <definedName name="IQ_OPEB_HEALTH_COST_TREND_ULTIMATE_DOM">"c3414"</definedName>
    <definedName name="IQ_OPEB_HEALTH_COST_TREND_ULTIMATE_FOREIGN">"c3415"</definedName>
    <definedName name="IQ_OPEB_INCREASE_EFFECT_PBO">"c3452"</definedName>
    <definedName name="IQ_OPEB_INCREASE_EFFECT_PBO_DOM">"c3450"</definedName>
    <definedName name="IQ_OPEB_INCREASE_EFFECT_PBO_FOREIGN">"c3451"</definedName>
    <definedName name="IQ_OPEB_INCREASE_EFFECT_SERVICE_INT_COST">"c3449"</definedName>
    <definedName name="IQ_OPEB_INCREASE_EFFECT_SERVICE_INT_COST_DOM">"c3447"</definedName>
    <definedName name="IQ_OPEB_INCREASE_EFFECT_SERVICE_INT_COST_FOREIGN">"c3448"</definedName>
    <definedName name="IQ_OPEB_INTAN_ASSETS">"c3311"</definedName>
    <definedName name="IQ_OPEB_INTAN_ASSETS_DOM">"c3309"</definedName>
    <definedName name="IQ_OPEB_INTAN_ASSETS_FOREIGN">"c3310"</definedName>
    <definedName name="IQ_OPEB_INTEREST_COST">"c3395"</definedName>
    <definedName name="IQ_OPEB_INTEREST_COST_DOM">"c3393"</definedName>
    <definedName name="IQ_OPEB_INTEREST_COST_FOREIGN">"c3394"</definedName>
    <definedName name="IQ_OPEB_NET_ASSET_RECOG">"c3326"</definedName>
    <definedName name="IQ_OPEB_NET_ASSET_RECOG_DOM">"c3324"</definedName>
    <definedName name="IQ_OPEB_NET_ASSET_RECOG_FOREIGN">"c3325"</definedName>
    <definedName name="IQ_OPEB_OBLIGATION_ACCUMULATED">"c3407"</definedName>
    <definedName name="IQ_OPEB_OBLIGATION_ACCUMULATED_DOM">"c3405"</definedName>
    <definedName name="IQ_OPEB_OBLIGATION_ACCUMULATED_FOREIGN">"c3406"</definedName>
    <definedName name="IQ_OPEB_OBLIGATION_ACQ">"c3380"</definedName>
    <definedName name="IQ_OPEB_OBLIGATION_ACQ_DOM">"c3378"</definedName>
    <definedName name="IQ_OPEB_OBLIGATION_ACQ_FOREIGN">"c3379"</definedName>
    <definedName name="IQ_OPEB_OBLIGATION_ACTUARIAL_GAIN_LOSS">"c3371"</definedName>
    <definedName name="IQ_OPEB_OBLIGATION_ACTUARIAL_GAIN_LOSS_DOM">"c3369"</definedName>
    <definedName name="IQ_OPEB_OBLIGATION_ACTUARIAL_GAIN_LOSS_FOREIGN">"c3370"</definedName>
    <definedName name="IQ_OPEB_OBLIGATION_BEG">"c3359"</definedName>
    <definedName name="IQ_OPEB_OBLIGATION_BEG_DOM">"c3357"</definedName>
    <definedName name="IQ_OPEB_OBLIGATION_BEG_FOREIGN">"c3358"</definedName>
    <definedName name="IQ_OPEB_OBLIGATION_CURTAIL">"c3383"</definedName>
    <definedName name="IQ_OPEB_OBLIGATION_CURTAIL_DOM">"c3381"</definedName>
    <definedName name="IQ_OPEB_OBLIGATION_CURTAIL_FOREIGN">"c3382"</definedName>
    <definedName name="IQ_OPEB_OBLIGATION_EMPLOYEE_CONTRIBUTIONS">"c3368"</definedName>
    <definedName name="IQ_OPEB_OBLIGATION_EMPLOYEE_CONTRIBUTIONS_DOM">"c3366"</definedName>
    <definedName name="IQ_OPEB_OBLIGATION_EMPLOYEE_CONTRIBUTIONS_FOREIGN">"c3367"</definedName>
    <definedName name="IQ_OPEB_OBLIGATION_FX_ADJ">"c3377"</definedName>
    <definedName name="IQ_OPEB_OBLIGATION_FX_ADJ_DOM">"c3375"</definedName>
    <definedName name="IQ_OPEB_OBLIGATION_FX_ADJ_FOREIGN">"c3376"</definedName>
    <definedName name="IQ_OPEB_OBLIGATION_INTEREST_COST">"c3365"</definedName>
    <definedName name="IQ_OPEB_OBLIGATION_INTEREST_COST_DOM">"c3363"</definedName>
    <definedName name="IQ_OPEB_OBLIGATION_INTEREST_COST_FOREIGN">"c3364"</definedName>
    <definedName name="IQ_OPEB_OBLIGATION_OTHER_PLAN_ADJ">"c3386"</definedName>
    <definedName name="IQ_OPEB_OBLIGATION_OTHER_PLAN_ADJ_DOM">"c3384"</definedName>
    <definedName name="IQ_OPEB_OBLIGATION_OTHER_PLAN_ADJ_FOREIGN">"c3385"</definedName>
    <definedName name="IQ_OPEB_OBLIGATION_PAID">"c3374"</definedName>
    <definedName name="IQ_OPEB_OBLIGATION_PAID_DOM">"c3372"</definedName>
    <definedName name="IQ_OPEB_OBLIGATION_PAID_FOREIGN">"c3373"</definedName>
    <definedName name="IQ_OPEB_OBLIGATION_PROJECTED">"c3389"</definedName>
    <definedName name="IQ_OPEB_OBLIGATION_PROJECTED_DOM">"c3387"</definedName>
    <definedName name="IQ_OPEB_OBLIGATION_PROJECTED_FOREIGN">"c3388"</definedName>
    <definedName name="IQ_OPEB_OBLIGATION_SERVICE_COST">"c3362"</definedName>
    <definedName name="IQ_OPEB_OBLIGATION_SERVICE_COST_DOM">"c3360"</definedName>
    <definedName name="IQ_OPEB_OBLIGATION_SERVICE_COST_FOREIGN">"c3361"</definedName>
    <definedName name="IQ_OPEB_OTHER">"c3317"</definedName>
    <definedName name="IQ_OPEB_OTHER_ADJ">"c3323"</definedName>
    <definedName name="IQ_OPEB_OTHER_ADJ_DOM">"c3321"</definedName>
    <definedName name="IQ_OPEB_OTHER_ADJ_FOREIGN">"c3322"</definedName>
    <definedName name="IQ_OPEB_OTHER_COST">"c3401"</definedName>
    <definedName name="IQ_OPEB_OTHER_COST_DOM">"c3399"</definedName>
    <definedName name="IQ_OPEB_OTHER_COST_FOREIGN">"c3400"</definedName>
    <definedName name="IQ_OPEB_OTHER_DOM">"c3315"</definedName>
    <definedName name="IQ_OPEB_OTHER_FOREIGN">"c3316"</definedName>
    <definedName name="IQ_OPEB_PBO_ASSUMED_RATE_RET_MAX">"c3440"</definedName>
    <definedName name="IQ_OPEB_PBO_ASSUMED_RATE_RET_MAX_DOM">"c3438"</definedName>
    <definedName name="IQ_OPEB_PBO_ASSUMED_RATE_RET_MAX_FOREIGN">"c3439"</definedName>
    <definedName name="IQ_OPEB_PBO_ASSUMED_RATE_RET_MIN">"c3437"</definedName>
    <definedName name="IQ_OPEB_PBO_ASSUMED_RATE_RET_MIN_DOM">"c3435"</definedName>
    <definedName name="IQ_OPEB_PBO_ASSUMED_RATE_RET_MIN_FOREIGN">"c3436"</definedName>
    <definedName name="IQ_OPEB_PBO_RATE_COMP_INCREASE_MAX">"c3446"</definedName>
    <definedName name="IQ_OPEB_PBO_RATE_COMP_INCREASE_MAX_DOM">"c3444"</definedName>
    <definedName name="IQ_OPEB_PBO_RATE_COMP_INCREASE_MAX_FOREIGN">"c3445"</definedName>
    <definedName name="IQ_OPEB_PBO_RATE_COMP_INCREASE_MIN">"c3443"</definedName>
    <definedName name="IQ_OPEB_PBO_RATE_COMP_INCREASE_MIN_DOM">"c3441"</definedName>
    <definedName name="IQ_OPEB_PBO_RATE_COMP_INCREASE_MIN_FOREIGN">"c3442"</definedName>
    <definedName name="IQ_OPEB_PREPAID_COST">"c3305"</definedName>
    <definedName name="IQ_OPEB_PREPAID_COST_DOM">"c3303"</definedName>
    <definedName name="IQ_OPEB_PREPAID_COST_FOREIGN">"c3304"</definedName>
    <definedName name="IQ_OPEB_RATE_COMP_INCREASE_MAX">"c3428"</definedName>
    <definedName name="IQ_OPEB_RATE_COMP_INCREASE_MAX_DOM">"c3426"</definedName>
    <definedName name="IQ_OPEB_RATE_COMP_INCREASE_MAX_FOREIGN">"c3427"</definedName>
    <definedName name="IQ_OPEB_RATE_COMP_INCREASE_MIN">"c3425"</definedName>
    <definedName name="IQ_OPEB_RATE_COMP_INCREASE_MIN_DOM">"c3423"</definedName>
    <definedName name="IQ_OPEB_RATE_COMP_INCREASE_MIN_FOREIGN">"c3424"</definedName>
    <definedName name="IQ_OPEB_SERVICE_COST">"c3392"</definedName>
    <definedName name="IQ_OPEB_SERVICE_COST_DOM">"c3390"</definedName>
    <definedName name="IQ_OPEB_SERVICE_COST_FOREIGN">"c3391"</definedName>
    <definedName name="IQ_OPEB_TOTAL_COST">"c3404"</definedName>
    <definedName name="IQ_OPEB_TOTAL_COST_DOM">"c3402"</definedName>
    <definedName name="IQ_OPEB_TOTAL_COST_FOREIGN">"c3403"</definedName>
    <definedName name="IQ_OPEB_UNRECOG_PRIOR">"c3320"</definedName>
    <definedName name="IQ_OPEB_UNRECOG_PRIOR_DOM">"c3318"</definedName>
    <definedName name="IQ_OPEB_UNRECOG_PRIOR_FOREIGN">"c3319"</definedName>
    <definedName name="IQ_OPENED55" hidden="1">1</definedName>
    <definedName name="IQ_OPENPRICE">"c848"</definedName>
    <definedName name="IQ_OPER_INC">"c849"</definedName>
    <definedName name="IQ_OPER_INC_BR">"c850"</definedName>
    <definedName name="IQ_OPER_INC_FIN">"c851"</definedName>
    <definedName name="IQ_OPER_INC_INS">"c852"</definedName>
    <definedName name="IQ_OPER_INC_MARGIN">"c1448"</definedName>
    <definedName name="IQ_OPER_INC_REIT">"c853"</definedName>
    <definedName name="IQ_OPER_INC_UTI">"c854"</definedName>
    <definedName name="IQ_OPERATIONS_EXP">"c855"</definedName>
    <definedName name="IQ_OPTIONS_BEG_OS">"c1572"</definedName>
    <definedName name="IQ_OPTIONS_CANCELLED">"c856"</definedName>
    <definedName name="IQ_OPTIONS_END_OS">"c1573"</definedName>
    <definedName name="IQ_OPTIONS_EXERCISED">"c2116"</definedName>
    <definedName name="IQ_OPTIONS_GRANTED">"c2673"</definedName>
    <definedName name="IQ_OPTIONS_ISSUED">"c857"</definedName>
    <definedName name="IQ_OPTIONS_STRIKE_PRICE_GRANTED">"c2678"</definedName>
    <definedName name="IQ_OPTIONS_STRIKE_PRICE_OS">"c2677"</definedName>
    <definedName name="IQ_ORDER_BACKLOG">"c2090"</definedName>
    <definedName name="IQ_OTHER_ADJUST_GROSS_LOANS">"c859"</definedName>
    <definedName name="IQ_OTHER_AMORT">"c5563"</definedName>
    <definedName name="IQ_OTHER_ASSETS">"c860"</definedName>
    <definedName name="IQ_OTHER_ASSETS_BNK">"c861"</definedName>
    <definedName name="IQ_OTHER_ASSETS_BR">"c862"</definedName>
    <definedName name="IQ_OTHER_ASSETS_FIN">"c863"</definedName>
    <definedName name="IQ_OTHER_ASSETS_INS">"c864"</definedName>
    <definedName name="IQ_OTHER_ASSETS_REIT">"c865"</definedName>
    <definedName name="IQ_OTHER_ASSETS_SERV_RIGHTS">"c2243"</definedName>
    <definedName name="IQ_OTHER_ASSETS_UTI">"c866"</definedName>
    <definedName name="IQ_OTHER_BEARING_LIAB">"c1608"</definedName>
    <definedName name="IQ_OTHER_BENEFITS_OBLIGATION">"c867"</definedName>
    <definedName name="IQ_OTHER_CA">"c868"</definedName>
    <definedName name="IQ_OTHER_CA_SUPPL">"c869"</definedName>
    <definedName name="IQ_OTHER_CA_SUPPL_BNK">"c870"</definedName>
    <definedName name="IQ_OTHER_CA_SUPPL_BR">"c871"</definedName>
    <definedName name="IQ_OTHER_CA_SUPPL_FIN">"c872"</definedName>
    <definedName name="IQ_OTHER_CA_SUPPL_INS">"c873"</definedName>
    <definedName name="IQ_OTHER_CA_SUPPL_REIT">"c874"</definedName>
    <definedName name="IQ_OTHER_CA_SUPPL_UTI">"c875"</definedName>
    <definedName name="IQ_OTHER_CA_UTI">"c876"</definedName>
    <definedName name="IQ_OTHER_CL">"c877"</definedName>
    <definedName name="IQ_OTHER_CL_SUPPL">"c878"</definedName>
    <definedName name="IQ_OTHER_CL_SUPPL_BNK">"c879"</definedName>
    <definedName name="IQ_OTHER_CL_SUPPL_BR">"c880"</definedName>
    <definedName name="IQ_OTHER_CL_SUPPL_FIN">"c881"</definedName>
    <definedName name="IQ_OTHER_CL_SUPPL_REIT">"c882"</definedName>
    <definedName name="IQ_OTHER_CL_SUPPL_UTI">"c883"</definedName>
    <definedName name="IQ_OTHER_CL_UTI">"c884"</definedName>
    <definedName name="IQ_OTHER_CURRENT_ASSETS">"c1403"</definedName>
    <definedName name="IQ_OTHER_CURRENT_LIAB">"c1404"</definedName>
    <definedName name="IQ_OTHER_DEBT">"c2507"</definedName>
    <definedName name="IQ_OTHER_DEBT_PCT">"c2508"</definedName>
    <definedName name="IQ_OTHER_DEP">"c885"</definedName>
    <definedName name="IQ_OTHER_EARNING">"c1609"</definedName>
    <definedName name="IQ_OTHER_EQUITY">"c886"</definedName>
    <definedName name="IQ_OTHER_EQUITY_BNK">"c887"</definedName>
    <definedName name="IQ_OTHER_EQUITY_BR">"c888"</definedName>
    <definedName name="IQ_OTHER_EQUITY_FIN">"c889"</definedName>
    <definedName name="IQ_OTHER_EQUITY_INS">"c890"</definedName>
    <definedName name="IQ_OTHER_EQUITY_REIT">"c891"</definedName>
    <definedName name="IQ_OTHER_EQUITY_UTI">"c892"</definedName>
    <definedName name="IQ_OTHER_FINANCE_ACT">"c893"</definedName>
    <definedName name="IQ_OTHER_FINANCE_ACT_BNK">"c894"</definedName>
    <definedName name="IQ_OTHER_FINANCE_ACT_BR">"c895"</definedName>
    <definedName name="IQ_OTHER_FINANCE_ACT_FIN">"c896"</definedName>
    <definedName name="IQ_OTHER_FINANCE_ACT_INS">"c897"</definedName>
    <definedName name="IQ_OTHER_FINANCE_ACT_REIT">"c898"</definedName>
    <definedName name="IQ_OTHER_FINANCE_ACT_SUPPL">"c899"</definedName>
    <definedName name="IQ_OTHER_FINANCE_ACT_SUPPL_BNK">"c900"</definedName>
    <definedName name="IQ_OTHER_FINANCE_ACT_SUPPL_BR">"c901"</definedName>
    <definedName name="IQ_OTHER_FINANCE_ACT_SUPPL_FIN">"c902"</definedName>
    <definedName name="IQ_OTHER_FINANCE_ACT_SUPPL_INS">"c903"</definedName>
    <definedName name="IQ_OTHER_FINANCE_ACT_SUPPL_REIT">"c904"</definedName>
    <definedName name="IQ_OTHER_FINANCE_ACT_SUPPL_UTI">"c905"</definedName>
    <definedName name="IQ_OTHER_FINANCE_ACT_UTI">"c906"</definedName>
    <definedName name="IQ_OTHER_INTAN">"c907"</definedName>
    <definedName name="IQ_OTHER_INTAN_BNK">"c908"</definedName>
    <definedName name="IQ_OTHER_INTAN_BR">"c909"</definedName>
    <definedName name="IQ_OTHER_INTAN_FIN">"c910"</definedName>
    <definedName name="IQ_OTHER_INTAN_INS">"c911"</definedName>
    <definedName name="IQ_OTHER_INTAN_REIT">"c912"</definedName>
    <definedName name="IQ_OTHER_INTAN_UTI">"c913"</definedName>
    <definedName name="IQ_OTHER_INV">"c914"</definedName>
    <definedName name="IQ_OTHER_INVEST">"c915"</definedName>
    <definedName name="IQ_OTHER_INVEST_ACT">"c916"</definedName>
    <definedName name="IQ_OTHER_INVEST_ACT_BNK">"c917"</definedName>
    <definedName name="IQ_OTHER_INVEST_ACT_BR">"c918"</definedName>
    <definedName name="IQ_OTHER_INVEST_ACT_FIN">"c919"</definedName>
    <definedName name="IQ_OTHER_INVEST_ACT_INS">"c920"</definedName>
    <definedName name="IQ_OTHER_INVEST_ACT_REIT">"c921"</definedName>
    <definedName name="IQ_OTHER_INVEST_ACT_SUPPL">"c922"</definedName>
    <definedName name="IQ_OTHER_INVEST_ACT_SUPPL_BNK">"c923"</definedName>
    <definedName name="IQ_OTHER_INVEST_ACT_SUPPL_BR">"c924"</definedName>
    <definedName name="IQ_OTHER_INVEST_ACT_SUPPL_FIN">"c925"</definedName>
    <definedName name="IQ_OTHER_INVEST_ACT_SUPPL_INS">"c926"</definedName>
    <definedName name="IQ_OTHER_INVEST_ACT_SUPPL_REIT">"c927"</definedName>
    <definedName name="IQ_OTHER_INVEST_ACT_SUPPL_UTI">"c928"</definedName>
    <definedName name="IQ_OTHER_INVEST_ACT_UTI">"c929"</definedName>
    <definedName name="IQ_OTHER_INVESTING">"c1408"</definedName>
    <definedName name="IQ_OTHER_LIAB">"c930"</definedName>
    <definedName name="IQ_OTHER_LIAB_BNK">"c931"</definedName>
    <definedName name="IQ_OTHER_LIAB_BR">"c932"</definedName>
    <definedName name="IQ_OTHER_LIAB_FIN">"c933"</definedName>
    <definedName name="IQ_OTHER_LIAB_INS">"c934"</definedName>
    <definedName name="IQ_OTHER_LIAB_LT">"c935"</definedName>
    <definedName name="IQ_OTHER_LIAB_LT_BNK">"c936"</definedName>
    <definedName name="IQ_OTHER_LIAB_LT_BR">"c937"</definedName>
    <definedName name="IQ_OTHER_LIAB_LT_FIN">"c938"</definedName>
    <definedName name="IQ_OTHER_LIAB_LT_INS">"c939"</definedName>
    <definedName name="IQ_OTHER_LIAB_LT_REIT">"c940"</definedName>
    <definedName name="IQ_OTHER_LIAB_LT_UTI">"c941"</definedName>
    <definedName name="IQ_OTHER_LIAB_REIT">"c942"</definedName>
    <definedName name="IQ_OTHER_LIAB_UTI">"c943"</definedName>
    <definedName name="IQ_OTHER_LIAB_WRITTEN">"c944"</definedName>
    <definedName name="IQ_OTHER_LOANS">"c945"</definedName>
    <definedName name="IQ_OTHER_LONG_TERM">"c1409"</definedName>
    <definedName name="IQ_OTHER_LT_ASSETS">"c946"</definedName>
    <definedName name="IQ_OTHER_LT_ASSETS_BNK">"c947"</definedName>
    <definedName name="IQ_OTHER_LT_ASSETS_BR">"c948"</definedName>
    <definedName name="IQ_OTHER_LT_ASSETS_FIN">"c949"</definedName>
    <definedName name="IQ_OTHER_LT_ASSETS_INS">"c950"</definedName>
    <definedName name="IQ_OTHER_LT_ASSETS_REIT">"c951"</definedName>
    <definedName name="IQ_OTHER_LT_ASSETS_UTI">"c952"</definedName>
    <definedName name="IQ_OTHER_NET">"c1453"</definedName>
    <definedName name="IQ_OTHER_NON_INT_EXP">"c953"</definedName>
    <definedName name="IQ_OTHER_NON_INT_EXP_TOTAL">"c954"</definedName>
    <definedName name="IQ_OTHER_NON_INT_INC">"c955"</definedName>
    <definedName name="IQ_OTHER_NON_OPER_EXP">"c956"</definedName>
    <definedName name="IQ_OTHER_NON_OPER_EXP_BR">"c957"</definedName>
    <definedName name="IQ_OTHER_NON_OPER_EXP_FIN">"c958"</definedName>
    <definedName name="IQ_OTHER_NON_OPER_EXP_INS">"c959"</definedName>
    <definedName name="IQ_OTHER_NON_OPER_EXP_REIT">"c960"</definedName>
    <definedName name="IQ_OTHER_NON_OPER_EXP_SUPPL">"c961"</definedName>
    <definedName name="IQ_OTHER_NON_OPER_EXP_SUPPL_BR">"c962"</definedName>
    <definedName name="IQ_OTHER_NON_OPER_EXP_SUPPL_FIN">"c963"</definedName>
    <definedName name="IQ_OTHER_NON_OPER_EXP_SUPPL_INS">"c964"</definedName>
    <definedName name="IQ_OTHER_NON_OPER_EXP_SUPPL_REIT">"c965"</definedName>
    <definedName name="IQ_OTHER_NON_OPER_EXP_SUPPL_UTI">"c966"</definedName>
    <definedName name="IQ_OTHER_NON_OPER_EXP_UTI">"c967"</definedName>
    <definedName name="IQ_OTHER_OPER">"c982"</definedName>
    <definedName name="IQ_OTHER_OPER_ACT">"c983"</definedName>
    <definedName name="IQ_OTHER_OPER_ACT_BNK">"c984"</definedName>
    <definedName name="IQ_OTHER_OPER_ACT_BR">"c985"</definedName>
    <definedName name="IQ_OTHER_OPER_ACT_FIN">"c986"</definedName>
    <definedName name="IQ_OTHER_OPER_ACT_INS">"c987"</definedName>
    <definedName name="IQ_OTHER_OPER_ACT_REIT">"c988"</definedName>
    <definedName name="IQ_OTHER_OPER_ACT_UTI">"c989"</definedName>
    <definedName name="IQ_OTHER_OPER_BR">"c990"</definedName>
    <definedName name="IQ_OTHER_OPER_FIN">"c991"</definedName>
    <definedName name="IQ_OTHER_OPER_INS">"c992"</definedName>
    <definedName name="IQ_OTHER_OPER_REIT">"c993"</definedName>
    <definedName name="IQ_OTHER_OPER_SUPPL_BR">"c994"</definedName>
    <definedName name="IQ_OTHER_OPER_SUPPL_FIN">"c995"</definedName>
    <definedName name="IQ_OTHER_OPER_SUPPL_INS">"c996"</definedName>
    <definedName name="IQ_OTHER_OPER_SUPPL_REIT">"c997"</definedName>
    <definedName name="IQ_OTHER_OPER_SUPPL_UTI">"c998"</definedName>
    <definedName name="IQ_OTHER_OPER_TOT_BNK">"c999"</definedName>
    <definedName name="IQ_OTHER_OPER_TOT_BR">"c1000"</definedName>
    <definedName name="IQ_OTHER_OPER_TOT_FIN">"c1001"</definedName>
    <definedName name="IQ_OTHER_OPER_TOT_INS">"c1002"</definedName>
    <definedName name="IQ_OTHER_OPER_TOT_REIT">"c1003"</definedName>
    <definedName name="IQ_OTHER_OPER_TOT_UTI">"c1004"</definedName>
    <definedName name="IQ_OTHER_OPER_UTI">"c1005"</definedName>
    <definedName name="IQ_OTHER_OPTIONS_BEG_OS">"c2686"</definedName>
    <definedName name="IQ_OTHER_OPTIONS_CANCELLED">"c2689"</definedName>
    <definedName name="IQ_OTHER_OPTIONS_END_OS">"c2690"</definedName>
    <definedName name="IQ_OTHER_OPTIONS_EXERCISED">"c2688"</definedName>
    <definedName name="IQ_OTHER_OPTIONS_GRANTED">"c2687"</definedName>
    <definedName name="IQ_OTHER_OPTIONS_STRIKE_PRICE_OS">"c2691"</definedName>
    <definedName name="IQ_OTHER_OUTSTANDING_BS_DATE">"c1972"</definedName>
    <definedName name="IQ_OTHER_OUTSTANDING_FILING_DATE">"c1974"</definedName>
    <definedName name="IQ_OTHER_PC_WRITTEN">"c1006"</definedName>
    <definedName name="IQ_OTHER_REAL_ESTATE">"c1007"</definedName>
    <definedName name="IQ_OTHER_RECEIV">"c1008"</definedName>
    <definedName name="IQ_OTHER_RECEIV_INS">"c1009"</definedName>
    <definedName name="IQ_OTHER_REV">"c1010"</definedName>
    <definedName name="IQ_OTHER_REV_BR">"c1011"</definedName>
    <definedName name="IQ_OTHER_REV_FIN">"c1012"</definedName>
    <definedName name="IQ_OTHER_REV_INS">"c1013"</definedName>
    <definedName name="IQ_OTHER_REV_REIT">"c1014"</definedName>
    <definedName name="IQ_OTHER_REV_SUPPL">"c1015"</definedName>
    <definedName name="IQ_OTHER_REV_SUPPL_BR">"c1016"</definedName>
    <definedName name="IQ_OTHER_REV_SUPPL_FIN">"c1017"</definedName>
    <definedName name="IQ_OTHER_REV_SUPPL_INS">"c1018"</definedName>
    <definedName name="IQ_OTHER_REV_SUPPL_REIT">"c1019"</definedName>
    <definedName name="IQ_OTHER_REV_SUPPL_UTI">"c1020"</definedName>
    <definedName name="IQ_OTHER_REV_UTI">"c1021"</definedName>
    <definedName name="IQ_OTHER_REVENUE">"c1410"</definedName>
    <definedName name="IQ_OTHER_STRIKE_PRICE_GRANTED">"c2692"</definedName>
    <definedName name="IQ_OTHER_UNDRAWN">"c2522"</definedName>
    <definedName name="IQ_OTHER_UNUSUAL">"c1488"</definedName>
    <definedName name="IQ_OTHER_UNUSUAL_BNK">"c1560"</definedName>
    <definedName name="IQ_OTHER_UNUSUAL_BR">"c1561"</definedName>
    <definedName name="IQ_OTHER_UNUSUAL_FIN">"c1562"</definedName>
    <definedName name="IQ_OTHER_UNUSUAL_INS">"c1563"</definedName>
    <definedName name="IQ_OTHER_UNUSUAL_REIT">"c1564"</definedName>
    <definedName name="IQ_OTHER_UNUSUAL_SUPPL">"c1494"</definedName>
    <definedName name="IQ_OTHER_UNUSUAL_SUPPL_BNK">"c1495"</definedName>
    <definedName name="IQ_OTHER_UNUSUAL_SUPPL_BR">"c1496"</definedName>
    <definedName name="IQ_OTHER_UNUSUAL_SUPPL_FIN">"c1497"</definedName>
    <definedName name="IQ_OTHER_UNUSUAL_SUPPL_INS">"c1498"</definedName>
    <definedName name="IQ_OTHER_UNUSUAL_SUPPL_REIT">"c1499"</definedName>
    <definedName name="IQ_OTHER_UNUSUAL_SUPPL_UTI">"c1500"</definedName>
    <definedName name="IQ_OTHER_UNUSUAL_UTI">"c1565"</definedName>
    <definedName name="IQ_OTHER_WARRANTS_BEG_OS">"c2712"</definedName>
    <definedName name="IQ_OTHER_WARRANTS_CANCELLED">"c2715"</definedName>
    <definedName name="IQ_OTHER_WARRANTS_END_OS">"c2716"</definedName>
    <definedName name="IQ_OTHER_WARRANTS_EXERCISED">"c2714"</definedName>
    <definedName name="IQ_OTHER_WARRANTS_ISSUED">"c2713"</definedName>
    <definedName name="IQ_OTHER_WARRANTS_STRIKE_PRICE_ISSUED">"c2718"</definedName>
    <definedName name="IQ_OTHER_WARRANTS_STRIKE_PRICE_OS">"c2717"</definedName>
    <definedName name="IQ_OUTSTANDING_BS_DATE">"c2128"</definedName>
    <definedName name="IQ_OUTSTANDING_FILING_DATE">"c1023"</definedName>
    <definedName name="IQ_OWNERSHIP">"c2160"</definedName>
    <definedName name="IQ_PART_TIME">"c1024"</definedName>
    <definedName name="IQ_PAY_ACCRUED">"c1457"</definedName>
    <definedName name="IQ_PAYOUT_RATIO">"c1900"</definedName>
    <definedName name="IQ_PBV">"c1025"</definedName>
    <definedName name="IQ_PBV_AVG">"c1026"</definedName>
    <definedName name="IQ_PC_EARNED">"c2749"</definedName>
    <definedName name="IQ_PC_GAAP_COMBINED_RATIO">"c2781"</definedName>
    <definedName name="IQ_PC_GAAP_COMBINED_RATIO_EXCL_CL">"c2782"</definedName>
    <definedName name="IQ_PC_GAAP_EXPENSE_RATIO">"c2780"</definedName>
    <definedName name="IQ_PC_GAAP_LOSS">"c2779"</definedName>
    <definedName name="IQ_PC_POLICY_BENEFITS_EXP">"c2790"</definedName>
    <definedName name="IQ_PC_STAT_COMBINED_RATIO">"c2778"</definedName>
    <definedName name="IQ_PC_STAT_COMBINED_RATIO_EXCL_DIV">"c2777"</definedName>
    <definedName name="IQ_PC_STAT_DIVIDEND_RATIO">"c2776"</definedName>
    <definedName name="IQ_PC_STAT_EXPENSE_RATIO">"c2775"</definedName>
    <definedName name="IQ_PC_STAT_LOSS_RATIO">"c2774"</definedName>
    <definedName name="IQ_PC_STATUTORY_SURPLUS">"c2770"</definedName>
    <definedName name="IQ_PC_WRITTEN">"c1027"</definedName>
    <definedName name="IQ_PE_EXCL">"c1028"</definedName>
    <definedName name="IQ_PE_EXCL_AVG">"c1029"</definedName>
    <definedName name="IQ_PE_EXCL_FWD">"c1030"</definedName>
    <definedName name="IQ_PE_EXCL_FWD_REUT">"c4049"</definedName>
    <definedName name="IQ_PE_NORMALIZED">"c2207"</definedName>
    <definedName name="IQ_PE_RATIO">"c1610"</definedName>
    <definedName name="IQ_PEG_FWD">"c1863"</definedName>
    <definedName name="IQ_PEG_FWD_REUT">"c4052"</definedName>
    <definedName name="IQ_PENSION">"c1031"</definedName>
    <definedName name="IQ_PENSION_ACCRUED_LIAB">"c3134"</definedName>
    <definedName name="IQ_PENSION_ACCRUED_LIAB_DOM">"c3132"</definedName>
    <definedName name="IQ_PENSION_ACCRUED_LIAB_FOREIGN">"c3133"</definedName>
    <definedName name="IQ_PENSION_ACCUM_OTHER_CI">"c3140"</definedName>
    <definedName name="IQ_PENSION_ACCUM_OTHER_CI_DOM">"c3138"</definedName>
    <definedName name="IQ_PENSION_ACCUM_OTHER_CI_FOREIGN">"c3139"</definedName>
    <definedName name="IQ_PENSION_ACCUMULATED_OBLIGATION">"c3570"</definedName>
    <definedName name="IQ_PENSION_ACCUMULATED_OBLIGATION_DOMESTIC">"c3568"</definedName>
    <definedName name="IQ_PENSION_ACCUMULATED_OBLIGATION_FOREIGN">"c3569"</definedName>
    <definedName name="IQ_PENSION_ASSETS">"c3182"</definedName>
    <definedName name="IQ_PENSION_ASSETS_ACQ">"c3173"</definedName>
    <definedName name="IQ_PENSION_ASSETS_ACQ_DOM">"c3171"</definedName>
    <definedName name="IQ_PENSION_ASSETS_ACQ_FOREIGN">"c3172"</definedName>
    <definedName name="IQ_PENSION_ASSETS_ACTUAL_RETURN">"c3158"</definedName>
    <definedName name="IQ_PENSION_ASSETS_ACTUAL_RETURN_DOM">"c3156"</definedName>
    <definedName name="IQ_PENSION_ASSETS_ACTUAL_RETURN_FOREIGN">"c3157"</definedName>
    <definedName name="IQ_PENSION_ASSETS_BEG">"c3155"</definedName>
    <definedName name="IQ_PENSION_ASSETS_BEG_DOM">"c3153"</definedName>
    <definedName name="IQ_PENSION_ASSETS_BEG_FOREIGN">"c3154"</definedName>
    <definedName name="IQ_PENSION_ASSETS_BENEFITS_PAID">"c3167"</definedName>
    <definedName name="IQ_PENSION_ASSETS_BENEFITS_PAID_DOM">"c3165"</definedName>
    <definedName name="IQ_PENSION_ASSETS_BENEFITS_PAID_FOREIGN">"c3166"</definedName>
    <definedName name="IQ_PENSION_ASSETS_CURTAIL">"c3176"</definedName>
    <definedName name="IQ_PENSION_ASSETS_CURTAIL_DOM">"c3174"</definedName>
    <definedName name="IQ_PENSION_ASSETS_CURTAIL_FOREIGN">"c3175"</definedName>
    <definedName name="IQ_PENSION_ASSETS_DOM">"c3180"</definedName>
    <definedName name="IQ_PENSION_ASSETS_EMPLOYER_CONTRIBUTIONS">"c3161"</definedName>
    <definedName name="IQ_PENSION_ASSETS_EMPLOYER_CONTRIBUTIONS_DOM">"c3159"</definedName>
    <definedName name="IQ_PENSION_ASSETS_EMPLOYER_CONTRIBUTIONS_FOREIGN">"c3160"</definedName>
    <definedName name="IQ_PENSION_ASSETS_FOREIGN">"c3181"</definedName>
    <definedName name="IQ_PENSION_ASSETS_FX_ADJ">"c3170"</definedName>
    <definedName name="IQ_PENSION_ASSETS_FX_ADJ_DOM">"c3168"</definedName>
    <definedName name="IQ_PENSION_ASSETS_FX_ADJ_FOREIGN">"c3169"</definedName>
    <definedName name="IQ_PENSION_ASSETS_OTHER_PLAN_ADJ">"c3179"</definedName>
    <definedName name="IQ_PENSION_ASSETS_OTHER_PLAN_ADJ_DOM">"c3177"</definedName>
    <definedName name="IQ_PENSION_ASSETS_OTHER_PLAN_ADJ_FOREIGN">"c3178"</definedName>
    <definedName name="IQ_PENSION_ASSETS_PARTICIP_CONTRIBUTIONS">"c3164"</definedName>
    <definedName name="IQ_PENSION_ASSETS_PARTICIP_CONTRIBUTIONS_DOM">"c3162"</definedName>
    <definedName name="IQ_PENSION_ASSETS_PARTICIP_CONTRIBUTIONS_FOREIGN">"c3163"</definedName>
    <definedName name="IQ_PENSION_BENEFIT_INFO_DATE">"c3230"</definedName>
    <definedName name="IQ_PENSION_BENEFIT_INFO_DATE_DOM">"c3228"</definedName>
    <definedName name="IQ_PENSION_BENEFIT_INFO_DATE_FOREIGN">"c3229"</definedName>
    <definedName name="IQ_PENSION_BREAKDOWN_EQ">"c3101"</definedName>
    <definedName name="IQ_PENSION_BREAKDOWN_EQ_DOM">"c3099"</definedName>
    <definedName name="IQ_PENSION_BREAKDOWN_EQ_FOREIGN">"c3100"</definedName>
    <definedName name="IQ_PENSION_BREAKDOWN_FI">"c3104"</definedName>
    <definedName name="IQ_PENSION_BREAKDOWN_FI_DOM">"c3102"</definedName>
    <definedName name="IQ_PENSION_BREAKDOWN_FI_FOREIGN">"c3103"</definedName>
    <definedName name="IQ_PENSION_BREAKDOWN_OTHER">"c3110"</definedName>
    <definedName name="IQ_PENSION_BREAKDOWN_OTHER_DOM">"c3108"</definedName>
    <definedName name="IQ_PENSION_BREAKDOWN_OTHER_FOREIGN">"c3109"</definedName>
    <definedName name="IQ_PENSION_BREAKDOWN_PCT_EQ">"c3089"</definedName>
    <definedName name="IQ_PENSION_BREAKDOWN_PCT_EQ_DOM">"c3087"</definedName>
    <definedName name="IQ_PENSION_BREAKDOWN_PCT_EQ_FOREIGN">"c3088"</definedName>
    <definedName name="IQ_PENSION_BREAKDOWN_PCT_FI">"c3092"</definedName>
    <definedName name="IQ_PENSION_BREAKDOWN_PCT_FI_DOM">"c3090"</definedName>
    <definedName name="IQ_PENSION_BREAKDOWN_PCT_FI_FOREIGN">"c3091"</definedName>
    <definedName name="IQ_PENSION_BREAKDOWN_PCT_OTHER">"c3098"</definedName>
    <definedName name="IQ_PENSION_BREAKDOWN_PCT_OTHER_DOM">"c3096"</definedName>
    <definedName name="IQ_PENSION_BREAKDOWN_PCT_OTHER_FOREIGN">"c3097"</definedName>
    <definedName name="IQ_PENSION_BREAKDOWN_PCT_RE">"c3095"</definedName>
    <definedName name="IQ_PENSION_BREAKDOWN_PCT_RE_DOM">"c3093"</definedName>
    <definedName name="IQ_PENSION_BREAKDOWN_PCT_RE_FOREIGN">"c3094"</definedName>
    <definedName name="IQ_PENSION_BREAKDOWN_RE">"c3107"</definedName>
    <definedName name="IQ_PENSION_BREAKDOWN_RE_DOM">"c3105"</definedName>
    <definedName name="IQ_PENSION_BREAKDOWN_RE_FOREIGN">"c3106"</definedName>
    <definedName name="IQ_PENSION_CONTRIBUTION_TOTAL_COST">"c3559"</definedName>
    <definedName name="IQ_PENSION_DISC_RATE_MAX">"c3236"</definedName>
    <definedName name="IQ_PENSION_DISC_RATE_MAX_DOM">"c3234"</definedName>
    <definedName name="IQ_PENSION_DISC_RATE_MAX_FOREIGN">"c3235"</definedName>
    <definedName name="IQ_PENSION_DISC_RATE_MIN">"c3233"</definedName>
    <definedName name="IQ_PENSION_DISC_RATE_MIN_DOM">"c3231"</definedName>
    <definedName name="IQ_PENSION_DISC_RATE_MIN_FOREIGN">"c3232"</definedName>
    <definedName name="IQ_PENSION_DISCOUNT_RATE_DOMESTIC">"c3573"</definedName>
    <definedName name="IQ_PENSION_DISCOUNT_RATE_FOREIGN">"c3574"</definedName>
    <definedName name="IQ_PENSION_EST_BENEFIT_1YR">"c3113"</definedName>
    <definedName name="IQ_PENSION_EST_BENEFIT_1YR_DOM">"c3111"</definedName>
    <definedName name="IQ_PENSION_EST_BENEFIT_1YR_FOREIGN">"c3112"</definedName>
    <definedName name="IQ_PENSION_EST_BENEFIT_2YR">"c3116"</definedName>
    <definedName name="IQ_PENSION_EST_BENEFIT_2YR_DOM">"c3114"</definedName>
    <definedName name="IQ_PENSION_EST_BENEFIT_2YR_FOREIGN">"c3115"</definedName>
    <definedName name="IQ_PENSION_EST_BENEFIT_3YR">"c3119"</definedName>
    <definedName name="IQ_PENSION_EST_BENEFIT_3YR_DOM">"c3117"</definedName>
    <definedName name="IQ_PENSION_EST_BENEFIT_3YR_FOREIGN">"c3118"</definedName>
    <definedName name="IQ_PENSION_EST_BENEFIT_4YR">"c3122"</definedName>
    <definedName name="IQ_PENSION_EST_BENEFIT_4YR_DOM">"c3120"</definedName>
    <definedName name="IQ_PENSION_EST_BENEFIT_4YR_FOREIGN">"c3121"</definedName>
    <definedName name="IQ_PENSION_EST_BENEFIT_5YR">"c3125"</definedName>
    <definedName name="IQ_PENSION_EST_BENEFIT_5YR_DOM">"c3123"</definedName>
    <definedName name="IQ_PENSION_EST_BENEFIT_5YR_FOREIGN">"c3124"</definedName>
    <definedName name="IQ_PENSION_EST_BENEFIT_AFTER5">"c3128"</definedName>
    <definedName name="IQ_PENSION_EST_BENEFIT_AFTER5_DOM">"c3126"</definedName>
    <definedName name="IQ_PENSION_EST_BENEFIT_AFTER5_FOREIGN">"c3127"</definedName>
    <definedName name="IQ_PENSION_EST_CONTRIBUTIONS_NEXTYR">"c3218"</definedName>
    <definedName name="IQ_PENSION_EST_CONTRIBUTIONS_NEXTYR_DOM">"c3216"</definedName>
    <definedName name="IQ_PENSION_EST_CONTRIBUTIONS_NEXTYR_FOREIGN">"c3217"</definedName>
    <definedName name="IQ_PENSION_EXP_RATE_RETURN_MAX">"c3248"</definedName>
    <definedName name="IQ_PENSION_EXP_RATE_RETURN_MAX_DOM">"c3246"</definedName>
    <definedName name="IQ_PENSION_EXP_RATE_RETURN_MAX_FOREIGN">"c3247"</definedName>
    <definedName name="IQ_PENSION_EXP_RATE_RETURN_MIN">"c3245"</definedName>
    <definedName name="IQ_PENSION_EXP_RATE_RETURN_MIN_DOM">"c3243"</definedName>
    <definedName name="IQ_PENSION_EXP_RATE_RETURN_MIN_FOREIGN">"c3244"</definedName>
    <definedName name="IQ_PENSION_EXP_RETURN_DOMESTIC">"c3571"</definedName>
    <definedName name="IQ_PENSION_EXP_RETURN_FOREIGN">"c3572"</definedName>
    <definedName name="IQ_PENSION_INTAN_ASSETS">"c3137"</definedName>
    <definedName name="IQ_PENSION_INTAN_ASSETS_DOM">"c3135"</definedName>
    <definedName name="IQ_PENSION_INTAN_ASSETS_FOREIGN">"c3136"</definedName>
    <definedName name="IQ_PENSION_INTEREST_COST">"c3582"</definedName>
    <definedName name="IQ_PENSION_INTEREST_COST_DOM">"c3580"</definedName>
    <definedName name="IQ_PENSION_INTEREST_COST_FOREIGN">"c3581"</definedName>
    <definedName name="IQ_PENSION_NET_ASSET_RECOG">"c3152"</definedName>
    <definedName name="IQ_PENSION_NET_ASSET_RECOG_DOM">"c3150"</definedName>
    <definedName name="IQ_PENSION_NET_ASSET_RECOG_FOREIGN">"c3151"</definedName>
    <definedName name="IQ_PENSION_OBLIGATION_ACQ">"c3206"</definedName>
    <definedName name="IQ_PENSION_OBLIGATION_ACQ_DOM">"c3204"</definedName>
    <definedName name="IQ_PENSION_OBLIGATION_ACQ_FOREIGN">"c3205"</definedName>
    <definedName name="IQ_PENSION_OBLIGATION_ACTUARIAL_GAIN_LOSS">"c3197"</definedName>
    <definedName name="IQ_PENSION_OBLIGATION_ACTUARIAL_GAIN_LOSS_DOM">"c3195"</definedName>
    <definedName name="IQ_PENSION_OBLIGATION_ACTUARIAL_GAIN_LOSS_FOREIGN">"c3196"</definedName>
    <definedName name="IQ_PENSION_OBLIGATION_BEG">"c3185"</definedName>
    <definedName name="IQ_PENSION_OBLIGATION_BEG_DOM">"c3183"</definedName>
    <definedName name="IQ_PENSION_OBLIGATION_BEG_FOREIGN">"c3184"</definedName>
    <definedName name="IQ_PENSION_OBLIGATION_CURTAIL">"c3209"</definedName>
    <definedName name="IQ_PENSION_OBLIGATION_CURTAIL_DOM">"c3207"</definedName>
    <definedName name="IQ_PENSION_OBLIGATION_CURTAIL_FOREIGN">"c3208"</definedName>
    <definedName name="IQ_PENSION_OBLIGATION_EMPLOYEE_CONTRIBUTIONS">"c3194"</definedName>
    <definedName name="IQ_PENSION_OBLIGATION_EMPLOYEE_CONTRIBUTIONS_DOM">"c3192"</definedName>
    <definedName name="IQ_PENSION_OBLIGATION_EMPLOYEE_CONTRIBUTIONS_FOREIGN">"c3193"</definedName>
    <definedName name="IQ_PENSION_OBLIGATION_FX_ADJ">"c3203"</definedName>
    <definedName name="IQ_PENSION_OBLIGATION_FX_ADJ_DOM">"c3201"</definedName>
    <definedName name="IQ_PENSION_OBLIGATION_FX_ADJ_FOREIGN">"c3202"</definedName>
    <definedName name="IQ_PENSION_OBLIGATION_INTEREST_COST">"c3191"</definedName>
    <definedName name="IQ_PENSION_OBLIGATION_INTEREST_COST_DOM">"c3189"</definedName>
    <definedName name="IQ_PENSION_OBLIGATION_INTEREST_COST_FOREIGN">"c3190"</definedName>
    <definedName name="IQ_PENSION_OBLIGATION_OTHER_COST">"c3555"</definedName>
    <definedName name="IQ_PENSION_OBLIGATION_OTHER_COST_DOM">"c3553"</definedName>
    <definedName name="IQ_PENSION_OBLIGATION_OTHER_COST_FOREIGN">"c3554"</definedName>
    <definedName name="IQ_PENSION_OBLIGATION_OTHER_PLAN_ADJ">"c3212"</definedName>
    <definedName name="IQ_PENSION_OBLIGATION_OTHER_PLAN_ADJ_DOM">"c3210"</definedName>
    <definedName name="IQ_PENSION_OBLIGATION_OTHER_PLAN_ADJ_FOREIGN">"c3211"</definedName>
    <definedName name="IQ_PENSION_OBLIGATION_PAID">"c3200"</definedName>
    <definedName name="IQ_PENSION_OBLIGATION_PAID_DOM">"c3198"</definedName>
    <definedName name="IQ_PENSION_OBLIGATION_PAID_FOREIGN">"c3199"</definedName>
    <definedName name="IQ_PENSION_OBLIGATION_PROJECTED">"c3215"</definedName>
    <definedName name="IQ_PENSION_OBLIGATION_PROJECTED_DOM">"c3213"</definedName>
    <definedName name="IQ_PENSION_OBLIGATION_PROJECTED_FOREIGN">"c3214"</definedName>
    <definedName name="IQ_PENSION_OBLIGATION_ROA">"c3552"</definedName>
    <definedName name="IQ_PENSION_OBLIGATION_ROA_DOM">"c3550"</definedName>
    <definedName name="IQ_PENSION_OBLIGATION_ROA_FOREIGN">"c3551"</definedName>
    <definedName name="IQ_PENSION_OBLIGATION_SERVICE_COST">"c3188"</definedName>
    <definedName name="IQ_PENSION_OBLIGATION_SERVICE_COST_DOM">"c3186"</definedName>
    <definedName name="IQ_PENSION_OBLIGATION_SERVICE_COST_FOREIGN">"c3187"</definedName>
    <definedName name="IQ_PENSION_OBLIGATION_TOTAL_COST">"c3558"</definedName>
    <definedName name="IQ_PENSION_OBLIGATION_TOTAL_COST_DOM">"c3556"</definedName>
    <definedName name="IQ_PENSION_OBLIGATION_TOTAL_COST_FOREIGN">"c3557"</definedName>
    <definedName name="IQ_PENSION_OTHER">"c3143"</definedName>
    <definedName name="IQ_PENSION_OTHER_ADJ">"c3149"</definedName>
    <definedName name="IQ_PENSION_OTHER_ADJ_DOM">"c3147"</definedName>
    <definedName name="IQ_PENSION_OTHER_ADJ_FOREIGN">"c3148"</definedName>
    <definedName name="IQ_PENSION_OTHER_DOM">"c3141"</definedName>
    <definedName name="IQ_PENSION_OTHER_FOREIGN">"c3142"</definedName>
    <definedName name="IQ_PENSION_PBO_ASSUMED_RATE_RET_MAX">"c3254"</definedName>
    <definedName name="IQ_PENSION_PBO_ASSUMED_RATE_RET_MAX_DOM">"c3252"</definedName>
    <definedName name="IQ_PENSION_PBO_ASSUMED_RATE_RET_MAX_FOREIGN">"c3253"</definedName>
    <definedName name="IQ_PENSION_PBO_ASSUMED_RATE_RET_MIN">"c3251"</definedName>
    <definedName name="IQ_PENSION_PBO_ASSUMED_RATE_RET_MIN_DOM">"c3249"</definedName>
    <definedName name="IQ_PENSION_PBO_ASSUMED_RATE_RET_MIN_FOREIGN">"c3250"</definedName>
    <definedName name="IQ_PENSION_PBO_RATE_COMP_INCREASE_MAX">"c3260"</definedName>
    <definedName name="IQ_PENSION_PBO_RATE_COMP_INCREASE_MAX_DOM">"c3258"</definedName>
    <definedName name="IQ_PENSION_PBO_RATE_COMP_INCREASE_MAX_FOREIGN">"c3259"</definedName>
    <definedName name="IQ_PENSION_PBO_RATE_COMP_INCREASE_MIN">"c3257"</definedName>
    <definedName name="IQ_PENSION_PBO_RATE_COMP_INCREASE_MIN_DOM">"c3255"</definedName>
    <definedName name="IQ_PENSION_PBO_RATE_COMP_INCREASE_MIN_FOREIGN">"c3256"</definedName>
    <definedName name="IQ_PENSION_PREPAID_COST">"c3131"</definedName>
    <definedName name="IQ_PENSION_PREPAID_COST_DOM">"c3129"</definedName>
    <definedName name="IQ_PENSION_PREPAID_COST_FOREIGN">"c3130"</definedName>
    <definedName name="IQ_PENSION_PROJECTED_OBLIGATION">"c3566"</definedName>
    <definedName name="IQ_PENSION_PROJECTED_OBLIGATION_DOMESTIC">"c3564"</definedName>
    <definedName name="IQ_PENSION_PROJECTED_OBLIGATION_FOREIGN">"c3565"</definedName>
    <definedName name="IQ_PENSION_QUART_ADDL_CONTRIBUTIONS_EXP">"c3224"</definedName>
    <definedName name="IQ_PENSION_QUART_ADDL_CONTRIBUTIONS_EXP_DOM">"c3222"</definedName>
    <definedName name="IQ_PENSION_QUART_ADDL_CONTRIBUTIONS_EXP_FOREIGN">"c3223"</definedName>
    <definedName name="IQ_PENSION_QUART_EMPLOYER_CONTRIBUTIONS">"c3221"</definedName>
    <definedName name="IQ_PENSION_QUART_EMPLOYER_CONTRIBUTIONS_DOM">"c3219"</definedName>
    <definedName name="IQ_PENSION_QUART_EMPLOYER_CONTRIBUTIONS_FOREIGN">"c3220"</definedName>
    <definedName name="IQ_PENSION_RATE_COMP_GROWTH_DOMESTIC">"c3575"</definedName>
    <definedName name="IQ_PENSION_RATE_COMP_GROWTH_FOREIGN">"c3576"</definedName>
    <definedName name="IQ_PENSION_RATE_COMP_INCREASE_MAX">"c3242"</definedName>
    <definedName name="IQ_PENSION_RATE_COMP_INCREASE_MAX_DOM">"c3240"</definedName>
    <definedName name="IQ_PENSION_RATE_COMP_INCREASE_MAX_FOREIGN">"c3241"</definedName>
    <definedName name="IQ_PENSION_RATE_COMP_INCREASE_MIN">"c3239"</definedName>
    <definedName name="IQ_PENSION_RATE_COMP_INCREASE_MIN_DOM">"c3237"</definedName>
    <definedName name="IQ_PENSION_RATE_COMP_INCREASE_MIN_FOREIGN">"c3238"</definedName>
    <definedName name="IQ_PENSION_SERVICE_COST">"c3579"</definedName>
    <definedName name="IQ_PENSION_SERVICE_COST_DOM">"c3577"</definedName>
    <definedName name="IQ_PENSION_SERVICE_COST_FOREIGN">"c3578"</definedName>
    <definedName name="IQ_PENSION_TOTAL_ASSETS">"c3563"</definedName>
    <definedName name="IQ_PENSION_TOTAL_ASSETS_DOMESTIC">"c3561"</definedName>
    <definedName name="IQ_PENSION_TOTAL_ASSETS_FOREIGN">"c3562"</definedName>
    <definedName name="IQ_PENSION_TOTAL_EXP">"c3560"</definedName>
    <definedName name="IQ_PENSION_UNFUNDED_ADDL_MIN_LIAB">"c3227"</definedName>
    <definedName name="IQ_PENSION_UNFUNDED_ADDL_MIN_LIAB_DOM">"c3225"</definedName>
    <definedName name="IQ_PENSION_UNFUNDED_ADDL_MIN_LIAB_FOREIGN">"c3226"</definedName>
    <definedName name="IQ_PENSION_UNRECOG_PRIOR">"c3146"</definedName>
    <definedName name="IQ_PENSION_UNRECOG_PRIOR_DOM">"c3144"</definedName>
    <definedName name="IQ_PENSION_UNRECOG_PRIOR_FOREIGN">"c3145"</definedName>
    <definedName name="IQ_PENSION_UV_LIAB">"c3567"</definedName>
    <definedName name="IQ_PERIODDATE">"c1414"</definedName>
    <definedName name="IQ_PERIODDATE_BS">"c1032"</definedName>
    <definedName name="IQ_PERIODDATE_CF">"c1033"</definedName>
    <definedName name="IQ_PERIODDATE_IS">"c1034"</definedName>
    <definedName name="IQ_PERIODLENGTH_CF">"c1502"</definedName>
    <definedName name="IQ_PERIODLENGTH_IS">"c1503"</definedName>
    <definedName name="IQ_PERTYPE">"c1611"</definedName>
    <definedName name="IQ_PLL">"c2114"</definedName>
    <definedName name="IQ_PMT_FREQ">"c2236"</definedName>
    <definedName name="IQ_POISON_PUT_EFFECT_DATE">"c2486"</definedName>
    <definedName name="IQ_POISON_PUT_EXPIRATION_DATE">"c2487"</definedName>
    <definedName name="IQ_POISON_PUT_PRICE">"c2488"</definedName>
    <definedName name="IQ_POLICY_BENEFITS">"c1036"</definedName>
    <definedName name="IQ_POLICY_COST">"c1037"</definedName>
    <definedName name="IQ_POLICY_LIAB">"c1612"</definedName>
    <definedName name="IQ_POLICY_LOANS">"c1038"</definedName>
    <definedName name="IQ_POST_RETIRE_EXP">"c1039"</definedName>
    <definedName name="IQ_POSTPAID_CHURN">"c2121"</definedName>
    <definedName name="IQ_POSTPAID_SUBS">"c2118"</definedName>
    <definedName name="IQ_PRE_OPEN_COST">"c1040"</definedName>
    <definedName name="IQ_PREF_CONVERT">"c1041"</definedName>
    <definedName name="IQ_PREF_DIV_CF">"c1042"</definedName>
    <definedName name="IQ_PREF_DIV_OTHER">"c1043"</definedName>
    <definedName name="IQ_PREF_DIVID">"c1461"</definedName>
    <definedName name="IQ_PREF_EQUITY">"c1044"</definedName>
    <definedName name="IQ_PREF_ISSUED">"c1045"</definedName>
    <definedName name="IQ_PREF_ISSUED_BNK">"c1046"</definedName>
    <definedName name="IQ_PREF_ISSUED_BR">"c1047"</definedName>
    <definedName name="IQ_PREF_ISSUED_FIN">"c1048"</definedName>
    <definedName name="IQ_PREF_ISSUED_INS">"c1049"</definedName>
    <definedName name="IQ_PREF_ISSUED_REIT">"c1050"</definedName>
    <definedName name="IQ_PREF_ISSUED_UTI">"c1051"</definedName>
    <definedName name="IQ_PREF_NON_REDEEM">"c1052"</definedName>
    <definedName name="IQ_PREF_OTHER">"c1053"</definedName>
    <definedName name="IQ_PREF_OTHER_BNK">"c1054"</definedName>
    <definedName name="IQ_PREF_OTHER_BR">"c1055"</definedName>
    <definedName name="IQ_PREF_OTHER_FIN">"c1056"</definedName>
    <definedName name="IQ_PREF_OTHER_INS">"c1057"</definedName>
    <definedName name="IQ_PREF_OTHER_REIT">"c1058"</definedName>
    <definedName name="IQ_PREF_REDEEM">"c1059"</definedName>
    <definedName name="IQ_PREF_REP">"c1060"</definedName>
    <definedName name="IQ_PREF_REP_BNK">"c1061"</definedName>
    <definedName name="IQ_PREF_REP_BR">"c1062"</definedName>
    <definedName name="IQ_PREF_REP_FIN">"c1063"</definedName>
    <definedName name="IQ_PREF_REP_INS">"c1064"</definedName>
    <definedName name="IQ_PREF_REP_REIT">"c1065"</definedName>
    <definedName name="IQ_PREF_REP_UTI">"c1066"</definedName>
    <definedName name="IQ_PREF_STOCK">"c1416"</definedName>
    <definedName name="IQ_PREF_TOT">"c1415"</definedName>
    <definedName name="IQ_PREMIUMS_ANNUITY_REV">"c1067"</definedName>
    <definedName name="IQ_PREPAID_CHURN">"c2120"</definedName>
    <definedName name="IQ_PREPAID_EXP">"c1068"</definedName>
    <definedName name="IQ_PREPAID_EXPEN">"c1418"</definedName>
    <definedName name="IQ_PREPAID_SUBS">"c2117"</definedName>
    <definedName name="IQ_PRICE_OVER_BVPS">"c1412"</definedName>
    <definedName name="IQ_PRICE_OVER_LTM_EPS">"c1413"</definedName>
    <definedName name="IQ_PRICE_TARGET">"c82"</definedName>
    <definedName name="IQ_PRICE_TARGET_REUT">"c3631"</definedName>
    <definedName name="IQ_PRICEDATE">"c1069"</definedName>
    <definedName name="IQ_PRICING_DATE">"c1613"</definedName>
    <definedName name="IQ_PRIMARY_INDUSTRY">"c1070"</definedName>
    <definedName name="IQ_PRINCIPAL_AMT">"c2157"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O_FORMA_BASIC_EPS">"c1614"</definedName>
    <definedName name="IQ_PRO_FORMA_DILUT_EPS">"c1615"</definedName>
    <definedName name="IQ_PRO_FORMA_NET_INC">"c1452"</definedName>
    <definedName name="IQ_PROFESSIONAL">"c1071"</definedName>
    <definedName name="IQ_PROFESSIONAL_TITLE">"c1072"</definedName>
    <definedName name="IQ_PROJECTED_PENSION_OBLIGATION">"c1292"</definedName>
    <definedName name="IQ_PROJECTED_PENSION_OBLIGATION_DOMESTIC">"c2656"</definedName>
    <definedName name="IQ_PROJECTED_PENSION_OBLIGATION_FOREIGN">"c2664"</definedName>
    <definedName name="IQ_PROPERTY_EXP">"c1073"</definedName>
    <definedName name="IQ_PROPERTY_GROSS">"c1379"</definedName>
    <definedName name="IQ_PROPERTY_MGMT_FEE">"c1074"</definedName>
    <definedName name="IQ_PROPERTY_NET">"c1402"</definedName>
    <definedName name="IQ_PROV_BAD_DEBTS">"c1075"</definedName>
    <definedName name="IQ_PROV_BAD_DEBTS_CF">"c1076"</definedName>
    <definedName name="IQ_PROVISION_10YR_ANN_GROWTH">"c1077"</definedName>
    <definedName name="IQ_PROVISION_1YR_ANN_GROWTH">"c1078"</definedName>
    <definedName name="IQ_PROVISION_2YR_ANN_GROWTH">"c1079"</definedName>
    <definedName name="IQ_PROVISION_3YR_ANN_GROWTH">"c1080"</definedName>
    <definedName name="IQ_PROVISION_5YR_ANN_GROWTH">"c1081"</definedName>
    <definedName name="IQ_PROVISION_7YR_ANN_GROWTH">"c1082"</definedName>
    <definedName name="IQ_PROVISION_CHARGE_OFFS">"c1083"</definedName>
    <definedName name="IQ_PTBV">"c1084"</definedName>
    <definedName name="IQ_PTBV_AVG">"c1085"</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"c2483"</definedName>
    <definedName name="IQ_PUT_NOTIFICATION">"c2485"</definedName>
    <definedName name="IQ_PUT_PRICE_SCHEDULE">"c2484"</definedName>
    <definedName name="IQ_QUICK_RATIO">"c1086"</definedName>
    <definedName name="IQ_RATE_COMP_GROWTH_DOMESTIC">"c1087"</definedName>
    <definedName name="IQ_RATE_COMP_GROWTH_FOREIGN">"c1088"</definedName>
    <definedName name="IQ_RAW_INV">"c1089"</definedName>
    <definedName name="IQ_RC">"c2497"</definedName>
    <definedName name="IQ_RC_PCT">"c2498"</definedName>
    <definedName name="IQ_RD_EXP">"c1090"</definedName>
    <definedName name="IQ_RD_EXP_FN">"c1091"</definedName>
    <definedName name="IQ_RE">"c1092"</definedName>
    <definedName name="IQ_REAL_ESTATE">"c1093"</definedName>
    <definedName name="IQ_REAL_ESTATE_ASSETS">"c1094"</definedName>
    <definedName name="IQ_RECURRING_PROFIT_ACT_OR_EST">"c4507"</definedName>
    <definedName name="IQ_RECURRING_PROFIT_SHARE_ACT_OR_EST">"c4508"</definedName>
    <definedName name="IQ_REDEEM_PREF_STOCK">"c1417"</definedName>
    <definedName name="IQ_REG_ASSETS">"c1095"</definedName>
    <definedName name="IQ_REINSUR_PAY">"c1096"</definedName>
    <definedName name="IQ_REINSUR_PAY_CF">"c1097"</definedName>
    <definedName name="IQ_REINSUR_RECOVER">"c1098"</definedName>
    <definedName name="IQ_REINSUR_RECOVER_CF">"c1099"</definedName>
    <definedName name="IQ_REINSURANCE">"c1100"</definedName>
    <definedName name="IQ_RENTAL_REV">"c1101"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"c1419"</definedName>
    <definedName name="IQ_RESIDENTIAL_LOANS">"c1102"</definedName>
    <definedName name="IQ_RESTATEMENT_BS">"c1643"</definedName>
    <definedName name="IQ_RESTATEMENT_CF">"c1644"</definedName>
    <definedName name="IQ_RESTATEMENT_IS">"c1642"</definedName>
    <definedName name="IQ_RESTR_STOCK_COMP">"c3506"</definedName>
    <definedName name="IQ_RESTR_STOCK_COMP_PRETAX">"c3504"</definedName>
    <definedName name="IQ_RESTR_STOCK_COMP_TAX">"c3505"</definedName>
    <definedName name="IQ_RESTRICTED_CASH">"c1103"</definedName>
    <definedName name="IQ_RESTRUCTURE">"c1104"</definedName>
    <definedName name="IQ_RESTRUCTURE_BNK">"c1105"</definedName>
    <definedName name="IQ_RESTRUCTURE_BR">"c1106"</definedName>
    <definedName name="IQ_RESTRUCTURE_CF">"c1107"</definedName>
    <definedName name="IQ_RESTRUCTURE_FIN">"c1108"</definedName>
    <definedName name="IQ_RESTRUCTURE_INS">"c1109"</definedName>
    <definedName name="IQ_RESTRUCTURE_REIT">"c1110"</definedName>
    <definedName name="IQ_RESTRUCTURE_UTI">"c1111"</definedName>
    <definedName name="IQ_RESTRUCTURED_LOANS">"c1112"</definedName>
    <definedName name="IQ_RETAIL_ACQUIRED_FRANCHISE_STORES" localSheetId="20">"c2895"</definedName>
    <definedName name="IQ_RETAIL_ACQUIRED_FRANCHISE_STORES">"c2903"</definedName>
    <definedName name="IQ_RETAIL_ACQUIRED_OWNED_STORES" localSheetId="20">"c2903"</definedName>
    <definedName name="IQ_RETAIL_ACQUIRED_OWNED_STORES">"c2895"</definedName>
    <definedName name="IQ_RETAIL_ACQUIRED_STORES">"c2887"</definedName>
    <definedName name="IQ_RETAIL_AVG_STORE_SIZE_GROSS">"c2066"</definedName>
    <definedName name="IQ_RETAIL_AVG_STORE_SIZE_NET">"c2067"</definedName>
    <definedName name="IQ_RETAIL_AVG_WK_SALES">"c2891"</definedName>
    <definedName name="IQ_RETAIL_AVG_WK_SALES_FRANCHISE">"c2899"</definedName>
    <definedName name="IQ_RETAIL_AVG_WK_SALES_OWNED">"c2907"</definedName>
    <definedName name="IQ_RETAIL_CLOSED_FRANCHISE_STORES">"c2896"</definedName>
    <definedName name="IQ_RETAIL_CLOSED_OWNED_STORES">"c2904"</definedName>
    <definedName name="IQ_RETAIL_CLOSED_STORES">"c2063"</definedName>
    <definedName name="IQ_RETAIL_FRANCHISE_STORES_BEG">"c2893"</definedName>
    <definedName name="IQ_RETAIL_OPENED_FRANCHISE_STORES">"c2894"</definedName>
    <definedName name="IQ_RETAIL_OPENED_OWNED_STORES">"c2902"</definedName>
    <definedName name="IQ_RETAIL_OPENED_STORES">"c2062"</definedName>
    <definedName name="IQ_RETAIL_OWNED_STORES_BEG">"c2901"</definedName>
    <definedName name="IQ_RETAIL_SALES_SQFT_ALL_GROSS">"c2138"</definedName>
    <definedName name="IQ_RETAIL_SALES_SQFT_ALL_NET">"c2139"</definedName>
    <definedName name="IQ_RETAIL_SALES_SQFT_COMPARABLE_GROSS">"c2136"</definedName>
    <definedName name="IQ_RETAIL_SALES_SQFT_COMPARABLE_NET">"c2137"</definedName>
    <definedName name="IQ_RETAIL_SALES_SQFT_OWNED_GROSS">"c2134"</definedName>
    <definedName name="IQ_RETAIL_SALES_SQFT_OWNED_NET">"c2135"</definedName>
    <definedName name="IQ_RETAIL_SOLD_FRANCHISE_STORES">"c2897"</definedName>
    <definedName name="IQ_RETAIL_SOLD_OWNED_STORES">"c2905"</definedName>
    <definedName name="IQ_RETAIL_SOLD_STORES">"c2889"</definedName>
    <definedName name="IQ_RETAIL_SQ_FOOTAGE">"c2064"</definedName>
    <definedName name="IQ_RETAIL_STORE_SELLING_AREA">"c2065"</definedName>
    <definedName name="IQ_RETAIL_STORES_BEG">"c2885"</definedName>
    <definedName name="IQ_RETAIL_TOTAL_FRANCHISE_STORES">"c2898"</definedName>
    <definedName name="IQ_RETAIL_TOTAL_OWNED_STORES">"c2906"</definedName>
    <definedName name="IQ_RETAIL_TOTAL_STORES">"c2061"</definedName>
    <definedName name="IQ_RETAINED_EARN">"c1420"</definedName>
    <definedName name="IQ_RETURN_ASSETS">"c1113"</definedName>
    <definedName name="IQ_RETURN_ASSETS_BANK">"c1114"</definedName>
    <definedName name="IQ_RETURN_ASSETS_BROK">"c1115"</definedName>
    <definedName name="IQ_RETURN_ASSETS_FS">"c1116"</definedName>
    <definedName name="IQ_RETURN_CAPITAL">"c1117"</definedName>
    <definedName name="IQ_RETURN_EQUITY">"c1118"</definedName>
    <definedName name="IQ_RETURN_EQUITY_BANK">"c1119"</definedName>
    <definedName name="IQ_RETURN_EQUITY_BROK">"c1120"</definedName>
    <definedName name="IQ_RETURN_EQUITY_FS">"c1121"</definedName>
    <definedName name="IQ_RETURN_INVESTMENT">"c1421"</definedName>
    <definedName name="IQ_REV">"c1122"</definedName>
    <definedName name="IQ_REV_BEFORE_LL">"c1123"</definedName>
    <definedName name="IQ_REV_STDDEV_EST">"c1124"</definedName>
    <definedName name="IQ_REV_STDDEV_EST_REUT">"c3639"</definedName>
    <definedName name="IQ_REV_UTI">"c1125"</definedName>
    <definedName name="IQ_REVENUE">"c1422"</definedName>
    <definedName name="IQ_REVENUE_ACT_OR_EST">"c2214"</definedName>
    <definedName name="IQ_REVENUE_EST">"c1126"</definedName>
    <definedName name="IQ_REVENUE_EST_REUT">"c3634"</definedName>
    <definedName name="IQ_REVENUE_HIGH_EST">"c1127"</definedName>
    <definedName name="IQ_REVENUE_HIGH_EST_REUT">"c3636"</definedName>
    <definedName name="IQ_REVENUE_LOW_EST">"c1128"</definedName>
    <definedName name="IQ_REVENUE_LOW_EST_REUT">"c3637"</definedName>
    <definedName name="IQ_REVENUE_MEDIAN_EST">"c1662"</definedName>
    <definedName name="IQ_REVENUE_MEDIAN_EST_REUT">"c3635"</definedName>
    <definedName name="IQ_REVENUE_NUM_EST">"c1129"</definedName>
    <definedName name="IQ_REVENUE_NUM_EST_REUT">"c3638"</definedName>
    <definedName name="IQ_REVISION_DATE_" localSheetId="20">39489.6256597222</definedName>
    <definedName name="IQ_REVISION_DATE_">39244.4711574074</definedName>
    <definedName name="IQ_RISK_ADJ_BANK_ASSETS">"c2670"</definedName>
    <definedName name="IQ_SALARY">"c1130"</definedName>
    <definedName name="IQ_SALE_INTAN_CF">"c1131"</definedName>
    <definedName name="IQ_SALE_INTAN_CF_BNK">"c1132"</definedName>
    <definedName name="IQ_SALE_INTAN_CF_BR">"c1133"</definedName>
    <definedName name="IQ_SALE_INTAN_CF_FIN">"c1134"</definedName>
    <definedName name="IQ_SALE_INTAN_CF_INS">"c1135"</definedName>
    <definedName name="IQ_SALE_INTAN_CF_REIT">"c1627"</definedName>
    <definedName name="IQ_SALE_INTAN_CF_UTI">"c1136"</definedName>
    <definedName name="IQ_SALE_PPE_CF">"c1137"</definedName>
    <definedName name="IQ_SALE_PPE_CF_BNK">"c1138"</definedName>
    <definedName name="IQ_SALE_PPE_CF_BR">"c1139"</definedName>
    <definedName name="IQ_SALE_PPE_CF_FIN">"c1140"</definedName>
    <definedName name="IQ_SALE_PPE_CF_INS">"c1141"</definedName>
    <definedName name="IQ_SALE_PPE_CF_UTI">"c1142"</definedName>
    <definedName name="IQ_SALE_RE_ASSETS">"c1629"</definedName>
    <definedName name="IQ_SALE_REAL_ESTATE_CF">"c1143"</definedName>
    <definedName name="IQ_SALE_REAL_ESTATE_CF_BNK">"c1144"</definedName>
    <definedName name="IQ_SALE_REAL_ESTATE_CF_BR">"c1145"</definedName>
    <definedName name="IQ_SALE_REAL_ESTATE_CF_FIN">"c1146"</definedName>
    <definedName name="IQ_SALE_REAL_ESTATE_CF_INS">"c1147"</definedName>
    <definedName name="IQ_SALE_REAL_ESTATE_CF_UTI">"c1148"</definedName>
    <definedName name="IQ_SALES_MARKETING">"c2240"</definedName>
    <definedName name="IQ_SAME_STORE">"c1149"</definedName>
    <definedName name="IQ_SAME_STORE_FRANCHISE">"c2900"</definedName>
    <definedName name="IQ_SAME_STORE_OWNED">"c2908"</definedName>
    <definedName name="IQ_SAME_STORE_TOTAL">"c2892"</definedName>
    <definedName name="IQ_SAVING_DEP">"c1150"</definedName>
    <definedName name="IQ_SEC_PURCHASED_RESELL">"c5513"</definedName>
    <definedName name="IQ_SECUR_RECEIV">"c1151"</definedName>
    <definedName name="IQ_SECURED_DEBT">"c2546"</definedName>
    <definedName name="IQ_SECURED_DEBT_PCT">"c2547"</definedName>
    <definedName name="IQ_SECURITY_BORROW">"c1152"</definedName>
    <definedName name="IQ_SECURITY_LEVEL">"c2159"</definedName>
    <definedName name="IQ_SECURITY_NOTES">"c2202"</definedName>
    <definedName name="IQ_SECURITY_OWN">"c1153"</definedName>
    <definedName name="IQ_SECURITY_RESELL">"c1154"</definedName>
    <definedName name="IQ_SECURITY_TYPE">"c2158"</definedName>
    <definedName name="IQ_SEPARATE_ACCT_ASSETS">"c1155"</definedName>
    <definedName name="IQ_SEPARATE_ACCT_LIAB">"c1156"</definedName>
    <definedName name="IQ_SERV_CHARGE_DEPOSITS">"c1157"</definedName>
    <definedName name="IQ_SGA">"c1158"</definedName>
    <definedName name="IQ_SGA_BNK">"c1159"</definedName>
    <definedName name="IQ_SGA_INS">"c1160"</definedName>
    <definedName name="IQ_SGA_MARGIN">"c1898"</definedName>
    <definedName name="IQ_SGA_REIT">"c1161"</definedName>
    <definedName name="IQ_SGA_SUPPL">"c1162"</definedName>
    <definedName name="IQ_SGA_UTI">"c1163"</definedName>
    <definedName name="IQ_SHAREOUTSTANDING">"c1347"</definedName>
    <definedName name="IQ_SHARESOUTSTANDING">"c1164"</definedName>
    <definedName name="IQ_SHORT_INTEREST">"c1165"</definedName>
    <definedName name="IQ_SHORT_INTEREST_OVER_FLOAT">"c1577"</definedName>
    <definedName name="IQ_SHORT_INTEREST_PERCENT">"c1576"</definedName>
    <definedName name="IQ_SHORT_TERM_INVEST">"c1425"</definedName>
    <definedName name="IQ_SMALL_INT_BEAR_CD">"c1166"</definedName>
    <definedName name="IQ_SOFTWARE">"c1167"</definedName>
    <definedName name="IQ_SOURCE">"c1168"</definedName>
    <definedName name="IQ_SP">"c2171"</definedName>
    <definedName name="IQ_SP_BANK">"c2637"</definedName>
    <definedName name="IQ_SP_BANK_ACTION">"c2636"</definedName>
    <definedName name="IQ_SP_BANK_DATE">"c2635"</definedName>
    <definedName name="IQ_SP_DATE">"c2172"</definedName>
    <definedName name="IQ_SP_FIN_ENHANCE_FX">"c2631"</definedName>
    <definedName name="IQ_SP_FIN_ENHANCE_FX_ACTION">"c2630"</definedName>
    <definedName name="IQ_SP_FIN_ENHANCE_FX_DATE">"c2629"</definedName>
    <definedName name="IQ_SP_FIN_ENHANCE_LC">"c2634"</definedName>
    <definedName name="IQ_SP_FIN_ENHANCE_LC_ACTION">"c2633"</definedName>
    <definedName name="IQ_SP_FIN_ENHANCE_LC_DATE">"c2632"</definedName>
    <definedName name="IQ_SP_FIN_STRENGTH_LC_ACTION_LT">"c2625"</definedName>
    <definedName name="IQ_SP_FIN_STRENGTH_LC_ACTION_ST">"c2626"</definedName>
    <definedName name="IQ_SP_FIN_STRENGTH_LC_DATE_LT">"c2623"</definedName>
    <definedName name="IQ_SP_FIN_STRENGTH_LC_DATE_ST">"c2624"</definedName>
    <definedName name="IQ_SP_FIN_STRENGTH_LC_LT">"c2627"</definedName>
    <definedName name="IQ_SP_FIN_STRENGTH_LC_ST">"c2628"</definedName>
    <definedName name="IQ_SP_FX_ACTION_LT">"c2613"</definedName>
    <definedName name="IQ_SP_FX_ACTION_ST">"c2614"</definedName>
    <definedName name="IQ_SP_FX_DATE_LT">"c2611"</definedName>
    <definedName name="IQ_SP_FX_DATE_ST">"c2612"</definedName>
    <definedName name="IQ_SP_FX_LT">"c2615"</definedName>
    <definedName name="IQ_SP_FX_ST">"c2616"</definedName>
    <definedName name="IQ_SP_ISSUE_ACTION">"c2644"</definedName>
    <definedName name="IQ_SP_ISSUE_DATE">"c2643"</definedName>
    <definedName name="IQ_SP_ISSUE_LT">"c2645"</definedName>
    <definedName name="IQ_SP_ISSUE_OUTLOOK_WATCH">"c2650"</definedName>
    <definedName name="IQ_SP_ISSUE_OUTLOOK_WATCH_DATE">"c2649"</definedName>
    <definedName name="IQ_SP_ISSUE_RECOVER">"c2648"</definedName>
    <definedName name="IQ_SP_ISSUE_RECOVER_ACTION">"c2647"</definedName>
    <definedName name="IQ_SP_ISSUE_RECOVER_DATE">"c2646"</definedName>
    <definedName name="IQ_SP_LC_ACTION_LT">"c2619"</definedName>
    <definedName name="IQ_SP_LC_ACTION_ST">"c2620"</definedName>
    <definedName name="IQ_SP_LC_DATE_LT">"c2617"</definedName>
    <definedName name="IQ_SP_LC_DATE_ST">"c2618"</definedName>
    <definedName name="IQ_SP_LC_LT">"c2621"</definedName>
    <definedName name="IQ_SP_LC_ST">"c2622"</definedName>
    <definedName name="IQ_SP_OUTLOOK_WATCH">"c2639"</definedName>
    <definedName name="IQ_SP_OUTLOOK_WATCH_DATE">"c2638"</definedName>
    <definedName name="IQ_SP_REASON">"c2174"</definedName>
    <definedName name="IQ_SP_STATUS">"c2173"</definedName>
    <definedName name="IQ_SPECIAL_DIV_CF">"c1169"</definedName>
    <definedName name="IQ_SPECIAL_DIV_CF_BNK">"c1170"</definedName>
    <definedName name="IQ_SPECIAL_DIV_CF_BR">"c1171"</definedName>
    <definedName name="IQ_SPECIAL_DIV_CF_FIN">"c1172"</definedName>
    <definedName name="IQ_SPECIAL_DIV_CF_INS">"c1173"</definedName>
    <definedName name="IQ_SPECIAL_DIV_CF_REIT">"c1174"</definedName>
    <definedName name="IQ_SPECIAL_DIV_CF_UTI">"c1175"</definedName>
    <definedName name="IQ_SPECIAL_DIV_SHARE">"c3007"</definedName>
    <definedName name="IQ_SR_BONDS_NOTES">"c2501"</definedName>
    <definedName name="IQ_SR_BONDS_NOTES_PCT">"c2502"</definedName>
    <definedName name="IQ_SR_DEBT">"c2526"</definedName>
    <definedName name="IQ_SR_DEBT_EBITDA">"c2552"</definedName>
    <definedName name="IQ_SR_DEBT_EBITDA_CAPEX">"c2553"</definedName>
    <definedName name="IQ_SR_DEBT_PCT">"c2527"</definedName>
    <definedName name="IQ_SR_SUB_DEBT">"c2530"</definedName>
    <definedName name="IQ_SR_SUB_DEBT_EBITDA">"c2556"</definedName>
    <definedName name="IQ_SR_SUB_DEBT_EBITDA_CAPEX">"c2557"</definedName>
    <definedName name="IQ_SR_SUB_DEBT_PCT">"c2531"</definedName>
    <definedName name="IQ_ST_DEBT">"c1176"</definedName>
    <definedName name="IQ_ST_DEBT_BNK">"c1177"</definedName>
    <definedName name="IQ_ST_DEBT_BR">"c1178"</definedName>
    <definedName name="IQ_ST_DEBT_FIN">"c1179"</definedName>
    <definedName name="IQ_ST_DEBT_INS">"c1180"</definedName>
    <definedName name="IQ_ST_DEBT_ISSUED">"c1181"</definedName>
    <definedName name="IQ_ST_DEBT_ISSUED_BNK">"c1182"</definedName>
    <definedName name="IQ_ST_DEBT_ISSUED_BR">"c1183"</definedName>
    <definedName name="IQ_ST_DEBT_ISSUED_FIN">"c1184"</definedName>
    <definedName name="IQ_ST_DEBT_ISSUED_INS">"c1185"</definedName>
    <definedName name="IQ_ST_DEBT_ISSUED_REIT">"c1186"</definedName>
    <definedName name="IQ_ST_DEBT_ISSUED_UTI">"c1187"</definedName>
    <definedName name="IQ_ST_DEBT_PCT">"c2539"</definedName>
    <definedName name="IQ_ST_DEBT_REIT">"c1188"</definedName>
    <definedName name="IQ_ST_DEBT_REPAID">"c1189"</definedName>
    <definedName name="IQ_ST_DEBT_REPAID_BNK">"c1190"</definedName>
    <definedName name="IQ_ST_DEBT_REPAID_BR">"c1191"</definedName>
    <definedName name="IQ_ST_DEBT_REPAID_FIN">"c1192"</definedName>
    <definedName name="IQ_ST_DEBT_REPAID_INS">"c1193"</definedName>
    <definedName name="IQ_ST_DEBT_REPAID_REIT">"c1194"</definedName>
    <definedName name="IQ_ST_DEBT_REPAID_UTI">"c1195"</definedName>
    <definedName name="IQ_ST_DEBT_UTI">"c1196"</definedName>
    <definedName name="IQ_ST_INVEST">"c1197"</definedName>
    <definedName name="IQ_ST_INVEST_UTI">"c1198"</definedName>
    <definedName name="IQ_ST_NOTE_RECEIV">"c1199"</definedName>
    <definedName name="IQ_STATE">"c1200"</definedName>
    <definedName name="IQ_STATUTORY_SURPLUS">"c1201"</definedName>
    <definedName name="IQ_STOCK_BASED">"c1202"</definedName>
    <definedName name="IQ_STOCK_BASED_AT">"c2999"</definedName>
    <definedName name="IQ_STOCK_BASED_CF">"c1203"</definedName>
    <definedName name="IQ_STOCK_BASED_COGS">"c2990"</definedName>
    <definedName name="IQ_STOCK_BASED_COMP">"c3512"</definedName>
    <definedName name="IQ_STOCK_BASED_COMP_PRETAX">"c3510"</definedName>
    <definedName name="IQ_STOCK_BASED_COMP_TAX">"c3511"</definedName>
    <definedName name="IQ_STOCK_BASED_GA">"c2993"</definedName>
    <definedName name="IQ_STOCK_BASED_OTHER">"c2995"</definedName>
    <definedName name="IQ_STOCK_BASED_RD">"c2991"</definedName>
    <definedName name="IQ_STOCK_BASED_SGA">"c2994"</definedName>
    <definedName name="IQ_STOCK_BASED_SM">"c2992"</definedName>
    <definedName name="IQ_STOCK_BASED_TOTAL">"c3040"</definedName>
    <definedName name="IQ_STOCK_OPTIONS_COMP">"c3509"</definedName>
    <definedName name="IQ_STOCK_OPTIONS_COMP_PRETAX">"c3507"</definedName>
    <definedName name="IQ_STOCK_OPTIONS_COMP_TAX">"c3508"</definedName>
    <definedName name="IQ_STRIKE_PRICE_ISSUED">"c1645"</definedName>
    <definedName name="IQ_STRIKE_PRICE_OS">"c1646"</definedName>
    <definedName name="IQ_STW">"c2166"</definedName>
    <definedName name="IQ_SUB_BONDS_NOTES">"c2503"</definedName>
    <definedName name="IQ_SUB_BONDS_NOTES_PCT">"c2504"</definedName>
    <definedName name="IQ_SUB_DEBT">"c2532"</definedName>
    <definedName name="IQ_SUB_DEBT_EBITDA">"c2558"</definedName>
    <definedName name="IQ_SUB_DEBT_EBITDA_CAPEX">"c2559"</definedName>
    <definedName name="IQ_SUB_DEBT_PCT">"c2533"</definedName>
    <definedName name="IQ_SUB_LEASE_AFTER_FIVE">"c1207"</definedName>
    <definedName name="IQ_SUB_LEASE_INC_CY">"c1208"</definedName>
    <definedName name="IQ_SUB_LEASE_INC_CY1">"c1209"</definedName>
    <definedName name="IQ_SUB_LEASE_INC_CY2">"c1210"</definedName>
    <definedName name="IQ_SUB_LEASE_INC_CY3">"c1211"</definedName>
    <definedName name="IQ_SUB_LEASE_INC_CY4">"c1212"</definedName>
    <definedName name="IQ_SUB_LEASE_NEXT_FIVE">"c1213"</definedName>
    <definedName name="IQ_SVA">"c1214"</definedName>
    <definedName name="IQ_TARGET_PRICE_NUM">"c1653"</definedName>
    <definedName name="IQ_TARGET_PRICE_NUM_REUT">"c5319"</definedName>
    <definedName name="IQ_TARGET_PRICE_STDDEV">"c1654"</definedName>
    <definedName name="IQ_TARGET_PRICE_STDDEV_REUT">"c5320"</definedName>
    <definedName name="IQ_TAX_BENEFIT_CF_1YR">"c3483"</definedName>
    <definedName name="IQ_TAX_BENEFIT_CF_2YR">"c3484"</definedName>
    <definedName name="IQ_TAX_BENEFIT_CF_3YR">"c3485"</definedName>
    <definedName name="IQ_TAX_BENEFIT_CF_4YR">"c3486"</definedName>
    <definedName name="IQ_TAX_BENEFIT_CF_5YR">"c3487"</definedName>
    <definedName name="IQ_TAX_BENEFIT_CF_AFTER_FIVE">"c3488"</definedName>
    <definedName name="IQ_TAX_BENEFIT_CF_MAX_YEAR">"c3491"</definedName>
    <definedName name="IQ_TAX_BENEFIT_CF_NO_EXP">"c3489"</definedName>
    <definedName name="IQ_TAX_BENEFIT_CF_TOTAL">"c3490"</definedName>
    <definedName name="IQ_TAX_BENEFIT_OPTIONS">"c1215"</definedName>
    <definedName name="IQ_TAX_EQUIV_NET_INT_INC">"c1216"</definedName>
    <definedName name="IQ_TBV">"c1906"</definedName>
    <definedName name="IQ_TBV_10YR_ANN_GROWTH">"c1936"</definedName>
    <definedName name="IQ_TBV_1YR_ANN_GROWTH">"c1931"</definedName>
    <definedName name="IQ_TBV_2YR_ANN_GROWTH">"c1932"</definedName>
    <definedName name="IQ_TBV_3YR_ANN_GROWTH">"c1933"</definedName>
    <definedName name="IQ_TBV_5YR_ANN_GROWTH">"c1934"</definedName>
    <definedName name="IQ_TBV_7YR_ANN_GROWTH">"c1935"</definedName>
    <definedName name="IQ_TBV_SHARE">"c1217"</definedName>
    <definedName name="IQ_TEMPLATE">"c1521"</definedName>
    <definedName name="IQ_TENANT">"c1218"</definedName>
    <definedName name="IQ_TERM_LOANS">"c2499"</definedName>
    <definedName name="IQ_TERM_LOANS_PCT">"c2500"</definedName>
    <definedName name="IQ_TEV">"c1219"</definedName>
    <definedName name="IQ_TEV_EBIT">"c1220"</definedName>
    <definedName name="IQ_TEV_EBIT_AVG">"c1221"</definedName>
    <definedName name="IQ_TEV_EBITDA">"c1222"</definedName>
    <definedName name="IQ_TEV_EBITDA_AVG">"c1223"</definedName>
    <definedName name="IQ_TEV_EBITDA_FWD">"c1224"</definedName>
    <definedName name="IQ_TEV_EBITDA_FWD_REUT">"c4050"</definedName>
    <definedName name="IQ_TEV_EMPLOYEE_AVG">"c1225"</definedName>
    <definedName name="IQ_TEV_TOTAL_REV">"c1226"</definedName>
    <definedName name="IQ_TEV_TOTAL_REV_AVG">"c1227"</definedName>
    <definedName name="IQ_TEV_TOTAL_REV_FWD">"c1228"</definedName>
    <definedName name="IQ_TEV_TOTAL_REV_FWD_REUT">"c4051"</definedName>
    <definedName name="IQ_TEV_UFCF">"c2208"</definedName>
    <definedName name="IQ_TIER_ONE_CAPITAL">"c2667"</definedName>
    <definedName name="IQ_TIER_ONE_RATIO">"c1229"</definedName>
    <definedName name="IQ_TIER_TWO_CAPITAL">"c2669"</definedName>
    <definedName name="IQ_TIME_DEP">"c1230"</definedName>
    <definedName name="IQ_TODAY">0</definedName>
    <definedName name="IQ_TOT_ADJ_INC">"c1616"</definedName>
    <definedName name="IQ_TOTAL_AR_BR">"c1231"</definedName>
    <definedName name="IQ_TOTAL_AR_REIT">"c1232"</definedName>
    <definedName name="IQ_TOTAL_AR_UTI">"c1233"</definedName>
    <definedName name="IQ_TOTAL_ASSETS">"c1234"</definedName>
    <definedName name="IQ_TOTAL_ASSETS_10YR_ANN_GROWTH">"c1235"</definedName>
    <definedName name="IQ_TOTAL_ASSETS_1YR_ANN_GROWTH">"c1236"</definedName>
    <definedName name="IQ_TOTAL_ASSETS_2YR_ANN_GROWTH">"c1237"</definedName>
    <definedName name="IQ_TOTAL_ASSETS_3YR_ANN_GROWTH">"c1238"</definedName>
    <definedName name="IQ_TOTAL_ASSETS_5YR_ANN_GROWTH">"c1239"</definedName>
    <definedName name="IQ_TOTAL_ASSETS_7YR_ANN_GROWTH">"c1240"</definedName>
    <definedName name="IQ_TOTAL_AVG_CE_TOTAL_AVG_ASSETS">"c1241"</definedName>
    <definedName name="IQ_TOTAL_AVG_EQUITY_TOTAL_AVG_ASSETS">"c1242"</definedName>
    <definedName name="IQ_TOTAL_BANK_CAPITAL">"c2668"</definedName>
    <definedName name="IQ_TOTAL_CA">"c1243"</definedName>
    <definedName name="IQ_TOTAL_CAP">"c1507"</definedName>
    <definedName name="IQ_TOTAL_CAPITAL_RATIO">"c1244"</definedName>
    <definedName name="IQ_TOTAL_CASH_DIVID">"c1455"</definedName>
    <definedName name="IQ_TOTAL_CASH_FINAN">"c1352"</definedName>
    <definedName name="IQ_TOTAL_CASH_INVEST">"c1353"</definedName>
    <definedName name="IQ_TOTAL_CASH_OPER">"c1354"</definedName>
    <definedName name="IQ_TOTAL_CHURN">"c2122"</definedName>
    <definedName name="IQ_TOTAL_CL">"c1245"</definedName>
    <definedName name="IQ_TOTAL_COMMON">"c1411"</definedName>
    <definedName name="IQ_TOTAL_COMMON_EQUITY">"c1246"</definedName>
    <definedName name="IQ_TOTAL_CURRENT_ASSETS">"c1430"</definedName>
    <definedName name="IQ_TOTAL_CURRENT_LIAB">"c1431"</definedName>
    <definedName name="IQ_TOTAL_DEBT">"c1247"</definedName>
    <definedName name="IQ_TOTAL_DEBT_CAPITAL">"c1248"</definedName>
    <definedName name="IQ_TOTAL_DEBT_EBITDA">"c1249"</definedName>
    <definedName name="IQ_TOTAL_DEBT_EBITDA_CAPEX">"c2948"</definedName>
    <definedName name="IQ_TOTAL_DEBT_EQUITY">"c1250"</definedName>
    <definedName name="IQ_TOTAL_DEBT_EXCL_FIN">"c2937"</definedName>
    <definedName name="IQ_TOTAL_DEBT_ISSUED">"c1251"</definedName>
    <definedName name="IQ_TOTAL_DEBT_ISSUED_BNK">"c1252"</definedName>
    <definedName name="IQ_TOTAL_DEBT_ISSUED_BR">"c1253"</definedName>
    <definedName name="IQ_TOTAL_DEBT_ISSUED_FIN">"c1254"</definedName>
    <definedName name="IQ_TOTAL_DEBT_ISSUED_REIT">"c1255"</definedName>
    <definedName name="IQ_TOTAL_DEBT_ISSUED_UTI">"c1256"</definedName>
    <definedName name="IQ_TOTAL_DEBT_ISSUES_INS">"c1257"</definedName>
    <definedName name="IQ_TOTAL_DEBT_OVER_EBITDA">"c1433"</definedName>
    <definedName name="IQ_TOTAL_DEBT_OVER_TOTAL_BV">"c1434"</definedName>
    <definedName name="IQ_TOTAL_DEBT_OVER_TOTAL_CAP">"c1432"</definedName>
    <definedName name="IQ_TOTAL_DEBT_REPAID">"c1258"</definedName>
    <definedName name="IQ_TOTAL_DEBT_REPAID_BNK">"c1259"</definedName>
    <definedName name="IQ_TOTAL_DEBT_REPAID_BR">"c1260"</definedName>
    <definedName name="IQ_TOTAL_DEBT_REPAID_FIN">"c1261"</definedName>
    <definedName name="IQ_TOTAL_DEBT_REPAID_INS">"c1262"</definedName>
    <definedName name="IQ_TOTAL_DEBT_REPAID_REIT">"c1263"</definedName>
    <definedName name="IQ_TOTAL_DEBT_REPAID_UTI">"c1264"</definedName>
    <definedName name="IQ_TOTAL_DEPOSITS">"c1265"</definedName>
    <definedName name="IQ_TOTAL_DIV_PAID_CF">"c1266"</definedName>
    <definedName name="IQ_TOTAL_EMPLOYEE">"c2141"</definedName>
    <definedName name="IQ_TOTAL_EMPLOYEES">"c1522"</definedName>
    <definedName name="IQ_TOTAL_EQUITY">"c1267"</definedName>
    <definedName name="IQ_TOTAL_EQUITY_10YR_ANN_GROWTH">"c1268"</definedName>
    <definedName name="IQ_TOTAL_EQUITY_1YR_ANN_GROWTH">"c1269"</definedName>
    <definedName name="IQ_TOTAL_EQUITY_2YR_ANN_GROWTH">"c1270"</definedName>
    <definedName name="IQ_TOTAL_EQUITY_3YR_ANN_GROWTH">"c1271"</definedName>
    <definedName name="IQ_TOTAL_EQUITY_5YR_ANN_GROWTH">"c1272"</definedName>
    <definedName name="IQ_TOTAL_EQUITY_7YR_ANN_GROWTH">"c1273"</definedName>
    <definedName name="IQ_TOTAL_EQUITY_ALLOWANCE_TOTAL_LOANS">"c1274"</definedName>
    <definedName name="IQ_TOTAL_INTEREST_EXP">"c1382"</definedName>
    <definedName name="IQ_TOTAL_INVENTORY">"c1385"</definedName>
    <definedName name="IQ_TOTAL_INVEST">"c1275"</definedName>
    <definedName name="IQ_TOTAL_LIAB">"c1276"</definedName>
    <definedName name="IQ_TOTAL_LIAB_BNK">"c1277"</definedName>
    <definedName name="IQ_TOTAL_LIAB_BR">"c1278"</definedName>
    <definedName name="IQ_TOTAL_LIAB_EQUITY">"c1279"</definedName>
    <definedName name="IQ_TOTAL_LIAB_FIN">"c1280"</definedName>
    <definedName name="IQ_TOTAL_LIAB_INS">"c1281"</definedName>
    <definedName name="IQ_TOTAL_LIAB_REIT">"c1282"</definedName>
    <definedName name="IQ_TOTAL_LIAB_SHAREHOLD">"c1435"</definedName>
    <definedName name="IQ_TOTAL_LIAB_TOTAL_ASSETS">"c1283"</definedName>
    <definedName name="IQ_TOTAL_LONG_DEBT">"c1617"</definedName>
    <definedName name="IQ_TOTAL_NON_REC">"c1444"</definedName>
    <definedName name="IQ_TOTAL_OPER_EXP_BR">"c1284"</definedName>
    <definedName name="IQ_TOTAL_OPER_EXP_FIN">"c1285"</definedName>
    <definedName name="IQ_TOTAL_OPER_EXP_INS">"c1286"</definedName>
    <definedName name="IQ_TOTAL_OPER_EXP_REIT">"c1287"</definedName>
    <definedName name="IQ_TOTAL_OPER_EXP_UTI">"c1288"</definedName>
    <definedName name="IQ_TOTAL_OPER_EXPEN">"c1445"</definedName>
    <definedName name="IQ_TOTAL_OPTIONS_BEG_OS">"c2693"</definedName>
    <definedName name="IQ_TOTAL_OPTIONS_CANCELLED">"c2696"</definedName>
    <definedName name="IQ_TOTAL_OPTIONS_END_OS">"c2697"</definedName>
    <definedName name="IQ_TOTAL_OPTIONS_EXERCISED">"c2695"</definedName>
    <definedName name="IQ_TOTAL_OPTIONS_GRANTED">"c2694"</definedName>
    <definedName name="IQ_TOTAL_OTHER_OPER">"c1289"</definedName>
    <definedName name="IQ_TOTAL_OUTSTANDING_BS_DATE">"c1022"</definedName>
    <definedName name="IQ_TOTAL_OUTSTANDING_FILING_DATE">"c2107"</definedName>
    <definedName name="IQ_TOTAL_PENSION_ASSETS">"c1290"</definedName>
    <definedName name="IQ_TOTAL_PENSION_ASSETS_DOMESTIC">"c2658"</definedName>
    <definedName name="IQ_TOTAL_PENSION_ASSETS_FOREIGN">"c2666"</definedName>
    <definedName name="IQ_TOTAL_PENSION_EXP">"c1291"</definedName>
    <definedName name="IQ_TOTAL_PRINCIPAL">"c2509"</definedName>
    <definedName name="IQ_TOTAL_PRINCIPAL_PCT">"c2510"</definedName>
    <definedName name="IQ_TOTAL_PROVED_RESERVES_NGL">"c2924"</definedName>
    <definedName name="IQ_TOTAL_PROVED_RESERVES_OIL">"c2040"</definedName>
    <definedName name="IQ_TOTAL_RECEIV">"c1293"</definedName>
    <definedName name="IQ_TOTAL_REV">"c1294"</definedName>
    <definedName name="IQ_TOTAL_REV_10YR_ANN_GROWTH">"c1295"</definedName>
    <definedName name="IQ_TOTAL_REV_1YR_ANN_GROWTH">"c1296"</definedName>
    <definedName name="IQ_TOTAL_REV_2YR_ANN_GROWTH">"c1297"</definedName>
    <definedName name="IQ_TOTAL_REV_3YR_ANN_GROWTH">"c1298"</definedName>
    <definedName name="IQ_TOTAL_REV_5YR_ANN_GROWTH">"c1299"</definedName>
    <definedName name="IQ_TOTAL_REV_7YR_ANN_GROWTH">"c1300"</definedName>
    <definedName name="IQ_TOTAL_REV_AS_REPORTED">"c1301"</definedName>
    <definedName name="IQ_TOTAL_REV_BNK">"c1302"</definedName>
    <definedName name="IQ_TOTAL_REV_BR">"c1303"</definedName>
    <definedName name="IQ_TOTAL_REV_EMPLOYEE">"c1304"</definedName>
    <definedName name="IQ_TOTAL_REV_FIN">"c1305"</definedName>
    <definedName name="IQ_TOTAL_REV_INS">"c1306"</definedName>
    <definedName name="IQ_TOTAL_REV_REIT">"c1307"</definedName>
    <definedName name="IQ_TOTAL_REV_SHARE">"c1912"</definedName>
    <definedName name="IQ_TOTAL_REV_UTI">"c1308"</definedName>
    <definedName name="IQ_TOTAL_REVENUE">"c1436"</definedName>
    <definedName name="IQ_TOTAL_SPECIAL">"c1618"</definedName>
    <definedName name="IQ_TOTAL_ST_BORROW">"c1424"</definedName>
    <definedName name="IQ_TOTAL_SUB_DEBT">"c2528"</definedName>
    <definedName name="IQ_TOTAL_SUB_DEBT_EBITDA">"c2554"</definedName>
    <definedName name="IQ_TOTAL_SUB_DEBT_EBITDA_CAPEX">"c2555"</definedName>
    <definedName name="IQ_TOTAL_SUB_DEBT_PCT">"c2529"</definedName>
    <definedName name="IQ_TOTAL_SUBS">"c2119"</definedName>
    <definedName name="IQ_TOTAL_UNUSUAL">"c1508"</definedName>
    <definedName name="IQ_TOTAL_UNUSUAL_BNK">"c5516"</definedName>
    <definedName name="IQ_TOTAL_UNUSUAL_BR">"c5517"</definedName>
    <definedName name="IQ_TOTAL_UNUSUAL_FIN">"c5518"</definedName>
    <definedName name="IQ_TOTAL_UNUSUAL_INS">"c5519"</definedName>
    <definedName name="IQ_TOTAL_UNUSUAL_REIT">"c5520"</definedName>
    <definedName name="IQ_TOTAL_UNUSUAL_UTI">"c5521"</definedName>
    <definedName name="IQ_TOTAL_WARRANTS_BEG_OS">"c2719"</definedName>
    <definedName name="IQ_TOTAL_WARRANTS_CANCELLED">"c2722"</definedName>
    <definedName name="IQ_TOTAL_WARRANTS_END_OS">"c2723"</definedName>
    <definedName name="IQ_TOTAL_WARRANTS_EXERCISED">"c2721"</definedName>
    <definedName name="IQ_TOTAL_WARRANTS_ISSUED">"c2720"</definedName>
    <definedName name="IQ_TR_ACCT_METHOD">"c2363"</definedName>
    <definedName name="IQ_TR_ACQ_52_WK_HI_PCT">"c2348"</definedName>
    <definedName name="IQ_TR_ACQ_52_WK_LOW_PCT">"c2347"</definedName>
    <definedName name="IQ_TR_ACQ_CASH_ST_INVEST">"c2372"</definedName>
    <definedName name="IQ_TR_ACQ_CLOSEPRICE_1D">"c3027"</definedName>
    <definedName name="IQ_TR_ACQ_DILUT_EPS_EXCL">"c3028"</definedName>
    <definedName name="IQ_TR_ACQ_EARNING_CO">"c2379"</definedName>
    <definedName name="IQ_TR_ACQ_EBIT">"c2380"</definedName>
    <definedName name="IQ_TR_ACQ_EBIT_EQ_INC">"c3611"</definedName>
    <definedName name="IQ_TR_ACQ_EBITDA">"c2381"</definedName>
    <definedName name="IQ_TR_ACQ_EBITDA_EQ_INC">"c3610"</definedName>
    <definedName name="IQ_TR_ACQ_FILING_CURRENCY">"c3033"</definedName>
    <definedName name="IQ_TR_ACQ_FILINGDATE">"c3607"</definedName>
    <definedName name="IQ_TR_ACQ_MCAP_1DAY">"c2345"</definedName>
    <definedName name="IQ_TR_ACQ_MIN_INT">"c2374"</definedName>
    <definedName name="IQ_TR_ACQ_NET_DEBT">"c2373"</definedName>
    <definedName name="IQ_TR_ACQ_NI">"c2378"</definedName>
    <definedName name="IQ_TR_ACQ_PERIODDATE">"c3606"</definedName>
    <definedName name="IQ_TR_ACQ_PRICEDATE_1D">"c2346"</definedName>
    <definedName name="IQ_TR_ACQ_RETURN">"c2349"</definedName>
    <definedName name="IQ_TR_ACQ_STOCKYEARHIGH_1D">"c2343"</definedName>
    <definedName name="IQ_TR_ACQ_STOCKYEARLOW_1D">"c2344"</definedName>
    <definedName name="IQ_TR_ACQ_TOTAL_ASSETS">"c2371"</definedName>
    <definedName name="IQ_TR_ACQ_TOTAL_COMMON_EQ">"c2377"</definedName>
    <definedName name="IQ_TR_ACQ_TOTAL_DEBT">"c2376"</definedName>
    <definedName name="IQ_TR_ACQ_TOTAL_PREF">"c2375"</definedName>
    <definedName name="IQ_TR_ACQ_TOTAL_REV">"c2382"</definedName>
    <definedName name="IQ_TR_ADJ_SIZE">"c3024"</definedName>
    <definedName name="IQ_TR_ANN_DATE">"c2395"</definedName>
    <definedName name="IQ_TR_ANN_DATE_BL">"c2394"</definedName>
    <definedName name="IQ_TR_BID_DATE">"c2357"</definedName>
    <definedName name="IQ_TR_BLUESKY_FEES">"c2277"</definedName>
    <definedName name="IQ_TR_BUY_ACC_ADVISORS">"c3048"</definedName>
    <definedName name="IQ_TR_BUY_FIN_ADVISORS">"c3045"</definedName>
    <definedName name="IQ_TR_BUY_LEG_ADVISORS">"c2387"</definedName>
    <definedName name="IQ_TR_BUYER_ID">"c2404"</definedName>
    <definedName name="IQ_TR_BUYERNAME">"c2401"</definedName>
    <definedName name="IQ_TR_CANCELLED_DATE">"c2284"</definedName>
    <definedName name="IQ_TR_CASH_CONSID_PCT">"c2296"</definedName>
    <definedName name="IQ_TR_CASH_ST_INVEST">"c3025"</definedName>
    <definedName name="IQ_TR_CHANGE_CONTROL">"c2365"</definedName>
    <definedName name="IQ_TR_CLOSED_DATE">"c2283"</definedName>
    <definedName name="IQ_TR_CO_NET_PROCEEDS">"c2268"</definedName>
    <definedName name="IQ_TR_CO_NET_PROCEEDS_PCT">"c2270"</definedName>
    <definedName name="IQ_TR_COMMENTS">"c2383"</definedName>
    <definedName name="IQ_TR_CURRENCY">"c3016"</definedName>
    <definedName name="IQ_TR_DEAL_ATTITUDE">"c2364"</definedName>
    <definedName name="IQ_TR_DEAL_CONDITIONS">"c2367"</definedName>
    <definedName name="IQ_TR_DEAL_RESOLUTION">"c2391"</definedName>
    <definedName name="IQ_TR_DEAL_RESPONSES">"c2366"</definedName>
    <definedName name="IQ_TR_DEBT_CONSID_PCT">"c2299"</definedName>
    <definedName name="IQ_TR_DEF_AGRMT_DATE">"c2285"</definedName>
    <definedName name="IQ_TR_DISCLOSED_FEES_EXP">"c2288"</definedName>
    <definedName name="IQ_TR_EARNOUTS">"c3023"</definedName>
    <definedName name="IQ_TR_EXPIRED_DATE">"c2412"</definedName>
    <definedName name="IQ_TR_GROSS_OFFERING_AMT">"c2262"</definedName>
    <definedName name="IQ_TR_HYBRID_CONSID_PCT">"c2300"</definedName>
    <definedName name="IQ_TR_IMPLIED_EQ">"c3018"</definedName>
    <definedName name="IQ_TR_IMPLIED_EQ_BV">"c3019"</definedName>
    <definedName name="IQ_TR_IMPLIED_EQ_NI_LTM">"c3020"</definedName>
    <definedName name="IQ_TR_IMPLIED_EV">"c2301"</definedName>
    <definedName name="IQ_TR_IMPLIED_EV_BV">"c2306"</definedName>
    <definedName name="IQ_TR_IMPLIED_EV_EBIT">"c2302"</definedName>
    <definedName name="IQ_TR_IMPLIED_EV_EBITDA">"c2303"</definedName>
    <definedName name="IQ_TR_IMPLIED_EV_NI_LTM">"c2307"</definedName>
    <definedName name="IQ_TR_IMPLIED_EV_REV">"c2304"</definedName>
    <definedName name="IQ_TR_INIT_FILED_DATE">"c3495"</definedName>
    <definedName name="IQ_TR_LOI_DATE">"c2282"</definedName>
    <definedName name="IQ_TR_MAJ_MIN_STAKE">"c2389"</definedName>
    <definedName name="IQ_TR_NEGOTIATED_BUYBACK_PRICE">"c2414"</definedName>
    <definedName name="IQ_TR_NET_ASSUM_LIABILITIES">"c2308"</definedName>
    <definedName name="IQ_TR_NET_PROCEEDS">"c2267"</definedName>
    <definedName name="IQ_TR_OFFER_DATE">"c2265"</definedName>
    <definedName name="IQ_TR_OFFER_DATE_MA">"c3035"</definedName>
    <definedName name="IQ_TR_OFFER_PER_SHARE">"c3017"</definedName>
    <definedName name="IQ_TR_OPTIONS_CONSID_PCT">"c2311"</definedName>
    <definedName name="IQ_TR_OTHER_CONSID">"c3022"</definedName>
    <definedName name="IQ_TR_PCT_SOUGHT">"c2309"</definedName>
    <definedName name="IQ_TR_PFEATURES">"c2384"</definedName>
    <definedName name="IQ_TR_PIPE_CONV_PRICE_SHARE">"c2292"</definedName>
    <definedName name="IQ_TR_PIPE_CPN_PCT">"c2291"</definedName>
    <definedName name="IQ_TR_PIPE_NUMBER_SHARES">"c2293"</definedName>
    <definedName name="IQ_TR_PIPE_PPS">"c2290"</definedName>
    <definedName name="IQ_TR_POSTMONEY_VAL">"c2286"</definedName>
    <definedName name="IQ_TR_PREDEAL_SITUATION">"c2390"</definedName>
    <definedName name="IQ_TR_PREF_CONSID_PCT">"c2310"</definedName>
    <definedName name="IQ_TR_PREMONEY_VAL">"c2287"</definedName>
    <definedName name="IQ_TR_PRINTING_FEES">"c2276"</definedName>
    <definedName name="IQ_TR_PT_MONETARY_VALUES">"c2415"</definedName>
    <definedName name="IQ_TR_PT_NUMBER_SHARES">"c2417"</definedName>
    <definedName name="IQ_TR_PT_PCT_SHARES">"c2416"</definedName>
    <definedName name="IQ_TR_RATING_FEES">"c2275"</definedName>
    <definedName name="IQ_TR_REG_EFFECT_DATE">"c2264"</definedName>
    <definedName name="IQ_TR_REG_FILED_DATE">"c2263"</definedName>
    <definedName name="IQ_TR_RENEWAL_BUYBACK">"c2413"</definedName>
    <definedName name="IQ_TR_ROUND_NUMBER">"c2295"</definedName>
    <definedName name="IQ_TR_SEC_FEES">"c2274"</definedName>
    <definedName name="IQ_TR_SECURITY_TYPE_REG">"c2279"</definedName>
    <definedName name="IQ_TR_SELL_ACC_ADVISORS">"c3049"</definedName>
    <definedName name="IQ_TR_SELL_FIN_ADVISORS">"c3046"</definedName>
    <definedName name="IQ_TR_SELL_LEG_ADVISORS">"c2388"</definedName>
    <definedName name="IQ_TR_SELLER_ID">"c2406"</definedName>
    <definedName name="IQ_TR_SELLERNAME">"c2402"</definedName>
    <definedName name="IQ_TR_SFEATURES">"c2385"</definedName>
    <definedName name="IQ_TR_SH_NET_PROCEEDS">"c2269"</definedName>
    <definedName name="IQ_TR_SH_NET_PROCEEDS_PCT">"c2271"</definedName>
    <definedName name="IQ_TR_SPECIAL_COMMITTEE">"c2362"</definedName>
    <definedName name="IQ_TR_STATUS">"c2399"</definedName>
    <definedName name="IQ_TR_STOCK_CONSID_PCT">"c2312"</definedName>
    <definedName name="IQ_TR_SUSPENDED_DATE">"c2407"</definedName>
    <definedName name="IQ_TR_TARGET_52WKHI_PCT">"c2351"</definedName>
    <definedName name="IQ_TR_TARGET_52WKLOW_PCT">"c2350"</definedName>
    <definedName name="IQ_TR_TARGET_ACC_ADVISORS">"c3047"</definedName>
    <definedName name="IQ_TR_TARGET_CASH_ST_INVEST">"c2327"</definedName>
    <definedName name="IQ_TR_TARGET_CLOSEPRICE_1D">"c2352"</definedName>
    <definedName name="IQ_TR_TARGET_CLOSEPRICE_1M">"c2354"</definedName>
    <definedName name="IQ_TR_TARGET_CLOSEPRICE_1W">"c2353"</definedName>
    <definedName name="IQ_TR_TARGET_DILUT_EPS_EXCL">"c2324"</definedName>
    <definedName name="IQ_TR_TARGET_EARNING_CO">"c2332"</definedName>
    <definedName name="IQ_TR_TARGET_EBIT">"c2333"</definedName>
    <definedName name="IQ_TR_TARGET_EBIT_EQ_INC">"c3609"</definedName>
    <definedName name="IQ_TR_TARGET_EBITDA">"c2334"</definedName>
    <definedName name="IQ_TR_TARGET_EBITDA_EQ_INC">"c3608"</definedName>
    <definedName name="IQ_TR_TARGET_FILING_CURRENCY">"c3034"</definedName>
    <definedName name="IQ_TR_TARGET_FILINGDATE">"c3605"</definedName>
    <definedName name="IQ_TR_TARGET_FIN_ADVISORS">"c3044"</definedName>
    <definedName name="IQ_TR_TARGET_ID">"c2405"</definedName>
    <definedName name="IQ_TR_TARGET_LEG_ADVISORS">"c2386"</definedName>
    <definedName name="IQ_TR_TARGET_MARKETCAP">"c2342"</definedName>
    <definedName name="IQ_TR_TARGET_MIN_INT">"c2328"</definedName>
    <definedName name="IQ_TR_TARGET_NET_DEBT">"c2326"</definedName>
    <definedName name="IQ_TR_TARGET_NI">"c2331"</definedName>
    <definedName name="IQ_TR_TARGET_PERIODDATE">"c3604"</definedName>
    <definedName name="IQ_TR_TARGET_PRICEDATE_1D">"c2341"</definedName>
    <definedName name="IQ_TR_TARGET_RETURN">"c2355"</definedName>
    <definedName name="IQ_TR_TARGET_SEC_DETAIL">"c3021"</definedName>
    <definedName name="IQ_TR_TARGET_SEC_TI_ID">"c2368"</definedName>
    <definedName name="IQ_TR_TARGET_SEC_TYPE">"c2369"</definedName>
    <definedName name="IQ_TR_TARGET_SPD">"c2313"</definedName>
    <definedName name="IQ_TR_TARGET_SPD_PCT">"c2314"</definedName>
    <definedName name="IQ_TR_TARGET_STOCKPREMIUM_1D">"c2336"</definedName>
    <definedName name="IQ_TR_TARGET_STOCKPREMIUM_1M">"c2337"</definedName>
    <definedName name="IQ_TR_TARGET_STOCKPREMIUM_1W">"c2338"</definedName>
    <definedName name="IQ_TR_TARGET_STOCKYEARHIGH_1D">"c2339"</definedName>
    <definedName name="IQ_TR_TARGET_STOCKYEARLOW_1D">"c2340"</definedName>
    <definedName name="IQ_TR_TARGET_TOTAL_ASSETS">"c2325"</definedName>
    <definedName name="IQ_TR_TARGET_TOTAL_COMMON_EQ">"c2421"</definedName>
    <definedName name="IQ_TR_TARGET_TOTAL_DEBT">"c2330"</definedName>
    <definedName name="IQ_TR_TARGET_TOTAL_PREF">"c2329"</definedName>
    <definedName name="IQ_TR_TARGET_TOTAL_REV">"c2335"</definedName>
    <definedName name="IQ_TR_TARGETNAME">"c2403"</definedName>
    <definedName name="IQ_TR_TERM_FEE">"c2298"</definedName>
    <definedName name="IQ_TR_TERM_FEE_PCT">"c2297"</definedName>
    <definedName name="IQ_TR_TODATE">"c3036"</definedName>
    <definedName name="IQ_TR_TODATE_MONETARY_VALUE">"c2418"</definedName>
    <definedName name="IQ_TR_TODATE_NUMBER_SHARES">"c2420"</definedName>
    <definedName name="IQ_TR_TODATE_PCT_SHARES">"c2419"</definedName>
    <definedName name="IQ_TR_TOTAL_ACCT_FEES">"c2273"</definedName>
    <definedName name="IQ_TR_TOTAL_CASH">"c2315"</definedName>
    <definedName name="IQ_TR_TOTAL_CONSID_SH">"c2316"</definedName>
    <definedName name="IQ_TR_TOTAL_DEBT">"c2317"</definedName>
    <definedName name="IQ_TR_TOTAL_GROSS_TV">"c2318"</definedName>
    <definedName name="IQ_TR_TOTAL_HYBRID">"c2319"</definedName>
    <definedName name="IQ_TR_TOTAL_LEGAL_FEES">"c2272"</definedName>
    <definedName name="IQ_TR_TOTAL_NET_TV">"c2320"</definedName>
    <definedName name="IQ_TR_TOTAL_NEWMONEY">"c2289"</definedName>
    <definedName name="IQ_TR_TOTAL_OPTIONS">"c2322"</definedName>
    <definedName name="IQ_TR_TOTAL_OPTIONS_BUYER">"c3026"</definedName>
    <definedName name="IQ_TR_TOTAL_PREFERRED">"c2321"</definedName>
    <definedName name="IQ_TR_TOTAL_REG_AMT">"c2261"</definedName>
    <definedName name="IQ_TR_TOTAL_STOCK">"c2323"</definedName>
    <definedName name="IQ_TR_TOTAL_TAKEDOWNS">"c2278"</definedName>
    <definedName name="IQ_TR_TOTAL_UW_COMP">"c2280"</definedName>
    <definedName name="IQ_TR_TOTALVALUE">"c2400"</definedName>
    <definedName name="IQ_TR_TRANSACTION_TYPE">"c2398"</definedName>
    <definedName name="IQ_TR_WITHDRAWN_DTE">"c2266"</definedName>
    <definedName name="IQ_TRADE_AR">"c1345"</definedName>
    <definedName name="IQ_TRADE_PRINCIPAL">"c1309"</definedName>
    <definedName name="IQ_TRADING_ASSETS">"c1310"</definedName>
    <definedName name="IQ_TRADING_CURRENCY">"c2212"</definedName>
    <definedName name="IQ_TREASURY">"c1311"</definedName>
    <definedName name="IQ_TREASURY_OTHER_EQUITY">"c1312"</definedName>
    <definedName name="IQ_TREASURY_OTHER_EQUITY_BNK">"c1313"</definedName>
    <definedName name="IQ_TREASURY_OTHER_EQUITY_BR">"c1314"</definedName>
    <definedName name="IQ_TREASURY_OTHER_EQUITY_FIN">"c1315"</definedName>
    <definedName name="IQ_TREASURY_OTHER_EQUITY_INS">"c1316"</definedName>
    <definedName name="IQ_TREASURY_OTHER_EQUITY_REIT">"c1317"</definedName>
    <definedName name="IQ_TREASURY_OTHER_EQUITY_UTI">"c1318"</definedName>
    <definedName name="IQ_TREASURY_STOCK">"c1438"</definedName>
    <definedName name="IQ_TRUST_INC">"c1319"</definedName>
    <definedName name="IQ_TRUST_PREF">"c1320"</definedName>
    <definedName name="IQ_TRUST_PREFERRED">"c3029"</definedName>
    <definedName name="IQ_TRUST_PREFERRED_PCT">"c3030"</definedName>
    <definedName name="IQ_UFCF_10YR_ANN_GROWTH">"c1948"</definedName>
    <definedName name="IQ_UFCF_1YR_ANN_GROWTH">"c1943"</definedName>
    <definedName name="IQ_UFCF_2YR_ANN_GROWTH">"c1944"</definedName>
    <definedName name="IQ_UFCF_3YR_ANN_GROWTH">"c1945"</definedName>
    <definedName name="IQ_UFCF_5YR_ANN_GROWTH">"c1946"</definedName>
    <definedName name="IQ_UFCF_7YR_ANN_GROWTH">"c1947"</definedName>
    <definedName name="IQ_UFCF_MARGIN">"c1962"</definedName>
    <definedName name="IQ_ULT_PARENT">"c3037"</definedName>
    <definedName name="IQ_ULT_PARENT_CIQID">"c3039"</definedName>
    <definedName name="IQ_ULT_PARENT_TICKER">"c3038"</definedName>
    <definedName name="IQ_UNAMORT_DISC">"c2513"</definedName>
    <definedName name="IQ_UNAMORT_DISC_PCT">"c2514"</definedName>
    <definedName name="IQ_UNAMORT_PREMIUM">"c2511"</definedName>
    <definedName name="IQ_UNAMORT_PREMIUM_PCT">"c2512"</definedName>
    <definedName name="IQ_UNDRAWN_CP">"c2518"</definedName>
    <definedName name="IQ_UNDRAWN_CREDIT">"c3032"</definedName>
    <definedName name="IQ_UNDRAWN_RC">"c2517"</definedName>
    <definedName name="IQ_UNDRAWN_TL">"c2519"</definedName>
    <definedName name="IQ_UNEARN_PREMIUM">"c1321"</definedName>
    <definedName name="IQ_UNEARN_REV_CURRENT">"c1322"</definedName>
    <definedName name="IQ_UNEARN_REV_CURRENT_BNK">"c1323"</definedName>
    <definedName name="IQ_UNEARN_REV_CURRENT_BR">"c1324"</definedName>
    <definedName name="IQ_UNEARN_REV_CURRENT_FIN">"c1325"</definedName>
    <definedName name="IQ_UNEARN_REV_CURRENT_INS">"c1326"</definedName>
    <definedName name="IQ_UNEARN_REV_CURRENT_REIT">"c1327"</definedName>
    <definedName name="IQ_UNEARN_REV_CURRENT_UTI">"c1328"</definedName>
    <definedName name="IQ_UNEARN_REV_LT">"c1329"</definedName>
    <definedName name="IQ_UNLEVERED_FCF">"c1908"</definedName>
    <definedName name="IQ_UNPAID_CLAIMS">"c1330"</definedName>
    <definedName name="IQ_UNREALIZED_GAIN">"c1619"</definedName>
    <definedName name="IQ_UNSECURED_DEBT">"c2548"</definedName>
    <definedName name="IQ_UNSECURED_DEBT_PCT">"c2549"</definedName>
    <definedName name="IQ_UNUSUAL_EXP">"c1456"</definedName>
    <definedName name="IQ_US_GAAP">"c1331"</definedName>
    <definedName name="IQ_US_GAAP_BASIC_EPS_EXCL">"c2984"</definedName>
    <definedName name="IQ_US_GAAP_BASIC_EPS_INCL">"c2982"</definedName>
    <definedName name="IQ_US_GAAP_BASIC_WEIGHT">"c2980"</definedName>
    <definedName name="IQ_US_GAAP_CA_ADJ">"c2925"</definedName>
    <definedName name="IQ_US_GAAP_CASH_FINAN">"c2945"</definedName>
    <definedName name="IQ_US_GAAP_CASH_FINAN_ADJ">"c2941"</definedName>
    <definedName name="IQ_US_GAAP_CASH_INVEST">"c2944"</definedName>
    <definedName name="IQ_US_GAAP_CASH_INVEST_ADJ">"c2940"</definedName>
    <definedName name="IQ_US_GAAP_CASH_OPER">"c2943"</definedName>
    <definedName name="IQ_US_GAAP_CASH_OPER_ADJ">"c2939"</definedName>
    <definedName name="IQ_US_GAAP_CL_ADJ">"c2927"</definedName>
    <definedName name="IQ_US_GAAP_COST_REV_ADJ">"c2951"</definedName>
    <definedName name="IQ_US_GAAP_DILUT_EPS_EXCL">"c2985"</definedName>
    <definedName name="IQ_US_GAAP_DILUT_EPS_INCL">"c2983"</definedName>
    <definedName name="IQ_US_GAAP_DILUT_NI">"c2979"</definedName>
    <definedName name="IQ_US_GAAP_DILUT_WEIGHT">"c2981"</definedName>
    <definedName name="IQ_US_GAAP_DO_ADJ">"c2959"</definedName>
    <definedName name="IQ_US_GAAP_EXTRA_ACC_ITEMS_ADJ">"c2958"</definedName>
    <definedName name="IQ_US_GAAP_INC_TAX_ADJ">"c2961"</definedName>
    <definedName name="IQ_US_GAAP_INTEREST_EXP_ADJ">"c2957"</definedName>
    <definedName name="IQ_US_GAAP_LIAB_LT_ADJ">"c2928"</definedName>
    <definedName name="IQ_US_GAAP_LIAB_TOTAL_LIAB">"c2933"</definedName>
    <definedName name="IQ_US_GAAP_MINORITY_INTEREST_IS_ADJ">"c2960"</definedName>
    <definedName name="IQ_US_GAAP_NCA_ADJ">"c2926"</definedName>
    <definedName name="IQ_US_GAAP_NET_CHANGE">"c2946"</definedName>
    <definedName name="IQ_US_GAAP_NET_CHANGE_ADJ">"c2942"</definedName>
    <definedName name="IQ_US_GAAP_NI">"c2976"</definedName>
    <definedName name="IQ_US_GAAP_NI_ADJ">"c2963"</definedName>
    <definedName name="IQ_US_GAAP_NI_AVAIL_INCL">"c2978"</definedName>
    <definedName name="IQ_US_GAAP_OTHER_ADJ_ADJ">"c2962"</definedName>
    <definedName name="IQ_US_GAAP_OTHER_NON_OPER_ADJ">"c2955"</definedName>
    <definedName name="IQ_US_GAAP_OTHER_OPER_ADJ">"c2954"</definedName>
    <definedName name="IQ_US_GAAP_RD_ADJ">"c2953"</definedName>
    <definedName name="IQ_US_GAAP_SGA_ADJ">"c2952"</definedName>
    <definedName name="IQ_US_GAAP_TOTAL_ASSETS">"c2931"</definedName>
    <definedName name="IQ_US_GAAP_TOTAL_EQUITY">"c2934"</definedName>
    <definedName name="IQ_US_GAAP_TOTAL_EQUITY_ADJ">"c2929"</definedName>
    <definedName name="IQ_US_GAAP_TOTAL_REV_ADJ">"c2950"</definedName>
    <definedName name="IQ_US_GAAP_TOTAL_UNUSUAL_ADJ">"c2956"</definedName>
    <definedName name="IQ_UTIL_PPE_NET">"c1620"</definedName>
    <definedName name="IQ_UTIL_REV">"c2091"</definedName>
    <definedName name="IQ_UV_PENSION_LIAB">"c1332"</definedName>
    <definedName name="IQ_VALUE_TRADED_LAST_3MTH">"c1530"</definedName>
    <definedName name="IQ_VALUE_TRADED_LAST_6MTH">"c1531"</definedName>
    <definedName name="IQ_VALUE_TRADED_LAST_MTH">"c1529"</definedName>
    <definedName name="IQ_VALUE_TRADED_LAST_WK">"c1528"</definedName>
    <definedName name="IQ_VALUE_TRADED_LAST_YR">"c1532"</definedName>
    <definedName name="IQ_VOL_LAST_3MTH">"c1525"</definedName>
    <definedName name="IQ_VOL_LAST_6MTH">"c1526"</definedName>
    <definedName name="IQ_VOL_LAST_MTH">"c1524"</definedName>
    <definedName name="IQ_VOL_LAST_WK">"c1523"</definedName>
    <definedName name="IQ_VOL_LAST_YR">"c1527"</definedName>
    <definedName name="IQ_VOLUME">"c1333"</definedName>
    <definedName name="IQ_WARRANTS_BEG_OS">"c2698"</definedName>
    <definedName name="IQ_WARRANTS_CANCELLED">"c2701"</definedName>
    <definedName name="IQ_WARRANTS_END_OS">"c2702"</definedName>
    <definedName name="IQ_WARRANTS_EXERCISED">"c2700"</definedName>
    <definedName name="IQ_WARRANTS_ISSUED">"c2699"</definedName>
    <definedName name="IQ_WARRANTS_STRIKE_PRICE_ISSUED">"c2704"</definedName>
    <definedName name="IQ_WARRANTS_STRIKE_PRICE_OS">"c2703"</definedName>
    <definedName name="IQ_WEEK" hidden="1">50000</definedName>
    <definedName name="IQ_WEIGHTED_AVG_PRICE">"c1334"</definedName>
    <definedName name="IQ_WIP_INV">"c1335"</definedName>
    <definedName name="IQ_WORKING_CAP">"c3494"</definedName>
    <definedName name="IQ_WORKMEN_WRITTEN">"c1336"</definedName>
    <definedName name="IQ_XDIV_DATE">"c2203"</definedName>
    <definedName name="IQ_YEARHIGH">"c1337"</definedName>
    <definedName name="IQ_YEARHIGH_DATE">"c2250"</definedName>
    <definedName name="IQ_YEARLOW">"c1338"</definedName>
    <definedName name="IQ_YEARLOW_DATE">"c2251"</definedName>
    <definedName name="IQ_YTD">3000</definedName>
    <definedName name="IQ_YTW">"c2163"</definedName>
    <definedName name="IQ_YTW_DATE">"c2164"</definedName>
    <definedName name="IQ_YTW_DATE_TYPE">"c2165"</definedName>
    <definedName name="IQ_Z_SCORE">"c1339"</definedName>
    <definedName name="KeepVersions" localSheetId="21">IndexInformation!$B$8</definedName>
    <definedName name="LanguageCode">IndexInformation!$B$38</definedName>
    <definedName name="LastCell" localSheetId="0">ImportantDisclosures!$A$22</definedName>
    <definedName name="Linking_1">flow!$A$6:$BJ$56</definedName>
    <definedName name="Linking_14">sumry!$A$6:$DX$49</definedName>
    <definedName name="Linking_15">sumry!$A$6:$DX$64</definedName>
    <definedName name="Linking_16">bal!$A$6:$BN$59</definedName>
    <definedName name="Linking_17">flow!$A$6:$BL$66</definedName>
    <definedName name="Linking_18">bal!$A$1:$BR$58</definedName>
    <definedName name="Linking_19">flow!$A$5:$BP$66</definedName>
    <definedName name="Linking_2">sumry!$A$6:$DV$49</definedName>
    <definedName name="Linking_Range_1">sumry!$A$6:$DP$49</definedName>
    <definedName name="Linking_Range_10" localSheetId="2">Earnings!$A$2:$I$47</definedName>
    <definedName name="Linking_Range_10">bal!$A$6:$BA$58</definedName>
    <definedName name="Linking_Range_11">flow!$A$6:$AZ$66</definedName>
    <definedName name="Linking_Range_12">sumry!$A$6:$DT$64</definedName>
    <definedName name="Linking_Range_13">sumry!$A$6:$DT$49</definedName>
    <definedName name="Linking_Range_14">bal!$A$6:$BH$58</definedName>
    <definedName name="Linking_Range_15">flow!$A$6:$BF$64</definedName>
    <definedName name="Linking_Range_16">sumry!$A$6:$DU$64</definedName>
    <definedName name="Linking_Range_17">bal!$A$6:$AZ$58</definedName>
    <definedName name="Linking_Range_18">flow!$A$6:$BF$66</definedName>
    <definedName name="Linking_Range_19">sumry!$A$6:$DW$49</definedName>
    <definedName name="Linking_Range_2">bal!$A$6:$AX$58</definedName>
    <definedName name="Linking_Range_20">bal!$A$6:$BL$58</definedName>
    <definedName name="Linking_Range_21">flow!$A$6:$BJ$66</definedName>
    <definedName name="Linking_Range_22">bal!$A$6:$BL$59</definedName>
    <definedName name="Linking_Range_23">flow!$A$6:$BJ$67</definedName>
    <definedName name="Linking_Range_3">flow!$A$6:$AV$66</definedName>
    <definedName name="Linking_Range_8">sumry!$A$6:$DR$49</definedName>
    <definedName name="Linking_Range_9" localSheetId="2">Earnings!$A$2:$H$47</definedName>
    <definedName name="Linking_Range_9">bal!$A$6:$BB$58</definedName>
    <definedName name="lookup_period">[9]Income!$A$1:$IV$1</definedName>
    <definedName name="MacroVersion" localSheetId="21">IndexInformation!$B$1</definedName>
    <definedName name="MACRS_schedule">[13]Analysis!$C$2</definedName>
    <definedName name="MACRSoptions">[13]MACRS!$C$4:$C$8</definedName>
    <definedName name="me">"Button 5"</definedName>
    <definedName name="ModelPrice" localSheetId="0">ImportantDisclosures!$A$14</definedName>
    <definedName name="MtCap">10000000000</definedName>
    <definedName name="Multiplier" localSheetId="21">IndexInformation!$B$35</definedName>
    <definedName name="multSecurities_L">[14]MultipleSecurities!$A$2:$A$17</definedName>
    <definedName name="NextYearEPS" localSheetId="21">IndexInformation!$B$13</definedName>
    <definedName name="NextYearTotalRevenue" localSheetId="21">IndexInformation!$B$12</definedName>
    <definedName name="NextYearTotalRevenueActual" localSheetId="21">IndexInformation!$B$33</definedName>
    <definedName name="NVCURR">[15]I!$B$1:$U$51</definedName>
    <definedName name="ObjectType">IndexInformation!$B$37</definedName>
    <definedName name="PANA" localSheetId="22">ModPubIndex!$A$11</definedName>
    <definedName name="PathName" localSheetId="21">IndexInformation!$B$25</definedName>
    <definedName name="_xlnm.Print_Area" localSheetId="10">bal!$A$1:$AZ$61</definedName>
    <definedName name="_xlnm.Print_Area" localSheetId="10">bal!$A$1:$AZ$61</definedName>
    <definedName name="_xlnm.Print_Area" localSheetId="1">BullBaseBear!$A$41:$P$123</definedName>
    <definedName name="_xlnm.Print_Area" localSheetId="1">BullBaseBear!$A$41:$P$123</definedName>
    <definedName name="_xlnm.Print_Area" localSheetId="19">#REF!</definedName>
    <definedName name="_xlnm.Print_Area" localSheetId="13">dtc!$A$1:$AV$68</definedName>
    <definedName name="_xlnm.Print_Area" localSheetId="13">dtc!$A$1:$AV$68</definedName>
    <definedName name="_xlnm.Print_Area" localSheetId="11">flow!$A$1:$AX$81</definedName>
    <definedName name="_xlnm.Print_Area" localSheetId="11">flow!$A$1:$AX$81</definedName>
    <definedName name="_xlnm.Print_Area" localSheetId="20">#REF!</definedName>
    <definedName name="_xlnm.Print_Area" localSheetId="7">'qtrP&amp;L'!$A$1:$DD$292</definedName>
    <definedName name="_xlnm.Print_Area" localSheetId="7">'qtrP&amp;L'!$A$1:$DD$292</definedName>
    <definedName name="_xlnm.Print_Area" localSheetId="4">qtrSales!$A$1:$AN$213</definedName>
    <definedName name="_xlnm.Print_Area" localSheetId="4">qtrSales!$A$1:$AN$213</definedName>
    <definedName name="_xlnm.Print_Area" localSheetId="6">'SegP&amp;L'!$A$7:$BM$190</definedName>
    <definedName name="_xlnm.Print_Area" localSheetId="6">'SegP&amp;L'!$A$7:$BM$190</definedName>
    <definedName name="_xlnm.Print_Area" localSheetId="5">SegqtrSales!$A$1:$AM$685</definedName>
    <definedName name="_xlnm.Print_Area" localSheetId="5">SegqtrSales!$A$1:$AM$685</definedName>
    <definedName name="_xlnm.Print_Area" localSheetId="17">Stores!$A$1:$DE$184</definedName>
    <definedName name="_xlnm.Print_Area" localSheetId="17">Stores!$A$1:$DE$184</definedName>
    <definedName name="_xlnm.Print_Area" localSheetId="3">sumry!$A$2:$DV$64</definedName>
    <definedName name="_xlnm.Print_Area" localSheetId="3">sumry!$A$2:$DV$64</definedName>
    <definedName name="_xlnm.Print_Area" localSheetId="15">turn!$A$1:$AG$218</definedName>
    <definedName name="_xlnm.Print_Area" localSheetId="15">turn!$A$1:$AG$218</definedName>
    <definedName name="_xlnm.Print_Area" localSheetId="14">work!$A$2:$CN$48</definedName>
    <definedName name="_xlnm.Print_Area" localSheetId="14">work!$A$2:$CN$48</definedName>
    <definedName name="_xlnm.Print_Area" localSheetId="8">'yrP&amp;L'!$A$1:$AO$61</definedName>
    <definedName name="_xlnm.Print_Area" localSheetId="8">'yrP&amp;L'!$A$1:$AO$61</definedName>
    <definedName name="_xlnm.Print_Area" localSheetId="9">yrSales!$A$1:$AP$51</definedName>
    <definedName name="_xlnm.Print_Area" localSheetId="9">yrSales!$A$1:$AP$51</definedName>
    <definedName name="_xlnm.Print_Area">#REF!</definedName>
    <definedName name="_xlnm.Print_Titles" localSheetId="10">bal!$1:$6</definedName>
    <definedName name="_xlnm.Print_Titles" localSheetId="10">bal!$1:$6</definedName>
    <definedName name="_xlnm.Print_Titles" localSheetId="19">#REF!</definedName>
    <definedName name="_xlnm.Print_Titles" localSheetId="20">#REF!</definedName>
    <definedName name="_xlnm.Print_Titles" localSheetId="7">'qtrP&amp;L'!$A:$C,'qtrP&amp;L'!$1:$6</definedName>
    <definedName name="_xlnm.Print_Titles" localSheetId="7">'qtrP&amp;L'!$A:$C,'qtrP&amp;L'!$1:$6</definedName>
    <definedName name="_xlnm.Print_Titles" localSheetId="4">qtrSales!$5:$10</definedName>
    <definedName name="_xlnm.Print_Titles" localSheetId="4">qtrSales!$5:$10</definedName>
    <definedName name="_xlnm.Print_Titles" localSheetId="6">'SegP&amp;L'!$A:$C,'SegP&amp;L'!$1:$8</definedName>
    <definedName name="_xlnm.Print_Titles" localSheetId="6">'SegP&amp;L'!$A:$C,'SegP&amp;L'!$1:$8</definedName>
    <definedName name="_xlnm.Print_Titles" localSheetId="17">Stores!$A:$C,Stores!$1:$6</definedName>
    <definedName name="_xlnm.Print_Titles" localSheetId="17">Stores!$A:$C,Stores!$1:$6</definedName>
    <definedName name="_xlnm.Print_Titles">#REF!</definedName>
    <definedName name="PRODUCT" localSheetId="22">ModPubIndex!$A$6</definedName>
    <definedName name="ProImportExport.ImportFile">[10]!ProImportExport.ImportFile</definedName>
    <definedName name="ProImportExport.SaveNewFile">[10]!ProImportExport.SaveNewFile</definedName>
    <definedName name="ProjectName" localSheetId="19">{"Client Name or Project Name"}</definedName>
    <definedName name="ProjectName" localSheetId="2">{"Client Name or Project Name"}</definedName>
    <definedName name="ProjectName" localSheetId="20">{"Client Name or Project Name"}</definedName>
    <definedName name="ProjectName" localSheetId="18">{"Client Name or Project Name"}</definedName>
    <definedName name="ProjectName">{"Client Name or Project Name"}</definedName>
    <definedName name="PSYM" localSheetId="22">ModPubIndex!$A$4</definedName>
    <definedName name="PublishDate" localSheetId="21">IndexInformation!$B$2</definedName>
    <definedName name="qtr_bs">'[8]Old BKS'!$X$371:$AI$436</definedName>
    <definedName name="qtr_is_2">'[8]Old BKS'!$AE$1:$AO$90</definedName>
    <definedName name="qtr_store_model">[9]Income!$BQ$103:$CB$171</definedName>
    <definedName name="Rating" localSheetId="21">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l_Forw" localSheetId="19">OFFSET(Date_Range,0,10,,1)</definedName>
    <definedName name="Rel_Forw" localSheetId="2">OFFSET(Date_Range,0,10,,1)</definedName>
    <definedName name="Rel_Forw" localSheetId="20">OFFSET(Date_Range,0,10,,1)</definedName>
    <definedName name="Rel_Forw" localSheetId="18">OFFSET(Date_Range,0,10,,1)</definedName>
    <definedName name="Rel_Forw">OFFSET(Date_Range,0,10,,1)</definedName>
    <definedName name="RepairedName0359" hidden="1">"iQShowAnnual"</definedName>
    <definedName name="ResearchTopic" localSheetId="21">IndexInformation!$B$4</definedName>
    <definedName name="RIC" localSheetId="21">IndexInformation!$B$21</definedName>
    <definedName name="rngAppName" localSheetId="18">'MWA Lease'!$A$1</definedName>
    <definedName name="rngCompany" localSheetId="18">'MWA Lease'!$F$6</definedName>
    <definedName name="rngTicker" localSheetId="18">'MWA Lease'!$I$3</definedName>
    <definedName name="s">{"Client Name or Project Name"}</definedName>
    <definedName name="sales_1">[9]Income!$A$113:$IV$113</definedName>
    <definedName name="sales_2">[9]Income!$A$114:$IV$114</definedName>
    <definedName name="sales_3">[9]Income!$A$115:$IV$115</definedName>
    <definedName name="SaveNewFile">[10]!SaveNewFile</definedName>
    <definedName name="SECSettlement" localSheetId="0">ImportantDisclosures!#REF!</definedName>
    <definedName name="SEDOL" localSheetId="21">IndexInformation!$B$22</definedName>
    <definedName name="shares">'[8]Old BKS'!$A$592:$U$606</definedName>
    <definedName name="SourceDefined" localSheetId="0">ImportantDisclosures!$A$19</definedName>
    <definedName name="Sp">"       "</definedName>
    <definedName name="StockRating" localSheetId="0">ImportantDisclosures!$A$11</definedName>
    <definedName name="SubjectCode" localSheetId="21">IndexInformation!$B$6</definedName>
    <definedName name="SubmitterUserId">IndexInformation!$B$39</definedName>
    <definedName name="SUPPRESSED" localSheetId="22">ModPubIndex!$A$13</definedName>
    <definedName name="TargetPrice" localSheetId="0">ImportantDisclosures!$A$15</definedName>
    <definedName name="TemplateRegion">IndexInformation!$B$36</definedName>
    <definedName name="Ticker" localSheetId="0">ImportantDisclosures!$A$10</definedName>
    <definedName name="ticker">OFFSET('[16]Exclusion List'!$A$1,1,0,COUNTA('[16]Exclusion List'!$A$1:$A$65536)-1,1)</definedName>
    <definedName name="TickerRegion">IndexInformation!$B$41</definedName>
    <definedName name="Tickers" localSheetId="21">IndexInformation!$B$19</definedName>
    <definedName name="TRNR_18709d822c9e413390f0e58f484ccef8_0_0" hidden="1">DCF!$I$30</definedName>
    <definedName name="TRSLTicker">"TJX.N"</definedName>
    <definedName name="Update_This">[12]!Update_This</definedName>
    <definedName name="UpdateReason" localSheetId="21">IndexInformation!$B$17</definedName>
    <definedName name="USRegDisclosures" localSheetId="0">ImportantDisclosures!#REF!</definedName>
    <definedName name="Version">"June 29, 2004"</definedName>
    <definedName name="wrn.2._.pagers." hidden="1">{"Cover",#N/A,FALSE,"Cover";"Summary",#N/A,FALSE,"Summarpage"}</definedName>
    <definedName name="wrn.96_model." hidden="1">{"qtr_is_94_95",#N/A,FALSE,"MA";"ann_is_96",#N/A,FALSE,"MA";"seg_sales_96",#N/A,FALSE,"MA";"seg_inc_96",#N/A,FALSE,"MA";"divisional_91_95",#N/A,FALSE,"MA";"ann_bs_96",#N/A,FALSE,"MA";"ann_cf_96",#N/A,FALSE,"MA"}</definedName>
    <definedName name="wrn.allpages." hidden="1">{#N/A,#N/A,TRUE,"Historicals";#N/A,#N/A,TRUE,"Charts";#N/A,#N/A,TRUE,"Forecasts"}</definedName>
    <definedName name="wrn.cns"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Complete." localSheetId="20"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DG"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DG."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wrn.FTS."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FUZ_REP." hidden="1">{"FUZ_INC_A",#N/A,FALSE,"NOBE";"FUZ_INC_Q",#N/A,FALSE,"NOBE";"FUZ_BAL_A",#N/A,FALSE,"NOBE";"FUZ_CASH_A",#N/A,FALSE,"NOBE";"FUZ_PROD_A",#N/A,FALSE,"NOBE"}</definedName>
    <definedName name="wrn.fuz_report." hidden="1">{"fuz_inc_a",#N/A,FALSE,"BKS";"fuz_inc_q",#N/A,FALSE,"BKS";"fuz_bal_a",#N/A,FALSE,"BKS";"fuz_cash_a",#N/A,FALSE,"BKS";"fuz_prod_a",#N/A,FALSE,"BKS";"fuz_div_a",#N/A,FALSE,"BKS";"fuz_div2_a",#N/A,FALSE,"BKS"}</definedName>
    <definedName name="wrn.Industry.xls." localSheetId="20" hidden="1">{#N/A,#N/A,FALSE,"Earnings";#N/A,#N/A,FALSE,"Overview";#N/A,#N/A,FALSE,"Summary";#N/A,#N/A,FALSE,"Summary II";#N/A,#N/A,FALSE,"R&amp;D";#N/A,#N/A,FALSE,"R&amp;D Forecast";#N/A,#N/A,FALSE,"Tax Adj";#N/A,#N/A,FALSE,"Goodwill";#N/A,#N/A,FALSE,"FX ";#N/A,#N/A,FALSE,"Consolidation";#N/A,#N/A,FALSE,"Provisions"}</definedName>
    <definedName name="wrn.Industry.xls." hidden="1">{#N/A,#N/A,FALSE,"Earnings";#N/A,#N/A,FALSE,"Overview";#N/A,#N/A,FALSE,"Summary";#N/A,#N/A,FALSE,"Summary II";#N/A,#N/A,FALSE,"R&amp;D";#N/A,#N/A,FALSE,"R&amp;D Forecast";#N/A,#N/A,FALSE,"Tax Adj";#N/A,#N/A,FALSE,"Goodwill";#N/A,#N/A,FALSE,"FX ";#N/A,#N/A,FALSE,"Consolidation";#N/A,#N/A,FALSE,"Provisions"}</definedName>
    <definedName name="wrn.MOBIL." hidden="1">{"quarter",#N/A,FALSE,"MOB"}</definedName>
    <definedName name="wrn.PETC."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wrn.Pulp." hidden="1">{"Pulp Production",#N/A,FALSE,"Pulp";"Pulp Earnings",#N/A,FALSE,"Pulp"}</definedName>
    <definedName name="wrn.Q._.Report." hidden="1">{"Quarterly Earnings",#N/A,FALSE,"FTS";"Quarterly Margins",#N/A,FALSE,"FTS";"Q Sales",#N/A,FALSE,"FTS";"Q EBIT",#N/A,FALSE,"FTS";"Unit Analysis",#N/A,FALSE,"FTS";"Inventory Analysis",#N/A,FALSE,"FTS"}</definedName>
    <definedName name="xbrlsegment">[17]sumry!#REF!</definedName>
  </definedNames>
  <calcPr calcId="145621"/>
</workbook>
</file>

<file path=xl/calcChain.xml><?xml version="1.0" encoding="utf-8"?>
<calcChain xmlns="http://schemas.openxmlformats.org/spreadsheetml/2006/main">
  <c r="CR21" i="30" l="1"/>
  <c r="CR20" i="30"/>
  <c r="K226" i="40" l="1"/>
  <c r="F169" i="21" l="1"/>
  <c r="F345" i="21"/>
  <c r="F522" i="21"/>
  <c r="F699" i="21"/>
  <c r="DF43" i="35" l="1"/>
  <c r="DF37" i="35"/>
  <c r="DG37" i="35" s="1"/>
  <c r="DH37" i="35"/>
  <c r="DG31" i="35"/>
  <c r="DH31" i="35"/>
  <c r="DG25" i="35"/>
  <c r="DH25" i="35"/>
  <c r="DG19" i="35"/>
  <c r="DH19" i="35"/>
  <c r="BF67" i="31"/>
  <c r="BF59" i="31"/>
  <c r="BF53" i="31"/>
  <c r="BF47" i="31"/>
  <c r="BF35" i="31"/>
  <c r="BF29" i="31"/>
  <c r="BF11" i="31"/>
  <c r="DK113" i="36"/>
  <c r="BP127" i="3" l="1"/>
  <c r="BP126" i="3"/>
  <c r="BN127" i="3"/>
  <c r="BN126" i="3"/>
  <c r="BL127" i="3"/>
  <c r="BL126" i="3" l="1"/>
  <c r="BJ126" i="3"/>
  <c r="BH126" i="3"/>
  <c r="AC169" i="60" l="1"/>
  <c r="AD169" i="60" s="1"/>
  <c r="AD168" i="60"/>
  <c r="AC168" i="60"/>
  <c r="AC167" i="60"/>
  <c r="AD167" i="60" s="1"/>
  <c r="AD166" i="60"/>
  <c r="AC166" i="60"/>
  <c r="AC165" i="60"/>
  <c r="AD165" i="60" s="1"/>
  <c r="AD164" i="60"/>
  <c r="AC164" i="60"/>
  <c r="AC163" i="60"/>
  <c r="AD163" i="60" s="1"/>
  <c r="AD162" i="60"/>
  <c r="AC162" i="60"/>
  <c r="AC161" i="60"/>
  <c r="AD161" i="60" s="1"/>
  <c r="AD160" i="60"/>
  <c r="AC160" i="60"/>
  <c r="AC159" i="60"/>
  <c r="AD159" i="60" s="1"/>
  <c r="AD158" i="60"/>
  <c r="AC158" i="60"/>
  <c r="AC157" i="60"/>
  <c r="AD157" i="60" s="1"/>
  <c r="AD156" i="60"/>
  <c r="AC156" i="60"/>
  <c r="AC155" i="60"/>
  <c r="AD155" i="60" s="1"/>
  <c r="AD154" i="60"/>
  <c r="AC154" i="60"/>
  <c r="AC171" i="60" s="1"/>
  <c r="AD149" i="60"/>
  <c r="AC149" i="60"/>
  <c r="AD106" i="60"/>
  <c r="AC106" i="60"/>
  <c r="AC105" i="60"/>
  <c r="AD105" i="60" s="1"/>
  <c r="AD141" i="60" s="1"/>
  <c r="AD104" i="60"/>
  <c r="AD140" i="60" s="1"/>
  <c r="AC104" i="60"/>
  <c r="AC140" i="60" s="1"/>
  <c r="AC103" i="60"/>
  <c r="AD103" i="60" s="1"/>
  <c r="AD139" i="60" s="1"/>
  <c r="AD102" i="60"/>
  <c r="AD138" i="60" s="1"/>
  <c r="AC102" i="60"/>
  <c r="AC138" i="60" s="1"/>
  <c r="AC101" i="60"/>
  <c r="AD101" i="60" s="1"/>
  <c r="AD137" i="60" s="1"/>
  <c r="AD100" i="60"/>
  <c r="AD136" i="60" s="1"/>
  <c r="AC100" i="60"/>
  <c r="AC136" i="60" s="1"/>
  <c r="AC99" i="60"/>
  <c r="AD99" i="60" s="1"/>
  <c r="AD135" i="60" s="1"/>
  <c r="AD98" i="60"/>
  <c r="AD134" i="60" s="1"/>
  <c r="AC98" i="60"/>
  <c r="AC134" i="60" s="1"/>
  <c r="AC97" i="60"/>
  <c r="AD97" i="60" s="1"/>
  <c r="AD133" i="60" s="1"/>
  <c r="AD96" i="60"/>
  <c r="AD132" i="60" s="1"/>
  <c r="AC96" i="60"/>
  <c r="AC132" i="60" s="1"/>
  <c r="AC95" i="60"/>
  <c r="AD95" i="60" s="1"/>
  <c r="AD131" i="60" s="1"/>
  <c r="AD94" i="60"/>
  <c r="AD130" i="60" s="1"/>
  <c r="AC94" i="60"/>
  <c r="AC130" i="60" s="1"/>
  <c r="AC93" i="60"/>
  <c r="AD93" i="60" s="1"/>
  <c r="AD129" i="60" s="1"/>
  <c r="AD92" i="60"/>
  <c r="AD128" i="60" s="1"/>
  <c r="AC92" i="60"/>
  <c r="AC128" i="60" s="1"/>
  <c r="AC91" i="60"/>
  <c r="AD91" i="60" s="1"/>
  <c r="AD127" i="60" s="1"/>
  <c r="AD90" i="60"/>
  <c r="AD126" i="60" s="1"/>
  <c r="AC90" i="60"/>
  <c r="AC126" i="60" s="1"/>
  <c r="AC89" i="60"/>
  <c r="AD89" i="60" s="1"/>
  <c r="AD125" i="60" s="1"/>
  <c r="AD88" i="60"/>
  <c r="AD124" i="60" s="1"/>
  <c r="AC88" i="60"/>
  <c r="AC124" i="60" s="1"/>
  <c r="AC87" i="60"/>
  <c r="AD87" i="60" s="1"/>
  <c r="AD123" i="60" s="1"/>
  <c r="AD86" i="60"/>
  <c r="AD122" i="60" s="1"/>
  <c r="AC86" i="60"/>
  <c r="AC122" i="60" s="1"/>
  <c r="AC85" i="60"/>
  <c r="AD85" i="60" s="1"/>
  <c r="AD121" i="60" s="1"/>
  <c r="AD84" i="60"/>
  <c r="AD120" i="60" s="1"/>
  <c r="AC84" i="60"/>
  <c r="AC120" i="60" s="1"/>
  <c r="AC83" i="60"/>
  <c r="AD83" i="60" s="1"/>
  <c r="AD82" i="60"/>
  <c r="AD118" i="60" s="1"/>
  <c r="AC82" i="60"/>
  <c r="AC118" i="60" s="1"/>
  <c r="AC81" i="60"/>
  <c r="AD81" i="60" s="1"/>
  <c r="AD117" i="60" s="1"/>
  <c r="AD80" i="60"/>
  <c r="AD116" i="60" s="1"/>
  <c r="AC80" i="60"/>
  <c r="AC116" i="60" s="1"/>
  <c r="AC79" i="60"/>
  <c r="AD79" i="60" s="1"/>
  <c r="AD115" i="60" s="1"/>
  <c r="AD78" i="60"/>
  <c r="AD114" i="60" s="1"/>
  <c r="AC78" i="60"/>
  <c r="AC114" i="60" s="1"/>
  <c r="AC77" i="60"/>
  <c r="AD77" i="60" s="1"/>
  <c r="AD113" i="60" s="1"/>
  <c r="AD76" i="60"/>
  <c r="AD112" i="60" s="1"/>
  <c r="AC76" i="60"/>
  <c r="AC112" i="60" s="1"/>
  <c r="AC63" i="60"/>
  <c r="AD63" i="60" s="1"/>
  <c r="AD47" i="60"/>
  <c r="AC47" i="60"/>
  <c r="AC29" i="60"/>
  <c r="AC21" i="60"/>
  <c r="AC9" i="60"/>
  <c r="AC74" i="60" s="1"/>
  <c r="AC110" i="60" s="1"/>
  <c r="AC147" i="60" s="1"/>
  <c r="AC8" i="60"/>
  <c r="AD8" i="60" s="1"/>
  <c r="AD171" i="60" l="1"/>
  <c r="AD143" i="60"/>
  <c r="AD119" i="60"/>
  <c r="AD68" i="60"/>
  <c r="AD66" i="60" s="1"/>
  <c r="AD67" i="60" s="1"/>
  <c r="AD11" i="60"/>
  <c r="AD23" i="60"/>
  <c r="AD12" i="60" s="1"/>
  <c r="AC23" i="60"/>
  <c r="AC12" i="60" s="1"/>
  <c r="AC68" i="60"/>
  <c r="AC66" i="60" s="1"/>
  <c r="AC67" i="60" s="1"/>
  <c r="AD9" i="60"/>
  <c r="AD74" i="60" s="1"/>
  <c r="AD110" i="60" s="1"/>
  <c r="AD147" i="60" s="1"/>
  <c r="AC113" i="60"/>
  <c r="AC143" i="60" s="1"/>
  <c r="AC115" i="60"/>
  <c r="AC117" i="60"/>
  <c r="AC119" i="60"/>
  <c r="AC121" i="60"/>
  <c r="AC123" i="60"/>
  <c r="AC125" i="60"/>
  <c r="AC127" i="60"/>
  <c r="AC129" i="60"/>
  <c r="AC131" i="60"/>
  <c r="AC133" i="60"/>
  <c r="AC135" i="60"/>
  <c r="AC137" i="60"/>
  <c r="AC139" i="60"/>
  <c r="AC141" i="60"/>
  <c r="AC11" i="60"/>
  <c r="BH54" i="3"/>
  <c r="AC54" i="60" l="1"/>
  <c r="AC153" i="60"/>
  <c r="AC22" i="60"/>
  <c r="AD13" i="60"/>
  <c r="AD31" i="60"/>
  <c r="AD153" i="60"/>
  <c r="AD54" i="60"/>
  <c r="AC13" i="60"/>
  <c r="AC31" i="60"/>
  <c r="AD22" i="60"/>
  <c r="BF54" i="32"/>
  <c r="BF23" i="32"/>
  <c r="AC170" i="60" l="1"/>
  <c r="AC32" i="60"/>
  <c r="AC30" i="60" s="1"/>
  <c r="AC24" i="60"/>
  <c r="AC59" i="60"/>
  <c r="AC60" i="60" s="1"/>
  <c r="AC51" i="60"/>
  <c r="AC52" i="60" s="1"/>
  <c r="AC55" i="60"/>
  <c r="AD170" i="60"/>
  <c r="AD32" i="60"/>
  <c r="AD59" i="60"/>
  <c r="AD51" i="60"/>
  <c r="AD60" i="60"/>
  <c r="AD55" i="60"/>
  <c r="DU20" i="30"/>
  <c r="AD21" i="60" l="1"/>
  <c r="AD24" i="60" s="1"/>
  <c r="AC37" i="60"/>
  <c r="AC39" i="60" s="1"/>
  <c r="AC35" i="60"/>
  <c r="AC15" i="60"/>
  <c r="AC33" i="60"/>
  <c r="AD29" i="60" s="1"/>
  <c r="AC44" i="60"/>
  <c r="AD52" i="60"/>
  <c r="AD30" i="60" l="1"/>
  <c r="AD15" i="60" s="1"/>
  <c r="AD33" i="60"/>
  <c r="AD37" i="60" s="1"/>
  <c r="AD39" i="60" s="1"/>
  <c r="AC38" i="60"/>
  <c r="AC16" i="60"/>
  <c r="AD38" i="60" l="1"/>
  <c r="AD16" i="60"/>
  <c r="AD35" i="60"/>
  <c r="AD44" i="60"/>
  <c r="P122" i="87" l="1"/>
  <c r="P116" i="87"/>
  <c r="P109" i="87"/>
  <c r="P104" i="87"/>
  <c r="P99" i="87"/>
  <c r="P95" i="87"/>
  <c r="P88" i="87"/>
  <c r="P86" i="87"/>
  <c r="P90" i="87" s="1"/>
  <c r="P81" i="87"/>
  <c r="P75" i="87"/>
  <c r="P68" i="87"/>
  <c r="P15" i="87"/>
  <c r="P54" i="87" s="1"/>
  <c r="AV48" i="8"/>
  <c r="AC31" i="8"/>
  <c r="P58" i="87"/>
  <c r="P47" i="87"/>
  <c r="P45" i="87"/>
  <c r="O42" i="87"/>
  <c r="DH216" i="36"/>
  <c r="DJ216" i="36"/>
  <c r="BD4" i="39"/>
  <c r="M7" i="101"/>
  <c r="DL10" i="35"/>
  <c r="M8" i="101"/>
  <c r="P49" i="87" l="1"/>
  <c r="AD70" i="8"/>
  <c r="H703" i="21"/>
  <c r="H526" i="21"/>
  <c r="DL291" i="36"/>
  <c r="AE68" i="8"/>
  <c r="BA226" i="40"/>
  <c r="CW226" i="40"/>
  <c r="R226" i="40"/>
  <c r="AN225" i="40"/>
  <c r="AM225" i="40" s="1"/>
  <c r="AM226" i="40" s="1"/>
  <c r="AN226" i="40" s="1"/>
  <c r="CQ226" i="40"/>
  <c r="CP225" i="40"/>
  <c r="CP226" i="40" s="1"/>
  <c r="CJ226" i="40"/>
  <c r="CI226" i="40"/>
  <c r="CI225" i="40"/>
  <c r="BP226" i="40"/>
  <c r="BI226" i="40"/>
  <c r="BO226" i="40"/>
  <c r="BO225" i="40"/>
  <c r="BH226" i="40"/>
  <c r="BH225" i="40"/>
  <c r="BA225" i="40"/>
  <c r="AG226" i="40"/>
  <c r="AF226" i="40"/>
  <c r="AF225" i="40"/>
  <c r="Z226" i="40"/>
  <c r="Y226" i="40"/>
  <c r="Y225" i="40"/>
  <c r="H525" i="21"/>
  <c r="H348" i="21"/>
  <c r="H173" i="21"/>
  <c r="H172" i="21"/>
  <c r="H528" i="21"/>
  <c r="H527" i="21"/>
  <c r="H702" i="21"/>
  <c r="H705" i="21"/>
  <c r="H704" i="21"/>
  <c r="H351" i="21"/>
  <c r="H350" i="21"/>
  <c r="H349" i="21"/>
  <c r="R225" i="40"/>
  <c r="K225" i="40"/>
  <c r="H175" i="21"/>
  <c r="H174" i="21"/>
  <c r="DG13" i="35"/>
  <c r="AG203" i="39"/>
  <c r="AA203" i="39"/>
  <c r="AM203" i="39"/>
  <c r="H698" i="21"/>
  <c r="F698" i="21"/>
  <c r="D698" i="21"/>
  <c r="S698" i="21"/>
  <c r="H521" i="21"/>
  <c r="D521" i="21"/>
  <c r="F521" i="21"/>
  <c r="S521" i="21"/>
  <c r="H344" i="21"/>
  <c r="F344" i="21"/>
  <c r="S344" i="21"/>
  <c r="D168" i="21"/>
  <c r="S168" i="21"/>
  <c r="F168" i="21"/>
  <c r="I203" i="39"/>
  <c r="DL34" i="36"/>
  <c r="DJ54" i="36"/>
  <c r="DK24" i="36"/>
  <c r="B8" i="101" l="1"/>
  <c r="I7" i="101"/>
  <c r="I8" i="101" s="1"/>
  <c r="G7" i="101"/>
  <c r="G8" i="101" s="1"/>
  <c r="F7" i="101"/>
  <c r="F8" i="101" s="1"/>
  <c r="F7" i="101" a="1"/>
  <c r="H7" i="101" s="1"/>
  <c r="H8" i="101" s="1"/>
  <c r="E7" i="101"/>
  <c r="E8" i="101" s="1"/>
  <c r="D7" i="101"/>
  <c r="D8" i="101" s="1"/>
  <c r="C7" i="101"/>
  <c r="C8" i="101" s="1"/>
  <c r="B7" i="101"/>
  <c r="B7" i="101" a="1"/>
  <c r="J4" i="101" a="1"/>
  <c r="J4" i="101" s="1"/>
  <c r="J5" i="101" s="1"/>
  <c r="F4" i="101" a="1"/>
  <c r="G4" i="101" s="1"/>
  <c r="G5" i="101" s="1"/>
  <c r="G11" i="101" s="1"/>
  <c r="G13" i="101" s="1"/>
  <c r="C4" i="101"/>
  <c r="C5" i="101" s="1"/>
  <c r="C11" i="101" s="1"/>
  <c r="C13" i="101" s="1"/>
  <c r="B4" i="101"/>
  <c r="B5" i="101" s="1"/>
  <c r="B11" i="101" s="1"/>
  <c r="B13" i="101" s="1"/>
  <c r="B4" i="101" a="1"/>
  <c r="D4" i="101" s="1"/>
  <c r="D5" i="101" s="1"/>
  <c r="D11" i="101" s="1"/>
  <c r="D13" i="101" s="1"/>
  <c r="M3" i="101"/>
  <c r="L3" i="101"/>
  <c r="K3" i="101"/>
  <c r="J3" i="101"/>
  <c r="I3" i="101"/>
  <c r="H3" i="101"/>
  <c r="G3" i="101"/>
  <c r="F3" i="101"/>
  <c r="E3" i="101"/>
  <c r="D3" i="101"/>
  <c r="C3" i="101"/>
  <c r="B3" i="101"/>
  <c r="D37" i="99"/>
  <c r="L4" i="101" l="1"/>
  <c r="L5" i="101" s="1"/>
  <c r="I4" i="101"/>
  <c r="I5" i="101" s="1"/>
  <c r="I11" i="101" s="1"/>
  <c r="I13" i="101" s="1"/>
  <c r="F4" i="101"/>
  <c r="F5" i="101" s="1"/>
  <c r="F11" i="101" s="1"/>
  <c r="F13" i="101" s="1"/>
  <c r="E4" i="101"/>
  <c r="E5" i="101" s="1"/>
  <c r="E11" i="101" s="1"/>
  <c r="E13" i="101" s="1"/>
  <c r="H4" i="101"/>
  <c r="H5" i="101" s="1"/>
  <c r="H11" i="101" s="1"/>
  <c r="H13" i="101" s="1"/>
  <c r="K4" i="101"/>
  <c r="K5" i="101" s="1"/>
  <c r="M4" i="101"/>
  <c r="M5" i="101" s="1"/>
  <c r="M11" i="101" s="1"/>
  <c r="M13" i="101" s="1"/>
  <c r="C37" i="99"/>
  <c r="C34" i="99"/>
  <c r="I32" i="99"/>
  <c r="H32" i="99" l="1"/>
  <c r="I30" i="99"/>
  <c r="H30" i="99" l="1"/>
  <c r="H33" i="99" s="1"/>
  <c r="G23" i="99"/>
  <c r="H23" i="99" s="1"/>
  <c r="F23" i="99"/>
  <c r="E23" i="99"/>
  <c r="G15" i="99"/>
  <c r="H15" i="99" s="1"/>
  <c r="I15" i="99" s="1"/>
  <c r="J15" i="99" s="1"/>
  <c r="F15" i="99"/>
  <c r="E15" i="99"/>
  <c r="D15" i="99"/>
  <c r="C15" i="99"/>
  <c r="O149" i="60"/>
  <c r="N149" i="60"/>
  <c r="M149" i="60"/>
  <c r="L149" i="60"/>
  <c r="K149" i="60"/>
  <c r="J149" i="60"/>
  <c r="I149" i="60"/>
  <c r="H149" i="60"/>
  <c r="B133" i="60"/>
  <c r="B134" i="60" s="1"/>
  <c r="C135" i="60" s="1"/>
  <c r="C131" i="60"/>
  <c r="B131" i="60"/>
  <c r="B132" i="60" s="1"/>
  <c r="C133" i="60" s="1"/>
  <c r="C130" i="60"/>
  <c r="C129" i="60"/>
  <c r="C128" i="60"/>
  <c r="C127" i="60"/>
  <c r="C126" i="60"/>
  <c r="C125" i="60"/>
  <c r="C124" i="60"/>
  <c r="C123" i="60"/>
  <c r="C122" i="60"/>
  <c r="C121" i="60"/>
  <c r="C120" i="60"/>
  <c r="C119" i="60"/>
  <c r="C118" i="60"/>
  <c r="C117" i="60"/>
  <c r="C116" i="60"/>
  <c r="C115" i="60"/>
  <c r="C114" i="60"/>
  <c r="C113" i="60"/>
  <c r="H117" i="60"/>
  <c r="U116" i="60"/>
  <c r="T116" i="60"/>
  <c r="S116" i="60"/>
  <c r="R116" i="60"/>
  <c r="Q116" i="60"/>
  <c r="P116" i="60"/>
  <c r="O116" i="60"/>
  <c r="N116" i="60"/>
  <c r="M116" i="60"/>
  <c r="L116" i="60"/>
  <c r="K116" i="60"/>
  <c r="J116" i="60"/>
  <c r="I116" i="60"/>
  <c r="H116" i="60"/>
  <c r="U115" i="60"/>
  <c r="T115" i="60"/>
  <c r="S115" i="60"/>
  <c r="R115" i="60"/>
  <c r="Q115" i="60"/>
  <c r="P115" i="60"/>
  <c r="O115" i="60"/>
  <c r="N115" i="60"/>
  <c r="M115" i="60"/>
  <c r="L115" i="60"/>
  <c r="K115" i="60"/>
  <c r="J115" i="60"/>
  <c r="I115" i="60"/>
  <c r="H115" i="60"/>
  <c r="U114" i="60"/>
  <c r="T114" i="60"/>
  <c r="S114" i="60"/>
  <c r="R114" i="60"/>
  <c r="Q114" i="60"/>
  <c r="P114" i="60"/>
  <c r="O114" i="60"/>
  <c r="N114" i="60"/>
  <c r="M114" i="60"/>
  <c r="L114" i="60"/>
  <c r="K114" i="60"/>
  <c r="J114" i="60"/>
  <c r="I114" i="60"/>
  <c r="H114" i="60"/>
  <c r="U113" i="60"/>
  <c r="T113" i="60"/>
  <c r="S113" i="60"/>
  <c r="R113" i="60"/>
  <c r="Q113" i="60"/>
  <c r="P113" i="60"/>
  <c r="O113" i="60"/>
  <c r="N113" i="60"/>
  <c r="M113" i="60"/>
  <c r="L113" i="60"/>
  <c r="K113" i="60"/>
  <c r="J113" i="60"/>
  <c r="I113" i="60"/>
  <c r="H113" i="60"/>
  <c r="U112" i="60"/>
  <c r="T112" i="60"/>
  <c r="S112" i="60"/>
  <c r="R112" i="60"/>
  <c r="Q112" i="60"/>
  <c r="P112" i="60"/>
  <c r="O112" i="60"/>
  <c r="N112" i="60"/>
  <c r="M112" i="60"/>
  <c r="L112" i="60"/>
  <c r="K112" i="60"/>
  <c r="J112" i="60"/>
  <c r="I112" i="60"/>
  <c r="H112" i="60"/>
  <c r="S83" i="60"/>
  <c r="O83" i="60"/>
  <c r="K83" i="60"/>
  <c r="T82" i="60"/>
  <c r="S82" i="60"/>
  <c r="P82" i="60"/>
  <c r="O82" i="60"/>
  <c r="L82" i="60"/>
  <c r="K82" i="60"/>
  <c r="H82" i="60"/>
  <c r="T72" i="60"/>
  <c r="S72" i="60"/>
  <c r="P72" i="60"/>
  <c r="O72" i="60"/>
  <c r="L72" i="60"/>
  <c r="K72" i="60"/>
  <c r="H72" i="60"/>
  <c r="H152" i="60" s="1"/>
  <c r="U71" i="60"/>
  <c r="U82" i="60" s="1"/>
  <c r="T71" i="60"/>
  <c r="S71" i="60"/>
  <c r="R71" i="60"/>
  <c r="Q71" i="60"/>
  <c r="P71" i="60"/>
  <c r="O71" i="60"/>
  <c r="N71" i="60"/>
  <c r="M71" i="60"/>
  <c r="L71" i="60"/>
  <c r="K71" i="60"/>
  <c r="J71" i="60"/>
  <c r="I71" i="60"/>
  <c r="H71" i="60"/>
  <c r="T67" i="60"/>
  <c r="P67" i="60"/>
  <c r="L67" i="60"/>
  <c r="U66" i="60"/>
  <c r="U67" i="60" s="1"/>
  <c r="T66" i="60"/>
  <c r="S66" i="60"/>
  <c r="R66" i="60"/>
  <c r="Q66" i="60"/>
  <c r="Q67" i="60" s="1"/>
  <c r="P66" i="60"/>
  <c r="O66" i="60"/>
  <c r="N66" i="60"/>
  <c r="M66" i="60"/>
  <c r="M67" i="60" s="1"/>
  <c r="L66" i="60"/>
  <c r="K66" i="60"/>
  <c r="J66" i="60"/>
  <c r="I66" i="60"/>
  <c r="I67" i="60" s="1"/>
  <c r="H66" i="60"/>
  <c r="U64" i="60"/>
  <c r="V64" i="60" s="1"/>
  <c r="M64" i="60"/>
  <c r="U63" i="60"/>
  <c r="T63" i="60"/>
  <c r="T64" i="60" s="1"/>
  <c r="S63" i="60"/>
  <c r="R63" i="60"/>
  <c r="R64" i="60" s="1"/>
  <c r="Q63" i="60"/>
  <c r="Q64" i="60" s="1"/>
  <c r="P63" i="60"/>
  <c r="P64" i="60" s="1"/>
  <c r="O63" i="60"/>
  <c r="N63" i="60"/>
  <c r="N64" i="60" s="1"/>
  <c r="M63" i="60"/>
  <c r="L63" i="60"/>
  <c r="L64" i="60" s="1"/>
  <c r="K63" i="60"/>
  <c r="J63" i="60"/>
  <c r="J64" i="60" s="1"/>
  <c r="I63" i="60"/>
  <c r="I64" i="60" s="1"/>
  <c r="H63" i="60"/>
  <c r="G56" i="60"/>
  <c r="T48" i="60"/>
  <c r="L48" i="60"/>
  <c r="V47" i="60"/>
  <c r="V48" i="60" s="1"/>
  <c r="U47" i="60"/>
  <c r="T47" i="60"/>
  <c r="U48" i="60" s="1"/>
  <c r="S47" i="60"/>
  <c r="S48" i="60" s="1"/>
  <c r="R47" i="60"/>
  <c r="R48" i="60" s="1"/>
  <c r="Q47" i="60"/>
  <c r="P47" i="60"/>
  <c r="Q48" i="60" s="1"/>
  <c r="O47" i="60"/>
  <c r="O48" i="60" s="1"/>
  <c r="N47" i="60"/>
  <c r="N48" i="60" s="1"/>
  <c r="M47" i="60"/>
  <c r="L47" i="60"/>
  <c r="M48" i="60" s="1"/>
  <c r="K47" i="60"/>
  <c r="K48" i="60" s="1"/>
  <c r="J47" i="60"/>
  <c r="J48" i="60" s="1"/>
  <c r="I47" i="60"/>
  <c r="H47" i="60"/>
  <c r="I48" i="60" s="1"/>
  <c r="H35" i="60"/>
  <c r="H32" i="60"/>
  <c r="J11" i="60"/>
  <c r="J31" i="60" s="1"/>
  <c r="I11" i="60"/>
  <c r="I31" i="60" s="1"/>
  <c r="H11" i="60"/>
  <c r="H31" i="60" s="1"/>
  <c r="R9" i="60"/>
  <c r="S9" i="60" s="1"/>
  <c r="K8" i="60"/>
  <c r="J8" i="60"/>
  <c r="I8" i="60"/>
  <c r="C4" i="60"/>
  <c r="B254" i="40"/>
  <c r="B253" i="40"/>
  <c r="B252" i="40"/>
  <c r="B251" i="40"/>
  <c r="B250" i="40"/>
  <c r="A253" i="40"/>
  <c r="A252" i="40"/>
  <c r="A251" i="40"/>
  <c r="A250" i="40"/>
  <c r="EB253" i="40"/>
  <c r="EB252" i="40"/>
  <c r="EA252" i="40"/>
  <c r="DZ252" i="40"/>
  <c r="DY252" i="40"/>
  <c r="DX252" i="40"/>
  <c r="DW252" i="40"/>
  <c r="DV252" i="40"/>
  <c r="DU252" i="40"/>
  <c r="DT252" i="40"/>
  <c r="EE252" i="40" s="1"/>
  <c r="EF252" i="40" s="1"/>
  <c r="DS252" i="40"/>
  <c r="ED252" i="40" s="1"/>
  <c r="EB251" i="40"/>
  <c r="EA251" i="40"/>
  <c r="DZ251" i="40"/>
  <c r="DY251" i="40"/>
  <c r="DX251" i="40"/>
  <c r="DW251" i="40"/>
  <c r="DV251" i="40"/>
  <c r="DU251" i="40"/>
  <c r="DT251" i="40"/>
  <c r="DS251" i="40"/>
  <c r="EE251" i="40" s="1"/>
  <c r="EB250" i="40"/>
  <c r="EA250" i="40"/>
  <c r="DZ250" i="40"/>
  <c r="DY250" i="40"/>
  <c r="DX250" i="40"/>
  <c r="DW250" i="40"/>
  <c r="DV250" i="40"/>
  <c r="DU250" i="40"/>
  <c r="DT250" i="40"/>
  <c r="ED250" i="40" s="1"/>
  <c r="DS250" i="40"/>
  <c r="EE250" i="40" s="1"/>
  <c r="E252" i="40"/>
  <c r="E251" i="40"/>
  <c r="E250" i="40"/>
  <c r="B247" i="40"/>
  <c r="B246" i="40"/>
  <c r="E245" i="40"/>
  <c r="E244" i="40"/>
  <c r="E243" i="40"/>
  <c r="A246" i="40"/>
  <c r="EB246" i="40"/>
  <c r="EB245" i="40"/>
  <c r="EA245" i="40"/>
  <c r="DZ245" i="40"/>
  <c r="DY245" i="40"/>
  <c r="DX245" i="40"/>
  <c r="DW245" i="40"/>
  <c r="DV245" i="40"/>
  <c r="DU245" i="40"/>
  <c r="DT245" i="40"/>
  <c r="DS245" i="40"/>
  <c r="EB244" i="40"/>
  <c r="EA244" i="40"/>
  <c r="DZ244" i="40"/>
  <c r="DY244" i="40"/>
  <c r="DX244" i="40"/>
  <c r="DW244" i="40"/>
  <c r="DV244" i="40"/>
  <c r="DU244" i="40"/>
  <c r="DT244" i="40"/>
  <c r="ED244" i="40" s="1"/>
  <c r="DS244" i="40"/>
  <c r="EB243" i="40"/>
  <c r="EA243" i="40"/>
  <c r="DZ243" i="40"/>
  <c r="DY243" i="40"/>
  <c r="DX243" i="40"/>
  <c r="DW243" i="40"/>
  <c r="DV243" i="40"/>
  <c r="DU243" i="40"/>
  <c r="DT243" i="40"/>
  <c r="DS243" i="40"/>
  <c r="B245" i="40"/>
  <c r="A245" i="40"/>
  <c r="B244" i="40"/>
  <c r="A244" i="40"/>
  <c r="B243" i="40"/>
  <c r="A243" i="40"/>
  <c r="B240" i="40"/>
  <c r="B239" i="40"/>
  <c r="B238" i="40"/>
  <c r="B237" i="40"/>
  <c r="B236" i="40"/>
  <c r="A239" i="40"/>
  <c r="A238" i="40"/>
  <c r="A237" i="40"/>
  <c r="A236" i="40"/>
  <c r="EE238" i="40"/>
  <c r="EB239" i="40"/>
  <c r="EB238" i="40"/>
  <c r="EA238" i="40"/>
  <c r="DZ238" i="40"/>
  <c r="DY238" i="40"/>
  <c r="DX238" i="40"/>
  <c r="DW238" i="40"/>
  <c r="DV238" i="40"/>
  <c r="DU238" i="40"/>
  <c r="DT238" i="40"/>
  <c r="DS238" i="40"/>
  <c r="ED238" i="40" s="1"/>
  <c r="EB237" i="40"/>
  <c r="EA237" i="40"/>
  <c r="DZ237" i="40"/>
  <c r="DY237" i="40"/>
  <c r="DX237" i="40"/>
  <c r="DW237" i="40"/>
  <c r="DV237" i="40"/>
  <c r="DU237" i="40"/>
  <c r="DT237" i="40"/>
  <c r="EE237" i="40" s="1"/>
  <c r="DS237" i="40"/>
  <c r="EB236" i="40"/>
  <c r="EA236" i="40"/>
  <c r="DZ236" i="40"/>
  <c r="DY236" i="40"/>
  <c r="DX236" i="40"/>
  <c r="DW236" i="40"/>
  <c r="DV236" i="40"/>
  <c r="DU236" i="40"/>
  <c r="DT236" i="40"/>
  <c r="EE236" i="40" s="1"/>
  <c r="DS236" i="40"/>
  <c r="ED236" i="40" s="1"/>
  <c r="E238" i="40"/>
  <c r="E237" i="40"/>
  <c r="E236" i="40"/>
  <c r="B233" i="40"/>
  <c r="B232" i="40"/>
  <c r="B231" i="40"/>
  <c r="B230" i="40"/>
  <c r="B229" i="40"/>
  <c r="A232" i="40"/>
  <c r="A231" i="40"/>
  <c r="A230" i="40"/>
  <c r="A229" i="40"/>
  <c r="EB232" i="40"/>
  <c r="EB231" i="40"/>
  <c r="EA231" i="40"/>
  <c r="DZ231" i="40"/>
  <c r="DY231" i="40"/>
  <c r="DX231" i="40"/>
  <c r="DW231" i="40"/>
  <c r="DV231" i="40"/>
  <c r="DU231" i="40"/>
  <c r="DT231" i="40"/>
  <c r="DS231" i="40"/>
  <c r="EB230" i="40"/>
  <c r="EA230" i="40"/>
  <c r="DZ230" i="40"/>
  <c r="DY230" i="40"/>
  <c r="DX230" i="40"/>
  <c r="DW230" i="40"/>
  <c r="DV230" i="40"/>
  <c r="DU230" i="40"/>
  <c r="DT230" i="40"/>
  <c r="DS230" i="40"/>
  <c r="EE230" i="40" s="1"/>
  <c r="EB229" i="40"/>
  <c r="EA229" i="40"/>
  <c r="DZ229" i="40"/>
  <c r="DY229" i="40"/>
  <c r="DX229" i="40"/>
  <c r="DW229" i="40"/>
  <c r="DV229" i="40"/>
  <c r="DU229" i="40"/>
  <c r="DT229" i="40"/>
  <c r="DS229" i="40"/>
  <c r="E231" i="40"/>
  <c r="E230" i="40"/>
  <c r="E229" i="40"/>
  <c r="B226" i="40"/>
  <c r="B225" i="40"/>
  <c r="B224" i="40"/>
  <c r="B223" i="40"/>
  <c r="B222" i="40"/>
  <c r="DD224" i="40"/>
  <c r="DD223" i="40"/>
  <c r="DD222" i="40"/>
  <c r="BM224" i="40"/>
  <c r="BM223" i="40"/>
  <c r="BM222" i="40"/>
  <c r="BF224" i="40"/>
  <c r="BF223" i="40"/>
  <c r="BF222" i="40"/>
  <c r="AR224" i="40"/>
  <c r="AR223" i="40"/>
  <c r="AR222" i="40"/>
  <c r="AK224" i="40"/>
  <c r="AK223" i="40"/>
  <c r="AK222" i="40"/>
  <c r="W224" i="40"/>
  <c r="W223" i="40"/>
  <c r="W222" i="40"/>
  <c r="P224" i="40"/>
  <c r="P223" i="40"/>
  <c r="P222" i="40"/>
  <c r="A225" i="40"/>
  <c r="A224" i="40"/>
  <c r="A223" i="40"/>
  <c r="A222" i="40"/>
  <c r="EB225" i="40"/>
  <c r="EB224" i="40"/>
  <c r="EA224" i="40"/>
  <c r="DZ224" i="40"/>
  <c r="DY224" i="40"/>
  <c r="DX224" i="40"/>
  <c r="DW224" i="40"/>
  <c r="DV224" i="40"/>
  <c r="DU224" i="40"/>
  <c r="DT224" i="40"/>
  <c r="DS224" i="40"/>
  <c r="ED224" i="40" s="1"/>
  <c r="EB223" i="40"/>
  <c r="EA223" i="40"/>
  <c r="DZ223" i="40"/>
  <c r="DY223" i="40"/>
  <c r="DX223" i="40"/>
  <c r="DW223" i="40"/>
  <c r="DV223" i="40"/>
  <c r="DU223" i="40"/>
  <c r="DT223" i="40"/>
  <c r="DS223" i="40"/>
  <c r="EE223" i="40" s="1"/>
  <c r="EB222" i="40"/>
  <c r="EA222" i="40"/>
  <c r="DZ222" i="40"/>
  <c r="DY222" i="40"/>
  <c r="DX222" i="40"/>
  <c r="DW222" i="40"/>
  <c r="DV222" i="40"/>
  <c r="DU222" i="40"/>
  <c r="DT222" i="40"/>
  <c r="DS222" i="40"/>
  <c r="EE222" i="40" s="1"/>
  <c r="G224" i="40"/>
  <c r="I224" i="40" s="1"/>
  <c r="E224" i="40"/>
  <c r="G223" i="40"/>
  <c r="E223" i="40"/>
  <c r="G222" i="40"/>
  <c r="I222" i="40" s="1"/>
  <c r="E222" i="40"/>
  <c r="DB219" i="40"/>
  <c r="CS219" i="40"/>
  <c r="CL219" i="40"/>
  <c r="BR219" i="40"/>
  <c r="BK219" i="40"/>
  <c r="BD219" i="40"/>
  <c r="AP219" i="40"/>
  <c r="AI219" i="40"/>
  <c r="AB219" i="40"/>
  <c r="U219" i="40"/>
  <c r="W219" i="40" s="1"/>
  <c r="N219" i="40"/>
  <c r="B219" i="40"/>
  <c r="B218" i="40"/>
  <c r="B217" i="40"/>
  <c r="B216" i="40"/>
  <c r="B215" i="40"/>
  <c r="DD215" i="40"/>
  <c r="BM218" i="40"/>
  <c r="BM217" i="40"/>
  <c r="BM216" i="40"/>
  <c r="BM215" i="40"/>
  <c r="BF218" i="40"/>
  <c r="BF217" i="40"/>
  <c r="BF216" i="40"/>
  <c r="BF215" i="40"/>
  <c r="AR218" i="40"/>
  <c r="AR217" i="40"/>
  <c r="AR216" i="40"/>
  <c r="AR215" i="40"/>
  <c r="AK218" i="40"/>
  <c r="AK217" i="40"/>
  <c r="AK216" i="40"/>
  <c r="AK215" i="40"/>
  <c r="AD218" i="40"/>
  <c r="W218" i="40"/>
  <c r="W217" i="40"/>
  <c r="W216" i="40"/>
  <c r="W215" i="40"/>
  <c r="P218" i="40"/>
  <c r="P217" i="40"/>
  <c r="P216" i="40"/>
  <c r="P215" i="40"/>
  <c r="A218" i="40"/>
  <c r="A217" i="40"/>
  <c r="A216" i="40"/>
  <c r="A215" i="40"/>
  <c r="EB218" i="40"/>
  <c r="EA218" i="40"/>
  <c r="DZ218" i="40"/>
  <c r="DY218" i="40"/>
  <c r="DX218" i="40"/>
  <c r="DW218" i="40"/>
  <c r="DV218" i="40"/>
  <c r="DU218" i="40"/>
  <c r="DT218" i="40"/>
  <c r="EE218" i="40" s="1"/>
  <c r="DS218" i="40"/>
  <c r="EB217" i="40"/>
  <c r="EA217" i="40"/>
  <c r="DZ217" i="40"/>
  <c r="DY217" i="40"/>
  <c r="DX217" i="40"/>
  <c r="DW217" i="40"/>
  <c r="DV217" i="40"/>
  <c r="DU217" i="40"/>
  <c r="DT217" i="40"/>
  <c r="EE217" i="40" s="1"/>
  <c r="DS217" i="40"/>
  <c r="EB216" i="40"/>
  <c r="EA216" i="40"/>
  <c r="DZ216" i="40"/>
  <c r="DY216" i="40"/>
  <c r="DX216" i="40"/>
  <c r="DW216" i="40"/>
  <c r="DV216" i="40"/>
  <c r="DU216" i="40"/>
  <c r="DT216" i="40"/>
  <c r="DS216" i="40"/>
  <c r="EB215" i="40"/>
  <c r="EA215" i="40"/>
  <c r="DZ215" i="40"/>
  <c r="DY215" i="40"/>
  <c r="DX215" i="40"/>
  <c r="DW215" i="40"/>
  <c r="DV215" i="40"/>
  <c r="DU215" i="40"/>
  <c r="DT215" i="40"/>
  <c r="EE215" i="40" s="1"/>
  <c r="DS215" i="40"/>
  <c r="G218" i="40"/>
  <c r="E218" i="40"/>
  <c r="G217" i="40"/>
  <c r="E217" i="40"/>
  <c r="G216" i="40"/>
  <c r="E216" i="40"/>
  <c r="G215" i="40"/>
  <c r="I215" i="40" s="1"/>
  <c r="E215" i="40"/>
  <c r="CS212" i="40"/>
  <c r="CT212" i="40" s="1"/>
  <c r="CT219" i="40" s="1"/>
  <c r="CP212" i="40"/>
  <c r="CP215" i="40" s="1"/>
  <c r="CP211" i="40"/>
  <c r="CP210" i="40"/>
  <c r="AP212" i="40"/>
  <c r="AR219" i="40" s="1"/>
  <c r="AI212" i="40"/>
  <c r="AB212" i="40"/>
  <c r="AD212" i="40" s="1"/>
  <c r="U212" i="40"/>
  <c r="N212" i="40"/>
  <c r="P219" i="40" s="1"/>
  <c r="G212" i="40"/>
  <c r="B212" i="40"/>
  <c r="B211" i="40"/>
  <c r="B210" i="40"/>
  <c r="B209" i="40"/>
  <c r="B208" i="40"/>
  <c r="DD208" i="40"/>
  <c r="BM211" i="40"/>
  <c r="BM210" i="40"/>
  <c r="BM209" i="40"/>
  <c r="BM208" i="40"/>
  <c r="BF211" i="40"/>
  <c r="BF210" i="40"/>
  <c r="BF209" i="40"/>
  <c r="BF208" i="40"/>
  <c r="AR211" i="40"/>
  <c r="AR210" i="40"/>
  <c r="AR209" i="40"/>
  <c r="AR208" i="40"/>
  <c r="AK211" i="40"/>
  <c r="AK210" i="40"/>
  <c r="AK209" i="40"/>
  <c r="AK208" i="40"/>
  <c r="AD211" i="40"/>
  <c r="W211" i="40"/>
  <c r="W210" i="40"/>
  <c r="W209" i="40"/>
  <c r="W208" i="40"/>
  <c r="P211" i="40"/>
  <c r="P210" i="40"/>
  <c r="P209" i="40"/>
  <c r="P208" i="40"/>
  <c r="A211" i="40"/>
  <c r="A210" i="40"/>
  <c r="A209" i="40"/>
  <c r="A208" i="40"/>
  <c r="EB211" i="40"/>
  <c r="EB210" i="40"/>
  <c r="EA210" i="40"/>
  <c r="DZ210" i="40"/>
  <c r="DY210" i="40"/>
  <c r="DX210" i="40"/>
  <c r="DW210" i="40"/>
  <c r="DV210" i="40"/>
  <c r="DU210" i="40"/>
  <c r="DT210" i="40"/>
  <c r="DS210" i="40"/>
  <c r="EB209" i="40"/>
  <c r="EA209" i="40"/>
  <c r="DZ209" i="40"/>
  <c r="DY209" i="40"/>
  <c r="DX209" i="40"/>
  <c r="DW209" i="40"/>
  <c r="DV209" i="40"/>
  <c r="DU209" i="40"/>
  <c r="DT209" i="40"/>
  <c r="DS209" i="40"/>
  <c r="EB208" i="40"/>
  <c r="EA208" i="40"/>
  <c r="DZ208" i="40"/>
  <c r="DY208" i="40"/>
  <c r="DX208" i="40"/>
  <c r="DW208" i="40"/>
  <c r="DV208" i="40"/>
  <c r="DU208" i="40"/>
  <c r="DT208" i="40"/>
  <c r="DS208" i="40"/>
  <c r="EE208" i="40" s="1"/>
  <c r="G211" i="40"/>
  <c r="G210" i="40"/>
  <c r="E210" i="40"/>
  <c r="G209" i="40"/>
  <c r="E209" i="40"/>
  <c r="G208" i="40"/>
  <c r="E208" i="40"/>
  <c r="CL205" i="40"/>
  <c r="BR205" i="40"/>
  <c r="BK205" i="40"/>
  <c r="BD205" i="40"/>
  <c r="AP205" i="40"/>
  <c r="AI205" i="40"/>
  <c r="AB205" i="40"/>
  <c r="U205" i="40"/>
  <c r="N205" i="40"/>
  <c r="G205" i="40"/>
  <c r="B205" i="40"/>
  <c r="B204" i="40"/>
  <c r="B203" i="40"/>
  <c r="B202" i="40"/>
  <c r="B201" i="40"/>
  <c r="DD204" i="40"/>
  <c r="DD203" i="40"/>
  <c r="DD202" i="40"/>
  <c r="DD201" i="40"/>
  <c r="BM204" i="40"/>
  <c r="BM203" i="40"/>
  <c r="BM202" i="40"/>
  <c r="BM201" i="40"/>
  <c r="BF204" i="40"/>
  <c r="BF203" i="40"/>
  <c r="BF202" i="40"/>
  <c r="BF201" i="40"/>
  <c r="AR204" i="40"/>
  <c r="AR203" i="40"/>
  <c r="AR202" i="40"/>
  <c r="AR201" i="40"/>
  <c r="AK204" i="40"/>
  <c r="AK203" i="40"/>
  <c r="AK202" i="40"/>
  <c r="AK201" i="40"/>
  <c r="AD204" i="40"/>
  <c r="W204" i="40"/>
  <c r="W203" i="40"/>
  <c r="W202" i="40"/>
  <c r="W201" i="40"/>
  <c r="P204" i="40"/>
  <c r="P203" i="40"/>
  <c r="P202" i="40"/>
  <c r="P201" i="40"/>
  <c r="A204" i="40"/>
  <c r="A203" i="40"/>
  <c r="A202" i="40"/>
  <c r="A201" i="40"/>
  <c r="EB204" i="40"/>
  <c r="EB203" i="40"/>
  <c r="EA203" i="40"/>
  <c r="DZ203" i="40"/>
  <c r="DY203" i="40"/>
  <c r="DX203" i="40"/>
  <c r="DW203" i="40"/>
  <c r="DV203" i="40"/>
  <c r="DU203" i="40"/>
  <c r="DT203" i="40"/>
  <c r="DS203" i="40"/>
  <c r="EE203" i="40" s="1"/>
  <c r="EB202" i="40"/>
  <c r="EA202" i="40"/>
  <c r="DZ202" i="40"/>
  <c r="DY202" i="40"/>
  <c r="DX202" i="40"/>
  <c r="DW202" i="40"/>
  <c r="DV202" i="40"/>
  <c r="DU202" i="40"/>
  <c r="ED202" i="40" s="1"/>
  <c r="DT202" i="40"/>
  <c r="EE202" i="40" s="1"/>
  <c r="DS202" i="40"/>
  <c r="EB201" i="40"/>
  <c r="EA201" i="40"/>
  <c r="DZ201" i="40"/>
  <c r="DY201" i="40"/>
  <c r="DX201" i="40"/>
  <c r="DW201" i="40"/>
  <c r="DV201" i="40"/>
  <c r="DU201" i="40"/>
  <c r="DT201" i="40"/>
  <c r="DS201" i="40"/>
  <c r="ED201" i="40" s="1"/>
  <c r="G204" i="40"/>
  <c r="G203" i="40"/>
  <c r="I203" i="40" s="1"/>
  <c r="E203" i="40"/>
  <c r="G202" i="40"/>
  <c r="I202" i="40" s="1"/>
  <c r="E202" i="40"/>
  <c r="G201" i="40"/>
  <c r="E201" i="40"/>
  <c r="DD198" i="40"/>
  <c r="CI198" i="40"/>
  <c r="CI197" i="40" s="1"/>
  <c r="CI194" i="40"/>
  <c r="CI195" i="40" s="1"/>
  <c r="BP198" i="40"/>
  <c r="BI198" i="40"/>
  <c r="BB198" i="40"/>
  <c r="AN198" i="40"/>
  <c r="AG198" i="40"/>
  <c r="Z198" i="40"/>
  <c r="S198" i="40"/>
  <c r="L198" i="40"/>
  <c r="B198" i="40"/>
  <c r="B197" i="40"/>
  <c r="B196" i="40"/>
  <c r="B195" i="40"/>
  <c r="B194" i="40"/>
  <c r="DD197" i="40"/>
  <c r="DD196" i="40"/>
  <c r="DD195" i="40"/>
  <c r="DD194" i="40"/>
  <c r="BM197" i="40"/>
  <c r="BM196" i="40"/>
  <c r="BM195" i="40"/>
  <c r="BM194" i="40"/>
  <c r="BF197" i="40"/>
  <c r="BF196" i="40"/>
  <c r="BF195" i="40"/>
  <c r="BF194" i="40"/>
  <c r="AR197" i="40"/>
  <c r="AR196" i="40"/>
  <c r="AR195" i="40"/>
  <c r="AR194" i="40"/>
  <c r="AK197" i="40"/>
  <c r="AK196" i="40"/>
  <c r="AK195" i="40"/>
  <c r="AK194" i="40"/>
  <c r="AD197" i="40"/>
  <c r="W197" i="40"/>
  <c r="W196" i="40"/>
  <c r="W195" i="40"/>
  <c r="W194" i="40"/>
  <c r="P197" i="40"/>
  <c r="P196" i="40"/>
  <c r="P195" i="40"/>
  <c r="P194" i="40"/>
  <c r="A197" i="40"/>
  <c r="A196" i="40"/>
  <c r="A195" i="40"/>
  <c r="A194" i="40"/>
  <c r="EB197" i="40"/>
  <c r="EA197" i="40"/>
  <c r="DZ197" i="40"/>
  <c r="DY197" i="40"/>
  <c r="DW197" i="40"/>
  <c r="DV197" i="40"/>
  <c r="DU197" i="40"/>
  <c r="DT197" i="40"/>
  <c r="DS197" i="40"/>
  <c r="EB196" i="40"/>
  <c r="EA196" i="40"/>
  <c r="DZ196" i="40"/>
  <c r="DY196" i="40"/>
  <c r="DX196" i="40"/>
  <c r="DW196" i="40"/>
  <c r="DV196" i="40"/>
  <c r="DU196" i="40"/>
  <c r="DT196" i="40"/>
  <c r="DS196" i="40"/>
  <c r="EE196" i="40" s="1"/>
  <c r="EB195" i="40"/>
  <c r="EA195" i="40"/>
  <c r="DZ195" i="40"/>
  <c r="DY195" i="40"/>
  <c r="DX195" i="40"/>
  <c r="DW195" i="40"/>
  <c r="DV195" i="40"/>
  <c r="DU195" i="40"/>
  <c r="EE195" i="40" s="1"/>
  <c r="DT195" i="40"/>
  <c r="DS195" i="40"/>
  <c r="EB194" i="40"/>
  <c r="EA194" i="40"/>
  <c r="DZ194" i="40"/>
  <c r="DY194" i="40"/>
  <c r="DX194" i="40"/>
  <c r="DW194" i="40"/>
  <c r="DV194" i="40"/>
  <c r="DU194" i="40"/>
  <c r="DT194" i="40"/>
  <c r="DS194" i="40"/>
  <c r="EE194" i="40" s="1"/>
  <c r="G197" i="40"/>
  <c r="I204" i="40" s="1"/>
  <c r="E197" i="40"/>
  <c r="G196" i="40"/>
  <c r="E196" i="40"/>
  <c r="G195" i="40"/>
  <c r="E195" i="40"/>
  <c r="G194" i="40"/>
  <c r="E194" i="40"/>
  <c r="DD191" i="40"/>
  <c r="CL191" i="40"/>
  <c r="CM191" i="40" s="1"/>
  <c r="CM198" i="40" s="1"/>
  <c r="CL198" i="40" s="1"/>
  <c r="CN205" i="40" s="1"/>
  <c r="CI191" i="40"/>
  <c r="BR191" i="40"/>
  <c r="BP191" i="40"/>
  <c r="BM191" i="40"/>
  <c r="BK191" i="40"/>
  <c r="BI191" i="40"/>
  <c r="BD191" i="40"/>
  <c r="BB191" i="40"/>
  <c r="AP191" i="40"/>
  <c r="AR191" i="40" s="1"/>
  <c r="AN191" i="40"/>
  <c r="AI191" i="40"/>
  <c r="AG191" i="40"/>
  <c r="AB191" i="40"/>
  <c r="Z191" i="40"/>
  <c r="U191" i="40"/>
  <c r="S191" i="40"/>
  <c r="N191" i="40"/>
  <c r="P191" i="40" s="1"/>
  <c r="L191" i="40"/>
  <c r="B191" i="40"/>
  <c r="B190" i="40"/>
  <c r="B189" i="40"/>
  <c r="B188" i="40"/>
  <c r="B187" i="40"/>
  <c r="DD190" i="40"/>
  <c r="DD189" i="40"/>
  <c r="DD188" i="40"/>
  <c r="DD187" i="40"/>
  <c r="CJ190" i="40"/>
  <c r="CJ191" i="40" s="1"/>
  <c r="BM190" i="40"/>
  <c r="BM189" i="40"/>
  <c r="BM188" i="40"/>
  <c r="BM187" i="40"/>
  <c r="BF190" i="40"/>
  <c r="BF189" i="40"/>
  <c r="BF188" i="40"/>
  <c r="BF187" i="40"/>
  <c r="AR190" i="40"/>
  <c r="AR189" i="40"/>
  <c r="AR188" i="40"/>
  <c r="AR187" i="40"/>
  <c r="AK190" i="40"/>
  <c r="AK189" i="40"/>
  <c r="AK188" i="40"/>
  <c r="AK187" i="40"/>
  <c r="AD190" i="40"/>
  <c r="W190" i="40"/>
  <c r="W189" i="40"/>
  <c r="W188" i="40"/>
  <c r="W187" i="40"/>
  <c r="P190" i="40"/>
  <c r="P189" i="40"/>
  <c r="P188" i="40"/>
  <c r="P187" i="40"/>
  <c r="A190" i="40"/>
  <c r="A189" i="40"/>
  <c r="A188" i="40"/>
  <c r="A187" i="40"/>
  <c r="EB190" i="40"/>
  <c r="EA190" i="40"/>
  <c r="DZ190" i="40"/>
  <c r="DY190" i="40"/>
  <c r="DW190" i="40"/>
  <c r="DV190" i="40"/>
  <c r="DU190" i="40"/>
  <c r="DT190" i="40"/>
  <c r="DS190" i="40"/>
  <c r="EB189" i="40"/>
  <c r="EA189" i="40"/>
  <c r="DZ189" i="40"/>
  <c r="DY189" i="40"/>
  <c r="DX189" i="40"/>
  <c r="DW189" i="40"/>
  <c r="DV189" i="40"/>
  <c r="DU189" i="40"/>
  <c r="DT189" i="40"/>
  <c r="EE189" i="40" s="1"/>
  <c r="DS189" i="40"/>
  <c r="EB188" i="40"/>
  <c r="EA188" i="40"/>
  <c r="DZ188" i="40"/>
  <c r="DY188" i="40"/>
  <c r="DX188" i="40"/>
  <c r="DW188" i="40"/>
  <c r="DV188" i="40"/>
  <c r="EE188" i="40" s="1"/>
  <c r="DU188" i="40"/>
  <c r="DT188" i="40"/>
  <c r="DS188" i="40"/>
  <c r="EB187" i="40"/>
  <c r="EA187" i="40"/>
  <c r="DZ187" i="40"/>
  <c r="DY187" i="40"/>
  <c r="DX187" i="40"/>
  <c r="DW187" i="40"/>
  <c r="DV187" i="40"/>
  <c r="DU187" i="40"/>
  <c r="DT187" i="40"/>
  <c r="EE187" i="40" s="1"/>
  <c r="DS187" i="40"/>
  <c r="G190" i="40"/>
  <c r="E190" i="40"/>
  <c r="G189" i="40"/>
  <c r="E189" i="40"/>
  <c r="G188" i="40"/>
  <c r="E188" i="40"/>
  <c r="G187" i="40"/>
  <c r="I187" i="40" s="1"/>
  <c r="E187" i="40"/>
  <c r="BS184" i="40"/>
  <c r="BR184" i="40"/>
  <c r="BO184" i="40"/>
  <c r="BO187" i="40" s="1"/>
  <c r="BO188" i="40" s="1"/>
  <c r="BO183" i="40"/>
  <c r="BO182" i="40"/>
  <c r="BO180" i="40"/>
  <c r="BO181" i="40" s="1"/>
  <c r="BM184" i="40"/>
  <c r="BK184" i="40"/>
  <c r="BF184" i="40"/>
  <c r="BD184" i="40"/>
  <c r="AP184" i="40"/>
  <c r="AN184" i="40"/>
  <c r="AK184" i="40"/>
  <c r="AI184" i="40"/>
  <c r="AK191" i="40" s="1"/>
  <c r="AB184" i="40"/>
  <c r="U184" i="40"/>
  <c r="N184" i="40"/>
  <c r="B184" i="40"/>
  <c r="B183" i="40"/>
  <c r="B182" i="40"/>
  <c r="B181" i="40"/>
  <c r="B180" i="40"/>
  <c r="DD183" i="40"/>
  <c r="DD182" i="40"/>
  <c r="DD181" i="40"/>
  <c r="DD180" i="40"/>
  <c r="BM183" i="40"/>
  <c r="BM182" i="40"/>
  <c r="BM181" i="40"/>
  <c r="BM180" i="40"/>
  <c r="BF183" i="40"/>
  <c r="BF182" i="40"/>
  <c r="BF181" i="40"/>
  <c r="BF180" i="40"/>
  <c r="AY180" i="40"/>
  <c r="AR183" i="40"/>
  <c r="AR182" i="40"/>
  <c r="AR181" i="40"/>
  <c r="AR180" i="40"/>
  <c r="AK183" i="40"/>
  <c r="AK182" i="40"/>
  <c r="AK181" i="40"/>
  <c r="AK180" i="40"/>
  <c r="AD183" i="40"/>
  <c r="W183" i="40"/>
  <c r="W182" i="40"/>
  <c r="W181" i="40"/>
  <c r="W180" i="40"/>
  <c r="P183" i="40"/>
  <c r="P182" i="40"/>
  <c r="P181" i="40"/>
  <c r="P180" i="40"/>
  <c r="A183" i="40"/>
  <c r="A182" i="40"/>
  <c r="A181" i="40"/>
  <c r="A180" i="40"/>
  <c r="EB184" i="40"/>
  <c r="EA184" i="40"/>
  <c r="DZ184" i="40"/>
  <c r="DY184" i="40"/>
  <c r="DX184" i="40"/>
  <c r="DW184" i="40"/>
  <c r="DV184" i="40"/>
  <c r="DU184" i="40"/>
  <c r="DT184" i="40"/>
  <c r="DS184" i="40"/>
  <c r="EB183" i="40"/>
  <c r="EB182" i="40"/>
  <c r="EA182" i="40"/>
  <c r="DZ182" i="40"/>
  <c r="DY182" i="40"/>
  <c r="DX182" i="40"/>
  <c r="DW182" i="40"/>
  <c r="DV182" i="40"/>
  <c r="DU182" i="40"/>
  <c r="DT182" i="40"/>
  <c r="ED182" i="40" s="1"/>
  <c r="DS182" i="40"/>
  <c r="EB181" i="40"/>
  <c r="EA181" i="40"/>
  <c r="DZ181" i="40"/>
  <c r="DY181" i="40"/>
  <c r="DX181" i="40"/>
  <c r="DW181" i="40"/>
  <c r="DV181" i="40"/>
  <c r="ED181" i="40" s="1"/>
  <c r="DU181" i="40"/>
  <c r="DT181" i="40"/>
  <c r="DS181" i="40"/>
  <c r="EB180" i="40"/>
  <c r="EA180" i="40"/>
  <c r="DZ180" i="40"/>
  <c r="DY180" i="40"/>
  <c r="DX180" i="40"/>
  <c r="DW180" i="40"/>
  <c r="DV180" i="40"/>
  <c r="DU180" i="40"/>
  <c r="DT180" i="40"/>
  <c r="DS180" i="40"/>
  <c r="G183" i="40"/>
  <c r="I183" i="40" s="1"/>
  <c r="G182" i="40"/>
  <c r="I182" i="40" s="1"/>
  <c r="E182" i="40"/>
  <c r="G181" i="40"/>
  <c r="I181" i="40" s="1"/>
  <c r="E181" i="40"/>
  <c r="G180" i="40"/>
  <c r="E180" i="40"/>
  <c r="G178" i="40"/>
  <c r="G176" i="40"/>
  <c r="G175" i="40"/>
  <c r="G174" i="40"/>
  <c r="I174" i="40" s="1"/>
  <c r="G173" i="40"/>
  <c r="BR175" i="40"/>
  <c r="BR174" i="40"/>
  <c r="BO177" i="40"/>
  <c r="BR177" i="40" s="1"/>
  <c r="BO176" i="40"/>
  <c r="BO175" i="40"/>
  <c r="BP176" i="40" s="1"/>
  <c r="EA176" i="40" s="1"/>
  <c r="BO174" i="40"/>
  <c r="BO173" i="40"/>
  <c r="BM177" i="40"/>
  <c r="BK177" i="40"/>
  <c r="BD177" i="40"/>
  <c r="AW177" i="40"/>
  <c r="AP177" i="40"/>
  <c r="AR177" i="40" s="1"/>
  <c r="AK177" i="40"/>
  <c r="AI177" i="40"/>
  <c r="AB177" i="40"/>
  <c r="U177" i="40"/>
  <c r="N177" i="40"/>
  <c r="P177" i="40" s="1"/>
  <c r="B177" i="40"/>
  <c r="B176" i="40"/>
  <c r="B175" i="40"/>
  <c r="B174" i="40"/>
  <c r="B173" i="40"/>
  <c r="DD176" i="40"/>
  <c r="DD175" i="40"/>
  <c r="DD174" i="40"/>
  <c r="DD173" i="40"/>
  <c r="BM176" i="40"/>
  <c r="BM175" i="40"/>
  <c r="BM174" i="40"/>
  <c r="BM173" i="40"/>
  <c r="BF176" i="40"/>
  <c r="BF175" i="40"/>
  <c r="BF174" i="40"/>
  <c r="BF173" i="40"/>
  <c r="AY176" i="40"/>
  <c r="AY175" i="40"/>
  <c r="AY174" i="40"/>
  <c r="AY173" i="40"/>
  <c r="AR176" i="40"/>
  <c r="AR175" i="40"/>
  <c r="AR174" i="40"/>
  <c r="AR173" i="40"/>
  <c r="AK176" i="40"/>
  <c r="AK175" i="40"/>
  <c r="AK174" i="40"/>
  <c r="AK173" i="40"/>
  <c r="AD176" i="40"/>
  <c r="AD175" i="40"/>
  <c r="AD174" i="40"/>
  <c r="AD173" i="40"/>
  <c r="W176" i="40"/>
  <c r="W175" i="40"/>
  <c r="W174" i="40"/>
  <c r="W173" i="40"/>
  <c r="P176" i="40"/>
  <c r="P175" i="40"/>
  <c r="P174" i="40"/>
  <c r="P173" i="40"/>
  <c r="A176" i="40"/>
  <c r="A175" i="40"/>
  <c r="A174" i="40"/>
  <c r="A173" i="40"/>
  <c r="EB176" i="40"/>
  <c r="EB175" i="40"/>
  <c r="EA175" i="40"/>
  <c r="DZ175" i="40"/>
  <c r="DY175" i="40"/>
  <c r="DX175" i="40"/>
  <c r="DW175" i="40"/>
  <c r="DV175" i="40"/>
  <c r="DU175" i="40"/>
  <c r="DT175" i="40"/>
  <c r="EE175" i="40" s="1"/>
  <c r="DS175" i="40"/>
  <c r="EB174" i="40"/>
  <c r="EA174" i="40"/>
  <c r="DZ174" i="40"/>
  <c r="DY174" i="40"/>
  <c r="DX174" i="40"/>
  <c r="DW174" i="40"/>
  <c r="DV174" i="40"/>
  <c r="EE174" i="40" s="1"/>
  <c r="DU174" i="40"/>
  <c r="DT174" i="40"/>
  <c r="DS174" i="40"/>
  <c r="EB173" i="40"/>
  <c r="EA173" i="40"/>
  <c r="DZ173" i="40"/>
  <c r="DY173" i="40"/>
  <c r="DX173" i="40"/>
  <c r="DW173" i="40"/>
  <c r="DV173" i="40"/>
  <c r="DU173" i="40"/>
  <c r="DT173" i="40"/>
  <c r="EE173" i="40" s="1"/>
  <c r="DS173" i="40"/>
  <c r="E175" i="40"/>
  <c r="E174" i="40"/>
  <c r="E173" i="40"/>
  <c r="DB170" i="40"/>
  <c r="BK170" i="40"/>
  <c r="BD170" i="40"/>
  <c r="AW170" i="40"/>
  <c r="AY177" i="40" s="1"/>
  <c r="AP170" i="40"/>
  <c r="AK170" i="40"/>
  <c r="AI170" i="40"/>
  <c r="AB170" i="40"/>
  <c r="U170" i="40"/>
  <c r="W177" i="40" s="1"/>
  <c r="N170" i="40"/>
  <c r="B170" i="40"/>
  <c r="B169" i="40"/>
  <c r="B168" i="40"/>
  <c r="B167" i="40"/>
  <c r="B166" i="40"/>
  <c r="BM169" i="40"/>
  <c r="BF169" i="40"/>
  <c r="BF168" i="40"/>
  <c r="BF166" i="40"/>
  <c r="AY169" i="40"/>
  <c r="AY168" i="40"/>
  <c r="AY167" i="40"/>
  <c r="AY166" i="40"/>
  <c r="AR169" i="40"/>
  <c r="AR168" i="40"/>
  <c r="AR167" i="40"/>
  <c r="AR166" i="40"/>
  <c r="AK169" i="40"/>
  <c r="AK168" i="40"/>
  <c r="AK167" i="40"/>
  <c r="AK166" i="40"/>
  <c r="AD169" i="40"/>
  <c r="W169" i="40"/>
  <c r="W168" i="40"/>
  <c r="W167" i="40"/>
  <c r="W166" i="40"/>
  <c r="P169" i="40"/>
  <c r="P168" i="40"/>
  <c r="P167" i="40"/>
  <c r="P166" i="40"/>
  <c r="I168" i="40"/>
  <c r="A169" i="40"/>
  <c r="A168" i="40"/>
  <c r="A167" i="40"/>
  <c r="A166" i="40"/>
  <c r="EB169" i="40"/>
  <c r="EA169" i="40"/>
  <c r="EB168" i="40"/>
  <c r="EA168" i="40"/>
  <c r="DZ168" i="40"/>
  <c r="DY168" i="40"/>
  <c r="DX168" i="40"/>
  <c r="DW168" i="40"/>
  <c r="DV168" i="40"/>
  <c r="DU168" i="40"/>
  <c r="DT168" i="40"/>
  <c r="DS168" i="40"/>
  <c r="EE168" i="40" s="1"/>
  <c r="EB167" i="40"/>
  <c r="EA167" i="40"/>
  <c r="DZ167" i="40"/>
  <c r="DY167" i="40"/>
  <c r="DX167" i="40"/>
  <c r="DW167" i="40"/>
  <c r="DV167" i="40"/>
  <c r="DU167" i="40"/>
  <c r="ED167" i="40" s="1"/>
  <c r="DT167" i="40"/>
  <c r="DS167" i="40"/>
  <c r="EE167" i="40" s="1"/>
  <c r="EF167" i="40" s="1"/>
  <c r="EB166" i="40"/>
  <c r="EA166" i="40"/>
  <c r="DZ166" i="40"/>
  <c r="DY166" i="40"/>
  <c r="DX166" i="40"/>
  <c r="DW166" i="40"/>
  <c r="DV166" i="40"/>
  <c r="DU166" i="40"/>
  <c r="DT166" i="40"/>
  <c r="DS166" i="40"/>
  <c r="EE166" i="40" s="1"/>
  <c r="G169" i="40"/>
  <c r="I169" i="40" s="1"/>
  <c r="G168" i="40"/>
  <c r="I175" i="40" s="1"/>
  <c r="E168" i="40"/>
  <c r="G167" i="40"/>
  <c r="I167" i="40" s="1"/>
  <c r="E167" i="40"/>
  <c r="G166" i="40"/>
  <c r="I173" i="40" s="1"/>
  <c r="E166" i="40"/>
  <c r="G164" i="40"/>
  <c r="G162" i="40"/>
  <c r="G161" i="40"/>
  <c r="DB161" i="40" s="1"/>
  <c r="G160" i="40"/>
  <c r="G159" i="40"/>
  <c r="I166" i="40" s="1"/>
  <c r="BY163" i="40"/>
  <c r="BV163" i="40"/>
  <c r="BZ163" i="40" s="1"/>
  <c r="BK163" i="40"/>
  <c r="BM170" i="40" s="1"/>
  <c r="BH163" i="40"/>
  <c r="BH166" i="40" s="1"/>
  <c r="BD163" i="40"/>
  <c r="AW163" i="40"/>
  <c r="AY163" i="40" s="1"/>
  <c r="AP163" i="40"/>
  <c r="AR163" i="40" s="1"/>
  <c r="AI163" i="40"/>
  <c r="AB163" i="40"/>
  <c r="U163" i="40"/>
  <c r="W163" i="40" s="1"/>
  <c r="N163" i="40"/>
  <c r="B163" i="40"/>
  <c r="B162" i="40"/>
  <c r="B161" i="40"/>
  <c r="B160" i="40"/>
  <c r="B159" i="40"/>
  <c r="DB162" i="40"/>
  <c r="DB160" i="40"/>
  <c r="DD167" i="40" s="1"/>
  <c r="CH160" i="40"/>
  <c r="CH159" i="40"/>
  <c r="BF162" i="40"/>
  <c r="BF161" i="40"/>
  <c r="BF159" i="40"/>
  <c r="AY162" i="40"/>
  <c r="AY161" i="40"/>
  <c r="AY160" i="40"/>
  <c r="AY159" i="40"/>
  <c r="AR162" i="40"/>
  <c r="AR161" i="40"/>
  <c r="AR160" i="40"/>
  <c r="AR159" i="40"/>
  <c r="AK162" i="40"/>
  <c r="AK161" i="40"/>
  <c r="AK160" i="40"/>
  <c r="AK159" i="40"/>
  <c r="AD162" i="40"/>
  <c r="W162" i="40"/>
  <c r="W161" i="40"/>
  <c r="W160" i="40"/>
  <c r="W159" i="40"/>
  <c r="P162" i="40"/>
  <c r="P161" i="40"/>
  <c r="P160" i="40"/>
  <c r="P159" i="40"/>
  <c r="A162" i="40"/>
  <c r="A161" i="40"/>
  <c r="A160" i="40"/>
  <c r="A159" i="40"/>
  <c r="BD160" i="40"/>
  <c r="BF167" i="40" s="1"/>
  <c r="EA162" i="40"/>
  <c r="DZ162" i="40"/>
  <c r="EB161" i="40"/>
  <c r="EA161" i="40"/>
  <c r="DZ161" i="40"/>
  <c r="DY161" i="40"/>
  <c r="DX161" i="40"/>
  <c r="DW161" i="40"/>
  <c r="DV161" i="40"/>
  <c r="DU161" i="40"/>
  <c r="DT161" i="40"/>
  <c r="DS161" i="40"/>
  <c r="ED161" i="40" s="1"/>
  <c r="EB160" i="40"/>
  <c r="EA160" i="40"/>
  <c r="DZ160" i="40"/>
  <c r="DY160" i="40"/>
  <c r="DX160" i="40"/>
  <c r="DW160" i="40"/>
  <c r="DV160" i="40"/>
  <c r="DU160" i="40"/>
  <c r="DT160" i="40"/>
  <c r="DS160" i="40"/>
  <c r="EB159" i="40"/>
  <c r="EA159" i="40"/>
  <c r="DZ159" i="40"/>
  <c r="DY159" i="40"/>
  <c r="DX159" i="40"/>
  <c r="DW159" i="40"/>
  <c r="DV159" i="40"/>
  <c r="DU159" i="40"/>
  <c r="DT159" i="40"/>
  <c r="DS159" i="40"/>
  <c r="ED159" i="40" s="1"/>
  <c r="E161" i="40"/>
  <c r="E160" i="40"/>
  <c r="E159" i="40"/>
  <c r="N157" i="40"/>
  <c r="N156" i="40"/>
  <c r="P156" i="40" s="1"/>
  <c r="CF156" i="40"/>
  <c r="CH156" i="40" s="1"/>
  <c r="BD156" i="40"/>
  <c r="AY156" i="40"/>
  <c r="AW156" i="40"/>
  <c r="AP156" i="40"/>
  <c r="AI156" i="40"/>
  <c r="AK163" i="40" s="1"/>
  <c r="AB156" i="40"/>
  <c r="W156" i="40"/>
  <c r="U156" i="40"/>
  <c r="B156" i="40"/>
  <c r="B155" i="40"/>
  <c r="B154" i="40"/>
  <c r="B153" i="40"/>
  <c r="B152" i="40"/>
  <c r="DB154" i="40"/>
  <c r="CH155" i="40"/>
  <c r="CH154" i="40"/>
  <c r="CH153" i="40"/>
  <c r="CH152" i="40"/>
  <c r="BF155" i="40"/>
  <c r="BF154" i="40"/>
  <c r="BF153" i="40"/>
  <c r="BF152" i="40"/>
  <c r="AY155" i="40"/>
  <c r="AY154" i="40"/>
  <c r="AY153" i="40"/>
  <c r="AY152" i="40"/>
  <c r="AR155" i="40"/>
  <c r="AR154" i="40"/>
  <c r="AR153" i="40"/>
  <c r="AR152" i="40"/>
  <c r="AK155" i="40"/>
  <c r="AK154" i="40"/>
  <c r="AK153" i="40"/>
  <c r="AK152" i="40"/>
  <c r="AD155" i="40"/>
  <c r="W155" i="40"/>
  <c r="W154" i="40"/>
  <c r="W153" i="40"/>
  <c r="W152" i="40"/>
  <c r="P155" i="40"/>
  <c r="P154" i="40"/>
  <c r="P153" i="40"/>
  <c r="P152" i="40"/>
  <c r="A155" i="40"/>
  <c r="A154" i="40"/>
  <c r="A153" i="40"/>
  <c r="A152" i="40"/>
  <c r="ED153" i="40"/>
  <c r="ED152" i="40"/>
  <c r="EB156" i="40"/>
  <c r="EA156" i="40"/>
  <c r="DZ156" i="40"/>
  <c r="DY156" i="40"/>
  <c r="DX156" i="40"/>
  <c r="DW156" i="40"/>
  <c r="DV156" i="40"/>
  <c r="DU156" i="40"/>
  <c r="DT156" i="40"/>
  <c r="DS156" i="40"/>
  <c r="EA155" i="40"/>
  <c r="DZ155" i="40"/>
  <c r="EB154" i="40"/>
  <c r="EA154" i="40"/>
  <c r="DZ154" i="40"/>
  <c r="DY154" i="40"/>
  <c r="DX154" i="40"/>
  <c r="DW154" i="40"/>
  <c r="DV154" i="40"/>
  <c r="DU154" i="40"/>
  <c r="ED154" i="40" s="1"/>
  <c r="DT154" i="40"/>
  <c r="DS154" i="40"/>
  <c r="EE154" i="40" s="1"/>
  <c r="EB153" i="40"/>
  <c r="EA153" i="40"/>
  <c r="DZ153" i="40"/>
  <c r="DY153" i="40"/>
  <c r="DX153" i="40"/>
  <c r="DW153" i="40"/>
  <c r="DV153" i="40"/>
  <c r="DU153" i="40"/>
  <c r="DT153" i="40"/>
  <c r="DS153" i="40"/>
  <c r="EE153" i="40" s="1"/>
  <c r="EB152" i="40"/>
  <c r="EA152" i="40"/>
  <c r="DZ152" i="40"/>
  <c r="DY152" i="40"/>
  <c r="DX152" i="40"/>
  <c r="DW152" i="40"/>
  <c r="DV152" i="40"/>
  <c r="DU152" i="40"/>
  <c r="DT152" i="40"/>
  <c r="DS152" i="40"/>
  <c r="EE152" i="40" s="1"/>
  <c r="CX156" i="40"/>
  <c r="G155" i="40"/>
  <c r="DB155" i="40" s="1"/>
  <c r="G154" i="40"/>
  <c r="E154" i="40"/>
  <c r="G153" i="40"/>
  <c r="I160" i="40" s="1"/>
  <c r="E153" i="40"/>
  <c r="G152" i="40"/>
  <c r="DB152" i="40" s="1"/>
  <c r="E152" i="40"/>
  <c r="CH149" i="40"/>
  <c r="CG149" i="40"/>
  <c r="CG156" i="40" s="1"/>
  <c r="CG163" i="40" s="1"/>
  <c r="CF149" i="40"/>
  <c r="CD149" i="40"/>
  <c r="BE149" i="40"/>
  <c r="BD149" i="40"/>
  <c r="BB149" i="40"/>
  <c r="AX149" i="40"/>
  <c r="AX156" i="40" s="1"/>
  <c r="AX163" i="40" s="1"/>
  <c r="AW149" i="40"/>
  <c r="AU149" i="40"/>
  <c r="AP149" i="40"/>
  <c r="AR149" i="40" s="1"/>
  <c r="AN149" i="40"/>
  <c r="AI149" i="40"/>
  <c r="AG149" i="40"/>
  <c r="AB149" i="40"/>
  <c r="AD149" i="40" s="1"/>
  <c r="Z149" i="40"/>
  <c r="W149" i="40"/>
  <c r="U149" i="40"/>
  <c r="S149" i="40"/>
  <c r="N149" i="40"/>
  <c r="L149" i="40"/>
  <c r="D149" i="40"/>
  <c r="B149" i="40"/>
  <c r="B148" i="40"/>
  <c r="B147" i="40"/>
  <c r="B146" i="40"/>
  <c r="B145" i="40"/>
  <c r="CH148" i="40"/>
  <c r="BF148" i="40"/>
  <c r="AY148" i="40"/>
  <c r="AR148" i="40"/>
  <c r="AK148" i="40"/>
  <c r="AD148" i="40"/>
  <c r="W148" i="40"/>
  <c r="P148" i="40"/>
  <c r="A148" i="40"/>
  <c r="A147" i="40"/>
  <c r="A146" i="40"/>
  <c r="A145" i="40"/>
  <c r="DE146" i="40"/>
  <c r="AZ146" i="40"/>
  <c r="AZ147" i="40" s="1"/>
  <c r="EB149" i="40"/>
  <c r="EA149" i="40"/>
  <c r="DZ149" i="40"/>
  <c r="DY149" i="40"/>
  <c r="DX149" i="40"/>
  <c r="DW149" i="40"/>
  <c r="DU149" i="40"/>
  <c r="DT149" i="40"/>
  <c r="DS149" i="40"/>
  <c r="EA148" i="40"/>
  <c r="DZ148" i="40"/>
  <c r="EB147" i="40"/>
  <c r="EA147" i="40"/>
  <c r="DZ147" i="40"/>
  <c r="DY147" i="40"/>
  <c r="DX147" i="40"/>
  <c r="DV147" i="40"/>
  <c r="DU147" i="40"/>
  <c r="EE147" i="40" s="1"/>
  <c r="DT147" i="40"/>
  <c r="ED147" i="40" s="1"/>
  <c r="EA146" i="40"/>
  <c r="DZ146" i="40"/>
  <c r="EB145" i="40"/>
  <c r="EA145" i="40"/>
  <c r="DZ145" i="40"/>
  <c r="DY145" i="40"/>
  <c r="DX145" i="40"/>
  <c r="DV145" i="40"/>
  <c r="DU145" i="40"/>
  <c r="DT145" i="40"/>
  <c r="DJ148" i="40"/>
  <c r="DJ147" i="40"/>
  <c r="DI147" i="40"/>
  <c r="DJ146" i="40"/>
  <c r="DM145" i="40"/>
  <c r="DI145" i="40"/>
  <c r="CX148" i="40"/>
  <c r="CW148" i="40"/>
  <c r="DK148" i="40" s="1"/>
  <c r="CW147" i="40"/>
  <c r="DM147" i="40" s="1"/>
  <c r="CW146" i="40"/>
  <c r="DL146" i="40" s="1"/>
  <c r="CE148" i="40"/>
  <c r="CD148" i="40"/>
  <c r="EB148" i="40" s="1"/>
  <c r="CE147" i="40"/>
  <c r="CD147" i="40"/>
  <c r="CE146" i="40"/>
  <c r="CD146" i="40"/>
  <c r="EB146" i="40" s="1"/>
  <c r="CE145" i="40"/>
  <c r="CD145" i="40"/>
  <c r="BC148" i="40"/>
  <c r="BB148" i="40"/>
  <c r="DY148" i="40" s="1"/>
  <c r="BC147" i="40"/>
  <c r="BB147" i="40"/>
  <c r="BC146" i="40"/>
  <c r="BB146" i="40"/>
  <c r="DY146" i="40" s="1"/>
  <c r="BC145" i="40"/>
  <c r="BB145" i="40"/>
  <c r="AV148" i="40"/>
  <c r="AU148" i="40"/>
  <c r="DX148" i="40" s="1"/>
  <c r="AV147" i="40"/>
  <c r="AU147" i="40"/>
  <c r="AV146" i="40"/>
  <c r="AU146" i="40"/>
  <c r="DX146" i="40" s="1"/>
  <c r="AV145" i="40"/>
  <c r="AU145" i="40"/>
  <c r="AO148" i="40"/>
  <c r="AN148" i="40"/>
  <c r="DW148" i="40" s="1"/>
  <c r="AO147" i="40"/>
  <c r="AN147" i="40"/>
  <c r="DW147" i="40" s="1"/>
  <c r="AO146" i="40"/>
  <c r="AN146" i="40"/>
  <c r="DW146" i="40" s="1"/>
  <c r="AO145" i="40"/>
  <c r="AN145" i="40"/>
  <c r="DW145" i="40" s="1"/>
  <c r="AH148" i="40"/>
  <c r="AG148" i="40"/>
  <c r="DV148" i="40" s="1"/>
  <c r="AH147" i="40"/>
  <c r="AG147" i="40"/>
  <c r="AH146" i="40"/>
  <c r="AG146" i="40"/>
  <c r="DV146" i="40" s="1"/>
  <c r="AH145" i="40"/>
  <c r="AG145" i="40"/>
  <c r="AA148" i="40"/>
  <c r="Z148" i="40"/>
  <c r="DU148" i="40" s="1"/>
  <c r="AA147" i="40"/>
  <c r="Z147" i="40"/>
  <c r="AA146" i="40"/>
  <c r="Z146" i="40"/>
  <c r="DU146" i="40" s="1"/>
  <c r="AA145" i="40"/>
  <c r="Z145" i="40"/>
  <c r="T148" i="40"/>
  <c r="S148" i="40"/>
  <c r="DT148" i="40" s="1"/>
  <c r="T147" i="40"/>
  <c r="S147" i="40"/>
  <c r="T146" i="40"/>
  <c r="S146" i="40"/>
  <c r="DT146" i="40" s="1"/>
  <c r="T145" i="40"/>
  <c r="S145" i="40"/>
  <c r="M148" i="40"/>
  <c r="L148" i="40"/>
  <c r="DS148" i="40" s="1"/>
  <c r="M147" i="40"/>
  <c r="L147" i="40"/>
  <c r="DS147" i="40" s="1"/>
  <c r="M146" i="40"/>
  <c r="L146" i="40"/>
  <c r="DS146" i="40" s="1"/>
  <c r="M145" i="40"/>
  <c r="L145" i="40"/>
  <c r="DS145" i="40" s="1"/>
  <c r="ED145" i="40" s="1"/>
  <c r="G148" i="40"/>
  <c r="DB148" i="40" s="1"/>
  <c r="D148" i="40"/>
  <c r="G147" i="40"/>
  <c r="DB147" i="40" s="1"/>
  <c r="E147" i="40"/>
  <c r="D147" i="40"/>
  <c r="DF147" i="40" s="1"/>
  <c r="G146" i="40"/>
  <c r="DB146" i="40" s="1"/>
  <c r="D146" i="40"/>
  <c r="G145" i="40"/>
  <c r="DB145" i="40" s="1"/>
  <c r="E145" i="40"/>
  <c r="D145" i="40"/>
  <c r="CW145" i="40" s="1"/>
  <c r="DL145" i="40" s="1"/>
  <c r="AB143" i="40"/>
  <c r="AB141" i="40"/>
  <c r="AW142" i="40"/>
  <c r="AW141" i="40"/>
  <c r="AY149" i="40" s="1"/>
  <c r="AP142" i="40"/>
  <c r="AP141" i="40"/>
  <c r="AI142" i="40"/>
  <c r="AI141" i="40"/>
  <c r="AK149" i="40" s="1"/>
  <c r="U141" i="40"/>
  <c r="N142" i="40"/>
  <c r="N141" i="40"/>
  <c r="G141" i="40" s="1"/>
  <c r="DB141" i="40" s="1"/>
  <c r="CF141" i="40"/>
  <c r="CD141" i="40"/>
  <c r="BD141" i="40"/>
  <c r="BB141" i="40"/>
  <c r="AU141" i="40"/>
  <c r="AN141" i="40"/>
  <c r="AG141" i="40"/>
  <c r="Z141" i="40"/>
  <c r="AB142" i="40" s="1"/>
  <c r="S141" i="40"/>
  <c r="U142" i="40" s="1"/>
  <c r="L141" i="40"/>
  <c r="B141" i="40"/>
  <c r="B140" i="40"/>
  <c r="B139" i="40"/>
  <c r="B138" i="40"/>
  <c r="B137" i="40"/>
  <c r="CE140" i="40"/>
  <c r="CD140" i="40"/>
  <c r="BC140" i="40"/>
  <c r="BB140" i="40"/>
  <c r="AV140" i="40"/>
  <c r="AU140" i="40"/>
  <c r="AO140" i="40"/>
  <c r="AN140" i="40"/>
  <c r="AH140" i="40"/>
  <c r="AG140" i="40"/>
  <c r="AA140" i="40"/>
  <c r="Z140" i="40"/>
  <c r="DU140" i="40" s="1"/>
  <c r="T140" i="40"/>
  <c r="S140" i="40"/>
  <c r="M140" i="40"/>
  <c r="L140" i="40"/>
  <c r="E140" i="40" s="1"/>
  <c r="A140" i="40"/>
  <c r="A139" i="40"/>
  <c r="A138" i="40"/>
  <c r="A137" i="40"/>
  <c r="EB140" i="40"/>
  <c r="EA140" i="40"/>
  <c r="DZ140" i="40"/>
  <c r="DY140" i="40"/>
  <c r="DX140" i="40"/>
  <c r="DW140" i="40"/>
  <c r="DV140" i="40"/>
  <c r="DT140" i="40"/>
  <c r="DS140" i="40"/>
  <c r="EE140" i="40" s="1"/>
  <c r="EB139" i="40"/>
  <c r="EA139" i="40"/>
  <c r="DZ139" i="40"/>
  <c r="DY139" i="40"/>
  <c r="DV139" i="40"/>
  <c r="DU139" i="40"/>
  <c r="EA138" i="40"/>
  <c r="DZ138" i="40"/>
  <c r="EA137" i="40"/>
  <c r="DZ137" i="40"/>
  <c r="DX137" i="40"/>
  <c r="DT137" i="40"/>
  <c r="DI139" i="40"/>
  <c r="CW139" i="40"/>
  <c r="DN139" i="40" s="1"/>
  <c r="CW138" i="40"/>
  <c r="DL138" i="40" s="1"/>
  <c r="CE139" i="40"/>
  <c r="CD139" i="40"/>
  <c r="CE138" i="40"/>
  <c r="CD138" i="40"/>
  <c r="EB138" i="40" s="1"/>
  <c r="CE137" i="40"/>
  <c r="CD137" i="40"/>
  <c r="EB137" i="40" s="1"/>
  <c r="BD139" i="40"/>
  <c r="BF147" i="40" s="1"/>
  <c r="BC139" i="40"/>
  <c r="BB139" i="40"/>
  <c r="BD138" i="40"/>
  <c r="BF146" i="40" s="1"/>
  <c r="BC138" i="40"/>
  <c r="BB138" i="40"/>
  <c r="DY138" i="40" s="1"/>
  <c r="BD137" i="40"/>
  <c r="BC137" i="40"/>
  <c r="BB137" i="40"/>
  <c r="DY137" i="40" s="1"/>
  <c r="AV139" i="40"/>
  <c r="AU139" i="40"/>
  <c r="DX139" i="40" s="1"/>
  <c r="AV138" i="40"/>
  <c r="AU138" i="40"/>
  <c r="DX138" i="40" s="1"/>
  <c r="AV137" i="40"/>
  <c r="AU137" i="40"/>
  <c r="AO139" i="40"/>
  <c r="AN139" i="40"/>
  <c r="DW139" i="40" s="1"/>
  <c r="AO138" i="40"/>
  <c r="AN138" i="40"/>
  <c r="DW138" i="40" s="1"/>
  <c r="AO137" i="40"/>
  <c r="AN137" i="40"/>
  <c r="DW137" i="40" s="1"/>
  <c r="AH139" i="40"/>
  <c r="AG139" i="40"/>
  <c r="AH138" i="40"/>
  <c r="AG138" i="40"/>
  <c r="DV138" i="40" s="1"/>
  <c r="AH137" i="40"/>
  <c r="AG137" i="40"/>
  <c r="DV137" i="40" s="1"/>
  <c r="AA139" i="40"/>
  <c r="Z139" i="40"/>
  <c r="AA138" i="40"/>
  <c r="Z138" i="40"/>
  <c r="DU138" i="40" s="1"/>
  <c r="AA137" i="40"/>
  <c r="Z137" i="40"/>
  <c r="DU137" i="40" s="1"/>
  <c r="T139" i="40"/>
  <c r="S139" i="40"/>
  <c r="DT139" i="40" s="1"/>
  <c r="T138" i="40"/>
  <c r="S138" i="40"/>
  <c r="DT138" i="40" s="1"/>
  <c r="T137" i="40"/>
  <c r="S137" i="40"/>
  <c r="M139" i="40"/>
  <c r="L139" i="40"/>
  <c r="DS139" i="40" s="1"/>
  <c r="M138" i="40"/>
  <c r="L138" i="40"/>
  <c r="DS138" i="40" s="1"/>
  <c r="M137" i="40"/>
  <c r="L137" i="40"/>
  <c r="DS137" i="40" s="1"/>
  <c r="G140" i="40"/>
  <c r="DB140" i="40" s="1"/>
  <c r="D140" i="40"/>
  <c r="F148" i="40" s="1"/>
  <c r="D139" i="40"/>
  <c r="DF139" i="40" s="1"/>
  <c r="D138" i="40"/>
  <c r="F146" i="40" s="1"/>
  <c r="D137" i="40"/>
  <c r="CW137" i="40" s="1"/>
  <c r="AB132" i="40"/>
  <c r="AD140" i="40" s="1"/>
  <c r="AB131" i="40"/>
  <c r="AB130" i="40"/>
  <c r="AB129" i="40"/>
  <c r="AD129" i="40" s="1"/>
  <c r="AW134" i="40"/>
  <c r="N134" i="40"/>
  <c r="CD133" i="40"/>
  <c r="BB133" i="40"/>
  <c r="BA133" i="40" s="1"/>
  <c r="AU133" i="40"/>
  <c r="AQ133" i="40"/>
  <c r="AP130" i="40" s="1"/>
  <c r="AR130" i="40" s="1"/>
  <c r="AN133" i="40"/>
  <c r="AP134" i="40" s="1"/>
  <c r="AG133" i="40"/>
  <c r="AI134" i="40" s="1"/>
  <c r="AF133" i="40"/>
  <c r="AH133" i="40" s="1"/>
  <c r="AD131" i="40"/>
  <c r="AD130" i="40"/>
  <c r="Z133" i="40"/>
  <c r="AB136" i="40" s="1"/>
  <c r="Y133" i="40"/>
  <c r="AB133" i="40" s="1"/>
  <c r="S133" i="40"/>
  <c r="U134" i="40" s="1"/>
  <c r="L133" i="40"/>
  <c r="B133" i="40"/>
  <c r="B132" i="40"/>
  <c r="B131" i="40"/>
  <c r="B130" i="40"/>
  <c r="B129" i="40"/>
  <c r="CE132" i="40"/>
  <c r="CD132" i="40"/>
  <c r="A132" i="40"/>
  <c r="A131" i="40"/>
  <c r="A130" i="40"/>
  <c r="A129" i="40"/>
  <c r="CD131" i="40"/>
  <c r="CD130" i="40"/>
  <c r="CD129" i="40"/>
  <c r="EB129" i="40" s="1"/>
  <c r="EB132" i="40"/>
  <c r="EA132" i="40"/>
  <c r="DZ132" i="40"/>
  <c r="DX132" i="40"/>
  <c r="DU132" i="40"/>
  <c r="DT132" i="40"/>
  <c r="EB131" i="40"/>
  <c r="EA131" i="40"/>
  <c r="DZ131" i="40"/>
  <c r="EB130" i="40"/>
  <c r="EA130" i="40"/>
  <c r="DZ130" i="40"/>
  <c r="DY130" i="40"/>
  <c r="DX130" i="40"/>
  <c r="DU130" i="40"/>
  <c r="DT130" i="40"/>
  <c r="EA129" i="40"/>
  <c r="DZ129" i="40"/>
  <c r="CX133" i="40"/>
  <c r="BC132" i="40"/>
  <c r="BB132" i="40"/>
  <c r="DY132" i="40" s="1"/>
  <c r="BC131" i="40"/>
  <c r="BB131" i="40"/>
  <c r="DY131" i="40" s="1"/>
  <c r="BC130" i="40"/>
  <c r="BB130" i="40"/>
  <c r="BC129" i="40"/>
  <c r="BB129" i="40"/>
  <c r="DY129" i="40" s="1"/>
  <c r="AV132" i="40"/>
  <c r="AU132" i="40"/>
  <c r="AV131" i="40"/>
  <c r="AU131" i="40"/>
  <c r="DX131" i="40" s="1"/>
  <c r="AV130" i="40"/>
  <c r="AU130" i="40"/>
  <c r="AV129" i="40"/>
  <c r="AU129" i="40"/>
  <c r="DX129" i="40" s="1"/>
  <c r="AO132" i="40"/>
  <c r="AN132" i="40"/>
  <c r="DW132" i="40" s="1"/>
  <c r="AO131" i="40"/>
  <c r="AN131" i="40"/>
  <c r="DW131" i="40" s="1"/>
  <c r="AO130" i="40"/>
  <c r="AN130" i="40"/>
  <c r="DW130" i="40" s="1"/>
  <c r="AO129" i="40"/>
  <c r="AN129" i="40"/>
  <c r="DW129" i="40" s="1"/>
  <c r="AH132" i="40"/>
  <c r="AG132" i="40"/>
  <c r="DV132" i="40" s="1"/>
  <c r="AH131" i="40"/>
  <c r="AG131" i="40"/>
  <c r="DV131" i="40" s="1"/>
  <c r="AH130" i="40"/>
  <c r="AG130" i="40"/>
  <c r="DV130" i="40" s="1"/>
  <c r="AH129" i="40"/>
  <c r="AG129" i="40"/>
  <c r="DV129" i="40" s="1"/>
  <c r="AA132" i="40"/>
  <c r="Z132" i="40"/>
  <c r="AA131" i="40"/>
  <c r="Z131" i="40"/>
  <c r="DU131" i="40" s="1"/>
  <c r="AA130" i="40"/>
  <c r="Z130" i="40"/>
  <c r="AA129" i="40"/>
  <c r="Z129" i="40"/>
  <c r="DU129" i="40" s="1"/>
  <c r="T132" i="40"/>
  <c r="S132" i="40"/>
  <c r="T131" i="40"/>
  <c r="S131" i="40"/>
  <c r="DT131" i="40" s="1"/>
  <c r="T130" i="40"/>
  <c r="S130" i="40"/>
  <c r="T129" i="40"/>
  <c r="S129" i="40"/>
  <c r="DT129" i="40" s="1"/>
  <c r="M132" i="40"/>
  <c r="L132" i="40"/>
  <c r="DS132" i="40" s="1"/>
  <c r="M131" i="40"/>
  <c r="L131" i="40"/>
  <c r="DS131" i="40" s="1"/>
  <c r="M130" i="40"/>
  <c r="L130" i="40"/>
  <c r="DS130" i="40" s="1"/>
  <c r="M129" i="40"/>
  <c r="L129" i="40"/>
  <c r="DS129" i="40" s="1"/>
  <c r="E132" i="40"/>
  <c r="D132" i="40"/>
  <c r="F132" i="40" s="1"/>
  <c r="E131" i="40"/>
  <c r="D131" i="40"/>
  <c r="CW131" i="40" s="1"/>
  <c r="E130" i="40"/>
  <c r="D130" i="40"/>
  <c r="F130" i="40" s="1"/>
  <c r="E129" i="40"/>
  <c r="D129" i="40"/>
  <c r="AB126" i="40"/>
  <c r="AB125" i="40"/>
  <c r="AD125" i="40" s="1"/>
  <c r="AW126" i="40"/>
  <c r="AW125" i="40"/>
  <c r="AP125" i="40"/>
  <c r="AQ125" i="40" s="1"/>
  <c r="AI125" i="40"/>
  <c r="U125" i="40"/>
  <c r="U133" i="40" s="1"/>
  <c r="N125" i="40"/>
  <c r="CF125" i="40"/>
  <c r="CG125" i="40" s="1"/>
  <c r="CG133" i="40" s="1"/>
  <c r="CC125" i="40"/>
  <c r="CC133" i="40" s="1"/>
  <c r="BD125" i="40"/>
  <c r="BE125" i="40" s="1"/>
  <c r="BE133" i="40" s="1"/>
  <c r="BB125" i="40"/>
  <c r="BA125" i="40"/>
  <c r="AY125" i="40"/>
  <c r="AX125" i="40"/>
  <c r="AX133" i="40" s="1"/>
  <c r="AU125" i="40"/>
  <c r="AT125" i="40"/>
  <c r="AT133" i="40" s="1"/>
  <c r="AN125" i="40"/>
  <c r="AP126" i="40" s="1"/>
  <c r="AM125" i="40"/>
  <c r="AJ125" i="40"/>
  <c r="AJ133" i="40" s="1"/>
  <c r="AH125" i="40"/>
  <c r="AG125" i="40"/>
  <c r="AI126" i="40" s="1"/>
  <c r="AF125" i="40"/>
  <c r="AC125" i="40"/>
  <c r="AA125" i="40"/>
  <c r="Z125" i="40"/>
  <c r="Y125" i="40"/>
  <c r="W125" i="40"/>
  <c r="V125" i="40"/>
  <c r="V133" i="40" s="1"/>
  <c r="S125" i="40"/>
  <c r="U126" i="40" s="1"/>
  <c r="R125" i="40"/>
  <c r="L125" i="40"/>
  <c r="N126" i="40" s="1"/>
  <c r="K125" i="40"/>
  <c r="K133" i="40" s="1"/>
  <c r="G125" i="40"/>
  <c r="B125" i="40"/>
  <c r="B124" i="40"/>
  <c r="B123" i="40"/>
  <c r="B122" i="40"/>
  <c r="B121" i="40"/>
  <c r="BF124" i="40"/>
  <c r="BF123" i="40"/>
  <c r="BF122" i="40"/>
  <c r="BF121" i="40"/>
  <c r="AY124" i="40"/>
  <c r="AY123" i="40"/>
  <c r="AY122" i="40"/>
  <c r="AY121" i="40"/>
  <c r="AR124" i="40"/>
  <c r="AR123" i="40"/>
  <c r="AR122" i="40"/>
  <c r="AR121" i="40"/>
  <c r="AK124" i="40"/>
  <c r="AK123" i="40"/>
  <c r="AK122" i="40"/>
  <c r="AK121" i="40"/>
  <c r="AD124" i="40"/>
  <c r="AD123" i="40"/>
  <c r="AD122" i="40"/>
  <c r="AD121" i="40"/>
  <c r="W124" i="40"/>
  <c r="W123" i="40"/>
  <c r="W122" i="40"/>
  <c r="W121" i="40"/>
  <c r="P124" i="40"/>
  <c r="P123" i="40"/>
  <c r="P122" i="40"/>
  <c r="P121" i="40"/>
  <c r="A124" i="40"/>
  <c r="A123" i="40"/>
  <c r="A122" i="40"/>
  <c r="A121" i="40"/>
  <c r="EB124" i="40"/>
  <c r="EA124" i="40"/>
  <c r="DZ124" i="40"/>
  <c r="DY124" i="40"/>
  <c r="DW124" i="40"/>
  <c r="DV124" i="40"/>
  <c r="DU124" i="40"/>
  <c r="DS124" i="40"/>
  <c r="EB123" i="40"/>
  <c r="EA123" i="40"/>
  <c r="DZ123" i="40"/>
  <c r="EB122" i="40"/>
  <c r="EA122" i="40"/>
  <c r="DZ122" i="40"/>
  <c r="DY122" i="40"/>
  <c r="DW122" i="40"/>
  <c r="DV122" i="40"/>
  <c r="DU122" i="40"/>
  <c r="DS122" i="40"/>
  <c r="EB121" i="40"/>
  <c r="EA121" i="40"/>
  <c r="DZ121" i="40"/>
  <c r="BC124" i="40"/>
  <c r="BB124" i="40"/>
  <c r="BC123" i="40"/>
  <c r="BB123" i="40"/>
  <c r="DY123" i="40" s="1"/>
  <c r="BC122" i="40"/>
  <c r="BB122" i="40"/>
  <c r="BC121" i="40"/>
  <c r="BB121" i="40"/>
  <c r="DY121" i="40" s="1"/>
  <c r="AV124" i="40"/>
  <c r="AU124" i="40"/>
  <c r="DX124" i="40" s="1"/>
  <c r="AV123" i="40"/>
  <c r="AU123" i="40"/>
  <c r="DX123" i="40" s="1"/>
  <c r="AV122" i="40"/>
  <c r="AU122" i="40"/>
  <c r="DX122" i="40" s="1"/>
  <c r="AV121" i="40"/>
  <c r="AU121" i="40"/>
  <c r="DX121" i="40" s="1"/>
  <c r="AO124" i="40"/>
  <c r="AN124" i="40"/>
  <c r="AO123" i="40"/>
  <c r="AN123" i="40"/>
  <c r="DW123" i="40" s="1"/>
  <c r="AO122" i="40"/>
  <c r="AN122" i="40"/>
  <c r="AO121" i="40"/>
  <c r="AN121" i="40"/>
  <c r="DW121" i="40" s="1"/>
  <c r="AH124" i="40"/>
  <c r="AG124" i="40"/>
  <c r="AH123" i="40"/>
  <c r="AG123" i="40"/>
  <c r="DV123" i="40" s="1"/>
  <c r="AH122" i="40"/>
  <c r="AG122" i="40"/>
  <c r="AH121" i="40"/>
  <c r="AG121" i="40"/>
  <c r="DV121" i="40" s="1"/>
  <c r="AA124" i="40"/>
  <c r="Z124" i="40"/>
  <c r="AA123" i="40"/>
  <c r="Z123" i="40"/>
  <c r="DU123" i="40" s="1"/>
  <c r="AA122" i="40"/>
  <c r="Z122" i="40"/>
  <c r="AA121" i="40"/>
  <c r="Z121" i="40"/>
  <c r="DU121" i="40" s="1"/>
  <c r="T124" i="40"/>
  <c r="S124" i="40"/>
  <c r="DT124" i="40" s="1"/>
  <c r="T123" i="40"/>
  <c r="S123" i="40"/>
  <c r="DT123" i="40" s="1"/>
  <c r="T122" i="40"/>
  <c r="S122" i="40"/>
  <c r="DT122" i="40" s="1"/>
  <c r="T121" i="40"/>
  <c r="S121" i="40"/>
  <c r="DT121" i="40" s="1"/>
  <c r="M124" i="40"/>
  <c r="L124" i="40"/>
  <c r="M123" i="40"/>
  <c r="L123" i="40"/>
  <c r="E123" i="40" s="1"/>
  <c r="M122" i="40"/>
  <c r="L122" i="40"/>
  <c r="M121" i="40"/>
  <c r="L121" i="40"/>
  <c r="E121" i="40" s="1"/>
  <c r="G124" i="40"/>
  <c r="DB124" i="40" s="1"/>
  <c r="E124" i="40"/>
  <c r="D124" i="40"/>
  <c r="D125" i="40" s="1"/>
  <c r="G123" i="40"/>
  <c r="DB123" i="40" s="1"/>
  <c r="D123" i="40"/>
  <c r="G122" i="40"/>
  <c r="DB122" i="40" s="1"/>
  <c r="E122" i="40"/>
  <c r="D122" i="40"/>
  <c r="CW122" i="40" s="1"/>
  <c r="G121" i="40"/>
  <c r="DB121" i="40" s="1"/>
  <c r="D121" i="40"/>
  <c r="AW117" i="40"/>
  <c r="AP117" i="40"/>
  <c r="AR125" i="40" s="1"/>
  <c r="AI117" i="40"/>
  <c r="AK125" i="40" s="1"/>
  <c r="AB118" i="40"/>
  <c r="AB117" i="40"/>
  <c r="U117" i="40"/>
  <c r="N117" i="40"/>
  <c r="P125" i="40" s="1"/>
  <c r="BD117" i="40"/>
  <c r="BB117" i="40"/>
  <c r="AY117" i="40"/>
  <c r="AX117" i="40"/>
  <c r="AU117" i="40"/>
  <c r="AW118" i="40" s="1"/>
  <c r="AT117" i="40"/>
  <c r="AN117" i="40"/>
  <c r="AP118" i="40" s="1"/>
  <c r="AM117" i="40"/>
  <c r="AJ117" i="40"/>
  <c r="AH117" i="40"/>
  <c r="AG117" i="40"/>
  <c r="AI118" i="40" s="1"/>
  <c r="AF117" i="40"/>
  <c r="AC117" i="40"/>
  <c r="Z117" i="40"/>
  <c r="Y117" i="40"/>
  <c r="W117" i="40"/>
  <c r="S117" i="40"/>
  <c r="U118" i="40" s="1"/>
  <c r="L117" i="40"/>
  <c r="N118" i="40" s="1"/>
  <c r="K117" i="40"/>
  <c r="M117" i="40" s="1"/>
  <c r="G117" i="40"/>
  <c r="B117" i="40"/>
  <c r="B116" i="40"/>
  <c r="B115" i="40"/>
  <c r="B114" i="40"/>
  <c r="B113" i="40"/>
  <c r="BF116" i="40"/>
  <c r="BF115" i="40"/>
  <c r="BF114" i="40"/>
  <c r="BF113" i="40"/>
  <c r="AY116" i="40"/>
  <c r="AY115" i="40"/>
  <c r="AY114" i="40"/>
  <c r="AY113" i="40"/>
  <c r="AR116" i="40"/>
  <c r="AR115" i="40"/>
  <c r="AR114" i="40"/>
  <c r="AR113" i="40"/>
  <c r="AK116" i="40"/>
  <c r="AK115" i="40"/>
  <c r="AK114" i="40"/>
  <c r="AK113" i="40"/>
  <c r="AD116" i="40"/>
  <c r="AD115" i="40"/>
  <c r="AD114" i="40"/>
  <c r="AD113" i="40"/>
  <c r="W116" i="40"/>
  <c r="W115" i="40"/>
  <c r="W114" i="40"/>
  <c r="W113" i="40"/>
  <c r="P116" i="40"/>
  <c r="P115" i="40"/>
  <c r="P114" i="40"/>
  <c r="P113" i="40"/>
  <c r="A116" i="40"/>
  <c r="A115" i="40"/>
  <c r="A114" i="40"/>
  <c r="A113" i="40"/>
  <c r="EB116" i="40"/>
  <c r="EA116" i="40"/>
  <c r="DZ116" i="40"/>
  <c r="DY116" i="40"/>
  <c r="DW116" i="40"/>
  <c r="DV116" i="40"/>
  <c r="DU116" i="40"/>
  <c r="DS116" i="40"/>
  <c r="EB115" i="40"/>
  <c r="EA115" i="40"/>
  <c r="DZ115" i="40"/>
  <c r="DX115" i="40"/>
  <c r="DT115" i="40"/>
  <c r="DS115" i="40"/>
  <c r="EB114" i="40"/>
  <c r="EA114" i="40"/>
  <c r="DZ114" i="40"/>
  <c r="DY114" i="40"/>
  <c r="DW114" i="40"/>
  <c r="DV114" i="40"/>
  <c r="DU114" i="40"/>
  <c r="DS114" i="40"/>
  <c r="EB113" i="40"/>
  <c r="EA113" i="40"/>
  <c r="DZ113" i="40"/>
  <c r="DX113" i="40"/>
  <c r="DW113" i="40"/>
  <c r="DS113" i="40"/>
  <c r="BC116" i="40"/>
  <c r="BB116" i="40"/>
  <c r="BC115" i="40"/>
  <c r="BB115" i="40"/>
  <c r="BC114" i="40"/>
  <c r="BB114" i="40"/>
  <c r="BC113" i="40"/>
  <c r="BB113" i="40"/>
  <c r="DY113" i="40" s="1"/>
  <c r="AV116" i="40"/>
  <c r="AU116" i="40"/>
  <c r="DX116" i="40" s="1"/>
  <c r="AV115" i="40"/>
  <c r="AU115" i="40"/>
  <c r="AV114" i="40"/>
  <c r="AU114" i="40"/>
  <c r="DX114" i="40" s="1"/>
  <c r="AV113" i="40"/>
  <c r="AU113" i="40"/>
  <c r="AO116" i="40"/>
  <c r="AN116" i="40"/>
  <c r="AO115" i="40"/>
  <c r="AN115" i="40"/>
  <c r="DW115" i="40" s="1"/>
  <c r="AO114" i="40"/>
  <c r="AN114" i="40"/>
  <c r="AO113" i="40"/>
  <c r="AN113" i="40"/>
  <c r="AH116" i="40"/>
  <c r="AG116" i="40"/>
  <c r="AH115" i="40"/>
  <c r="AG115" i="40"/>
  <c r="DV115" i="40" s="1"/>
  <c r="AH114" i="40"/>
  <c r="AG114" i="40"/>
  <c r="AH113" i="40"/>
  <c r="AG113" i="40"/>
  <c r="DV113" i="40" s="1"/>
  <c r="AA116" i="40"/>
  <c r="Z116" i="40"/>
  <c r="AA115" i="40"/>
  <c r="Z115" i="40"/>
  <c r="DU115" i="40" s="1"/>
  <c r="AA114" i="40"/>
  <c r="Z114" i="40"/>
  <c r="AA113" i="40"/>
  <c r="Z113" i="40"/>
  <c r="DU113" i="40" s="1"/>
  <c r="T116" i="40"/>
  <c r="S116" i="40"/>
  <c r="DT116" i="40" s="1"/>
  <c r="ED116" i="40" s="1"/>
  <c r="T115" i="40"/>
  <c r="S115" i="40"/>
  <c r="T114" i="40"/>
  <c r="S114" i="40"/>
  <c r="DT114" i="40" s="1"/>
  <c r="ED114" i="40" s="1"/>
  <c r="T113" i="40"/>
  <c r="S113" i="40"/>
  <c r="DT113" i="40" s="1"/>
  <c r="M116" i="40"/>
  <c r="L116" i="40"/>
  <c r="M115" i="40"/>
  <c r="L115" i="40"/>
  <c r="M114" i="40"/>
  <c r="L114" i="40"/>
  <c r="M113" i="40"/>
  <c r="L113" i="40"/>
  <c r="G116" i="40"/>
  <c r="DB116" i="40" s="1"/>
  <c r="D116" i="40"/>
  <c r="G115" i="40"/>
  <c r="D115" i="40"/>
  <c r="G114" i="40"/>
  <c r="D114" i="40"/>
  <c r="CW114" i="40" s="1"/>
  <c r="G113" i="40"/>
  <c r="DB113" i="40" s="1"/>
  <c r="DD113" i="40" s="1"/>
  <c r="D113" i="40"/>
  <c r="AW109" i="40"/>
  <c r="AP109" i="40"/>
  <c r="AI109" i="40"/>
  <c r="AB109" i="40"/>
  <c r="AC109" i="40" s="1"/>
  <c r="U109" i="40"/>
  <c r="N109" i="40"/>
  <c r="BE109" i="40"/>
  <c r="BD109" i="40"/>
  <c r="BA109" i="40"/>
  <c r="AY109" i="40"/>
  <c r="AT109" i="40"/>
  <c r="AO109" i="40"/>
  <c r="AN109" i="40"/>
  <c r="AP110" i="40" s="1"/>
  <c r="AM109" i="40"/>
  <c r="AK109" i="40"/>
  <c r="AJ109" i="40"/>
  <c r="AF109" i="40"/>
  <c r="Y109" i="40"/>
  <c r="AA117" i="40" s="1"/>
  <c r="W109" i="40"/>
  <c r="R109" i="40"/>
  <c r="M109" i="40"/>
  <c r="L109" i="40"/>
  <c r="N110" i="40" s="1"/>
  <c r="K109" i="40"/>
  <c r="G109" i="40"/>
  <c r="H109" i="40" s="1"/>
  <c r="F109" i="40"/>
  <c r="E109" i="40"/>
  <c r="B109" i="40"/>
  <c r="B108" i="40"/>
  <c r="B107" i="40"/>
  <c r="B106" i="40"/>
  <c r="B105" i="40"/>
  <c r="DB105" i="40"/>
  <c r="BB108" i="40"/>
  <c r="BB107" i="40"/>
  <c r="BB106" i="40"/>
  <c r="BB105" i="40"/>
  <c r="DY105" i="40" s="1"/>
  <c r="AY108" i="40"/>
  <c r="AY107" i="40"/>
  <c r="AY106" i="40"/>
  <c r="AY105" i="40"/>
  <c r="AR108" i="40"/>
  <c r="AR107" i="40"/>
  <c r="AR106" i="40"/>
  <c r="AR105" i="40"/>
  <c r="AK108" i="40"/>
  <c r="AK107" i="40"/>
  <c r="AK106" i="40"/>
  <c r="AK105" i="40"/>
  <c r="AD108" i="40"/>
  <c r="AD107" i="40"/>
  <c r="AD106" i="40"/>
  <c r="AD105" i="40"/>
  <c r="W108" i="40"/>
  <c r="W107" i="40"/>
  <c r="W106" i="40"/>
  <c r="W105" i="40"/>
  <c r="P108" i="40"/>
  <c r="P107" i="40"/>
  <c r="P106" i="40"/>
  <c r="P105" i="40"/>
  <c r="A108" i="40"/>
  <c r="A107" i="40"/>
  <c r="A106" i="40"/>
  <c r="A105" i="40"/>
  <c r="EB108" i="40"/>
  <c r="EA108" i="40"/>
  <c r="DZ108" i="40"/>
  <c r="DY108" i="40"/>
  <c r="DW108" i="40"/>
  <c r="DV108" i="40"/>
  <c r="DU108" i="40"/>
  <c r="DS108" i="40"/>
  <c r="EB107" i="40"/>
  <c r="EA107" i="40"/>
  <c r="DZ107" i="40"/>
  <c r="DY107" i="40"/>
  <c r="EB106" i="40"/>
  <c r="EA106" i="40"/>
  <c r="DZ106" i="40"/>
  <c r="DY106" i="40"/>
  <c r="DW106" i="40"/>
  <c r="DV106" i="40"/>
  <c r="DU106" i="40"/>
  <c r="DS106" i="40"/>
  <c r="EB105" i="40"/>
  <c r="EA105" i="40"/>
  <c r="DZ105" i="40"/>
  <c r="CW109" i="40"/>
  <c r="AV108" i="40"/>
  <c r="AU108" i="40"/>
  <c r="DX108" i="40" s="1"/>
  <c r="AV107" i="40"/>
  <c r="AU107" i="40"/>
  <c r="DX107" i="40" s="1"/>
  <c r="AV106" i="40"/>
  <c r="AU106" i="40"/>
  <c r="DX106" i="40" s="1"/>
  <c r="AV105" i="40"/>
  <c r="AU105" i="40"/>
  <c r="DX105" i="40" s="1"/>
  <c r="AO108" i="40"/>
  <c r="AN108" i="40"/>
  <c r="AO107" i="40"/>
  <c r="AN107" i="40"/>
  <c r="DW107" i="40" s="1"/>
  <c r="AO106" i="40"/>
  <c r="AN106" i="40"/>
  <c r="AO105" i="40"/>
  <c r="AN105" i="40"/>
  <c r="DW105" i="40" s="1"/>
  <c r="AH108" i="40"/>
  <c r="AG108" i="40"/>
  <c r="AH107" i="40"/>
  <c r="AG107" i="40"/>
  <c r="DV107" i="40" s="1"/>
  <c r="AH106" i="40"/>
  <c r="AG106" i="40"/>
  <c r="AH105" i="40"/>
  <c r="AG105" i="40"/>
  <c r="DV105" i="40" s="1"/>
  <c r="AA108" i="40"/>
  <c r="Z108" i="40"/>
  <c r="AA107" i="40"/>
  <c r="Z107" i="40"/>
  <c r="DU107" i="40" s="1"/>
  <c r="AA106" i="40"/>
  <c r="Z106" i="40"/>
  <c r="AA105" i="40"/>
  <c r="Z105" i="40"/>
  <c r="DU105" i="40" s="1"/>
  <c r="T108" i="40"/>
  <c r="S108" i="40"/>
  <c r="DT108" i="40" s="1"/>
  <c r="ED108" i="40" s="1"/>
  <c r="T107" i="40"/>
  <c r="S107" i="40"/>
  <c r="DT107" i="40" s="1"/>
  <c r="T106" i="40"/>
  <c r="S106" i="40"/>
  <c r="DT106" i="40" s="1"/>
  <c r="ED106" i="40" s="1"/>
  <c r="T105" i="40"/>
  <c r="S105" i="40"/>
  <c r="DT105" i="40" s="1"/>
  <c r="M108" i="40"/>
  <c r="L108" i="40"/>
  <c r="M107" i="40"/>
  <c r="L107" i="40"/>
  <c r="DS107" i="40" s="1"/>
  <c r="M106" i="40"/>
  <c r="L106" i="40"/>
  <c r="M105" i="40"/>
  <c r="L105" i="40"/>
  <c r="DS105" i="40" s="1"/>
  <c r="G108" i="40"/>
  <c r="DB108" i="40" s="1"/>
  <c r="D108" i="40"/>
  <c r="G107" i="40"/>
  <c r="D107" i="40"/>
  <c r="G106" i="40"/>
  <c r="D106" i="40"/>
  <c r="CW106" i="40" s="1"/>
  <c r="G105" i="40"/>
  <c r="I105" i="40" s="1"/>
  <c r="D105" i="40"/>
  <c r="AW101" i="40"/>
  <c r="AP101" i="40"/>
  <c r="AI101" i="40"/>
  <c r="AB101" i="40"/>
  <c r="AD109" i="40" s="1"/>
  <c r="U101" i="40"/>
  <c r="N101" i="40"/>
  <c r="G101" i="40" s="1"/>
  <c r="AT101" i="40"/>
  <c r="AX101" i="40" s="1"/>
  <c r="AQ101" i="40"/>
  <c r="AM101" i="40"/>
  <c r="AJ101" i="40"/>
  <c r="AF101" i="40"/>
  <c r="AG101" i="40" s="1"/>
  <c r="AI102" i="40" s="1"/>
  <c r="AD101" i="40"/>
  <c r="AC101" i="40"/>
  <c r="Y101" i="40"/>
  <c r="Z101" i="40" s="1"/>
  <c r="R101" i="40"/>
  <c r="V101" i="40" s="1"/>
  <c r="O101" i="40"/>
  <c r="M101" i="40"/>
  <c r="K101" i="40"/>
  <c r="F101" i="40"/>
  <c r="E101" i="40"/>
  <c r="B101" i="40"/>
  <c r="B100" i="40"/>
  <c r="B99" i="40"/>
  <c r="B98" i="40"/>
  <c r="B97" i="40"/>
  <c r="DB100" i="40"/>
  <c r="DB98" i="40"/>
  <c r="DB97" i="40"/>
  <c r="AY100" i="40"/>
  <c r="AY99" i="40"/>
  <c r="AY98" i="40"/>
  <c r="AY97" i="40"/>
  <c r="AR100" i="40"/>
  <c r="AR99" i="40"/>
  <c r="AR98" i="40"/>
  <c r="AR97" i="40"/>
  <c r="AK100" i="40"/>
  <c r="AK99" i="40"/>
  <c r="AK98" i="40"/>
  <c r="AK97" i="40"/>
  <c r="AD100" i="40"/>
  <c r="AD99" i="40"/>
  <c r="AD98" i="40"/>
  <c r="AD97" i="40"/>
  <c r="W100" i="40"/>
  <c r="W99" i="40"/>
  <c r="W98" i="40"/>
  <c r="W97" i="40"/>
  <c r="P100" i="40"/>
  <c r="P99" i="40"/>
  <c r="P98" i="40"/>
  <c r="P97" i="40"/>
  <c r="A100" i="40"/>
  <c r="A99" i="40"/>
  <c r="A98" i="40"/>
  <c r="A97" i="40"/>
  <c r="EB100" i="40"/>
  <c r="EA100" i="40"/>
  <c r="DZ100" i="40"/>
  <c r="DY100" i="40"/>
  <c r="DX100" i="40"/>
  <c r="DW100" i="40"/>
  <c r="DT100" i="40"/>
  <c r="DS100" i="40"/>
  <c r="EB99" i="40"/>
  <c r="EA99" i="40"/>
  <c r="DZ99" i="40"/>
  <c r="DY99" i="40"/>
  <c r="EB98" i="40"/>
  <c r="EA98" i="40"/>
  <c r="DZ98" i="40"/>
  <c r="DY98" i="40"/>
  <c r="DX98" i="40"/>
  <c r="DV98" i="40"/>
  <c r="DT98" i="40"/>
  <c r="DS98" i="40"/>
  <c r="EB97" i="40"/>
  <c r="EA97" i="40"/>
  <c r="DZ97" i="40"/>
  <c r="DY97" i="40"/>
  <c r="DJ101" i="40"/>
  <c r="CW101" i="40"/>
  <c r="DK101" i="40" s="1"/>
  <c r="AV100" i="40"/>
  <c r="AU100" i="40"/>
  <c r="AV99" i="40"/>
  <c r="AU99" i="40"/>
  <c r="DX99" i="40" s="1"/>
  <c r="AV98" i="40"/>
  <c r="AU98" i="40"/>
  <c r="AV97" i="40"/>
  <c r="AU97" i="40"/>
  <c r="DX97" i="40" s="1"/>
  <c r="AO100" i="40"/>
  <c r="AN100" i="40"/>
  <c r="AO99" i="40"/>
  <c r="AN99" i="40"/>
  <c r="DW99" i="40" s="1"/>
  <c r="AO98" i="40"/>
  <c r="AN98" i="40"/>
  <c r="DW98" i="40" s="1"/>
  <c r="AO97" i="40"/>
  <c r="AN97" i="40"/>
  <c r="DW97" i="40" s="1"/>
  <c r="AH100" i="40"/>
  <c r="AG100" i="40"/>
  <c r="DV100" i="40" s="1"/>
  <c r="AH99" i="40"/>
  <c r="AG99" i="40"/>
  <c r="DV99" i="40" s="1"/>
  <c r="AH98" i="40"/>
  <c r="AG98" i="40"/>
  <c r="AH97" i="40"/>
  <c r="AG97" i="40"/>
  <c r="DV97" i="40" s="1"/>
  <c r="AA100" i="40"/>
  <c r="Z100" i="40"/>
  <c r="DU100" i="40" s="1"/>
  <c r="AA99" i="40"/>
  <c r="Z99" i="40"/>
  <c r="DU99" i="40" s="1"/>
  <c r="AA98" i="40"/>
  <c r="Z98" i="40"/>
  <c r="DU98" i="40" s="1"/>
  <c r="AA97" i="40"/>
  <c r="Z97" i="40"/>
  <c r="DU97" i="40" s="1"/>
  <c r="T100" i="40"/>
  <c r="S100" i="40"/>
  <c r="T99" i="40"/>
  <c r="S99" i="40"/>
  <c r="DT99" i="40" s="1"/>
  <c r="T98" i="40"/>
  <c r="S98" i="40"/>
  <c r="T97" i="40"/>
  <c r="S97" i="40"/>
  <c r="DT97" i="40" s="1"/>
  <c r="M100" i="40"/>
  <c r="L100" i="40"/>
  <c r="M99" i="40"/>
  <c r="L99" i="40"/>
  <c r="DS99" i="40" s="1"/>
  <c r="EE99" i="40" s="1"/>
  <c r="M98" i="40"/>
  <c r="L98" i="40"/>
  <c r="M97" i="40"/>
  <c r="L97" i="40"/>
  <c r="DS97" i="40" s="1"/>
  <c r="G100" i="40"/>
  <c r="D100" i="40"/>
  <c r="CW100" i="40" s="1"/>
  <c r="G99" i="40"/>
  <c r="DB99" i="40" s="1"/>
  <c r="D99" i="40"/>
  <c r="G98" i="40"/>
  <c r="D98" i="40"/>
  <c r="CW98" i="40" s="1"/>
  <c r="DI98" i="40" s="1"/>
  <c r="G97" i="40"/>
  <c r="D97" i="40"/>
  <c r="E97" i="40" s="1"/>
  <c r="AW93" i="40"/>
  <c r="AY101" i="40" s="1"/>
  <c r="AP93" i="40"/>
  <c r="AR93" i="40" s="1"/>
  <c r="AI93" i="40"/>
  <c r="AJ93" i="40" s="1"/>
  <c r="AB93" i="40"/>
  <c r="U93" i="40"/>
  <c r="W101" i="40" s="1"/>
  <c r="N93" i="40"/>
  <c r="P93" i="40" s="1"/>
  <c r="AT93" i="40"/>
  <c r="AM93" i="40"/>
  <c r="AO93" i="40" s="1"/>
  <c r="AF93" i="40"/>
  <c r="AA93" i="40"/>
  <c r="Y93" i="40"/>
  <c r="Z93" i="40" s="1"/>
  <c r="AB94" i="40" s="1"/>
  <c r="R93" i="40"/>
  <c r="O93" i="40"/>
  <c r="K93" i="40"/>
  <c r="L101" i="40" s="1"/>
  <c r="N102" i="40" s="1"/>
  <c r="H93" i="40"/>
  <c r="G93" i="40"/>
  <c r="F93" i="40"/>
  <c r="E93" i="40"/>
  <c r="B93" i="40"/>
  <c r="B92" i="40"/>
  <c r="B91" i="40"/>
  <c r="B90" i="40"/>
  <c r="B89" i="40"/>
  <c r="AY92" i="40"/>
  <c r="AY91" i="40"/>
  <c r="AR92" i="40"/>
  <c r="AR91" i="40"/>
  <c r="AR90" i="40"/>
  <c r="AR89" i="40"/>
  <c r="AK92" i="40"/>
  <c r="AK91" i="40"/>
  <c r="AK90" i="40"/>
  <c r="AK89" i="40"/>
  <c r="AD92" i="40"/>
  <c r="AD91" i="40"/>
  <c r="AD90" i="40"/>
  <c r="AD89" i="40"/>
  <c r="W92" i="40"/>
  <c r="W91" i="40"/>
  <c r="W90" i="40"/>
  <c r="W89" i="40"/>
  <c r="P92" i="40"/>
  <c r="P91" i="40"/>
  <c r="P90" i="40"/>
  <c r="P89" i="40"/>
  <c r="A92" i="40"/>
  <c r="A91" i="40"/>
  <c r="A90" i="40"/>
  <c r="A89" i="40"/>
  <c r="AV92" i="40"/>
  <c r="AU92" i="40"/>
  <c r="DX92" i="40" s="1"/>
  <c r="AV91" i="40"/>
  <c r="AU91" i="40"/>
  <c r="AU90" i="40"/>
  <c r="DX90" i="40" s="1"/>
  <c r="AU89" i="40"/>
  <c r="EB92" i="40"/>
  <c r="EA92" i="40"/>
  <c r="DZ92" i="40"/>
  <c r="DY92" i="40"/>
  <c r="DW92" i="40"/>
  <c r="DV92" i="40"/>
  <c r="DU92" i="40"/>
  <c r="DS92" i="40"/>
  <c r="EB91" i="40"/>
  <c r="EA91" i="40"/>
  <c r="DZ91" i="40"/>
  <c r="DY91" i="40"/>
  <c r="DX91" i="40"/>
  <c r="EB90" i="40"/>
  <c r="EA90" i="40"/>
  <c r="DZ90" i="40"/>
  <c r="DY90" i="40"/>
  <c r="DW90" i="40"/>
  <c r="DV90" i="40"/>
  <c r="DU90" i="40"/>
  <c r="DS90" i="40"/>
  <c r="EB89" i="40"/>
  <c r="EA89" i="40"/>
  <c r="DZ89" i="40"/>
  <c r="DY89" i="40"/>
  <c r="DX89" i="40"/>
  <c r="CW93" i="40"/>
  <c r="AO92" i="40"/>
  <c r="AN92" i="40"/>
  <c r="AO91" i="40"/>
  <c r="AN91" i="40"/>
  <c r="DW91" i="40" s="1"/>
  <c r="AO90" i="40"/>
  <c r="AN90" i="40"/>
  <c r="AO89" i="40"/>
  <c r="AN89" i="40"/>
  <c r="DW89" i="40" s="1"/>
  <c r="AH92" i="40"/>
  <c r="AG92" i="40"/>
  <c r="AH91" i="40"/>
  <c r="AG91" i="40"/>
  <c r="DV91" i="40" s="1"/>
  <c r="AH90" i="40"/>
  <c r="AG90" i="40"/>
  <c r="AH89" i="40"/>
  <c r="AG89" i="40"/>
  <c r="DV89" i="40" s="1"/>
  <c r="AA92" i="40"/>
  <c r="Z92" i="40"/>
  <c r="AA91" i="40"/>
  <c r="Z91" i="40"/>
  <c r="DU91" i="40" s="1"/>
  <c r="AA90" i="40"/>
  <c r="Z90" i="40"/>
  <c r="AA89" i="40"/>
  <c r="Z89" i="40"/>
  <c r="DU89" i="40" s="1"/>
  <c r="T92" i="40"/>
  <c r="S92" i="40"/>
  <c r="DT92" i="40" s="1"/>
  <c r="T91" i="40"/>
  <c r="S91" i="40"/>
  <c r="DT91" i="40" s="1"/>
  <c r="T90" i="40"/>
  <c r="S90" i="40"/>
  <c r="DT90" i="40" s="1"/>
  <c r="T89" i="40"/>
  <c r="S89" i="40"/>
  <c r="DT89" i="40" s="1"/>
  <c r="M92" i="40"/>
  <c r="L92" i="40"/>
  <c r="M91" i="40"/>
  <c r="L91" i="40"/>
  <c r="DS91" i="40" s="1"/>
  <c r="M90" i="40"/>
  <c r="L90" i="40"/>
  <c r="M89" i="40"/>
  <c r="L89" i="40"/>
  <c r="DS89" i="40" s="1"/>
  <c r="G92" i="40"/>
  <c r="DB92" i="40" s="1"/>
  <c r="D92" i="40"/>
  <c r="CW92" i="40" s="1"/>
  <c r="G91" i="40"/>
  <c r="DB91" i="40" s="1"/>
  <c r="D91" i="40"/>
  <c r="E91" i="40" s="1"/>
  <c r="G90" i="40"/>
  <c r="DB90" i="40" s="1"/>
  <c r="D90" i="40"/>
  <c r="E90" i="40" s="1"/>
  <c r="G89" i="40"/>
  <c r="I97" i="40" s="1"/>
  <c r="D89" i="40"/>
  <c r="E89" i="40" s="1"/>
  <c r="AP85" i="40"/>
  <c r="AI85" i="40"/>
  <c r="AK85" i="40" s="1"/>
  <c r="AB85" i="40"/>
  <c r="AD93" i="40" s="1"/>
  <c r="U85" i="40"/>
  <c r="W85" i="40" s="1"/>
  <c r="N85" i="40"/>
  <c r="F86" i="40"/>
  <c r="E86" i="40"/>
  <c r="DB84" i="40"/>
  <c r="DB83" i="40"/>
  <c r="DB82" i="40"/>
  <c r="AX85" i="40"/>
  <c r="AW85" i="40"/>
  <c r="AT85" i="40"/>
  <c r="AU93" i="40" s="1"/>
  <c r="AR85" i="40"/>
  <c r="AM85" i="40"/>
  <c r="AN85" i="40" s="1"/>
  <c r="AP86" i="40" s="1"/>
  <c r="AF85" i="40"/>
  <c r="AH93" i="40" s="1"/>
  <c r="AC85" i="40"/>
  <c r="Y85" i="40"/>
  <c r="V85" i="40"/>
  <c r="T85" i="40"/>
  <c r="R85" i="40"/>
  <c r="S93" i="40" s="1"/>
  <c r="K85" i="40"/>
  <c r="L85" i="40" s="1"/>
  <c r="F85" i="40"/>
  <c r="E85" i="40"/>
  <c r="B85" i="40"/>
  <c r="B84" i="40"/>
  <c r="B83" i="40"/>
  <c r="B82" i="40"/>
  <c r="B81" i="40"/>
  <c r="AU84" i="40"/>
  <c r="DX84" i="40" s="1"/>
  <c r="AU83" i="40"/>
  <c r="AR84" i="40"/>
  <c r="AR83" i="40"/>
  <c r="AR82" i="40"/>
  <c r="AR81" i="40"/>
  <c r="AK84" i="40"/>
  <c r="AK83" i="40"/>
  <c r="AK82" i="40"/>
  <c r="AK81" i="40"/>
  <c r="AD84" i="40"/>
  <c r="AD83" i="40"/>
  <c r="AD82" i="40"/>
  <c r="AD81" i="40"/>
  <c r="W84" i="40"/>
  <c r="W83" i="40"/>
  <c r="W82" i="40"/>
  <c r="W81" i="40"/>
  <c r="P84" i="40"/>
  <c r="P83" i="40"/>
  <c r="P82" i="40"/>
  <c r="P81" i="40"/>
  <c r="A84" i="40"/>
  <c r="A83" i="40"/>
  <c r="A82" i="40"/>
  <c r="A81" i="40"/>
  <c r="EB84" i="40"/>
  <c r="EA84" i="40"/>
  <c r="DZ84" i="40"/>
  <c r="DY84" i="40"/>
  <c r="DV84" i="40"/>
  <c r="DU84" i="40"/>
  <c r="EB83" i="40"/>
  <c r="EA83" i="40"/>
  <c r="DZ83" i="40"/>
  <c r="DY83" i="40"/>
  <c r="DX83" i="40"/>
  <c r="EB82" i="40"/>
  <c r="EA82" i="40"/>
  <c r="DZ82" i="40"/>
  <c r="DY82" i="40"/>
  <c r="DX82" i="40"/>
  <c r="DV82" i="40"/>
  <c r="DU82" i="40"/>
  <c r="EB81" i="40"/>
  <c r="EA81" i="40"/>
  <c r="DZ81" i="40"/>
  <c r="DY81" i="40"/>
  <c r="DX81" i="40"/>
  <c r="CY86" i="40"/>
  <c r="CX86" i="40"/>
  <c r="AO84" i="40"/>
  <c r="AN84" i="40"/>
  <c r="DW84" i="40" s="1"/>
  <c r="AO83" i="40"/>
  <c r="AN83" i="40"/>
  <c r="DW83" i="40" s="1"/>
  <c r="AO82" i="40"/>
  <c r="AN82" i="40"/>
  <c r="DW82" i="40" s="1"/>
  <c r="AO81" i="40"/>
  <c r="AN81" i="40"/>
  <c r="DW81" i="40" s="1"/>
  <c r="AH84" i="40"/>
  <c r="AG84" i="40"/>
  <c r="AH83" i="40"/>
  <c r="AG83" i="40"/>
  <c r="DV83" i="40" s="1"/>
  <c r="AH82" i="40"/>
  <c r="AG82" i="40"/>
  <c r="AH81" i="40"/>
  <c r="AG81" i="40"/>
  <c r="DV81" i="40" s="1"/>
  <c r="AA84" i="40"/>
  <c r="Z84" i="40"/>
  <c r="AA83" i="40"/>
  <c r="Z83" i="40"/>
  <c r="DU83" i="40" s="1"/>
  <c r="AA82" i="40"/>
  <c r="Z82" i="40"/>
  <c r="AA81" i="40"/>
  <c r="Z81" i="40"/>
  <c r="DU81" i="40" s="1"/>
  <c r="T84" i="40"/>
  <c r="S84" i="40"/>
  <c r="DT84" i="40" s="1"/>
  <c r="T83" i="40"/>
  <c r="S83" i="40"/>
  <c r="DT83" i="40" s="1"/>
  <c r="T82" i="40"/>
  <c r="S82" i="40"/>
  <c r="DT82" i="40" s="1"/>
  <c r="T81" i="40"/>
  <c r="S81" i="40"/>
  <c r="DT81" i="40" s="1"/>
  <c r="M84" i="40"/>
  <c r="L84" i="40"/>
  <c r="DS84" i="40" s="1"/>
  <c r="M83" i="40"/>
  <c r="L83" i="40"/>
  <c r="DS83" i="40" s="1"/>
  <c r="M82" i="40"/>
  <c r="L82" i="40"/>
  <c r="DS82" i="40" s="1"/>
  <c r="M81" i="40"/>
  <c r="L81" i="40"/>
  <c r="DS81" i="40" s="1"/>
  <c r="G84" i="40"/>
  <c r="E84" i="40"/>
  <c r="D84" i="40"/>
  <c r="F84" i="40" s="1"/>
  <c r="G83" i="40"/>
  <c r="I83" i="40" s="1"/>
  <c r="E83" i="40"/>
  <c r="D83" i="40"/>
  <c r="F83" i="40" s="1"/>
  <c r="G82" i="40"/>
  <c r="E82" i="40"/>
  <c r="D82" i="40"/>
  <c r="F82" i="40" s="1"/>
  <c r="G81" i="40"/>
  <c r="DB81" i="40" s="1"/>
  <c r="E81" i="40"/>
  <c r="D81" i="40"/>
  <c r="CW81" i="40" s="1"/>
  <c r="AP77" i="40"/>
  <c r="AI77" i="40"/>
  <c r="AB77" i="40"/>
  <c r="AD85" i="40" s="1"/>
  <c r="U77" i="40"/>
  <c r="V77" i="40" s="1"/>
  <c r="CW76" i="40"/>
  <c r="CW75" i="40"/>
  <c r="AR77" i="40"/>
  <c r="AM77" i="40"/>
  <c r="AN77" i="40" s="1"/>
  <c r="AP78" i="40" s="1"/>
  <c r="AF77" i="40"/>
  <c r="AG77" i="40" s="1"/>
  <c r="AD77" i="40"/>
  <c r="Y77" i="40"/>
  <c r="CW77" i="40" s="1"/>
  <c r="R77" i="40"/>
  <c r="N77" i="40"/>
  <c r="P77" i="40" s="1"/>
  <c r="K77" i="40"/>
  <c r="L77" i="40" s="1"/>
  <c r="F77" i="40"/>
  <c r="E77" i="40"/>
  <c r="B77" i="40"/>
  <c r="B76" i="40"/>
  <c r="B75" i="40"/>
  <c r="B74" i="40"/>
  <c r="B73" i="40"/>
  <c r="A76" i="40"/>
  <c r="A75" i="40"/>
  <c r="A74" i="40"/>
  <c r="A73" i="40"/>
  <c r="EB76" i="40"/>
  <c r="EA76" i="40"/>
  <c r="DZ76" i="40"/>
  <c r="DY76" i="40"/>
  <c r="DX76" i="40"/>
  <c r="EB75" i="40"/>
  <c r="EA75" i="40"/>
  <c r="DZ75" i="40"/>
  <c r="DY75" i="40"/>
  <c r="DX75" i="40"/>
  <c r="DV75" i="40"/>
  <c r="DU75" i="40"/>
  <c r="EB74" i="40"/>
  <c r="EA74" i="40"/>
  <c r="DZ74" i="40"/>
  <c r="DY74" i="40"/>
  <c r="DX74" i="40"/>
  <c r="EB73" i="40"/>
  <c r="EA73" i="40"/>
  <c r="DZ73" i="40"/>
  <c r="DY73" i="40"/>
  <c r="DX73" i="40"/>
  <c r="DV73" i="40"/>
  <c r="DU73" i="40"/>
  <c r="CY78" i="40"/>
  <c r="CX78" i="40"/>
  <c r="CX76" i="40"/>
  <c r="AO76" i="40"/>
  <c r="AN76" i="40"/>
  <c r="DW76" i="40" s="1"/>
  <c r="AO75" i="40"/>
  <c r="AN75" i="40"/>
  <c r="DW75" i="40" s="1"/>
  <c r="AO74" i="40"/>
  <c r="AN74" i="40"/>
  <c r="DW74" i="40" s="1"/>
  <c r="AO73" i="40"/>
  <c r="AN73" i="40"/>
  <c r="DW73" i="40" s="1"/>
  <c r="AH76" i="40"/>
  <c r="AG76" i="40"/>
  <c r="DV76" i="40" s="1"/>
  <c r="AH75" i="40"/>
  <c r="AG75" i="40"/>
  <c r="AH74" i="40"/>
  <c r="AG74" i="40"/>
  <c r="DV74" i="40" s="1"/>
  <c r="AH73" i="40"/>
  <c r="AG73" i="40"/>
  <c r="AA76" i="40"/>
  <c r="Z76" i="40"/>
  <c r="DU76" i="40" s="1"/>
  <c r="AA75" i="40"/>
  <c r="Z75" i="40"/>
  <c r="AA74" i="40"/>
  <c r="Z74" i="40"/>
  <c r="DU74" i="40" s="1"/>
  <c r="AA73" i="40"/>
  <c r="Z73" i="40"/>
  <c r="T76" i="40"/>
  <c r="S76" i="40"/>
  <c r="DT76" i="40" s="1"/>
  <c r="T75" i="40"/>
  <c r="S75" i="40"/>
  <c r="DT75" i="40" s="1"/>
  <c r="T74" i="40"/>
  <c r="S74" i="40"/>
  <c r="DT74" i="40" s="1"/>
  <c r="T73" i="40"/>
  <c r="S73" i="40"/>
  <c r="DT73" i="40" s="1"/>
  <c r="M76" i="40"/>
  <c r="L76" i="40"/>
  <c r="DS76" i="40" s="1"/>
  <c r="M75" i="40"/>
  <c r="L75" i="40"/>
  <c r="DS75" i="40" s="1"/>
  <c r="M74" i="40"/>
  <c r="L74" i="40"/>
  <c r="DS74" i="40" s="1"/>
  <c r="M73" i="40"/>
  <c r="L73" i="40"/>
  <c r="DS73" i="40" s="1"/>
  <c r="G76" i="40"/>
  <c r="DB76" i="40" s="1"/>
  <c r="D76" i="40"/>
  <c r="E76" i="40" s="1"/>
  <c r="G75" i="40"/>
  <c r="DB75" i="40" s="1"/>
  <c r="D75" i="40"/>
  <c r="E75" i="40" s="1"/>
  <c r="G74" i="40"/>
  <c r="I82" i="40" s="1"/>
  <c r="D74" i="40"/>
  <c r="CW74" i="40" s="1"/>
  <c r="G73" i="40"/>
  <c r="I81" i="40" s="1"/>
  <c r="D73" i="40"/>
  <c r="CW73" i="40" s="1"/>
  <c r="AR69" i="40"/>
  <c r="AQ69" i="40"/>
  <c r="AP65" i="40" s="1"/>
  <c r="AM69" i="40"/>
  <c r="AN69" i="40" s="1"/>
  <c r="AP70" i="40" s="1"/>
  <c r="AJ69" i="40"/>
  <c r="AI65" i="40" s="1"/>
  <c r="AF69" i="40"/>
  <c r="AG69" i="40" s="1"/>
  <c r="AD69" i="40"/>
  <c r="Y69" i="40"/>
  <c r="Z69" i="40" s="1"/>
  <c r="AB70" i="40" s="1"/>
  <c r="W69" i="40"/>
  <c r="R69" i="40"/>
  <c r="T69" i="40" s="1"/>
  <c r="P69" i="40"/>
  <c r="O69" i="40"/>
  <c r="N68" i="40" s="1"/>
  <c r="M69" i="40"/>
  <c r="L69" i="40"/>
  <c r="N70" i="40" s="1"/>
  <c r="K69" i="40"/>
  <c r="H69" i="40"/>
  <c r="G69" i="40"/>
  <c r="I69" i="40" s="1"/>
  <c r="B69" i="40"/>
  <c r="B68" i="40"/>
  <c r="B67" i="40"/>
  <c r="B66" i="40"/>
  <c r="B65" i="40"/>
  <c r="S68" i="40"/>
  <c r="S67" i="40"/>
  <c r="S66" i="40"/>
  <c r="S65" i="40"/>
  <c r="A68" i="40"/>
  <c r="A67" i="40"/>
  <c r="A66" i="40"/>
  <c r="A65" i="40"/>
  <c r="CY70" i="40"/>
  <c r="CX70" i="40"/>
  <c r="AO68" i="40"/>
  <c r="AN68" i="40"/>
  <c r="AP67" i="40"/>
  <c r="AR75" i="40" s="1"/>
  <c r="AO67" i="40"/>
  <c r="AN67" i="40"/>
  <c r="AP66" i="40"/>
  <c r="AO66" i="40"/>
  <c r="AN66" i="40"/>
  <c r="AO65" i="40"/>
  <c r="AN65" i="40"/>
  <c r="AH68" i="40"/>
  <c r="AG68" i="40"/>
  <c r="AI67" i="40"/>
  <c r="AH67" i="40"/>
  <c r="AG67" i="40"/>
  <c r="AI66" i="40"/>
  <c r="AH66" i="40"/>
  <c r="AG66" i="40"/>
  <c r="AH65" i="40"/>
  <c r="AG65" i="40"/>
  <c r="AA68" i="40"/>
  <c r="Z68" i="40"/>
  <c r="AA67" i="40"/>
  <c r="Z67" i="40"/>
  <c r="AA66" i="40"/>
  <c r="Z66" i="40"/>
  <c r="AA65" i="40"/>
  <c r="Z65" i="40"/>
  <c r="M68" i="40"/>
  <c r="L68" i="40"/>
  <c r="N67" i="40"/>
  <c r="P75" i="40" s="1"/>
  <c r="M67" i="40"/>
  <c r="L67" i="40"/>
  <c r="N66" i="40"/>
  <c r="M66" i="40"/>
  <c r="L66" i="40"/>
  <c r="N65" i="40"/>
  <c r="P73" i="40" s="1"/>
  <c r="M65" i="40"/>
  <c r="L65" i="40"/>
  <c r="E68" i="40"/>
  <c r="D68" i="40"/>
  <c r="CW68" i="40" s="1"/>
  <c r="E67" i="40"/>
  <c r="D67" i="40"/>
  <c r="F67" i="40" s="1"/>
  <c r="E66" i="40"/>
  <c r="D66" i="40"/>
  <c r="F66" i="40" s="1"/>
  <c r="E65" i="40"/>
  <c r="D65" i="40"/>
  <c r="F65" i="40" s="1"/>
  <c r="CW60" i="40"/>
  <c r="CW59" i="40"/>
  <c r="AR61" i="40"/>
  <c r="AM61" i="40"/>
  <c r="AN61" i="40" s="1"/>
  <c r="AP62" i="40" s="1"/>
  <c r="AF61" i="40"/>
  <c r="AG61" i="40" s="1"/>
  <c r="AD61" i="40"/>
  <c r="Y61" i="40"/>
  <c r="AA61" i="40" s="1"/>
  <c r="S61" i="40"/>
  <c r="R61" i="40"/>
  <c r="T61" i="40" s="1"/>
  <c r="P61" i="40"/>
  <c r="O61" i="40"/>
  <c r="N58" i="40" s="1"/>
  <c r="M61" i="40"/>
  <c r="L61" i="40"/>
  <c r="N62" i="40" s="1"/>
  <c r="K61" i="40"/>
  <c r="G61" i="40"/>
  <c r="I61" i="40" s="1"/>
  <c r="D61" i="40"/>
  <c r="E69" i="40" s="1"/>
  <c r="B61" i="40"/>
  <c r="B60" i="40"/>
  <c r="B59" i="40"/>
  <c r="B58" i="40"/>
  <c r="B57" i="40"/>
  <c r="A60" i="40"/>
  <c r="A59" i="40"/>
  <c r="A58" i="40"/>
  <c r="A57" i="40"/>
  <c r="CY62" i="40"/>
  <c r="CX62" i="40"/>
  <c r="CX60" i="40"/>
  <c r="AO60" i="40"/>
  <c r="AN60" i="40"/>
  <c r="AO59" i="40"/>
  <c r="AN59" i="40"/>
  <c r="AO58" i="40"/>
  <c r="AN58" i="40"/>
  <c r="AO57" i="40"/>
  <c r="AN57" i="40"/>
  <c r="AH60" i="40"/>
  <c r="AG60" i="40"/>
  <c r="AH59" i="40"/>
  <c r="AG59" i="40"/>
  <c r="AH58" i="40"/>
  <c r="AG58" i="40"/>
  <c r="AH57" i="40"/>
  <c r="AG57" i="40"/>
  <c r="AA60" i="40"/>
  <c r="Z60" i="40"/>
  <c r="AA59" i="40"/>
  <c r="Z59" i="40"/>
  <c r="AA58" i="40"/>
  <c r="Z58" i="40"/>
  <c r="AA57" i="40"/>
  <c r="Z57" i="40"/>
  <c r="N60" i="40"/>
  <c r="P60" i="40" s="1"/>
  <c r="M60" i="40"/>
  <c r="L60" i="40"/>
  <c r="N59" i="40"/>
  <c r="M59" i="40"/>
  <c r="L59" i="40"/>
  <c r="M58" i="40"/>
  <c r="L58" i="40"/>
  <c r="N57" i="40"/>
  <c r="P65" i="40" s="1"/>
  <c r="M57" i="40"/>
  <c r="L57" i="40"/>
  <c r="F60" i="40"/>
  <c r="D60" i="40"/>
  <c r="E60" i="40" s="1"/>
  <c r="G59" i="40"/>
  <c r="F59" i="40"/>
  <c r="D59" i="40"/>
  <c r="E59" i="40" s="1"/>
  <c r="F58" i="40"/>
  <c r="D58" i="40"/>
  <c r="CW58" i="40" s="1"/>
  <c r="G57" i="40"/>
  <c r="F57" i="40"/>
  <c r="D57" i="40"/>
  <c r="CW57" i="40" s="1"/>
  <c r="CW52" i="40"/>
  <c r="CW50" i="40"/>
  <c r="CW49" i="40"/>
  <c r="AR53" i="40"/>
  <c r="AN53" i="40"/>
  <c r="AP54" i="40" s="1"/>
  <c r="AM53" i="40"/>
  <c r="AO53" i="40" s="1"/>
  <c r="AF53" i="40"/>
  <c r="AG53" i="40" s="1"/>
  <c r="F201" i="14" s="1"/>
  <c r="AD53" i="40"/>
  <c r="Y53" i="40"/>
  <c r="AA53" i="40" s="1"/>
  <c r="P53" i="40"/>
  <c r="O53" i="40"/>
  <c r="N51" i="40" s="1"/>
  <c r="K53" i="40"/>
  <c r="G53" i="40"/>
  <c r="DB53" i="40" s="1"/>
  <c r="F31" i="14" s="1"/>
  <c r="D53" i="40"/>
  <c r="B53" i="40"/>
  <c r="B52" i="40"/>
  <c r="B51" i="40"/>
  <c r="B50" i="40"/>
  <c r="B49" i="40"/>
  <c r="AG52" i="40"/>
  <c r="AG51" i="40"/>
  <c r="AG50" i="40"/>
  <c r="AG49" i="40"/>
  <c r="A52" i="40"/>
  <c r="A51" i="40"/>
  <c r="A50" i="40"/>
  <c r="A49" i="40"/>
  <c r="CY54" i="40"/>
  <c r="CX54" i="40"/>
  <c r="CX50" i="40"/>
  <c r="AO52" i="40"/>
  <c r="AN52" i="40"/>
  <c r="AO51" i="40"/>
  <c r="AN51" i="40"/>
  <c r="AO50" i="40"/>
  <c r="AN50" i="40"/>
  <c r="AO49" i="40"/>
  <c r="AN49" i="40"/>
  <c r="AA52" i="40"/>
  <c r="Z52" i="40"/>
  <c r="AA51" i="40"/>
  <c r="Z51" i="40"/>
  <c r="AA50" i="40"/>
  <c r="Z50" i="40"/>
  <c r="AA49" i="40"/>
  <c r="Z49" i="40"/>
  <c r="N52" i="40"/>
  <c r="M52" i="40"/>
  <c r="L52" i="40"/>
  <c r="M51" i="40"/>
  <c r="L51" i="40"/>
  <c r="N50" i="40"/>
  <c r="G50" i="40" s="1"/>
  <c r="M50" i="40"/>
  <c r="L50" i="40"/>
  <c r="N49" i="40"/>
  <c r="G49" i="40" s="1"/>
  <c r="M49" i="40"/>
  <c r="L49" i="40"/>
  <c r="G52" i="40"/>
  <c r="E52" i="40"/>
  <c r="D52" i="40"/>
  <c r="E51" i="40"/>
  <c r="D51" i="40"/>
  <c r="CW51" i="40" s="1"/>
  <c r="E50" i="40"/>
  <c r="D50" i="40"/>
  <c r="D49" i="40"/>
  <c r="AQ45" i="40"/>
  <c r="AP41" i="40" s="1"/>
  <c r="AM45" i="40"/>
  <c r="AN45" i="40" s="1"/>
  <c r="AP46" i="40" s="1"/>
  <c r="AD45" i="40"/>
  <c r="Y45" i="40"/>
  <c r="Z45" i="40" s="1"/>
  <c r="AB46" i="40" s="1"/>
  <c r="P45" i="40"/>
  <c r="K45" i="40"/>
  <c r="M45" i="40" s="1"/>
  <c r="G45" i="40"/>
  <c r="B45" i="40"/>
  <c r="B44" i="40"/>
  <c r="B43" i="40"/>
  <c r="B42" i="40"/>
  <c r="B41" i="40"/>
  <c r="AP44" i="40"/>
  <c r="AR44" i="40" s="1"/>
  <c r="AP43" i="40"/>
  <c r="AR43" i="40" s="1"/>
  <c r="AN44" i="40"/>
  <c r="AN43" i="40"/>
  <c r="AN42" i="40"/>
  <c r="AN41" i="40"/>
  <c r="A44" i="40"/>
  <c r="A43" i="40"/>
  <c r="A42" i="40"/>
  <c r="A41" i="40"/>
  <c r="CY46" i="40"/>
  <c r="CX46" i="40"/>
  <c r="AA44" i="40"/>
  <c r="Z44" i="40"/>
  <c r="AA43" i="40"/>
  <c r="Z43" i="40"/>
  <c r="AA42" i="40"/>
  <c r="Z42" i="40"/>
  <c r="AA41" i="40"/>
  <c r="Z41" i="40"/>
  <c r="M44" i="40"/>
  <c r="L44" i="40"/>
  <c r="M43" i="40"/>
  <c r="L43" i="40"/>
  <c r="M42" i="40"/>
  <c r="L42" i="40"/>
  <c r="M41" i="40"/>
  <c r="L41" i="40"/>
  <c r="D44" i="40"/>
  <c r="D45" i="40" s="1"/>
  <c r="D43" i="40"/>
  <c r="E43" i="40" s="1"/>
  <c r="D42" i="40"/>
  <c r="E42" i="40" s="1"/>
  <c r="D41" i="40"/>
  <c r="CW41" i="40" s="1"/>
  <c r="AP37" i="40"/>
  <c r="AR45" i="40" s="1"/>
  <c r="AP36" i="40"/>
  <c r="AP35" i="40"/>
  <c r="AP34" i="40"/>
  <c r="AP33" i="40"/>
  <c r="AM37" i="40"/>
  <c r="AN37" i="40" s="1"/>
  <c r="AD37" i="40"/>
  <c r="Y37" i="40"/>
  <c r="Z37" i="40" s="1"/>
  <c r="AB38" i="40" s="1"/>
  <c r="P37" i="40"/>
  <c r="K37" i="40"/>
  <c r="M37" i="40" s="1"/>
  <c r="G37" i="40"/>
  <c r="DB37" i="40" s="1"/>
  <c r="B37" i="40"/>
  <c r="B36" i="40"/>
  <c r="B35" i="40"/>
  <c r="B34" i="40"/>
  <c r="B33" i="40"/>
  <c r="AN36" i="40"/>
  <c r="AN35" i="40"/>
  <c r="AN34" i="40"/>
  <c r="AN33" i="40"/>
  <c r="A36" i="40"/>
  <c r="A35" i="40"/>
  <c r="A34" i="40"/>
  <c r="A33" i="40"/>
  <c r="CY38" i="40"/>
  <c r="CX38" i="40"/>
  <c r="AA36" i="40"/>
  <c r="Z36" i="40"/>
  <c r="AA35" i="40"/>
  <c r="Z35" i="40"/>
  <c r="AA34" i="40"/>
  <c r="Z34" i="40"/>
  <c r="AA33" i="40"/>
  <c r="Z33" i="40"/>
  <c r="M36" i="40"/>
  <c r="L36" i="40"/>
  <c r="M35" i="40"/>
  <c r="L35" i="40"/>
  <c r="M34" i="40"/>
  <c r="L34" i="40"/>
  <c r="M33" i="40"/>
  <c r="L33" i="40"/>
  <c r="E36" i="40"/>
  <c r="D36" i="40"/>
  <c r="D37" i="40" s="1"/>
  <c r="E35" i="40"/>
  <c r="D35" i="40"/>
  <c r="F35" i="40" s="1"/>
  <c r="E34" i="40"/>
  <c r="D34" i="40"/>
  <c r="CW34" i="40" s="1"/>
  <c r="D33" i="40"/>
  <c r="F33" i="40" s="1"/>
  <c r="AC29" i="40"/>
  <c r="AB25" i="40" s="1"/>
  <c r="Y29" i="40"/>
  <c r="Z29" i="40" s="1"/>
  <c r="P29" i="40"/>
  <c r="K29" i="40"/>
  <c r="L29" i="40" s="1"/>
  <c r="I29" i="40"/>
  <c r="G29" i="40"/>
  <c r="DB29" i="40" s="1"/>
  <c r="B29" i="40"/>
  <c r="B28" i="40"/>
  <c r="B27" i="40"/>
  <c r="B26" i="40"/>
  <c r="B25" i="40"/>
  <c r="AB28" i="40"/>
  <c r="AB27" i="40"/>
  <c r="Z28" i="40"/>
  <c r="Z27" i="40"/>
  <c r="Z26" i="40"/>
  <c r="Z25" i="40"/>
  <c r="A28" i="40"/>
  <c r="A27" i="40"/>
  <c r="A26" i="40"/>
  <c r="A25" i="40"/>
  <c r="A24" i="40"/>
  <c r="A32" i="40" s="1"/>
  <c r="A40" i="40" s="1"/>
  <c r="A48" i="40" s="1"/>
  <c r="A56" i="40" s="1"/>
  <c r="A64" i="40" s="1"/>
  <c r="A72" i="40" s="1"/>
  <c r="A80" i="40" s="1"/>
  <c r="A88" i="40" s="1"/>
  <c r="A96" i="40" s="1"/>
  <c r="A104" i="40" s="1"/>
  <c r="A112" i="40" s="1"/>
  <c r="A120" i="40" s="1"/>
  <c r="A128" i="40" s="1"/>
  <c r="A136" i="40" s="1"/>
  <c r="A144" i="40" s="1"/>
  <c r="A151" i="40" s="1"/>
  <c r="A158" i="40" s="1"/>
  <c r="A165" i="40" s="1"/>
  <c r="A172" i="40" s="1"/>
  <c r="A179" i="40" s="1"/>
  <c r="A186" i="40" s="1"/>
  <c r="A193" i="40" s="1"/>
  <c r="A200" i="40" s="1"/>
  <c r="A207" i="40" s="1"/>
  <c r="A214" i="40" s="1"/>
  <c r="A221" i="40" s="1"/>
  <c r="A228" i="40" s="1"/>
  <c r="A235" i="40" s="1"/>
  <c r="A242" i="40" s="1"/>
  <c r="A249" i="40" s="1"/>
  <c r="CY30" i="40"/>
  <c r="CX30" i="40"/>
  <c r="M28" i="40"/>
  <c r="L28" i="40"/>
  <c r="M27" i="40"/>
  <c r="L27" i="40"/>
  <c r="M26" i="40"/>
  <c r="L26" i="40"/>
  <c r="M25" i="40"/>
  <c r="L25" i="40"/>
  <c r="D28" i="40"/>
  <c r="E28" i="40" s="1"/>
  <c r="D27" i="40"/>
  <c r="E27" i="40" s="1"/>
  <c r="D26" i="40"/>
  <c r="CW26" i="40" s="1"/>
  <c r="D25" i="40"/>
  <c r="E25" i="40" s="1"/>
  <c r="DB21" i="40"/>
  <c r="CY22" i="40"/>
  <c r="CX22" i="40"/>
  <c r="CW19" i="40"/>
  <c r="CW18" i="40"/>
  <c r="AC21" i="40"/>
  <c r="O21" i="40"/>
  <c r="N18" i="40" s="1"/>
  <c r="G18" i="40" s="1"/>
  <c r="DB18" i="40" s="1"/>
  <c r="K21" i="40"/>
  <c r="G21" i="40"/>
  <c r="H21" i="40" s="1"/>
  <c r="D21" i="40"/>
  <c r="CW21" i="40" s="1"/>
  <c r="D20" i="40"/>
  <c r="CW20" i="40" s="1"/>
  <c r="D19" i="40"/>
  <c r="D18" i="40"/>
  <c r="D17" i="40"/>
  <c r="CW17" i="40" s="1"/>
  <c r="N17" i="40"/>
  <c r="G17" i="40"/>
  <c r="DB17" i="40" s="1"/>
  <c r="DB13" i="40"/>
  <c r="CY14" i="40"/>
  <c r="CX14" i="40"/>
  <c r="CW10" i="40"/>
  <c r="K13" i="40"/>
  <c r="O13" i="40" s="1"/>
  <c r="G13" i="40"/>
  <c r="D12" i="40"/>
  <c r="CW12" i="40" s="1"/>
  <c r="D11" i="40"/>
  <c r="CW11" i="40" s="1"/>
  <c r="D10" i="40"/>
  <c r="D9" i="40"/>
  <c r="CW9" i="40" s="1"/>
  <c r="DQ6" i="40"/>
  <c r="L202" i="2"/>
  <c r="F202" i="2"/>
  <c r="F201" i="2"/>
  <c r="F200" i="2"/>
  <c r="D202" i="2"/>
  <c r="D201" i="2"/>
  <c r="L201" i="2" s="1"/>
  <c r="D200" i="2"/>
  <c r="AB202" i="2"/>
  <c r="AB201" i="2"/>
  <c r="AB200" i="2"/>
  <c r="H202" i="2"/>
  <c r="AM202" i="2" s="1"/>
  <c r="H201" i="2"/>
  <c r="T201" i="2" s="1"/>
  <c r="H200" i="2"/>
  <c r="J200" i="2" s="1"/>
  <c r="T200" i="2"/>
  <c r="L194" i="2"/>
  <c r="J195" i="2"/>
  <c r="AH195" i="2" s="1"/>
  <c r="F196" i="2"/>
  <c r="F195" i="2"/>
  <c r="F194" i="2"/>
  <c r="F193" i="2"/>
  <c r="D196" i="2"/>
  <c r="L196" i="2" s="1"/>
  <c r="D195" i="2"/>
  <c r="D194" i="2"/>
  <c r="D193" i="2"/>
  <c r="D197" i="2" s="1"/>
  <c r="AB196" i="2"/>
  <c r="AB195" i="2"/>
  <c r="AB194" i="2"/>
  <c r="AB193" i="2"/>
  <c r="H196" i="2"/>
  <c r="AM196" i="2" s="1"/>
  <c r="H195" i="2"/>
  <c r="J196" i="2" s="1"/>
  <c r="AH196" i="2" s="1"/>
  <c r="H194" i="2"/>
  <c r="AM194" i="2" s="1"/>
  <c r="H193" i="2"/>
  <c r="T193" i="2" s="1"/>
  <c r="T195" i="2"/>
  <c r="L186" i="2"/>
  <c r="J187" i="2"/>
  <c r="AH187" i="2" s="1"/>
  <c r="F189" i="2"/>
  <c r="F188" i="2"/>
  <c r="F187" i="2"/>
  <c r="F186" i="2"/>
  <c r="D189" i="2"/>
  <c r="L189" i="2" s="1"/>
  <c r="D188" i="2"/>
  <c r="L195" i="2" s="1"/>
  <c r="D187" i="2"/>
  <c r="D186" i="2"/>
  <c r="D190" i="2" s="1"/>
  <c r="AB186" i="2"/>
  <c r="H189" i="2"/>
  <c r="H188" i="2"/>
  <c r="H187" i="2"/>
  <c r="H186" i="2"/>
  <c r="AM186" i="2" s="1"/>
  <c r="T187" i="2"/>
  <c r="R180" i="2"/>
  <c r="F182" i="2"/>
  <c r="F181" i="2"/>
  <c r="F180" i="2"/>
  <c r="F179" i="2"/>
  <c r="D182" i="2"/>
  <c r="D181" i="2"/>
  <c r="L181" i="2" s="1"/>
  <c r="D180" i="2"/>
  <c r="D179" i="2"/>
  <c r="AM180" i="2"/>
  <c r="AD180" i="2"/>
  <c r="AB182" i="2"/>
  <c r="AB181" i="2"/>
  <c r="AB180" i="2"/>
  <c r="AB179" i="2"/>
  <c r="P180" i="2"/>
  <c r="H182" i="2"/>
  <c r="H181" i="2"/>
  <c r="AM181" i="2" s="1"/>
  <c r="H180" i="2"/>
  <c r="H179" i="2"/>
  <c r="J180" i="2" s="1"/>
  <c r="AH180" i="2" s="1"/>
  <c r="T180" i="2"/>
  <c r="T179" i="2"/>
  <c r="J174" i="2"/>
  <c r="F175" i="2"/>
  <c r="F174" i="2"/>
  <c r="F173" i="2"/>
  <c r="T172" i="2" s="1"/>
  <c r="F172" i="2"/>
  <c r="D175" i="2"/>
  <c r="L175" i="2" s="1"/>
  <c r="D174" i="2"/>
  <c r="L174" i="2" s="1"/>
  <c r="D173" i="2"/>
  <c r="D172" i="2"/>
  <c r="AM174" i="2"/>
  <c r="AH174" i="2"/>
  <c r="AB175" i="2"/>
  <c r="AB174" i="2"/>
  <c r="AB173" i="2"/>
  <c r="AB172" i="2"/>
  <c r="H175" i="2"/>
  <c r="J175" i="2" s="1"/>
  <c r="H174" i="2"/>
  <c r="H173" i="2"/>
  <c r="N180" i="2" s="1"/>
  <c r="H172" i="2"/>
  <c r="J173" i="2" s="1"/>
  <c r="AH173" i="2" s="1"/>
  <c r="T174" i="2"/>
  <c r="L168" i="2"/>
  <c r="L167" i="2"/>
  <c r="J168" i="2"/>
  <c r="AH168" i="2" s="1"/>
  <c r="F168" i="2"/>
  <c r="T167" i="2" s="1"/>
  <c r="F167" i="2"/>
  <c r="F166" i="2"/>
  <c r="F165" i="2"/>
  <c r="D168" i="2"/>
  <c r="D167" i="2"/>
  <c r="D166" i="2"/>
  <c r="L173" i="2" s="1"/>
  <c r="D165" i="2"/>
  <c r="D169" i="2" s="1"/>
  <c r="AB168" i="2"/>
  <c r="AB167" i="2"/>
  <c r="AB166" i="2"/>
  <c r="AB165" i="2"/>
  <c r="H168" i="2"/>
  <c r="AM168" i="2" s="1"/>
  <c r="H167" i="2"/>
  <c r="AM167" i="2" s="1"/>
  <c r="H166" i="2"/>
  <c r="AM166" i="2" s="1"/>
  <c r="AN167" i="2" s="1"/>
  <c r="H165" i="2"/>
  <c r="J165" i="2" s="1"/>
  <c r="AN160" i="2"/>
  <c r="L159" i="2"/>
  <c r="J161" i="2"/>
  <c r="F161" i="2"/>
  <c r="F160" i="2"/>
  <c r="F159" i="2"/>
  <c r="F158" i="2"/>
  <c r="T154" i="2" s="1"/>
  <c r="D161" i="2"/>
  <c r="D160" i="2"/>
  <c r="D159" i="2"/>
  <c r="L166" i="2" s="1"/>
  <c r="D158" i="2"/>
  <c r="L158" i="2" s="1"/>
  <c r="AB161" i="2"/>
  <c r="AB160" i="2"/>
  <c r="AB159" i="2"/>
  <c r="AB158" i="2"/>
  <c r="H161" i="2"/>
  <c r="AM161" i="2" s="1"/>
  <c r="H160" i="2"/>
  <c r="AM160" i="2" s="1"/>
  <c r="AN161" i="2" s="1"/>
  <c r="H159" i="2"/>
  <c r="AM159" i="2" s="1"/>
  <c r="H158" i="2"/>
  <c r="J154" i="2"/>
  <c r="F154" i="2"/>
  <c r="F153" i="2"/>
  <c r="F152" i="2"/>
  <c r="F151" i="2"/>
  <c r="D154" i="2"/>
  <c r="L161" i="2" s="1"/>
  <c r="D153" i="2"/>
  <c r="L160" i="2" s="1"/>
  <c r="D152" i="2"/>
  <c r="L152" i="2" s="1"/>
  <c r="D151" i="2"/>
  <c r="AM152" i="2"/>
  <c r="AD152" i="2"/>
  <c r="AB154" i="2"/>
  <c r="AB153" i="2"/>
  <c r="AB152" i="2"/>
  <c r="AB151" i="2"/>
  <c r="T152" i="2"/>
  <c r="P152" i="2"/>
  <c r="N152" i="2"/>
  <c r="H154" i="2"/>
  <c r="AM154" i="2" s="1"/>
  <c r="H153" i="2"/>
  <c r="AM153" i="2" s="1"/>
  <c r="AN154" i="2" s="1"/>
  <c r="H152" i="2"/>
  <c r="H151" i="2"/>
  <c r="AM151" i="2" s="1"/>
  <c r="L147" i="2"/>
  <c r="L145" i="2"/>
  <c r="F147" i="2"/>
  <c r="F146" i="2"/>
  <c r="F145" i="2"/>
  <c r="R145" i="2" s="1"/>
  <c r="F144" i="2"/>
  <c r="D147" i="2"/>
  <c r="L154" i="2" s="1"/>
  <c r="D146" i="2"/>
  <c r="D145" i="2"/>
  <c r="D144" i="2"/>
  <c r="L151" i="2" s="1"/>
  <c r="AM146" i="2"/>
  <c r="AB147" i="2"/>
  <c r="AB146" i="2"/>
  <c r="AD146" i="2" s="1"/>
  <c r="AB145" i="2"/>
  <c r="AB144" i="2"/>
  <c r="AD144" i="2" s="1"/>
  <c r="T146" i="2"/>
  <c r="P146" i="2"/>
  <c r="N146" i="2"/>
  <c r="H147" i="2"/>
  <c r="AD147" i="2" s="1"/>
  <c r="H146" i="2"/>
  <c r="H145" i="2"/>
  <c r="AM145" i="2" s="1"/>
  <c r="AN146" i="2" s="1"/>
  <c r="H144" i="2"/>
  <c r="J145" i="2" s="1"/>
  <c r="AH145" i="2" s="1"/>
  <c r="F140" i="2"/>
  <c r="F139" i="2"/>
  <c r="T138" i="2" s="1"/>
  <c r="F138" i="2"/>
  <c r="F137" i="2"/>
  <c r="D140" i="2"/>
  <c r="L140" i="2" s="1"/>
  <c r="D139" i="2"/>
  <c r="D138" i="2"/>
  <c r="AM139" i="2"/>
  <c r="AB137" i="2"/>
  <c r="AD137" i="2" s="1"/>
  <c r="T139" i="2"/>
  <c r="P139" i="2"/>
  <c r="H140" i="2"/>
  <c r="H139" i="2"/>
  <c r="H138" i="2"/>
  <c r="AM138" i="2" s="1"/>
  <c r="AN139" i="2" s="1"/>
  <c r="H137" i="2"/>
  <c r="J138" i="2" s="1"/>
  <c r="AH138" i="2" s="1"/>
  <c r="R130" i="2"/>
  <c r="F133" i="2"/>
  <c r="F132" i="2"/>
  <c r="F131" i="2"/>
  <c r="F130" i="2"/>
  <c r="D133" i="2"/>
  <c r="D132" i="2"/>
  <c r="D131" i="2"/>
  <c r="L138" i="2" s="1"/>
  <c r="D130" i="2"/>
  <c r="L130" i="2" s="1"/>
  <c r="AM130" i="2"/>
  <c r="AN130" i="2" s="1"/>
  <c r="AH130" i="2"/>
  <c r="H133" i="2"/>
  <c r="T133" i="2" s="1"/>
  <c r="H132" i="2"/>
  <c r="N139" i="2" s="1"/>
  <c r="H131" i="2"/>
  <c r="N131" i="2" s="1"/>
  <c r="H130" i="2"/>
  <c r="J131" i="2" s="1"/>
  <c r="AH131" i="2" s="1"/>
  <c r="L123" i="2"/>
  <c r="F126" i="2"/>
  <c r="F125" i="2"/>
  <c r="F124" i="2"/>
  <c r="F123" i="2"/>
  <c r="D126" i="2"/>
  <c r="D125" i="2"/>
  <c r="L125" i="2" s="1"/>
  <c r="D124" i="2"/>
  <c r="D123" i="2"/>
  <c r="AM126" i="2"/>
  <c r="AB125" i="2"/>
  <c r="AB124" i="2"/>
  <c r="AB123" i="2"/>
  <c r="T126" i="2"/>
  <c r="N126" i="2"/>
  <c r="H126" i="2"/>
  <c r="J130" i="2" s="1"/>
  <c r="H125" i="2"/>
  <c r="H124" i="2"/>
  <c r="J125" i="2" s="1"/>
  <c r="AH125" i="2" s="1"/>
  <c r="H123" i="2"/>
  <c r="AM123" i="2" s="1"/>
  <c r="L116" i="2"/>
  <c r="J116" i="2"/>
  <c r="AH116" i="2" s="1"/>
  <c r="F119" i="2"/>
  <c r="F118" i="2"/>
  <c r="F117" i="2"/>
  <c r="T116" i="2" s="1"/>
  <c r="F116" i="2"/>
  <c r="D119" i="2"/>
  <c r="L119" i="2" s="1"/>
  <c r="D118" i="2"/>
  <c r="L118" i="2" s="1"/>
  <c r="D117" i="2"/>
  <c r="D116" i="2"/>
  <c r="AM119" i="2"/>
  <c r="T119" i="2"/>
  <c r="N119" i="2"/>
  <c r="H119" i="2"/>
  <c r="J123" i="2" s="1"/>
  <c r="H118" i="2"/>
  <c r="J119" i="2" s="1"/>
  <c r="H117" i="2"/>
  <c r="AM117" i="2" s="1"/>
  <c r="H116" i="2"/>
  <c r="AM116" i="2" s="1"/>
  <c r="L109" i="2"/>
  <c r="J109" i="2"/>
  <c r="AH109" i="2" s="1"/>
  <c r="F112" i="2"/>
  <c r="F111" i="2"/>
  <c r="F110" i="2"/>
  <c r="T109" i="2" s="1"/>
  <c r="F109" i="2"/>
  <c r="D112" i="2"/>
  <c r="L112" i="2" s="1"/>
  <c r="D111" i="2"/>
  <c r="L111" i="2" s="1"/>
  <c r="D110" i="2"/>
  <c r="D109" i="2"/>
  <c r="AM112" i="2"/>
  <c r="T112" i="2"/>
  <c r="P111" i="2"/>
  <c r="N112" i="2"/>
  <c r="H112" i="2"/>
  <c r="H111" i="2"/>
  <c r="J112" i="2" s="1"/>
  <c r="H110" i="2"/>
  <c r="AM110" i="2" s="1"/>
  <c r="H109" i="2"/>
  <c r="AM109" i="2" s="1"/>
  <c r="L102" i="2"/>
  <c r="J102" i="2"/>
  <c r="AH102" i="2" s="1"/>
  <c r="F105" i="2"/>
  <c r="F104" i="2"/>
  <c r="F103" i="2"/>
  <c r="T102" i="2" s="1"/>
  <c r="F102" i="2"/>
  <c r="D105" i="2"/>
  <c r="L105" i="2" s="1"/>
  <c r="D104" i="2"/>
  <c r="L104" i="2" s="1"/>
  <c r="D103" i="2"/>
  <c r="L103" i="2" s="1"/>
  <c r="D102" i="2"/>
  <c r="AM105" i="2"/>
  <c r="T105" i="2"/>
  <c r="P104" i="2"/>
  <c r="N105" i="2"/>
  <c r="N103" i="2"/>
  <c r="H105" i="2"/>
  <c r="H104" i="2"/>
  <c r="J105" i="2" s="1"/>
  <c r="H103" i="2"/>
  <c r="J104" i="2" s="1"/>
  <c r="AH104" i="2" s="1"/>
  <c r="H102" i="2"/>
  <c r="AM102" i="2" s="1"/>
  <c r="L95" i="2"/>
  <c r="F98" i="2"/>
  <c r="F97" i="2"/>
  <c r="F96" i="2"/>
  <c r="F95" i="2"/>
  <c r="D98" i="2"/>
  <c r="L98" i="2" s="1"/>
  <c r="D97" i="2"/>
  <c r="L97" i="2" s="1"/>
  <c r="D96" i="2"/>
  <c r="D95" i="2"/>
  <c r="D99" i="2" s="1"/>
  <c r="L99" i="2" s="1"/>
  <c r="AM98" i="2"/>
  <c r="T98" i="2"/>
  <c r="P98" i="2"/>
  <c r="P97" i="2"/>
  <c r="N98" i="2"/>
  <c r="N97" i="2"/>
  <c r="H98" i="2"/>
  <c r="H97" i="2"/>
  <c r="J98" i="2" s="1"/>
  <c r="H96" i="2"/>
  <c r="AM96" i="2" s="1"/>
  <c r="H95" i="2"/>
  <c r="T95" i="2" s="1"/>
  <c r="L88" i="2"/>
  <c r="F91" i="2"/>
  <c r="F90" i="2"/>
  <c r="F89" i="2"/>
  <c r="F88" i="2"/>
  <c r="D91" i="2"/>
  <c r="L91" i="2" s="1"/>
  <c r="D90" i="2"/>
  <c r="D89" i="2"/>
  <c r="L96" i="2" s="1"/>
  <c r="D88" i="2"/>
  <c r="D92" i="2" s="1"/>
  <c r="AM91" i="2"/>
  <c r="T91" i="2"/>
  <c r="P91" i="2"/>
  <c r="H91" i="2"/>
  <c r="J91" i="2" s="1"/>
  <c r="H90" i="2"/>
  <c r="AM90" i="2" s="1"/>
  <c r="AN91" i="2" s="1"/>
  <c r="H89" i="2"/>
  <c r="J90" i="2" s="1"/>
  <c r="H88" i="2"/>
  <c r="AN81" i="2"/>
  <c r="F84" i="2"/>
  <c r="F83" i="2"/>
  <c r="F82" i="2"/>
  <c r="F81" i="2"/>
  <c r="AI81" i="2" s="1"/>
  <c r="D84" i="2"/>
  <c r="D83" i="2"/>
  <c r="L90" i="2" s="1"/>
  <c r="D82" i="2"/>
  <c r="D81" i="2"/>
  <c r="AM81" i="2"/>
  <c r="T84" i="2"/>
  <c r="T83" i="2"/>
  <c r="T82" i="2"/>
  <c r="P83" i="2"/>
  <c r="P82" i="2"/>
  <c r="H84" i="2"/>
  <c r="N84" i="2" s="1"/>
  <c r="H83" i="2"/>
  <c r="N83" i="2" s="1"/>
  <c r="H82" i="2"/>
  <c r="H81" i="2"/>
  <c r="F77" i="2"/>
  <c r="F76" i="2"/>
  <c r="F75" i="2"/>
  <c r="F74" i="2"/>
  <c r="D77" i="2"/>
  <c r="L84" i="2" s="1"/>
  <c r="D76" i="2"/>
  <c r="L76" i="2" s="1"/>
  <c r="D75" i="2"/>
  <c r="L75" i="2" s="1"/>
  <c r="D74" i="2"/>
  <c r="L74" i="2" s="1"/>
  <c r="T74" i="2"/>
  <c r="H77" i="2"/>
  <c r="AM77" i="2" s="1"/>
  <c r="H76" i="2"/>
  <c r="J81" i="2" s="1"/>
  <c r="H75" i="2"/>
  <c r="N82" i="2" s="1"/>
  <c r="H74" i="2"/>
  <c r="L69" i="2"/>
  <c r="L67" i="2"/>
  <c r="J69" i="2"/>
  <c r="F70" i="2"/>
  <c r="T69" i="2" s="1"/>
  <c r="F69" i="2"/>
  <c r="R69" i="2" s="1"/>
  <c r="F68" i="2"/>
  <c r="F67" i="2"/>
  <c r="AI67" i="2" s="1"/>
  <c r="D70" i="2"/>
  <c r="L77" i="2" s="1"/>
  <c r="D69" i="2"/>
  <c r="D68" i="2"/>
  <c r="D67" i="2"/>
  <c r="D71" i="2" s="1"/>
  <c r="T70" i="2"/>
  <c r="T68" i="2"/>
  <c r="H70" i="2"/>
  <c r="H69" i="2"/>
  <c r="H68" i="2"/>
  <c r="N68" i="2" s="1"/>
  <c r="H67" i="2"/>
  <c r="J67" i="2" s="1"/>
  <c r="F63" i="2"/>
  <c r="F62" i="2"/>
  <c r="F61" i="2"/>
  <c r="T60" i="2" s="1"/>
  <c r="F60" i="2"/>
  <c r="D63" i="2"/>
  <c r="L63" i="2" s="1"/>
  <c r="D62" i="2"/>
  <c r="L62" i="2" s="1"/>
  <c r="D61" i="2"/>
  <c r="L61" i="2" s="1"/>
  <c r="D60" i="2"/>
  <c r="T63" i="2"/>
  <c r="T61" i="2"/>
  <c r="N63" i="2"/>
  <c r="H63" i="2"/>
  <c r="H62" i="2"/>
  <c r="H61" i="2"/>
  <c r="N61" i="2" s="1"/>
  <c r="H60" i="2"/>
  <c r="J56" i="2"/>
  <c r="F56" i="2"/>
  <c r="T55" i="2" s="1"/>
  <c r="F55" i="2"/>
  <c r="T54" i="2" s="1"/>
  <c r="F54" i="2"/>
  <c r="F53" i="2"/>
  <c r="R53" i="2" s="1"/>
  <c r="D56" i="2"/>
  <c r="L56" i="2" s="1"/>
  <c r="D55" i="2"/>
  <c r="D54" i="2"/>
  <c r="D53" i="2"/>
  <c r="L60" i="2" s="1"/>
  <c r="T56" i="2"/>
  <c r="P56" i="2"/>
  <c r="H56" i="2"/>
  <c r="J60" i="2" s="1"/>
  <c r="H55" i="2"/>
  <c r="H54" i="2"/>
  <c r="N54" i="2" s="1"/>
  <c r="H53" i="2"/>
  <c r="J53" i="2" s="1"/>
  <c r="J47" i="2"/>
  <c r="J46" i="2"/>
  <c r="F49" i="2"/>
  <c r="F48" i="2"/>
  <c r="F47" i="2"/>
  <c r="T46" i="2" s="1"/>
  <c r="F46" i="2"/>
  <c r="D49" i="2"/>
  <c r="L49" i="2" s="1"/>
  <c r="D48" i="2"/>
  <c r="L48" i="2" s="1"/>
  <c r="D47" i="2"/>
  <c r="L54" i="2" s="1"/>
  <c r="D46" i="2"/>
  <c r="T47" i="2"/>
  <c r="P47" i="2"/>
  <c r="N49" i="2"/>
  <c r="H49" i="2"/>
  <c r="H48" i="2"/>
  <c r="T48" i="2" s="1"/>
  <c r="H47" i="2"/>
  <c r="N47" i="2" s="1"/>
  <c r="H46" i="2"/>
  <c r="J42" i="2"/>
  <c r="F42" i="2"/>
  <c r="T41" i="2" s="1"/>
  <c r="F41" i="2"/>
  <c r="T40" i="2" s="1"/>
  <c r="F40" i="2"/>
  <c r="F39" i="2"/>
  <c r="R39" i="2" s="1"/>
  <c r="D42" i="2"/>
  <c r="D41" i="2"/>
  <c r="D40" i="2"/>
  <c r="L40" i="2" s="1"/>
  <c r="D39" i="2"/>
  <c r="L39" i="2" s="1"/>
  <c r="T42" i="2"/>
  <c r="T39" i="2"/>
  <c r="P42" i="2"/>
  <c r="H42" i="2"/>
  <c r="H41" i="2"/>
  <c r="H40" i="2"/>
  <c r="H39" i="2"/>
  <c r="J39" i="2" s="1"/>
  <c r="J33" i="2"/>
  <c r="J32" i="2"/>
  <c r="F35" i="2"/>
  <c r="F34" i="2"/>
  <c r="F33" i="2"/>
  <c r="T32" i="2" s="1"/>
  <c r="F32" i="2"/>
  <c r="D35" i="2"/>
  <c r="L35" i="2" s="1"/>
  <c r="D34" i="2"/>
  <c r="D33" i="2"/>
  <c r="D32" i="2"/>
  <c r="T34" i="2"/>
  <c r="P34" i="2"/>
  <c r="P33" i="2"/>
  <c r="H35" i="2"/>
  <c r="H34" i="2"/>
  <c r="H33" i="2"/>
  <c r="H32" i="2"/>
  <c r="J26" i="2"/>
  <c r="R26" i="2" s="1"/>
  <c r="F28" i="2"/>
  <c r="F27" i="2"/>
  <c r="F26" i="2"/>
  <c r="F25" i="2"/>
  <c r="F29" i="2" s="1"/>
  <c r="D28" i="2"/>
  <c r="D27" i="2"/>
  <c r="D26" i="2"/>
  <c r="L26" i="2" s="1"/>
  <c r="D25" i="2"/>
  <c r="L25" i="2" s="1"/>
  <c r="B26" i="2"/>
  <c r="B25" i="2"/>
  <c r="T26" i="2"/>
  <c r="P26" i="2"/>
  <c r="H28" i="2"/>
  <c r="T28" i="2" s="1"/>
  <c r="H27" i="2"/>
  <c r="N27" i="2" s="1"/>
  <c r="H26" i="2"/>
  <c r="H25" i="2"/>
  <c r="J25" i="2" s="1"/>
  <c r="A27" i="2"/>
  <c r="A26" i="2"/>
  <c r="L18" i="2"/>
  <c r="J20" i="2"/>
  <c r="F21" i="2"/>
  <c r="F20" i="2"/>
  <c r="T19" i="2" s="1"/>
  <c r="F19" i="2"/>
  <c r="F18" i="2"/>
  <c r="D21" i="2"/>
  <c r="L21" i="2" s="1"/>
  <c r="D20" i="2"/>
  <c r="D19" i="2"/>
  <c r="D18" i="2"/>
  <c r="B22" i="2"/>
  <c r="B21" i="2"/>
  <c r="B19" i="2"/>
  <c r="B17" i="2"/>
  <c r="B24" i="2" s="1"/>
  <c r="B31" i="2" s="1"/>
  <c r="B38" i="2" s="1"/>
  <c r="B45" i="2" s="1"/>
  <c r="B52" i="2" s="1"/>
  <c r="B59" i="2" s="1"/>
  <c r="B66" i="2" s="1"/>
  <c r="B73" i="2" s="1"/>
  <c r="B80" i="2" s="1"/>
  <c r="B87" i="2" s="1"/>
  <c r="B94" i="2" s="1"/>
  <c r="B101" i="2" s="1"/>
  <c r="B108" i="2" s="1"/>
  <c r="B115" i="2" s="1"/>
  <c r="B122" i="2" s="1"/>
  <c r="B129" i="2" s="1"/>
  <c r="B136" i="2" s="1"/>
  <c r="B143" i="2" s="1"/>
  <c r="B150" i="2" s="1"/>
  <c r="B157" i="2" s="1"/>
  <c r="B164" i="2" s="1"/>
  <c r="B171" i="2" s="1"/>
  <c r="B178" i="2" s="1"/>
  <c r="B185" i="2" s="1"/>
  <c r="B192" i="2" s="1"/>
  <c r="B199" i="2" s="1"/>
  <c r="B206" i="2" s="1"/>
  <c r="T21" i="2"/>
  <c r="P21" i="2"/>
  <c r="P20" i="2"/>
  <c r="N20" i="2"/>
  <c r="H21" i="2"/>
  <c r="H20" i="2"/>
  <c r="J21" i="2" s="1"/>
  <c r="R21" i="2" s="1"/>
  <c r="H19" i="2"/>
  <c r="H18" i="2"/>
  <c r="J19" i="2" s="1"/>
  <c r="F15" i="2"/>
  <c r="F14" i="2"/>
  <c r="F13" i="2"/>
  <c r="F12" i="2"/>
  <c r="F11" i="2"/>
  <c r="D14" i="2"/>
  <c r="D13" i="2"/>
  <c r="D12" i="2"/>
  <c r="L19" i="2" s="1"/>
  <c r="D11" i="2"/>
  <c r="D15" i="2" s="1"/>
  <c r="B15" i="2"/>
  <c r="B29" i="2" s="1"/>
  <c r="B14" i="2"/>
  <c r="B28" i="2" s="1"/>
  <c r="B13" i="2"/>
  <c r="B20" i="2" s="1"/>
  <c r="B12" i="2"/>
  <c r="B11" i="2"/>
  <c r="B18" i="2" s="1"/>
  <c r="V14" i="2"/>
  <c r="H14" i="2"/>
  <c r="X14" i="2" s="1"/>
  <c r="H13" i="2"/>
  <c r="J14" i="2" s="1"/>
  <c r="H12" i="2"/>
  <c r="J13" i="2" s="1"/>
  <c r="H11" i="2"/>
  <c r="J12" i="2" s="1"/>
  <c r="A14" i="2"/>
  <c r="A21" i="2" s="1"/>
  <c r="A13" i="2"/>
  <c r="A20" i="2" s="1"/>
  <c r="A12" i="2"/>
  <c r="A19" i="2" s="1"/>
  <c r="A11" i="2"/>
  <c r="A25" i="2" s="1"/>
  <c r="A1" i="2"/>
  <c r="DB41" i="35"/>
  <c r="DF40" i="35"/>
  <c r="D37" i="35"/>
  <c r="D36" i="35"/>
  <c r="D35" i="35"/>
  <c r="D34" i="35"/>
  <c r="DH36" i="35"/>
  <c r="DF36" i="35"/>
  <c r="DF42" i="35" s="1"/>
  <c r="DH35" i="35"/>
  <c r="DF35" i="35"/>
  <c r="DF41" i="35" s="1"/>
  <c r="DH34" i="35"/>
  <c r="DG34" i="35"/>
  <c r="DF34" i="35"/>
  <c r="DD37" i="35"/>
  <c r="DB37" i="35"/>
  <c r="DD36" i="35"/>
  <c r="DB36" i="35"/>
  <c r="DC36" i="35" s="1"/>
  <c r="DD35" i="35"/>
  <c r="DB35" i="35"/>
  <c r="DG35" i="35" s="1"/>
  <c r="DD34" i="35"/>
  <c r="DC34" i="35"/>
  <c r="DB34" i="35"/>
  <c r="DB40" i="35" s="1"/>
  <c r="CZ37" i="35"/>
  <c r="CZ36" i="35"/>
  <c r="CX36" i="35"/>
  <c r="CZ35" i="35"/>
  <c r="CX35" i="35"/>
  <c r="DC35" i="35" s="1"/>
  <c r="CZ34" i="35"/>
  <c r="CX34" i="35"/>
  <c r="CX40" i="35" s="1"/>
  <c r="CV37" i="35"/>
  <c r="CV36" i="35"/>
  <c r="CV35" i="35"/>
  <c r="CV34" i="35"/>
  <c r="CR37" i="35"/>
  <c r="CR36" i="35"/>
  <c r="CR35" i="35"/>
  <c r="CR34" i="35"/>
  <c r="CQ34" i="35"/>
  <c r="BR37" i="35"/>
  <c r="BJ34" i="35"/>
  <c r="BF37" i="35"/>
  <c r="BF36" i="35"/>
  <c r="BH35" i="35"/>
  <c r="AM34" i="35"/>
  <c r="W37" i="35"/>
  <c r="R34" i="35"/>
  <c r="S34" i="35" s="1"/>
  <c r="O37" i="35"/>
  <c r="N37" i="35"/>
  <c r="N36" i="35"/>
  <c r="N35" i="35"/>
  <c r="N34" i="35"/>
  <c r="O34" i="35" s="1"/>
  <c r="K37" i="35"/>
  <c r="J37" i="35"/>
  <c r="J36" i="35"/>
  <c r="J35" i="35"/>
  <c r="J34" i="35"/>
  <c r="K34" i="35" s="1"/>
  <c r="G37" i="35"/>
  <c r="F37" i="35"/>
  <c r="F43" i="35" s="1"/>
  <c r="F36" i="35"/>
  <c r="F35" i="35"/>
  <c r="F41" i="35" s="1"/>
  <c r="F34" i="35"/>
  <c r="F40" i="35" s="1"/>
  <c r="BK31" i="35"/>
  <c r="BJ31" i="35"/>
  <c r="AP30" i="35"/>
  <c r="AP29" i="35"/>
  <c r="AP28" i="35"/>
  <c r="Z31" i="35"/>
  <c r="AA31" i="35" s="1"/>
  <c r="Z30" i="35"/>
  <c r="AA30" i="35" s="1"/>
  <c r="V30" i="35"/>
  <c r="R30" i="35"/>
  <c r="S30" i="35" s="1"/>
  <c r="BN29" i="35"/>
  <c r="BJ29" i="35"/>
  <c r="DH30" i="35"/>
  <c r="DG30" i="35"/>
  <c r="DH29" i="35"/>
  <c r="DG29" i="35"/>
  <c r="DH28" i="35"/>
  <c r="DG28" i="35"/>
  <c r="DD31" i="35"/>
  <c r="DC31" i="35"/>
  <c r="DD30" i="35"/>
  <c r="DC30" i="35"/>
  <c r="DD29" i="35"/>
  <c r="DC29" i="35"/>
  <c r="DD28" i="35"/>
  <c r="DC28" i="35"/>
  <c r="CZ31" i="35"/>
  <c r="CY31" i="35"/>
  <c r="CZ30" i="35"/>
  <c r="CY30" i="35"/>
  <c r="CZ29" i="35"/>
  <c r="CY29" i="35"/>
  <c r="CZ28" i="35"/>
  <c r="CY28" i="35"/>
  <c r="CV31" i="35"/>
  <c r="CU31" i="35"/>
  <c r="CV30" i="35"/>
  <c r="CU30" i="35"/>
  <c r="CV29" i="35"/>
  <c r="CU29" i="35"/>
  <c r="CV28" i="35"/>
  <c r="CU28" i="35"/>
  <c r="CR31" i="35"/>
  <c r="CQ31" i="35"/>
  <c r="CR30" i="35"/>
  <c r="CQ30" i="35"/>
  <c r="CR29" i="35"/>
  <c r="CQ29" i="35"/>
  <c r="CR28" i="35"/>
  <c r="CQ28" i="35"/>
  <c r="CM31" i="35"/>
  <c r="CM30" i="35"/>
  <c r="CM29" i="35"/>
  <c r="CM28" i="35"/>
  <c r="CI31" i="35"/>
  <c r="CI30" i="35"/>
  <c r="CI29" i="35"/>
  <c r="CI28" i="35"/>
  <c r="CE31" i="35"/>
  <c r="CE30" i="35"/>
  <c r="CE29" i="35"/>
  <c r="CE28" i="35"/>
  <c r="CA31" i="35"/>
  <c r="CA30" i="35"/>
  <c r="CA29" i="35"/>
  <c r="CA28" i="35"/>
  <c r="BW31" i="35"/>
  <c r="BW30" i="35"/>
  <c r="BW29" i="35"/>
  <c r="BW28" i="35"/>
  <c r="BS31" i="35"/>
  <c r="BS30" i="35"/>
  <c r="BS29" i="35"/>
  <c r="BS28" i="35"/>
  <c r="BO31" i="35"/>
  <c r="BO30" i="35"/>
  <c r="BO29" i="35"/>
  <c r="BO28" i="35"/>
  <c r="BK30" i="35"/>
  <c r="BK29" i="35"/>
  <c r="BG31" i="35"/>
  <c r="BG30" i="35"/>
  <c r="BF28" i="35"/>
  <c r="BK28" i="35" s="1"/>
  <c r="BB31" i="35"/>
  <c r="BC31" i="35" s="1"/>
  <c r="BC30" i="35"/>
  <c r="BB30" i="35"/>
  <c r="BB29" i="35"/>
  <c r="BB28" i="35"/>
  <c r="AX31" i="35"/>
  <c r="AY31" i="35" s="1"/>
  <c r="AY30" i="35"/>
  <c r="AX30" i="35"/>
  <c r="AX29" i="35"/>
  <c r="AY29" i="35" s="1"/>
  <c r="AX28" i="35"/>
  <c r="AT31" i="35"/>
  <c r="AU31" i="35" s="1"/>
  <c r="AV30" i="35"/>
  <c r="AU30" i="35"/>
  <c r="AT30" i="35"/>
  <c r="AT29" i="35"/>
  <c r="AU29" i="35" s="1"/>
  <c r="AT28" i="35"/>
  <c r="AU28" i="35" s="1"/>
  <c r="AR31" i="35"/>
  <c r="AQ30" i="35"/>
  <c r="AN31" i="35"/>
  <c r="AL31" i="35"/>
  <c r="AQ31" i="35" s="1"/>
  <c r="AM30" i="35"/>
  <c r="AL30" i="35"/>
  <c r="AL29" i="35"/>
  <c r="AL28" i="35"/>
  <c r="AH31" i="35"/>
  <c r="AI31" i="35" s="1"/>
  <c r="AI30" i="35"/>
  <c r="AH30" i="35"/>
  <c r="AH29" i="35"/>
  <c r="AI29" i="35" s="1"/>
  <c r="AH28" i="35"/>
  <c r="AD31" i="35"/>
  <c r="AE31" i="35" s="1"/>
  <c r="AF30" i="35"/>
  <c r="AE30" i="35"/>
  <c r="AD30" i="35"/>
  <c r="AD29" i="35"/>
  <c r="AE29" i="35" s="1"/>
  <c r="AD28" i="35"/>
  <c r="AB29" i="35"/>
  <c r="AA29" i="35"/>
  <c r="AA28" i="35"/>
  <c r="Z28" i="35"/>
  <c r="W31" i="35"/>
  <c r="W29" i="35"/>
  <c r="X28" i="35"/>
  <c r="W28" i="35"/>
  <c r="V28" i="35"/>
  <c r="S31" i="35"/>
  <c r="T29" i="35"/>
  <c r="S29" i="35"/>
  <c r="S28" i="35"/>
  <c r="P31" i="35"/>
  <c r="O31" i="35"/>
  <c r="O30" i="35"/>
  <c r="P29" i="35"/>
  <c r="O29" i="35"/>
  <c r="O28" i="35"/>
  <c r="L31" i="35"/>
  <c r="K31" i="35"/>
  <c r="K30" i="35"/>
  <c r="L29" i="35"/>
  <c r="K29" i="35"/>
  <c r="K28" i="35"/>
  <c r="H31" i="35"/>
  <c r="G31" i="35"/>
  <c r="G30" i="35"/>
  <c r="H29" i="35"/>
  <c r="G29" i="35"/>
  <c r="G28" i="35"/>
  <c r="B31" i="35"/>
  <c r="AX24" i="35"/>
  <c r="AU25" i="35"/>
  <c r="AT25" i="35"/>
  <c r="AT24" i="35"/>
  <c r="AU24" i="35" s="1"/>
  <c r="V23" i="35"/>
  <c r="R23" i="35"/>
  <c r="DH24" i="35"/>
  <c r="DG24" i="35"/>
  <c r="DH23" i="35"/>
  <c r="DG23" i="35"/>
  <c r="DH22" i="35"/>
  <c r="DG22" i="35"/>
  <c r="DD25" i="35"/>
  <c r="DC25" i="35"/>
  <c r="DD24" i="35"/>
  <c r="DC24" i="35"/>
  <c r="DD23" i="35"/>
  <c r="DC23" i="35"/>
  <c r="DD22" i="35"/>
  <c r="DC22" i="35"/>
  <c r="CZ25" i="35"/>
  <c r="CY25" i="35"/>
  <c r="CZ24" i="35"/>
  <c r="CY24" i="35"/>
  <c r="CZ23" i="35"/>
  <c r="CY23" i="35"/>
  <c r="CZ22" i="35"/>
  <c r="CY22" i="35"/>
  <c r="CV25" i="35"/>
  <c r="CU25" i="35"/>
  <c r="CV24" i="35"/>
  <c r="CU24" i="35"/>
  <c r="CV23" i="35"/>
  <c r="CU23" i="35"/>
  <c r="CV22" i="35"/>
  <c r="CU22" i="35"/>
  <c r="CR25" i="35"/>
  <c r="CQ25" i="35"/>
  <c r="CR24" i="35"/>
  <c r="CQ24" i="35"/>
  <c r="CR23" i="35"/>
  <c r="CQ23" i="35"/>
  <c r="CR22" i="35"/>
  <c r="CQ22" i="35"/>
  <c r="CM25" i="35"/>
  <c r="CM24" i="35"/>
  <c r="CM23" i="35"/>
  <c r="CM22" i="35"/>
  <c r="CI25" i="35"/>
  <c r="CI24" i="35"/>
  <c r="CI23" i="35"/>
  <c r="CI22" i="35"/>
  <c r="CE25" i="35"/>
  <c r="CE24" i="35"/>
  <c r="CE23" i="35"/>
  <c r="CE22" i="35"/>
  <c r="CA25" i="35"/>
  <c r="CB24" i="35"/>
  <c r="CA24" i="35"/>
  <c r="CA23" i="35"/>
  <c r="CA22" i="35"/>
  <c r="BW25" i="35"/>
  <c r="BW24" i="35"/>
  <c r="BW23" i="35"/>
  <c r="BW22" i="35"/>
  <c r="BS25" i="35"/>
  <c r="BS24" i="35"/>
  <c r="BS23" i="35"/>
  <c r="BS22" i="35"/>
  <c r="BO25" i="35"/>
  <c r="BO24" i="35"/>
  <c r="BO23" i="35"/>
  <c r="BO22" i="35"/>
  <c r="BK25" i="35"/>
  <c r="BK24" i="35"/>
  <c r="BK23" i="35"/>
  <c r="BK22" i="35"/>
  <c r="BG25" i="35"/>
  <c r="BG24" i="35"/>
  <c r="BG23" i="35"/>
  <c r="BG22" i="35"/>
  <c r="BC25" i="35"/>
  <c r="BC24" i="35"/>
  <c r="BC23" i="35"/>
  <c r="BC22" i="35"/>
  <c r="AY25" i="35"/>
  <c r="AY24" i="35"/>
  <c r="AY23" i="35"/>
  <c r="AY22" i="35"/>
  <c r="AU23" i="35"/>
  <c r="AU22" i="35"/>
  <c r="AQ25" i="35"/>
  <c r="AQ24" i="35"/>
  <c r="AQ23" i="35"/>
  <c r="AQ22" i="35"/>
  <c r="AM25" i="35"/>
  <c r="AM24" i="35"/>
  <c r="AM23" i="35"/>
  <c r="AM22" i="35"/>
  <c r="AI25" i="35"/>
  <c r="AI24" i="35"/>
  <c r="AI23" i="35"/>
  <c r="AI22" i="35"/>
  <c r="AE25" i="35"/>
  <c r="AE24" i="35"/>
  <c r="AE23" i="35"/>
  <c r="AE22" i="35"/>
  <c r="AA25" i="35"/>
  <c r="AA24" i="35"/>
  <c r="AA23" i="35"/>
  <c r="AA22" i="35"/>
  <c r="W25" i="35"/>
  <c r="W24" i="35"/>
  <c r="W23" i="35"/>
  <c r="W22" i="35"/>
  <c r="S25" i="35"/>
  <c r="S24" i="35"/>
  <c r="S23" i="35"/>
  <c r="S22" i="35"/>
  <c r="O25" i="35"/>
  <c r="O24" i="35"/>
  <c r="O23" i="35"/>
  <c r="O22" i="35"/>
  <c r="K25" i="35"/>
  <c r="K24" i="35"/>
  <c r="K23" i="35"/>
  <c r="K22" i="35"/>
  <c r="G25" i="35"/>
  <c r="G24" i="35"/>
  <c r="G23" i="35"/>
  <c r="G22" i="35"/>
  <c r="CZ19" i="35"/>
  <c r="CX19" i="35"/>
  <c r="CX37" i="35" s="1"/>
  <c r="BL19" i="35"/>
  <c r="BJ19" i="35"/>
  <c r="BK18" i="35"/>
  <c r="BJ18" i="35"/>
  <c r="BJ36" i="35" s="1"/>
  <c r="BL17" i="35"/>
  <c r="BJ17" i="35"/>
  <c r="BF17" i="35"/>
  <c r="BF35" i="35" s="1"/>
  <c r="BF16" i="35"/>
  <c r="S19" i="35"/>
  <c r="R19" i="35"/>
  <c r="R37" i="35" s="1"/>
  <c r="R43" i="35" s="1"/>
  <c r="R18" i="35"/>
  <c r="S18" i="35" s="1"/>
  <c r="S17" i="35"/>
  <c r="R17" i="35"/>
  <c r="DH18" i="35"/>
  <c r="DG18" i="35"/>
  <c r="DH17" i="35"/>
  <c r="DG17" i="35"/>
  <c r="DH16" i="35"/>
  <c r="DG16" i="35"/>
  <c r="DD19" i="35"/>
  <c r="DC19" i="35"/>
  <c r="DD18" i="35"/>
  <c r="DC18" i="35"/>
  <c r="DD17" i="35"/>
  <c r="DC17" i="35"/>
  <c r="DD16" i="35"/>
  <c r="DC16" i="35"/>
  <c r="CZ18" i="35"/>
  <c r="CY18" i="35"/>
  <c r="CZ17" i="35"/>
  <c r="CZ16" i="35"/>
  <c r="CV19" i="35"/>
  <c r="CT19" i="35"/>
  <c r="CY19" i="35" s="1"/>
  <c r="CV18" i="35"/>
  <c r="CU18" i="35"/>
  <c r="CT18" i="35"/>
  <c r="CT36" i="35" s="1"/>
  <c r="CV17" i="35"/>
  <c r="CT17" i="35"/>
  <c r="CV16" i="35"/>
  <c r="CU16" i="35"/>
  <c r="CT16" i="35"/>
  <c r="CT34" i="35" s="1"/>
  <c r="CR19" i="35"/>
  <c r="CP19" i="35"/>
  <c r="CQ19" i="35" s="1"/>
  <c r="CR18" i="35"/>
  <c r="CQ18" i="35"/>
  <c r="CP18" i="35"/>
  <c r="CP36" i="35" s="1"/>
  <c r="CR17" i="35"/>
  <c r="CP17" i="35"/>
  <c r="CR16" i="35"/>
  <c r="CQ16" i="35"/>
  <c r="CP16" i="35"/>
  <c r="CP34" i="35" s="1"/>
  <c r="CN19" i="35"/>
  <c r="CN25" i="35" s="1"/>
  <c r="CN31" i="35" s="1"/>
  <c r="CN37" i="35" s="1"/>
  <c r="CL19" i="35"/>
  <c r="CM18" i="35"/>
  <c r="CL18" i="35"/>
  <c r="CL36" i="35" s="1"/>
  <c r="CN17" i="35"/>
  <c r="CN23" i="35" s="1"/>
  <c r="CN29" i="35" s="1"/>
  <c r="CN35" i="35" s="1"/>
  <c r="CL17" i="35"/>
  <c r="CM16" i="35"/>
  <c r="CL16" i="35"/>
  <c r="CL34" i="35" s="1"/>
  <c r="CJ19" i="35"/>
  <c r="CJ25" i="35" s="1"/>
  <c r="CJ31" i="35" s="1"/>
  <c r="CJ37" i="35" s="1"/>
  <c r="CH19" i="35"/>
  <c r="CI18" i="35"/>
  <c r="CH18" i="35"/>
  <c r="CH36" i="35" s="1"/>
  <c r="CJ17" i="35"/>
  <c r="CJ23" i="35" s="1"/>
  <c r="CJ29" i="35" s="1"/>
  <c r="CJ35" i="35" s="1"/>
  <c r="CH17" i="35"/>
  <c r="CI16" i="35"/>
  <c r="CH16" i="35"/>
  <c r="CH34" i="35" s="1"/>
  <c r="CF19" i="35"/>
  <c r="CD19" i="35"/>
  <c r="CE18" i="35"/>
  <c r="CD18" i="35"/>
  <c r="CD36" i="35" s="1"/>
  <c r="CF17" i="35"/>
  <c r="CD17" i="35"/>
  <c r="CE16" i="35"/>
  <c r="CD16" i="35"/>
  <c r="CD34" i="35" s="1"/>
  <c r="CB19" i="35"/>
  <c r="BZ19" i="35"/>
  <c r="CA18" i="35"/>
  <c r="BZ18" i="35"/>
  <c r="BZ36" i="35" s="1"/>
  <c r="CB17" i="35"/>
  <c r="BZ17" i="35"/>
  <c r="CA16" i="35"/>
  <c r="BZ16" i="35"/>
  <c r="BZ34" i="35" s="1"/>
  <c r="BX19" i="35"/>
  <c r="BV19" i="35"/>
  <c r="BW18" i="35"/>
  <c r="BV18" i="35"/>
  <c r="BV36" i="35" s="1"/>
  <c r="BX17" i="35"/>
  <c r="BV17" i="35"/>
  <c r="BW16" i="35"/>
  <c r="BV16" i="35"/>
  <c r="BV34" i="35" s="1"/>
  <c r="BT19" i="35"/>
  <c r="BR19" i="35"/>
  <c r="BS18" i="35"/>
  <c r="BR18" i="35"/>
  <c r="BR36" i="35" s="1"/>
  <c r="BT17" i="35"/>
  <c r="BR17" i="35"/>
  <c r="BR16" i="35"/>
  <c r="BR34" i="35" s="1"/>
  <c r="BP19" i="35"/>
  <c r="BN19" i="35"/>
  <c r="BO18" i="35"/>
  <c r="BN18" i="35"/>
  <c r="BN36" i="35" s="1"/>
  <c r="BP17" i="35"/>
  <c r="BO17" i="35"/>
  <c r="BN17" i="35"/>
  <c r="BN35" i="35" s="1"/>
  <c r="BO16" i="35"/>
  <c r="BN16" i="35"/>
  <c r="BN34" i="35" s="1"/>
  <c r="BG19" i="35"/>
  <c r="BH16" i="35"/>
  <c r="BD19" i="35"/>
  <c r="BB19" i="35"/>
  <c r="BB37" i="35" s="1"/>
  <c r="BB18" i="35"/>
  <c r="BB17" i="35"/>
  <c r="BD16" i="35"/>
  <c r="BC16" i="35"/>
  <c r="BB16" i="35"/>
  <c r="BB34" i="35" s="1"/>
  <c r="AY19" i="35"/>
  <c r="AX19" i="35"/>
  <c r="AX37" i="35" s="1"/>
  <c r="AX18" i="35"/>
  <c r="AX36" i="35" s="1"/>
  <c r="AZ17" i="35"/>
  <c r="AY17" i="35"/>
  <c r="AX17" i="35"/>
  <c r="AZ16" i="35"/>
  <c r="AY16" i="35"/>
  <c r="AX16" i="35"/>
  <c r="AX34" i="35" s="1"/>
  <c r="AU19" i="35"/>
  <c r="AT19" i="35"/>
  <c r="AT37" i="35" s="1"/>
  <c r="AT18" i="35"/>
  <c r="AT36" i="35" s="1"/>
  <c r="AV17" i="35"/>
  <c r="AU17" i="35"/>
  <c r="AT17" i="35"/>
  <c r="AT35" i="35" s="1"/>
  <c r="AV16" i="35"/>
  <c r="AU16" i="35"/>
  <c r="AT16" i="35"/>
  <c r="AT34" i="35" s="1"/>
  <c r="AQ19" i="35"/>
  <c r="AP19" i="35"/>
  <c r="AP37" i="35" s="1"/>
  <c r="AP18" i="35"/>
  <c r="AP36" i="35" s="1"/>
  <c r="AR17" i="35"/>
  <c r="AQ17" i="35"/>
  <c r="AP17" i="35"/>
  <c r="AP35" i="35" s="1"/>
  <c r="AR16" i="35"/>
  <c r="AQ16" i="35"/>
  <c r="AP16" i="35"/>
  <c r="AP34" i="35" s="1"/>
  <c r="AM19" i="35"/>
  <c r="AL19" i="35"/>
  <c r="AL37" i="35" s="1"/>
  <c r="AL18" i="35"/>
  <c r="AL36" i="35" s="1"/>
  <c r="AN17" i="35"/>
  <c r="AM17" i="35"/>
  <c r="AL17" i="35"/>
  <c r="AN16" i="35"/>
  <c r="AM16" i="35"/>
  <c r="AL16" i="35"/>
  <c r="AL34" i="35" s="1"/>
  <c r="AI19" i="35"/>
  <c r="AH19" i="35"/>
  <c r="AH37" i="35" s="1"/>
  <c r="AH18" i="35"/>
  <c r="AH36" i="35" s="1"/>
  <c r="AJ17" i="35"/>
  <c r="AI17" i="35"/>
  <c r="AH17" i="35"/>
  <c r="AJ16" i="35"/>
  <c r="AI16" i="35"/>
  <c r="AH16" i="35"/>
  <c r="AH34" i="35" s="1"/>
  <c r="AE19" i="35"/>
  <c r="AD19" i="35"/>
  <c r="AD37" i="35" s="1"/>
  <c r="AD18" i="35"/>
  <c r="AD36" i="35" s="1"/>
  <c r="AF17" i="35"/>
  <c r="AE17" i="35"/>
  <c r="AD17" i="35"/>
  <c r="AD35" i="35" s="1"/>
  <c r="AF16" i="35"/>
  <c r="AE16" i="35"/>
  <c r="AD16" i="35"/>
  <c r="AD34" i="35" s="1"/>
  <c r="AA19" i="35"/>
  <c r="Z19" i="35"/>
  <c r="Z37" i="35" s="1"/>
  <c r="Z18" i="35"/>
  <c r="Z36" i="35" s="1"/>
  <c r="AB17" i="35"/>
  <c r="AA17" i="35"/>
  <c r="Z17" i="35"/>
  <c r="Z35" i="35" s="1"/>
  <c r="AB16" i="35"/>
  <c r="AA16" i="35"/>
  <c r="Z16" i="35"/>
  <c r="Z34" i="35" s="1"/>
  <c r="W19" i="35"/>
  <c r="V19" i="35"/>
  <c r="V37" i="35" s="1"/>
  <c r="V43" i="35" s="1"/>
  <c r="V18" i="35"/>
  <c r="V36" i="35" s="1"/>
  <c r="X17" i="35"/>
  <c r="W17" i="35"/>
  <c r="V17" i="35"/>
  <c r="V35" i="35" s="1"/>
  <c r="X16" i="35"/>
  <c r="W16" i="35"/>
  <c r="V16" i="35"/>
  <c r="V34" i="35" s="1"/>
  <c r="S16" i="35"/>
  <c r="P19" i="35"/>
  <c r="O19" i="35"/>
  <c r="O18" i="35"/>
  <c r="P17" i="35"/>
  <c r="O17" i="35"/>
  <c r="O16" i="35"/>
  <c r="L19" i="35"/>
  <c r="K19" i="35"/>
  <c r="K18" i="35"/>
  <c r="L17" i="35"/>
  <c r="K17" i="35"/>
  <c r="K16" i="35"/>
  <c r="H19" i="35"/>
  <c r="G19" i="35"/>
  <c r="G18" i="35"/>
  <c r="H17" i="35"/>
  <c r="G17" i="35"/>
  <c r="G16" i="35"/>
  <c r="B19" i="35"/>
  <c r="A18" i="35"/>
  <c r="B17" i="35"/>
  <c r="A16" i="35"/>
  <c r="DH12" i="35"/>
  <c r="DH11" i="35"/>
  <c r="DH10" i="35"/>
  <c r="CV13" i="35"/>
  <c r="CT13" i="35"/>
  <c r="CT37" i="35" s="1"/>
  <c r="CR13" i="35"/>
  <c r="CP13" i="35"/>
  <c r="CP37" i="35" s="1"/>
  <c r="CN13" i="35"/>
  <c r="CM13" i="35"/>
  <c r="CL13" i="35"/>
  <c r="CL37" i="35" s="1"/>
  <c r="DG12" i="35"/>
  <c r="DG11" i="35"/>
  <c r="DG10" i="35"/>
  <c r="DD13" i="35"/>
  <c r="DC13" i="35"/>
  <c r="DD12" i="35"/>
  <c r="DC12" i="35"/>
  <c r="DD11" i="35"/>
  <c r="DC11" i="35"/>
  <c r="DD10" i="35"/>
  <c r="DC10" i="35"/>
  <c r="CZ13" i="35"/>
  <c r="CY13" i="35"/>
  <c r="CZ12" i="35"/>
  <c r="CY12" i="35"/>
  <c r="CZ11" i="35"/>
  <c r="CY11" i="35"/>
  <c r="CZ10" i="35"/>
  <c r="CY10" i="35"/>
  <c r="CV12" i="35"/>
  <c r="CU12" i="35"/>
  <c r="CV11" i="35"/>
  <c r="CU11" i="35"/>
  <c r="CV10" i="35"/>
  <c r="CU10" i="35"/>
  <c r="CR12" i="35"/>
  <c r="CQ12" i="35"/>
  <c r="CR11" i="35"/>
  <c r="CQ11" i="35"/>
  <c r="CR10" i="35"/>
  <c r="CQ10" i="35"/>
  <c r="CN12" i="35"/>
  <c r="CN18" i="35" s="1"/>
  <c r="CN24" i="35" s="1"/>
  <c r="CN30" i="35" s="1"/>
  <c r="CN36" i="35" s="1"/>
  <c r="CM12" i="35"/>
  <c r="CN11" i="35"/>
  <c r="CM11" i="35"/>
  <c r="CN10" i="35"/>
  <c r="CN16" i="35" s="1"/>
  <c r="CN22" i="35" s="1"/>
  <c r="CN28" i="35" s="1"/>
  <c r="CN34" i="35" s="1"/>
  <c r="CM10" i="35"/>
  <c r="CJ13" i="35"/>
  <c r="CI13" i="35"/>
  <c r="CJ12" i="35"/>
  <c r="CJ18" i="35" s="1"/>
  <c r="CJ24" i="35" s="1"/>
  <c r="CJ30" i="35" s="1"/>
  <c r="CJ36" i="35" s="1"/>
  <c r="CI12" i="35"/>
  <c r="CJ11" i="35"/>
  <c r="CI11" i="35"/>
  <c r="CJ10" i="35"/>
  <c r="CJ16" i="35" s="1"/>
  <c r="CJ22" i="35" s="1"/>
  <c r="CJ28" i="35" s="1"/>
  <c r="CJ34" i="35" s="1"/>
  <c r="CI10" i="35"/>
  <c r="CF13" i="35"/>
  <c r="CE13" i="35"/>
  <c r="CF12" i="35"/>
  <c r="CF24" i="35" s="1"/>
  <c r="CE12" i="35"/>
  <c r="CF11" i="35"/>
  <c r="CE11" i="35"/>
  <c r="CF10" i="35"/>
  <c r="CE10" i="35"/>
  <c r="CB13" i="35"/>
  <c r="CA13" i="35"/>
  <c r="CB12" i="35"/>
  <c r="CA12" i="35"/>
  <c r="CB11" i="35"/>
  <c r="CA11" i="35"/>
  <c r="CA10" i="35"/>
  <c r="BX13" i="35"/>
  <c r="BW13" i="35"/>
  <c r="BX12" i="35"/>
  <c r="BW12" i="35"/>
  <c r="BX11" i="35"/>
  <c r="BW11" i="35"/>
  <c r="BW10" i="35"/>
  <c r="BT13" i="35"/>
  <c r="BS13" i="35"/>
  <c r="BT12" i="35"/>
  <c r="BS12" i="35"/>
  <c r="BT11" i="35"/>
  <c r="BS11" i="35"/>
  <c r="BT10" i="35"/>
  <c r="BS10" i="35"/>
  <c r="BP13" i="35"/>
  <c r="BO13" i="35"/>
  <c r="BP12" i="35"/>
  <c r="BO12" i="35"/>
  <c r="BP11" i="35"/>
  <c r="BO11" i="35"/>
  <c r="BP10" i="35"/>
  <c r="BO10" i="35"/>
  <c r="BL13" i="35"/>
  <c r="BK13" i="35"/>
  <c r="BL12" i="35"/>
  <c r="BK12" i="35"/>
  <c r="BL11" i="35"/>
  <c r="BK11" i="35"/>
  <c r="BL10" i="35"/>
  <c r="BL16" i="35" s="1"/>
  <c r="BK10" i="35"/>
  <c r="BH13" i="35"/>
  <c r="BG13" i="35"/>
  <c r="BH12" i="35"/>
  <c r="BG12" i="35"/>
  <c r="BH11" i="35"/>
  <c r="BG11" i="35"/>
  <c r="BH10" i="35"/>
  <c r="BG10" i="35"/>
  <c r="BD13" i="35"/>
  <c r="BC13" i="35"/>
  <c r="BD12" i="35"/>
  <c r="BC12" i="35"/>
  <c r="BD11" i="35"/>
  <c r="BC11" i="35"/>
  <c r="BD10" i="35"/>
  <c r="BC10" i="35"/>
  <c r="AZ13" i="35"/>
  <c r="AY13" i="35"/>
  <c r="AZ12" i="35"/>
  <c r="AZ18" i="35" s="1"/>
  <c r="AY12" i="35"/>
  <c r="AZ11" i="35"/>
  <c r="AY11" i="35"/>
  <c r="AZ10" i="35"/>
  <c r="AY10" i="35"/>
  <c r="AV13" i="35"/>
  <c r="AU13" i="35"/>
  <c r="AV12" i="35"/>
  <c r="AV36" i="35" s="1"/>
  <c r="AU12" i="35"/>
  <c r="AV11" i="35"/>
  <c r="AU11" i="35"/>
  <c r="AV10" i="35"/>
  <c r="AU10" i="35"/>
  <c r="AR13" i="35"/>
  <c r="AQ13" i="35"/>
  <c r="AR12" i="35"/>
  <c r="AR18" i="35" s="1"/>
  <c r="AQ12" i="35"/>
  <c r="AR11" i="35"/>
  <c r="AQ11" i="35"/>
  <c r="AR10" i="35"/>
  <c r="AQ10" i="35"/>
  <c r="AN13" i="35"/>
  <c r="AM13" i="35"/>
  <c r="AN12" i="35"/>
  <c r="AN30" i="35" s="1"/>
  <c r="AM12" i="35"/>
  <c r="AN11" i="35"/>
  <c r="AM11" i="35"/>
  <c r="AN10" i="35"/>
  <c r="AM10" i="35"/>
  <c r="AJ13" i="35"/>
  <c r="AI13" i="35"/>
  <c r="AJ12" i="35"/>
  <c r="AJ18" i="35" s="1"/>
  <c r="AI12" i="35"/>
  <c r="AJ11" i="35"/>
  <c r="AI11" i="35"/>
  <c r="AJ10" i="35"/>
  <c r="AI10" i="35"/>
  <c r="AF13" i="35"/>
  <c r="AE13" i="35"/>
  <c r="AF12" i="35"/>
  <c r="AF18" i="35" s="1"/>
  <c r="AE12" i="35"/>
  <c r="AF11" i="35"/>
  <c r="AE11" i="35"/>
  <c r="AF10" i="35"/>
  <c r="AE10" i="35"/>
  <c r="AB13" i="35"/>
  <c r="AA13" i="35"/>
  <c r="AB12" i="35"/>
  <c r="AB18" i="35" s="1"/>
  <c r="AA12" i="35"/>
  <c r="AB11" i="35"/>
  <c r="AA11" i="35"/>
  <c r="AB10" i="35"/>
  <c r="AA10" i="35"/>
  <c r="X13" i="35"/>
  <c r="W13" i="35"/>
  <c r="X12" i="35"/>
  <c r="X18" i="35" s="1"/>
  <c r="W12" i="35"/>
  <c r="X11" i="35"/>
  <c r="W11" i="35"/>
  <c r="X10" i="35"/>
  <c r="X22" i="35" s="1"/>
  <c r="W10" i="35"/>
  <c r="T13" i="35"/>
  <c r="S13" i="35"/>
  <c r="T12" i="35"/>
  <c r="T18" i="35" s="1"/>
  <c r="S12" i="35"/>
  <c r="T11" i="35"/>
  <c r="S11" i="35"/>
  <c r="T10" i="35"/>
  <c r="T28" i="35" s="1"/>
  <c r="S10" i="35"/>
  <c r="P13" i="35"/>
  <c r="O13" i="35"/>
  <c r="P12" i="35"/>
  <c r="P30" i="35" s="1"/>
  <c r="O12" i="35"/>
  <c r="P11" i="35"/>
  <c r="O11" i="35"/>
  <c r="P10" i="35"/>
  <c r="P28" i="35" s="1"/>
  <c r="O10" i="35"/>
  <c r="L13" i="35"/>
  <c r="K13" i="35"/>
  <c r="L12" i="35"/>
  <c r="L30" i="35" s="1"/>
  <c r="K12" i="35"/>
  <c r="L11" i="35"/>
  <c r="K11" i="35"/>
  <c r="L10" i="35"/>
  <c r="L28" i="35" s="1"/>
  <c r="K10" i="35"/>
  <c r="H13" i="35"/>
  <c r="G13" i="35"/>
  <c r="H12" i="35"/>
  <c r="H30" i="35" s="1"/>
  <c r="G12" i="35"/>
  <c r="H11" i="35"/>
  <c r="G11" i="35"/>
  <c r="H10" i="35"/>
  <c r="H28" i="35" s="1"/>
  <c r="G10" i="35"/>
  <c r="B13" i="35"/>
  <c r="A13" i="35"/>
  <c r="A25" i="35" s="1"/>
  <c r="B12" i="35"/>
  <c r="B18" i="35" s="1"/>
  <c r="A12" i="35"/>
  <c r="A24" i="35" s="1"/>
  <c r="B11" i="35"/>
  <c r="A11" i="35"/>
  <c r="A41" i="35" s="1"/>
  <c r="B10" i="35"/>
  <c r="B16" i="35" s="1"/>
  <c r="A10" i="35"/>
  <c r="F7" i="35"/>
  <c r="J7" i="35" s="1"/>
  <c r="N7" i="35" s="1"/>
  <c r="R7" i="35" s="1"/>
  <c r="V7" i="35" s="1"/>
  <c r="A3" i="35"/>
  <c r="A1" i="35"/>
  <c r="BB44" i="31"/>
  <c r="AZ46" i="31"/>
  <c r="AZ66" i="31" s="1"/>
  <c r="AZ44" i="31"/>
  <c r="AX46" i="31"/>
  <c r="AX66" i="31" s="1"/>
  <c r="AX44" i="31"/>
  <c r="AV46" i="31"/>
  <c r="AV66" i="31" s="1"/>
  <c r="AT46" i="31"/>
  <c r="AT66" i="31" s="1"/>
  <c r="AR46" i="31"/>
  <c r="AR66" i="31" s="1"/>
  <c r="AP46" i="31"/>
  <c r="AP66" i="31" s="1"/>
  <c r="AN46" i="31"/>
  <c r="AN66" i="31" s="1"/>
  <c r="AL46" i="31"/>
  <c r="AL66" i="31" s="1"/>
  <c r="AJ46" i="31"/>
  <c r="AJ66" i="31" s="1"/>
  <c r="AH46" i="31"/>
  <c r="AH66" i="31" s="1"/>
  <c r="AF46" i="31"/>
  <c r="AF66" i="31" s="1"/>
  <c r="AD46" i="31"/>
  <c r="AD66" i="31" s="1"/>
  <c r="AB46" i="31"/>
  <c r="AB66" i="31" s="1"/>
  <c r="Z46" i="31"/>
  <c r="Z66" i="31" s="1"/>
  <c r="V46" i="31"/>
  <c r="V66" i="31" s="1"/>
  <c r="P46" i="31"/>
  <c r="P66" i="31" s="1"/>
  <c r="D46" i="31"/>
  <c r="D52" i="31" s="1"/>
  <c r="BF45" i="31"/>
  <c r="BD34" i="31"/>
  <c r="BB34" i="31"/>
  <c r="BB58" i="31" s="1"/>
  <c r="AZ34" i="31"/>
  <c r="AZ58" i="31" s="1"/>
  <c r="AX34" i="31"/>
  <c r="AX58" i="31" s="1"/>
  <c r="AV34" i="31"/>
  <c r="AV58" i="31" s="1"/>
  <c r="AT35" i="31"/>
  <c r="AT34" i="31"/>
  <c r="AR34" i="31"/>
  <c r="AR58" i="31" s="1"/>
  <c r="AN34" i="31"/>
  <c r="AN58" i="31" s="1"/>
  <c r="AL35" i="31"/>
  <c r="AL34" i="31"/>
  <c r="AJ34" i="31"/>
  <c r="AJ58" i="31" s="1"/>
  <c r="AH32" i="31"/>
  <c r="AF34" i="31"/>
  <c r="AF58" i="31" s="1"/>
  <c r="AD35" i="31"/>
  <c r="AD34" i="31"/>
  <c r="AB34" i="31"/>
  <c r="AB58" i="31" s="1"/>
  <c r="Z32" i="31"/>
  <c r="V35" i="31"/>
  <c r="V34" i="31"/>
  <c r="P34" i="31"/>
  <c r="P58" i="31" s="1"/>
  <c r="N35" i="31"/>
  <c r="F35" i="31"/>
  <c r="D34" i="31"/>
  <c r="D58" i="31" s="1"/>
  <c r="BD29" i="31"/>
  <c r="BD28" i="31"/>
  <c r="BD27" i="31"/>
  <c r="BD26" i="31"/>
  <c r="BB28" i="31"/>
  <c r="BB46" i="31" s="1"/>
  <c r="BB27" i="31"/>
  <c r="BB26" i="31"/>
  <c r="AZ28" i="31"/>
  <c r="AZ27" i="31"/>
  <c r="AZ26" i="31"/>
  <c r="AX29" i="31"/>
  <c r="AX28" i="31"/>
  <c r="AX27" i="31"/>
  <c r="AX26" i="31"/>
  <c r="AV29" i="31"/>
  <c r="AV28" i="31"/>
  <c r="AV27" i="31"/>
  <c r="AV26" i="31"/>
  <c r="AV44" i="31" s="1"/>
  <c r="AT29" i="31"/>
  <c r="AT28" i="31"/>
  <c r="AT27" i="31"/>
  <c r="AT26" i="31"/>
  <c r="AT32" i="31" s="1"/>
  <c r="AR29" i="31"/>
  <c r="AR35" i="31" s="1"/>
  <c r="AR28" i="31"/>
  <c r="AR27" i="31"/>
  <c r="AR26" i="31"/>
  <c r="AR44" i="31" s="1"/>
  <c r="AP29" i="31"/>
  <c r="AP28" i="31"/>
  <c r="AP34" i="31" s="1"/>
  <c r="AP58" i="31" s="1"/>
  <c r="AP27" i="31"/>
  <c r="AP26" i="31"/>
  <c r="AN29" i="31"/>
  <c r="AN28" i="31"/>
  <c r="AN27" i="31"/>
  <c r="AN26" i="31"/>
  <c r="AN44" i="31" s="1"/>
  <c r="AN64" i="31" s="1"/>
  <c r="AL29" i="31"/>
  <c r="AL28" i="31"/>
  <c r="AL52" i="31" s="1"/>
  <c r="AL27" i="31"/>
  <c r="AL26" i="31"/>
  <c r="AL32" i="31" s="1"/>
  <c r="AJ29" i="31"/>
  <c r="AJ35" i="31" s="1"/>
  <c r="AJ28" i="31"/>
  <c r="AJ27" i="31"/>
  <c r="AJ26" i="31"/>
  <c r="AJ44" i="31" s="1"/>
  <c r="AJ64" i="31" s="1"/>
  <c r="AH29" i="31"/>
  <c r="AH28" i="31"/>
  <c r="AH34" i="31" s="1"/>
  <c r="AH58" i="31" s="1"/>
  <c r="AH27" i="31"/>
  <c r="AH26" i="31"/>
  <c r="AF29" i="31"/>
  <c r="AF28" i="31"/>
  <c r="AF27" i="31"/>
  <c r="AF26" i="31"/>
  <c r="AF44" i="31" s="1"/>
  <c r="AF64" i="31" s="1"/>
  <c r="AD29" i="31"/>
  <c r="AD28" i="31"/>
  <c r="AD27" i="31"/>
  <c r="AD26" i="31"/>
  <c r="AD32" i="31" s="1"/>
  <c r="AB29" i="31"/>
  <c r="AB35" i="31" s="1"/>
  <c r="AB28" i="31"/>
  <c r="AB27" i="31"/>
  <c r="AB26" i="31"/>
  <c r="AB44" i="31" s="1"/>
  <c r="AB64" i="31" s="1"/>
  <c r="Z29" i="31"/>
  <c r="Z28" i="31"/>
  <c r="Z34" i="31" s="1"/>
  <c r="Z58" i="31" s="1"/>
  <c r="Z27" i="31"/>
  <c r="Z26" i="31"/>
  <c r="X29" i="31"/>
  <c r="V29" i="31"/>
  <c r="V28" i="31"/>
  <c r="V52" i="31" s="1"/>
  <c r="V27" i="31"/>
  <c r="P28" i="31"/>
  <c r="P27" i="31"/>
  <c r="N29" i="31"/>
  <c r="N27" i="31"/>
  <c r="L29" i="31"/>
  <c r="L35" i="31" s="1"/>
  <c r="L27" i="31"/>
  <c r="J29" i="31"/>
  <c r="J27" i="31"/>
  <c r="H29" i="31"/>
  <c r="H27" i="31"/>
  <c r="F29" i="31"/>
  <c r="F27" i="31"/>
  <c r="D29" i="31"/>
  <c r="D35" i="31" s="1"/>
  <c r="D28" i="31"/>
  <c r="D27" i="31"/>
  <c r="BF28" i="31"/>
  <c r="BF27" i="31"/>
  <c r="BF26" i="31"/>
  <c r="AZ23" i="31"/>
  <c r="AZ29" i="31" s="1"/>
  <c r="T23" i="31"/>
  <c r="T29" i="31" s="1"/>
  <c r="T22" i="31"/>
  <c r="T28" i="31" s="1"/>
  <c r="T21" i="31"/>
  <c r="T27" i="31" s="1"/>
  <c r="T20" i="31"/>
  <c r="T26" i="31" s="1"/>
  <c r="R23" i="31"/>
  <c r="R29" i="31" s="1"/>
  <c r="R22" i="31"/>
  <c r="R28" i="31" s="1"/>
  <c r="R21" i="31"/>
  <c r="R27" i="31" s="1"/>
  <c r="R20" i="31"/>
  <c r="R26" i="31" s="1"/>
  <c r="P23" i="31"/>
  <c r="P29" i="31" s="1"/>
  <c r="L23" i="31"/>
  <c r="L22" i="31"/>
  <c r="L28" i="31" s="1"/>
  <c r="L21" i="31"/>
  <c r="L20" i="31"/>
  <c r="L26" i="31" s="1"/>
  <c r="J23" i="31"/>
  <c r="J22" i="31"/>
  <c r="J28" i="31" s="1"/>
  <c r="J21" i="31"/>
  <c r="J20" i="31"/>
  <c r="J26" i="31" s="1"/>
  <c r="H23" i="31"/>
  <c r="H22" i="31"/>
  <c r="H28" i="31" s="1"/>
  <c r="H21" i="31"/>
  <c r="H20" i="31"/>
  <c r="H26" i="31" s="1"/>
  <c r="F23" i="31"/>
  <c r="F22" i="31"/>
  <c r="F28" i="31" s="1"/>
  <c r="F21" i="31"/>
  <c r="F20" i="31"/>
  <c r="F26" i="31" s="1"/>
  <c r="D23" i="31"/>
  <c r="N22" i="31"/>
  <c r="N28" i="31" s="1"/>
  <c r="N21" i="31"/>
  <c r="N20" i="31"/>
  <c r="N26" i="31" s="1"/>
  <c r="X21" i="31"/>
  <c r="X20" i="31"/>
  <c r="X26" i="31" s="1"/>
  <c r="V21" i="31"/>
  <c r="V20" i="31"/>
  <c r="V26" i="31" s="1"/>
  <c r="P21" i="31"/>
  <c r="P20" i="31"/>
  <c r="P26" i="31" s="1"/>
  <c r="D21" i="31"/>
  <c r="D20" i="31"/>
  <c r="D26" i="31" s="1"/>
  <c r="AD20" i="31"/>
  <c r="BB17" i="31"/>
  <c r="BB29" i="31" s="1"/>
  <c r="AZ17" i="31"/>
  <c r="R17" i="31"/>
  <c r="L17" i="31"/>
  <c r="L16" i="31"/>
  <c r="L15" i="31"/>
  <c r="L14" i="31"/>
  <c r="X16" i="31"/>
  <c r="X28" i="31" s="1"/>
  <c r="X15" i="31"/>
  <c r="X27" i="31" s="1"/>
  <c r="X14" i="31"/>
  <c r="N16" i="31"/>
  <c r="N15" i="31"/>
  <c r="N14" i="31"/>
  <c r="J16" i="31"/>
  <c r="J15" i="31"/>
  <c r="V15" i="31"/>
  <c r="V14" i="31"/>
  <c r="T15" i="31"/>
  <c r="T14" i="31"/>
  <c r="R15" i="31"/>
  <c r="R14" i="31"/>
  <c r="P15" i="31"/>
  <c r="P14" i="31"/>
  <c r="H15" i="31"/>
  <c r="H14" i="31"/>
  <c r="D15" i="31"/>
  <c r="BD11" i="31"/>
  <c r="BD10" i="31"/>
  <c r="BD9" i="31"/>
  <c r="BD8" i="31"/>
  <c r="BD32" i="31" s="1"/>
  <c r="BB11" i="31"/>
  <c r="BB10" i="31"/>
  <c r="BB66" i="31" s="1"/>
  <c r="BB9" i="31"/>
  <c r="BB8" i="31"/>
  <c r="BB64" i="31" s="1"/>
  <c r="AX11" i="31"/>
  <c r="AV11" i="31"/>
  <c r="AT11" i="31"/>
  <c r="AR11" i="31"/>
  <c r="BF10" i="31"/>
  <c r="BF9" i="31"/>
  <c r="BF65" i="31" s="1"/>
  <c r="BF8" i="31"/>
  <c r="AZ9" i="31"/>
  <c r="AZ8" i="31"/>
  <c r="AZ64" i="31" s="1"/>
  <c r="AX8" i="31"/>
  <c r="AX64" i="31" s="1"/>
  <c r="AV8" i="31"/>
  <c r="AT8" i="31"/>
  <c r="AR8" i="31"/>
  <c r="AP8" i="31"/>
  <c r="B11" i="31"/>
  <c r="B17" i="31" s="1"/>
  <c r="B23" i="31" s="1"/>
  <c r="B29" i="31" s="1"/>
  <c r="B35" i="31" s="1"/>
  <c r="B41" i="31" s="1"/>
  <c r="B47" i="31" s="1"/>
  <c r="B53" i="31" s="1"/>
  <c r="B59" i="31" s="1"/>
  <c r="A11" i="31"/>
  <c r="A17" i="31" s="1"/>
  <c r="A23" i="31" s="1"/>
  <c r="A29" i="31" s="1"/>
  <c r="A35" i="31" s="1"/>
  <c r="A41" i="31" s="1"/>
  <c r="A47" i="31" s="1"/>
  <c r="A53" i="31" s="1"/>
  <c r="A59" i="31" s="1"/>
  <c r="B10" i="31"/>
  <c r="B16" i="31" s="1"/>
  <c r="B22" i="31" s="1"/>
  <c r="B28" i="31" s="1"/>
  <c r="B34" i="31" s="1"/>
  <c r="B40" i="31" s="1"/>
  <c r="B46" i="31" s="1"/>
  <c r="B52" i="31" s="1"/>
  <c r="B58" i="31" s="1"/>
  <c r="A10" i="31"/>
  <c r="A16" i="31" s="1"/>
  <c r="A22" i="31" s="1"/>
  <c r="A28" i="31" s="1"/>
  <c r="A34" i="31" s="1"/>
  <c r="A40" i="31" s="1"/>
  <c r="A46" i="31" s="1"/>
  <c r="A52" i="31" s="1"/>
  <c r="A58" i="31" s="1"/>
  <c r="B9" i="31"/>
  <c r="B15" i="31" s="1"/>
  <c r="B21" i="31" s="1"/>
  <c r="B27" i="31" s="1"/>
  <c r="B33" i="31" s="1"/>
  <c r="B39" i="31" s="1"/>
  <c r="B45" i="31" s="1"/>
  <c r="B51" i="31" s="1"/>
  <c r="B57" i="31" s="1"/>
  <c r="A9" i="31"/>
  <c r="A15" i="31" s="1"/>
  <c r="A21" i="31" s="1"/>
  <c r="A27" i="31" s="1"/>
  <c r="A33" i="31" s="1"/>
  <c r="A39" i="31" s="1"/>
  <c r="A45" i="31" s="1"/>
  <c r="A51" i="31" s="1"/>
  <c r="A57" i="31" s="1"/>
  <c r="B8" i="31"/>
  <c r="B14" i="31" s="1"/>
  <c r="B20" i="31" s="1"/>
  <c r="B26" i="31" s="1"/>
  <c r="B32" i="31" s="1"/>
  <c r="B38" i="31" s="1"/>
  <c r="B44" i="31" s="1"/>
  <c r="B50" i="31" s="1"/>
  <c r="B56" i="31" s="1"/>
  <c r="A8" i="31"/>
  <c r="A14" i="31" s="1"/>
  <c r="A20" i="31" s="1"/>
  <c r="A26" i="31" s="1"/>
  <c r="A32" i="31" s="1"/>
  <c r="A38" i="31" s="1"/>
  <c r="A44" i="31" s="1"/>
  <c r="A50" i="31" s="1"/>
  <c r="A56" i="31" s="1"/>
  <c r="A3" i="31"/>
  <c r="A1" i="31"/>
  <c r="AU81" i="32"/>
  <c r="AS81" i="32"/>
  <c r="AQ81" i="32"/>
  <c r="AO81" i="32"/>
  <c r="AM81" i="32"/>
  <c r="AK81" i="32"/>
  <c r="AI81" i="32"/>
  <c r="AG81" i="32"/>
  <c r="AR79" i="32"/>
  <c r="AR78" i="32"/>
  <c r="AP79" i="32"/>
  <c r="AP78" i="32"/>
  <c r="AN79" i="32"/>
  <c r="AN78" i="32"/>
  <c r="AL79" i="32"/>
  <c r="AL78" i="32"/>
  <c r="AF79" i="32"/>
  <c r="AF78" i="32"/>
  <c r="Z79" i="32"/>
  <c r="Z78" i="32"/>
  <c r="V79" i="32"/>
  <c r="V78" i="32"/>
  <c r="AR75" i="32"/>
  <c r="AP75" i="32"/>
  <c r="AN75" i="32"/>
  <c r="V76" i="32"/>
  <c r="V75" i="32"/>
  <c r="BD71" i="32"/>
  <c r="BB71" i="32"/>
  <c r="AZ71" i="32"/>
  <c r="AX71" i="32"/>
  <c r="AV71" i="32"/>
  <c r="AT71" i="32"/>
  <c r="V62" i="32"/>
  <c r="T62" i="32"/>
  <c r="R62" i="32"/>
  <c r="P62" i="32"/>
  <c r="N62" i="32"/>
  <c r="L62" i="32"/>
  <c r="J62" i="32"/>
  <c r="H62" i="32"/>
  <c r="F62" i="32"/>
  <c r="AZ59" i="32"/>
  <c r="AX59" i="32"/>
  <c r="AX56" i="32"/>
  <c r="AV56" i="32"/>
  <c r="AT56" i="32"/>
  <c r="AR56" i="32"/>
  <c r="AN56" i="32"/>
  <c r="R56" i="32"/>
  <c r="N56" i="32"/>
  <c r="BL51" i="32"/>
  <c r="AJ51" i="32"/>
  <c r="AJ56" i="32" s="1"/>
  <c r="F51" i="32"/>
  <c r="F56" i="32" s="1"/>
  <c r="BD50" i="32"/>
  <c r="BD56" i="32" s="1"/>
  <c r="BB50" i="32"/>
  <c r="H50" i="32"/>
  <c r="BD45" i="32"/>
  <c r="AZ45" i="32"/>
  <c r="AZ56" i="32" s="1"/>
  <c r="AP45" i="32"/>
  <c r="AP56" i="32" s="1"/>
  <c r="AH45" i="32"/>
  <c r="Z45" i="32"/>
  <c r="X45" i="32"/>
  <c r="V45" i="32"/>
  <c r="T45" i="32"/>
  <c r="T56" i="32" s="1"/>
  <c r="P45" i="32"/>
  <c r="P56" i="32" s="1"/>
  <c r="N45" i="32"/>
  <c r="L45" i="32"/>
  <c r="L56" i="32" s="1"/>
  <c r="J45" i="32"/>
  <c r="J56" i="32" s="1"/>
  <c r="H45" i="32"/>
  <c r="H56" i="32" s="1"/>
  <c r="F45" i="32"/>
  <c r="D45" i="32"/>
  <c r="BP43" i="32"/>
  <c r="BN43" i="32"/>
  <c r="BL43" i="32"/>
  <c r="BJ43" i="32"/>
  <c r="BH43" i="32"/>
  <c r="BF43" i="32"/>
  <c r="BD43" i="32"/>
  <c r="BB43" i="32"/>
  <c r="BB56" i="32" s="1"/>
  <c r="AL43" i="32"/>
  <c r="AL56" i="32" s="1"/>
  <c r="AJ43" i="32"/>
  <c r="AH43" i="32"/>
  <c r="AH56" i="32" s="1"/>
  <c r="AF43" i="32"/>
  <c r="AF56" i="32" s="1"/>
  <c r="AD43" i="32"/>
  <c r="AD56" i="32" s="1"/>
  <c r="AB43" i="32"/>
  <c r="AB56" i="32" s="1"/>
  <c r="Z43" i="32"/>
  <c r="Z56" i="32" s="1"/>
  <c r="X43" i="32"/>
  <c r="X56" i="32" s="1"/>
  <c r="V43" i="32"/>
  <c r="V56" i="32" s="1"/>
  <c r="D43" i="32"/>
  <c r="D56" i="32" s="1"/>
  <c r="Z36" i="32"/>
  <c r="J36" i="32"/>
  <c r="BD34" i="32"/>
  <c r="BD36" i="32" s="1"/>
  <c r="BB34" i="32"/>
  <c r="AZ34" i="32"/>
  <c r="AZ36" i="32" s="1"/>
  <c r="AZ33" i="32"/>
  <c r="AX34" i="32"/>
  <c r="AV34" i="32"/>
  <c r="AV36" i="32" s="1"/>
  <c r="AT34" i="32"/>
  <c r="AR34" i="32"/>
  <c r="AR36" i="32" s="1"/>
  <c r="AP34" i="32"/>
  <c r="AN34" i="32"/>
  <c r="AN36" i="32" s="1"/>
  <c r="AL34" i="32"/>
  <c r="AL36" i="32" s="1"/>
  <c r="AH34" i="32"/>
  <c r="AF34" i="32"/>
  <c r="AF36" i="32" s="1"/>
  <c r="AD34" i="32"/>
  <c r="AD36" i="32" s="1"/>
  <c r="AB34" i="32"/>
  <c r="AB36" i="32" s="1"/>
  <c r="Z34" i="32"/>
  <c r="X34" i="32"/>
  <c r="X36" i="32" s="1"/>
  <c r="V34" i="32"/>
  <c r="V36" i="32" s="1"/>
  <c r="T34" i="32"/>
  <c r="N34" i="32"/>
  <c r="N36" i="32" s="1"/>
  <c r="L34" i="32"/>
  <c r="L36" i="32" s="1"/>
  <c r="J34" i="32"/>
  <c r="F34" i="32"/>
  <c r="F36" i="32" s="1"/>
  <c r="F33" i="32"/>
  <c r="F32" i="32"/>
  <c r="D33" i="32"/>
  <c r="D34" i="32" s="1"/>
  <c r="D36" i="32" s="1"/>
  <c r="AJ32" i="32"/>
  <c r="AJ34" i="32" s="1"/>
  <c r="AJ36" i="32" s="1"/>
  <c r="H30" i="32"/>
  <c r="F30" i="32"/>
  <c r="H28" i="32"/>
  <c r="H27" i="32"/>
  <c r="H26" i="32"/>
  <c r="H34" i="32" s="1"/>
  <c r="H36" i="32" s="1"/>
  <c r="F28" i="32"/>
  <c r="F27" i="32"/>
  <c r="F26" i="32"/>
  <c r="R27" i="32"/>
  <c r="R26" i="32"/>
  <c r="P27" i="32"/>
  <c r="P34" i="32" s="1"/>
  <c r="P36" i="32" s="1"/>
  <c r="BD23" i="32"/>
  <c r="BB23" i="32"/>
  <c r="AZ23" i="32"/>
  <c r="AX23" i="32"/>
  <c r="AV23" i="32"/>
  <c r="AT23" i="32"/>
  <c r="AR23" i="32"/>
  <c r="AP23" i="32"/>
  <c r="AP36" i="32" s="1"/>
  <c r="BD21" i="32"/>
  <c r="BB21" i="32"/>
  <c r="AX21" i="32"/>
  <c r="AX36" i="32" s="1"/>
  <c r="AV21" i="32"/>
  <c r="AJ21" i="32"/>
  <c r="AJ79" i="32" s="1"/>
  <c r="AH21" i="32"/>
  <c r="AD21" i="32"/>
  <c r="AD79" i="32" s="1"/>
  <c r="AB21" i="32"/>
  <c r="AB79" i="32" s="1"/>
  <c r="X21" i="32"/>
  <c r="X79" i="32" s="1"/>
  <c r="T21" i="32"/>
  <c r="R21" i="32"/>
  <c r="P21" i="32"/>
  <c r="N21" i="32"/>
  <c r="BB15" i="32"/>
  <c r="AH15" i="32"/>
  <c r="F15" i="32"/>
  <c r="F38" i="32" s="1"/>
  <c r="BD13" i="32"/>
  <c r="AZ13" i="32"/>
  <c r="AX13" i="32"/>
  <c r="AX12" i="32"/>
  <c r="AN13" i="32"/>
  <c r="AN12" i="32"/>
  <c r="Z13" i="32"/>
  <c r="R13" i="32"/>
  <c r="P13" i="32"/>
  <c r="N13" i="32"/>
  <c r="L13" i="32"/>
  <c r="J13" i="32"/>
  <c r="H13" i="32"/>
  <c r="AV12" i="32"/>
  <c r="AT12" i="32"/>
  <c r="AR12" i="32"/>
  <c r="AP12" i="32"/>
  <c r="AL12" i="32"/>
  <c r="AJ12" i="32"/>
  <c r="AF12" i="32"/>
  <c r="AD12" i="32"/>
  <c r="AL10" i="32"/>
  <c r="AL9" i="32"/>
  <c r="AL8" i="32"/>
  <c r="AJ9" i="32"/>
  <c r="AJ8" i="32"/>
  <c r="AJ15" i="32" s="1"/>
  <c r="AH9" i="32"/>
  <c r="AH8" i="32"/>
  <c r="AF9" i="32"/>
  <c r="AF75" i="32" s="1"/>
  <c r="AF8" i="32"/>
  <c r="AF15" i="32" s="1"/>
  <c r="AD9" i="32"/>
  <c r="AD75" i="32" s="1"/>
  <c r="AD8" i="32"/>
  <c r="AB9" i="32"/>
  <c r="AB75" i="32" s="1"/>
  <c r="AB8" i="32"/>
  <c r="Z9" i="32"/>
  <c r="Z75" i="32" s="1"/>
  <c r="Z8" i="32"/>
  <c r="X9" i="32"/>
  <c r="X75" i="32" s="1"/>
  <c r="X8" i="32"/>
  <c r="BD8" i="32"/>
  <c r="BD15" i="32" s="1"/>
  <c r="BD38" i="32" s="1"/>
  <c r="BB8" i="32"/>
  <c r="AZ8" i="32"/>
  <c r="AZ15" i="32" s="1"/>
  <c r="AZ38" i="32" s="1"/>
  <c r="AX8" i="32"/>
  <c r="AV8" i="32"/>
  <c r="AV15" i="32" s="1"/>
  <c r="AT8" i="32"/>
  <c r="AT15" i="32" s="1"/>
  <c r="AR8" i="32"/>
  <c r="AR15" i="32" s="1"/>
  <c r="AP8" i="32"/>
  <c r="AP15" i="32" s="1"/>
  <c r="V8" i="32"/>
  <c r="V15" i="32" s="1"/>
  <c r="T8" i="32"/>
  <c r="T15" i="32" s="1"/>
  <c r="R8" i="32"/>
  <c r="R15" i="32" s="1"/>
  <c r="P8" i="32"/>
  <c r="P15" i="32" s="1"/>
  <c r="P38" i="32" s="1"/>
  <c r="N8" i="32"/>
  <c r="N15" i="32" s="1"/>
  <c r="L8" i="32"/>
  <c r="L15" i="32" s="1"/>
  <c r="L38" i="32" s="1"/>
  <c r="J8" i="32"/>
  <c r="J15" i="32" s="1"/>
  <c r="H8" i="32"/>
  <c r="H15" i="32" s="1"/>
  <c r="H38" i="32" s="1"/>
  <c r="F8" i="32"/>
  <c r="D8" i="32"/>
  <c r="D15" i="32" s="1"/>
  <c r="D38" i="32" s="1"/>
  <c r="H6" i="32"/>
  <c r="J6" i="32" s="1"/>
  <c r="L6" i="32" s="1"/>
  <c r="N6" i="32" s="1"/>
  <c r="P6" i="32" s="1"/>
  <c r="R6" i="32" s="1"/>
  <c r="T6" i="32" s="1"/>
  <c r="V6" i="32" s="1"/>
  <c r="X6" i="32" s="1"/>
  <c r="Z6" i="32" s="1"/>
  <c r="AB6" i="32" s="1"/>
  <c r="AD6" i="32" s="1"/>
  <c r="AF6" i="32" s="1"/>
  <c r="AH6" i="32" s="1"/>
  <c r="AJ6" i="32" s="1"/>
  <c r="AL6" i="32" s="1"/>
  <c r="AN6" i="32" s="1"/>
  <c r="AP6" i="32" s="1"/>
  <c r="AR6" i="32" s="1"/>
  <c r="AT6" i="32" s="1"/>
  <c r="AV6" i="32" s="1"/>
  <c r="AX6" i="32" s="1"/>
  <c r="AZ6" i="32" s="1"/>
  <c r="BB6" i="32" s="1"/>
  <c r="BD6" i="32" s="1"/>
  <c r="BF6" i="32" s="1"/>
  <c r="BH6" i="32" s="1"/>
  <c r="BJ6" i="32" s="1"/>
  <c r="F6" i="32"/>
  <c r="A3" i="32"/>
  <c r="A1" i="32"/>
  <c r="BD127" i="3"/>
  <c r="BD126" i="3"/>
  <c r="BB127" i="3"/>
  <c r="BB126" i="3"/>
  <c r="AZ127" i="3"/>
  <c r="AZ126" i="3"/>
  <c r="AX127" i="3"/>
  <c r="AX126" i="3"/>
  <c r="AV127" i="3"/>
  <c r="AV126" i="3"/>
  <c r="AT127" i="3"/>
  <c r="AT126" i="3"/>
  <c r="AR127" i="3"/>
  <c r="AR126" i="3"/>
  <c r="AP127" i="3"/>
  <c r="AP126" i="3"/>
  <c r="AN127" i="3"/>
  <c r="AN126" i="3"/>
  <c r="AL127" i="3"/>
  <c r="AL126" i="3"/>
  <c r="AJ127" i="3"/>
  <c r="AJ126" i="3"/>
  <c r="AH127" i="3"/>
  <c r="AH126" i="3"/>
  <c r="AF127" i="3"/>
  <c r="AF126" i="3"/>
  <c r="AD127" i="3"/>
  <c r="AD126" i="3"/>
  <c r="AB127" i="3"/>
  <c r="AB126" i="3"/>
  <c r="Z127" i="3"/>
  <c r="Z126" i="3"/>
  <c r="X127" i="3"/>
  <c r="X126" i="3"/>
  <c r="V127" i="3"/>
  <c r="V126" i="3"/>
  <c r="AD123" i="3"/>
  <c r="AD110" i="3"/>
  <c r="AB110" i="3"/>
  <c r="Z110" i="3"/>
  <c r="X110" i="3"/>
  <c r="V109" i="3"/>
  <c r="V108" i="3"/>
  <c r="V107" i="3"/>
  <c r="V106" i="3"/>
  <c r="V110" i="3" s="1"/>
  <c r="AL96" i="3"/>
  <c r="AJ99" i="3"/>
  <c r="AL99" i="3" s="1"/>
  <c r="AN99" i="3" s="1"/>
  <c r="AP99" i="3" s="1"/>
  <c r="AR99" i="3" s="1"/>
  <c r="AT99" i="3" s="1"/>
  <c r="AV99" i="3" s="1"/>
  <c r="AX99" i="3" s="1"/>
  <c r="AJ97" i="3"/>
  <c r="AL97" i="3" s="1"/>
  <c r="AN97" i="3" s="1"/>
  <c r="AP97" i="3" s="1"/>
  <c r="AR97" i="3" s="1"/>
  <c r="AT97" i="3" s="1"/>
  <c r="AV97" i="3" s="1"/>
  <c r="AX97" i="3" s="1"/>
  <c r="AZ97" i="3" s="1"/>
  <c r="BB97" i="3" s="1"/>
  <c r="BD97" i="3" s="1"/>
  <c r="BF97" i="3" s="1"/>
  <c r="BH97" i="3" s="1"/>
  <c r="BJ97" i="3" s="1"/>
  <c r="BL97" i="3" s="1"/>
  <c r="BN97" i="3" s="1"/>
  <c r="BP97" i="3" s="1"/>
  <c r="BR97" i="3" s="1"/>
  <c r="AJ96" i="3"/>
  <c r="Z100" i="3"/>
  <c r="X100" i="3"/>
  <c r="AH98" i="3"/>
  <c r="AF98" i="3"/>
  <c r="AD98" i="3"/>
  <c r="AB98" i="3"/>
  <c r="Z98" i="3"/>
  <c r="X98" i="3"/>
  <c r="BR85" i="3"/>
  <c r="BP85" i="3"/>
  <c r="BD85" i="3"/>
  <c r="BB85" i="3"/>
  <c r="AZ85" i="3"/>
  <c r="AX85" i="3"/>
  <c r="AV85" i="3"/>
  <c r="AT85" i="3"/>
  <c r="AR85" i="3"/>
  <c r="AN85" i="3"/>
  <c r="AJ85" i="3"/>
  <c r="AH85" i="3"/>
  <c r="AF85" i="3"/>
  <c r="AD85" i="3"/>
  <c r="AB85" i="3"/>
  <c r="Z85" i="3"/>
  <c r="X85" i="3"/>
  <c r="V85" i="3"/>
  <c r="BH78" i="3"/>
  <c r="BJ78" i="3" s="1"/>
  <c r="BL78" i="3" s="1"/>
  <c r="BN78" i="3" s="1"/>
  <c r="BF78" i="3"/>
  <c r="BF74" i="3"/>
  <c r="BH74" i="3" s="1"/>
  <c r="BJ74" i="3" s="1"/>
  <c r="BL74" i="3" s="1"/>
  <c r="BN74" i="3" s="1"/>
  <c r="BP74" i="3" s="1"/>
  <c r="BR74" i="3" s="1"/>
  <c r="BD78" i="3"/>
  <c r="BD76" i="3"/>
  <c r="BB78" i="3"/>
  <c r="AZ78" i="3"/>
  <c r="AZ76" i="3"/>
  <c r="AX78" i="3"/>
  <c r="AX75" i="3"/>
  <c r="AX74" i="3"/>
  <c r="AV78" i="3"/>
  <c r="AV76" i="3"/>
  <c r="AT78" i="3"/>
  <c r="AT75" i="3"/>
  <c r="AT74" i="3"/>
  <c r="AR78" i="3"/>
  <c r="AP78" i="3"/>
  <c r="AN78" i="3"/>
  <c r="AL78" i="3"/>
  <c r="AL75" i="3"/>
  <c r="AJ78" i="3"/>
  <c r="AJ76" i="3"/>
  <c r="AH78" i="3"/>
  <c r="AH75" i="3"/>
  <c r="AH74" i="3"/>
  <c r="AF78" i="3"/>
  <c r="AF76" i="3"/>
  <c r="AD78" i="3"/>
  <c r="AD75" i="3"/>
  <c r="AD74" i="3"/>
  <c r="AB78" i="3"/>
  <c r="AB76" i="3"/>
  <c r="AB74" i="3"/>
  <c r="Z78" i="3"/>
  <c r="Z77" i="3"/>
  <c r="Z76" i="3"/>
  <c r="Z75" i="3"/>
  <c r="X78" i="3"/>
  <c r="X77" i="3"/>
  <c r="X75" i="3"/>
  <c r="X74" i="3"/>
  <c r="V78" i="3"/>
  <c r="V77" i="3"/>
  <c r="V76" i="3"/>
  <c r="V75" i="3"/>
  <c r="T78" i="3"/>
  <c r="T77" i="3"/>
  <c r="T75" i="3"/>
  <c r="T74" i="3"/>
  <c r="R78" i="3"/>
  <c r="R77" i="3"/>
  <c r="R75" i="3"/>
  <c r="P78" i="3"/>
  <c r="P75" i="3"/>
  <c r="P74" i="3"/>
  <c r="M78" i="3"/>
  <c r="M77" i="3"/>
  <c r="M76" i="3"/>
  <c r="M75" i="3"/>
  <c r="K78" i="3"/>
  <c r="K77" i="3"/>
  <c r="K75" i="3"/>
  <c r="K74" i="3"/>
  <c r="I78" i="3"/>
  <c r="I77" i="3"/>
  <c r="I76" i="3"/>
  <c r="I75" i="3"/>
  <c r="G78" i="3"/>
  <c r="G77" i="3"/>
  <c r="G75" i="3"/>
  <c r="G74" i="3"/>
  <c r="BF72" i="3"/>
  <c r="BF71" i="3"/>
  <c r="BF70" i="3"/>
  <c r="BF69" i="3"/>
  <c r="BD72" i="3"/>
  <c r="BD71" i="3"/>
  <c r="BD70" i="3"/>
  <c r="BD69" i="3"/>
  <c r="BB72" i="3"/>
  <c r="BB71" i="3"/>
  <c r="BB79" i="3" s="1"/>
  <c r="BB70" i="3"/>
  <c r="BB69" i="3"/>
  <c r="AZ72" i="3"/>
  <c r="AZ71" i="3"/>
  <c r="AZ70" i="3"/>
  <c r="AZ69" i="3"/>
  <c r="AX72" i="3"/>
  <c r="AX71" i="3"/>
  <c r="AX70" i="3"/>
  <c r="AX69" i="3"/>
  <c r="AV72" i="3"/>
  <c r="AV71" i="3"/>
  <c r="AV70" i="3"/>
  <c r="AV69" i="3"/>
  <c r="AT72" i="3"/>
  <c r="AT71" i="3"/>
  <c r="AT70" i="3"/>
  <c r="AT69" i="3"/>
  <c r="AT76" i="3" s="1"/>
  <c r="AR72" i="3"/>
  <c r="AR71" i="3"/>
  <c r="AR70" i="3"/>
  <c r="AR69" i="3"/>
  <c r="AR75" i="3" s="1"/>
  <c r="AP71" i="3"/>
  <c r="AP79" i="3" s="1"/>
  <c r="AP70" i="3"/>
  <c r="AN72" i="3"/>
  <c r="AN71" i="3"/>
  <c r="AN70" i="3"/>
  <c r="AN69" i="3"/>
  <c r="AL71" i="3"/>
  <c r="AL79" i="3" s="1"/>
  <c r="AL70" i="3"/>
  <c r="AL69" i="3"/>
  <c r="AL76" i="3" s="1"/>
  <c r="AJ72" i="3"/>
  <c r="AJ71" i="3"/>
  <c r="AJ79" i="3" s="1"/>
  <c r="AJ70" i="3"/>
  <c r="AJ69" i="3"/>
  <c r="AH72" i="3"/>
  <c r="AH71" i="3"/>
  <c r="AH79" i="3" s="1"/>
  <c r="AH70" i="3"/>
  <c r="AH69" i="3"/>
  <c r="AH76" i="3" s="1"/>
  <c r="AF72" i="3"/>
  <c r="AF71" i="3"/>
  <c r="AF79" i="3" s="1"/>
  <c r="AF70" i="3"/>
  <c r="AF69" i="3"/>
  <c r="AD72" i="3"/>
  <c r="AD71" i="3"/>
  <c r="AD79" i="3" s="1"/>
  <c r="AD70" i="3"/>
  <c r="AD69" i="3"/>
  <c r="AD76" i="3" s="1"/>
  <c r="AB72" i="3"/>
  <c r="AB71" i="3"/>
  <c r="AB79" i="3" s="1"/>
  <c r="AB70" i="3"/>
  <c r="AB69" i="3"/>
  <c r="AB75" i="3" s="1"/>
  <c r="Z72" i="3"/>
  <c r="Z71" i="3"/>
  <c r="Z79" i="3" s="1"/>
  <c r="Z70" i="3"/>
  <c r="Z69" i="3"/>
  <c r="Z74" i="3" s="1"/>
  <c r="X72" i="3"/>
  <c r="X71" i="3"/>
  <c r="X79" i="3" s="1"/>
  <c r="X70" i="3"/>
  <c r="X69" i="3"/>
  <c r="X76" i="3" s="1"/>
  <c r="V72" i="3"/>
  <c r="V71" i="3"/>
  <c r="V79" i="3" s="1"/>
  <c r="V70" i="3"/>
  <c r="V69" i="3"/>
  <c r="V74" i="3" s="1"/>
  <c r="T72" i="3"/>
  <c r="T71" i="3"/>
  <c r="T79" i="3" s="1"/>
  <c r="T70" i="3"/>
  <c r="T69" i="3"/>
  <c r="T76" i="3" s="1"/>
  <c r="R72" i="3"/>
  <c r="R71" i="3"/>
  <c r="R79" i="3" s="1"/>
  <c r="R70" i="3"/>
  <c r="R69" i="3"/>
  <c r="R74" i="3" s="1"/>
  <c r="P72" i="3"/>
  <c r="P71" i="3"/>
  <c r="P79" i="3" s="1"/>
  <c r="P70" i="3"/>
  <c r="P69" i="3"/>
  <c r="M72" i="3"/>
  <c r="M71" i="3"/>
  <c r="M79" i="3" s="1"/>
  <c r="M70" i="3"/>
  <c r="M69" i="3"/>
  <c r="M74" i="3" s="1"/>
  <c r="K72" i="3"/>
  <c r="K71" i="3"/>
  <c r="K79" i="3" s="1"/>
  <c r="K70" i="3"/>
  <c r="K69" i="3"/>
  <c r="K76" i="3" s="1"/>
  <c r="I72" i="3"/>
  <c r="I71" i="3"/>
  <c r="I79" i="3" s="1"/>
  <c r="I70" i="3"/>
  <c r="I69" i="3"/>
  <c r="I74" i="3" s="1"/>
  <c r="G72" i="3"/>
  <c r="G71" i="3"/>
  <c r="G79" i="3" s="1"/>
  <c r="G70" i="3"/>
  <c r="G69" i="3"/>
  <c r="G76" i="3" s="1"/>
  <c r="BF56" i="3"/>
  <c r="BD56" i="3"/>
  <c r="BB56" i="3"/>
  <c r="AZ41" i="31" s="1"/>
  <c r="AZ56" i="3"/>
  <c r="AX56" i="3"/>
  <c r="AW56" i="3"/>
  <c r="AV56" i="3"/>
  <c r="AT56" i="3"/>
  <c r="AR56" i="3"/>
  <c r="AR58" i="3" s="1"/>
  <c r="AP56" i="3"/>
  <c r="BR55" i="30" s="1"/>
  <c r="AN56" i="3"/>
  <c r="AL56" i="3"/>
  <c r="AJ56" i="3"/>
  <c r="AH56" i="3"/>
  <c r="BM55" i="30" s="1"/>
  <c r="AD56" i="3"/>
  <c r="AB56" i="3"/>
  <c r="Z56" i="3"/>
  <c r="X56" i="3"/>
  <c r="V56" i="3"/>
  <c r="T56" i="3"/>
  <c r="R56" i="3"/>
  <c r="N56" i="3"/>
  <c r="M56" i="3"/>
  <c r="G56" i="3"/>
  <c r="E56" i="3"/>
  <c r="BJ54" i="3"/>
  <c r="BL54" i="3" s="1"/>
  <c r="BN54" i="3" s="1"/>
  <c r="BP54" i="3" s="1"/>
  <c r="BR54" i="3" s="1"/>
  <c r="AF53" i="3"/>
  <c r="AF56" i="3" s="1"/>
  <c r="AD53" i="3"/>
  <c r="BH51" i="3"/>
  <c r="P47" i="3"/>
  <c r="P56" i="3" s="1"/>
  <c r="N47" i="3"/>
  <c r="M47" i="3"/>
  <c r="K47" i="3"/>
  <c r="K56" i="3" s="1"/>
  <c r="I47" i="3"/>
  <c r="I56" i="3" s="1"/>
  <c r="AH45" i="3"/>
  <c r="AF45" i="3"/>
  <c r="X45" i="3"/>
  <c r="R45" i="3"/>
  <c r="P45" i="3"/>
  <c r="I45" i="3"/>
  <c r="BF43" i="3"/>
  <c r="BD43" i="3"/>
  <c r="BB43" i="3"/>
  <c r="AZ43" i="3"/>
  <c r="AX43" i="3"/>
  <c r="AR43" i="3"/>
  <c r="AJ43" i="3"/>
  <c r="AB43" i="3"/>
  <c r="Z43" i="3"/>
  <c r="X43" i="3"/>
  <c r="V43" i="3"/>
  <c r="T43" i="3"/>
  <c r="R43" i="3"/>
  <c r="P43" i="3"/>
  <c r="N43" i="3"/>
  <c r="M43" i="3"/>
  <c r="K43" i="3"/>
  <c r="I43" i="3"/>
  <c r="G43" i="3"/>
  <c r="E43" i="3"/>
  <c r="BJ40" i="3"/>
  <c r="BH49" i="32" s="1"/>
  <c r="BJ39" i="3"/>
  <c r="BJ41" i="3"/>
  <c r="BL41" i="3" s="1"/>
  <c r="BJ11" i="32" s="1"/>
  <c r="AV40" i="3"/>
  <c r="AV43" i="3" s="1"/>
  <c r="AT40" i="3"/>
  <c r="AT43" i="3" s="1"/>
  <c r="AR40" i="3"/>
  <c r="AP40" i="3"/>
  <c r="AP43" i="3" s="1"/>
  <c r="AP45" i="3" s="1"/>
  <c r="AN40" i="3"/>
  <c r="AN43" i="3" s="1"/>
  <c r="AL40" i="3"/>
  <c r="AL43" i="3" s="1"/>
  <c r="AJ40" i="3"/>
  <c r="AH40" i="3"/>
  <c r="AH43" i="3" s="1"/>
  <c r="AF40" i="3"/>
  <c r="AF43" i="3" s="1"/>
  <c r="AD40" i="3"/>
  <c r="AD43" i="3" s="1"/>
  <c r="AB40" i="3"/>
  <c r="M39" i="3"/>
  <c r="BF36" i="3"/>
  <c r="BF79" i="3" s="1"/>
  <c r="BH79" i="3" s="1"/>
  <c r="BD36" i="3"/>
  <c r="BD79" i="3" s="1"/>
  <c r="AZ37" i="3"/>
  <c r="AZ45" i="3" s="1"/>
  <c r="AZ58" i="3" s="1"/>
  <c r="AZ36" i="3"/>
  <c r="AZ79" i="3" s="1"/>
  <c r="AX36" i="3"/>
  <c r="AV37" i="3"/>
  <c r="AV45" i="3" s="1"/>
  <c r="AV58" i="3" s="1"/>
  <c r="AV36" i="3"/>
  <c r="AV79" i="3" s="1"/>
  <c r="AT36" i="3"/>
  <c r="AR37" i="3"/>
  <c r="AR45" i="3" s="1"/>
  <c r="AR36" i="3"/>
  <c r="AR79" i="3" s="1"/>
  <c r="AP37" i="3"/>
  <c r="AN37" i="3"/>
  <c r="AN45" i="3" s="1"/>
  <c r="AN58" i="3" s="1"/>
  <c r="AN36" i="3"/>
  <c r="AN79" i="3" s="1"/>
  <c r="AL37" i="3"/>
  <c r="AJ37" i="3"/>
  <c r="AJ45" i="3" s="1"/>
  <c r="AH37" i="3"/>
  <c r="AF37" i="3"/>
  <c r="AD37" i="3"/>
  <c r="AB37" i="3"/>
  <c r="AB45" i="3" s="1"/>
  <c r="Z37" i="3"/>
  <c r="Z45" i="3" s="1"/>
  <c r="X37" i="3"/>
  <c r="V37" i="3"/>
  <c r="V45" i="3" s="1"/>
  <c r="V58" i="3" s="1"/>
  <c r="T37" i="3"/>
  <c r="T45" i="3" s="1"/>
  <c r="R37" i="3"/>
  <c r="P37" i="3"/>
  <c r="N37" i="3"/>
  <c r="N45" i="3" s="1"/>
  <c r="M37" i="3"/>
  <c r="M45" i="3" s="1"/>
  <c r="K37" i="3"/>
  <c r="K45" i="3" s="1"/>
  <c r="I37" i="3"/>
  <c r="G37" i="3"/>
  <c r="G45" i="3" s="1"/>
  <c r="G58" i="3" s="1"/>
  <c r="E37" i="3"/>
  <c r="E45" i="3" s="1"/>
  <c r="BB33" i="3"/>
  <c r="BD33" i="3" s="1"/>
  <c r="BJ24" i="3"/>
  <c r="BJ23" i="3"/>
  <c r="BL23" i="3" s="1"/>
  <c r="BN23" i="3" s="1"/>
  <c r="BP23" i="3" s="1"/>
  <c r="BR23" i="3" s="1"/>
  <c r="AZ24" i="3"/>
  <c r="AV24" i="3"/>
  <c r="AV100" i="3" s="1"/>
  <c r="AT24" i="3"/>
  <c r="AR24" i="3"/>
  <c r="AP24" i="3"/>
  <c r="AN24" i="3"/>
  <c r="AN100" i="3" s="1"/>
  <c r="AL24" i="3"/>
  <c r="AJ24" i="3"/>
  <c r="AH24" i="3"/>
  <c r="AF24" i="3"/>
  <c r="AF100" i="3" s="1"/>
  <c r="AD24" i="3"/>
  <c r="AB24" i="3"/>
  <c r="P24" i="3"/>
  <c r="P77" i="3" s="1"/>
  <c r="BD21" i="3"/>
  <c r="AX21" i="3"/>
  <c r="AW21" i="3"/>
  <c r="AV21" i="3"/>
  <c r="AT21" i="3"/>
  <c r="AR21" i="3"/>
  <c r="AP21" i="3"/>
  <c r="AN21" i="3"/>
  <c r="AL21" i="3"/>
  <c r="AJ21" i="3"/>
  <c r="AI21" i="3"/>
  <c r="AH21" i="3"/>
  <c r="AF21" i="3"/>
  <c r="AD21" i="3"/>
  <c r="AB21" i="3"/>
  <c r="Z21" i="3"/>
  <c r="X21" i="3"/>
  <c r="V21" i="3"/>
  <c r="T21" i="3"/>
  <c r="R21" i="3"/>
  <c r="P21" i="3"/>
  <c r="N21" i="3"/>
  <c r="M21" i="3"/>
  <c r="K21" i="3"/>
  <c r="K27" i="3" s="1"/>
  <c r="I21" i="3"/>
  <c r="G21" i="3"/>
  <c r="E21" i="3"/>
  <c r="BF20" i="3"/>
  <c r="BF19" i="3"/>
  <c r="BH19" i="3" s="1"/>
  <c r="BJ19" i="3" s="1"/>
  <c r="BL19" i="3" s="1"/>
  <c r="BN19" i="3" s="1"/>
  <c r="BP19" i="3" s="1"/>
  <c r="BR19" i="3" s="1"/>
  <c r="BF18" i="3"/>
  <c r="BH18" i="3" s="1"/>
  <c r="BJ18" i="3" s="1"/>
  <c r="BL18" i="3" s="1"/>
  <c r="BN18" i="3" s="1"/>
  <c r="BP18" i="3" s="1"/>
  <c r="BR18" i="3" s="1"/>
  <c r="BF17" i="3"/>
  <c r="BH17" i="3" s="1"/>
  <c r="BJ17" i="3" s="1"/>
  <c r="BL17" i="3" s="1"/>
  <c r="BN17" i="3" s="1"/>
  <c r="BP17" i="3" s="1"/>
  <c r="BR17" i="3" s="1"/>
  <c r="AZ19" i="3"/>
  <c r="AZ18" i="3"/>
  <c r="AZ20" i="3" s="1"/>
  <c r="BB20" i="3" s="1"/>
  <c r="AZ17" i="3"/>
  <c r="BB17" i="3" s="1"/>
  <c r="AF19" i="3"/>
  <c r="BJ10" i="3"/>
  <c r="BL10" i="3" s="1"/>
  <c r="BN10" i="3" s="1"/>
  <c r="BP10" i="3" s="1"/>
  <c r="BR10" i="3" s="1"/>
  <c r="BB14" i="3"/>
  <c r="BB76" i="3" s="1"/>
  <c r="AR14" i="3"/>
  <c r="AR76" i="3" s="1"/>
  <c r="V15" i="3"/>
  <c r="T15" i="3"/>
  <c r="T27" i="3" s="1"/>
  <c r="R15" i="3"/>
  <c r="R27" i="3" s="1"/>
  <c r="R14" i="3"/>
  <c r="R76" i="3" s="1"/>
  <c r="P14" i="3"/>
  <c r="P76" i="3" s="1"/>
  <c r="N15" i="3"/>
  <c r="N27" i="3" s="1"/>
  <c r="M15" i="3"/>
  <c r="M27" i="3" s="1"/>
  <c r="K15" i="3"/>
  <c r="I15" i="3"/>
  <c r="G15" i="3"/>
  <c r="G27" i="3" s="1"/>
  <c r="E15" i="3"/>
  <c r="E27" i="3" s="1"/>
  <c r="N14" i="3"/>
  <c r="BF13" i="3"/>
  <c r="BH13" i="3" s="1"/>
  <c r="BJ13" i="3" s="1"/>
  <c r="BL13" i="3" s="1"/>
  <c r="BN13" i="3" s="1"/>
  <c r="BP13" i="3" s="1"/>
  <c r="BR13" i="3" s="1"/>
  <c r="BB11" i="3"/>
  <c r="BB74" i="3" s="1"/>
  <c r="AR11" i="3"/>
  <c r="AR74" i="3" s="1"/>
  <c r="I6" i="3"/>
  <c r="K6" i="3" s="1"/>
  <c r="M6" i="3" s="1"/>
  <c r="G6" i="3"/>
  <c r="A1" i="3"/>
  <c r="W348" i="14"/>
  <c r="T347" i="14"/>
  <c r="S347" i="14"/>
  <c r="R347" i="14"/>
  <c r="Q347" i="14"/>
  <c r="AH338" i="14"/>
  <c r="AH335" i="14" s="1"/>
  <c r="AG338" i="14"/>
  <c r="AF338" i="14"/>
  <c r="AE338" i="14"/>
  <c r="AD338" i="14"/>
  <c r="AD335" i="14" s="1"/>
  <c r="AC338" i="14"/>
  <c r="AB338" i="14"/>
  <c r="AA338" i="14"/>
  <c r="Z338" i="14"/>
  <c r="Z335" i="14" s="1"/>
  <c r="Y338" i="14"/>
  <c r="X338" i="14"/>
  <c r="W338" i="14"/>
  <c r="V338" i="14"/>
  <c r="V335" i="14" s="1"/>
  <c r="U338" i="14"/>
  <c r="S338" i="14"/>
  <c r="R338" i="14"/>
  <c r="Q338" i="14"/>
  <c r="O338" i="14"/>
  <c r="AG335" i="14"/>
  <c r="AF335" i="14"/>
  <c r="AC335" i="14"/>
  <c r="AB335" i="14"/>
  <c r="Y335" i="14"/>
  <c r="X335" i="14"/>
  <c r="AH326" i="14"/>
  <c r="AG326" i="14"/>
  <c r="AF326" i="14"/>
  <c r="AE326" i="14"/>
  <c r="AD326" i="14"/>
  <c r="AC326" i="14"/>
  <c r="AB326" i="14"/>
  <c r="AA326" i="14"/>
  <c r="Z326" i="14"/>
  <c r="Y326" i="14"/>
  <c r="X326" i="14"/>
  <c r="W326" i="14"/>
  <c r="V326" i="14"/>
  <c r="U326" i="14"/>
  <c r="T326" i="14"/>
  <c r="S326" i="14"/>
  <c r="R326" i="14"/>
  <c r="Q326" i="14"/>
  <c r="P326" i="14"/>
  <c r="P325" i="14"/>
  <c r="O322" i="14"/>
  <c r="N322" i="14"/>
  <c r="M322" i="14"/>
  <c r="L322" i="14"/>
  <c r="K322" i="14"/>
  <c r="J322" i="14"/>
  <c r="I322" i="14"/>
  <c r="AH320" i="14"/>
  <c r="AG320" i="14"/>
  <c r="AF320" i="14"/>
  <c r="AE320" i="14"/>
  <c r="AD320" i="14"/>
  <c r="AC320" i="14"/>
  <c r="AB320" i="14"/>
  <c r="AA320" i="14"/>
  <c r="Z320" i="14"/>
  <c r="Y320" i="14"/>
  <c r="X320" i="14"/>
  <c r="W320" i="14"/>
  <c r="S319" i="14"/>
  <c r="R319" i="14"/>
  <c r="R118" i="8" s="1"/>
  <c r="R140" i="8" s="1"/>
  <c r="Q319" i="14"/>
  <c r="P319" i="14"/>
  <c r="O319" i="14"/>
  <c r="O332" i="14" s="1"/>
  <c r="L317" i="14"/>
  <c r="V306" i="14"/>
  <c r="U306" i="14"/>
  <c r="T306" i="14"/>
  <c r="S306" i="14"/>
  <c r="R306" i="14"/>
  <c r="Q306" i="14"/>
  <c r="O306" i="14"/>
  <c r="AU58" i="14" s="1"/>
  <c r="N306" i="14"/>
  <c r="M306" i="14"/>
  <c r="L306" i="14"/>
  <c r="V297" i="14"/>
  <c r="U297" i="14"/>
  <c r="T297" i="14"/>
  <c r="U298" i="14" s="1"/>
  <c r="S297" i="14"/>
  <c r="R297" i="14"/>
  <c r="Q297" i="14"/>
  <c r="O297" i="14"/>
  <c r="N297" i="14"/>
  <c r="M297" i="14"/>
  <c r="M298" i="14" s="1"/>
  <c r="L297" i="14"/>
  <c r="L298" i="14" s="1"/>
  <c r="K297" i="14"/>
  <c r="J297" i="14"/>
  <c r="U294" i="14"/>
  <c r="T294" i="14"/>
  <c r="S294" i="14"/>
  <c r="M294" i="14"/>
  <c r="L294" i="14"/>
  <c r="AH285" i="14"/>
  <c r="AG285" i="14"/>
  <c r="AF285" i="14"/>
  <c r="AE285" i="14"/>
  <c r="AD285" i="14"/>
  <c r="AC285" i="14"/>
  <c r="AB285" i="14"/>
  <c r="AA285" i="14"/>
  <c r="Z285" i="14"/>
  <c r="Y285" i="14"/>
  <c r="X285" i="14"/>
  <c r="W285" i="14"/>
  <c r="V285" i="14"/>
  <c r="U285" i="14"/>
  <c r="T285" i="14"/>
  <c r="S285" i="14"/>
  <c r="R285" i="14"/>
  <c r="Q285" i="14"/>
  <c r="P285" i="14"/>
  <c r="O285" i="14"/>
  <c r="N285" i="14"/>
  <c r="O281" i="14"/>
  <c r="N281" i="14"/>
  <c r="M281" i="14"/>
  <c r="L281" i="14"/>
  <c r="K281" i="14"/>
  <c r="J281" i="14"/>
  <c r="I281" i="14"/>
  <c r="AH279" i="14"/>
  <c r="AG279" i="14"/>
  <c r="AF279" i="14"/>
  <c r="AE279" i="14"/>
  <c r="AD279" i="14"/>
  <c r="AC279" i="14"/>
  <c r="AB279" i="14"/>
  <c r="AA279" i="14"/>
  <c r="Z279" i="14"/>
  <c r="Y279" i="14"/>
  <c r="L279" i="14"/>
  <c r="L307" i="14" s="1"/>
  <c r="T278" i="14"/>
  <c r="S278" i="14"/>
  <c r="R278" i="14"/>
  <c r="Q278" i="14"/>
  <c r="P278" i="14"/>
  <c r="O278" i="14"/>
  <c r="N278" i="14"/>
  <c r="M278" i="14"/>
  <c r="L278" i="14"/>
  <c r="K278" i="14"/>
  <c r="J278" i="14"/>
  <c r="J115" i="8" s="1"/>
  <c r="AO276" i="14"/>
  <c r="AO317" i="14" s="1"/>
  <c r="AK276" i="14"/>
  <c r="AK317" i="14" s="1"/>
  <c r="L276" i="14"/>
  <c r="B276" i="14"/>
  <c r="AB265" i="14"/>
  <c r="AA265" i="14"/>
  <c r="Z265" i="14"/>
  <c r="S265" i="14"/>
  <c r="O265" i="14"/>
  <c r="N265" i="14"/>
  <c r="M265" i="14"/>
  <c r="L265" i="14"/>
  <c r="K265" i="14"/>
  <c r="J265" i="14"/>
  <c r="I265" i="14"/>
  <c r="H265" i="14"/>
  <c r="G265" i="14"/>
  <c r="F265" i="14"/>
  <c r="AB256" i="14"/>
  <c r="AA256" i="14"/>
  <c r="AB257" i="14" s="1"/>
  <c r="Z256" i="14"/>
  <c r="X256" i="14"/>
  <c r="W256" i="14"/>
  <c r="V256" i="14"/>
  <c r="U256" i="14"/>
  <c r="U257" i="14" s="1"/>
  <c r="T256" i="14"/>
  <c r="S256" i="14"/>
  <c r="T257" i="14" s="1"/>
  <c r="R256" i="14"/>
  <c r="Q256" i="14"/>
  <c r="O256" i="14"/>
  <c r="N256" i="14"/>
  <c r="M256" i="14"/>
  <c r="L256" i="14"/>
  <c r="K256" i="14"/>
  <c r="K253" i="14" s="1"/>
  <c r="J256" i="14"/>
  <c r="I256" i="14"/>
  <c r="H256" i="14"/>
  <c r="G256" i="14"/>
  <c r="F256" i="14"/>
  <c r="E256" i="14"/>
  <c r="D256" i="14"/>
  <c r="E253" i="14" s="1"/>
  <c r="F254" i="14" s="1"/>
  <c r="W253" i="14"/>
  <c r="V253" i="14"/>
  <c r="V254" i="14" s="1"/>
  <c r="U253" i="14"/>
  <c r="S253" i="14"/>
  <c r="R253" i="14"/>
  <c r="N253" i="14"/>
  <c r="N254" i="14" s="1"/>
  <c r="M253" i="14"/>
  <c r="J253" i="14"/>
  <c r="I253" i="14"/>
  <c r="J254" i="14" s="1"/>
  <c r="G253" i="14"/>
  <c r="G254" i="14" s="1"/>
  <c r="F253" i="14"/>
  <c r="E245" i="14"/>
  <c r="E244" i="14"/>
  <c r="E243" i="14"/>
  <c r="D244" i="14"/>
  <c r="D243" i="14"/>
  <c r="D245" i="14" s="1"/>
  <c r="AH245" i="14"/>
  <c r="AG245" i="14"/>
  <c r="AF245" i="14"/>
  <c r="AE245" i="14"/>
  <c r="AD245" i="14"/>
  <c r="AC245" i="14"/>
  <c r="AA245" i="14"/>
  <c r="Z245" i="14"/>
  <c r="Y245" i="14"/>
  <c r="X245" i="14"/>
  <c r="W245" i="14"/>
  <c r="V245" i="14"/>
  <c r="U245" i="14"/>
  <c r="T245" i="14"/>
  <c r="S245" i="14"/>
  <c r="R245" i="14"/>
  <c r="Q245" i="14"/>
  <c r="P245" i="14"/>
  <c r="O245" i="14"/>
  <c r="N245" i="14"/>
  <c r="M245" i="14"/>
  <c r="J245" i="14"/>
  <c r="F245" i="14"/>
  <c r="J244" i="14"/>
  <c r="I244" i="14"/>
  <c r="H244" i="14"/>
  <c r="G244" i="14"/>
  <c r="G245" i="14" s="1"/>
  <c r="F244" i="14"/>
  <c r="R243" i="14"/>
  <c r="Q243" i="14"/>
  <c r="P243" i="14"/>
  <c r="O243" i="14"/>
  <c r="N243" i="14"/>
  <c r="M243" i="14"/>
  <c r="J243" i="14"/>
  <c r="I243" i="14"/>
  <c r="I245" i="14" s="1"/>
  <c r="H243" i="14"/>
  <c r="H245" i="14" s="1"/>
  <c r="G243" i="14"/>
  <c r="F243" i="14"/>
  <c r="R239" i="14"/>
  <c r="Q239" i="14"/>
  <c r="P239" i="14"/>
  <c r="O239" i="14"/>
  <c r="N239" i="14"/>
  <c r="M239" i="14"/>
  <c r="L239" i="14"/>
  <c r="K239" i="14"/>
  <c r="J239" i="14"/>
  <c r="I239" i="14"/>
  <c r="H239" i="14"/>
  <c r="G239" i="14"/>
  <c r="AB236" i="14"/>
  <c r="AB112" i="8" s="1"/>
  <c r="AB134" i="8" s="1"/>
  <c r="AA236" i="14"/>
  <c r="Z236" i="14"/>
  <c r="Z112" i="8" s="1"/>
  <c r="Z134" i="8" s="1"/>
  <c r="Y236" i="14"/>
  <c r="X236" i="14"/>
  <c r="X112" i="8" s="1"/>
  <c r="X134" i="8" s="1"/>
  <c r="T236" i="14"/>
  <c r="T112" i="8" s="1"/>
  <c r="T134" i="8" s="1"/>
  <c r="S236" i="14"/>
  <c r="R236" i="14"/>
  <c r="Q236" i="14"/>
  <c r="P236" i="14"/>
  <c r="O236" i="14"/>
  <c r="N236" i="14"/>
  <c r="M236" i="14"/>
  <c r="L236" i="14"/>
  <c r="L112" i="8" s="1"/>
  <c r="K236" i="14"/>
  <c r="J236" i="14"/>
  <c r="I236" i="14"/>
  <c r="H236" i="14"/>
  <c r="H112" i="8" s="1"/>
  <c r="H156" i="8" s="1"/>
  <c r="G236" i="14"/>
  <c r="L234" i="14"/>
  <c r="B234" i="14"/>
  <c r="AB223" i="14"/>
  <c r="AA223" i="14"/>
  <c r="Z223" i="14"/>
  <c r="Y223" i="14"/>
  <c r="O223" i="14"/>
  <c r="N223" i="14"/>
  <c r="M223" i="14"/>
  <c r="L223" i="14"/>
  <c r="K223" i="14"/>
  <c r="J223" i="14"/>
  <c r="I223" i="14"/>
  <c r="H223" i="14"/>
  <c r="AB214" i="14"/>
  <c r="AA214" i="14"/>
  <c r="Z214" i="14"/>
  <c r="X214" i="14"/>
  <c r="X211" i="14" s="1"/>
  <c r="W214" i="14"/>
  <c r="V214" i="14"/>
  <c r="U214" i="14"/>
  <c r="T214" i="14"/>
  <c r="S214" i="14"/>
  <c r="R214" i="14"/>
  <c r="S215" i="14" s="1"/>
  <c r="Q214" i="14"/>
  <c r="O214" i="14"/>
  <c r="N214" i="14"/>
  <c r="M214" i="14"/>
  <c r="L214" i="14"/>
  <c r="K214" i="14"/>
  <c r="J214" i="14"/>
  <c r="J215" i="14" s="1"/>
  <c r="I214" i="14"/>
  <c r="H214" i="14"/>
  <c r="H211" i="14" s="1"/>
  <c r="H212" i="14" s="1"/>
  <c r="G214" i="14"/>
  <c r="G215" i="14" s="1"/>
  <c r="F214" i="14"/>
  <c r="AB211" i="14"/>
  <c r="AB212" i="14" s="1"/>
  <c r="AA211" i="14"/>
  <c r="W211" i="14"/>
  <c r="V211" i="14"/>
  <c r="T211" i="14"/>
  <c r="R211" i="14"/>
  <c r="O211" i="14"/>
  <c r="L211" i="14"/>
  <c r="J211" i="14"/>
  <c r="G211" i="14"/>
  <c r="AH203" i="14"/>
  <c r="AG203" i="14"/>
  <c r="AF203" i="14"/>
  <c r="AE203" i="14"/>
  <c r="AD203" i="14"/>
  <c r="AC203" i="14"/>
  <c r="AA203" i="14"/>
  <c r="Z203" i="14"/>
  <c r="Y203" i="14"/>
  <c r="X203" i="14"/>
  <c r="W203" i="14"/>
  <c r="V203" i="14"/>
  <c r="U203" i="14"/>
  <c r="T203" i="14"/>
  <c r="S203" i="14"/>
  <c r="R203" i="14"/>
  <c r="Q203" i="14"/>
  <c r="P203" i="14"/>
  <c r="O203" i="14"/>
  <c r="N203" i="14"/>
  <c r="L203" i="14"/>
  <c r="AH201" i="14"/>
  <c r="AG201" i="14"/>
  <c r="AF201" i="14"/>
  <c r="AE201" i="14"/>
  <c r="AD201" i="14"/>
  <c r="AC201" i="14"/>
  <c r="AB201" i="14"/>
  <c r="AA201" i="14"/>
  <c r="Z201" i="14"/>
  <c r="Y201" i="14"/>
  <c r="X201" i="14"/>
  <c r="W201" i="14"/>
  <c r="V201" i="14"/>
  <c r="U201" i="14"/>
  <c r="T201" i="14"/>
  <c r="S201" i="14"/>
  <c r="R201" i="14"/>
  <c r="Q201" i="14"/>
  <c r="P201" i="14"/>
  <c r="O201" i="14"/>
  <c r="N201" i="14"/>
  <c r="L201" i="14"/>
  <c r="F200" i="14"/>
  <c r="R197" i="14"/>
  <c r="Q197" i="14"/>
  <c r="P197" i="14"/>
  <c r="O197" i="14"/>
  <c r="N197" i="14"/>
  <c r="M197" i="14"/>
  <c r="L197" i="14"/>
  <c r="K197" i="14"/>
  <c r="J197" i="14"/>
  <c r="I197" i="14"/>
  <c r="Y195" i="14"/>
  <c r="Y224" i="14" s="1"/>
  <c r="Q195" i="14"/>
  <c r="AB194" i="14"/>
  <c r="AA194" i="14"/>
  <c r="Z194" i="14"/>
  <c r="Z109" i="8" s="1"/>
  <c r="Y194" i="14"/>
  <c r="X194" i="14"/>
  <c r="T194" i="14"/>
  <c r="T109" i="8" s="1"/>
  <c r="S194" i="14"/>
  <c r="R194" i="14"/>
  <c r="AX25" i="14" s="1"/>
  <c r="Q194" i="14"/>
  <c r="P194" i="14"/>
  <c r="AV25" i="14" s="1"/>
  <c r="O194" i="14"/>
  <c r="O195" i="14" s="1"/>
  <c r="O224" i="14" s="1"/>
  <c r="AU51" i="14" s="1"/>
  <c r="N194" i="14"/>
  <c r="AT25" i="14" s="1"/>
  <c r="M194" i="14"/>
  <c r="L194" i="14"/>
  <c r="L109" i="8" s="1"/>
  <c r="K194" i="14"/>
  <c r="J194" i="14"/>
  <c r="I194" i="14"/>
  <c r="L192" i="14"/>
  <c r="B192" i="14"/>
  <c r="AB181" i="14"/>
  <c r="AA181" i="14"/>
  <c r="Z181" i="14"/>
  <c r="Y181" i="14"/>
  <c r="O181" i="14"/>
  <c r="N181" i="14"/>
  <c r="M181" i="14"/>
  <c r="L181" i="14"/>
  <c r="K181" i="14"/>
  <c r="J181" i="14"/>
  <c r="I181" i="14"/>
  <c r="H181" i="14"/>
  <c r="G181" i="14"/>
  <c r="F181" i="14"/>
  <c r="E181" i="14"/>
  <c r="D181" i="14"/>
  <c r="AB172" i="14"/>
  <c r="Z172" i="14"/>
  <c r="X172" i="14"/>
  <c r="W172" i="14"/>
  <c r="V172" i="14"/>
  <c r="AB171" i="14"/>
  <c r="Z171" i="14"/>
  <c r="X171" i="14"/>
  <c r="W171" i="14"/>
  <c r="V171" i="14"/>
  <c r="AB170" i="14"/>
  <c r="AA170" i="14"/>
  <c r="Z170" i="14"/>
  <c r="X170" i="14"/>
  <c r="W170" i="14"/>
  <c r="W169" i="14" s="1"/>
  <c r="V170" i="14"/>
  <c r="AB169" i="14"/>
  <c r="Z169" i="14"/>
  <c r="X169" i="14"/>
  <c r="V169" i="14"/>
  <c r="U171" i="14"/>
  <c r="T171" i="14"/>
  <c r="S171" i="14"/>
  <c r="R171" i="14"/>
  <c r="Q171" i="14"/>
  <c r="O171" i="14"/>
  <c r="N171" i="14"/>
  <c r="M171" i="14"/>
  <c r="L171" i="14"/>
  <c r="U170" i="14"/>
  <c r="T170" i="14"/>
  <c r="S170" i="14"/>
  <c r="S169" i="14" s="1"/>
  <c r="R170" i="14"/>
  <c r="R169" i="14" s="1"/>
  <c r="Q170" i="14"/>
  <c r="P170" i="14"/>
  <c r="O170" i="14"/>
  <c r="O169" i="14" s="1"/>
  <c r="N170" i="14"/>
  <c r="N169" i="14" s="1"/>
  <c r="M170" i="14"/>
  <c r="L170" i="14"/>
  <c r="U169" i="14"/>
  <c r="T169" i="14"/>
  <c r="Q169" i="14"/>
  <c r="M169" i="14"/>
  <c r="L169" i="14"/>
  <c r="M166" i="14" s="1"/>
  <c r="K170" i="14"/>
  <c r="J170" i="14"/>
  <c r="I170" i="14"/>
  <c r="I169" i="14" s="1"/>
  <c r="H170" i="14"/>
  <c r="H169" i="14" s="1"/>
  <c r="G170" i="14"/>
  <c r="F170" i="14"/>
  <c r="E170" i="14"/>
  <c r="E169" i="14" s="1"/>
  <c r="D170" i="14"/>
  <c r="D169" i="14" s="1"/>
  <c r="C170" i="14"/>
  <c r="B170" i="14"/>
  <c r="K169" i="14"/>
  <c r="J169" i="14"/>
  <c r="G169" i="14"/>
  <c r="F169" i="14"/>
  <c r="C169" i="14"/>
  <c r="D166" i="14" s="1"/>
  <c r="B169" i="14"/>
  <c r="C166" i="14" s="1"/>
  <c r="C178" i="14" s="1"/>
  <c r="V166" i="14"/>
  <c r="U166" i="14"/>
  <c r="E166" i="14"/>
  <c r="V155" i="14"/>
  <c r="V154" i="14"/>
  <c r="V152" i="14" s="1"/>
  <c r="V153" i="14"/>
  <c r="AH155" i="14"/>
  <c r="AG155" i="14"/>
  <c r="AF155" i="14"/>
  <c r="AE155" i="14"/>
  <c r="AD155" i="14"/>
  <c r="AC155" i="14"/>
  <c r="AA155" i="14"/>
  <c r="Z155" i="14"/>
  <c r="Y155" i="14"/>
  <c r="X155" i="14"/>
  <c r="W155" i="14"/>
  <c r="AH154" i="14"/>
  <c r="AG154" i="14"/>
  <c r="AF154" i="14"/>
  <c r="AE154" i="14"/>
  <c r="AD154" i="14"/>
  <c r="AA154" i="14"/>
  <c r="Z154" i="14"/>
  <c r="Y154" i="14"/>
  <c r="X154" i="14"/>
  <c r="W154" i="14"/>
  <c r="AH153" i="14"/>
  <c r="AG153" i="14"/>
  <c r="AF153" i="14"/>
  <c r="AE153" i="14"/>
  <c r="AD153" i="14"/>
  <c r="AD152" i="14" s="1"/>
  <c r="AC153" i="14"/>
  <c r="AA153" i="14"/>
  <c r="Z153" i="14"/>
  <c r="Y153" i="14"/>
  <c r="X153" i="14"/>
  <c r="W153" i="14"/>
  <c r="AH152" i="14"/>
  <c r="AG152" i="14"/>
  <c r="AF152" i="14"/>
  <c r="AE152" i="14"/>
  <c r="AA152" i="14"/>
  <c r="Z152" i="14"/>
  <c r="Y152" i="14"/>
  <c r="X152" i="14"/>
  <c r="W152" i="14"/>
  <c r="U154" i="14"/>
  <c r="T154" i="14"/>
  <c r="S154" i="14"/>
  <c r="R154" i="14"/>
  <c r="Q154" i="14"/>
  <c r="P154" i="14"/>
  <c r="P152" i="14" s="1"/>
  <c r="P17" i="14" s="1"/>
  <c r="O154" i="14"/>
  <c r="N154" i="14"/>
  <c r="L154" i="14"/>
  <c r="L158" i="14" s="1"/>
  <c r="U153" i="14"/>
  <c r="T153" i="14"/>
  <c r="S153" i="14"/>
  <c r="S152" i="14" s="1"/>
  <c r="R153" i="14"/>
  <c r="R152" i="14" s="1"/>
  <c r="Q153" i="14"/>
  <c r="P153" i="14"/>
  <c r="O153" i="14"/>
  <c r="N153" i="14"/>
  <c r="N152" i="14" s="1"/>
  <c r="U152" i="14"/>
  <c r="T152" i="14"/>
  <c r="Q152" i="14"/>
  <c r="K153" i="14"/>
  <c r="H153" i="14"/>
  <c r="H152" i="14" s="1"/>
  <c r="D153" i="14"/>
  <c r="D152" i="14" s="1"/>
  <c r="K152" i="14"/>
  <c r="I152" i="14"/>
  <c r="E152" i="14"/>
  <c r="J151" i="14"/>
  <c r="I151" i="14"/>
  <c r="H151" i="14"/>
  <c r="G151" i="14"/>
  <c r="F151" i="14"/>
  <c r="E151" i="14"/>
  <c r="D151" i="14"/>
  <c r="C151" i="14"/>
  <c r="J149" i="14"/>
  <c r="J153" i="14" s="1"/>
  <c r="J152" i="14" s="1"/>
  <c r="I149" i="14"/>
  <c r="I153" i="14" s="1"/>
  <c r="H149" i="14"/>
  <c r="G149" i="14"/>
  <c r="G153" i="14" s="1"/>
  <c r="G152" i="14" s="1"/>
  <c r="F149" i="14"/>
  <c r="F153" i="14" s="1"/>
  <c r="F152" i="14" s="1"/>
  <c r="E149" i="14"/>
  <c r="E153" i="14" s="1"/>
  <c r="D149" i="14"/>
  <c r="C149" i="14"/>
  <c r="C153" i="14" s="1"/>
  <c r="C152" i="14" s="1"/>
  <c r="J148" i="14"/>
  <c r="I148" i="14"/>
  <c r="H148" i="14"/>
  <c r="G148" i="14"/>
  <c r="F148" i="14"/>
  <c r="E148" i="14"/>
  <c r="D148" i="14"/>
  <c r="C148" i="14"/>
  <c r="W147" i="14"/>
  <c r="W159" i="14" s="1"/>
  <c r="X147" i="14" s="1"/>
  <c r="X159" i="14" s="1"/>
  <c r="Y147" i="14" s="1"/>
  <c r="Y159" i="14" s="1"/>
  <c r="Z147" i="14" s="1"/>
  <c r="Z159" i="14" s="1"/>
  <c r="AA147" i="14" s="1"/>
  <c r="AA159" i="14" s="1"/>
  <c r="AB147" i="14" s="1"/>
  <c r="M146" i="14"/>
  <c r="C145" i="14"/>
  <c r="C157" i="14" s="1"/>
  <c r="D145" i="14" s="1"/>
  <c r="D157" i="14" s="1"/>
  <c r="E145" i="14" s="1"/>
  <c r="E157" i="14" s="1"/>
  <c r="F145" i="14" s="1"/>
  <c r="F157" i="14" s="1"/>
  <c r="G145" i="14" s="1"/>
  <c r="G157" i="14" s="1"/>
  <c r="H145" i="14" s="1"/>
  <c r="H157" i="14" s="1"/>
  <c r="I145" i="14" s="1"/>
  <c r="I157" i="14" s="1"/>
  <c r="J145" i="14" s="1"/>
  <c r="J157" i="14" s="1"/>
  <c r="K145" i="14" s="1"/>
  <c r="K157" i="14" s="1"/>
  <c r="L145" i="14" s="1"/>
  <c r="C144" i="14"/>
  <c r="R141" i="14"/>
  <c r="Q141" i="14"/>
  <c r="P141" i="14"/>
  <c r="O141" i="14"/>
  <c r="N141" i="14"/>
  <c r="M141" i="14"/>
  <c r="L141" i="14"/>
  <c r="K141" i="14"/>
  <c r="J141" i="14"/>
  <c r="I141" i="14"/>
  <c r="H141" i="14"/>
  <c r="G141" i="14"/>
  <c r="F139" i="14"/>
  <c r="E139" i="14"/>
  <c r="E182" i="14" s="1"/>
  <c r="D139" i="14"/>
  <c r="C139" i="14"/>
  <c r="C182" i="14" s="1"/>
  <c r="AB138" i="14"/>
  <c r="AA138" i="14"/>
  <c r="AA8" i="14" s="1"/>
  <c r="Z138" i="14"/>
  <c r="Y138" i="14"/>
  <c r="X138" i="14"/>
  <c r="T138" i="14"/>
  <c r="S138" i="14"/>
  <c r="S8" i="14" s="1"/>
  <c r="R138" i="14"/>
  <c r="Q138" i="14"/>
  <c r="P138" i="14"/>
  <c r="O138" i="14"/>
  <c r="N138" i="14"/>
  <c r="M138" i="14"/>
  <c r="L138" i="14"/>
  <c r="K138" i="14"/>
  <c r="K8" i="14" s="1"/>
  <c r="J138" i="14"/>
  <c r="I138" i="14"/>
  <c r="H138" i="14"/>
  <c r="G138" i="14"/>
  <c r="G8" i="14" s="1"/>
  <c r="L136" i="14"/>
  <c r="B136" i="14"/>
  <c r="AB125" i="14"/>
  <c r="AA125" i="14"/>
  <c r="Z125" i="14"/>
  <c r="Y125" i="14"/>
  <c r="P125" i="14"/>
  <c r="O125" i="14"/>
  <c r="AU39" i="14" s="1"/>
  <c r="N125" i="14"/>
  <c r="M125" i="14"/>
  <c r="L125" i="14"/>
  <c r="K125" i="14"/>
  <c r="J125" i="14"/>
  <c r="I125" i="14"/>
  <c r="H125" i="14"/>
  <c r="G125" i="14"/>
  <c r="F125" i="14"/>
  <c r="E125" i="14"/>
  <c r="D125" i="14"/>
  <c r="C125" i="14"/>
  <c r="B125" i="14"/>
  <c r="F112" i="14"/>
  <c r="E112" i="14"/>
  <c r="D112" i="14"/>
  <c r="D110" i="14" s="1"/>
  <c r="C112" i="14"/>
  <c r="B112" i="14"/>
  <c r="AB113" i="14"/>
  <c r="AA113" i="14"/>
  <c r="Z113" i="14"/>
  <c r="X113" i="14"/>
  <c r="W113" i="14"/>
  <c r="V113" i="14"/>
  <c r="U113" i="14"/>
  <c r="V108" i="14" s="1"/>
  <c r="T113" i="14"/>
  <c r="U108" i="14" s="1"/>
  <c r="S113" i="14"/>
  <c r="R113" i="14"/>
  <c r="Q113" i="14"/>
  <c r="R108" i="14" s="1"/>
  <c r="P113" i="14"/>
  <c r="Q108" i="14" s="1"/>
  <c r="O113" i="14"/>
  <c r="N113" i="14"/>
  <c r="M113" i="14"/>
  <c r="N108" i="14" s="1"/>
  <c r="L113" i="14"/>
  <c r="M108" i="14" s="1"/>
  <c r="K113" i="14"/>
  <c r="J113" i="14"/>
  <c r="I113" i="14"/>
  <c r="J108" i="14" s="1"/>
  <c r="H113" i="14"/>
  <c r="G113" i="14"/>
  <c r="AB112" i="14"/>
  <c r="AA112" i="14"/>
  <c r="Z112" i="14"/>
  <c r="X112" i="14"/>
  <c r="W112" i="14"/>
  <c r="V112" i="14"/>
  <c r="U112" i="14"/>
  <c r="T112" i="14"/>
  <c r="S112" i="14"/>
  <c r="Q112" i="14"/>
  <c r="O112" i="14"/>
  <c r="N112" i="14"/>
  <c r="M112" i="14"/>
  <c r="L112" i="14"/>
  <c r="L107" i="14" s="1"/>
  <c r="K112" i="14"/>
  <c r="J112" i="14"/>
  <c r="I112" i="14"/>
  <c r="H112" i="14"/>
  <c r="H107" i="14" s="1"/>
  <c r="H122" i="14" s="1"/>
  <c r="G112" i="14"/>
  <c r="AA110" i="14"/>
  <c r="AA111" i="14" s="1"/>
  <c r="Z110" i="14"/>
  <c r="W110" i="14"/>
  <c r="V110" i="14"/>
  <c r="U110" i="14"/>
  <c r="S110" i="14"/>
  <c r="Q110" i="14"/>
  <c r="O110" i="14"/>
  <c r="N110" i="14"/>
  <c r="M110" i="14"/>
  <c r="K110" i="14"/>
  <c r="J110" i="14"/>
  <c r="I110" i="14"/>
  <c r="G110" i="14"/>
  <c r="F110" i="14"/>
  <c r="E110" i="14"/>
  <c r="C110" i="14"/>
  <c r="B110" i="14"/>
  <c r="C105" i="14" s="1"/>
  <c r="G107" i="14"/>
  <c r="G122" i="14" s="1"/>
  <c r="D107" i="14"/>
  <c r="C107" i="14"/>
  <c r="B107" i="14"/>
  <c r="AB108" i="14"/>
  <c r="AA108" i="14"/>
  <c r="X108" i="14"/>
  <c r="W108" i="14"/>
  <c r="T108" i="14"/>
  <c r="S108" i="14"/>
  <c r="P108" i="14"/>
  <c r="O108" i="14"/>
  <c r="L108" i="14"/>
  <c r="K108" i="14"/>
  <c r="H108" i="14"/>
  <c r="AA107" i="14"/>
  <c r="W107" i="14"/>
  <c r="V107" i="14"/>
  <c r="O107" i="14"/>
  <c r="N107" i="14"/>
  <c r="K107" i="14"/>
  <c r="J107" i="14"/>
  <c r="J122" i="14" s="1"/>
  <c r="F105" i="14"/>
  <c r="B105" i="14"/>
  <c r="G97" i="14"/>
  <c r="G94" i="14"/>
  <c r="J89" i="14"/>
  <c r="I89" i="14"/>
  <c r="H89" i="14"/>
  <c r="G89" i="14"/>
  <c r="J88" i="14"/>
  <c r="I88" i="14"/>
  <c r="H88" i="14"/>
  <c r="G88" i="14"/>
  <c r="J87" i="14"/>
  <c r="I87" i="14"/>
  <c r="H87" i="14"/>
  <c r="G87" i="14"/>
  <c r="F88" i="14"/>
  <c r="E88" i="14"/>
  <c r="D88" i="14"/>
  <c r="C88" i="14"/>
  <c r="F87" i="14"/>
  <c r="E87" i="14"/>
  <c r="D87" i="14"/>
  <c r="C87" i="14"/>
  <c r="R86" i="14"/>
  <c r="Q86" i="14"/>
  <c r="P86" i="14"/>
  <c r="O86" i="14"/>
  <c r="N86" i="14"/>
  <c r="J86" i="14"/>
  <c r="I86" i="14"/>
  <c r="H86" i="14"/>
  <c r="G86" i="14"/>
  <c r="Q85" i="14"/>
  <c r="P85" i="14"/>
  <c r="P84" i="14" s="1"/>
  <c r="O85" i="14"/>
  <c r="N85" i="14"/>
  <c r="M85" i="14"/>
  <c r="J85" i="14"/>
  <c r="I85" i="14"/>
  <c r="H85" i="14"/>
  <c r="G85" i="14"/>
  <c r="Q84" i="14"/>
  <c r="O84" i="14"/>
  <c r="N84" i="14"/>
  <c r="J84" i="14"/>
  <c r="J80" i="14" s="1"/>
  <c r="I84" i="14"/>
  <c r="I80" i="14" s="1"/>
  <c r="H84" i="14"/>
  <c r="H80" i="14" s="1"/>
  <c r="G84" i="14"/>
  <c r="F85" i="14"/>
  <c r="E85" i="14"/>
  <c r="E84" i="14" s="1"/>
  <c r="D85" i="14"/>
  <c r="C85" i="14"/>
  <c r="B85" i="14"/>
  <c r="B93" i="14" s="1"/>
  <c r="F84" i="14"/>
  <c r="F80" i="14" s="1"/>
  <c r="D84" i="14"/>
  <c r="D80" i="14" s="1"/>
  <c r="D17" i="14" s="1"/>
  <c r="C84" i="14"/>
  <c r="C80" i="14" s="1"/>
  <c r="B84" i="14"/>
  <c r="B80" i="14" s="1"/>
  <c r="AH82" i="14"/>
  <c r="AG82" i="14"/>
  <c r="AF82" i="14"/>
  <c r="AE82" i="14"/>
  <c r="AD82" i="14"/>
  <c r="AA82" i="14"/>
  <c r="Z82" i="14"/>
  <c r="Y82" i="14"/>
  <c r="X82" i="14"/>
  <c r="W82" i="14"/>
  <c r="V82" i="14"/>
  <c r="U82" i="14"/>
  <c r="T82" i="14"/>
  <c r="S82" i="14"/>
  <c r="R82" i="14"/>
  <c r="Q82" i="14"/>
  <c r="P82" i="14"/>
  <c r="O82" i="14"/>
  <c r="N82" i="14"/>
  <c r="G82" i="14"/>
  <c r="AH81" i="14"/>
  <c r="AG81" i="14"/>
  <c r="AF81" i="14"/>
  <c r="AE81" i="14"/>
  <c r="AD81" i="14"/>
  <c r="AA81" i="14"/>
  <c r="Z81" i="14"/>
  <c r="Y81" i="14"/>
  <c r="X81" i="14"/>
  <c r="X80" i="14" s="1"/>
  <c r="W81" i="14"/>
  <c r="V81" i="14"/>
  <c r="U81" i="14"/>
  <c r="T81" i="14"/>
  <c r="S81" i="14"/>
  <c r="Q81" i="14"/>
  <c r="P81" i="14"/>
  <c r="O81" i="14"/>
  <c r="O80" i="14" s="1"/>
  <c r="N81" i="14"/>
  <c r="M81" i="14"/>
  <c r="AH80" i="14"/>
  <c r="AG80" i="14"/>
  <c r="AF80" i="14"/>
  <c r="AE80" i="14"/>
  <c r="AD80" i="14"/>
  <c r="AA80" i="14"/>
  <c r="Z80" i="14"/>
  <c r="Y80" i="14"/>
  <c r="W80" i="14"/>
  <c r="V80" i="14"/>
  <c r="U80" i="14"/>
  <c r="T80" i="14"/>
  <c r="S80" i="14"/>
  <c r="Q80" i="14"/>
  <c r="P80" i="14"/>
  <c r="N80" i="14"/>
  <c r="G80" i="14"/>
  <c r="B81" i="14"/>
  <c r="E80" i="14"/>
  <c r="C77" i="14"/>
  <c r="C93" i="14" s="1"/>
  <c r="B70" i="14"/>
  <c r="B71" i="14" s="1"/>
  <c r="H72" i="14"/>
  <c r="O70" i="14"/>
  <c r="N70" i="14"/>
  <c r="O72" i="14" s="1"/>
  <c r="M70" i="14"/>
  <c r="L70" i="14"/>
  <c r="L72" i="14" s="1"/>
  <c r="K70" i="14"/>
  <c r="J70" i="14"/>
  <c r="I70" i="14"/>
  <c r="H70" i="14"/>
  <c r="G70" i="14"/>
  <c r="F70" i="14"/>
  <c r="E70" i="14"/>
  <c r="D70" i="14"/>
  <c r="D72" i="14" s="1"/>
  <c r="C70" i="14"/>
  <c r="C71" i="14" s="1"/>
  <c r="J68" i="14"/>
  <c r="G68" i="14"/>
  <c r="AB65" i="14"/>
  <c r="AA65" i="14"/>
  <c r="Z65" i="14"/>
  <c r="Z103" i="8" s="1"/>
  <c r="Y65" i="14"/>
  <c r="X65" i="14"/>
  <c r="W65" i="14"/>
  <c r="V65" i="14"/>
  <c r="W66" i="14" s="1"/>
  <c r="U65" i="14"/>
  <c r="T65" i="14"/>
  <c r="S65" i="14"/>
  <c r="R65" i="14"/>
  <c r="Q65" i="14"/>
  <c r="P65" i="14"/>
  <c r="O65" i="14"/>
  <c r="N65" i="14"/>
  <c r="M65" i="14"/>
  <c r="L65" i="14"/>
  <c r="K65" i="14"/>
  <c r="J65" i="14"/>
  <c r="K66" i="14" s="1"/>
  <c r="K126" i="14" s="1"/>
  <c r="I65" i="14"/>
  <c r="I68" i="14" s="1"/>
  <c r="H65" i="14"/>
  <c r="G65" i="14"/>
  <c r="G66" i="14" s="1"/>
  <c r="F65" i="14"/>
  <c r="E65" i="14"/>
  <c r="D65" i="14"/>
  <c r="D71" i="14" s="1"/>
  <c r="C65" i="14"/>
  <c r="B65" i="14"/>
  <c r="L63" i="14"/>
  <c r="B63" i="14"/>
  <c r="A61" i="14"/>
  <c r="A134" i="14" s="1"/>
  <c r="A190" i="14" s="1"/>
  <c r="A232" i="14" s="1"/>
  <c r="A274" i="14" s="1"/>
  <c r="A315" i="14" s="1"/>
  <c r="AY58" i="14"/>
  <c r="AX58" i="14"/>
  <c r="AW58" i="14"/>
  <c r="AT58" i="14"/>
  <c r="AY54" i="14"/>
  <c r="AU54" i="14"/>
  <c r="AT54" i="14"/>
  <c r="O48" i="14"/>
  <c r="N48" i="14"/>
  <c r="M48" i="14"/>
  <c r="L48" i="14"/>
  <c r="L49" i="14" s="1"/>
  <c r="K48" i="14"/>
  <c r="J48" i="14"/>
  <c r="I48" i="14"/>
  <c r="H48" i="14"/>
  <c r="H49" i="14" s="1"/>
  <c r="H317" i="14" s="1"/>
  <c r="G48" i="14"/>
  <c r="F48" i="14"/>
  <c r="E48" i="14"/>
  <c r="E49" i="14" s="1"/>
  <c r="E317" i="14" s="1"/>
  <c r="D48" i="14"/>
  <c r="D49" i="14" s="1"/>
  <c r="D317" i="14" s="1"/>
  <c r="C48" i="14"/>
  <c r="B48" i="14"/>
  <c r="AU47" i="14"/>
  <c r="AT47" i="14"/>
  <c r="AU43" i="14"/>
  <c r="AT43" i="14"/>
  <c r="AB41" i="14"/>
  <c r="AA41" i="14"/>
  <c r="Z41" i="14"/>
  <c r="Y41" i="14"/>
  <c r="X41" i="14"/>
  <c r="W41" i="14"/>
  <c r="V41" i="14"/>
  <c r="U41" i="14"/>
  <c r="T41" i="14"/>
  <c r="S41" i="14"/>
  <c r="R41" i="14"/>
  <c r="Q41" i="14"/>
  <c r="P41" i="14"/>
  <c r="O41" i="14"/>
  <c r="N41" i="14"/>
  <c r="M41" i="14"/>
  <c r="L41" i="14"/>
  <c r="K41" i="14"/>
  <c r="J41" i="14"/>
  <c r="I41" i="14"/>
  <c r="H41" i="14"/>
  <c r="G41" i="14"/>
  <c r="F41" i="14"/>
  <c r="E41" i="14"/>
  <c r="D41" i="14"/>
  <c r="C41" i="14"/>
  <c r="B41" i="14"/>
  <c r="AV39" i="14"/>
  <c r="AT39" i="14"/>
  <c r="V33" i="14"/>
  <c r="U33" i="14"/>
  <c r="S33" i="14"/>
  <c r="Q33" i="14"/>
  <c r="O33" i="14"/>
  <c r="N33" i="14"/>
  <c r="M33" i="14"/>
  <c r="K33" i="14"/>
  <c r="J33" i="14"/>
  <c r="I33" i="14"/>
  <c r="G33" i="14"/>
  <c r="F33" i="14"/>
  <c r="E33" i="14"/>
  <c r="D33" i="14"/>
  <c r="C33" i="14"/>
  <c r="B33" i="14"/>
  <c r="AB31" i="14"/>
  <c r="Y31" i="14"/>
  <c r="X31" i="14"/>
  <c r="X28" i="14" s="1"/>
  <c r="W31" i="14"/>
  <c r="U31" i="14"/>
  <c r="AY27" i="14"/>
  <c r="AW27" i="14"/>
  <c r="AU27" i="14"/>
  <c r="AY26" i="14"/>
  <c r="AW26" i="14"/>
  <c r="AU26" i="14"/>
  <c r="AY25" i="14"/>
  <c r="AW25" i="14"/>
  <c r="AU25" i="14"/>
  <c r="AY24" i="14"/>
  <c r="AX24" i="14"/>
  <c r="AW24" i="14"/>
  <c r="AV24" i="14"/>
  <c r="AU24" i="14"/>
  <c r="AT24" i="14"/>
  <c r="B23" i="14"/>
  <c r="AY22" i="14"/>
  <c r="AX22" i="14"/>
  <c r="AW22" i="14"/>
  <c r="AV22" i="14"/>
  <c r="AU22" i="14"/>
  <c r="AT22" i="14"/>
  <c r="B17" i="14"/>
  <c r="B19" i="14" s="1"/>
  <c r="B21" i="14" s="1"/>
  <c r="L20" i="14"/>
  <c r="S18" i="14"/>
  <c r="S17" i="14"/>
  <c r="Q17" i="14"/>
  <c r="N17" i="14"/>
  <c r="E17" i="14"/>
  <c r="C17" i="14"/>
  <c r="AY14" i="14"/>
  <c r="AX14" i="14"/>
  <c r="AW14" i="14"/>
  <c r="AV14" i="14"/>
  <c r="AU14" i="14"/>
  <c r="AT14" i="14"/>
  <c r="S15" i="14"/>
  <c r="Y12" i="14"/>
  <c r="X12" i="14"/>
  <c r="U12" i="14"/>
  <c r="S12" i="14"/>
  <c r="Q12" i="14"/>
  <c r="P12" i="14"/>
  <c r="O12" i="14"/>
  <c r="M12" i="14"/>
  <c r="I12" i="14"/>
  <c r="AW7" i="14"/>
  <c r="AV7" i="14"/>
  <c r="AB9" i="14"/>
  <c r="AB42" i="14" s="1"/>
  <c r="Y9" i="14"/>
  <c r="Y42" i="14" s="1"/>
  <c r="X9" i="14"/>
  <c r="X42" i="14" s="1"/>
  <c r="Q9" i="14"/>
  <c r="Q42" i="14" s="1"/>
  <c r="M9" i="14"/>
  <c r="M42" i="14" s="1"/>
  <c r="L9" i="14"/>
  <c r="L42" i="14" s="1"/>
  <c r="I9" i="14"/>
  <c r="H9" i="14"/>
  <c r="Z8" i="14"/>
  <c r="R8" i="14"/>
  <c r="J8" i="14"/>
  <c r="F8" i="14"/>
  <c r="E8" i="14"/>
  <c r="D8" i="14"/>
  <c r="C8" i="14"/>
  <c r="B8" i="14"/>
  <c r="AB7" i="14"/>
  <c r="AA7" i="14"/>
  <c r="Z7" i="14"/>
  <c r="Z9" i="14" s="1"/>
  <c r="Z42" i="14" s="1"/>
  <c r="Y7" i="14"/>
  <c r="X7" i="14"/>
  <c r="W7" i="14"/>
  <c r="W12" i="14" s="1"/>
  <c r="V7" i="14"/>
  <c r="V9" i="14" s="1"/>
  <c r="V42" i="14" s="1"/>
  <c r="U7" i="14"/>
  <c r="S7" i="14"/>
  <c r="R7" i="14"/>
  <c r="AX7" i="14" s="1"/>
  <c r="Q7" i="14"/>
  <c r="Q48" i="14" s="1"/>
  <c r="P7" i="14"/>
  <c r="O7" i="14"/>
  <c r="N7" i="14"/>
  <c r="AT7" i="14" s="1"/>
  <c r="M7" i="14"/>
  <c r="L7" i="14"/>
  <c r="K7" i="14"/>
  <c r="J7" i="14"/>
  <c r="J9" i="14" s="1"/>
  <c r="J42" i="14" s="1"/>
  <c r="I7" i="14"/>
  <c r="H7" i="14"/>
  <c r="G7" i="14"/>
  <c r="F7" i="14"/>
  <c r="F9" i="14" s="1"/>
  <c r="F42" i="14" s="1"/>
  <c r="E7" i="14"/>
  <c r="D7" i="14"/>
  <c r="C7" i="14"/>
  <c r="B7" i="14"/>
  <c r="N5" i="14"/>
  <c r="AT5" i="14" s="1"/>
  <c r="M5" i="14"/>
  <c r="C5" i="14"/>
  <c r="O145" i="8"/>
  <c r="N145" i="8"/>
  <c r="M145" i="8"/>
  <c r="L145" i="8"/>
  <c r="K145" i="8"/>
  <c r="J145" i="8"/>
  <c r="I145" i="8"/>
  <c r="H145" i="8"/>
  <c r="G145" i="8"/>
  <c r="P140" i="8"/>
  <c r="O140" i="8"/>
  <c r="N140" i="8"/>
  <c r="M140" i="8"/>
  <c r="L140" i="8"/>
  <c r="K140" i="8"/>
  <c r="J140" i="8"/>
  <c r="P137" i="8"/>
  <c r="O137" i="8"/>
  <c r="N137" i="8"/>
  <c r="M137" i="8"/>
  <c r="M143" i="8" s="1"/>
  <c r="M147" i="8" s="1"/>
  <c r="L137" i="8"/>
  <c r="K137" i="8"/>
  <c r="J137" i="8"/>
  <c r="P134" i="8"/>
  <c r="O134" i="8"/>
  <c r="N134" i="8"/>
  <c r="M134" i="8"/>
  <c r="L134" i="8"/>
  <c r="K134" i="8"/>
  <c r="J134" i="8"/>
  <c r="I134" i="8"/>
  <c r="H134" i="8"/>
  <c r="H157" i="8" s="1"/>
  <c r="G134" i="8"/>
  <c r="G157" i="8" s="1"/>
  <c r="P131" i="8"/>
  <c r="O131" i="8"/>
  <c r="N131" i="8"/>
  <c r="N157" i="8" s="1"/>
  <c r="M131" i="8"/>
  <c r="L131" i="8"/>
  <c r="K131" i="8"/>
  <c r="J131" i="8"/>
  <c r="J157" i="8" s="1"/>
  <c r="I131" i="8"/>
  <c r="I157" i="8" s="1"/>
  <c r="P128" i="8"/>
  <c r="O128" i="8"/>
  <c r="N128" i="8"/>
  <c r="M128" i="8"/>
  <c r="L128" i="8"/>
  <c r="K128" i="8"/>
  <c r="J128" i="8"/>
  <c r="I128" i="8"/>
  <c r="H128" i="8"/>
  <c r="G128" i="8"/>
  <c r="P125" i="8"/>
  <c r="P161" i="8" s="1"/>
  <c r="O125" i="8"/>
  <c r="N125" i="8"/>
  <c r="M125" i="8"/>
  <c r="L125" i="8"/>
  <c r="L161" i="8" s="1"/>
  <c r="K125" i="8"/>
  <c r="J125" i="8"/>
  <c r="I125" i="8"/>
  <c r="I143" i="8" s="1"/>
  <c r="H125" i="8"/>
  <c r="H161" i="8" s="1"/>
  <c r="G125" i="8"/>
  <c r="F125" i="8"/>
  <c r="E125" i="8"/>
  <c r="D125" i="8"/>
  <c r="C125" i="8"/>
  <c r="B125" i="8"/>
  <c r="S118" i="8"/>
  <c r="S140" i="8" s="1"/>
  <c r="Q118" i="8"/>
  <c r="Q140" i="8" s="1"/>
  <c r="O118" i="8"/>
  <c r="N118" i="8"/>
  <c r="M118" i="8"/>
  <c r="L118" i="8"/>
  <c r="K118" i="8"/>
  <c r="J118" i="8"/>
  <c r="I118" i="8"/>
  <c r="U115" i="8"/>
  <c r="U137" i="8" s="1"/>
  <c r="S115" i="8"/>
  <c r="S137" i="8" s="1"/>
  <c r="Q115" i="8"/>
  <c r="Q137" i="8" s="1"/>
  <c r="O115" i="8"/>
  <c r="O138" i="8" s="1"/>
  <c r="M115" i="8"/>
  <c r="M138" i="8" s="1"/>
  <c r="K115" i="8"/>
  <c r="I115" i="8"/>
  <c r="AA112" i="8"/>
  <c r="Y112" i="8"/>
  <c r="Y134" i="8" s="1"/>
  <c r="S112" i="8"/>
  <c r="Q112" i="8"/>
  <c r="Q134" i="8" s="1"/>
  <c r="O112" i="8"/>
  <c r="M112" i="8"/>
  <c r="K112" i="8"/>
  <c r="I112" i="8"/>
  <c r="G112" i="8"/>
  <c r="G156" i="8" s="1"/>
  <c r="AB109" i="8"/>
  <c r="AA109" i="8"/>
  <c r="Y109" i="8"/>
  <c r="X109" i="8"/>
  <c r="S109" i="8"/>
  <c r="R109" i="8"/>
  <c r="S110" i="8" s="1"/>
  <c r="Q109" i="8"/>
  <c r="O109" i="8"/>
  <c r="N109" i="8"/>
  <c r="M109" i="8"/>
  <c r="K109" i="8"/>
  <c r="J109" i="8"/>
  <c r="I109" i="8"/>
  <c r="I156" i="8" s="1"/>
  <c r="F107" i="8"/>
  <c r="AB106" i="8"/>
  <c r="AB128" i="8" s="1"/>
  <c r="AA106" i="8"/>
  <c r="AA128" i="8" s="1"/>
  <c r="Z106" i="8"/>
  <c r="Z128" i="8" s="1"/>
  <c r="X106" i="8"/>
  <c r="X128" i="8" s="1"/>
  <c r="T106" i="8"/>
  <c r="T128" i="8" s="1"/>
  <c r="S106" i="8"/>
  <c r="R106" i="8"/>
  <c r="R128" i="8" s="1"/>
  <c r="P106" i="8"/>
  <c r="N106" i="8"/>
  <c r="L106" i="8"/>
  <c r="K106" i="8"/>
  <c r="K107" i="8" s="1"/>
  <c r="J106" i="8"/>
  <c r="H106" i="8"/>
  <c r="G106" i="8"/>
  <c r="F106" i="8"/>
  <c r="E106" i="8"/>
  <c r="E107" i="8" s="1"/>
  <c r="D106" i="8"/>
  <c r="D107" i="8" s="1"/>
  <c r="C106" i="8"/>
  <c r="C107" i="8" s="1"/>
  <c r="B106" i="8"/>
  <c r="AA103" i="8"/>
  <c r="Y103" i="8"/>
  <c r="W103" i="8"/>
  <c r="V103" i="8"/>
  <c r="U103" i="8"/>
  <c r="S103" i="8"/>
  <c r="R103" i="8"/>
  <c r="Q103" i="8"/>
  <c r="O103" i="8"/>
  <c r="N103" i="8"/>
  <c r="M103" i="8"/>
  <c r="K103" i="8"/>
  <c r="J103" i="8"/>
  <c r="I103" i="8"/>
  <c r="G103" i="8"/>
  <c r="G104" i="8" s="1"/>
  <c r="F103" i="8"/>
  <c r="E103" i="8"/>
  <c r="E160" i="8" s="1"/>
  <c r="D103" i="8"/>
  <c r="D160" i="8" s="1"/>
  <c r="C103" i="8"/>
  <c r="B103" i="8"/>
  <c r="AB73" i="8"/>
  <c r="AA73" i="8"/>
  <c r="Z73" i="8"/>
  <c r="Y73" i="8"/>
  <c r="X73" i="8"/>
  <c r="W73" i="8"/>
  <c r="V73" i="8"/>
  <c r="U73" i="8"/>
  <c r="T73" i="8"/>
  <c r="S73" i="8"/>
  <c r="R73" i="8"/>
  <c r="Q73" i="8"/>
  <c r="P73" i="8"/>
  <c r="O73" i="8"/>
  <c r="N73" i="8"/>
  <c r="M73" i="8"/>
  <c r="L73" i="8"/>
  <c r="K73" i="8"/>
  <c r="J73" i="8"/>
  <c r="I73" i="8"/>
  <c r="AC70" i="8"/>
  <c r="AE70" i="8" s="1"/>
  <c r="AF70" i="8" s="1"/>
  <c r="AG70" i="8" s="1"/>
  <c r="AH70" i="8" s="1"/>
  <c r="AB70" i="8"/>
  <c r="AA70" i="8"/>
  <c r="Z70" i="8"/>
  <c r="Y70" i="8"/>
  <c r="X70" i="8"/>
  <c r="W70" i="8"/>
  <c r="V70" i="8"/>
  <c r="U70" i="8"/>
  <c r="T70" i="8"/>
  <c r="S70" i="8"/>
  <c r="R70" i="8"/>
  <c r="Q70" i="8"/>
  <c r="P70" i="8"/>
  <c r="O70" i="8"/>
  <c r="N70" i="8"/>
  <c r="M70" i="8"/>
  <c r="L70" i="8"/>
  <c r="K70" i="8"/>
  <c r="AD69" i="8"/>
  <c r="AE69" i="8" s="1"/>
  <c r="AF69" i="8" s="1"/>
  <c r="AG69" i="8" s="1"/>
  <c r="AD68" i="8"/>
  <c r="AC68" i="8"/>
  <c r="AB68" i="8"/>
  <c r="AB67" i="8"/>
  <c r="AB66" i="8"/>
  <c r="AA67" i="8"/>
  <c r="Z67" i="8"/>
  <c r="Y67" i="8"/>
  <c r="X67" i="8"/>
  <c r="W67" i="8"/>
  <c r="V67" i="8"/>
  <c r="U67" i="8"/>
  <c r="T67" i="8"/>
  <c r="S67" i="8"/>
  <c r="R67" i="8"/>
  <c r="Q67" i="8"/>
  <c r="P67" i="8"/>
  <c r="O67" i="8"/>
  <c r="N67" i="8"/>
  <c r="M67" i="8"/>
  <c r="L67" i="8"/>
  <c r="K67" i="8"/>
  <c r="AA66" i="8"/>
  <c r="Z66" i="8"/>
  <c r="Y66" i="8"/>
  <c r="X66" i="8"/>
  <c r="W66" i="8"/>
  <c r="V66" i="8"/>
  <c r="U66" i="8"/>
  <c r="T66" i="8"/>
  <c r="S66" i="8"/>
  <c r="R66" i="8"/>
  <c r="Q66" i="8"/>
  <c r="P66" i="8"/>
  <c r="O66" i="8"/>
  <c r="N66" i="8"/>
  <c r="M66" i="8"/>
  <c r="L66" i="8"/>
  <c r="K66" i="8"/>
  <c r="AB55" i="8"/>
  <c r="AA55" i="8"/>
  <c r="Z55" i="8"/>
  <c r="Y55" i="8"/>
  <c r="X55" i="8"/>
  <c r="W55" i="8"/>
  <c r="AJ55" i="8" s="1"/>
  <c r="V55" i="8"/>
  <c r="U55" i="8"/>
  <c r="T55" i="8"/>
  <c r="S55" i="8"/>
  <c r="R55" i="8"/>
  <c r="Q55" i="8"/>
  <c r="P55" i="8"/>
  <c r="O55" i="8"/>
  <c r="N55" i="8"/>
  <c r="M55" i="8"/>
  <c r="L55" i="8"/>
  <c r="K55" i="8"/>
  <c r="J55" i="8"/>
  <c r="I55" i="8"/>
  <c r="H55" i="8"/>
  <c r="G55" i="8"/>
  <c r="F55" i="8"/>
  <c r="E55" i="8"/>
  <c r="D55" i="8"/>
  <c r="C55" i="8"/>
  <c r="B55" i="8"/>
  <c r="S53" i="8"/>
  <c r="R53" i="8"/>
  <c r="R47" i="8"/>
  <c r="S44" i="8"/>
  <c r="S42" i="8"/>
  <c r="S40" i="8"/>
  <c r="AB40" i="8"/>
  <c r="AA40" i="8"/>
  <c r="Z40" i="8"/>
  <c r="Y40" i="8"/>
  <c r="X40" i="8"/>
  <c r="W40" i="8"/>
  <c r="V40" i="8"/>
  <c r="U40" i="8"/>
  <c r="T40" i="8"/>
  <c r="R40" i="8"/>
  <c r="Q40" i="8"/>
  <c r="P40" i="8"/>
  <c r="O40" i="8"/>
  <c r="N40" i="8"/>
  <c r="M40" i="8"/>
  <c r="L40" i="8"/>
  <c r="K40" i="8"/>
  <c r="J40" i="8"/>
  <c r="I40" i="8"/>
  <c r="H40" i="8"/>
  <c r="G40" i="8"/>
  <c r="F40" i="8"/>
  <c r="E40" i="8"/>
  <c r="D40" i="8"/>
  <c r="C40" i="8"/>
  <c r="B40" i="8"/>
  <c r="X35" i="8"/>
  <c r="P35" i="8"/>
  <c r="L35" i="8"/>
  <c r="H35" i="8"/>
  <c r="D35" i="8"/>
  <c r="AB34" i="8"/>
  <c r="AA34" i="8"/>
  <c r="AA35" i="8" s="1"/>
  <c r="Z34" i="8"/>
  <c r="Y34" i="8"/>
  <c r="X34" i="8"/>
  <c r="W34" i="8"/>
  <c r="W35" i="8" s="1"/>
  <c r="V34" i="8"/>
  <c r="U34" i="8"/>
  <c r="U35" i="8" s="1"/>
  <c r="T34" i="8"/>
  <c r="S34" i="8"/>
  <c r="S35" i="8" s="1"/>
  <c r="R34" i="8"/>
  <c r="Q34" i="8"/>
  <c r="Q35" i="8" s="1"/>
  <c r="P34" i="8"/>
  <c r="O34" i="8"/>
  <c r="O35" i="8" s="1"/>
  <c r="N34" i="8"/>
  <c r="M34" i="8"/>
  <c r="M35" i="8" s="1"/>
  <c r="L34" i="8"/>
  <c r="K34" i="8"/>
  <c r="K35" i="8" s="1"/>
  <c r="J34" i="8"/>
  <c r="I34" i="8"/>
  <c r="I35" i="8" s="1"/>
  <c r="H34" i="8"/>
  <c r="G34" i="8"/>
  <c r="G35" i="8" s="1"/>
  <c r="F34" i="8"/>
  <c r="E34" i="8"/>
  <c r="E35" i="8" s="1"/>
  <c r="D34" i="8"/>
  <c r="C34" i="8"/>
  <c r="C35" i="8" s="1"/>
  <c r="B34" i="8"/>
  <c r="V31" i="8"/>
  <c r="T31" i="8"/>
  <c r="S31" i="8"/>
  <c r="R31" i="8"/>
  <c r="S25" i="8"/>
  <c r="R25" i="8"/>
  <c r="AA23" i="8"/>
  <c r="W23" i="8"/>
  <c r="O23" i="8"/>
  <c r="K23" i="8"/>
  <c r="G23" i="8"/>
  <c r="C23" i="8"/>
  <c r="AA22" i="8"/>
  <c r="Z22" i="8"/>
  <c r="W22" i="8"/>
  <c r="AJ22" i="8" s="1"/>
  <c r="S22" i="8"/>
  <c r="R22" i="8"/>
  <c r="O22" i="8"/>
  <c r="N22" i="8"/>
  <c r="K22" i="8"/>
  <c r="J22" i="8"/>
  <c r="AB21" i="8"/>
  <c r="AC21" i="8" s="1"/>
  <c r="AD21" i="8" s="1"/>
  <c r="AE21" i="8" s="1"/>
  <c r="AF21" i="8" s="1"/>
  <c r="AG21" i="8" s="1"/>
  <c r="AH21" i="8" s="1"/>
  <c r="X21" i="8"/>
  <c r="Q21" i="8"/>
  <c r="P21" i="8"/>
  <c r="L21" i="8"/>
  <c r="I21" i="8"/>
  <c r="AB19" i="8"/>
  <c r="AB28" i="8" s="1"/>
  <c r="AA19" i="8"/>
  <c r="Z19" i="8"/>
  <c r="Y19" i="8"/>
  <c r="X19" i="8"/>
  <c r="X28" i="8" s="1"/>
  <c r="W19" i="8"/>
  <c r="AJ19" i="8" s="1"/>
  <c r="V19" i="8"/>
  <c r="U19" i="8"/>
  <c r="T19" i="8"/>
  <c r="S19" i="8"/>
  <c r="R19" i="8"/>
  <c r="Q19" i="8"/>
  <c r="P19" i="8"/>
  <c r="P28" i="8" s="1"/>
  <c r="O19" i="8"/>
  <c r="N19" i="8"/>
  <c r="M19" i="8"/>
  <c r="L19" i="8"/>
  <c r="L28" i="8" s="1"/>
  <c r="K19" i="8"/>
  <c r="J19" i="8"/>
  <c r="I19" i="8"/>
  <c r="H19" i="8"/>
  <c r="H23" i="8" s="1"/>
  <c r="G19" i="8"/>
  <c r="F19" i="8"/>
  <c r="E19" i="8"/>
  <c r="D19" i="8"/>
  <c r="D23" i="8" s="1"/>
  <c r="C19" i="8"/>
  <c r="B19" i="8"/>
  <c r="AB16" i="8"/>
  <c r="AA16" i="8"/>
  <c r="Z16" i="8"/>
  <c r="Y16" i="8"/>
  <c r="X16" i="8"/>
  <c r="W16" i="8"/>
  <c r="V16" i="8"/>
  <c r="U16" i="8"/>
  <c r="U17" i="8" s="1"/>
  <c r="T16" i="8"/>
  <c r="S16" i="8"/>
  <c r="R16" i="8"/>
  <c r="Q16" i="8"/>
  <c r="Q17" i="8" s="1"/>
  <c r="P16" i="8"/>
  <c r="O16" i="8"/>
  <c r="N16" i="8"/>
  <c r="P13" i="8"/>
  <c r="P14" i="8" s="1"/>
  <c r="O13" i="8"/>
  <c r="O14" i="8" s="1"/>
  <c r="L13" i="8"/>
  <c r="L14" i="8" s="1"/>
  <c r="K13" i="8"/>
  <c r="K14" i="8" s="1"/>
  <c r="H13" i="8"/>
  <c r="H14" i="8" s="1"/>
  <c r="G13" i="8"/>
  <c r="G14" i="8" s="1"/>
  <c r="D13" i="8"/>
  <c r="D14" i="8" s="1"/>
  <c r="U12" i="8"/>
  <c r="Q12" i="8"/>
  <c r="M12" i="8"/>
  <c r="I12" i="8"/>
  <c r="E12" i="8"/>
  <c r="AF12" i="8"/>
  <c r="AB10" i="8"/>
  <c r="AA10" i="8"/>
  <c r="Z10" i="8"/>
  <c r="Y10" i="8"/>
  <c r="X10" i="8"/>
  <c r="W10" i="8"/>
  <c r="AJ10" i="8" s="1"/>
  <c r="V10" i="8"/>
  <c r="U10" i="8"/>
  <c r="T10" i="8"/>
  <c r="S10" i="8"/>
  <c r="R10" i="8"/>
  <c r="Q10" i="8"/>
  <c r="Q13" i="8" s="1"/>
  <c r="P10" i="8"/>
  <c r="O10" i="8"/>
  <c r="N10" i="8"/>
  <c r="N13" i="8" s="1"/>
  <c r="M10" i="8"/>
  <c r="M13" i="8" s="1"/>
  <c r="L10" i="8"/>
  <c r="K10" i="8"/>
  <c r="J10" i="8"/>
  <c r="J13" i="8" s="1"/>
  <c r="I10" i="8"/>
  <c r="I13" i="8" s="1"/>
  <c r="H10" i="8"/>
  <c r="G10" i="8"/>
  <c r="F10" i="8"/>
  <c r="F13" i="8" s="1"/>
  <c r="E10" i="8"/>
  <c r="E13" i="8" s="1"/>
  <c r="D10" i="8"/>
  <c r="C10" i="8"/>
  <c r="C13" i="8" s="1"/>
  <c r="C14" i="8" s="1"/>
  <c r="B10" i="8"/>
  <c r="O8" i="8"/>
  <c r="M8" i="8"/>
  <c r="J8" i="8"/>
  <c r="E8" i="8"/>
  <c r="AB7" i="8"/>
  <c r="AB35" i="8" s="1"/>
  <c r="AA7" i="8"/>
  <c r="Z7" i="8"/>
  <c r="Z12" i="8" s="1"/>
  <c r="Y7" i="8"/>
  <c r="Y8" i="8" s="1"/>
  <c r="X7" i="8"/>
  <c r="W7" i="8"/>
  <c r="V7" i="8"/>
  <c r="V23" i="8" s="1"/>
  <c r="V22" i="8" s="1"/>
  <c r="U7" i="8"/>
  <c r="S7" i="8"/>
  <c r="S23" i="8" s="1"/>
  <c r="R7" i="8"/>
  <c r="R12" i="8" s="1"/>
  <c r="Q7" i="8"/>
  <c r="Q26" i="8" s="1"/>
  <c r="P7" i="8"/>
  <c r="O7" i="8"/>
  <c r="N7" i="8"/>
  <c r="N23" i="8" s="1"/>
  <c r="M7" i="8"/>
  <c r="L7" i="8"/>
  <c r="K7" i="8"/>
  <c r="J7" i="8"/>
  <c r="J12" i="8" s="1"/>
  <c r="I7" i="8"/>
  <c r="I8" i="8" s="1"/>
  <c r="H7" i="8"/>
  <c r="H122" i="8" s="1"/>
  <c r="G7" i="8"/>
  <c r="F7" i="8"/>
  <c r="F23" i="8" s="1"/>
  <c r="E7" i="8"/>
  <c r="D7" i="8"/>
  <c r="D122" i="8" s="1"/>
  <c r="C7" i="8"/>
  <c r="B7" i="8"/>
  <c r="B15" i="8" s="1"/>
  <c r="C5" i="8"/>
  <c r="D5" i="8" s="1"/>
  <c r="E5" i="8" s="1"/>
  <c r="F5" i="8" s="1"/>
  <c r="G5" i="8" s="1"/>
  <c r="H5" i="8" s="1"/>
  <c r="A1" i="8"/>
  <c r="DN292" i="36"/>
  <c r="DN291" i="36" s="1"/>
  <c r="DJ292" i="36"/>
  <c r="DF293" i="36"/>
  <c r="DF292" i="36"/>
  <c r="DB292" i="36"/>
  <c r="CX292" i="36"/>
  <c r="CT292" i="36"/>
  <c r="DO290" i="36"/>
  <c r="DO289" i="36"/>
  <c r="DO288" i="36"/>
  <c r="DH291" i="36"/>
  <c r="DH290" i="36"/>
  <c r="DH289" i="36"/>
  <c r="DH288" i="36"/>
  <c r="DD291" i="36"/>
  <c r="DD290" i="36"/>
  <c r="DD289" i="36"/>
  <c r="DD288" i="36"/>
  <c r="CZ291" i="36"/>
  <c r="CZ290" i="36"/>
  <c r="CZ289" i="36"/>
  <c r="CZ288" i="36"/>
  <c r="CR291" i="36"/>
  <c r="CR290" i="36"/>
  <c r="CR289" i="36"/>
  <c r="CR288" i="36"/>
  <c r="DL290" i="36"/>
  <c r="DL289" i="36"/>
  <c r="DL288" i="36"/>
  <c r="BW291" i="36"/>
  <c r="BV291" i="36"/>
  <c r="BV290" i="36"/>
  <c r="BW290" i="36" s="1"/>
  <c r="BW294" i="36" s="1"/>
  <c r="DR289" i="36"/>
  <c r="CQ289" i="36"/>
  <c r="A289" i="36"/>
  <c r="CV291" i="36"/>
  <c r="CU291" i="36"/>
  <c r="CV290" i="36"/>
  <c r="CU290" i="36"/>
  <c r="CV289" i="36"/>
  <c r="CU289" i="36"/>
  <c r="CV288" i="36"/>
  <c r="CU288" i="36"/>
  <c r="CP288" i="36"/>
  <c r="CP292" i="36" s="1"/>
  <c r="A285" i="36"/>
  <c r="A284" i="36"/>
  <c r="CP282" i="36"/>
  <c r="CP283" i="36" s="1"/>
  <c r="CH281" i="36"/>
  <c r="BF283" i="36"/>
  <c r="BB283" i="36"/>
  <c r="AX283" i="36"/>
  <c r="AT283" i="36"/>
  <c r="B283" i="36"/>
  <c r="B282" i="36"/>
  <c r="B281" i="36"/>
  <c r="B280" i="36"/>
  <c r="B279" i="36"/>
  <c r="BZ282" i="36"/>
  <c r="BV282" i="36"/>
  <c r="BR282" i="36"/>
  <c r="BN282" i="36"/>
  <c r="BJ282" i="36"/>
  <c r="A282" i="36"/>
  <c r="A281" i="36"/>
  <c r="A280" i="36"/>
  <c r="A279" i="36"/>
  <c r="CT269" i="36"/>
  <c r="CT280" i="36" s="1"/>
  <c r="CL274" i="36"/>
  <c r="CL273" i="36"/>
  <c r="CL271" i="36"/>
  <c r="CL272" i="36" s="1"/>
  <c r="CD274" i="36"/>
  <c r="CD273" i="36"/>
  <c r="CD272" i="36"/>
  <c r="BZ274" i="36"/>
  <c r="BZ273" i="36"/>
  <c r="BZ272" i="36"/>
  <c r="BV274" i="36"/>
  <c r="BV273" i="36"/>
  <c r="BV272" i="36"/>
  <c r="BR274" i="36"/>
  <c r="BR273" i="36"/>
  <c r="BR272" i="36"/>
  <c r="BN274" i="36"/>
  <c r="BN273" i="36"/>
  <c r="BN272" i="36"/>
  <c r="BJ274" i="36"/>
  <c r="BJ273" i="36"/>
  <c r="BJ272" i="36"/>
  <c r="BF274" i="36"/>
  <c r="BF273" i="36"/>
  <c r="BF272" i="36"/>
  <c r="BB274" i="36"/>
  <c r="BB273" i="36"/>
  <c r="AP272" i="36"/>
  <c r="AP271" i="36"/>
  <c r="AP270" i="36"/>
  <c r="AP274" i="36" s="1"/>
  <c r="AP269" i="36"/>
  <c r="AP268" i="36"/>
  <c r="AP273" i="36" s="1"/>
  <c r="AL272" i="36"/>
  <c r="AL271" i="36"/>
  <c r="AL270" i="36"/>
  <c r="AL269" i="36"/>
  <c r="AM269" i="36" s="1"/>
  <c r="AL268" i="36"/>
  <c r="AL274" i="36" s="1"/>
  <c r="AH272" i="36"/>
  <c r="AM272" i="36" s="1"/>
  <c r="AH271" i="36"/>
  <c r="AH270" i="36"/>
  <c r="AH269" i="36"/>
  <c r="AH268" i="36"/>
  <c r="AH274" i="36" s="1"/>
  <c r="AD272" i="36"/>
  <c r="AD271" i="36"/>
  <c r="AD270" i="36"/>
  <c r="AD269" i="36"/>
  <c r="AD268" i="36"/>
  <c r="AD273" i="36" s="1"/>
  <c r="Z272" i="36"/>
  <c r="Z271" i="36"/>
  <c r="Z270" i="36"/>
  <c r="Z274" i="36" s="1"/>
  <c r="Z269" i="36"/>
  <c r="Z268" i="36"/>
  <c r="Z273" i="36" s="1"/>
  <c r="V272" i="36"/>
  <c r="V271" i="36"/>
  <c r="V270" i="36"/>
  <c r="V269" i="36"/>
  <c r="V273" i="36" s="1"/>
  <c r="V268" i="36"/>
  <c r="V274" i="36" s="1"/>
  <c r="R272" i="36"/>
  <c r="R271" i="36"/>
  <c r="R270" i="36"/>
  <c r="R269" i="36"/>
  <c r="R268" i="36"/>
  <c r="R274" i="36" s="1"/>
  <c r="N272" i="36"/>
  <c r="N271" i="36"/>
  <c r="N270" i="36"/>
  <c r="N269" i="36"/>
  <c r="N268" i="36"/>
  <c r="N273" i="36" s="1"/>
  <c r="J272" i="36"/>
  <c r="J271" i="36"/>
  <c r="J270" i="36"/>
  <c r="J274" i="36" s="1"/>
  <c r="J269" i="36"/>
  <c r="J268" i="36"/>
  <c r="J273" i="36" s="1"/>
  <c r="F272" i="36"/>
  <c r="F271" i="36"/>
  <c r="F270" i="36"/>
  <c r="F269" i="36"/>
  <c r="F273" i="36" s="1"/>
  <c r="F268" i="36"/>
  <c r="F274" i="36" s="1"/>
  <c r="A274" i="36"/>
  <c r="A273" i="36"/>
  <c r="AY272" i="36"/>
  <c r="AY268" i="36"/>
  <c r="AU272" i="36"/>
  <c r="AU269" i="36"/>
  <c r="AQ272" i="36"/>
  <c r="AQ271" i="36"/>
  <c r="AQ270" i="36"/>
  <c r="AQ268" i="36"/>
  <c r="AM271" i="36"/>
  <c r="AM270" i="36"/>
  <c r="B272" i="36"/>
  <c r="B271" i="36"/>
  <c r="B270" i="36"/>
  <c r="B269" i="36"/>
  <c r="B268" i="36"/>
  <c r="CU268" i="36"/>
  <c r="CQ271" i="36"/>
  <c r="CQ270" i="36"/>
  <c r="CQ268" i="36"/>
  <c r="CM270" i="36"/>
  <c r="CM269" i="36"/>
  <c r="CH271" i="36"/>
  <c r="CM271" i="36" s="1"/>
  <c r="CE271" i="36"/>
  <c r="CE270" i="36"/>
  <c r="CE269" i="36"/>
  <c r="CE268" i="36"/>
  <c r="CA271" i="36"/>
  <c r="CA270" i="36"/>
  <c r="CA269" i="36"/>
  <c r="CA268" i="36"/>
  <c r="BW271" i="36"/>
  <c r="BW270" i="36"/>
  <c r="BW269" i="36"/>
  <c r="BW268" i="36"/>
  <c r="BS271" i="36"/>
  <c r="BS270" i="36"/>
  <c r="BS269" i="36"/>
  <c r="BS268" i="36"/>
  <c r="BO271" i="36"/>
  <c r="BO270" i="36"/>
  <c r="BO269" i="36"/>
  <c r="BO268" i="36"/>
  <c r="BK271" i="36"/>
  <c r="BK270" i="36"/>
  <c r="BK269" i="36"/>
  <c r="BK268" i="36"/>
  <c r="BG271" i="36"/>
  <c r="BG270" i="36"/>
  <c r="BG269" i="36"/>
  <c r="BG268" i="36"/>
  <c r="AX271" i="36"/>
  <c r="BC271" i="36" s="1"/>
  <c r="AX270" i="36"/>
  <c r="AY270" i="36" s="1"/>
  <c r="AX269" i="36"/>
  <c r="AY269" i="36" s="1"/>
  <c r="AX268" i="36"/>
  <c r="BC268" i="36" s="1"/>
  <c r="AT271" i="36"/>
  <c r="AU271" i="36" s="1"/>
  <c r="AT270" i="36"/>
  <c r="AU270" i="36" s="1"/>
  <c r="AT269" i="36"/>
  <c r="AT268" i="36"/>
  <c r="AT274" i="36" s="1"/>
  <c r="A271" i="36"/>
  <c r="A270" i="36"/>
  <c r="A269" i="36"/>
  <c r="A268" i="36"/>
  <c r="CI270" i="36"/>
  <c r="CI269" i="36"/>
  <c r="CP268" i="36"/>
  <c r="CH268" i="36"/>
  <c r="CH274" i="36" s="1"/>
  <c r="F266" i="36"/>
  <c r="BG262" i="36"/>
  <c r="BG261" i="36"/>
  <c r="BH260" i="36"/>
  <c r="BH259" i="36"/>
  <c r="BH258" i="36"/>
  <c r="BH257" i="36"/>
  <c r="BH256" i="36"/>
  <c r="BG259" i="36"/>
  <c r="BG258" i="36"/>
  <c r="BG257" i="36"/>
  <c r="BG256" i="36"/>
  <c r="A254" i="36"/>
  <c r="A253" i="36"/>
  <c r="BG253" i="36"/>
  <c r="BG252" i="36"/>
  <c r="B252" i="36"/>
  <c r="B251" i="36"/>
  <c r="B250" i="36"/>
  <c r="B249" i="36"/>
  <c r="B248" i="36"/>
  <c r="DJ249" i="36"/>
  <c r="DJ258" i="36" s="1"/>
  <c r="DJ248" i="36"/>
  <c r="DJ257" i="36" s="1"/>
  <c r="DJ247" i="36"/>
  <c r="DF250" i="36"/>
  <c r="DF249" i="36"/>
  <c r="DF248" i="36"/>
  <c r="DF247" i="36"/>
  <c r="DF251" i="36" s="1"/>
  <c r="DB250" i="36"/>
  <c r="DB249" i="36"/>
  <c r="DB248" i="36"/>
  <c r="DB247" i="36"/>
  <c r="DB251" i="36" s="1"/>
  <c r="CX250" i="36"/>
  <c r="CX249" i="36"/>
  <c r="CX248" i="36"/>
  <c r="CX247" i="36"/>
  <c r="CX251" i="36" s="1"/>
  <c r="CT250" i="36"/>
  <c r="CT249" i="36"/>
  <c r="CT248" i="36"/>
  <c r="CT247" i="36"/>
  <c r="CT251" i="36" s="1"/>
  <c r="CP250" i="36"/>
  <c r="CP249" i="36"/>
  <c r="CP248" i="36"/>
  <c r="CP247" i="36"/>
  <c r="CP251" i="36" s="1"/>
  <c r="CL250" i="36"/>
  <c r="CL249" i="36"/>
  <c r="CL248" i="36"/>
  <c r="CL247" i="36"/>
  <c r="CL251" i="36" s="1"/>
  <c r="CH250" i="36"/>
  <c r="CH249" i="36"/>
  <c r="CH248" i="36"/>
  <c r="CH247" i="36"/>
  <c r="CH251" i="36" s="1"/>
  <c r="CD250" i="36"/>
  <c r="CD249" i="36"/>
  <c r="CD248" i="36"/>
  <c r="CD247" i="36"/>
  <c r="CD251" i="36" s="1"/>
  <c r="BZ250" i="36"/>
  <c r="BZ249" i="36"/>
  <c r="BZ248" i="36"/>
  <c r="BZ247" i="36"/>
  <c r="BZ251" i="36" s="1"/>
  <c r="BV250" i="36"/>
  <c r="BV249" i="36"/>
  <c r="BV248" i="36"/>
  <c r="BV247" i="36"/>
  <c r="BV251" i="36" s="1"/>
  <c r="BR250" i="36"/>
  <c r="BR249" i="36"/>
  <c r="BR248" i="36"/>
  <c r="BR247" i="36"/>
  <c r="BR251" i="36" s="1"/>
  <c r="BN250" i="36"/>
  <c r="BN249" i="36"/>
  <c r="BN248" i="36"/>
  <c r="BN247" i="36"/>
  <c r="BN251" i="36" s="1"/>
  <c r="BJ250" i="36"/>
  <c r="BH251" i="36"/>
  <c r="BH250" i="36"/>
  <c r="BH249" i="36"/>
  <c r="BH248" i="36"/>
  <c r="BH247" i="36"/>
  <c r="N251" i="36"/>
  <c r="A251" i="36"/>
  <c r="A250" i="36"/>
  <c r="A249" i="36"/>
  <c r="A248" i="36"/>
  <c r="BG250" i="36"/>
  <c r="BG249" i="36"/>
  <c r="BG248" i="36"/>
  <c r="BG247" i="36"/>
  <c r="BF243" i="36"/>
  <c r="BV242" i="36"/>
  <c r="BZ239" i="36"/>
  <c r="BV239" i="36"/>
  <c r="J233" i="36"/>
  <c r="J232" i="36"/>
  <c r="J231" i="36"/>
  <c r="J230" i="36"/>
  <c r="J236" i="36" s="1"/>
  <c r="F233" i="36"/>
  <c r="F232" i="36"/>
  <c r="F236" i="36" s="1"/>
  <c r="F231" i="36"/>
  <c r="F230" i="36"/>
  <c r="F235" i="36" s="1"/>
  <c r="A236" i="36"/>
  <c r="A235" i="36"/>
  <c r="DJ235" i="36"/>
  <c r="DF236" i="36"/>
  <c r="DF235" i="36"/>
  <c r="DF234" i="36"/>
  <c r="DB236" i="36"/>
  <c r="DB235" i="36"/>
  <c r="DB234" i="36"/>
  <c r="CX236" i="36"/>
  <c r="CX235" i="36"/>
  <c r="CT236" i="36"/>
  <c r="CT235" i="36"/>
  <c r="CP236" i="36"/>
  <c r="CU236" i="36" s="1"/>
  <c r="CP235" i="36"/>
  <c r="BK236" i="36"/>
  <c r="BJ236" i="36"/>
  <c r="BJ235" i="36"/>
  <c r="BK235" i="36" s="1"/>
  <c r="BK234" i="36"/>
  <c r="BJ234" i="36"/>
  <c r="BF236" i="36"/>
  <c r="BG236" i="36" s="1"/>
  <c r="BG235" i="36"/>
  <c r="BF235" i="36"/>
  <c r="BF234" i="36"/>
  <c r="BG234" i="36" s="1"/>
  <c r="BC236" i="36"/>
  <c r="BB236" i="36"/>
  <c r="BB235" i="36"/>
  <c r="BC235" i="36" s="1"/>
  <c r="BC234" i="36"/>
  <c r="BB234" i="36"/>
  <c r="AX236" i="36"/>
  <c r="AY236" i="36" s="1"/>
  <c r="AY235" i="36"/>
  <c r="AX235" i="36"/>
  <c r="AX234" i="36"/>
  <c r="AY234" i="36" s="1"/>
  <c r="AU236" i="36"/>
  <c r="AT236" i="36"/>
  <c r="AT235" i="36"/>
  <c r="AU235" i="36" s="1"/>
  <c r="AU234" i="36"/>
  <c r="AT234" i="36"/>
  <c r="AP236" i="36"/>
  <c r="AQ236" i="36" s="1"/>
  <c r="AQ235" i="36"/>
  <c r="AP235" i="36"/>
  <c r="AP234" i="36"/>
  <c r="AQ234" i="36" s="1"/>
  <c r="AM236" i="36"/>
  <c r="AL236" i="36"/>
  <c r="AL235" i="36"/>
  <c r="AM235" i="36" s="1"/>
  <c r="AM234" i="36"/>
  <c r="AL234" i="36"/>
  <c r="AH236" i="36"/>
  <c r="AH235" i="36"/>
  <c r="AH234" i="36"/>
  <c r="B234" i="36"/>
  <c r="B233" i="36"/>
  <c r="B232" i="36"/>
  <c r="B231" i="36"/>
  <c r="B230" i="36"/>
  <c r="DJ232" i="36"/>
  <c r="DJ233" i="36" s="1"/>
  <c r="DJ231" i="36"/>
  <c r="CX233" i="36"/>
  <c r="CX234" i="36" s="1"/>
  <c r="DC234" i="36" s="1"/>
  <c r="CT233" i="36"/>
  <c r="CT234" i="36" s="1"/>
  <c r="CP233" i="36"/>
  <c r="CP234" i="36" s="1"/>
  <c r="CU234" i="36" s="1"/>
  <c r="CP232" i="36"/>
  <c r="CL232" i="36"/>
  <c r="CL233" i="36" s="1"/>
  <c r="CL231" i="36"/>
  <c r="CL235" i="36" s="1"/>
  <c r="CQ235" i="36" s="1"/>
  <c r="CL230" i="36"/>
  <c r="CH233" i="36"/>
  <c r="CH232" i="36"/>
  <c r="CH231" i="36"/>
  <c r="CH234" i="36" s="1"/>
  <c r="CH230" i="36"/>
  <c r="CD233" i="36"/>
  <c r="CD232" i="36"/>
  <c r="CD231" i="36"/>
  <c r="CD235" i="36" s="1"/>
  <c r="CD230" i="36"/>
  <c r="BZ231" i="36"/>
  <c r="BZ230" i="36"/>
  <c r="BV232" i="36"/>
  <c r="BV233" i="36" s="1"/>
  <c r="DS230" i="36" s="1"/>
  <c r="BV231" i="36"/>
  <c r="BV230" i="36"/>
  <c r="BR233" i="36"/>
  <c r="BR232" i="36"/>
  <c r="BR231" i="36"/>
  <c r="BR234" i="36" s="1"/>
  <c r="BR230" i="36"/>
  <c r="BN233" i="36"/>
  <c r="BN232" i="36"/>
  <c r="BN231" i="36"/>
  <c r="BN235" i="36" s="1"/>
  <c r="BN230" i="36"/>
  <c r="AQ233" i="36"/>
  <c r="AQ232" i="36"/>
  <c r="AQ231" i="36"/>
  <c r="AQ230" i="36"/>
  <c r="Z233" i="36"/>
  <c r="Z232" i="36"/>
  <c r="Z231" i="36"/>
  <c r="Z236" i="36" s="1"/>
  <c r="Z230" i="36"/>
  <c r="Z235" i="36" s="1"/>
  <c r="AE235" i="36" s="1"/>
  <c r="R233" i="36"/>
  <c r="R232" i="36"/>
  <c r="R231" i="36"/>
  <c r="R236" i="36" s="1"/>
  <c r="R230" i="36"/>
  <c r="R235" i="36" s="1"/>
  <c r="N233" i="36"/>
  <c r="N232" i="36"/>
  <c r="N231" i="36"/>
  <c r="N235" i="36" s="1"/>
  <c r="N230" i="36"/>
  <c r="N236" i="36" s="1"/>
  <c r="A233" i="36"/>
  <c r="A232" i="36"/>
  <c r="A231" i="36"/>
  <c r="A230" i="36"/>
  <c r="AD232" i="36"/>
  <c r="AD231" i="36"/>
  <c r="AD230" i="36"/>
  <c r="AD235" i="36" s="1"/>
  <c r="AI235" i="36" s="1"/>
  <c r="V232" i="36"/>
  <c r="V231" i="36"/>
  <c r="V230" i="36"/>
  <c r="V235" i="36" s="1"/>
  <c r="AA235" i="36" s="1"/>
  <c r="CF228" i="36"/>
  <c r="F228" i="36"/>
  <c r="DJ224" i="36"/>
  <c r="DJ223" i="36"/>
  <c r="DF224" i="36"/>
  <c r="DF223" i="36"/>
  <c r="DB224" i="36"/>
  <c r="DB223" i="36"/>
  <c r="DB222" i="36"/>
  <c r="CX224" i="36"/>
  <c r="CX223" i="36"/>
  <c r="CX222" i="36"/>
  <c r="CT224" i="36"/>
  <c r="CT223" i="36"/>
  <c r="CP224" i="36"/>
  <c r="CP223" i="36"/>
  <c r="CL224" i="36"/>
  <c r="CL223" i="36"/>
  <c r="CH224" i="36"/>
  <c r="CH223" i="36"/>
  <c r="CD224" i="36"/>
  <c r="CD223" i="36"/>
  <c r="BZ224" i="36"/>
  <c r="BZ223" i="36"/>
  <c r="BV224" i="36"/>
  <c r="BV223" i="36"/>
  <c r="BR224" i="36"/>
  <c r="BR223" i="36"/>
  <c r="BN224" i="36"/>
  <c r="BN223" i="36"/>
  <c r="BJ223" i="36"/>
  <c r="BB222" i="36"/>
  <c r="BB221" i="36"/>
  <c r="BB220" i="36"/>
  <c r="BC220" i="36" s="1"/>
  <c r="BB219" i="36"/>
  <c r="BB218" i="36"/>
  <c r="AP222" i="36"/>
  <c r="AQ222" i="36" s="1"/>
  <c r="AP221" i="36"/>
  <c r="AP220" i="36"/>
  <c r="AP219" i="36"/>
  <c r="AP218" i="36"/>
  <c r="AL222" i="36"/>
  <c r="AM222" i="36" s="1"/>
  <c r="AL221" i="36"/>
  <c r="AQ221" i="36" s="1"/>
  <c r="AL220" i="36"/>
  <c r="AL219" i="36"/>
  <c r="AM219" i="36" s="1"/>
  <c r="AL218" i="36"/>
  <c r="AH224" i="36"/>
  <c r="AH222" i="36"/>
  <c r="AH221" i="36"/>
  <c r="AH220" i="36"/>
  <c r="AH219" i="36"/>
  <c r="AH218" i="36"/>
  <c r="AH223" i="36" s="1"/>
  <c r="AD222" i="36"/>
  <c r="AD221" i="36"/>
  <c r="AD220" i="36"/>
  <c r="AD224" i="36" s="1"/>
  <c r="AD219" i="36"/>
  <c r="AD223" i="36" s="1"/>
  <c r="AD218" i="36"/>
  <c r="Z222" i="36"/>
  <c r="Z221" i="36"/>
  <c r="Z220" i="36"/>
  <c r="Z219" i="36"/>
  <c r="Z218" i="36"/>
  <c r="Z224" i="36" s="1"/>
  <c r="V222" i="36"/>
  <c r="V221" i="36"/>
  <c r="V220" i="36"/>
  <c r="V219" i="36"/>
  <c r="V218" i="36"/>
  <c r="R224" i="36"/>
  <c r="R222" i="36"/>
  <c r="R221" i="36"/>
  <c r="R220" i="36"/>
  <c r="R219" i="36"/>
  <c r="R218" i="36"/>
  <c r="R223" i="36" s="1"/>
  <c r="N222" i="36"/>
  <c r="N221" i="36"/>
  <c r="N220" i="36"/>
  <c r="N224" i="36" s="1"/>
  <c r="N219" i="36"/>
  <c r="N223" i="36" s="1"/>
  <c r="N218" i="36"/>
  <c r="J222" i="36"/>
  <c r="J221" i="36"/>
  <c r="J220" i="36"/>
  <c r="J219" i="36"/>
  <c r="J218" i="36"/>
  <c r="J224" i="36" s="1"/>
  <c r="F222" i="36"/>
  <c r="F221" i="36"/>
  <c r="F220" i="36"/>
  <c r="F219" i="36"/>
  <c r="F218" i="36"/>
  <c r="A224" i="36"/>
  <c r="A223" i="36"/>
  <c r="AY222" i="36"/>
  <c r="AY218" i="36"/>
  <c r="AU220" i="36"/>
  <c r="AU219" i="36"/>
  <c r="AU218" i="36"/>
  <c r="AQ220" i="36"/>
  <c r="AQ219" i="36"/>
  <c r="AM220" i="36"/>
  <c r="B222" i="36"/>
  <c r="B221" i="36"/>
  <c r="B220" i="36"/>
  <c r="B219" i="36"/>
  <c r="B218" i="36"/>
  <c r="BK218" i="36"/>
  <c r="AX221" i="36"/>
  <c r="BC221" i="36" s="1"/>
  <c r="AX220" i="36"/>
  <c r="AY220" i="36" s="1"/>
  <c r="AX219" i="36"/>
  <c r="AY219" i="36" s="1"/>
  <c r="AX218" i="36"/>
  <c r="AT221" i="36"/>
  <c r="AU221" i="36" s="1"/>
  <c r="AT220" i="36"/>
  <c r="AT219" i="36"/>
  <c r="AT218" i="36"/>
  <c r="AT223" i="36" s="1"/>
  <c r="A221" i="36"/>
  <c r="A220" i="36"/>
  <c r="A219" i="36"/>
  <c r="A218" i="36"/>
  <c r="BJ220" i="36"/>
  <c r="BJ219" i="36"/>
  <c r="BJ248" i="36" s="1"/>
  <c r="BJ218" i="36"/>
  <c r="BJ247" i="36" s="1"/>
  <c r="BF221" i="36"/>
  <c r="BL218" i="36" s="1"/>
  <c r="BM218" i="36" s="1"/>
  <c r="BF220" i="36"/>
  <c r="BG220" i="36" s="1"/>
  <c r="BG219" i="36"/>
  <c r="BF219" i="36"/>
  <c r="BK219" i="36" s="1"/>
  <c r="BI218" i="36"/>
  <c r="BH218" i="36"/>
  <c r="BF218" i="36"/>
  <c r="BF223" i="36" s="1"/>
  <c r="DT216" i="36"/>
  <c r="DD216" i="36"/>
  <c r="DB216" i="36"/>
  <c r="CF216" i="36"/>
  <c r="F216" i="36"/>
  <c r="A214" i="36"/>
  <c r="A213" i="36"/>
  <c r="B212" i="36"/>
  <c r="B211" i="36"/>
  <c r="B210" i="36"/>
  <c r="B209" i="36"/>
  <c r="B208" i="36"/>
  <c r="A211" i="36"/>
  <c r="A210" i="36"/>
  <c r="A209" i="36"/>
  <c r="A208" i="36"/>
  <c r="DK210" i="36"/>
  <c r="DJ210" i="36"/>
  <c r="DJ209" i="36"/>
  <c r="DK209" i="36" s="1"/>
  <c r="DJ208" i="36"/>
  <c r="DJ214" i="36" s="1"/>
  <c r="BF206" i="36"/>
  <c r="F206" i="36"/>
  <c r="A204" i="36"/>
  <c r="A203" i="36"/>
  <c r="B202" i="36"/>
  <c r="B201" i="36"/>
  <c r="B200" i="36"/>
  <c r="B199" i="36"/>
  <c r="B198" i="36"/>
  <c r="A201" i="36"/>
  <c r="A200" i="36"/>
  <c r="A199" i="36"/>
  <c r="A198" i="36"/>
  <c r="DJ200" i="36"/>
  <c r="DK200" i="36" s="1"/>
  <c r="DK199" i="36"/>
  <c r="DJ199" i="36"/>
  <c r="DJ198" i="36"/>
  <c r="DK198" i="36" s="1"/>
  <c r="F196" i="36"/>
  <c r="A193" i="36"/>
  <c r="A192" i="36"/>
  <c r="B191" i="36"/>
  <c r="B190" i="36"/>
  <c r="B189" i="36"/>
  <c r="B188" i="36"/>
  <c r="B187" i="36"/>
  <c r="A190" i="36"/>
  <c r="A189" i="36"/>
  <c r="A188" i="36"/>
  <c r="A187" i="36"/>
  <c r="F185" i="36"/>
  <c r="A183" i="36"/>
  <c r="A182" i="36"/>
  <c r="B181" i="36"/>
  <c r="B180" i="36"/>
  <c r="B179" i="36"/>
  <c r="B178" i="36"/>
  <c r="B177" i="36"/>
  <c r="A180" i="36"/>
  <c r="A179" i="36"/>
  <c r="A178" i="36"/>
  <c r="A177" i="36"/>
  <c r="CF175" i="36"/>
  <c r="DB175" i="36" s="1"/>
  <c r="F175" i="36"/>
  <c r="DF173" i="36"/>
  <c r="DF172" i="36"/>
  <c r="DF171" i="36"/>
  <c r="DB173" i="36"/>
  <c r="DB172" i="36"/>
  <c r="DB171" i="36"/>
  <c r="CX173" i="36"/>
  <c r="CX172" i="36"/>
  <c r="CX171" i="36"/>
  <c r="CT173" i="36"/>
  <c r="CT172" i="36"/>
  <c r="CT171" i="36"/>
  <c r="CP173" i="36"/>
  <c r="CP172" i="36"/>
  <c r="CP171" i="36"/>
  <c r="CL173" i="36"/>
  <c r="CL172" i="36"/>
  <c r="CL171" i="36"/>
  <c r="CH173" i="36"/>
  <c r="CH172" i="36"/>
  <c r="CH171" i="36"/>
  <c r="CD173" i="36"/>
  <c r="CD172" i="36"/>
  <c r="CD171" i="36"/>
  <c r="BZ173" i="36"/>
  <c r="BZ172" i="36"/>
  <c r="BZ171" i="36"/>
  <c r="BV173" i="36"/>
  <c r="BV172" i="36"/>
  <c r="BV171" i="36"/>
  <c r="BR173" i="36"/>
  <c r="BR172" i="36"/>
  <c r="BR171" i="36"/>
  <c r="BN173" i="36"/>
  <c r="BN172" i="36"/>
  <c r="BN171" i="36"/>
  <c r="BJ173" i="36"/>
  <c r="BJ172" i="36"/>
  <c r="BJ171" i="36"/>
  <c r="BF173" i="36"/>
  <c r="BF172" i="36"/>
  <c r="BF171" i="36"/>
  <c r="BB173" i="36"/>
  <c r="BB172" i="36"/>
  <c r="BB171" i="36"/>
  <c r="AX173" i="36"/>
  <c r="AX172" i="36"/>
  <c r="AX171" i="36"/>
  <c r="AT173" i="36"/>
  <c r="AT172" i="36"/>
  <c r="AT171" i="36"/>
  <c r="AP173" i="36"/>
  <c r="AP172" i="36"/>
  <c r="AP171" i="36"/>
  <c r="AL173" i="36"/>
  <c r="AL172" i="36"/>
  <c r="AH173" i="36"/>
  <c r="AH172" i="36"/>
  <c r="AD173" i="36"/>
  <c r="AD172" i="36"/>
  <c r="Z173" i="36"/>
  <c r="Z172" i="36"/>
  <c r="V173" i="36"/>
  <c r="V172" i="36"/>
  <c r="V171" i="36"/>
  <c r="R173" i="36"/>
  <c r="R172" i="36"/>
  <c r="R171" i="36"/>
  <c r="N173" i="36"/>
  <c r="N172" i="36"/>
  <c r="J173" i="36"/>
  <c r="J172" i="36"/>
  <c r="J171" i="36"/>
  <c r="F173" i="36"/>
  <c r="F172" i="36"/>
  <c r="F171" i="36"/>
  <c r="A173" i="36"/>
  <c r="A172" i="36"/>
  <c r="B171" i="36"/>
  <c r="B170" i="36"/>
  <c r="B169" i="36"/>
  <c r="B168" i="36"/>
  <c r="B167" i="36"/>
  <c r="Z170" i="36"/>
  <c r="N170" i="36"/>
  <c r="A170" i="36"/>
  <c r="A169" i="36"/>
  <c r="A168" i="36"/>
  <c r="A167" i="36"/>
  <c r="AT165" i="36"/>
  <c r="F165" i="36"/>
  <c r="DF163" i="36"/>
  <c r="DF162" i="36"/>
  <c r="DF161" i="36"/>
  <c r="DB163" i="36"/>
  <c r="DB162" i="36"/>
  <c r="DB161" i="36"/>
  <c r="CX163" i="36"/>
  <c r="CX162" i="36"/>
  <c r="CX161" i="36"/>
  <c r="CT163" i="36"/>
  <c r="CT162" i="36"/>
  <c r="CT161" i="36"/>
  <c r="CP163" i="36"/>
  <c r="CP162" i="36"/>
  <c r="CP161" i="36"/>
  <c r="CL163" i="36"/>
  <c r="CL162" i="36"/>
  <c r="CL161" i="36"/>
  <c r="CH163" i="36"/>
  <c r="CH162" i="36"/>
  <c r="CH161" i="36"/>
  <c r="CD163" i="36"/>
  <c r="CD162" i="36"/>
  <c r="CD161" i="36"/>
  <c r="BZ163" i="36"/>
  <c r="BZ162" i="36"/>
  <c r="BZ161" i="36"/>
  <c r="BV163" i="36"/>
  <c r="BV162" i="36"/>
  <c r="BV161" i="36"/>
  <c r="BR163" i="36"/>
  <c r="BR162" i="36"/>
  <c r="BR161" i="36"/>
  <c r="BN163" i="36"/>
  <c r="BN162" i="36"/>
  <c r="BN161" i="36"/>
  <c r="BJ163" i="36"/>
  <c r="BJ162" i="36"/>
  <c r="BJ161" i="36"/>
  <c r="BF163" i="36"/>
  <c r="BF162" i="36"/>
  <c r="BF161" i="36"/>
  <c r="BB163" i="36"/>
  <c r="BB162" i="36"/>
  <c r="BB161" i="36"/>
  <c r="AX163" i="36"/>
  <c r="AX162" i="36"/>
  <c r="AX161" i="36"/>
  <c r="AT163" i="36"/>
  <c r="AT162" i="36"/>
  <c r="AT161" i="36"/>
  <c r="N163" i="36"/>
  <c r="S163" i="36" s="1"/>
  <c r="N162" i="36"/>
  <c r="J163" i="36"/>
  <c r="J162" i="36"/>
  <c r="J161" i="36"/>
  <c r="F163" i="36"/>
  <c r="F162" i="36"/>
  <c r="F161" i="36"/>
  <c r="A163" i="36"/>
  <c r="A162" i="36"/>
  <c r="AP163" i="36"/>
  <c r="AQ162" i="36"/>
  <c r="AP162" i="36"/>
  <c r="AP161" i="36"/>
  <c r="W163" i="36"/>
  <c r="V163" i="36"/>
  <c r="V162" i="36"/>
  <c r="W162" i="36" s="1"/>
  <c r="W161" i="36"/>
  <c r="V161" i="36"/>
  <c r="R163" i="36"/>
  <c r="S162" i="36"/>
  <c r="R162" i="36"/>
  <c r="R161" i="36"/>
  <c r="S161" i="36" s="1"/>
  <c r="B161" i="36"/>
  <c r="B160" i="36"/>
  <c r="B159" i="36"/>
  <c r="B158" i="36"/>
  <c r="B157" i="36"/>
  <c r="AQ159" i="36"/>
  <c r="AQ158" i="36"/>
  <c r="AQ157" i="36"/>
  <c r="AL163" i="36"/>
  <c r="AQ163" i="36" s="1"/>
  <c r="AL162" i="36"/>
  <c r="AL161" i="36"/>
  <c r="AQ161" i="36" s="1"/>
  <c r="AM160" i="36"/>
  <c r="AL160" i="36"/>
  <c r="AQ160" i="36" s="1"/>
  <c r="AH163" i="36"/>
  <c r="AH162" i="36"/>
  <c r="AI162" i="36" s="1"/>
  <c r="AH160" i="36"/>
  <c r="AH161" i="36" s="1"/>
  <c r="AM161" i="36" s="1"/>
  <c r="AD163" i="36"/>
  <c r="AI163" i="36" s="1"/>
  <c r="AD162" i="36"/>
  <c r="AD161" i="36"/>
  <c r="AE160" i="36"/>
  <c r="AD160" i="36"/>
  <c r="AI160" i="36" s="1"/>
  <c r="Z163" i="36"/>
  <c r="Z162" i="36"/>
  <c r="AA162" i="36" s="1"/>
  <c r="Z160" i="36"/>
  <c r="Z161" i="36" s="1"/>
  <c r="W160" i="36"/>
  <c r="W159" i="36"/>
  <c r="W158" i="36"/>
  <c r="W157" i="36"/>
  <c r="S159" i="36"/>
  <c r="S158" i="36"/>
  <c r="S157" i="36"/>
  <c r="N160" i="36"/>
  <c r="S160" i="36" s="1"/>
  <c r="A160" i="36"/>
  <c r="A159" i="36"/>
  <c r="A158" i="36"/>
  <c r="A157" i="36"/>
  <c r="AM159" i="36"/>
  <c r="AM158" i="36"/>
  <c r="AM157" i="36"/>
  <c r="AI159" i="36"/>
  <c r="AI158" i="36"/>
  <c r="AI157" i="36"/>
  <c r="AE159" i="36"/>
  <c r="AE158" i="36"/>
  <c r="AE157" i="36"/>
  <c r="AA159" i="36"/>
  <c r="AA158" i="36"/>
  <c r="AA157" i="36"/>
  <c r="AT155" i="36"/>
  <c r="F155" i="36"/>
  <c r="A153" i="36"/>
  <c r="A152" i="36"/>
  <c r="B151" i="36"/>
  <c r="B150" i="36"/>
  <c r="B149" i="36"/>
  <c r="B148" i="36"/>
  <c r="B147" i="36"/>
  <c r="A150" i="36"/>
  <c r="A149" i="36"/>
  <c r="A148" i="36"/>
  <c r="A147" i="36"/>
  <c r="DF146" i="36"/>
  <c r="DB146" i="36"/>
  <c r="CX146" i="36"/>
  <c r="CT146" i="36"/>
  <c r="CP146" i="36"/>
  <c r="CL146" i="36"/>
  <c r="CH146" i="36"/>
  <c r="CD146" i="36"/>
  <c r="BZ146" i="36"/>
  <c r="BV146" i="36"/>
  <c r="F145" i="36"/>
  <c r="DF143" i="36"/>
  <c r="DF142" i="36"/>
  <c r="DF141" i="36"/>
  <c r="DB143" i="36"/>
  <c r="DB142" i="36"/>
  <c r="DB141" i="36"/>
  <c r="CX143" i="36"/>
  <c r="CX142" i="36"/>
  <c r="CX141" i="36"/>
  <c r="CT143" i="36"/>
  <c r="CT142" i="36"/>
  <c r="CT141" i="36"/>
  <c r="CP143" i="36"/>
  <c r="CP142" i="36"/>
  <c r="CP141" i="36"/>
  <c r="CL143" i="36"/>
  <c r="CL142" i="36"/>
  <c r="CL141" i="36"/>
  <c r="CH143" i="36"/>
  <c r="CH142" i="36"/>
  <c r="CH141" i="36"/>
  <c r="CD143" i="36"/>
  <c r="CD142" i="36"/>
  <c r="CD141" i="36"/>
  <c r="BZ143" i="36"/>
  <c r="BZ142" i="36"/>
  <c r="BZ141" i="36"/>
  <c r="BV143" i="36"/>
  <c r="BV142" i="36"/>
  <c r="BV141" i="36"/>
  <c r="BN143" i="36"/>
  <c r="BN142" i="36"/>
  <c r="BN141" i="36"/>
  <c r="BJ143" i="36"/>
  <c r="BJ142" i="36"/>
  <c r="BJ141" i="36"/>
  <c r="BF143" i="36"/>
  <c r="BF142" i="36"/>
  <c r="BF141" i="36"/>
  <c r="BB143" i="36"/>
  <c r="BB142" i="36"/>
  <c r="BB141" i="36"/>
  <c r="AX143" i="36"/>
  <c r="AX142" i="36"/>
  <c r="AX141" i="36"/>
  <c r="AT143" i="36"/>
  <c r="AT142" i="36"/>
  <c r="AT141" i="36"/>
  <c r="AP143" i="36"/>
  <c r="AP142" i="36"/>
  <c r="AP141" i="36"/>
  <c r="AL143" i="36"/>
  <c r="AL142" i="36"/>
  <c r="AL141" i="36"/>
  <c r="AH143" i="36"/>
  <c r="AH142" i="36"/>
  <c r="AH141" i="36"/>
  <c r="AD142" i="36"/>
  <c r="AD140" i="36"/>
  <c r="AD139" i="36"/>
  <c r="AD143" i="36" s="1"/>
  <c r="Z140" i="36"/>
  <c r="V139" i="36"/>
  <c r="V140" i="36" s="1"/>
  <c r="V138" i="36"/>
  <c r="V142" i="36" s="1"/>
  <c r="V137" i="36"/>
  <c r="V141" i="36" s="1"/>
  <c r="R140" i="36"/>
  <c r="R139" i="36"/>
  <c r="R138" i="36"/>
  <c r="R142" i="36" s="1"/>
  <c r="R137" i="36"/>
  <c r="R143" i="36" s="1"/>
  <c r="N143" i="36"/>
  <c r="N142" i="36"/>
  <c r="N141" i="36"/>
  <c r="J143" i="36"/>
  <c r="J142" i="36"/>
  <c r="J141" i="36"/>
  <c r="F143" i="36"/>
  <c r="F142" i="36"/>
  <c r="F141" i="36"/>
  <c r="A143" i="36"/>
  <c r="A142" i="36"/>
  <c r="B141" i="36"/>
  <c r="B140" i="36"/>
  <c r="B139" i="36"/>
  <c r="B138" i="36"/>
  <c r="B137" i="36"/>
  <c r="AE140" i="36"/>
  <c r="A140" i="36"/>
  <c r="A139" i="36"/>
  <c r="A138" i="36"/>
  <c r="A137" i="36"/>
  <c r="Z138" i="36"/>
  <c r="Z137" i="36"/>
  <c r="Z143" i="36" s="1"/>
  <c r="F135" i="36"/>
  <c r="B133" i="36"/>
  <c r="B132" i="36"/>
  <c r="B131" i="36"/>
  <c r="B130" i="36"/>
  <c r="B129" i="36"/>
  <c r="A132" i="36"/>
  <c r="A131" i="36"/>
  <c r="A130" i="36"/>
  <c r="A129" i="36"/>
  <c r="AR131" i="36"/>
  <c r="AR130" i="36"/>
  <c r="CF128" i="36"/>
  <c r="DB128" i="36" s="1"/>
  <c r="F128" i="36"/>
  <c r="A126" i="36"/>
  <c r="A125" i="36"/>
  <c r="B124" i="36"/>
  <c r="B123" i="36"/>
  <c r="B122" i="36"/>
  <c r="B121" i="36"/>
  <c r="B120" i="36"/>
  <c r="A123" i="36"/>
  <c r="A122" i="36"/>
  <c r="A121" i="36"/>
  <c r="A120" i="36"/>
  <c r="AR121" i="36"/>
  <c r="AR120" i="36"/>
  <c r="DB118" i="36"/>
  <c r="CF118" i="36"/>
  <c r="F118" i="36"/>
  <c r="A116" i="36"/>
  <c r="A115" i="36"/>
  <c r="N116" i="36"/>
  <c r="O116" i="36" s="1"/>
  <c r="N115" i="36"/>
  <c r="O115" i="36" s="1"/>
  <c r="J116" i="36"/>
  <c r="K116" i="36" s="1"/>
  <c r="J115" i="36"/>
  <c r="K115" i="36" s="1"/>
  <c r="F116" i="36"/>
  <c r="G116" i="36" s="1"/>
  <c r="F115" i="36"/>
  <c r="G115" i="36" s="1"/>
  <c r="DJ116" i="36"/>
  <c r="DJ115" i="36"/>
  <c r="DF116" i="36"/>
  <c r="DF115" i="36"/>
  <c r="DF114" i="36"/>
  <c r="DB116" i="36"/>
  <c r="DB115" i="36"/>
  <c r="DB114" i="36"/>
  <c r="CT115" i="36"/>
  <c r="CP116" i="36"/>
  <c r="CP115" i="36"/>
  <c r="CP114" i="36"/>
  <c r="CD116" i="36"/>
  <c r="CD115" i="36"/>
  <c r="CD114" i="36"/>
  <c r="BN116" i="36"/>
  <c r="BN115" i="36"/>
  <c r="BN114" i="36"/>
  <c r="BJ116" i="36"/>
  <c r="BJ115" i="36"/>
  <c r="BJ114" i="36"/>
  <c r="BF116" i="36"/>
  <c r="BF115" i="36"/>
  <c r="BF114" i="36"/>
  <c r="BB116" i="36"/>
  <c r="BB115" i="36"/>
  <c r="BB114" i="36"/>
  <c r="AX116" i="36"/>
  <c r="AX115" i="36"/>
  <c r="AX114" i="36"/>
  <c r="AT116" i="36"/>
  <c r="AT115" i="36"/>
  <c r="AT114" i="36"/>
  <c r="AP116" i="36"/>
  <c r="AP115" i="36"/>
  <c r="AP114" i="36"/>
  <c r="AL116" i="36"/>
  <c r="AL115" i="36"/>
  <c r="AL114" i="36"/>
  <c r="AH116" i="36"/>
  <c r="AH115" i="36"/>
  <c r="AH114" i="36"/>
  <c r="AD116" i="36"/>
  <c r="AD115" i="36"/>
  <c r="AD114" i="36"/>
  <c r="Z116" i="36"/>
  <c r="Z115" i="36"/>
  <c r="Z114" i="36"/>
  <c r="V116" i="36"/>
  <c r="W116" i="36" s="1"/>
  <c r="V115" i="36"/>
  <c r="W115" i="36" s="1"/>
  <c r="W114" i="36"/>
  <c r="V114" i="36"/>
  <c r="R116" i="36"/>
  <c r="S116" i="36" s="1"/>
  <c r="R115" i="36"/>
  <c r="S115" i="36" s="1"/>
  <c r="R114" i="36"/>
  <c r="S114" i="36" s="1"/>
  <c r="O114" i="36"/>
  <c r="K114" i="36"/>
  <c r="G114" i="36"/>
  <c r="B114" i="36"/>
  <c r="B113" i="36"/>
  <c r="B112" i="36"/>
  <c r="B111" i="36"/>
  <c r="B110" i="36"/>
  <c r="BV113" i="36"/>
  <c r="N113" i="36"/>
  <c r="J113" i="36"/>
  <c r="F113" i="36"/>
  <c r="A113" i="36"/>
  <c r="A112" i="36"/>
  <c r="A111" i="36"/>
  <c r="A110" i="36"/>
  <c r="DF112" i="36"/>
  <c r="CT112" i="36"/>
  <c r="CT116" i="36" s="1"/>
  <c r="BZ115" i="36"/>
  <c r="BZ113" i="36"/>
  <c r="BZ112" i="36"/>
  <c r="CX111" i="36"/>
  <c r="CX115" i="36" s="1"/>
  <c r="CH111" i="36"/>
  <c r="CH115" i="36" s="1"/>
  <c r="BV111" i="36"/>
  <c r="BV110" i="36"/>
  <c r="BV115" i="36" s="1"/>
  <c r="BR110" i="36"/>
  <c r="CF108" i="36"/>
  <c r="DB108" i="36" s="1"/>
  <c r="F108" i="36"/>
  <c r="A97" i="36"/>
  <c r="A96" i="36"/>
  <c r="B95" i="36"/>
  <c r="B94" i="36"/>
  <c r="B93" i="36"/>
  <c r="B92" i="36"/>
  <c r="B91" i="36"/>
  <c r="A94" i="36"/>
  <c r="A93" i="36"/>
  <c r="A92" i="36"/>
  <c r="A91" i="36"/>
  <c r="DB89" i="36"/>
  <c r="CF89" i="36"/>
  <c r="F89" i="36"/>
  <c r="A87" i="36"/>
  <c r="A86" i="36"/>
  <c r="N87" i="36"/>
  <c r="N86" i="36"/>
  <c r="J87" i="36"/>
  <c r="J86" i="36"/>
  <c r="F87" i="36"/>
  <c r="F86" i="36"/>
  <c r="DN87" i="36"/>
  <c r="DN86" i="36"/>
  <c r="DN85" i="36"/>
  <c r="AD34" i="8" s="1"/>
  <c r="DJ87" i="36"/>
  <c r="DJ86" i="36"/>
  <c r="DJ85" i="36"/>
  <c r="AC34" i="8" s="1"/>
  <c r="DF87" i="36"/>
  <c r="DF86" i="36"/>
  <c r="DF85" i="36"/>
  <c r="DB87" i="36"/>
  <c r="DB86" i="36"/>
  <c r="DB85" i="36"/>
  <c r="CX87" i="36"/>
  <c r="CX86" i="36"/>
  <c r="CX85" i="36"/>
  <c r="CT87" i="36"/>
  <c r="CT86" i="36"/>
  <c r="CT85" i="36"/>
  <c r="CP87" i="36"/>
  <c r="CP86" i="36"/>
  <c r="CP85" i="36"/>
  <c r="CL87" i="36"/>
  <c r="CL86" i="36"/>
  <c r="CL85" i="36"/>
  <c r="CH87" i="36"/>
  <c r="CH86" i="36"/>
  <c r="CH85" i="36"/>
  <c r="CD87" i="36"/>
  <c r="CD86" i="36"/>
  <c r="CD85" i="36"/>
  <c r="BZ87" i="36"/>
  <c r="BZ86" i="36"/>
  <c r="BZ85" i="36"/>
  <c r="BV87" i="36"/>
  <c r="BV86" i="36"/>
  <c r="BV85" i="36"/>
  <c r="BR87" i="36"/>
  <c r="BR86" i="36"/>
  <c r="BR85" i="36"/>
  <c r="BN87" i="36"/>
  <c r="BN86" i="36"/>
  <c r="BN85" i="36"/>
  <c r="BJ87" i="36"/>
  <c r="BJ86" i="36"/>
  <c r="BJ85" i="36"/>
  <c r="BF87" i="36"/>
  <c r="BF86" i="36"/>
  <c r="BF85" i="36"/>
  <c r="BB87" i="36"/>
  <c r="BB86" i="36"/>
  <c r="BB85" i="36"/>
  <c r="AX87" i="36"/>
  <c r="AX86" i="36"/>
  <c r="AX85" i="36"/>
  <c r="AT87" i="36"/>
  <c r="AT86" i="36"/>
  <c r="AT85" i="36"/>
  <c r="AP87" i="36"/>
  <c r="AP86" i="36"/>
  <c r="AP85" i="36"/>
  <c r="AL87" i="36"/>
  <c r="AL86" i="36"/>
  <c r="AL85" i="36"/>
  <c r="AH87" i="36"/>
  <c r="AH86" i="36"/>
  <c r="AH85" i="36"/>
  <c r="AD87" i="36"/>
  <c r="AD86" i="36"/>
  <c r="AD85" i="36"/>
  <c r="Z87" i="36"/>
  <c r="Z86" i="36"/>
  <c r="Z85" i="36"/>
  <c r="V87" i="36"/>
  <c r="V86" i="36"/>
  <c r="V85" i="36"/>
  <c r="R87" i="36"/>
  <c r="R86" i="36"/>
  <c r="R85" i="36"/>
  <c r="O85" i="36"/>
  <c r="O83" i="36"/>
  <c r="O82" i="36"/>
  <c r="O81" i="36"/>
  <c r="K85" i="36"/>
  <c r="K83" i="36"/>
  <c r="K82" i="36"/>
  <c r="K81" i="36"/>
  <c r="G85" i="36"/>
  <c r="G83" i="36"/>
  <c r="G82" i="36"/>
  <c r="G81" i="36"/>
  <c r="B85" i="36"/>
  <c r="B84" i="36"/>
  <c r="B83" i="36"/>
  <c r="B82" i="36"/>
  <c r="B81" i="36"/>
  <c r="DS84" i="36"/>
  <c r="DK83" i="36"/>
  <c r="DK82" i="36"/>
  <c r="DK81" i="36"/>
  <c r="DG84" i="36"/>
  <c r="DG83" i="36"/>
  <c r="DG82" i="36"/>
  <c r="DG81" i="36"/>
  <c r="DC84" i="36"/>
  <c r="DC83" i="36"/>
  <c r="DC82" i="36"/>
  <c r="DC81" i="36"/>
  <c r="CY84" i="36"/>
  <c r="CY83" i="36"/>
  <c r="CY82" i="36"/>
  <c r="CY81" i="36"/>
  <c r="CU84" i="36"/>
  <c r="CU83" i="36"/>
  <c r="CU82" i="36"/>
  <c r="CU81" i="36"/>
  <c r="CQ84" i="36"/>
  <c r="CQ83" i="36"/>
  <c r="CQ82" i="36"/>
  <c r="CQ81" i="36"/>
  <c r="CM84" i="36"/>
  <c r="CM83" i="36"/>
  <c r="CM82" i="36"/>
  <c r="CE84" i="36"/>
  <c r="CE83" i="36"/>
  <c r="CE82" i="36"/>
  <c r="CE81" i="36"/>
  <c r="CA83" i="36"/>
  <c r="CA82" i="36"/>
  <c r="BW84" i="36"/>
  <c r="BW83" i="36"/>
  <c r="BS84" i="36"/>
  <c r="BS83" i="36"/>
  <c r="BS82" i="36"/>
  <c r="BO84" i="36"/>
  <c r="BO83" i="36"/>
  <c r="BO82" i="36"/>
  <c r="BO81" i="36"/>
  <c r="BK84" i="36"/>
  <c r="BK83" i="36"/>
  <c r="BK82" i="36"/>
  <c r="BK81" i="36"/>
  <c r="BG84" i="36"/>
  <c r="BG83" i="36"/>
  <c r="BG82" i="36"/>
  <c r="BG81" i="36"/>
  <c r="BC84" i="36"/>
  <c r="BC83" i="36"/>
  <c r="BC82" i="36"/>
  <c r="BC81" i="36"/>
  <c r="AY84" i="36"/>
  <c r="AY83" i="36"/>
  <c r="AY82" i="36"/>
  <c r="AY81" i="36"/>
  <c r="AU84" i="36"/>
  <c r="AU83" i="36"/>
  <c r="AU82" i="36"/>
  <c r="AU81" i="36"/>
  <c r="AQ84" i="36"/>
  <c r="AQ83" i="36"/>
  <c r="AQ82" i="36"/>
  <c r="AQ81" i="36"/>
  <c r="AM84" i="36"/>
  <c r="AM83" i="36"/>
  <c r="AM82" i="36"/>
  <c r="AM81" i="36"/>
  <c r="AI84" i="36"/>
  <c r="AI83" i="36"/>
  <c r="AI82" i="36"/>
  <c r="AI81" i="36"/>
  <c r="AE84" i="36"/>
  <c r="AE83" i="36"/>
  <c r="AE82" i="36"/>
  <c r="AE81" i="36"/>
  <c r="AA84" i="36"/>
  <c r="AA83" i="36"/>
  <c r="AA82" i="36"/>
  <c r="AA81" i="36"/>
  <c r="W84" i="36"/>
  <c r="W83" i="36"/>
  <c r="W82" i="36"/>
  <c r="W81" i="36"/>
  <c r="S84" i="36"/>
  <c r="S83" i="36"/>
  <c r="S82" i="36"/>
  <c r="S81" i="36"/>
  <c r="N84" i="36"/>
  <c r="J84" i="36"/>
  <c r="F84" i="36"/>
  <c r="A84" i="36"/>
  <c r="A83" i="36"/>
  <c r="A82" i="36"/>
  <c r="A81" i="36"/>
  <c r="CF79" i="36"/>
  <c r="DB79" i="36" s="1"/>
  <c r="F79" i="36"/>
  <c r="DJ76" i="36"/>
  <c r="DF76" i="36"/>
  <c r="DB76" i="36"/>
  <c r="CX76" i="36"/>
  <c r="CT76" i="36"/>
  <c r="CP76" i="36"/>
  <c r="CH75" i="36"/>
  <c r="CH76" i="36" s="1"/>
  <c r="BZ76" i="36"/>
  <c r="BV76" i="36"/>
  <c r="BR76" i="36"/>
  <c r="B76" i="36"/>
  <c r="B75" i="36"/>
  <c r="B74" i="36"/>
  <c r="B73" i="36"/>
  <c r="B72" i="36"/>
  <c r="A75" i="36"/>
  <c r="A74" i="36"/>
  <c r="A73" i="36"/>
  <c r="A72" i="36"/>
  <c r="DN74" i="36"/>
  <c r="DN76" i="36" s="1"/>
  <c r="DJ74" i="36"/>
  <c r="DF74" i="36"/>
  <c r="BW73" i="36"/>
  <c r="BB75" i="36"/>
  <c r="BD73" i="36"/>
  <c r="BB73" i="36"/>
  <c r="AX75" i="36"/>
  <c r="BD75" i="36" s="1"/>
  <c r="AZ74" i="36"/>
  <c r="AX74" i="36"/>
  <c r="AY73" i="36"/>
  <c r="AX73" i="36"/>
  <c r="AV75" i="36"/>
  <c r="AT75" i="36"/>
  <c r="AZ75" i="36" s="1"/>
  <c r="AU74" i="36"/>
  <c r="AT74" i="36"/>
  <c r="AT73" i="36"/>
  <c r="AZ73" i="36" s="1"/>
  <c r="AQ75" i="36"/>
  <c r="AP75" i="36"/>
  <c r="AP74" i="36"/>
  <c r="AV74" i="36" s="1"/>
  <c r="AP73" i="36"/>
  <c r="AV73" i="36" s="1"/>
  <c r="AL75" i="36"/>
  <c r="AL74" i="36"/>
  <c r="AR74" i="36" s="1"/>
  <c r="AN73" i="36"/>
  <c r="AL73" i="36"/>
  <c r="AH75" i="36"/>
  <c r="AN75" i="36" s="1"/>
  <c r="AJ74" i="36"/>
  <c r="AH74" i="36"/>
  <c r="AN74" i="36" s="1"/>
  <c r="AI73" i="36"/>
  <c r="AH73" i="36"/>
  <c r="AD75" i="36"/>
  <c r="AJ75" i="36" s="1"/>
  <c r="AE74" i="36"/>
  <c r="AD74" i="36"/>
  <c r="AD73" i="36"/>
  <c r="AJ73" i="36" s="1"/>
  <c r="Z74" i="36"/>
  <c r="AF74" i="36" s="1"/>
  <c r="Z73" i="36"/>
  <c r="AF73" i="36" s="1"/>
  <c r="V75" i="36"/>
  <c r="V74" i="36"/>
  <c r="AB74" i="36" s="1"/>
  <c r="X73" i="36"/>
  <c r="V73" i="36"/>
  <c r="R75" i="36"/>
  <c r="X75" i="36" s="1"/>
  <c r="T74" i="36"/>
  <c r="R74" i="36"/>
  <c r="X74" i="36" s="1"/>
  <c r="S73" i="36"/>
  <c r="R73" i="36"/>
  <c r="N76" i="36"/>
  <c r="O74" i="36"/>
  <c r="N74" i="36"/>
  <c r="N73" i="36"/>
  <c r="T73" i="36" s="1"/>
  <c r="L76" i="36"/>
  <c r="J76" i="36"/>
  <c r="P76" i="36" s="1"/>
  <c r="J74" i="36"/>
  <c r="P74" i="36" s="1"/>
  <c r="J73" i="36"/>
  <c r="P73" i="36" s="1"/>
  <c r="F76" i="36"/>
  <c r="G76" i="36" s="1"/>
  <c r="F74" i="36"/>
  <c r="L74" i="36" s="1"/>
  <c r="G73" i="36"/>
  <c r="F73" i="36"/>
  <c r="L73" i="36" s="1"/>
  <c r="CF70" i="36"/>
  <c r="DB70" i="36" s="1"/>
  <c r="F70" i="36"/>
  <c r="A67" i="36"/>
  <c r="A66" i="36"/>
  <c r="B65" i="36"/>
  <c r="B64" i="36"/>
  <c r="B63" i="36"/>
  <c r="B62" i="36"/>
  <c r="B61" i="36"/>
  <c r="A64" i="36"/>
  <c r="A63" i="36"/>
  <c r="A62" i="36"/>
  <c r="A61" i="36"/>
  <c r="DJ63" i="36"/>
  <c r="DJ93" i="36" s="1"/>
  <c r="DJ62" i="36"/>
  <c r="DJ92" i="36" s="1"/>
  <c r="DL61" i="36"/>
  <c r="DJ61" i="36"/>
  <c r="DJ91" i="36" s="1"/>
  <c r="DH64" i="36"/>
  <c r="DF64" i="36"/>
  <c r="DF94" i="36" s="1"/>
  <c r="DH63" i="36"/>
  <c r="DG63" i="36"/>
  <c r="DF63" i="36"/>
  <c r="DF62" i="36"/>
  <c r="DF92" i="36" s="1"/>
  <c r="DF61" i="36"/>
  <c r="DF91" i="36" s="1"/>
  <c r="DB64" i="36"/>
  <c r="DB94" i="36" s="1"/>
  <c r="DC94" i="36" s="1"/>
  <c r="DD63" i="36"/>
  <c r="DB63" i="36"/>
  <c r="DB93" i="36" s="1"/>
  <c r="DD62" i="36"/>
  <c r="DC62" i="36"/>
  <c r="DB62" i="36"/>
  <c r="DB92" i="36" s="1"/>
  <c r="DB61" i="36"/>
  <c r="DB91" i="36" s="1"/>
  <c r="CX64" i="36"/>
  <c r="CX94" i="36" s="1"/>
  <c r="CX63" i="36"/>
  <c r="CY63" i="36" s="1"/>
  <c r="CZ62" i="36"/>
  <c r="CX62" i="36"/>
  <c r="CX92" i="36" s="1"/>
  <c r="CZ61" i="36"/>
  <c r="CY61" i="36"/>
  <c r="CX61" i="36"/>
  <c r="CX91" i="36" s="1"/>
  <c r="CV64" i="36"/>
  <c r="CU64" i="36"/>
  <c r="CT64" i="36"/>
  <c r="CT94" i="36" s="1"/>
  <c r="CT63" i="36"/>
  <c r="CV63" i="36" s="1"/>
  <c r="CT62" i="36"/>
  <c r="CT92" i="36" s="1"/>
  <c r="CV61" i="36"/>
  <c r="CT61" i="36"/>
  <c r="CT91" i="36" s="1"/>
  <c r="CZ91" i="36" s="1"/>
  <c r="CR64" i="36"/>
  <c r="CP64" i="36"/>
  <c r="CP94" i="36" s="1"/>
  <c r="CR63" i="36"/>
  <c r="CQ63" i="36"/>
  <c r="CP63" i="36"/>
  <c r="CP93" i="36" s="1"/>
  <c r="CP62" i="36"/>
  <c r="CP92" i="36" s="1"/>
  <c r="CP61" i="36"/>
  <c r="CP91" i="36" s="1"/>
  <c r="CP97" i="36" s="1"/>
  <c r="CL64" i="36"/>
  <c r="CL94" i="36" s="1"/>
  <c r="CL63" i="36"/>
  <c r="CL93" i="36" s="1"/>
  <c r="CM93" i="36" s="1"/>
  <c r="CM62" i="36"/>
  <c r="CL62" i="36"/>
  <c r="CL92" i="36" s="1"/>
  <c r="CE64" i="36"/>
  <c r="CD64" i="36"/>
  <c r="CD94" i="36" s="1"/>
  <c r="CD62" i="36"/>
  <c r="CD92" i="36" s="1"/>
  <c r="CD61" i="36"/>
  <c r="CD91" i="36" s="1"/>
  <c r="CB63" i="36"/>
  <c r="CA63" i="36"/>
  <c r="BZ63" i="36"/>
  <c r="BZ93" i="36" s="1"/>
  <c r="BZ62" i="36"/>
  <c r="BZ92" i="36" s="1"/>
  <c r="BV64" i="36"/>
  <c r="BV94" i="36" s="1"/>
  <c r="BX63" i="36"/>
  <c r="BV63" i="36"/>
  <c r="BV93" i="36" s="1"/>
  <c r="BW93" i="36" s="1"/>
  <c r="BR63" i="36"/>
  <c r="BR93" i="36" s="1"/>
  <c r="BR62" i="36"/>
  <c r="BR92" i="36" s="1"/>
  <c r="BS92" i="36" s="1"/>
  <c r="BP64" i="36"/>
  <c r="BO64" i="36"/>
  <c r="BN64" i="36"/>
  <c r="BN94" i="36" s="1"/>
  <c r="BN63" i="36"/>
  <c r="BN61" i="36"/>
  <c r="BN91" i="36" s="1"/>
  <c r="BJ64" i="36"/>
  <c r="BJ94" i="36" s="1"/>
  <c r="BB64" i="36"/>
  <c r="BD62" i="36"/>
  <c r="BB62" i="36"/>
  <c r="BB92" i="36" s="1"/>
  <c r="BD61" i="36"/>
  <c r="BC61" i="36"/>
  <c r="BB61" i="36"/>
  <c r="BB91" i="36" s="1"/>
  <c r="AX67" i="36"/>
  <c r="AZ64" i="36"/>
  <c r="AY64" i="36"/>
  <c r="AX64" i="36"/>
  <c r="AX94" i="36" s="1"/>
  <c r="AX63" i="36"/>
  <c r="AX62" i="36"/>
  <c r="AX92" i="36" s="1"/>
  <c r="BD92" i="36" s="1"/>
  <c r="AZ61" i="36"/>
  <c r="AX61" i="36"/>
  <c r="AX91" i="36" s="1"/>
  <c r="AV64" i="36"/>
  <c r="AT64" i="36"/>
  <c r="AT94" i="36" s="1"/>
  <c r="AU94" i="36" s="1"/>
  <c r="AV63" i="36"/>
  <c r="AU63" i="36"/>
  <c r="AT63" i="36"/>
  <c r="AT93" i="36" s="1"/>
  <c r="AT62" i="36"/>
  <c r="AT61" i="36"/>
  <c r="AT91" i="36" s="1"/>
  <c r="AP64" i="36"/>
  <c r="AP94" i="36" s="1"/>
  <c r="AR63" i="36"/>
  <c r="AP63" i="36"/>
  <c r="AP93" i="36" s="1"/>
  <c r="AQ93" i="36" s="1"/>
  <c r="AR62" i="36"/>
  <c r="AQ62" i="36"/>
  <c r="AP62" i="36"/>
  <c r="AP92" i="36" s="1"/>
  <c r="AP61" i="36"/>
  <c r="AP65" i="36" s="1"/>
  <c r="AL64" i="36"/>
  <c r="AL63" i="36"/>
  <c r="AM63" i="36" s="1"/>
  <c r="AL62" i="36"/>
  <c r="AL92" i="36" s="1"/>
  <c r="AM92" i="36" s="1"/>
  <c r="AN61" i="36"/>
  <c r="AM61" i="36"/>
  <c r="AL61" i="36"/>
  <c r="AL91" i="36" s="1"/>
  <c r="AJ64" i="36"/>
  <c r="AI64" i="36"/>
  <c r="AH64" i="36"/>
  <c r="AH94" i="36" s="1"/>
  <c r="AH63" i="36"/>
  <c r="AH62" i="36"/>
  <c r="AH67" i="36" s="1"/>
  <c r="AH61" i="36"/>
  <c r="AH91" i="36" s="1"/>
  <c r="AI91" i="36" s="1"/>
  <c r="AD64" i="36"/>
  <c r="AD94" i="36" s="1"/>
  <c r="AJ94" i="36" s="1"/>
  <c r="AF63" i="36"/>
  <c r="AE63" i="36"/>
  <c r="AD63" i="36"/>
  <c r="AD93" i="36" s="1"/>
  <c r="AD62" i="36"/>
  <c r="AE62" i="36" s="1"/>
  <c r="AD61" i="36"/>
  <c r="AJ61" i="36" s="1"/>
  <c r="Z63" i="36"/>
  <c r="Z93" i="36" s="1"/>
  <c r="AF93" i="36" s="1"/>
  <c r="AB62" i="36"/>
  <c r="AA62" i="36"/>
  <c r="Z62" i="36"/>
  <c r="Z92" i="36" s="1"/>
  <c r="AA61" i="36"/>
  <c r="Z61" i="36"/>
  <c r="V64" i="36"/>
  <c r="W64" i="36" s="1"/>
  <c r="V63" i="36"/>
  <c r="V67" i="36" s="1"/>
  <c r="X62" i="36"/>
  <c r="V62" i="36"/>
  <c r="V66" i="36" s="1"/>
  <c r="X61" i="36"/>
  <c r="W61" i="36"/>
  <c r="V61" i="36"/>
  <c r="V91" i="36" s="1"/>
  <c r="R66" i="36"/>
  <c r="S64" i="36"/>
  <c r="R64" i="36"/>
  <c r="R94" i="36" s="1"/>
  <c r="S63" i="36"/>
  <c r="R63" i="36"/>
  <c r="R62" i="36"/>
  <c r="T61" i="36"/>
  <c r="R61" i="36"/>
  <c r="R65" i="36" s="1"/>
  <c r="P63" i="36"/>
  <c r="O63" i="36"/>
  <c r="N63" i="36"/>
  <c r="N93" i="36" s="1"/>
  <c r="N62" i="36"/>
  <c r="N61" i="36"/>
  <c r="L63" i="36"/>
  <c r="J63" i="36"/>
  <c r="J93" i="36" s="1"/>
  <c r="K62" i="36"/>
  <c r="J62" i="36"/>
  <c r="J92" i="36" s="1"/>
  <c r="J61" i="36"/>
  <c r="F63" i="36"/>
  <c r="F62" i="36"/>
  <c r="F92" i="36" s="1"/>
  <c r="F61" i="36"/>
  <c r="F66" i="36" s="1"/>
  <c r="CF59" i="36"/>
  <c r="DB59" i="36" s="1"/>
  <c r="F59" i="36"/>
  <c r="BS53" i="36"/>
  <c r="BS52" i="36"/>
  <c r="BO52" i="36"/>
  <c r="BO51" i="36"/>
  <c r="BK51" i="36"/>
  <c r="BG53" i="36"/>
  <c r="BG51" i="36"/>
  <c r="BC52" i="36"/>
  <c r="BC51" i="36"/>
  <c r="AY51" i="36"/>
  <c r="AU54" i="36"/>
  <c r="AU53" i="36"/>
  <c r="AU52" i="36"/>
  <c r="AU51" i="36"/>
  <c r="AQ54" i="36"/>
  <c r="AQ53" i="36"/>
  <c r="AQ52" i="36"/>
  <c r="AQ51" i="36"/>
  <c r="AM54" i="36"/>
  <c r="AM53" i="36"/>
  <c r="AM52" i="36"/>
  <c r="AM51" i="36"/>
  <c r="AI54" i="36"/>
  <c r="AI53" i="36"/>
  <c r="AI52" i="36"/>
  <c r="AI51" i="36"/>
  <c r="AE54" i="36"/>
  <c r="AE53" i="36"/>
  <c r="AE52" i="36"/>
  <c r="AE51" i="36"/>
  <c r="AA54" i="36"/>
  <c r="AA53" i="36"/>
  <c r="AA52" i="36"/>
  <c r="AA51" i="36"/>
  <c r="W54" i="36"/>
  <c r="W53" i="36"/>
  <c r="W52" i="36"/>
  <c r="W51" i="36"/>
  <c r="S54" i="36"/>
  <c r="S53" i="36"/>
  <c r="S52" i="36"/>
  <c r="S51" i="36"/>
  <c r="A57" i="36"/>
  <c r="A56" i="36"/>
  <c r="DN57" i="36"/>
  <c r="DN56" i="36"/>
  <c r="CL57" i="36"/>
  <c r="CL56" i="36"/>
  <c r="DN55" i="36"/>
  <c r="AD73" i="8" s="1"/>
  <c r="BT55" i="36"/>
  <c r="BT52" i="36"/>
  <c r="BT51" i="36"/>
  <c r="BP55" i="36"/>
  <c r="BP51" i="36"/>
  <c r="BL55" i="36"/>
  <c r="BL53" i="36"/>
  <c r="BL51" i="36"/>
  <c r="AH55" i="36"/>
  <c r="AI55" i="36" s="1"/>
  <c r="V55" i="36"/>
  <c r="R55" i="36"/>
  <c r="N57" i="36"/>
  <c r="N56" i="36"/>
  <c r="O55" i="36"/>
  <c r="N55" i="36"/>
  <c r="J57" i="36"/>
  <c r="J56" i="36"/>
  <c r="K55" i="36"/>
  <c r="J55" i="36"/>
  <c r="F57" i="36"/>
  <c r="F56" i="36"/>
  <c r="G55" i="36"/>
  <c r="F55" i="36"/>
  <c r="B55" i="36"/>
  <c r="B54" i="36"/>
  <c r="B53" i="36"/>
  <c r="B52" i="36"/>
  <c r="B51" i="36"/>
  <c r="CL55" i="36"/>
  <c r="CM54" i="36"/>
  <c r="CL54" i="36"/>
  <c r="BV52" i="36"/>
  <c r="BR54" i="36"/>
  <c r="BR53" i="36"/>
  <c r="BR52" i="36"/>
  <c r="BN54" i="36"/>
  <c r="BO54" i="36" s="1"/>
  <c r="BN53" i="36"/>
  <c r="BO53" i="36" s="1"/>
  <c r="BN52" i="36"/>
  <c r="BJ54" i="36"/>
  <c r="BK54" i="36" s="1"/>
  <c r="BJ53" i="36"/>
  <c r="BK53" i="36" s="1"/>
  <c r="BJ52" i="36"/>
  <c r="BF54" i="36"/>
  <c r="BG54" i="36" s="1"/>
  <c r="BF53" i="36"/>
  <c r="BF52" i="36"/>
  <c r="BG52" i="36" s="1"/>
  <c r="BB54" i="36"/>
  <c r="BC54" i="36" s="1"/>
  <c r="BB53" i="36"/>
  <c r="BC53" i="36" s="1"/>
  <c r="BB52" i="36"/>
  <c r="AX54" i="36"/>
  <c r="AY54" i="36" s="1"/>
  <c r="AX53" i="36"/>
  <c r="AY53" i="36" s="1"/>
  <c r="AX52" i="36"/>
  <c r="AY52" i="36" s="1"/>
  <c r="O53" i="36"/>
  <c r="O52" i="36"/>
  <c r="O51" i="36"/>
  <c r="K53" i="36"/>
  <c r="K52" i="36"/>
  <c r="K51" i="36"/>
  <c r="G53" i="36"/>
  <c r="G52" i="36"/>
  <c r="G51" i="36"/>
  <c r="A54" i="36"/>
  <c r="A53" i="36"/>
  <c r="A52" i="36"/>
  <c r="A51" i="36"/>
  <c r="DJ52" i="36"/>
  <c r="DJ56" i="36" s="1"/>
  <c r="DF53" i="36"/>
  <c r="DG53" i="36" s="1"/>
  <c r="DF52" i="36"/>
  <c r="DF56" i="36" s="1"/>
  <c r="DB52" i="36"/>
  <c r="DB56" i="36" s="1"/>
  <c r="CX52" i="36"/>
  <c r="CX56" i="36" s="1"/>
  <c r="CT52" i="36"/>
  <c r="CT56" i="36" s="1"/>
  <c r="CP52" i="36"/>
  <c r="CP56" i="36" s="1"/>
  <c r="CJ55" i="36"/>
  <c r="CH55" i="36"/>
  <c r="CN55" i="36" s="1"/>
  <c r="CH52" i="36"/>
  <c r="CH56" i="36" s="1"/>
  <c r="CF55" i="36"/>
  <c r="CD55" i="36"/>
  <c r="CD52" i="36"/>
  <c r="CD56" i="36" s="1"/>
  <c r="CB55" i="36"/>
  <c r="BZ55" i="36"/>
  <c r="BZ52" i="36"/>
  <c r="BZ56" i="36" s="1"/>
  <c r="DP54" i="36"/>
  <c r="DP52" i="36"/>
  <c r="DP51" i="36"/>
  <c r="DL52" i="36"/>
  <c r="DL51" i="36"/>
  <c r="DK51" i="36"/>
  <c r="DH51" i="36"/>
  <c r="DG51" i="36"/>
  <c r="DC53" i="36"/>
  <c r="DD52" i="36"/>
  <c r="DD51" i="36"/>
  <c r="DC51" i="36"/>
  <c r="CZ51" i="36"/>
  <c r="CY51" i="36"/>
  <c r="CV51" i="36"/>
  <c r="CU51" i="36"/>
  <c r="CR51" i="36"/>
  <c r="CQ51" i="36"/>
  <c r="CM53" i="36"/>
  <c r="CN52" i="36"/>
  <c r="CM52" i="36"/>
  <c r="CN51" i="36"/>
  <c r="CJ51" i="36"/>
  <c r="CF51" i="36"/>
  <c r="CE51" i="36"/>
  <c r="CB51" i="36"/>
  <c r="BX55" i="36"/>
  <c r="BX52" i="36"/>
  <c r="BX51" i="36"/>
  <c r="DB49" i="36"/>
  <c r="A47" i="36"/>
  <c r="A46" i="36"/>
  <c r="N47" i="36"/>
  <c r="N46" i="36"/>
  <c r="J47" i="36"/>
  <c r="J46" i="36"/>
  <c r="F47" i="36"/>
  <c r="F46" i="36"/>
  <c r="DP47" i="36"/>
  <c r="DN47" i="36"/>
  <c r="DN46" i="36"/>
  <c r="DP46" i="36" s="1"/>
  <c r="DN45" i="36"/>
  <c r="DJ47" i="36"/>
  <c r="DL46" i="36"/>
  <c r="DJ46" i="36"/>
  <c r="DJ45" i="36"/>
  <c r="DL45" i="36" s="1"/>
  <c r="DF47" i="36"/>
  <c r="DF46" i="36"/>
  <c r="DG46" i="36" s="1"/>
  <c r="DH45" i="36"/>
  <c r="DF45" i="36"/>
  <c r="DB47" i="36"/>
  <c r="DD47" i="36" s="1"/>
  <c r="DB46" i="36"/>
  <c r="DB45" i="36"/>
  <c r="DC45" i="36" s="1"/>
  <c r="CZ47" i="36"/>
  <c r="CX47" i="36"/>
  <c r="CX46" i="36"/>
  <c r="CZ46" i="36" s="1"/>
  <c r="CX45" i="36"/>
  <c r="CT47" i="36"/>
  <c r="CU47" i="36" s="1"/>
  <c r="CV46" i="36"/>
  <c r="CT46" i="36"/>
  <c r="CT45" i="36"/>
  <c r="CV45" i="36" s="1"/>
  <c r="CP47" i="36"/>
  <c r="CP46" i="36"/>
  <c r="CQ46" i="36" s="1"/>
  <c r="CR45" i="36"/>
  <c r="CP45" i="36"/>
  <c r="CL47" i="36"/>
  <c r="CN47" i="36" s="1"/>
  <c r="CL46" i="36"/>
  <c r="CL45" i="36"/>
  <c r="CJ47" i="36"/>
  <c r="CH47" i="36"/>
  <c r="CH46" i="36"/>
  <c r="CJ46" i="36" s="1"/>
  <c r="CH45" i="36"/>
  <c r="CD47" i="36"/>
  <c r="CD46" i="36"/>
  <c r="CD45" i="36"/>
  <c r="BT47" i="36"/>
  <c r="BR47" i="36"/>
  <c r="BR46" i="36"/>
  <c r="BT46" i="36" s="1"/>
  <c r="BR45" i="36"/>
  <c r="BN47" i="36"/>
  <c r="BN46" i="36"/>
  <c r="BO46" i="36" s="1"/>
  <c r="BN45" i="36"/>
  <c r="BJ47" i="36"/>
  <c r="BJ46" i="36"/>
  <c r="BJ45" i="36"/>
  <c r="BF47" i="36"/>
  <c r="BF46" i="36"/>
  <c r="BG46" i="36" s="1"/>
  <c r="BF45" i="36"/>
  <c r="AP47" i="36"/>
  <c r="AR47" i="36" s="1"/>
  <c r="AP46" i="36"/>
  <c r="AQ46" i="36" s="1"/>
  <c r="AP45" i="36"/>
  <c r="AQ45" i="36" s="1"/>
  <c r="AN47" i="36"/>
  <c r="AL47" i="36"/>
  <c r="AL46" i="36"/>
  <c r="AN46" i="36" s="1"/>
  <c r="AL45" i="36"/>
  <c r="AH47" i="36"/>
  <c r="AI47" i="36" s="1"/>
  <c r="AJ46" i="36"/>
  <c r="AH46" i="36"/>
  <c r="AH45" i="36"/>
  <c r="AJ45" i="36" s="1"/>
  <c r="AD47" i="36"/>
  <c r="AD46" i="36"/>
  <c r="AE46" i="36" s="1"/>
  <c r="AF45" i="36"/>
  <c r="AD45" i="36"/>
  <c r="V47" i="36"/>
  <c r="V46" i="36"/>
  <c r="V45" i="36"/>
  <c r="W45" i="36" s="1"/>
  <c r="R47" i="36"/>
  <c r="R46" i="36"/>
  <c r="R45" i="36"/>
  <c r="O45" i="36"/>
  <c r="O43" i="36"/>
  <c r="O42" i="36"/>
  <c r="O41" i="36"/>
  <c r="K45" i="36"/>
  <c r="K43" i="36"/>
  <c r="K42" i="36"/>
  <c r="K41" i="36"/>
  <c r="G45" i="36"/>
  <c r="G43" i="36"/>
  <c r="G42" i="36"/>
  <c r="G41" i="36"/>
  <c r="B45" i="36"/>
  <c r="B44" i="36"/>
  <c r="B43" i="36"/>
  <c r="B42" i="36"/>
  <c r="B41" i="36"/>
  <c r="BO44" i="36"/>
  <c r="BO43" i="36"/>
  <c r="BO42" i="36"/>
  <c r="BO41" i="36"/>
  <c r="BK44" i="36"/>
  <c r="BK43" i="36"/>
  <c r="BK42" i="36"/>
  <c r="BK41" i="36"/>
  <c r="BG44" i="36"/>
  <c r="BG43" i="36"/>
  <c r="BG42" i="36"/>
  <c r="BG41" i="36"/>
  <c r="Z47" i="36"/>
  <c r="AF47" i="36" s="1"/>
  <c r="Z46" i="36"/>
  <c r="AB45" i="36"/>
  <c r="Z45" i="36"/>
  <c r="AA45" i="36" s="1"/>
  <c r="AB44" i="36"/>
  <c r="AA44" i="36"/>
  <c r="Z44" i="36"/>
  <c r="W44" i="36"/>
  <c r="W43" i="36"/>
  <c r="W42" i="36"/>
  <c r="W41" i="36"/>
  <c r="S44" i="36"/>
  <c r="S43" i="36"/>
  <c r="S42" i="36"/>
  <c r="S41" i="36"/>
  <c r="N44" i="36"/>
  <c r="J44" i="36"/>
  <c r="F44" i="36"/>
  <c r="A44" i="36"/>
  <c r="A43" i="36"/>
  <c r="A42" i="36"/>
  <c r="A41" i="36"/>
  <c r="DV41" i="36"/>
  <c r="DP44" i="36"/>
  <c r="DP43" i="36"/>
  <c r="DP42" i="36"/>
  <c r="DP41" i="36"/>
  <c r="DL44" i="36"/>
  <c r="DL43" i="36"/>
  <c r="DK43" i="36"/>
  <c r="DL42" i="36"/>
  <c r="DK42" i="36"/>
  <c r="DL41" i="36"/>
  <c r="DK41" i="36"/>
  <c r="DH44" i="36"/>
  <c r="DG44" i="36"/>
  <c r="DH43" i="36"/>
  <c r="DG43" i="36"/>
  <c r="DH42" i="36"/>
  <c r="DG42" i="36"/>
  <c r="DH41" i="36"/>
  <c r="DG41" i="36"/>
  <c r="DD44" i="36"/>
  <c r="DC44" i="36"/>
  <c r="DD43" i="36"/>
  <c r="DC43" i="36"/>
  <c r="DD42" i="36"/>
  <c r="DC42" i="36"/>
  <c r="DD41" i="36"/>
  <c r="DC41" i="36"/>
  <c r="CZ44" i="36"/>
  <c r="CY44" i="36"/>
  <c r="CZ43" i="36"/>
  <c r="CY43" i="36"/>
  <c r="CZ42" i="36"/>
  <c r="CY42" i="36"/>
  <c r="CZ41" i="36"/>
  <c r="CY41" i="36"/>
  <c r="CV44" i="36"/>
  <c r="CU44" i="36"/>
  <c r="CV43" i="36"/>
  <c r="CU43" i="36"/>
  <c r="CV42" i="36"/>
  <c r="CU42" i="36"/>
  <c r="CV41" i="36"/>
  <c r="CU41" i="36"/>
  <c r="CR44" i="36"/>
  <c r="CQ44" i="36"/>
  <c r="CR43" i="36"/>
  <c r="CQ43" i="36"/>
  <c r="CR42" i="36"/>
  <c r="CQ42" i="36"/>
  <c r="CR41" i="36"/>
  <c r="CQ41" i="36"/>
  <c r="CN44" i="36"/>
  <c r="CM44" i="36"/>
  <c r="CN43" i="36"/>
  <c r="CM43" i="36"/>
  <c r="CN42" i="36"/>
  <c r="CM42" i="36"/>
  <c r="CN41" i="36"/>
  <c r="CJ44" i="36"/>
  <c r="CJ43" i="36"/>
  <c r="CJ42" i="36"/>
  <c r="CJ41" i="36"/>
  <c r="CF44" i="36"/>
  <c r="CE44" i="36"/>
  <c r="CF43" i="36"/>
  <c r="CE43" i="36"/>
  <c r="CF42" i="36"/>
  <c r="CE42" i="36"/>
  <c r="CF41" i="36"/>
  <c r="CE41" i="36"/>
  <c r="CB44" i="36"/>
  <c r="CB43" i="36"/>
  <c r="CA43" i="36"/>
  <c r="CB42" i="36"/>
  <c r="CA42" i="36"/>
  <c r="BZ41" i="36"/>
  <c r="BZ46" i="36" s="1"/>
  <c r="BX44" i="36"/>
  <c r="BW44" i="36"/>
  <c r="BX43" i="36"/>
  <c r="BW43" i="36"/>
  <c r="BX42" i="36"/>
  <c r="BV41" i="36"/>
  <c r="BV45" i="36" s="1"/>
  <c r="BT44" i="36"/>
  <c r="BS44" i="36"/>
  <c r="BT43" i="36"/>
  <c r="BS43" i="36"/>
  <c r="BT42" i="36"/>
  <c r="BS42" i="36"/>
  <c r="BT41" i="36"/>
  <c r="AR44" i="36"/>
  <c r="AQ44" i="36"/>
  <c r="AR43" i="36"/>
  <c r="AQ43" i="36"/>
  <c r="AR42" i="36"/>
  <c r="AQ42" i="36"/>
  <c r="AR41" i="36"/>
  <c r="AQ41" i="36"/>
  <c r="AN44" i="36"/>
  <c r="AM44" i="36"/>
  <c r="AN43" i="36"/>
  <c r="AM43" i="36"/>
  <c r="AN42" i="36"/>
  <c r="AM42" i="36"/>
  <c r="AN41" i="36"/>
  <c r="AM41" i="36"/>
  <c r="AJ44" i="36"/>
  <c r="AI44" i="36"/>
  <c r="AJ43" i="36"/>
  <c r="AI43" i="36"/>
  <c r="AJ42" i="36"/>
  <c r="AI42" i="36"/>
  <c r="AJ41" i="36"/>
  <c r="AI41" i="36"/>
  <c r="AF44" i="36"/>
  <c r="AE44" i="36"/>
  <c r="AF43" i="36"/>
  <c r="AE43" i="36"/>
  <c r="AF42" i="36"/>
  <c r="AE42" i="36"/>
  <c r="AF41" i="36"/>
  <c r="AE41" i="36"/>
  <c r="AB43" i="36"/>
  <c r="AA43" i="36"/>
  <c r="AB42" i="36"/>
  <c r="AA42" i="36"/>
  <c r="AB41" i="36"/>
  <c r="AA41" i="36"/>
  <c r="F39" i="36"/>
  <c r="A37" i="36"/>
  <c r="A36" i="36"/>
  <c r="N37" i="36"/>
  <c r="N36" i="36"/>
  <c r="O36" i="36" s="1"/>
  <c r="J37" i="36"/>
  <c r="K87" i="36" s="1"/>
  <c r="J36" i="36"/>
  <c r="F37" i="36"/>
  <c r="F36" i="36"/>
  <c r="G36" i="36" s="1"/>
  <c r="DJ37" i="36"/>
  <c r="DL37" i="36" s="1"/>
  <c r="DJ36" i="36"/>
  <c r="DJ35" i="36"/>
  <c r="DL35" i="36" s="1"/>
  <c r="DH37" i="36"/>
  <c r="DF37" i="36"/>
  <c r="DF36" i="36"/>
  <c r="DH36" i="36" s="1"/>
  <c r="DF35" i="36"/>
  <c r="DD37" i="36"/>
  <c r="DB37" i="36"/>
  <c r="DD36" i="36"/>
  <c r="DB36" i="36"/>
  <c r="DB35" i="36"/>
  <c r="DD35" i="36" s="1"/>
  <c r="CX37" i="36"/>
  <c r="CZ36" i="36"/>
  <c r="CX36" i="36"/>
  <c r="CZ35" i="36"/>
  <c r="CX35" i="36"/>
  <c r="CT37" i="36"/>
  <c r="CV37" i="36" s="1"/>
  <c r="CT36" i="36"/>
  <c r="CV35" i="36"/>
  <c r="CT35" i="36"/>
  <c r="CU35" i="36" s="1"/>
  <c r="CR37" i="36"/>
  <c r="CP37" i="36"/>
  <c r="CP36" i="36"/>
  <c r="CP35" i="36"/>
  <c r="CL37" i="36"/>
  <c r="CL35" i="36"/>
  <c r="CN35" i="36" s="1"/>
  <c r="CD37" i="36"/>
  <c r="CD36" i="36"/>
  <c r="CE36" i="36" s="1"/>
  <c r="BB37" i="36"/>
  <c r="BD36" i="36"/>
  <c r="BB36" i="36"/>
  <c r="AX37" i="36"/>
  <c r="AZ37" i="36" s="1"/>
  <c r="AX36" i="36"/>
  <c r="AY36" i="36" s="1"/>
  <c r="AZ35" i="36"/>
  <c r="AX35" i="36"/>
  <c r="AV37" i="36"/>
  <c r="AT37" i="36"/>
  <c r="AT36" i="36"/>
  <c r="AV36" i="36" s="1"/>
  <c r="AT35" i="36"/>
  <c r="AR37" i="36"/>
  <c r="AP37" i="36"/>
  <c r="AR36" i="36"/>
  <c r="AP36" i="36"/>
  <c r="AP35" i="36"/>
  <c r="AR35" i="36" s="1"/>
  <c r="AL37" i="36"/>
  <c r="AN36" i="36"/>
  <c r="AL36" i="36"/>
  <c r="AN35" i="36"/>
  <c r="AL35" i="36"/>
  <c r="AH37" i="36"/>
  <c r="AJ37" i="36" s="1"/>
  <c r="AH36" i="36"/>
  <c r="AJ35" i="36"/>
  <c r="AH35" i="36"/>
  <c r="AD37" i="36"/>
  <c r="AD36" i="36"/>
  <c r="AE36" i="36" s="1"/>
  <c r="AD35" i="36"/>
  <c r="AE35" i="36" s="1"/>
  <c r="V37" i="36"/>
  <c r="V36" i="36"/>
  <c r="W36" i="36" s="1"/>
  <c r="V35" i="36"/>
  <c r="R37" i="36"/>
  <c r="R36" i="36"/>
  <c r="S86" i="36" s="1"/>
  <c r="R35" i="36"/>
  <c r="O35" i="36"/>
  <c r="O33" i="36"/>
  <c r="O32" i="36"/>
  <c r="O31" i="36"/>
  <c r="K33" i="36"/>
  <c r="K32" i="36"/>
  <c r="K31" i="36"/>
  <c r="G33" i="36"/>
  <c r="G32" i="36"/>
  <c r="G31" i="36"/>
  <c r="B35" i="36"/>
  <c r="B34" i="36"/>
  <c r="B33" i="36"/>
  <c r="B32" i="36"/>
  <c r="B31" i="36"/>
  <c r="CH37" i="36"/>
  <c r="CJ37" i="36" s="1"/>
  <c r="CH36" i="36"/>
  <c r="CH35" i="36"/>
  <c r="CJ34" i="36"/>
  <c r="CH34" i="36"/>
  <c r="BZ37" i="36"/>
  <c r="BZ36" i="36"/>
  <c r="BZ35" i="36"/>
  <c r="CB34" i="36"/>
  <c r="BZ34" i="36"/>
  <c r="BT34" i="36"/>
  <c r="BS34" i="36"/>
  <c r="BR34" i="36"/>
  <c r="BR64" i="36" s="1"/>
  <c r="Z37" i="36"/>
  <c r="AB37" i="36" s="1"/>
  <c r="Z36" i="36"/>
  <c r="AF36" i="36" s="1"/>
  <c r="AB35" i="36"/>
  <c r="Z35" i="36"/>
  <c r="AF35" i="36" s="1"/>
  <c r="AB34" i="36"/>
  <c r="AA34" i="36"/>
  <c r="Z34" i="36"/>
  <c r="Z75" i="36" s="1"/>
  <c r="W34" i="36"/>
  <c r="W33" i="36"/>
  <c r="W32" i="36"/>
  <c r="W31" i="36"/>
  <c r="S34" i="36"/>
  <c r="S33" i="36"/>
  <c r="S32" i="36"/>
  <c r="S31" i="36"/>
  <c r="N34" i="36"/>
  <c r="J34" i="36"/>
  <c r="K34" i="36" s="1"/>
  <c r="F34" i="36"/>
  <c r="G34" i="36" s="1"/>
  <c r="A34" i="36"/>
  <c r="A33" i="36"/>
  <c r="A32" i="36"/>
  <c r="A31" i="36"/>
  <c r="CD33" i="36"/>
  <c r="CD63" i="36" s="1"/>
  <c r="BJ33" i="36"/>
  <c r="BJ32" i="36"/>
  <c r="BK32" i="36" s="1"/>
  <c r="BJ31" i="36"/>
  <c r="BJ37" i="36" s="1"/>
  <c r="BB33" i="36"/>
  <c r="BV32" i="36"/>
  <c r="BV31" i="36"/>
  <c r="BV35" i="36" s="1"/>
  <c r="BN32" i="36"/>
  <c r="BO32" i="36" s="1"/>
  <c r="DS34" i="36"/>
  <c r="DR34" i="36"/>
  <c r="DS32" i="36"/>
  <c r="DR32" i="36"/>
  <c r="DN34" i="36"/>
  <c r="DN33" i="36"/>
  <c r="DN32" i="36"/>
  <c r="DN31" i="36"/>
  <c r="DL33" i="36"/>
  <c r="DR33" i="36" s="1"/>
  <c r="DK33" i="36"/>
  <c r="DL32" i="36"/>
  <c r="DK32" i="36"/>
  <c r="DL31" i="36"/>
  <c r="DR31" i="36" s="1"/>
  <c r="DK31" i="36"/>
  <c r="DH34" i="36"/>
  <c r="DG34" i="36"/>
  <c r="DH33" i="36"/>
  <c r="DG33" i="36"/>
  <c r="DH32" i="36"/>
  <c r="DG32" i="36"/>
  <c r="DH31" i="36"/>
  <c r="DG31" i="36"/>
  <c r="DD34" i="36"/>
  <c r="DC34" i="36"/>
  <c r="DD33" i="36"/>
  <c r="DC33" i="36"/>
  <c r="DD32" i="36"/>
  <c r="DC32" i="36"/>
  <c r="DD31" i="36"/>
  <c r="DC31" i="36"/>
  <c r="CZ34" i="36"/>
  <c r="CY34" i="36"/>
  <c r="CZ33" i="36"/>
  <c r="CY33" i="36"/>
  <c r="CZ32" i="36"/>
  <c r="CY32" i="36"/>
  <c r="CZ31" i="36"/>
  <c r="CY31" i="36"/>
  <c r="CV34" i="36"/>
  <c r="CU34" i="36"/>
  <c r="CV33" i="36"/>
  <c r="CU33" i="36"/>
  <c r="CV32" i="36"/>
  <c r="CU32" i="36"/>
  <c r="CV31" i="36"/>
  <c r="CU31" i="36"/>
  <c r="CR34" i="36"/>
  <c r="CQ34" i="36"/>
  <c r="CR33" i="36"/>
  <c r="CQ33" i="36"/>
  <c r="CR32" i="36"/>
  <c r="CQ32" i="36"/>
  <c r="CR31" i="36"/>
  <c r="CQ31" i="36"/>
  <c r="CN34" i="36"/>
  <c r="CM34" i="36"/>
  <c r="CN33" i="36"/>
  <c r="CM33" i="36"/>
  <c r="CN32" i="36"/>
  <c r="CM32" i="36"/>
  <c r="CN31" i="36"/>
  <c r="CL31" i="36"/>
  <c r="CL36" i="36" s="1"/>
  <c r="CJ33" i="36"/>
  <c r="CJ32" i="36"/>
  <c r="CJ31" i="36"/>
  <c r="CF34" i="36"/>
  <c r="CE34" i="36"/>
  <c r="CF33" i="36"/>
  <c r="CE33" i="36"/>
  <c r="CF32" i="36"/>
  <c r="CE32" i="36"/>
  <c r="CF31" i="36"/>
  <c r="CE31" i="36"/>
  <c r="CB33" i="36"/>
  <c r="CA33" i="36"/>
  <c r="CB32" i="36"/>
  <c r="CA32" i="36"/>
  <c r="CB31" i="36"/>
  <c r="BX34" i="36"/>
  <c r="BW34" i="36"/>
  <c r="BX33" i="36"/>
  <c r="BW33" i="36"/>
  <c r="BX32" i="36"/>
  <c r="BT33" i="36"/>
  <c r="BS33" i="36"/>
  <c r="BT32" i="36"/>
  <c r="BS32" i="36"/>
  <c r="BR31" i="36"/>
  <c r="BR35" i="36" s="1"/>
  <c r="BP34" i="36"/>
  <c r="BO34" i="36"/>
  <c r="BP33" i="36"/>
  <c r="BO33" i="36"/>
  <c r="BP31" i="36"/>
  <c r="BO31" i="36"/>
  <c r="BK34" i="36"/>
  <c r="BK33" i="36"/>
  <c r="BL31" i="36"/>
  <c r="BK31" i="36"/>
  <c r="BF34" i="36"/>
  <c r="BH34" i="36" s="1"/>
  <c r="BF33" i="36"/>
  <c r="BG33" i="36" s="1"/>
  <c r="BH32" i="36"/>
  <c r="BF32" i="36"/>
  <c r="BF36" i="36" s="1"/>
  <c r="BH31" i="36"/>
  <c r="BG31" i="36"/>
  <c r="BF31" i="36"/>
  <c r="BF35" i="36" s="1"/>
  <c r="BD34" i="36"/>
  <c r="BC34" i="36"/>
  <c r="BD33" i="36"/>
  <c r="BC33" i="36"/>
  <c r="BD32" i="36"/>
  <c r="BC32" i="36"/>
  <c r="BD31" i="36"/>
  <c r="BC31" i="36"/>
  <c r="AZ34" i="36"/>
  <c r="AY34" i="36"/>
  <c r="AZ33" i="36"/>
  <c r="AY33" i="36"/>
  <c r="AZ32" i="36"/>
  <c r="AY32" i="36"/>
  <c r="AZ31" i="36"/>
  <c r="AY31" i="36"/>
  <c r="AV34" i="36"/>
  <c r="AU34" i="36"/>
  <c r="AV33" i="36"/>
  <c r="AU33" i="36"/>
  <c r="AV32" i="36"/>
  <c r="AU32" i="36"/>
  <c r="AV31" i="36"/>
  <c r="AU31" i="36"/>
  <c r="AR34" i="36"/>
  <c r="AQ34" i="36"/>
  <c r="AR33" i="36"/>
  <c r="AQ33" i="36"/>
  <c r="AR32" i="36"/>
  <c r="AQ32" i="36"/>
  <c r="AR31" i="36"/>
  <c r="AQ31" i="36"/>
  <c r="AN34" i="36"/>
  <c r="AM34" i="36"/>
  <c r="AN33" i="36"/>
  <c r="AM33" i="36"/>
  <c r="AN32" i="36"/>
  <c r="AM32" i="36"/>
  <c r="AN31" i="36"/>
  <c r="AM31" i="36"/>
  <c r="AJ34" i="36"/>
  <c r="AI34" i="36"/>
  <c r="AJ33" i="36"/>
  <c r="AI33" i="36"/>
  <c r="AJ32" i="36"/>
  <c r="AI32" i="36"/>
  <c r="AJ31" i="36"/>
  <c r="AI31" i="36"/>
  <c r="AF34" i="36"/>
  <c r="AE34" i="36"/>
  <c r="AF33" i="36"/>
  <c r="AE33" i="36"/>
  <c r="AF32" i="36"/>
  <c r="AE32" i="36"/>
  <c r="AF31" i="36"/>
  <c r="AE31" i="36"/>
  <c r="AB33" i="36"/>
  <c r="AA33" i="36"/>
  <c r="AB32" i="36"/>
  <c r="AA32" i="36"/>
  <c r="AB31" i="36"/>
  <c r="AA31" i="36"/>
  <c r="DB29" i="36"/>
  <c r="CF29" i="36"/>
  <c r="F29" i="36"/>
  <c r="A27" i="36"/>
  <c r="A26" i="36"/>
  <c r="DJ26" i="36"/>
  <c r="DF27" i="36"/>
  <c r="DF26" i="36"/>
  <c r="DG26" i="36" s="1"/>
  <c r="DB27" i="36"/>
  <c r="DB26" i="36"/>
  <c r="CX27" i="36"/>
  <c r="CX26" i="36"/>
  <c r="CT27" i="36"/>
  <c r="CT26" i="36"/>
  <c r="CP27" i="36"/>
  <c r="CQ26" i="36"/>
  <c r="CP26" i="36"/>
  <c r="CL27" i="36"/>
  <c r="CM57" i="36" s="1"/>
  <c r="CL26" i="36"/>
  <c r="CM56" i="36" s="1"/>
  <c r="CH27" i="36"/>
  <c r="CH26" i="36"/>
  <c r="CD27" i="36"/>
  <c r="CD26" i="36"/>
  <c r="CE26" i="36" s="1"/>
  <c r="BZ27" i="36"/>
  <c r="BZ26" i="36"/>
  <c r="BV26" i="36"/>
  <c r="N27" i="36"/>
  <c r="O47" i="36" s="1"/>
  <c r="N26" i="36"/>
  <c r="O56" i="36" s="1"/>
  <c r="J27" i="36"/>
  <c r="K57" i="36" s="1"/>
  <c r="J26" i="36"/>
  <c r="K56" i="36" s="1"/>
  <c r="F27" i="36"/>
  <c r="G47" i="36" s="1"/>
  <c r="F26" i="36"/>
  <c r="G56" i="36" s="1"/>
  <c r="DF25" i="36"/>
  <c r="DC25" i="36"/>
  <c r="DB25" i="36"/>
  <c r="CX25" i="36"/>
  <c r="CT25" i="36"/>
  <c r="CP25" i="36"/>
  <c r="CL25" i="36"/>
  <c r="CD25" i="36"/>
  <c r="BZ25" i="36"/>
  <c r="BB27" i="36"/>
  <c r="BC57" i="36" s="1"/>
  <c r="BB26" i="36"/>
  <c r="BC56" i="36" s="1"/>
  <c r="BB25" i="36"/>
  <c r="AX27" i="36"/>
  <c r="AY57" i="36" s="1"/>
  <c r="AX26" i="36"/>
  <c r="AY56" i="36" s="1"/>
  <c r="AX25" i="36"/>
  <c r="AX76" i="36" s="1"/>
  <c r="AT27" i="36"/>
  <c r="AU57" i="36" s="1"/>
  <c r="AT26" i="36"/>
  <c r="AU56" i="36" s="1"/>
  <c r="AT25" i="36"/>
  <c r="AP27" i="36"/>
  <c r="AQ57" i="36" s="1"/>
  <c r="AQ26" i="36"/>
  <c r="AP26" i="36"/>
  <c r="AQ56" i="36" s="1"/>
  <c r="AP25" i="36"/>
  <c r="AL27" i="36"/>
  <c r="AL26" i="36"/>
  <c r="AM56" i="36" s="1"/>
  <c r="AM25" i="36"/>
  <c r="AL25" i="36"/>
  <c r="AH27" i="36"/>
  <c r="AI57" i="36" s="1"/>
  <c r="AH26" i="36"/>
  <c r="AH25" i="36"/>
  <c r="AH76" i="36" s="1"/>
  <c r="AD27" i="36"/>
  <c r="AE57" i="36" s="1"/>
  <c r="AD26" i="36"/>
  <c r="AE56" i="36" s="1"/>
  <c r="AD25" i="36"/>
  <c r="Z27" i="36"/>
  <c r="AA47" i="36" s="1"/>
  <c r="Z26" i="36"/>
  <c r="AA56" i="36" s="1"/>
  <c r="Z25" i="36"/>
  <c r="V27" i="36"/>
  <c r="W57" i="36" s="1"/>
  <c r="V26" i="36"/>
  <c r="W56" i="36" s="1"/>
  <c r="W25" i="36"/>
  <c r="V25" i="36"/>
  <c r="V76" i="36" s="1"/>
  <c r="R27" i="36"/>
  <c r="S57" i="36" s="1"/>
  <c r="R26" i="36"/>
  <c r="S56" i="36" s="1"/>
  <c r="R25" i="36"/>
  <c r="R76" i="36" s="1"/>
  <c r="O25" i="36"/>
  <c r="O23" i="36"/>
  <c r="O22" i="36"/>
  <c r="O21" i="36"/>
  <c r="K23" i="36"/>
  <c r="K22" i="36"/>
  <c r="K21" i="36"/>
  <c r="G23" i="36"/>
  <c r="G22" i="36"/>
  <c r="G21" i="36"/>
  <c r="B25" i="36"/>
  <c r="B24" i="36"/>
  <c r="B23" i="36"/>
  <c r="B22" i="36"/>
  <c r="B21" i="36"/>
  <c r="DP24" i="36"/>
  <c r="DP23" i="36"/>
  <c r="DL23" i="36"/>
  <c r="DS23" i="36" s="1"/>
  <c r="CH25" i="36"/>
  <c r="CH24" i="36"/>
  <c r="BC24" i="36"/>
  <c r="BC23" i="36"/>
  <c r="BC22" i="36"/>
  <c r="BC21" i="36"/>
  <c r="AY24" i="36"/>
  <c r="AY23" i="36"/>
  <c r="AY22" i="36"/>
  <c r="AY21" i="36"/>
  <c r="AU24" i="36"/>
  <c r="AU23" i="36"/>
  <c r="AU22" i="36"/>
  <c r="AU21" i="36"/>
  <c r="AQ24" i="36"/>
  <c r="AQ23" i="36"/>
  <c r="AQ22" i="36"/>
  <c r="AQ21" i="36"/>
  <c r="AM24" i="36"/>
  <c r="AM23" i="36"/>
  <c r="AM22" i="36"/>
  <c r="AM21" i="36"/>
  <c r="AI24" i="36"/>
  <c r="AI23" i="36"/>
  <c r="AI22" i="36"/>
  <c r="AI21" i="36"/>
  <c r="AE24" i="36"/>
  <c r="AE23" i="36"/>
  <c r="AE22" i="36"/>
  <c r="AE21" i="36"/>
  <c r="AA24" i="36"/>
  <c r="AA23" i="36"/>
  <c r="AA22" i="36"/>
  <c r="AA21" i="36"/>
  <c r="W24" i="36"/>
  <c r="W23" i="36"/>
  <c r="W22" i="36"/>
  <c r="W21" i="36"/>
  <c r="S24" i="36"/>
  <c r="S23" i="36"/>
  <c r="S22" i="36"/>
  <c r="S21" i="36"/>
  <c r="N24" i="36"/>
  <c r="N75" i="36" s="1"/>
  <c r="J24" i="36"/>
  <c r="F24" i="36"/>
  <c r="A24" i="36"/>
  <c r="A23" i="36"/>
  <c r="A22" i="36"/>
  <c r="A21" i="36"/>
  <c r="DW23" i="36"/>
  <c r="DK23" i="36"/>
  <c r="DK22" i="36"/>
  <c r="DK21" i="36"/>
  <c r="BJ23" i="36"/>
  <c r="BJ63" i="36" s="1"/>
  <c r="BJ22" i="36"/>
  <c r="BJ62" i="36" s="1"/>
  <c r="BJ21" i="36"/>
  <c r="BJ26" i="36" s="1"/>
  <c r="BK56" i="36" s="1"/>
  <c r="BV22" i="36"/>
  <c r="BV27" i="36" s="1"/>
  <c r="BV21" i="36"/>
  <c r="BV25" i="36" s="1"/>
  <c r="BN22" i="36"/>
  <c r="DG24" i="36"/>
  <c r="DH24" i="36" s="1"/>
  <c r="DG23" i="36"/>
  <c r="DH23" i="36" s="1"/>
  <c r="DR23" i="36" s="1"/>
  <c r="DG22" i="36"/>
  <c r="DH22" i="36" s="1"/>
  <c r="DH21" i="36"/>
  <c r="DG21" i="36"/>
  <c r="DC24" i="36"/>
  <c r="DC23" i="36"/>
  <c r="DD23" i="36" s="1"/>
  <c r="DC22" i="36"/>
  <c r="DD21" i="36"/>
  <c r="DC21" i="36"/>
  <c r="CY24" i="36"/>
  <c r="CZ24" i="36" s="1"/>
  <c r="CY23" i="36"/>
  <c r="CZ23" i="36" s="1"/>
  <c r="CY22" i="36"/>
  <c r="CZ22" i="36" s="1"/>
  <c r="CZ21" i="36"/>
  <c r="CY21" i="36"/>
  <c r="CU24" i="36"/>
  <c r="CU23" i="36"/>
  <c r="CV23" i="36" s="1"/>
  <c r="CU22" i="36"/>
  <c r="CV21" i="36"/>
  <c r="CU21" i="36"/>
  <c r="CQ24" i="36"/>
  <c r="CR24" i="36" s="1"/>
  <c r="CQ23" i="36"/>
  <c r="CR23" i="36" s="1"/>
  <c r="CQ22" i="36"/>
  <c r="CR22" i="36" s="1"/>
  <c r="CQ21" i="36"/>
  <c r="CM24" i="36"/>
  <c r="CM23" i="36"/>
  <c r="CM22" i="36"/>
  <c r="CL21" i="36"/>
  <c r="CE24" i="36"/>
  <c r="CE23" i="36"/>
  <c r="CF22" i="36"/>
  <c r="CE22" i="36"/>
  <c r="CE21" i="36"/>
  <c r="CA23" i="36"/>
  <c r="CB23" i="36" s="1"/>
  <c r="CA22" i="36"/>
  <c r="BX24" i="36"/>
  <c r="BW24" i="36"/>
  <c r="BW23" i="36"/>
  <c r="BX23" i="36" s="1"/>
  <c r="BT24" i="36"/>
  <c r="BS24" i="36"/>
  <c r="BT23" i="36"/>
  <c r="BS23" i="36"/>
  <c r="BS22" i="36"/>
  <c r="BR21" i="36"/>
  <c r="BR27" i="36" s="1"/>
  <c r="BS57" i="36" s="1"/>
  <c r="BO24" i="36"/>
  <c r="BP23" i="36"/>
  <c r="BO23" i="36"/>
  <c r="BO22" i="36"/>
  <c r="BP22" i="36" s="1"/>
  <c r="BO21" i="36"/>
  <c r="BP21" i="36" s="1"/>
  <c r="BK24" i="36"/>
  <c r="BL23" i="36"/>
  <c r="BK23" i="36"/>
  <c r="BK22" i="36"/>
  <c r="BK21" i="36"/>
  <c r="BF24" i="36"/>
  <c r="BG23" i="36"/>
  <c r="BH23" i="36" s="1"/>
  <c r="BF23" i="36"/>
  <c r="BF22" i="36"/>
  <c r="BF62" i="36" s="1"/>
  <c r="BF21" i="36"/>
  <c r="BF25" i="36" s="1"/>
  <c r="BG55" i="36" s="1"/>
  <c r="DB19" i="36"/>
  <c r="CF19" i="36"/>
  <c r="CL17" i="36"/>
  <c r="AL17" i="36"/>
  <c r="AL16" i="36"/>
  <c r="AM87" i="36" s="1"/>
  <c r="AL15" i="36"/>
  <c r="AL14" i="36"/>
  <c r="AM35" i="36" s="1"/>
  <c r="D16" i="36"/>
  <c r="D15" i="36"/>
  <c r="G15" i="36" s="1"/>
  <c r="D14" i="36"/>
  <c r="DG17" i="36"/>
  <c r="DF17" i="36"/>
  <c r="DH16" i="36"/>
  <c r="DF16" i="36"/>
  <c r="DH15" i="36"/>
  <c r="DF15" i="36"/>
  <c r="DC17" i="36"/>
  <c r="DB17" i="36"/>
  <c r="DC27" i="36" s="1"/>
  <c r="DC16" i="36"/>
  <c r="DB16" i="36"/>
  <c r="DD15" i="36"/>
  <c r="DB15" i="36"/>
  <c r="CZ17" i="36"/>
  <c r="CX17" i="36"/>
  <c r="CY16" i="36"/>
  <c r="CX16" i="36"/>
  <c r="CY15" i="36"/>
  <c r="CX15" i="36"/>
  <c r="CY26" i="36" s="1"/>
  <c r="CV17" i="36"/>
  <c r="CT17" i="36"/>
  <c r="CT16" i="36"/>
  <c r="CU27" i="36" s="1"/>
  <c r="CU15" i="36"/>
  <c r="CT15" i="36"/>
  <c r="CU46" i="36" s="1"/>
  <c r="CQ17" i="36"/>
  <c r="CP17" i="36"/>
  <c r="CR17" i="36" s="1"/>
  <c r="CP16" i="36"/>
  <c r="CR15" i="36"/>
  <c r="CR16" i="36" s="1"/>
  <c r="CP15" i="36"/>
  <c r="CD16" i="36"/>
  <c r="CF15" i="36"/>
  <c r="CD15" i="36"/>
  <c r="CE86" i="36" s="1"/>
  <c r="BN16" i="36"/>
  <c r="BP15" i="36"/>
  <c r="BN15" i="36"/>
  <c r="BK16" i="36"/>
  <c r="BJ16" i="36"/>
  <c r="BK15" i="36"/>
  <c r="BJ15" i="36"/>
  <c r="BK26" i="36" s="1"/>
  <c r="BH16" i="36"/>
  <c r="BF16" i="36"/>
  <c r="BH15" i="36"/>
  <c r="BG15" i="36"/>
  <c r="BF15" i="36"/>
  <c r="BC16" i="36"/>
  <c r="BB16" i="36"/>
  <c r="BC27" i="36" s="1"/>
  <c r="BC15" i="36"/>
  <c r="BB15" i="36"/>
  <c r="AX16" i="36"/>
  <c r="AZ15" i="36"/>
  <c r="AZ16" i="36" s="1"/>
  <c r="AX15" i="36"/>
  <c r="AY86" i="36" s="1"/>
  <c r="AU16" i="36"/>
  <c r="AT16" i="36"/>
  <c r="AU37" i="36" s="1"/>
  <c r="AU15" i="36"/>
  <c r="AT15" i="36"/>
  <c r="AY15" i="36" s="1"/>
  <c r="AR16" i="36"/>
  <c r="AP16" i="36"/>
  <c r="AR15" i="36"/>
  <c r="AR18" i="36" s="1"/>
  <c r="AQ15" i="36"/>
  <c r="AP15" i="36"/>
  <c r="AQ36" i="36" s="1"/>
  <c r="AN15" i="36"/>
  <c r="AH16" i="36"/>
  <c r="AI27" i="36" s="1"/>
  <c r="AH15" i="36"/>
  <c r="AJ15" i="36" s="1"/>
  <c r="AD16" i="36"/>
  <c r="AF15" i="36"/>
  <c r="AE15" i="36"/>
  <c r="AD15" i="36"/>
  <c r="AE26" i="36" s="1"/>
  <c r="Z16" i="36"/>
  <c r="AA27" i="36" s="1"/>
  <c r="Z15" i="36"/>
  <c r="AB15" i="36" s="1"/>
  <c r="V16" i="36"/>
  <c r="W27" i="36" s="1"/>
  <c r="X15" i="36"/>
  <c r="V15" i="36"/>
  <c r="W26" i="36" s="1"/>
  <c r="R16" i="36"/>
  <c r="S27" i="36" s="1"/>
  <c r="R15" i="36"/>
  <c r="W15" i="36" s="1"/>
  <c r="N16" i="36"/>
  <c r="P15" i="36"/>
  <c r="O15" i="36"/>
  <c r="N15" i="36"/>
  <c r="J16" i="36"/>
  <c r="K27" i="36" s="1"/>
  <c r="J15" i="36"/>
  <c r="L15" i="36" s="1"/>
  <c r="F16" i="36"/>
  <c r="H15" i="36"/>
  <c r="F15" i="36"/>
  <c r="DG14" i="36"/>
  <c r="DF14" i="36"/>
  <c r="DG45" i="36" s="1"/>
  <c r="DC14" i="36"/>
  <c r="DB14" i="36"/>
  <c r="CY14" i="36"/>
  <c r="CX14" i="36"/>
  <c r="CU14" i="36"/>
  <c r="CT14" i="36"/>
  <c r="CU45" i="36" s="1"/>
  <c r="CP14" i="36"/>
  <c r="CM11" i="36"/>
  <c r="CD14" i="36"/>
  <c r="BV14" i="36"/>
  <c r="BW55" i="36" s="1"/>
  <c r="BN14" i="36"/>
  <c r="BJ14" i="36"/>
  <c r="BO14" i="36" s="1"/>
  <c r="BF14" i="36"/>
  <c r="BG45" i="36" s="1"/>
  <c r="BB14" i="36"/>
  <c r="BC14" i="36" s="1"/>
  <c r="AY14" i="36"/>
  <c r="AX14" i="36"/>
  <c r="AY25" i="36" s="1"/>
  <c r="AT14" i="36"/>
  <c r="AP14" i="36"/>
  <c r="AQ25" i="36" s="1"/>
  <c r="AM13" i="36"/>
  <c r="AM12" i="36"/>
  <c r="AM11" i="36"/>
  <c r="AM10" i="36"/>
  <c r="AH14" i="36"/>
  <c r="AD14" i="36"/>
  <c r="AE85" i="36" s="1"/>
  <c r="Z14" i="36"/>
  <c r="AA25" i="36" s="1"/>
  <c r="V14" i="36"/>
  <c r="W35" i="36" s="1"/>
  <c r="R14" i="36"/>
  <c r="S25" i="36" s="1"/>
  <c r="O12" i="36"/>
  <c r="O11" i="36"/>
  <c r="O10" i="36"/>
  <c r="J14" i="36"/>
  <c r="G14" i="36"/>
  <c r="F14" i="36"/>
  <c r="DJ16" i="36"/>
  <c r="DK16" i="36" s="1"/>
  <c r="DJ15" i="36"/>
  <c r="DL15" i="36" s="1"/>
  <c r="DG13" i="36"/>
  <c r="DG12" i="36"/>
  <c r="DG11" i="36"/>
  <c r="DG10" i="36"/>
  <c r="DC13" i="36"/>
  <c r="DC12" i="36"/>
  <c r="DC11" i="36"/>
  <c r="DC10" i="36"/>
  <c r="CY13" i="36"/>
  <c r="CY12" i="36"/>
  <c r="CY11" i="36"/>
  <c r="CY10" i="36"/>
  <c r="CU13" i="36"/>
  <c r="CU12" i="36"/>
  <c r="CU11" i="36"/>
  <c r="CU10" i="36"/>
  <c r="CQ13" i="36"/>
  <c r="CQ12" i="36"/>
  <c r="CQ11" i="36"/>
  <c r="CE12" i="36"/>
  <c r="CE11" i="36"/>
  <c r="BZ14" i="36"/>
  <c r="BZ13" i="36"/>
  <c r="BW13" i="36"/>
  <c r="BW12" i="36"/>
  <c r="BS13" i="36"/>
  <c r="BS12" i="36"/>
  <c r="BS11" i="36"/>
  <c r="BO13" i="36"/>
  <c r="BO12" i="36"/>
  <c r="BO11" i="36"/>
  <c r="BO10" i="36"/>
  <c r="BK13" i="36"/>
  <c r="BK12" i="36"/>
  <c r="BK11" i="36"/>
  <c r="BK10" i="36"/>
  <c r="BG13" i="36"/>
  <c r="BG12" i="36"/>
  <c r="BG11" i="36"/>
  <c r="BG10" i="36"/>
  <c r="BC13" i="36"/>
  <c r="BC12" i="36"/>
  <c r="BC11" i="36"/>
  <c r="BC10" i="36"/>
  <c r="AY13" i="36"/>
  <c r="AY12" i="36"/>
  <c r="AY11" i="36"/>
  <c r="AY10" i="36"/>
  <c r="AU13" i="36"/>
  <c r="AU12" i="36"/>
  <c r="AU11" i="36"/>
  <c r="AU10" i="36"/>
  <c r="AQ13" i="36"/>
  <c r="AQ12" i="36"/>
  <c r="AQ11" i="36"/>
  <c r="AQ10" i="36"/>
  <c r="AI13" i="36"/>
  <c r="AI12" i="36"/>
  <c r="AI11" i="36"/>
  <c r="AI10" i="36"/>
  <c r="AE13" i="36"/>
  <c r="AE12" i="36"/>
  <c r="AE11" i="36"/>
  <c r="AE10" i="36"/>
  <c r="AA13" i="36"/>
  <c r="AA12" i="36"/>
  <c r="AA11" i="36"/>
  <c r="AA10" i="36"/>
  <c r="W13" i="36"/>
  <c r="W12" i="36"/>
  <c r="W11" i="36"/>
  <c r="W10" i="36"/>
  <c r="S12" i="36"/>
  <c r="S11" i="36"/>
  <c r="S10" i="36"/>
  <c r="N13" i="36"/>
  <c r="K13" i="36"/>
  <c r="K12" i="36"/>
  <c r="K11" i="36"/>
  <c r="K10" i="36"/>
  <c r="G13" i="36"/>
  <c r="G12" i="36"/>
  <c r="G11" i="36"/>
  <c r="G10" i="36"/>
  <c r="DK12" i="36"/>
  <c r="DK11" i="36"/>
  <c r="DK10" i="36"/>
  <c r="CA12" i="36"/>
  <c r="CA11" i="36"/>
  <c r="BV11" i="36"/>
  <c r="BV10" i="36"/>
  <c r="BV16" i="36" s="1"/>
  <c r="DS12" i="36"/>
  <c r="DR12" i="36"/>
  <c r="DS11" i="36"/>
  <c r="DR11" i="36"/>
  <c r="DS10" i="36"/>
  <c r="DR10" i="36"/>
  <c r="CL10" i="36"/>
  <c r="CH13" i="36"/>
  <c r="CH12" i="36"/>
  <c r="CI23" i="36" s="1"/>
  <c r="CJ23" i="36" s="1"/>
  <c r="CH11" i="36"/>
  <c r="CH10" i="36"/>
  <c r="CI21" i="36" s="1"/>
  <c r="CJ21" i="36" s="1"/>
  <c r="BZ10" i="36"/>
  <c r="BZ16" i="36" s="1"/>
  <c r="BR10" i="36"/>
  <c r="CF8" i="36"/>
  <c r="CX8" i="36" s="1"/>
  <c r="BN6" i="36"/>
  <c r="BR6" i="36" s="1"/>
  <c r="BV6" i="36" s="1"/>
  <c r="BZ6" i="36" s="1"/>
  <c r="CD6" i="36" s="1"/>
  <c r="CH6" i="36" s="1"/>
  <c r="CL6" i="36" s="1"/>
  <c r="CP6" i="36" s="1"/>
  <c r="CT6" i="36" s="1"/>
  <c r="CX6" i="36" s="1"/>
  <c r="DB6" i="36" s="1"/>
  <c r="DF6" i="36" s="1"/>
  <c r="DJ6" i="36" s="1"/>
  <c r="DN6" i="36" s="1"/>
  <c r="BJ6" i="36"/>
  <c r="AH6" i="36"/>
  <c r="AL6" i="36" s="1"/>
  <c r="AD6" i="36"/>
  <c r="A1" i="36"/>
  <c r="AV221" i="39"/>
  <c r="AK220" i="39"/>
  <c r="AE220" i="39"/>
  <c r="Y220" i="39"/>
  <c r="F220" i="39"/>
  <c r="AK215" i="39"/>
  <c r="AK214" i="39"/>
  <c r="AK213" i="39"/>
  <c r="AE215" i="39"/>
  <c r="AE214" i="39"/>
  <c r="AE213" i="39"/>
  <c r="Y215" i="39"/>
  <c r="Y214" i="39"/>
  <c r="Y213" i="39"/>
  <c r="F215" i="39"/>
  <c r="F214" i="39"/>
  <c r="F213" i="39"/>
  <c r="B211" i="39"/>
  <c r="B210" i="39"/>
  <c r="B209" i="39"/>
  <c r="B208" i="39"/>
  <c r="B207" i="39"/>
  <c r="AN210" i="39"/>
  <c r="J210" i="39"/>
  <c r="A210" i="39"/>
  <c r="A209" i="39"/>
  <c r="A208" i="39"/>
  <c r="A207" i="39"/>
  <c r="BC210" i="39"/>
  <c r="BC209" i="39"/>
  <c r="BC208" i="39"/>
  <c r="AK210" i="39"/>
  <c r="AH210" i="39"/>
  <c r="AK209" i="39"/>
  <c r="AK208" i="39"/>
  <c r="AK207" i="39"/>
  <c r="AE210" i="39"/>
  <c r="AB210" i="39"/>
  <c r="AE209" i="39"/>
  <c r="AE208" i="39"/>
  <c r="AE207" i="39"/>
  <c r="Y210" i="39"/>
  <c r="Y209" i="39"/>
  <c r="Y208" i="39"/>
  <c r="Y207" i="39"/>
  <c r="F210" i="39"/>
  <c r="F209" i="39"/>
  <c r="F208" i="39"/>
  <c r="F207" i="39"/>
  <c r="BJ204" i="39"/>
  <c r="B204" i="39"/>
  <c r="B203" i="39"/>
  <c r="B202" i="39"/>
  <c r="B201" i="39"/>
  <c r="B200" i="39"/>
  <c r="AK216" i="39"/>
  <c r="AE216" i="39"/>
  <c r="Y216" i="39"/>
  <c r="F216" i="39"/>
  <c r="A203" i="39"/>
  <c r="A202" i="39"/>
  <c r="A201" i="39"/>
  <c r="A200" i="39"/>
  <c r="AM202" i="39"/>
  <c r="AN209" i="39" s="1"/>
  <c r="AM201" i="39"/>
  <c r="AN208" i="39" s="1"/>
  <c r="AM200" i="39"/>
  <c r="AN207" i="39" s="1"/>
  <c r="AJ202" i="39"/>
  <c r="AJ201" i="39"/>
  <c r="AJ200" i="39"/>
  <c r="AD202" i="39"/>
  <c r="AD201" i="39"/>
  <c r="AD200" i="39"/>
  <c r="X202" i="39"/>
  <c r="X201" i="39"/>
  <c r="X200" i="39"/>
  <c r="I202" i="39"/>
  <c r="J209" i="39" s="1"/>
  <c r="I201" i="39"/>
  <c r="I200" i="39"/>
  <c r="J207" i="39" s="1"/>
  <c r="E202" i="39"/>
  <c r="E201" i="39"/>
  <c r="E200" i="39"/>
  <c r="CH202" i="39"/>
  <c r="CH201" i="39"/>
  <c r="CH200" i="39"/>
  <c r="BZ202" i="39"/>
  <c r="BZ201" i="39"/>
  <c r="BY201" i="39"/>
  <c r="BY200" i="39"/>
  <c r="BX200" i="39"/>
  <c r="BK202" i="39"/>
  <c r="CI202" i="39" s="1"/>
  <c r="BK201" i="39"/>
  <c r="CC201" i="39" s="1"/>
  <c r="BK200" i="39"/>
  <c r="CI200" i="39" s="1"/>
  <c r="BH202" i="39"/>
  <c r="BL202" i="39" s="1"/>
  <c r="BG202" i="39"/>
  <c r="BD202" i="39"/>
  <c r="BU202" i="39" s="1"/>
  <c r="BC202" i="39"/>
  <c r="BB202" i="39"/>
  <c r="BI202" i="39" s="1"/>
  <c r="BH201" i="39"/>
  <c r="BL201" i="39" s="1"/>
  <c r="BG201" i="39"/>
  <c r="BD201" i="39"/>
  <c r="BU201" i="39" s="1"/>
  <c r="BC201" i="39"/>
  <c r="BB201" i="39"/>
  <c r="BI201" i="39" s="1"/>
  <c r="BH200" i="39"/>
  <c r="BN200" i="39" s="1"/>
  <c r="BG200" i="39"/>
  <c r="BD200" i="39"/>
  <c r="BZ200" i="39" s="1"/>
  <c r="BC200" i="39"/>
  <c r="BB200" i="39"/>
  <c r="BI200" i="39" s="1"/>
  <c r="AG202" i="39"/>
  <c r="AH209" i="39" s="1"/>
  <c r="AG201" i="39"/>
  <c r="AH208" i="39" s="1"/>
  <c r="AG200" i="39"/>
  <c r="AH207" i="39" s="1"/>
  <c r="AB202" i="39"/>
  <c r="AA202" i="39"/>
  <c r="AB209" i="39" s="1"/>
  <c r="AA201" i="39"/>
  <c r="AB208" i="39" s="1"/>
  <c r="AB200" i="39"/>
  <c r="AA200" i="39"/>
  <c r="AB207" i="39" s="1"/>
  <c r="CC196" i="39"/>
  <c r="BJ197" i="39"/>
  <c r="BC197" i="39"/>
  <c r="BB197" i="39"/>
  <c r="AL197" i="39"/>
  <c r="AI197" i="39"/>
  <c r="AM197" i="39" s="1"/>
  <c r="AF197" i="39"/>
  <c r="AC197" i="39"/>
  <c r="AA197" i="39"/>
  <c r="Z197" i="39"/>
  <c r="W197" i="39"/>
  <c r="G197" i="39"/>
  <c r="D197" i="39"/>
  <c r="BD197" i="39" s="1"/>
  <c r="BX197" i="39" s="1"/>
  <c r="B197" i="39"/>
  <c r="B196" i="39"/>
  <c r="B195" i="39"/>
  <c r="B194" i="39"/>
  <c r="B193" i="39"/>
  <c r="AJ196" i="39"/>
  <c r="AJ195" i="39"/>
  <c r="AJ194" i="39"/>
  <c r="AJ193" i="39"/>
  <c r="AD196" i="39"/>
  <c r="AD195" i="39"/>
  <c r="AD194" i="39"/>
  <c r="AD193" i="39"/>
  <c r="X196" i="39"/>
  <c r="X195" i="39"/>
  <c r="X194" i="39"/>
  <c r="X193" i="39"/>
  <c r="E196" i="39"/>
  <c r="E195" i="39"/>
  <c r="E194" i="39"/>
  <c r="E193" i="39"/>
  <c r="A196" i="39"/>
  <c r="A195" i="39"/>
  <c r="A194" i="39"/>
  <c r="A193" i="39"/>
  <c r="CI196" i="39"/>
  <c r="CH196" i="39"/>
  <c r="CI195" i="39"/>
  <c r="CI194" i="39"/>
  <c r="CH194" i="39"/>
  <c r="CI193" i="39"/>
  <c r="BZ197" i="39"/>
  <c r="BY197" i="39"/>
  <c r="BK196" i="39"/>
  <c r="BL195" i="39"/>
  <c r="BK195" i="39"/>
  <c r="BK194" i="39"/>
  <c r="BL193" i="39"/>
  <c r="BK193" i="39"/>
  <c r="BH196" i="39"/>
  <c r="BN196" i="39" s="1"/>
  <c r="BG196" i="39"/>
  <c r="BD196" i="39"/>
  <c r="BY196" i="39" s="1"/>
  <c r="BC196" i="39"/>
  <c r="BB196" i="39"/>
  <c r="BH195" i="39"/>
  <c r="BN195" i="39" s="1"/>
  <c r="BG195" i="39"/>
  <c r="BD195" i="39"/>
  <c r="BF195" i="39" s="1"/>
  <c r="BC195" i="39"/>
  <c r="BB195" i="39"/>
  <c r="BH194" i="39"/>
  <c r="BG194" i="39"/>
  <c r="BD194" i="39"/>
  <c r="BZ194" i="39" s="1"/>
  <c r="BC194" i="39"/>
  <c r="BB194" i="39"/>
  <c r="BH193" i="39"/>
  <c r="BN193" i="39" s="1"/>
  <c r="BG193" i="39"/>
  <c r="BD193" i="39"/>
  <c r="BF200" i="39" s="1"/>
  <c r="BC193" i="39"/>
  <c r="BB193" i="39"/>
  <c r="AM196" i="39"/>
  <c r="AN203" i="39" s="1"/>
  <c r="AN195" i="39"/>
  <c r="AM195" i="39"/>
  <c r="AN202" i="39" s="1"/>
  <c r="AM194" i="39"/>
  <c r="AN201" i="39" s="1"/>
  <c r="AM193" i="39"/>
  <c r="AG196" i="39"/>
  <c r="AH203" i="39" s="1"/>
  <c r="AG195" i="39"/>
  <c r="AH202" i="39" s="1"/>
  <c r="AG194" i="39"/>
  <c r="AH194" i="39" s="1"/>
  <c r="AG193" i="39"/>
  <c r="AH200" i="39" s="1"/>
  <c r="AA196" i="39"/>
  <c r="AB203" i="39" s="1"/>
  <c r="AA195" i="39"/>
  <c r="AA194" i="39"/>
  <c r="AB201" i="39" s="1"/>
  <c r="AA193" i="39"/>
  <c r="I197" i="39"/>
  <c r="I196" i="39"/>
  <c r="J203" i="39" s="1"/>
  <c r="I195" i="39"/>
  <c r="J195" i="39" s="1"/>
  <c r="I194" i="39"/>
  <c r="I193" i="39"/>
  <c r="J200" i="39" s="1"/>
  <c r="BU189" i="39"/>
  <c r="BU188" i="39"/>
  <c r="BU186" i="39"/>
  <c r="BJ190" i="39"/>
  <c r="BC190" i="39"/>
  <c r="BB190" i="39"/>
  <c r="AM190" i="39"/>
  <c r="AL190" i="39"/>
  <c r="AI190" i="39"/>
  <c r="AJ197" i="39" s="1"/>
  <c r="AF190" i="39"/>
  <c r="AG190" i="39" s="1"/>
  <c r="AC190" i="39"/>
  <c r="AD197" i="39" s="1"/>
  <c r="Z190" i="39"/>
  <c r="AA190" i="39" s="1"/>
  <c r="W190" i="39"/>
  <c r="X197" i="39" s="1"/>
  <c r="G190" i="39"/>
  <c r="D190" i="39"/>
  <c r="E197" i="39" s="1"/>
  <c r="B190" i="39"/>
  <c r="B189" i="39"/>
  <c r="B188" i="39"/>
  <c r="B187" i="39"/>
  <c r="B186" i="39"/>
  <c r="AJ189" i="39"/>
  <c r="AJ188" i="39"/>
  <c r="AJ187" i="39"/>
  <c r="AJ186" i="39"/>
  <c r="AD189" i="39"/>
  <c r="AD188" i="39"/>
  <c r="AD187" i="39"/>
  <c r="AD186" i="39"/>
  <c r="X189" i="39"/>
  <c r="X188" i="39"/>
  <c r="X187" i="39"/>
  <c r="X186" i="39"/>
  <c r="E189" i="39"/>
  <c r="E188" i="39"/>
  <c r="E187" i="39"/>
  <c r="E186" i="39"/>
  <c r="A189" i="39"/>
  <c r="A188" i="39"/>
  <c r="A187" i="39"/>
  <c r="A186" i="39"/>
  <c r="AM188" i="39"/>
  <c r="AM187" i="39"/>
  <c r="AM186" i="39"/>
  <c r="AN193" i="39" s="1"/>
  <c r="CF189" i="39"/>
  <c r="CF188" i="39"/>
  <c r="CF187" i="39"/>
  <c r="CF186" i="39"/>
  <c r="BZ189" i="39"/>
  <c r="BX189" i="39"/>
  <c r="BZ188" i="39"/>
  <c r="BY188" i="39"/>
  <c r="BZ187" i="39"/>
  <c r="BY187" i="39"/>
  <c r="BX187" i="39"/>
  <c r="BY186" i="39"/>
  <c r="BX186" i="39"/>
  <c r="BK189" i="39"/>
  <c r="CC189" i="39" s="1"/>
  <c r="BK188" i="39"/>
  <c r="CH188" i="39" s="1"/>
  <c r="BN187" i="39"/>
  <c r="BK187" i="39"/>
  <c r="CH187" i="39" s="1"/>
  <c r="BK186" i="39"/>
  <c r="CH186" i="39" s="1"/>
  <c r="BH189" i="39"/>
  <c r="BG189" i="39"/>
  <c r="BD189" i="39"/>
  <c r="BY189" i="39" s="1"/>
  <c r="BC189" i="39"/>
  <c r="BB189" i="39"/>
  <c r="BE189" i="39" s="1"/>
  <c r="BH188" i="39"/>
  <c r="BG188" i="39"/>
  <c r="BE188" i="39"/>
  <c r="BD188" i="39"/>
  <c r="BX188" i="39" s="1"/>
  <c r="BC188" i="39"/>
  <c r="BB188" i="39"/>
  <c r="BI187" i="39"/>
  <c r="BH187" i="39"/>
  <c r="BG187" i="39"/>
  <c r="BD187" i="39"/>
  <c r="BU187" i="39" s="1"/>
  <c r="BC187" i="39"/>
  <c r="BB187" i="39"/>
  <c r="BE187" i="39" s="1"/>
  <c r="BH186" i="39"/>
  <c r="BG186" i="39"/>
  <c r="BD186" i="39"/>
  <c r="BZ186" i="39" s="1"/>
  <c r="BC186" i="39"/>
  <c r="BB186" i="39"/>
  <c r="BE186" i="39" s="1"/>
  <c r="AG189" i="39"/>
  <c r="AG188" i="39"/>
  <c r="AH188" i="39" s="1"/>
  <c r="AG187" i="39"/>
  <c r="AG186" i="39"/>
  <c r="AH186" i="39" s="1"/>
  <c r="AA189" i="39"/>
  <c r="AA188" i="39"/>
  <c r="AB188" i="39" s="1"/>
  <c r="AA187" i="39"/>
  <c r="AA186" i="39"/>
  <c r="AB186" i="39" s="1"/>
  <c r="I189" i="39"/>
  <c r="J189" i="39" s="1"/>
  <c r="I188" i="39"/>
  <c r="I187" i="39"/>
  <c r="J187" i="39" s="1"/>
  <c r="I186" i="39"/>
  <c r="CC182" i="39"/>
  <c r="CC179" i="39"/>
  <c r="BJ183" i="39"/>
  <c r="BG183" i="39"/>
  <c r="BC183" i="39"/>
  <c r="BB183" i="39"/>
  <c r="AL183" i="39"/>
  <c r="AM183" i="39" s="1"/>
  <c r="AJ183" i="39"/>
  <c r="AI183" i="39"/>
  <c r="AF183" i="39"/>
  <c r="AC183" i="39"/>
  <c r="AD183" i="39" s="1"/>
  <c r="AA183" i="39"/>
  <c r="Z183" i="39"/>
  <c r="W183" i="39"/>
  <c r="G183" i="39"/>
  <c r="I183" i="39" s="1"/>
  <c r="J183" i="39" s="1"/>
  <c r="D183" i="39"/>
  <c r="BD183" i="39" s="1"/>
  <c r="BU183" i="39" s="1"/>
  <c r="B183" i="39"/>
  <c r="B182" i="39"/>
  <c r="B181" i="39"/>
  <c r="B180" i="39"/>
  <c r="B179" i="39"/>
  <c r="AJ182" i="39"/>
  <c r="AJ181" i="39"/>
  <c r="AJ180" i="39"/>
  <c r="AJ179" i="39"/>
  <c r="AD182" i="39"/>
  <c r="AD181" i="39"/>
  <c r="AD180" i="39"/>
  <c r="AD179" i="39"/>
  <c r="X182" i="39"/>
  <c r="X181" i="39"/>
  <c r="X180" i="39"/>
  <c r="X179" i="39"/>
  <c r="E182" i="39"/>
  <c r="E181" i="39"/>
  <c r="E180" i="39"/>
  <c r="E179" i="39"/>
  <c r="A182" i="39"/>
  <c r="A181" i="39"/>
  <c r="A180" i="39"/>
  <c r="A179" i="39"/>
  <c r="CI182" i="39"/>
  <c r="CF182" i="39"/>
  <c r="CI181" i="39"/>
  <c r="CF181" i="39"/>
  <c r="CI180" i="39"/>
  <c r="CF180" i="39"/>
  <c r="CI179" i="39"/>
  <c r="CF179" i="39"/>
  <c r="BZ183" i="39"/>
  <c r="BZ182" i="39"/>
  <c r="BY181" i="39"/>
  <c r="BX181" i="39"/>
  <c r="BK182" i="39"/>
  <c r="CG182" i="39" s="1"/>
  <c r="BM181" i="39"/>
  <c r="BK181" i="39"/>
  <c r="CG181" i="39" s="1"/>
  <c r="BK180" i="39"/>
  <c r="CC180" i="39" s="1"/>
  <c r="BM179" i="39"/>
  <c r="BK179" i="39"/>
  <c r="CG179" i="39" s="1"/>
  <c r="BH182" i="39"/>
  <c r="BL182" i="39" s="1"/>
  <c r="BG182" i="39"/>
  <c r="BD182" i="39"/>
  <c r="BM182" i="39" s="1"/>
  <c r="BC182" i="39"/>
  <c r="BB182" i="39"/>
  <c r="BH181" i="39"/>
  <c r="BL181" i="39" s="1"/>
  <c r="BG181" i="39"/>
  <c r="BD181" i="39"/>
  <c r="BC181" i="39"/>
  <c r="BB181" i="39"/>
  <c r="BE181" i="39" s="1"/>
  <c r="BH180" i="39"/>
  <c r="BG180" i="39"/>
  <c r="BD180" i="39"/>
  <c r="BM180" i="39" s="1"/>
  <c r="BC180" i="39"/>
  <c r="BB180" i="39"/>
  <c r="BH179" i="39"/>
  <c r="BL179" i="39" s="1"/>
  <c r="BG179" i="39"/>
  <c r="BD179" i="39"/>
  <c r="BZ179" i="39" s="1"/>
  <c r="BC179" i="39"/>
  <c r="BB179" i="39"/>
  <c r="BE179" i="39" s="1"/>
  <c r="AN182" i="39"/>
  <c r="AM182" i="39"/>
  <c r="AN189" i="39" s="1"/>
  <c r="AM181" i="39"/>
  <c r="AN188" i="39" s="1"/>
  <c r="AM180" i="39"/>
  <c r="AN187" i="39" s="1"/>
  <c r="AM179" i="39"/>
  <c r="AN179" i="39" s="1"/>
  <c r="AG182" i="39"/>
  <c r="AH189" i="39" s="1"/>
  <c r="AG181" i="39"/>
  <c r="AG180" i="39"/>
  <c r="AH187" i="39" s="1"/>
  <c r="AG179" i="39"/>
  <c r="AB182" i="39"/>
  <c r="AA182" i="39"/>
  <c r="AB189" i="39" s="1"/>
  <c r="AA181" i="39"/>
  <c r="AA180" i="39"/>
  <c r="AB187" i="39" s="1"/>
  <c r="AA179" i="39"/>
  <c r="AB179" i="39" s="1"/>
  <c r="I182" i="39"/>
  <c r="I181" i="39"/>
  <c r="J188" i="39" s="1"/>
  <c r="I180" i="39"/>
  <c r="J179" i="39"/>
  <c r="I179" i="39"/>
  <c r="J186" i="39" s="1"/>
  <c r="BK178" i="39"/>
  <c r="BU172" i="39"/>
  <c r="BJ176" i="39"/>
  <c r="BG176" i="39"/>
  <c r="BC176" i="39"/>
  <c r="BB176" i="39"/>
  <c r="AL176" i="39"/>
  <c r="AI176" i="39"/>
  <c r="AF176" i="39"/>
  <c r="AG176" i="39" s="1"/>
  <c r="AH176" i="39" s="1"/>
  <c r="AC176" i="39"/>
  <c r="AD176" i="39" s="1"/>
  <c r="Z176" i="39"/>
  <c r="W176" i="39"/>
  <c r="AA176" i="39" s="1"/>
  <c r="AB176" i="39" s="1"/>
  <c r="G176" i="39"/>
  <c r="BK176" i="39" s="1"/>
  <c r="D176" i="39"/>
  <c r="B176" i="39"/>
  <c r="B175" i="39"/>
  <c r="B174" i="39"/>
  <c r="B173" i="39"/>
  <c r="B172" i="39"/>
  <c r="AJ175" i="39"/>
  <c r="AJ174" i="39"/>
  <c r="AJ173" i="39"/>
  <c r="AJ172" i="39"/>
  <c r="AD175" i="39"/>
  <c r="AD174" i="39"/>
  <c r="AD173" i="39"/>
  <c r="AD172" i="39"/>
  <c r="X175" i="39"/>
  <c r="X174" i="39"/>
  <c r="X173" i="39"/>
  <c r="X172" i="39"/>
  <c r="E175" i="39"/>
  <c r="E174" i="39"/>
  <c r="E173" i="39"/>
  <c r="E172" i="39"/>
  <c r="A175" i="39"/>
  <c r="A174" i="39"/>
  <c r="A173" i="39"/>
  <c r="A172" i="39"/>
  <c r="CI174" i="39"/>
  <c r="CF174" i="39"/>
  <c r="CF172" i="39"/>
  <c r="BZ175" i="39"/>
  <c r="BY175" i="39"/>
  <c r="BY174" i="39"/>
  <c r="BX174" i="39"/>
  <c r="BY173" i="39"/>
  <c r="BZ172" i="39"/>
  <c r="BX172" i="39"/>
  <c r="BK175" i="39"/>
  <c r="CH175" i="39" s="1"/>
  <c r="BM174" i="39"/>
  <c r="BK174" i="39"/>
  <c r="BK173" i="39"/>
  <c r="CF173" i="39" s="1"/>
  <c r="BM172" i="39"/>
  <c r="BK172" i="39"/>
  <c r="CH172" i="39" s="1"/>
  <c r="BH175" i="39"/>
  <c r="BN175" i="39" s="1"/>
  <c r="BG175" i="39"/>
  <c r="BD175" i="39"/>
  <c r="BC175" i="39"/>
  <c r="BB175" i="39"/>
  <c r="BE175" i="39" s="1"/>
  <c r="BH174" i="39"/>
  <c r="BG174" i="39"/>
  <c r="BD174" i="39"/>
  <c r="BU174" i="39" s="1"/>
  <c r="BC174" i="39"/>
  <c r="BB174" i="39"/>
  <c r="BE174" i="39" s="1"/>
  <c r="BH173" i="39"/>
  <c r="BI173" i="39" s="1"/>
  <c r="BG173" i="39"/>
  <c r="BE173" i="39"/>
  <c r="BD173" i="39"/>
  <c r="BZ173" i="39" s="1"/>
  <c r="BC173" i="39"/>
  <c r="BB173" i="39"/>
  <c r="BI172" i="39"/>
  <c r="BH172" i="39"/>
  <c r="BG172" i="39"/>
  <c r="BF172" i="39"/>
  <c r="BE172" i="39"/>
  <c r="BD172" i="39"/>
  <c r="BY172" i="39" s="1"/>
  <c r="BC172" i="39"/>
  <c r="BB172" i="39"/>
  <c r="AM175" i="39"/>
  <c r="AM174" i="39"/>
  <c r="AM173" i="39"/>
  <c r="AN173" i="39" s="1"/>
  <c r="AM172" i="39"/>
  <c r="AG175" i="39"/>
  <c r="AH175" i="39" s="1"/>
  <c r="AG174" i="39"/>
  <c r="AH174" i="39" s="1"/>
  <c r="AG173" i="39"/>
  <c r="AH173" i="39" s="1"/>
  <c r="AG172" i="39"/>
  <c r="AA175" i="39"/>
  <c r="AA174" i="39"/>
  <c r="AA173" i="39"/>
  <c r="AB173" i="39" s="1"/>
  <c r="AA172" i="39"/>
  <c r="I176" i="39"/>
  <c r="I175" i="39"/>
  <c r="I174" i="39"/>
  <c r="J174" i="39" s="1"/>
  <c r="I173" i="39"/>
  <c r="J172" i="39"/>
  <c r="I172" i="39"/>
  <c r="CC167" i="39"/>
  <c r="CC165" i="39"/>
  <c r="BU166" i="39"/>
  <c r="BJ169" i="39"/>
  <c r="BG169" i="39"/>
  <c r="BC169" i="39"/>
  <c r="AL169" i="39"/>
  <c r="AI169" i="39"/>
  <c r="AG169" i="39"/>
  <c r="AF169" i="39"/>
  <c r="AC169" i="39"/>
  <c r="Z169" i="39"/>
  <c r="AA169" i="39" s="1"/>
  <c r="W169" i="39"/>
  <c r="G169" i="39"/>
  <c r="D169" i="39"/>
  <c r="BD169" i="39" s="1"/>
  <c r="BU169" i="39" s="1"/>
  <c r="B169" i="39"/>
  <c r="B168" i="39"/>
  <c r="B167" i="39"/>
  <c r="B166" i="39"/>
  <c r="B165" i="39"/>
  <c r="AJ168" i="39"/>
  <c r="AJ167" i="39"/>
  <c r="AJ166" i="39"/>
  <c r="AJ165" i="39"/>
  <c r="AD168" i="39"/>
  <c r="AD167" i="39"/>
  <c r="AD166" i="39"/>
  <c r="AD165" i="39"/>
  <c r="X168" i="39"/>
  <c r="X167" i="39"/>
  <c r="X166" i="39"/>
  <c r="X165" i="39"/>
  <c r="E168" i="39"/>
  <c r="E167" i="39"/>
  <c r="E166" i="39"/>
  <c r="E165" i="39"/>
  <c r="A168" i="39"/>
  <c r="A167" i="39"/>
  <c r="A166" i="39"/>
  <c r="A165" i="39"/>
  <c r="CH167" i="39"/>
  <c r="CF167" i="39"/>
  <c r="CI165" i="39"/>
  <c r="CH165" i="39"/>
  <c r="CF165" i="39"/>
  <c r="BZ169" i="39"/>
  <c r="BY169" i="39"/>
  <c r="BY167" i="39"/>
  <c r="BZ165" i="39"/>
  <c r="BK168" i="39"/>
  <c r="CG168" i="39" s="1"/>
  <c r="BK167" i="39"/>
  <c r="BK166" i="39"/>
  <c r="CI166" i="39" s="1"/>
  <c r="BK165" i="39"/>
  <c r="CG165" i="39" s="1"/>
  <c r="BH168" i="39"/>
  <c r="BG168" i="39"/>
  <c r="BD168" i="39"/>
  <c r="BZ168" i="39" s="1"/>
  <c r="BC168" i="39"/>
  <c r="BB168" i="39"/>
  <c r="BB169" i="39" s="1"/>
  <c r="BH167" i="39"/>
  <c r="BG167" i="39"/>
  <c r="BD167" i="39"/>
  <c r="BX167" i="39" s="1"/>
  <c r="BC167" i="39"/>
  <c r="BB167" i="39"/>
  <c r="BH166" i="39"/>
  <c r="BG166" i="39"/>
  <c r="BD166" i="39"/>
  <c r="BF173" i="39" s="1"/>
  <c r="BC166" i="39"/>
  <c r="BB166" i="39"/>
  <c r="BH165" i="39"/>
  <c r="BL165" i="39" s="1"/>
  <c r="BG165" i="39"/>
  <c r="BD165" i="39"/>
  <c r="BC165" i="39"/>
  <c r="BB165" i="39"/>
  <c r="BE165" i="39" s="1"/>
  <c r="AP165" i="39"/>
  <c r="AM168" i="39"/>
  <c r="AN175" i="39" s="1"/>
  <c r="AM167" i="39"/>
  <c r="AM166" i="39"/>
  <c r="AM165" i="39"/>
  <c r="AG168" i="39"/>
  <c r="AH168" i="39" s="1"/>
  <c r="AG167" i="39"/>
  <c r="AG166" i="39"/>
  <c r="AH166" i="39" s="1"/>
  <c r="AG165" i="39"/>
  <c r="AA168" i="39"/>
  <c r="AB175" i="39" s="1"/>
  <c r="AA167" i="39"/>
  <c r="AB166" i="39"/>
  <c r="AA166" i="39"/>
  <c r="AA165" i="39"/>
  <c r="AB165" i="39" s="1"/>
  <c r="I168" i="39"/>
  <c r="J168" i="39" s="1"/>
  <c r="J167" i="39"/>
  <c r="I167" i="39"/>
  <c r="I166" i="39"/>
  <c r="J166" i="39" s="1"/>
  <c r="I165" i="39"/>
  <c r="BU158" i="39"/>
  <c r="BJ162" i="39"/>
  <c r="BG162" i="39"/>
  <c r="BC162" i="39"/>
  <c r="AF162" i="39"/>
  <c r="I161" i="39"/>
  <c r="J161" i="39" s="1"/>
  <c r="I160" i="39"/>
  <c r="I220" i="39" s="1"/>
  <c r="I159" i="39"/>
  <c r="J159" i="39" s="1"/>
  <c r="D162" i="39"/>
  <c r="B162" i="39"/>
  <c r="B161" i="39"/>
  <c r="B160" i="39"/>
  <c r="B159" i="39"/>
  <c r="B158" i="39"/>
  <c r="AJ161" i="39"/>
  <c r="AJ160" i="39"/>
  <c r="AJ159" i="39"/>
  <c r="AJ158" i="39"/>
  <c r="AD161" i="39"/>
  <c r="AD160" i="39"/>
  <c r="AD159" i="39"/>
  <c r="AD158" i="39"/>
  <c r="X161" i="39"/>
  <c r="X160" i="39"/>
  <c r="X159" i="39"/>
  <c r="X158" i="39"/>
  <c r="E161" i="39"/>
  <c r="E160" i="39"/>
  <c r="E159" i="39"/>
  <c r="E158" i="39"/>
  <c r="A161" i="39"/>
  <c r="A160" i="39"/>
  <c r="A159" i="39"/>
  <c r="A158" i="39"/>
  <c r="BX161" i="39"/>
  <c r="BX160" i="39"/>
  <c r="BX159" i="39"/>
  <c r="AQ162" i="39"/>
  <c r="AO162" i="39"/>
  <c r="AQ161" i="39"/>
  <c r="AO161" i="39"/>
  <c r="AP161" i="39" s="1"/>
  <c r="AQ160" i="39"/>
  <c r="AO160" i="39"/>
  <c r="AP160" i="39" s="1"/>
  <c r="AQ159" i="39"/>
  <c r="AO159" i="39"/>
  <c r="AP159" i="39" s="1"/>
  <c r="Z159" i="39"/>
  <c r="Z158" i="39"/>
  <c r="Z162" i="39" s="1"/>
  <c r="CH160" i="39"/>
  <c r="CH159" i="39"/>
  <c r="BY158" i="39"/>
  <c r="BK161" i="39"/>
  <c r="CF161" i="39" s="1"/>
  <c r="BK160" i="39"/>
  <c r="CF160" i="39" s="1"/>
  <c r="BM159" i="39"/>
  <c r="BK159" i="39"/>
  <c r="CC159" i="39" s="1"/>
  <c r="BH161" i="39"/>
  <c r="BG161" i="39"/>
  <c r="BD161" i="39"/>
  <c r="BZ161" i="39" s="1"/>
  <c r="BC161" i="39"/>
  <c r="BB161" i="39"/>
  <c r="BH160" i="39"/>
  <c r="BL160" i="39" s="1"/>
  <c r="BG160" i="39"/>
  <c r="BD160" i="39"/>
  <c r="BU160" i="39" s="1"/>
  <c r="BC160" i="39"/>
  <c r="BB160" i="39"/>
  <c r="BH159" i="39"/>
  <c r="BG159" i="39"/>
  <c r="BD159" i="39"/>
  <c r="BZ159" i="39" s="1"/>
  <c r="BC159" i="39"/>
  <c r="BB159" i="39"/>
  <c r="BG158" i="39"/>
  <c r="BD158" i="39"/>
  <c r="BC158" i="39"/>
  <c r="BB158" i="39"/>
  <c r="AP158" i="39"/>
  <c r="AM161" i="39"/>
  <c r="AM160" i="39"/>
  <c r="AN160" i="39" s="1"/>
  <c r="AM159" i="39"/>
  <c r="AL158" i="39"/>
  <c r="AL162" i="39" s="1"/>
  <c r="AG161" i="39"/>
  <c r="AG160" i="39"/>
  <c r="AG220" i="39" s="1"/>
  <c r="AG159" i="39"/>
  <c r="AG158" i="39"/>
  <c r="AB161" i="39"/>
  <c r="AA161" i="39"/>
  <c r="AA160" i="39"/>
  <c r="AA220" i="39" s="1"/>
  <c r="AA159" i="39"/>
  <c r="AA158" i="39"/>
  <c r="G158" i="39"/>
  <c r="CC154" i="39"/>
  <c r="CC153" i="39"/>
  <c r="BJ155" i="39"/>
  <c r="BG155" i="39"/>
  <c r="BC155" i="39"/>
  <c r="AS155" i="39"/>
  <c r="AR155" i="39"/>
  <c r="AO155" i="39"/>
  <c r="AL155" i="39"/>
  <c r="AF155" i="39"/>
  <c r="I155" i="39"/>
  <c r="I154" i="39"/>
  <c r="I153" i="39"/>
  <c r="I152" i="39"/>
  <c r="I151" i="39"/>
  <c r="G155" i="39"/>
  <c r="D155" i="39"/>
  <c r="B155" i="39"/>
  <c r="B154" i="39"/>
  <c r="B153" i="39"/>
  <c r="B152" i="39"/>
  <c r="B151" i="39"/>
  <c r="AP154" i="39"/>
  <c r="AP153" i="39"/>
  <c r="AP152" i="39"/>
  <c r="AP151" i="39"/>
  <c r="AJ154" i="39"/>
  <c r="AJ153" i="39"/>
  <c r="AJ152" i="39"/>
  <c r="AJ151" i="39"/>
  <c r="AD154" i="39"/>
  <c r="AD153" i="39"/>
  <c r="AD152" i="39"/>
  <c r="AD151" i="39"/>
  <c r="X154" i="39"/>
  <c r="X153" i="39"/>
  <c r="X152" i="39"/>
  <c r="X151" i="39"/>
  <c r="E154" i="39"/>
  <c r="E153" i="39"/>
  <c r="E152" i="39"/>
  <c r="E151" i="39"/>
  <c r="A154" i="39"/>
  <c r="A153" i="39"/>
  <c r="A152" i="39"/>
  <c r="A151" i="39"/>
  <c r="CK153" i="39"/>
  <c r="CK152" i="39"/>
  <c r="CK151" i="39"/>
  <c r="Z152" i="39"/>
  <c r="CM152" i="39" s="1"/>
  <c r="CN152" i="39" s="1"/>
  <c r="CM153" i="39"/>
  <c r="CN153" i="39" s="1"/>
  <c r="CM151" i="39"/>
  <c r="CN151" i="39" s="1"/>
  <c r="CI154" i="39"/>
  <c r="CH154" i="39"/>
  <c r="CF154" i="39"/>
  <c r="CH152" i="39"/>
  <c r="CI151" i="39"/>
  <c r="CH151" i="39"/>
  <c r="CA152" i="39"/>
  <c r="BZ152" i="39"/>
  <c r="BZ151" i="39"/>
  <c r="BK154" i="39"/>
  <c r="CG154" i="39" s="1"/>
  <c r="BK153" i="39"/>
  <c r="CH153" i="39" s="1"/>
  <c r="BK152" i="39"/>
  <c r="CI152" i="39" s="1"/>
  <c r="BK151" i="39"/>
  <c r="CC151" i="39" s="1"/>
  <c r="BG154" i="39"/>
  <c r="BD154" i="39"/>
  <c r="BZ154" i="39" s="1"/>
  <c r="BC154" i="39"/>
  <c r="BB154" i="39"/>
  <c r="BE154" i="39" s="1"/>
  <c r="BG153" i="39"/>
  <c r="BD153" i="39"/>
  <c r="BZ153" i="39" s="1"/>
  <c r="BC153" i="39"/>
  <c r="BB153" i="39"/>
  <c r="BG152" i="39"/>
  <c r="BD152" i="39"/>
  <c r="BC152" i="39"/>
  <c r="BB152" i="39"/>
  <c r="BE152" i="39" s="1"/>
  <c r="BG151" i="39"/>
  <c r="BD151" i="39"/>
  <c r="CA151" i="39" s="1"/>
  <c r="BC151" i="39"/>
  <c r="BB151" i="39"/>
  <c r="AS154" i="39"/>
  <c r="AT161" i="39" s="1"/>
  <c r="AS153" i="39"/>
  <c r="AT160" i="39" s="1"/>
  <c r="AT152" i="39"/>
  <c r="AS152" i="39"/>
  <c r="AT159" i="39" s="1"/>
  <c r="AS151" i="39"/>
  <c r="AM154" i="39"/>
  <c r="AN154" i="39" s="1"/>
  <c r="AM153" i="39"/>
  <c r="AN153" i="39" s="1"/>
  <c r="AM152" i="39"/>
  <c r="AM151" i="39"/>
  <c r="AN151" i="39" s="1"/>
  <c r="AG154" i="39"/>
  <c r="AG153" i="39"/>
  <c r="AH152" i="39"/>
  <c r="AG152" i="39"/>
  <c r="AH159" i="39" s="1"/>
  <c r="AG151" i="39"/>
  <c r="AA154" i="39"/>
  <c r="AA153" i="39"/>
  <c r="AB153" i="39" s="1"/>
  <c r="AA151" i="39"/>
  <c r="AB151" i="39" s="1"/>
  <c r="AO149" i="39"/>
  <c r="AO148" i="39"/>
  <c r="U278" i="14" s="1"/>
  <c r="CK147" i="39"/>
  <c r="CK146" i="39"/>
  <c r="CK145" i="39"/>
  <c r="CK144" i="39"/>
  <c r="CC147" i="39"/>
  <c r="BU146" i="39"/>
  <c r="BK148" i="39"/>
  <c r="CC148" i="39" s="1"/>
  <c r="BJ148" i="39"/>
  <c r="BG148" i="39"/>
  <c r="BC148" i="39"/>
  <c r="BB148" i="39"/>
  <c r="AR148" i="39"/>
  <c r="AP147" i="39"/>
  <c r="AP146" i="39"/>
  <c r="AP145" i="39"/>
  <c r="AP144" i="39"/>
  <c r="AL148" i="39"/>
  <c r="AF148" i="39"/>
  <c r="Z148" i="39"/>
  <c r="I148" i="39"/>
  <c r="I147" i="39"/>
  <c r="J154" i="39" s="1"/>
  <c r="I146" i="39"/>
  <c r="J153" i="39" s="1"/>
  <c r="I145" i="39"/>
  <c r="J152" i="39" s="1"/>
  <c r="I144" i="39"/>
  <c r="G148" i="39"/>
  <c r="D148" i="39"/>
  <c r="B148" i="39"/>
  <c r="B147" i="39"/>
  <c r="B146" i="39"/>
  <c r="B145" i="39"/>
  <c r="B144" i="39"/>
  <c r="AJ147" i="39"/>
  <c r="AJ146" i="39"/>
  <c r="AJ145" i="39"/>
  <c r="AJ144" i="39"/>
  <c r="AD147" i="39"/>
  <c r="AD146" i="39"/>
  <c r="AD145" i="39"/>
  <c r="AD144" i="39"/>
  <c r="X147" i="39"/>
  <c r="X146" i="39"/>
  <c r="X145" i="39"/>
  <c r="X144" i="39"/>
  <c r="J146" i="39"/>
  <c r="E147" i="39"/>
  <c r="E146" i="39"/>
  <c r="E145" i="39"/>
  <c r="E144" i="39"/>
  <c r="A147" i="39"/>
  <c r="A146" i="39"/>
  <c r="A145" i="39"/>
  <c r="A144" i="39"/>
  <c r="CM148" i="39"/>
  <c r="CM147" i="39"/>
  <c r="CN147" i="39" s="1"/>
  <c r="CM146" i="39"/>
  <c r="CN145" i="39"/>
  <c r="CM145" i="39"/>
  <c r="CM144" i="39"/>
  <c r="CN144" i="39" s="1"/>
  <c r="CI147" i="39"/>
  <c r="CH147" i="39"/>
  <c r="CF147" i="39"/>
  <c r="CI145" i="39"/>
  <c r="CH145" i="39"/>
  <c r="CA146" i="39"/>
  <c r="BK147" i="39"/>
  <c r="CG147" i="39" s="1"/>
  <c r="BK146" i="39"/>
  <c r="CI146" i="39" s="1"/>
  <c r="BK145" i="39"/>
  <c r="BK144" i="39"/>
  <c r="CC144" i="39" s="1"/>
  <c r="BH147" i="39"/>
  <c r="BG147" i="39"/>
  <c r="BD147" i="39"/>
  <c r="CA147" i="39" s="1"/>
  <c r="BC147" i="39"/>
  <c r="BB147" i="39"/>
  <c r="BH146" i="39"/>
  <c r="BL146" i="39" s="1"/>
  <c r="BG146" i="39"/>
  <c r="BD146" i="39"/>
  <c r="BY146" i="39" s="1"/>
  <c r="BC146" i="39"/>
  <c r="BB146" i="39"/>
  <c r="BE146" i="39" s="1"/>
  <c r="BH145" i="39"/>
  <c r="BG145" i="39"/>
  <c r="BD145" i="39"/>
  <c r="BX145" i="39" s="1"/>
  <c r="BC145" i="39"/>
  <c r="BB145" i="39"/>
  <c r="BH144" i="39"/>
  <c r="BG144" i="39"/>
  <c r="BD144" i="39"/>
  <c r="BX144" i="39" s="1"/>
  <c r="BC144" i="39"/>
  <c r="BB144" i="39"/>
  <c r="BE144" i="39" s="1"/>
  <c r="AS147" i="39"/>
  <c r="AS146" i="39"/>
  <c r="AS145" i="39"/>
  <c r="AS144" i="39"/>
  <c r="AT144" i="39" s="1"/>
  <c r="AM147" i="39"/>
  <c r="AM146" i="39"/>
  <c r="AN145" i="39"/>
  <c r="AM145" i="39"/>
  <c r="AN152" i="39" s="1"/>
  <c r="AM144" i="39"/>
  <c r="AG147" i="39"/>
  <c r="AH147" i="39" s="1"/>
  <c r="AG146" i="39"/>
  <c r="AG145" i="39"/>
  <c r="AG144" i="39"/>
  <c r="AH144" i="39" s="1"/>
  <c r="AA147" i="39"/>
  <c r="AA146" i="39"/>
  <c r="AB145" i="39"/>
  <c r="AA145" i="39"/>
  <c r="AA144" i="39"/>
  <c r="W144" i="39"/>
  <c r="CK140" i="39"/>
  <c r="CK139" i="39"/>
  <c r="CK138" i="39"/>
  <c r="CK137" i="39"/>
  <c r="BU140" i="39"/>
  <c r="BJ141" i="39"/>
  <c r="BG141" i="39"/>
  <c r="BC141" i="39"/>
  <c r="AX141" i="39"/>
  <c r="AR141" i="39"/>
  <c r="AP141" i="39"/>
  <c r="AO141" i="39"/>
  <c r="AP148" i="39" s="1"/>
  <c r="AL141" i="39"/>
  <c r="AM141" i="39" s="1"/>
  <c r="AI141" i="39"/>
  <c r="AF141" i="39"/>
  <c r="AG141" i="39" s="1"/>
  <c r="AC141" i="39"/>
  <c r="X141" i="39"/>
  <c r="W141" i="39"/>
  <c r="I140" i="39"/>
  <c r="J147" i="39" s="1"/>
  <c r="I139" i="39"/>
  <c r="I138" i="39"/>
  <c r="J145" i="39" s="1"/>
  <c r="I137" i="39"/>
  <c r="G141" i="39"/>
  <c r="D141" i="39"/>
  <c r="E148" i="39" s="1"/>
  <c r="B141" i="39"/>
  <c r="B140" i="39"/>
  <c r="B139" i="39"/>
  <c r="B138" i="39"/>
  <c r="B137" i="39"/>
  <c r="BG140" i="39"/>
  <c r="BE140" i="39"/>
  <c r="BD140" i="39"/>
  <c r="BC140" i="39"/>
  <c r="BB140" i="39"/>
  <c r="AP140" i="39"/>
  <c r="AP139" i="39"/>
  <c r="AP138" i="39"/>
  <c r="AP137" i="39"/>
  <c r="AJ140" i="39"/>
  <c r="AJ139" i="39"/>
  <c r="AJ138" i="39"/>
  <c r="AJ137" i="39"/>
  <c r="AD140" i="39"/>
  <c r="AD139" i="39"/>
  <c r="AD138" i="39"/>
  <c r="AD137" i="39"/>
  <c r="X140" i="39"/>
  <c r="X139" i="39"/>
  <c r="X138" i="39"/>
  <c r="X137" i="39"/>
  <c r="J140" i="39"/>
  <c r="E140" i="39"/>
  <c r="E139" i="39"/>
  <c r="E138" i="39"/>
  <c r="E137" i="39"/>
  <c r="A140" i="39"/>
  <c r="A139" i="39"/>
  <c r="A138" i="39"/>
  <c r="A137" i="39"/>
  <c r="AX140" i="39"/>
  <c r="AV140" i="39"/>
  <c r="AW140" i="39" s="1"/>
  <c r="AX139" i="39"/>
  <c r="AV139" i="39"/>
  <c r="AW139" i="39" s="1"/>
  <c r="AF139" i="39"/>
  <c r="Z139" i="39"/>
  <c r="AY138" i="39"/>
  <c r="AW138" i="39"/>
  <c r="AV138" i="39"/>
  <c r="CM140" i="39"/>
  <c r="CN140" i="39" s="1"/>
  <c r="CM138" i="39"/>
  <c r="CN138" i="39" s="1"/>
  <c r="CN137" i="39"/>
  <c r="CM137" i="39"/>
  <c r="CI137" i="39"/>
  <c r="CG137" i="39"/>
  <c r="CF137" i="39"/>
  <c r="CA140" i="39"/>
  <c r="BZ140" i="39"/>
  <c r="BY140" i="39"/>
  <c r="BX140" i="39"/>
  <c r="BK140" i="39"/>
  <c r="CH140" i="39" s="1"/>
  <c r="BL138" i="39"/>
  <c r="BK138" i="39"/>
  <c r="CG138" i="39" s="1"/>
  <c r="BK137" i="39"/>
  <c r="BH139" i="39"/>
  <c r="BH138" i="39"/>
  <c r="BD139" i="39"/>
  <c r="BF146" i="39" s="1"/>
  <c r="BC139" i="39"/>
  <c r="BB139" i="39"/>
  <c r="BE139" i="39" s="1"/>
  <c r="BC138" i="39"/>
  <c r="BB138" i="39"/>
  <c r="BD137" i="39"/>
  <c r="BZ137" i="39" s="1"/>
  <c r="BC137" i="39"/>
  <c r="BB137" i="39"/>
  <c r="AZ137" i="39"/>
  <c r="AW137" i="39"/>
  <c r="AS140" i="39"/>
  <c r="AS139" i="39"/>
  <c r="AT138" i="39"/>
  <c r="AS138" i="39"/>
  <c r="AT145" i="39" s="1"/>
  <c r="AS137" i="39"/>
  <c r="AM140" i="39"/>
  <c r="AN147" i="39" s="1"/>
  <c r="AM139" i="39"/>
  <c r="AN139" i="39" s="1"/>
  <c r="AN138" i="39"/>
  <c r="AM138" i="39"/>
  <c r="AM137" i="39"/>
  <c r="AG140" i="39"/>
  <c r="AH138" i="39"/>
  <c r="AG138" i="39"/>
  <c r="AH145" i="39" s="1"/>
  <c r="AG137" i="39"/>
  <c r="AA140" i="39"/>
  <c r="AB147" i="39" s="1"/>
  <c r="AA139" i="39"/>
  <c r="AB139" i="39" s="1"/>
  <c r="AB138" i="39"/>
  <c r="AA138" i="39"/>
  <c r="AA137" i="39"/>
  <c r="CK133" i="39"/>
  <c r="CK132" i="39"/>
  <c r="CK131" i="39"/>
  <c r="CN131" i="39" s="1"/>
  <c r="CK130" i="39"/>
  <c r="CC132" i="39"/>
  <c r="AV134" i="39"/>
  <c r="AR134" i="39"/>
  <c r="AO134" i="39"/>
  <c r="AL134" i="39"/>
  <c r="AM134" i="39" s="1"/>
  <c r="AI134" i="39"/>
  <c r="BZ134" i="39" s="1"/>
  <c r="AF134" i="39"/>
  <c r="AG134" i="39" s="1"/>
  <c r="AC134" i="39"/>
  <c r="AD141" i="39" s="1"/>
  <c r="Z134" i="39"/>
  <c r="CM134" i="39" s="1"/>
  <c r="W134" i="39"/>
  <c r="CK134" i="39" s="1"/>
  <c r="H134" i="39"/>
  <c r="G134" i="39"/>
  <c r="I134" i="39" s="1"/>
  <c r="D134" i="39"/>
  <c r="B134" i="39"/>
  <c r="B133" i="39"/>
  <c r="B132" i="39"/>
  <c r="B131" i="39"/>
  <c r="B130" i="39"/>
  <c r="AY133" i="39"/>
  <c r="AY134" i="39" s="1"/>
  <c r="AZ134" i="39" s="1"/>
  <c r="AW133" i="39"/>
  <c r="AW132" i="39"/>
  <c r="AW131" i="39"/>
  <c r="AW130" i="39"/>
  <c r="AS133" i="39"/>
  <c r="AT140" i="39" s="1"/>
  <c r="AS132" i="39"/>
  <c r="AS131" i="39"/>
  <c r="AS130" i="39"/>
  <c r="AP133" i="39"/>
  <c r="AP132" i="39"/>
  <c r="AP131" i="39"/>
  <c r="AM133" i="39"/>
  <c r="AM132" i="39"/>
  <c r="AM131" i="39"/>
  <c r="AM130" i="39"/>
  <c r="AJ133" i="39"/>
  <c r="AJ132" i="39"/>
  <c r="AJ131" i="39"/>
  <c r="AJ130" i="39"/>
  <c r="AG133" i="39"/>
  <c r="AH140" i="39" s="1"/>
  <c r="AG132" i="39"/>
  <c r="AG131" i="39"/>
  <c r="AG130" i="39"/>
  <c r="AD133" i="39"/>
  <c r="AD132" i="39"/>
  <c r="AD131" i="39"/>
  <c r="AD130" i="39"/>
  <c r="AA133" i="39"/>
  <c r="AA132" i="39"/>
  <c r="AA131" i="39"/>
  <c r="AA130" i="39"/>
  <c r="X133" i="39"/>
  <c r="X132" i="39"/>
  <c r="X131" i="39"/>
  <c r="X130" i="39"/>
  <c r="E133" i="39"/>
  <c r="E132" i="39"/>
  <c r="E131" i="39"/>
  <c r="E130" i="39"/>
  <c r="A133" i="39"/>
  <c r="A132" i="39"/>
  <c r="A131" i="39"/>
  <c r="A130" i="39"/>
  <c r="BH133" i="39"/>
  <c r="BL133" i="39" s="1"/>
  <c r="BH132" i="39"/>
  <c r="BL132" i="39" s="1"/>
  <c r="AZ132" i="39"/>
  <c r="AZ131" i="39"/>
  <c r="AZ130" i="39"/>
  <c r="CN133" i="39"/>
  <c r="CM133" i="39"/>
  <c r="CN132" i="39"/>
  <c r="CM132" i="39"/>
  <c r="CM131" i="39"/>
  <c r="CN130" i="39"/>
  <c r="CM130" i="39"/>
  <c r="CI132" i="39"/>
  <c r="CG132" i="39"/>
  <c r="CF132" i="39"/>
  <c r="BY134" i="39"/>
  <c r="BX134" i="39"/>
  <c r="CA133" i="39"/>
  <c r="BY133" i="39"/>
  <c r="BX133" i="39"/>
  <c r="BY131" i="39"/>
  <c r="BY130" i="39"/>
  <c r="BX130" i="39"/>
  <c r="BK133" i="39"/>
  <c r="CG133" i="39" s="1"/>
  <c r="BK132" i="39"/>
  <c r="CH132" i="39" s="1"/>
  <c r="BJ131" i="39"/>
  <c r="BK131" i="39" s="1"/>
  <c r="BJ130" i="39"/>
  <c r="BK130" i="39" s="1"/>
  <c r="BD134" i="39"/>
  <c r="BU134" i="39" s="1"/>
  <c r="BC134" i="39"/>
  <c r="BB134" i="39"/>
  <c r="BE134" i="39" s="1"/>
  <c r="BD133" i="39"/>
  <c r="BU133" i="39" s="1"/>
  <c r="BC133" i="39"/>
  <c r="BB133" i="39"/>
  <c r="BI133" i="39" s="1"/>
  <c r="BD132" i="39"/>
  <c r="BU132" i="39" s="1"/>
  <c r="BC132" i="39"/>
  <c r="BB132" i="39"/>
  <c r="BE132" i="39" s="1"/>
  <c r="BD131" i="39"/>
  <c r="BU131" i="39" s="1"/>
  <c r="BC131" i="39"/>
  <c r="BB131" i="39"/>
  <c r="BE131" i="39" s="1"/>
  <c r="BD130" i="39"/>
  <c r="BU130" i="39" s="1"/>
  <c r="BC130" i="39"/>
  <c r="BB130" i="39"/>
  <c r="AK130" i="39"/>
  <c r="I133" i="39"/>
  <c r="H133" i="39"/>
  <c r="I132" i="39"/>
  <c r="H132" i="39"/>
  <c r="I131" i="39"/>
  <c r="H131" i="39"/>
  <c r="I130" i="39"/>
  <c r="J137" i="39" s="1"/>
  <c r="H130" i="39"/>
  <c r="AS126" i="39"/>
  <c r="AS125" i="39"/>
  <c r="AS124" i="39"/>
  <c r="AS123" i="39"/>
  <c r="AM126" i="39"/>
  <c r="AM125" i="39"/>
  <c r="AM124" i="39"/>
  <c r="AM123" i="39"/>
  <c r="AG126" i="39"/>
  <c r="AG125" i="39"/>
  <c r="AG124" i="39"/>
  <c r="AG123" i="39"/>
  <c r="AA126" i="39"/>
  <c r="AA125" i="39"/>
  <c r="AA124" i="39"/>
  <c r="AA123" i="39"/>
  <c r="I127" i="39"/>
  <c r="I126" i="39"/>
  <c r="I125" i="39"/>
  <c r="I124" i="39"/>
  <c r="I123" i="39"/>
  <c r="CK126" i="39"/>
  <c r="CK125" i="39"/>
  <c r="CK124" i="39"/>
  <c r="CK123" i="39"/>
  <c r="CC125" i="39"/>
  <c r="CC124" i="39"/>
  <c r="BJ127" i="39"/>
  <c r="BC127" i="39"/>
  <c r="AZ127" i="39"/>
  <c r="AY127" i="39"/>
  <c r="AV127" i="39"/>
  <c r="AW134" i="39" s="1"/>
  <c r="AR127" i="39"/>
  <c r="AL127" i="39"/>
  <c r="AJ127" i="39"/>
  <c r="AI127" i="39"/>
  <c r="AJ134" i="39" s="1"/>
  <c r="AF127" i="39"/>
  <c r="AC127" i="39"/>
  <c r="Z127" i="39"/>
  <c r="AA127" i="39" s="1"/>
  <c r="W127" i="39"/>
  <c r="X134" i="39" s="1"/>
  <c r="H127" i="39"/>
  <c r="G127" i="39"/>
  <c r="D127" i="39"/>
  <c r="E134" i="39" s="1"/>
  <c r="B127" i="39"/>
  <c r="B126" i="39"/>
  <c r="B125" i="39"/>
  <c r="B124" i="39"/>
  <c r="B123" i="39"/>
  <c r="AZ126" i="39"/>
  <c r="AZ125" i="39"/>
  <c r="AZ124" i="39"/>
  <c r="AZ123" i="39"/>
  <c r="AW126" i="39"/>
  <c r="AW125" i="39"/>
  <c r="AW124" i="39"/>
  <c r="AW123" i="39"/>
  <c r="AP126" i="39"/>
  <c r="AP125" i="39"/>
  <c r="AP124" i="39"/>
  <c r="AJ126" i="39"/>
  <c r="AJ125" i="39"/>
  <c r="AJ124" i="39"/>
  <c r="AJ123" i="39"/>
  <c r="AD126" i="39"/>
  <c r="AD125" i="39"/>
  <c r="AD124" i="39"/>
  <c r="AD123" i="39"/>
  <c r="X126" i="39"/>
  <c r="X125" i="39"/>
  <c r="X124" i="39"/>
  <c r="X123" i="39"/>
  <c r="H126" i="39"/>
  <c r="H125" i="39"/>
  <c r="H124" i="39"/>
  <c r="H123" i="39"/>
  <c r="E126" i="39"/>
  <c r="E125" i="39"/>
  <c r="E124" i="39"/>
  <c r="E123" i="39"/>
  <c r="A126" i="39"/>
  <c r="A125" i="39"/>
  <c r="A124" i="39"/>
  <c r="A123" i="39"/>
  <c r="CM126" i="39"/>
  <c r="CN126" i="39" s="1"/>
  <c r="CN125" i="39"/>
  <c r="CM125" i="39"/>
  <c r="CM124" i="39"/>
  <c r="CN124" i="39" s="1"/>
  <c r="CN123" i="39"/>
  <c r="CM123" i="39"/>
  <c r="CH126" i="39"/>
  <c r="CH125" i="39"/>
  <c r="CH124" i="39"/>
  <c r="CG124" i="39"/>
  <c r="CF124" i="39"/>
  <c r="CH123" i="39"/>
  <c r="CG123" i="39"/>
  <c r="BZ125" i="39"/>
  <c r="BK126" i="39"/>
  <c r="CG126" i="39" s="1"/>
  <c r="BK125" i="39"/>
  <c r="BK124" i="39"/>
  <c r="CI124" i="39" s="1"/>
  <c r="BK123" i="39"/>
  <c r="CC123" i="39" s="1"/>
  <c r="BH126" i="39"/>
  <c r="BD126" i="39"/>
  <c r="BC126" i="39"/>
  <c r="BB126" i="39"/>
  <c r="BE126" i="39" s="1"/>
  <c r="BH125" i="39"/>
  <c r="BD125" i="39"/>
  <c r="BC125" i="39"/>
  <c r="BB125" i="39"/>
  <c r="BE125" i="39" s="1"/>
  <c r="BH124" i="39"/>
  <c r="BD124" i="39"/>
  <c r="BC124" i="39"/>
  <c r="BB124" i="39"/>
  <c r="BE124" i="39" s="1"/>
  <c r="BC123" i="39"/>
  <c r="BB123" i="39"/>
  <c r="AR123" i="39"/>
  <c r="CI123" i="39" s="1"/>
  <c r="AO123" i="39"/>
  <c r="CK119" i="39"/>
  <c r="CK118" i="39"/>
  <c r="CN118" i="39" s="1"/>
  <c r="CK117" i="39"/>
  <c r="CK116" i="39"/>
  <c r="BJ120" i="39"/>
  <c r="BC120" i="39"/>
  <c r="BB120" i="39"/>
  <c r="AY120" i="39"/>
  <c r="AX120" i="39"/>
  <c r="AV120" i="39"/>
  <c r="AR120" i="39"/>
  <c r="AQ120" i="39"/>
  <c r="AO120" i="39"/>
  <c r="AS120" i="39" s="1"/>
  <c r="AL120" i="39"/>
  <c r="AM120" i="39" s="1"/>
  <c r="AI120" i="39"/>
  <c r="AG120" i="39"/>
  <c r="AF120" i="39"/>
  <c r="AC120" i="39"/>
  <c r="Z120" i="39"/>
  <c r="W120" i="39"/>
  <c r="G120" i="39"/>
  <c r="D120" i="39"/>
  <c r="E127" i="39" s="1"/>
  <c r="B120" i="39"/>
  <c r="B119" i="39"/>
  <c r="B118" i="39"/>
  <c r="B117" i="39"/>
  <c r="B116" i="39"/>
  <c r="AZ119" i="39"/>
  <c r="AZ118" i="39"/>
  <c r="AZ117" i="39"/>
  <c r="AZ116" i="39"/>
  <c r="AW119" i="39"/>
  <c r="AW118" i="39"/>
  <c r="AW117" i="39"/>
  <c r="AW116" i="39"/>
  <c r="AS119" i="39"/>
  <c r="AS118" i="39"/>
  <c r="AS117" i="39"/>
  <c r="AS116" i="39"/>
  <c r="AP119" i="39"/>
  <c r="AP118" i="39"/>
  <c r="AP117" i="39"/>
  <c r="AP116" i="39"/>
  <c r="AM119" i="39"/>
  <c r="AM118" i="39"/>
  <c r="AM117" i="39"/>
  <c r="AM116" i="39"/>
  <c r="AJ119" i="39"/>
  <c r="AJ118" i="39"/>
  <c r="AJ117" i="39"/>
  <c r="AJ116" i="39"/>
  <c r="AG119" i="39"/>
  <c r="AG118" i="39"/>
  <c r="AG117" i="39"/>
  <c r="AG116" i="39"/>
  <c r="AD119" i="39"/>
  <c r="AD118" i="39"/>
  <c r="AD117" i="39"/>
  <c r="AD116" i="39"/>
  <c r="AA119" i="39"/>
  <c r="AA118" i="39"/>
  <c r="AA117" i="39"/>
  <c r="AA116" i="39"/>
  <c r="X119" i="39"/>
  <c r="X118" i="39"/>
  <c r="X117" i="39"/>
  <c r="X116" i="39"/>
  <c r="E119" i="39"/>
  <c r="E118" i="39"/>
  <c r="E117" i="39"/>
  <c r="E116" i="39"/>
  <c r="A119" i="39"/>
  <c r="A118" i="39"/>
  <c r="A117" i="39"/>
  <c r="A116" i="39"/>
  <c r="CM119" i="39"/>
  <c r="CN119" i="39" s="1"/>
  <c r="CM118" i="39"/>
  <c r="CM117" i="39"/>
  <c r="CN117" i="39" s="1"/>
  <c r="CN116" i="39"/>
  <c r="CM116" i="39"/>
  <c r="CG118" i="39"/>
  <c r="CH117" i="39"/>
  <c r="CG117" i="39"/>
  <c r="CF117" i="39"/>
  <c r="BX118" i="39"/>
  <c r="BZ116" i="39"/>
  <c r="BK119" i="39"/>
  <c r="CG119" i="39" s="1"/>
  <c r="BK118" i="39"/>
  <c r="BK117" i="39"/>
  <c r="CC117" i="39" s="1"/>
  <c r="BK116" i="39"/>
  <c r="CH116" i="39" s="1"/>
  <c r="BH119" i="39"/>
  <c r="BD119" i="39"/>
  <c r="BX119" i="39" s="1"/>
  <c r="BC119" i="39"/>
  <c r="BB119" i="39"/>
  <c r="BH118" i="39"/>
  <c r="BD118" i="39"/>
  <c r="BC118" i="39"/>
  <c r="BB118" i="39"/>
  <c r="BE118" i="39" s="1"/>
  <c r="BD117" i="39"/>
  <c r="BZ117" i="39" s="1"/>
  <c r="BC117" i="39"/>
  <c r="BB117" i="39"/>
  <c r="BH116" i="39"/>
  <c r="BD116" i="39"/>
  <c r="CA116" i="39" s="1"/>
  <c r="BC116" i="39"/>
  <c r="BB116" i="39"/>
  <c r="BE116" i="39" s="1"/>
  <c r="I119" i="39"/>
  <c r="H119" i="39"/>
  <c r="I118" i="39"/>
  <c r="H118" i="39"/>
  <c r="I117" i="39"/>
  <c r="H117" i="39"/>
  <c r="I116" i="39"/>
  <c r="H116" i="39"/>
  <c r="CK112" i="39"/>
  <c r="CK111" i="39"/>
  <c r="CK110" i="39"/>
  <c r="CK109" i="39"/>
  <c r="BU111" i="39"/>
  <c r="BU110" i="39"/>
  <c r="BJ113" i="39"/>
  <c r="BC113" i="39"/>
  <c r="BB113" i="39"/>
  <c r="AY113" i="39"/>
  <c r="AV113" i="39"/>
  <c r="AR113" i="39"/>
  <c r="AQ113" i="39"/>
  <c r="P306" i="14" s="1"/>
  <c r="AV58" i="14" s="1"/>
  <c r="AO113" i="39"/>
  <c r="AP120" i="39" s="1"/>
  <c r="AL113" i="39"/>
  <c r="AM113" i="39" s="1"/>
  <c r="AI113" i="39"/>
  <c r="AJ120" i="39" s="1"/>
  <c r="AF113" i="39"/>
  <c r="AC113" i="39"/>
  <c r="AD113" i="39" s="1"/>
  <c r="Z113" i="39"/>
  <c r="AA113" i="39" s="1"/>
  <c r="W113" i="39"/>
  <c r="G113" i="39"/>
  <c r="BK113" i="39" s="1"/>
  <c r="D113" i="39"/>
  <c r="E120" i="39" s="1"/>
  <c r="B113" i="39"/>
  <c r="B112" i="39"/>
  <c r="B111" i="39"/>
  <c r="B110" i="39"/>
  <c r="B109" i="39"/>
  <c r="AZ112" i="39"/>
  <c r="AZ111" i="39"/>
  <c r="AZ110" i="39"/>
  <c r="AZ109" i="39"/>
  <c r="AS112" i="39"/>
  <c r="AS111" i="39"/>
  <c r="AS110" i="39"/>
  <c r="AS109" i="39"/>
  <c r="AP112" i="39"/>
  <c r="AP111" i="39"/>
  <c r="AP110" i="39"/>
  <c r="AP109" i="39"/>
  <c r="AM112" i="39"/>
  <c r="AM111" i="39"/>
  <c r="AM110" i="39"/>
  <c r="AM109" i="39"/>
  <c r="AJ112" i="39"/>
  <c r="AJ111" i="39"/>
  <c r="AJ110" i="39"/>
  <c r="AJ109" i="39"/>
  <c r="AG112" i="39"/>
  <c r="AG111" i="39"/>
  <c r="AG110" i="39"/>
  <c r="AG109" i="39"/>
  <c r="AD112" i="39"/>
  <c r="AD111" i="39"/>
  <c r="AD110" i="39"/>
  <c r="AD109" i="39"/>
  <c r="AA112" i="39"/>
  <c r="AA111" i="39"/>
  <c r="AA110" i="39"/>
  <c r="AA109" i="39"/>
  <c r="X112" i="39"/>
  <c r="X111" i="39"/>
  <c r="X110" i="39"/>
  <c r="X109" i="39"/>
  <c r="E112" i="39"/>
  <c r="E111" i="39"/>
  <c r="E110" i="39"/>
  <c r="E109" i="39"/>
  <c r="A112" i="39"/>
  <c r="A111" i="39"/>
  <c r="A110" i="39"/>
  <c r="A109" i="39"/>
  <c r="CN112" i="39"/>
  <c r="CM112" i="39"/>
  <c r="CM111" i="39"/>
  <c r="CN111" i="39" s="1"/>
  <c r="CN110" i="39"/>
  <c r="CM110" i="39"/>
  <c r="CM109" i="39"/>
  <c r="CN109" i="39" s="1"/>
  <c r="CI112" i="39"/>
  <c r="CI111" i="39"/>
  <c r="CG111" i="39"/>
  <c r="CF111" i="39"/>
  <c r="CI109" i="39"/>
  <c r="CA112" i="39"/>
  <c r="BY112" i="39"/>
  <c r="BX112" i="39"/>
  <c r="CA111" i="39"/>
  <c r="BY111" i="39"/>
  <c r="BX111" i="39"/>
  <c r="CA110" i="39"/>
  <c r="BY110" i="39"/>
  <c r="BX110" i="39"/>
  <c r="CA109" i="39"/>
  <c r="BY109" i="39"/>
  <c r="BX109" i="39"/>
  <c r="BM112" i="39"/>
  <c r="BK112" i="39"/>
  <c r="CC112" i="39" s="1"/>
  <c r="BM111" i="39"/>
  <c r="BK111" i="39"/>
  <c r="CC111" i="39" s="1"/>
  <c r="BK110" i="39"/>
  <c r="CF110" i="39" s="1"/>
  <c r="BK109" i="39"/>
  <c r="CF109" i="39" s="1"/>
  <c r="BH112" i="39"/>
  <c r="BL112" i="39" s="1"/>
  <c r="BF112" i="39"/>
  <c r="BE112" i="39"/>
  <c r="BD112" i="39"/>
  <c r="BU112" i="39" s="1"/>
  <c r="BC112" i="39"/>
  <c r="BB112" i="39"/>
  <c r="BI112" i="39" s="1"/>
  <c r="BH111" i="39"/>
  <c r="BI111" i="39" s="1"/>
  <c r="BF111" i="39"/>
  <c r="BE111" i="39"/>
  <c r="BD111" i="39"/>
  <c r="BZ111" i="39" s="1"/>
  <c r="BG111" i="39" s="1"/>
  <c r="BC111" i="39"/>
  <c r="BB111" i="39"/>
  <c r="BH110" i="39"/>
  <c r="BF110" i="39"/>
  <c r="BD110" i="39"/>
  <c r="BZ110" i="39" s="1"/>
  <c r="BG110" i="39" s="1"/>
  <c r="BC110" i="39"/>
  <c r="BB110" i="39"/>
  <c r="BF109" i="39"/>
  <c r="BE109" i="39"/>
  <c r="BD109" i="39"/>
  <c r="BU109" i="39" s="1"/>
  <c r="BC109" i="39"/>
  <c r="BB109" i="39"/>
  <c r="I112" i="39"/>
  <c r="H112" i="39"/>
  <c r="I111" i="39"/>
  <c r="H111" i="39"/>
  <c r="I110" i="39"/>
  <c r="H110" i="39"/>
  <c r="I109" i="39"/>
  <c r="H109" i="39"/>
  <c r="CK105" i="39"/>
  <c r="CK104" i="39"/>
  <c r="CK103" i="39"/>
  <c r="CK102" i="39"/>
  <c r="CC104" i="39"/>
  <c r="BU105" i="39"/>
  <c r="BU103" i="39"/>
  <c r="BU102" i="39"/>
  <c r="BJ106" i="39"/>
  <c r="BC106" i="39"/>
  <c r="BB106" i="39"/>
  <c r="AZ106" i="39"/>
  <c r="AY106" i="39"/>
  <c r="AV106" i="39"/>
  <c r="AR106" i="39"/>
  <c r="AS106" i="39" s="1"/>
  <c r="AO106" i="39"/>
  <c r="AP113" i="39" s="1"/>
  <c r="AL106" i="39"/>
  <c r="AM106" i="39" s="1"/>
  <c r="AI106" i="39"/>
  <c r="AJ113" i="39" s="1"/>
  <c r="AF106" i="39"/>
  <c r="AG106" i="39" s="1"/>
  <c r="AC106" i="39"/>
  <c r="AD106" i="39" s="1"/>
  <c r="Z106" i="39"/>
  <c r="AA106" i="39" s="1"/>
  <c r="W106" i="39"/>
  <c r="X106" i="39" s="1"/>
  <c r="G106" i="39"/>
  <c r="D106" i="39"/>
  <c r="B106" i="39"/>
  <c r="B105" i="39"/>
  <c r="B104" i="39"/>
  <c r="B103" i="39"/>
  <c r="B102" i="39"/>
  <c r="AZ105" i="39"/>
  <c r="AS105" i="39"/>
  <c r="AS104" i="39"/>
  <c r="AS103" i="39"/>
  <c r="AS102" i="39"/>
  <c r="AP105" i="39"/>
  <c r="AP104" i="39"/>
  <c r="AP103" i="39"/>
  <c r="AP102" i="39"/>
  <c r="AM105" i="39"/>
  <c r="AM104" i="39"/>
  <c r="AM103" i="39"/>
  <c r="AM102" i="39"/>
  <c r="AJ105" i="39"/>
  <c r="AJ104" i="39"/>
  <c r="AJ103" i="39"/>
  <c r="AJ102" i="39"/>
  <c r="AG105" i="39"/>
  <c r="AG104" i="39"/>
  <c r="AG103" i="39"/>
  <c r="AG102" i="39"/>
  <c r="AD105" i="39"/>
  <c r="AD104" i="39"/>
  <c r="AD103" i="39"/>
  <c r="AD102" i="39"/>
  <c r="AA105" i="39"/>
  <c r="AA104" i="39"/>
  <c r="AA103" i="39"/>
  <c r="AA102" i="39"/>
  <c r="X105" i="39"/>
  <c r="X104" i="39"/>
  <c r="X103" i="39"/>
  <c r="X102" i="39"/>
  <c r="E105" i="39"/>
  <c r="E104" i="39"/>
  <c r="E103" i="39"/>
  <c r="E102" i="39"/>
  <c r="A105" i="39"/>
  <c r="A104" i="39"/>
  <c r="A103" i="39"/>
  <c r="A102" i="39"/>
  <c r="CN105" i="39"/>
  <c r="CM105" i="39"/>
  <c r="CM104" i="39"/>
  <c r="CN104" i="39" s="1"/>
  <c r="CN103" i="39"/>
  <c r="CM103" i="39"/>
  <c r="CM102" i="39"/>
  <c r="CN102" i="39" s="1"/>
  <c r="CI105" i="39"/>
  <c r="CI104" i="39"/>
  <c r="CG104" i="39"/>
  <c r="CF104" i="39"/>
  <c r="CI102" i="39"/>
  <c r="CA105" i="39"/>
  <c r="BY105" i="39"/>
  <c r="BX105" i="39"/>
  <c r="CA104" i="39"/>
  <c r="BY104" i="39"/>
  <c r="BX104" i="39"/>
  <c r="CA103" i="39"/>
  <c r="BY103" i="39"/>
  <c r="BX103" i="39"/>
  <c r="CA102" i="39"/>
  <c r="BY102" i="39"/>
  <c r="BX102" i="39"/>
  <c r="BM105" i="39"/>
  <c r="BK105" i="39"/>
  <c r="CC105" i="39" s="1"/>
  <c r="BM104" i="39"/>
  <c r="BK104" i="39"/>
  <c r="CH104" i="39" s="1"/>
  <c r="BK103" i="39"/>
  <c r="CF103" i="39" s="1"/>
  <c r="BK102" i="39"/>
  <c r="CF102" i="39" s="1"/>
  <c r="BF105" i="39"/>
  <c r="BD105" i="39"/>
  <c r="BZ105" i="39" s="1"/>
  <c r="BG105" i="39" s="1"/>
  <c r="BC105" i="39"/>
  <c r="BB105" i="39"/>
  <c r="BE105" i="39" s="1"/>
  <c r="BE104" i="39"/>
  <c r="BD104" i="39"/>
  <c r="BU104" i="39" s="1"/>
  <c r="BC104" i="39"/>
  <c r="BB104" i="39"/>
  <c r="BI103" i="39"/>
  <c r="BH103" i="39"/>
  <c r="BE103" i="39"/>
  <c r="BD103" i="39"/>
  <c r="BZ103" i="39" s="1"/>
  <c r="BG103" i="39" s="1"/>
  <c r="BC103" i="39"/>
  <c r="BB103" i="39"/>
  <c r="BE102" i="39"/>
  <c r="BD102" i="39"/>
  <c r="BZ102" i="39" s="1"/>
  <c r="BG102" i="39" s="1"/>
  <c r="BC102" i="39"/>
  <c r="BB102" i="39"/>
  <c r="I105" i="39"/>
  <c r="H105" i="39"/>
  <c r="I104" i="39"/>
  <c r="H104" i="39"/>
  <c r="I103" i="39"/>
  <c r="H103" i="39"/>
  <c r="I102" i="39"/>
  <c r="H102" i="39"/>
  <c r="CK98" i="39"/>
  <c r="CK97" i="39"/>
  <c r="CK96" i="39"/>
  <c r="CK95" i="39"/>
  <c r="CC97" i="39"/>
  <c r="CC95" i="39"/>
  <c r="BU98" i="39"/>
  <c r="BJ99" i="39"/>
  <c r="AR99" i="39"/>
  <c r="AS99" i="39" s="1"/>
  <c r="AO99" i="39"/>
  <c r="AL99" i="39"/>
  <c r="AM99" i="39" s="1"/>
  <c r="AI99" i="39"/>
  <c r="AF99" i="39"/>
  <c r="AG99" i="39" s="1"/>
  <c r="AC99" i="39"/>
  <c r="Z99" i="39"/>
  <c r="W99" i="39"/>
  <c r="G99" i="39"/>
  <c r="H99" i="39" s="1"/>
  <c r="D99" i="39"/>
  <c r="BU99" i="39" s="1"/>
  <c r="B99" i="39"/>
  <c r="B98" i="39"/>
  <c r="B97" i="39"/>
  <c r="B96" i="39"/>
  <c r="B95" i="39"/>
  <c r="AS98" i="39"/>
  <c r="AS97" i="39"/>
  <c r="AS96" i="39"/>
  <c r="AS95" i="39"/>
  <c r="AP98" i="39"/>
  <c r="AP97" i="39"/>
  <c r="AP96" i="39"/>
  <c r="AP95" i="39"/>
  <c r="AM98" i="39"/>
  <c r="AM97" i="39"/>
  <c r="AM96" i="39"/>
  <c r="AM95" i="39"/>
  <c r="AJ98" i="39"/>
  <c r="AJ97" i="39"/>
  <c r="AJ96" i="39"/>
  <c r="AJ95" i="39"/>
  <c r="AG98" i="39"/>
  <c r="AG97" i="39"/>
  <c r="AG96" i="39"/>
  <c r="AG95" i="39"/>
  <c r="AD98" i="39"/>
  <c r="AD97" i="39"/>
  <c r="AD96" i="39"/>
  <c r="AD95" i="39"/>
  <c r="AA98" i="39"/>
  <c r="AA97" i="39"/>
  <c r="AA96" i="39"/>
  <c r="AA95" i="39"/>
  <c r="X98" i="39"/>
  <c r="X97" i="39"/>
  <c r="X96" i="39"/>
  <c r="X95" i="39"/>
  <c r="E98" i="39"/>
  <c r="E97" i="39"/>
  <c r="E96" i="39"/>
  <c r="E95" i="39"/>
  <c r="A98" i="39"/>
  <c r="A97" i="39"/>
  <c r="A96" i="39"/>
  <c r="A95" i="39"/>
  <c r="CM98" i="39"/>
  <c r="CN98" i="39" s="1"/>
  <c r="CN97" i="39"/>
  <c r="CM97" i="39"/>
  <c r="CM96" i="39"/>
  <c r="CN96" i="39" s="1"/>
  <c r="CN95" i="39"/>
  <c r="CM95" i="39"/>
  <c r="CG97" i="39"/>
  <c r="CG96" i="39"/>
  <c r="CI95" i="39"/>
  <c r="CH95" i="39"/>
  <c r="CG95" i="39"/>
  <c r="CA98" i="39"/>
  <c r="BZ98" i="39"/>
  <c r="BY98" i="39"/>
  <c r="BY97" i="39"/>
  <c r="BY96" i="39"/>
  <c r="BK98" i="39"/>
  <c r="CC98" i="39" s="1"/>
  <c r="BK97" i="39"/>
  <c r="CH97" i="39" s="1"/>
  <c r="BM96" i="39"/>
  <c r="BK96" i="39"/>
  <c r="CH96" i="39" s="1"/>
  <c r="BK95" i="39"/>
  <c r="CF95" i="39" s="1"/>
  <c r="BH98" i="39"/>
  <c r="BL98" i="39" s="1"/>
  <c r="BH96" i="39"/>
  <c r="BL96" i="39" s="1"/>
  <c r="BH95" i="39"/>
  <c r="BD99" i="39"/>
  <c r="BZ99" i="39" s="1"/>
  <c r="BC99" i="39"/>
  <c r="BB99" i="39"/>
  <c r="BD98" i="39"/>
  <c r="BX98" i="39" s="1"/>
  <c r="BC98" i="39"/>
  <c r="BB98" i="39"/>
  <c r="BE98" i="39" s="1"/>
  <c r="BD97" i="39"/>
  <c r="BF104" i="39" s="1"/>
  <c r="BC97" i="39"/>
  <c r="BB97" i="39"/>
  <c r="BD96" i="39"/>
  <c r="BF103" i="39" s="1"/>
  <c r="BC96" i="39"/>
  <c r="BB96" i="39"/>
  <c r="BD95" i="39"/>
  <c r="BF102" i="39" s="1"/>
  <c r="BC95" i="39"/>
  <c r="BB95" i="39"/>
  <c r="I98" i="39"/>
  <c r="H98" i="39"/>
  <c r="I97" i="39"/>
  <c r="H97" i="39"/>
  <c r="I96" i="39"/>
  <c r="H96" i="39"/>
  <c r="I95" i="39"/>
  <c r="H95" i="39"/>
  <c r="CK91" i="39"/>
  <c r="CK90" i="39"/>
  <c r="CK89" i="39"/>
  <c r="CK88" i="39"/>
  <c r="BU90" i="39"/>
  <c r="BB92" i="39"/>
  <c r="BB91" i="39"/>
  <c r="BE91" i="39" s="1"/>
  <c r="BB90" i="39"/>
  <c r="BB89" i="39"/>
  <c r="BB88" i="39"/>
  <c r="AS92" i="39"/>
  <c r="AR92" i="39"/>
  <c r="AO92" i="39"/>
  <c r="AP99" i="39" s="1"/>
  <c r="AM92" i="39"/>
  <c r="AL92" i="39"/>
  <c r="AI92" i="39"/>
  <c r="AJ99" i="39" s="1"/>
  <c r="AG92" i="39"/>
  <c r="AF92" i="39"/>
  <c r="AC92" i="39"/>
  <c r="AD99" i="39" s="1"/>
  <c r="AA92" i="39"/>
  <c r="Z92" i="39"/>
  <c r="W92" i="39"/>
  <c r="X99" i="39" s="1"/>
  <c r="G92" i="39"/>
  <c r="D92" i="39"/>
  <c r="E92" i="39" s="1"/>
  <c r="B92" i="39"/>
  <c r="B91" i="39"/>
  <c r="B90" i="39"/>
  <c r="B89" i="39"/>
  <c r="B88" i="39"/>
  <c r="AS91" i="39"/>
  <c r="AS90" i="39"/>
  <c r="AS89" i="39"/>
  <c r="AS88" i="39"/>
  <c r="AP91" i="39"/>
  <c r="AP90" i="39"/>
  <c r="AP89" i="39"/>
  <c r="AP88" i="39"/>
  <c r="AM91" i="39"/>
  <c r="AM90" i="39"/>
  <c r="AM89" i="39"/>
  <c r="AM88" i="39"/>
  <c r="AJ91" i="39"/>
  <c r="AJ90" i="39"/>
  <c r="AJ89" i="39"/>
  <c r="AJ88" i="39"/>
  <c r="AG91" i="39"/>
  <c r="AG90" i="39"/>
  <c r="AG89" i="39"/>
  <c r="AG88" i="39"/>
  <c r="AD91" i="39"/>
  <c r="AD90" i="39"/>
  <c r="AD89" i="39"/>
  <c r="AD88" i="39"/>
  <c r="AA91" i="39"/>
  <c r="AA90" i="39"/>
  <c r="AA89" i="39"/>
  <c r="AA88" i="39"/>
  <c r="X91" i="39"/>
  <c r="X90" i="39"/>
  <c r="X89" i="39"/>
  <c r="X88" i="39"/>
  <c r="E91" i="39"/>
  <c r="E90" i="39"/>
  <c r="E89" i="39"/>
  <c r="E88" i="39"/>
  <c r="A91" i="39"/>
  <c r="A90" i="39"/>
  <c r="A89" i="39"/>
  <c r="A88" i="39"/>
  <c r="CM92" i="39"/>
  <c r="CN91" i="39"/>
  <c r="CM91" i="39"/>
  <c r="CM90" i="39"/>
  <c r="CN90" i="39" s="1"/>
  <c r="CN89" i="39"/>
  <c r="CM89" i="39"/>
  <c r="CM88" i="39"/>
  <c r="CN88" i="39" s="1"/>
  <c r="CI90" i="39"/>
  <c r="CI88" i="39"/>
  <c r="CA91" i="39"/>
  <c r="CA90" i="39"/>
  <c r="CA89" i="39"/>
  <c r="BY89" i="39"/>
  <c r="BX89" i="39"/>
  <c r="BK91" i="39"/>
  <c r="BJ91" i="39"/>
  <c r="BH91" i="39"/>
  <c r="BL91" i="39" s="1"/>
  <c r="BM90" i="39"/>
  <c r="BK90" i="39"/>
  <c r="CC90" i="39" s="1"/>
  <c r="BJ90" i="39"/>
  <c r="BI90" i="39"/>
  <c r="BH90" i="39"/>
  <c r="BL90" i="39" s="1"/>
  <c r="BK89" i="39"/>
  <c r="BJ89" i="39"/>
  <c r="BI89" i="39"/>
  <c r="BH89" i="39"/>
  <c r="BL89" i="39" s="1"/>
  <c r="BK88" i="39"/>
  <c r="CF88" i="39" s="1"/>
  <c r="BJ88" i="39"/>
  <c r="BJ92" i="39" s="1"/>
  <c r="BK92" i="39" s="1"/>
  <c r="BH88" i="39"/>
  <c r="BL88" i="39" s="1"/>
  <c r="BD92" i="39"/>
  <c r="CA92" i="39" s="1"/>
  <c r="BD91" i="39"/>
  <c r="BF98" i="39" s="1"/>
  <c r="BF90" i="39"/>
  <c r="BD90" i="39"/>
  <c r="BX90" i="39" s="1"/>
  <c r="BE89" i="39"/>
  <c r="BD89" i="39"/>
  <c r="BU89" i="39" s="1"/>
  <c r="BD88" i="39"/>
  <c r="CA88" i="39" s="1"/>
  <c r="I91" i="39"/>
  <c r="H91" i="39"/>
  <c r="I90" i="39"/>
  <c r="H90" i="39"/>
  <c r="I89" i="39"/>
  <c r="H89" i="39"/>
  <c r="I88" i="39"/>
  <c r="H88" i="39"/>
  <c r="BB85" i="39"/>
  <c r="BE85" i="39" s="1"/>
  <c r="BB84" i="39"/>
  <c r="BB83" i="39"/>
  <c r="BB82" i="39"/>
  <c r="BB81" i="39"/>
  <c r="BE81" i="39" s="1"/>
  <c r="AR85" i="39"/>
  <c r="AS85" i="39" s="1"/>
  <c r="AO85" i="39"/>
  <c r="AL85" i="39"/>
  <c r="AI85" i="39"/>
  <c r="AJ85" i="39" s="1"/>
  <c r="AF85" i="39"/>
  <c r="AG85" i="39" s="1"/>
  <c r="AC85" i="39"/>
  <c r="Z85" i="39"/>
  <c r="W85" i="39"/>
  <c r="H85" i="39"/>
  <c r="G85" i="39"/>
  <c r="I85" i="39" s="1"/>
  <c r="E85" i="39"/>
  <c r="D85" i="39"/>
  <c r="B85" i="39"/>
  <c r="B84" i="39"/>
  <c r="B83" i="39"/>
  <c r="B82" i="39"/>
  <c r="B81" i="39"/>
  <c r="AS84" i="39"/>
  <c r="AS83" i="39"/>
  <c r="AS82" i="39"/>
  <c r="AS81" i="39"/>
  <c r="AP84" i="39"/>
  <c r="AP83" i="39"/>
  <c r="AP82" i="39"/>
  <c r="AP81" i="39"/>
  <c r="AM84" i="39"/>
  <c r="AM83" i="39"/>
  <c r="AM82" i="39"/>
  <c r="AM81" i="39"/>
  <c r="AJ84" i="39"/>
  <c r="AJ83" i="39"/>
  <c r="AJ82" i="39"/>
  <c r="AJ81" i="39"/>
  <c r="AG84" i="39"/>
  <c r="AG83" i="39"/>
  <c r="AG82" i="39"/>
  <c r="AG81" i="39"/>
  <c r="AD84" i="39"/>
  <c r="AD83" i="39"/>
  <c r="AD82" i="39"/>
  <c r="AD81" i="39"/>
  <c r="AA84" i="39"/>
  <c r="AA83" i="39"/>
  <c r="AA82" i="39"/>
  <c r="AA81" i="39"/>
  <c r="X84" i="39"/>
  <c r="X83" i="39"/>
  <c r="X82" i="39"/>
  <c r="X81" i="39"/>
  <c r="E84" i="39"/>
  <c r="E83" i="39"/>
  <c r="E82" i="39"/>
  <c r="E81" i="39"/>
  <c r="A84" i="39"/>
  <c r="A83" i="39"/>
  <c r="A82" i="39"/>
  <c r="A81" i="39"/>
  <c r="CA83" i="39"/>
  <c r="BZ83" i="39"/>
  <c r="BX83" i="39"/>
  <c r="BJ84" i="39"/>
  <c r="BK84" i="39" s="1"/>
  <c r="BH84" i="39"/>
  <c r="BI84" i="39" s="1"/>
  <c r="BJ83" i="39"/>
  <c r="BK83" i="39" s="1"/>
  <c r="CC83" i="39" s="1"/>
  <c r="BH83" i="39"/>
  <c r="BI83" i="39" s="1"/>
  <c r="BJ82" i="39"/>
  <c r="BK82" i="39" s="1"/>
  <c r="CH82" i="39" s="1"/>
  <c r="BH82" i="39"/>
  <c r="BI82" i="39" s="1"/>
  <c r="BJ81" i="39"/>
  <c r="BK81" i="39" s="1"/>
  <c r="BM81" i="39" s="1"/>
  <c r="BH81" i="39"/>
  <c r="BL81" i="39" s="1"/>
  <c r="BD85" i="39"/>
  <c r="BD84" i="39"/>
  <c r="BF83" i="39"/>
  <c r="BE83" i="39"/>
  <c r="BD83" i="39"/>
  <c r="BU83" i="39" s="1"/>
  <c r="BD82" i="39"/>
  <c r="BZ82" i="39" s="1"/>
  <c r="BD81" i="39"/>
  <c r="I84" i="39"/>
  <c r="H84" i="39"/>
  <c r="I83" i="39"/>
  <c r="H83" i="39"/>
  <c r="I82" i="39"/>
  <c r="H82" i="39"/>
  <c r="I81" i="39"/>
  <c r="H81" i="39"/>
  <c r="BB78" i="39"/>
  <c r="BB77" i="39"/>
  <c r="BB76" i="39"/>
  <c r="BB75" i="39"/>
  <c r="BB74" i="39"/>
  <c r="AS78" i="39"/>
  <c r="AS77" i="39"/>
  <c r="AS76" i="39"/>
  <c r="AS75" i="39"/>
  <c r="AS74" i="39"/>
  <c r="AP78" i="39"/>
  <c r="AP77" i="39"/>
  <c r="AP76" i="39"/>
  <c r="AM78" i="39"/>
  <c r="AM77" i="39"/>
  <c r="AM76" i="39"/>
  <c r="AM75" i="39"/>
  <c r="AM74" i="39"/>
  <c r="AJ78" i="39"/>
  <c r="AJ77" i="39"/>
  <c r="AJ76" i="39"/>
  <c r="AJ75" i="39"/>
  <c r="AJ74" i="39"/>
  <c r="AG78" i="39"/>
  <c r="AG77" i="39"/>
  <c r="AG76" i="39"/>
  <c r="AG75" i="39"/>
  <c r="AG74" i="39"/>
  <c r="AD78" i="39"/>
  <c r="AD77" i="39"/>
  <c r="AD76" i="39"/>
  <c r="AD75" i="39"/>
  <c r="AD74" i="39"/>
  <c r="AA78" i="39"/>
  <c r="AA77" i="39"/>
  <c r="AA76" i="39"/>
  <c r="AA75" i="39"/>
  <c r="AA74" i="39"/>
  <c r="X78" i="39"/>
  <c r="X77" i="39"/>
  <c r="X76" i="39"/>
  <c r="X75" i="39"/>
  <c r="X74" i="39"/>
  <c r="E78" i="39"/>
  <c r="E77" i="39"/>
  <c r="E76" i="39"/>
  <c r="E75" i="39"/>
  <c r="E74" i="39"/>
  <c r="B78" i="39"/>
  <c r="B77" i="39"/>
  <c r="B76" i="39"/>
  <c r="B75" i="39"/>
  <c r="B74" i="39"/>
  <c r="A77" i="39"/>
  <c r="A76" i="39"/>
  <c r="A75" i="39"/>
  <c r="A74" i="39"/>
  <c r="BH78" i="39"/>
  <c r="BK77" i="39"/>
  <c r="BJ77" i="39"/>
  <c r="BH77" i="39"/>
  <c r="BI77" i="39" s="1"/>
  <c r="BM76" i="39"/>
  <c r="BJ76" i="39"/>
  <c r="BK76" i="39" s="1"/>
  <c r="BH76" i="39"/>
  <c r="BI76" i="39" s="1"/>
  <c r="BJ75" i="39"/>
  <c r="BK75" i="39" s="1"/>
  <c r="BM75" i="39" s="1"/>
  <c r="BH75" i="39"/>
  <c r="BJ74" i="39"/>
  <c r="BJ78" i="39" s="1"/>
  <c r="BK78" i="39" s="1"/>
  <c r="BI74" i="39"/>
  <c r="BH74" i="39"/>
  <c r="BD78" i="39"/>
  <c r="BY78" i="39" s="1"/>
  <c r="BF77" i="39"/>
  <c r="BD77" i="39"/>
  <c r="BF84" i="39" s="1"/>
  <c r="BE76" i="39"/>
  <c r="BD76" i="39"/>
  <c r="BD75" i="39"/>
  <c r="BF75" i="39" s="1"/>
  <c r="BE74" i="39"/>
  <c r="BD74" i="39"/>
  <c r="BF74" i="39" s="1"/>
  <c r="AR74" i="39"/>
  <c r="AO74" i="39"/>
  <c r="I78" i="39"/>
  <c r="H78" i="39"/>
  <c r="I77" i="39"/>
  <c r="H77" i="39"/>
  <c r="I76" i="39"/>
  <c r="H76" i="39"/>
  <c r="I75" i="39"/>
  <c r="H75" i="39"/>
  <c r="I74" i="39"/>
  <c r="H74" i="39"/>
  <c r="BZ71" i="39"/>
  <c r="BY71" i="39"/>
  <c r="BX71" i="39"/>
  <c r="AS71" i="39"/>
  <c r="AS70" i="39"/>
  <c r="AS69" i="39"/>
  <c r="AM71" i="39"/>
  <c r="AM70" i="39"/>
  <c r="AM69" i="39"/>
  <c r="AM68" i="39"/>
  <c r="AM67" i="39"/>
  <c r="AJ71" i="39"/>
  <c r="AJ70" i="39"/>
  <c r="AJ69" i="39"/>
  <c r="AJ68" i="39"/>
  <c r="AJ67" i="39"/>
  <c r="AG71" i="39"/>
  <c r="AG70" i="39"/>
  <c r="AG69" i="39"/>
  <c r="AG68" i="39"/>
  <c r="AG67" i="39"/>
  <c r="AD71" i="39"/>
  <c r="AD70" i="39"/>
  <c r="AD69" i="39"/>
  <c r="AD68" i="39"/>
  <c r="AD67" i="39"/>
  <c r="AA71" i="39"/>
  <c r="AA70" i="39"/>
  <c r="AA69" i="39"/>
  <c r="AA68" i="39"/>
  <c r="AA67" i="39"/>
  <c r="X70" i="39"/>
  <c r="X69" i="39"/>
  <c r="X68" i="39"/>
  <c r="X67" i="39"/>
  <c r="E71" i="39"/>
  <c r="E70" i="39"/>
  <c r="E69" i="39"/>
  <c r="E68" i="39"/>
  <c r="E67" i="39"/>
  <c r="B71" i="39"/>
  <c r="B70" i="39"/>
  <c r="B69" i="39"/>
  <c r="B68" i="39"/>
  <c r="B67" i="39"/>
  <c r="A70" i="39"/>
  <c r="A69" i="39"/>
  <c r="A68" i="39"/>
  <c r="A67" i="39"/>
  <c r="BJ70" i="39"/>
  <c r="BK70" i="39" s="1"/>
  <c r="BM70" i="39" s="1"/>
  <c r="BH70" i="39"/>
  <c r="BL70" i="39" s="1"/>
  <c r="BJ69" i="39"/>
  <c r="BK69" i="39" s="1"/>
  <c r="BM69" i="39" s="1"/>
  <c r="BH69" i="39"/>
  <c r="BJ68" i="39"/>
  <c r="BK68" i="39" s="1"/>
  <c r="BH68" i="39"/>
  <c r="BK67" i="39"/>
  <c r="BM67" i="39" s="1"/>
  <c r="BJ67" i="39"/>
  <c r="BH67" i="39"/>
  <c r="BF71" i="39"/>
  <c r="BD71" i="39"/>
  <c r="CA71" i="39" s="1"/>
  <c r="BB71" i="39"/>
  <c r="BF70" i="39"/>
  <c r="BD70" i="39"/>
  <c r="BB70" i="39"/>
  <c r="BE70" i="39" s="1"/>
  <c r="BD69" i="39"/>
  <c r="BF76" i="39" s="1"/>
  <c r="BB69" i="39"/>
  <c r="BE69" i="39" s="1"/>
  <c r="BF68" i="39"/>
  <c r="BD68" i="39"/>
  <c r="BB68" i="39"/>
  <c r="BF67" i="39"/>
  <c r="BD67" i="39"/>
  <c r="BB67" i="39"/>
  <c r="I71" i="39"/>
  <c r="I70" i="39"/>
  <c r="H70" i="39"/>
  <c r="I69" i="39"/>
  <c r="H69" i="39"/>
  <c r="I68" i="39"/>
  <c r="H68" i="39"/>
  <c r="I67" i="39"/>
  <c r="H67" i="39"/>
  <c r="CA64" i="39"/>
  <c r="BZ64" i="39"/>
  <c r="BB64" i="39"/>
  <c r="BB63" i="39"/>
  <c r="BE63" i="39" s="1"/>
  <c r="BB62" i="39"/>
  <c r="BC69" i="39" s="1"/>
  <c r="BB61" i="39"/>
  <c r="BB60" i="39"/>
  <c r="AM64" i="39"/>
  <c r="AL64" i="39"/>
  <c r="AI64" i="39"/>
  <c r="AG64" i="39"/>
  <c r="AF64" i="39"/>
  <c r="AC64" i="39"/>
  <c r="Z64" i="39"/>
  <c r="AA64" i="39" s="1"/>
  <c r="X64" i="39"/>
  <c r="W64" i="39"/>
  <c r="BD64" i="39" s="1"/>
  <c r="BU64" i="39" s="1"/>
  <c r="G64" i="39"/>
  <c r="H64" i="39" s="1"/>
  <c r="D64" i="39"/>
  <c r="B64" i="39"/>
  <c r="B63" i="39"/>
  <c r="B62" i="39"/>
  <c r="B61" i="39"/>
  <c r="B60" i="39"/>
  <c r="AM63" i="39"/>
  <c r="AM62" i="39"/>
  <c r="AM61" i="39"/>
  <c r="AM60" i="39"/>
  <c r="AJ63" i="39"/>
  <c r="AJ62" i="39"/>
  <c r="AJ61" i="39"/>
  <c r="AJ60" i="39"/>
  <c r="AG63" i="39"/>
  <c r="AG62" i="39"/>
  <c r="AG61" i="39"/>
  <c r="AG60" i="39"/>
  <c r="AA63" i="39"/>
  <c r="AA62" i="39"/>
  <c r="AA61" i="39"/>
  <c r="AA60" i="39"/>
  <c r="X63" i="39"/>
  <c r="X62" i="39"/>
  <c r="X61" i="39"/>
  <c r="X60" i="39"/>
  <c r="E63" i="39"/>
  <c r="E62" i="39"/>
  <c r="E61" i="39"/>
  <c r="E60" i="39"/>
  <c r="A63" i="39"/>
  <c r="A62" i="39"/>
  <c r="A61" i="39"/>
  <c r="A60" i="39"/>
  <c r="BJ63" i="39"/>
  <c r="BK63" i="39" s="1"/>
  <c r="BM63" i="39" s="1"/>
  <c r="BH63" i="39"/>
  <c r="BI63" i="39" s="1"/>
  <c r="BK62" i="39"/>
  <c r="BJ62" i="39"/>
  <c r="BH62" i="39"/>
  <c r="BK61" i="39"/>
  <c r="BM61" i="39" s="1"/>
  <c r="BJ61" i="39"/>
  <c r="BH61" i="39"/>
  <c r="BI61" i="39" s="1"/>
  <c r="BJ60" i="39"/>
  <c r="BK60" i="39" s="1"/>
  <c r="BM60" i="39" s="1"/>
  <c r="BH60" i="39"/>
  <c r="BI60" i="39" s="1"/>
  <c r="BE64" i="39"/>
  <c r="BD63" i="39"/>
  <c r="BD62" i="39"/>
  <c r="BF61" i="39"/>
  <c r="BD61" i="39"/>
  <c r="BF60" i="39"/>
  <c r="BE60" i="39"/>
  <c r="BD60" i="39"/>
  <c r="I63" i="39"/>
  <c r="H63" i="39"/>
  <c r="I62" i="39"/>
  <c r="H62" i="39"/>
  <c r="I61" i="39"/>
  <c r="H61" i="39"/>
  <c r="I60" i="39"/>
  <c r="H60" i="39"/>
  <c r="BM53" i="39"/>
  <c r="BH56" i="39"/>
  <c r="BH55" i="39"/>
  <c r="BH54" i="39"/>
  <c r="BH53" i="39"/>
  <c r="BB57" i="39"/>
  <c r="BB56" i="39"/>
  <c r="BB55" i="39"/>
  <c r="BE55" i="39" s="1"/>
  <c r="BB54" i="39"/>
  <c r="BB53" i="39"/>
  <c r="AL57" i="39"/>
  <c r="AM57" i="39" s="1"/>
  <c r="AI57" i="39"/>
  <c r="AJ64" i="39" s="1"/>
  <c r="Z57" i="39"/>
  <c r="AA57" i="39" s="1"/>
  <c r="W57" i="39"/>
  <c r="H57" i="39"/>
  <c r="G57" i="39"/>
  <c r="D57" i="39"/>
  <c r="B57" i="39"/>
  <c r="B56" i="39"/>
  <c r="B55" i="39"/>
  <c r="B54" i="39"/>
  <c r="B53" i="39"/>
  <c r="AM56" i="39"/>
  <c r="AM55" i="39"/>
  <c r="AM54" i="39"/>
  <c r="AM53" i="39"/>
  <c r="AJ56" i="39"/>
  <c r="AJ55" i="39"/>
  <c r="AJ54" i="39"/>
  <c r="AJ53" i="39"/>
  <c r="AA56" i="39"/>
  <c r="AA55" i="39"/>
  <c r="AA54" i="39"/>
  <c r="AA53" i="39"/>
  <c r="X56" i="39"/>
  <c r="X55" i="39"/>
  <c r="X54" i="39"/>
  <c r="X53" i="39"/>
  <c r="E56" i="39"/>
  <c r="E55" i="39"/>
  <c r="E54" i="39"/>
  <c r="E53" i="39"/>
  <c r="A56" i="39"/>
  <c r="A55" i="39"/>
  <c r="A54" i="39"/>
  <c r="A53" i="39"/>
  <c r="BJ56" i="39"/>
  <c r="BK56" i="39" s="1"/>
  <c r="BM56" i="39" s="1"/>
  <c r="BK55" i="39"/>
  <c r="BM55" i="39" s="1"/>
  <c r="BJ55" i="39"/>
  <c r="BJ54" i="39"/>
  <c r="BK54" i="39" s="1"/>
  <c r="BM54" i="39" s="1"/>
  <c r="BK53" i="39"/>
  <c r="BJ53" i="39"/>
  <c r="BJ57" i="39" s="1"/>
  <c r="BD56" i="39"/>
  <c r="BE56" i="39" s="1"/>
  <c r="BD55" i="39"/>
  <c r="BF55" i="39" s="1"/>
  <c r="BE54" i="39"/>
  <c r="BD54" i="39"/>
  <c r="BF53" i="39"/>
  <c r="BE53" i="39"/>
  <c r="BD53" i="39"/>
  <c r="I56" i="39"/>
  <c r="H56" i="39"/>
  <c r="I55" i="39"/>
  <c r="H55" i="39"/>
  <c r="I54" i="39"/>
  <c r="H54" i="39"/>
  <c r="I53" i="39"/>
  <c r="H53" i="39"/>
  <c r="BH48" i="39"/>
  <c r="BH47" i="39"/>
  <c r="BH46" i="39"/>
  <c r="BB50" i="39"/>
  <c r="BB49" i="39"/>
  <c r="BE49" i="39" s="1"/>
  <c r="BB48" i="39"/>
  <c r="BE48" i="39" s="1"/>
  <c r="BB47" i="39"/>
  <c r="BE47" i="39" s="1"/>
  <c r="BB46" i="39"/>
  <c r="AL50" i="39"/>
  <c r="BK50" i="39" s="1"/>
  <c r="AI50" i="39"/>
  <c r="Z50" i="39"/>
  <c r="W50" i="39"/>
  <c r="X50" i="39" s="1"/>
  <c r="I49" i="39"/>
  <c r="I48" i="39"/>
  <c r="I47" i="39"/>
  <c r="I46" i="39"/>
  <c r="G50" i="39"/>
  <c r="F50" i="39"/>
  <c r="D50" i="39"/>
  <c r="B50" i="39"/>
  <c r="B49" i="39"/>
  <c r="B48" i="39"/>
  <c r="B47" i="39"/>
  <c r="B46" i="39"/>
  <c r="AA49" i="39"/>
  <c r="AA48" i="39"/>
  <c r="AA47" i="39"/>
  <c r="AA46" i="39"/>
  <c r="F49" i="39"/>
  <c r="F48" i="39"/>
  <c r="F47" i="39"/>
  <c r="F46" i="39"/>
  <c r="A49" i="39"/>
  <c r="A48" i="39"/>
  <c r="A47" i="39"/>
  <c r="A46" i="39"/>
  <c r="BK49" i="39"/>
  <c r="BM49" i="39" s="1"/>
  <c r="BJ49" i="39"/>
  <c r="BJ48" i="39"/>
  <c r="BK48" i="39" s="1"/>
  <c r="BM48" i="39" s="1"/>
  <c r="BK47" i="39"/>
  <c r="BM47" i="39" s="1"/>
  <c r="BJ47" i="39"/>
  <c r="BJ46" i="39"/>
  <c r="BJ50" i="39" s="1"/>
  <c r="BD49" i="39"/>
  <c r="BD48" i="39"/>
  <c r="BF48" i="39" s="1"/>
  <c r="BD47" i="39"/>
  <c r="BF54" i="39" s="1"/>
  <c r="BF46" i="39"/>
  <c r="BE46" i="39"/>
  <c r="BD46" i="39"/>
  <c r="CA43" i="39"/>
  <c r="BZ43" i="39"/>
  <c r="BX43" i="39"/>
  <c r="BU43" i="39"/>
  <c r="BR43" i="39"/>
  <c r="BO43" i="39"/>
  <c r="BH42" i="39"/>
  <c r="BH41" i="39"/>
  <c r="BH40" i="39"/>
  <c r="BH39" i="39"/>
  <c r="BD43" i="39"/>
  <c r="BY43" i="39" s="1"/>
  <c r="BD42" i="39"/>
  <c r="BF49" i="39" s="1"/>
  <c r="BD41" i="39"/>
  <c r="BD40" i="39"/>
  <c r="BD39" i="39"/>
  <c r="BB43" i="39"/>
  <c r="BB42" i="39"/>
  <c r="BB41" i="39"/>
  <c r="BB40" i="39"/>
  <c r="BB39" i="39"/>
  <c r="AA43" i="39"/>
  <c r="X43" i="39"/>
  <c r="O43" i="39"/>
  <c r="G43" i="39"/>
  <c r="I43" i="39" s="1"/>
  <c r="F43" i="39"/>
  <c r="D43" i="39"/>
  <c r="B43" i="39"/>
  <c r="B42" i="39"/>
  <c r="B41" i="39"/>
  <c r="B40" i="39"/>
  <c r="B39" i="39"/>
  <c r="F42" i="39"/>
  <c r="F41" i="39"/>
  <c r="F40" i="39"/>
  <c r="F39" i="39"/>
  <c r="A42" i="39"/>
  <c r="A41" i="39"/>
  <c r="A40" i="39"/>
  <c r="A39" i="39"/>
  <c r="BJ42" i="39"/>
  <c r="BK42" i="39" s="1"/>
  <c r="BM42" i="39" s="1"/>
  <c r="BK41" i="39"/>
  <c r="BM41" i="39" s="1"/>
  <c r="BJ41" i="39"/>
  <c r="BJ40" i="39"/>
  <c r="BK40" i="39" s="1"/>
  <c r="BM40" i="39" s="1"/>
  <c r="BK39" i="39"/>
  <c r="BM39" i="39" s="1"/>
  <c r="BJ39" i="39"/>
  <c r="BJ43" i="39" s="1"/>
  <c r="BK43" i="39" s="1"/>
  <c r="BM43" i="39" s="1"/>
  <c r="BR36" i="39"/>
  <c r="BO36" i="39"/>
  <c r="BD36" i="39" s="1"/>
  <c r="BB36" i="39"/>
  <c r="AA36" i="39"/>
  <c r="X36" i="39"/>
  <c r="O36" i="39"/>
  <c r="G36" i="39"/>
  <c r="I36" i="39" s="1"/>
  <c r="F36" i="39"/>
  <c r="D36" i="39"/>
  <c r="B36" i="39"/>
  <c r="B35" i="39"/>
  <c r="B34" i="39"/>
  <c r="B33" i="39"/>
  <c r="B32" i="39"/>
  <c r="F35" i="39"/>
  <c r="F34" i="39"/>
  <c r="F33" i="39"/>
  <c r="F32" i="39"/>
  <c r="A35" i="39"/>
  <c r="A34" i="39"/>
  <c r="A33" i="39"/>
  <c r="A32" i="39"/>
  <c r="BJ35" i="39"/>
  <c r="BK35" i="39" s="1"/>
  <c r="BK34" i="39"/>
  <c r="BJ34" i="39"/>
  <c r="BJ33" i="39"/>
  <c r="BK33" i="39" s="1"/>
  <c r="BK32" i="39"/>
  <c r="BJ32" i="39"/>
  <c r="BJ36" i="39" s="1"/>
  <c r="BK36" i="39" s="1"/>
  <c r="BD29" i="39"/>
  <c r="CA29" i="39" s="1"/>
  <c r="BB29" i="39"/>
  <c r="AA29" i="39"/>
  <c r="X29" i="39"/>
  <c r="O29" i="39"/>
  <c r="G29" i="39"/>
  <c r="F29" i="39"/>
  <c r="D29" i="39"/>
  <c r="BU29" i="39" s="1"/>
  <c r="B29" i="39"/>
  <c r="B28" i="39"/>
  <c r="B27" i="39"/>
  <c r="B26" i="39"/>
  <c r="B25" i="39"/>
  <c r="BJ29" i="39"/>
  <c r="BK29" i="39" s="1"/>
  <c r="BK28" i="39"/>
  <c r="BJ28" i="39"/>
  <c r="F28" i="39"/>
  <c r="F27" i="39"/>
  <c r="F26" i="39"/>
  <c r="F25" i="39"/>
  <c r="A28" i="39"/>
  <c r="A27" i="39"/>
  <c r="A26" i="39"/>
  <c r="A25" i="39"/>
  <c r="BK27" i="39"/>
  <c r="BK26" i="39"/>
  <c r="BK25" i="39"/>
  <c r="BJ26" i="39"/>
  <c r="BJ25" i="39"/>
  <c r="BR25" i="39"/>
  <c r="BO25" i="39"/>
  <c r="BZ22" i="39"/>
  <c r="BY22" i="39"/>
  <c r="BJ22" i="39"/>
  <c r="BK22" i="39" s="1"/>
  <c r="BD22" i="39"/>
  <c r="BX22" i="39" s="1"/>
  <c r="BB22" i="39"/>
  <c r="AA22" i="39"/>
  <c r="X22" i="39"/>
  <c r="O22" i="39"/>
  <c r="G22" i="39"/>
  <c r="I22" i="39" s="1"/>
  <c r="F22" i="39"/>
  <c r="D22" i="39"/>
  <c r="BU22" i="39" s="1"/>
  <c r="B22" i="39"/>
  <c r="B21" i="39"/>
  <c r="B20" i="39"/>
  <c r="B19" i="39"/>
  <c r="B18" i="39"/>
  <c r="BK21" i="39"/>
  <c r="BK20" i="39"/>
  <c r="F21" i="39"/>
  <c r="F20" i="39"/>
  <c r="F19" i="39"/>
  <c r="F18" i="39"/>
  <c r="A21" i="39"/>
  <c r="A20" i="39"/>
  <c r="A19" i="39"/>
  <c r="A18" i="39"/>
  <c r="BJ19" i="39"/>
  <c r="BK19" i="39" s="1"/>
  <c r="BJ18" i="39"/>
  <c r="BR18" i="39"/>
  <c r="BK18" i="39" s="1"/>
  <c r="BO18" i="39"/>
  <c r="A17" i="39"/>
  <c r="A24" i="39" s="1"/>
  <c r="A31" i="39" s="1"/>
  <c r="A38" i="39" s="1"/>
  <c r="A45" i="39" s="1"/>
  <c r="A52" i="39" s="1"/>
  <c r="A59" i="39" s="1"/>
  <c r="A66" i="39" s="1"/>
  <c r="A73" i="39" s="1"/>
  <c r="A80" i="39" s="1"/>
  <c r="A87" i="39" s="1"/>
  <c r="A94" i="39" s="1"/>
  <c r="A101" i="39" s="1"/>
  <c r="A108" i="39" s="1"/>
  <c r="A115" i="39" s="1"/>
  <c r="A122" i="39" s="1"/>
  <c r="A129" i="39" s="1"/>
  <c r="A136" i="39" s="1"/>
  <c r="A143" i="39" s="1"/>
  <c r="A150" i="39" s="1"/>
  <c r="A157" i="39" s="1"/>
  <c r="A164" i="39" s="1"/>
  <c r="A171" i="39" s="1"/>
  <c r="A178" i="39" s="1"/>
  <c r="A185" i="39" s="1"/>
  <c r="A192" i="39" s="1"/>
  <c r="A199" i="39" s="1"/>
  <c r="A206" i="39" s="1"/>
  <c r="CA15" i="39"/>
  <c r="BZ15" i="39"/>
  <c r="BX15" i="39"/>
  <c r="BU15" i="39"/>
  <c r="BJ15" i="39"/>
  <c r="BD15" i="39"/>
  <c r="BY15" i="39" s="1"/>
  <c r="BB15" i="39"/>
  <c r="O15" i="39"/>
  <c r="G15" i="39"/>
  <c r="F15" i="39"/>
  <c r="D15" i="39"/>
  <c r="F14" i="39"/>
  <c r="F13" i="39"/>
  <c r="F12" i="39"/>
  <c r="F11" i="39"/>
  <c r="AI871" i="21"/>
  <c r="AI870" i="21"/>
  <c r="AI869" i="21"/>
  <c r="AI868" i="21"/>
  <c r="W872" i="21"/>
  <c r="W871" i="21"/>
  <c r="W870" i="21"/>
  <c r="W869" i="21"/>
  <c r="W868" i="21"/>
  <c r="D872" i="21"/>
  <c r="D871" i="21"/>
  <c r="D870" i="21"/>
  <c r="D869" i="21"/>
  <c r="D868" i="21"/>
  <c r="Z869" i="21"/>
  <c r="AB869" i="21" s="1"/>
  <c r="AD869" i="21" s="1"/>
  <c r="AF869" i="21" s="1"/>
  <c r="Z868" i="21"/>
  <c r="AB868" i="21" s="1"/>
  <c r="AI864" i="21"/>
  <c r="AI863" i="21"/>
  <c r="AI862" i="21"/>
  <c r="AI861" i="21"/>
  <c r="AI865" i="21" s="1"/>
  <c r="AB862" i="21"/>
  <c r="AD862" i="21" s="1"/>
  <c r="AF862" i="21" s="1"/>
  <c r="W865" i="21"/>
  <c r="W864" i="21"/>
  <c r="W863" i="21"/>
  <c r="W862" i="21"/>
  <c r="W861" i="21"/>
  <c r="D865" i="21"/>
  <c r="D864" i="21"/>
  <c r="D863" i="21"/>
  <c r="D862" i="21"/>
  <c r="D861" i="21"/>
  <c r="Z864" i="21"/>
  <c r="AB864" i="21" s="1"/>
  <c r="Z863" i="21"/>
  <c r="AB863" i="21" s="1"/>
  <c r="Z862" i="21"/>
  <c r="Z861" i="21"/>
  <c r="AB861" i="21" s="1"/>
  <c r="AI857" i="21"/>
  <c r="AI856" i="21"/>
  <c r="AI855" i="21"/>
  <c r="AI854" i="21"/>
  <c r="AI858" i="21" s="1"/>
  <c r="AB855" i="21"/>
  <c r="W858" i="21"/>
  <c r="W857" i="21"/>
  <c r="W856" i="21"/>
  <c r="W855" i="21"/>
  <c r="W854" i="21"/>
  <c r="L855" i="21"/>
  <c r="D858" i="21"/>
  <c r="D857" i="21"/>
  <c r="D856" i="21"/>
  <c r="D855" i="21"/>
  <c r="D854" i="21"/>
  <c r="Z857" i="21"/>
  <c r="AB857" i="21" s="1"/>
  <c r="Z856" i="21"/>
  <c r="AB856" i="21" s="1"/>
  <c r="Z855" i="21"/>
  <c r="Z854" i="21"/>
  <c r="J857" i="21"/>
  <c r="L857" i="21" s="1"/>
  <c r="J856" i="21"/>
  <c r="L856" i="21" s="1"/>
  <c r="J855" i="21"/>
  <c r="J854" i="21"/>
  <c r="AI850" i="21"/>
  <c r="AI849" i="21"/>
  <c r="AI848" i="21"/>
  <c r="AI847" i="21"/>
  <c r="AI851" i="21" s="1"/>
  <c r="W851" i="21"/>
  <c r="D851" i="21"/>
  <c r="D850" i="21"/>
  <c r="D849" i="21"/>
  <c r="D848" i="21"/>
  <c r="D847" i="21"/>
  <c r="Z850" i="21"/>
  <c r="J849" i="21"/>
  <c r="L849" i="21" s="1"/>
  <c r="J848" i="21"/>
  <c r="L848" i="21" s="1"/>
  <c r="N848" i="21" s="1"/>
  <c r="J847" i="21"/>
  <c r="L847" i="21" s="1"/>
  <c r="AI843" i="21"/>
  <c r="AI842" i="21"/>
  <c r="AI841" i="21"/>
  <c r="AI840" i="21"/>
  <c r="W844" i="21"/>
  <c r="L841" i="21"/>
  <c r="N841" i="21" s="1"/>
  <c r="D844" i="21"/>
  <c r="D843" i="21"/>
  <c r="D842" i="21"/>
  <c r="D841" i="21"/>
  <c r="D840" i="21"/>
  <c r="J843" i="21"/>
  <c r="L843" i="21" s="1"/>
  <c r="J842" i="21"/>
  <c r="L842" i="21" s="1"/>
  <c r="N842" i="21" s="1"/>
  <c r="J841" i="21"/>
  <c r="J840" i="21"/>
  <c r="B839" i="21"/>
  <c r="B846" i="21" s="1"/>
  <c r="B853" i="21" s="1"/>
  <c r="B860" i="21" s="1"/>
  <c r="B867" i="21" s="1"/>
  <c r="AM837" i="21"/>
  <c r="AK837" i="21"/>
  <c r="AI837" i="21"/>
  <c r="L835" i="21"/>
  <c r="L834" i="21"/>
  <c r="L833" i="21"/>
  <c r="Z836" i="21"/>
  <c r="AB836" i="21" s="1"/>
  <c r="Z835" i="21"/>
  <c r="AB835" i="21" s="1"/>
  <c r="Z834" i="21"/>
  <c r="AB834" i="21" s="1"/>
  <c r="Z833" i="21"/>
  <c r="AB833" i="21" s="1"/>
  <c r="J836" i="21"/>
  <c r="L836" i="21" s="1"/>
  <c r="A817" i="21"/>
  <c r="AI813" i="21"/>
  <c r="AI812" i="21"/>
  <c r="AI811" i="21"/>
  <c r="AI810" i="21"/>
  <c r="AI814" i="21" s="1"/>
  <c r="W814" i="21"/>
  <c r="W813" i="21"/>
  <c r="W812" i="21"/>
  <c r="W811" i="21"/>
  <c r="W810" i="21"/>
  <c r="D814" i="21"/>
  <c r="D813" i="21"/>
  <c r="D812" i="21"/>
  <c r="D811" i="21"/>
  <c r="D810" i="21"/>
  <c r="Z810" i="21"/>
  <c r="AB810" i="21" s="1"/>
  <c r="AI806" i="21"/>
  <c r="AK806" i="21" s="1"/>
  <c r="AI805" i="21"/>
  <c r="AI804" i="21"/>
  <c r="AI803" i="21"/>
  <c r="AI807" i="21" s="1"/>
  <c r="W807" i="21"/>
  <c r="W806" i="21"/>
  <c r="W805" i="21"/>
  <c r="W804" i="21"/>
  <c r="W803" i="21"/>
  <c r="D807" i="21"/>
  <c r="D806" i="21"/>
  <c r="D805" i="21"/>
  <c r="D804" i="21"/>
  <c r="D803" i="21"/>
  <c r="Z806" i="21"/>
  <c r="AB806" i="21" s="1"/>
  <c r="Z805" i="21"/>
  <c r="AB805" i="21" s="1"/>
  <c r="Z804" i="21"/>
  <c r="Z803" i="21"/>
  <c r="AB804" i="21" s="1"/>
  <c r="AI799" i="21"/>
  <c r="AI798" i="21"/>
  <c r="AI797" i="21"/>
  <c r="AI796" i="21"/>
  <c r="W800" i="21"/>
  <c r="W799" i="21"/>
  <c r="W798" i="21"/>
  <c r="W797" i="21"/>
  <c r="W796" i="21"/>
  <c r="D800" i="21"/>
  <c r="D799" i="21"/>
  <c r="D798" i="21"/>
  <c r="D797" i="21"/>
  <c r="D796" i="21"/>
  <c r="Z799" i="21"/>
  <c r="AB799" i="21" s="1"/>
  <c r="Z798" i="21"/>
  <c r="AB798" i="21" s="1"/>
  <c r="AD798" i="21" s="1"/>
  <c r="AF798" i="21" s="1"/>
  <c r="Z797" i="21"/>
  <c r="Z796" i="21"/>
  <c r="AB797" i="21" s="1"/>
  <c r="AI792" i="21"/>
  <c r="AK792" i="21" s="1"/>
  <c r="AI791" i="21"/>
  <c r="AK791" i="21" s="1"/>
  <c r="AI790" i="21"/>
  <c r="AI789" i="21"/>
  <c r="AB791" i="21"/>
  <c r="AD791" i="21" s="1"/>
  <c r="AF791" i="21" s="1"/>
  <c r="AB790" i="21"/>
  <c r="AK790" i="21" s="1"/>
  <c r="W793" i="21"/>
  <c r="W792" i="21"/>
  <c r="W791" i="21"/>
  <c r="W790" i="21"/>
  <c r="W789" i="21"/>
  <c r="D793" i="21"/>
  <c r="D792" i="21"/>
  <c r="D791" i="21"/>
  <c r="D790" i="21"/>
  <c r="D789" i="21"/>
  <c r="Z792" i="21"/>
  <c r="AB792" i="21" s="1"/>
  <c r="Z791" i="21"/>
  <c r="Z790" i="21"/>
  <c r="Z789" i="21"/>
  <c r="AB789" i="21" s="1"/>
  <c r="AI785" i="21"/>
  <c r="AI784" i="21"/>
  <c r="AI783" i="21"/>
  <c r="AI782" i="21"/>
  <c r="AI786" i="21" s="1"/>
  <c r="AB784" i="21"/>
  <c r="AD784" i="21" s="1"/>
  <c r="AF784" i="21" s="1"/>
  <c r="AB783" i="21"/>
  <c r="AD790" i="21" s="1"/>
  <c r="AF790" i="21" s="1"/>
  <c r="W786" i="21"/>
  <c r="W785" i="21"/>
  <c r="W784" i="21"/>
  <c r="W783" i="21"/>
  <c r="W782" i="21"/>
  <c r="D786" i="21"/>
  <c r="D785" i="21"/>
  <c r="D784" i="21"/>
  <c r="D783" i="21"/>
  <c r="D782" i="21"/>
  <c r="Z785" i="21"/>
  <c r="AB785" i="21" s="1"/>
  <c r="AD785" i="21" s="1"/>
  <c r="AF785" i="21" s="1"/>
  <c r="Z784" i="21"/>
  <c r="Z783" i="21"/>
  <c r="Z782" i="21"/>
  <c r="AB782" i="21" s="1"/>
  <c r="AI778" i="21"/>
  <c r="AK778" i="21" s="1"/>
  <c r="AI777" i="21"/>
  <c r="AI776" i="21"/>
  <c r="AI775" i="21"/>
  <c r="AI779" i="21" s="1"/>
  <c r="AB777" i="21"/>
  <c r="AB776" i="21"/>
  <c r="AD783" i="21" s="1"/>
  <c r="AF783" i="21" s="1"/>
  <c r="W779" i="21"/>
  <c r="W778" i="21"/>
  <c r="W777" i="21"/>
  <c r="W776" i="21"/>
  <c r="W775" i="21"/>
  <c r="L777" i="21"/>
  <c r="L776" i="21"/>
  <c r="D779" i="21"/>
  <c r="D778" i="21"/>
  <c r="D777" i="21"/>
  <c r="D776" i="21"/>
  <c r="D775" i="21"/>
  <c r="Z778" i="21"/>
  <c r="AB778" i="21" s="1"/>
  <c r="Z777" i="21"/>
  <c r="Z776" i="21"/>
  <c r="Z775" i="21"/>
  <c r="J778" i="21"/>
  <c r="L778" i="21" s="1"/>
  <c r="J777" i="21"/>
  <c r="J776" i="21"/>
  <c r="J775" i="21"/>
  <c r="AI771" i="21"/>
  <c r="AI770" i="21"/>
  <c r="AI769" i="21"/>
  <c r="AI768" i="21"/>
  <c r="AI772" i="21" s="1"/>
  <c r="W772" i="21"/>
  <c r="W771" i="21"/>
  <c r="W770" i="21"/>
  <c r="W769" i="21"/>
  <c r="W768" i="21"/>
  <c r="L769" i="21"/>
  <c r="L768" i="21"/>
  <c r="D772" i="21"/>
  <c r="D771" i="21"/>
  <c r="D770" i="21"/>
  <c r="D769" i="21"/>
  <c r="D768" i="21"/>
  <c r="Z771" i="21"/>
  <c r="J770" i="21"/>
  <c r="L770" i="21" s="1"/>
  <c r="J769" i="21"/>
  <c r="J768" i="21"/>
  <c r="AI764" i="21"/>
  <c r="AI763" i="21"/>
  <c r="AI762" i="21"/>
  <c r="AI761" i="21"/>
  <c r="W765" i="21"/>
  <c r="W764" i="21"/>
  <c r="W763" i="21"/>
  <c r="W762" i="21"/>
  <c r="W761" i="21"/>
  <c r="D765" i="21"/>
  <c r="D764" i="21"/>
  <c r="D763" i="21"/>
  <c r="D762" i="21"/>
  <c r="D761" i="21"/>
  <c r="J764" i="21"/>
  <c r="J763" i="21"/>
  <c r="J762" i="21"/>
  <c r="L762" i="21" s="1"/>
  <c r="N762" i="21" s="1"/>
  <c r="P762" i="21" s="1"/>
  <c r="J761" i="21"/>
  <c r="B760" i="21"/>
  <c r="B767" i="21" s="1"/>
  <c r="B774" i="21" s="1"/>
  <c r="B781" i="21" s="1"/>
  <c r="B788" i="21" s="1"/>
  <c r="B795" i="21" s="1"/>
  <c r="B802" i="21" s="1"/>
  <c r="B809" i="21" s="1"/>
  <c r="AI757" i="21"/>
  <c r="AI756" i="21"/>
  <c r="AI755" i="21"/>
  <c r="AI754" i="21"/>
  <c r="AI758" i="21" s="1"/>
  <c r="W758" i="21"/>
  <c r="W757" i="21"/>
  <c r="W756" i="21"/>
  <c r="W755" i="21"/>
  <c r="W754" i="21"/>
  <c r="L755" i="21"/>
  <c r="D758" i="21"/>
  <c r="D757" i="21"/>
  <c r="D756" i="21"/>
  <c r="D755" i="21"/>
  <c r="D754" i="21"/>
  <c r="Z757" i="21"/>
  <c r="Z756" i="21"/>
  <c r="AB756" i="21" s="1"/>
  <c r="Z755" i="21"/>
  <c r="AB755" i="21" s="1"/>
  <c r="AD755" i="21" s="1"/>
  <c r="AF755" i="21" s="1"/>
  <c r="Z754" i="21"/>
  <c r="J756" i="21"/>
  <c r="L756" i="21" s="1"/>
  <c r="J755" i="21"/>
  <c r="J754" i="21"/>
  <c r="AI750" i="21"/>
  <c r="AI749" i="21"/>
  <c r="AI748" i="21"/>
  <c r="AI747" i="21"/>
  <c r="W751" i="21"/>
  <c r="W750" i="21"/>
  <c r="W749" i="21"/>
  <c r="W748" i="21"/>
  <c r="W747" i="21"/>
  <c r="L748" i="21"/>
  <c r="D751" i="21"/>
  <c r="D750" i="21"/>
  <c r="D749" i="21"/>
  <c r="D748" i="21"/>
  <c r="D747" i="21"/>
  <c r="Z750" i="21"/>
  <c r="AB754" i="21" s="1"/>
  <c r="AK754" i="21" s="1"/>
  <c r="Z749" i="21"/>
  <c r="AB749" i="21" s="1"/>
  <c r="AD749" i="21" s="1"/>
  <c r="AF749" i="21" s="1"/>
  <c r="Z748" i="21"/>
  <c r="AB748" i="21" s="1"/>
  <c r="Z747" i="21"/>
  <c r="J749" i="21"/>
  <c r="L749" i="21" s="1"/>
  <c r="N749" i="21" s="1"/>
  <c r="P749" i="21" s="1"/>
  <c r="J748" i="21"/>
  <c r="J747" i="21"/>
  <c r="AI743" i="21"/>
  <c r="AI742" i="21"/>
  <c r="AI741" i="21"/>
  <c r="AI740" i="21"/>
  <c r="AI744" i="21" s="1"/>
  <c r="AB741" i="21"/>
  <c r="W744" i="21"/>
  <c r="W743" i="21"/>
  <c r="W742" i="21"/>
  <c r="W741" i="21"/>
  <c r="W740" i="21"/>
  <c r="L741" i="21"/>
  <c r="D744" i="21"/>
  <c r="D743" i="21"/>
  <c r="D742" i="21"/>
  <c r="D741" i="21"/>
  <c r="D740" i="21"/>
  <c r="Z743" i="21"/>
  <c r="AB747" i="21" s="1"/>
  <c r="Z742" i="21"/>
  <c r="AB742" i="21" s="1"/>
  <c r="Z741" i="21"/>
  <c r="Z740" i="21"/>
  <c r="J742" i="21"/>
  <c r="L742" i="21" s="1"/>
  <c r="J741" i="21"/>
  <c r="J740" i="21"/>
  <c r="AI736" i="21"/>
  <c r="AI735" i="21"/>
  <c r="AI734" i="21"/>
  <c r="AI733" i="21"/>
  <c r="W737" i="21"/>
  <c r="W736" i="21"/>
  <c r="W735" i="21"/>
  <c r="W734" i="21"/>
  <c r="W733" i="21"/>
  <c r="D737" i="21"/>
  <c r="D736" i="21"/>
  <c r="D735" i="21"/>
  <c r="D734" i="21"/>
  <c r="D733" i="21"/>
  <c r="Z736" i="21"/>
  <c r="AB736" i="21" s="1"/>
  <c r="AK736" i="21" s="1"/>
  <c r="Z735" i="21"/>
  <c r="Z734" i="21"/>
  <c r="AB734" i="21" s="1"/>
  <c r="AD734" i="21" s="1"/>
  <c r="AF734" i="21" s="1"/>
  <c r="Z733" i="21"/>
  <c r="J735" i="21"/>
  <c r="J734" i="21"/>
  <c r="L734" i="21" s="1"/>
  <c r="N734" i="21" s="1"/>
  <c r="P734" i="21" s="1"/>
  <c r="J733" i="21"/>
  <c r="AI730" i="21"/>
  <c r="AI729" i="21"/>
  <c r="AI728" i="21"/>
  <c r="AI727" i="21"/>
  <c r="AI726" i="21"/>
  <c r="AB727" i="21"/>
  <c r="W730" i="21"/>
  <c r="D730" i="21"/>
  <c r="D729" i="21"/>
  <c r="D728" i="21"/>
  <c r="Z729" i="21"/>
  <c r="Z728" i="21"/>
  <c r="AB728" i="21" s="1"/>
  <c r="AK728" i="21" s="1"/>
  <c r="Z727" i="21"/>
  <c r="Z726" i="21"/>
  <c r="J728" i="21"/>
  <c r="J727" i="21"/>
  <c r="L727" i="21" s="1"/>
  <c r="J726" i="21"/>
  <c r="B725" i="21"/>
  <c r="B732" i="21" s="1"/>
  <c r="B739" i="21" s="1"/>
  <c r="B746" i="21" s="1"/>
  <c r="AI723" i="21"/>
  <c r="Z722" i="21"/>
  <c r="AB726" i="21" s="1"/>
  <c r="AK726" i="21" s="1"/>
  <c r="Z721" i="21"/>
  <c r="Z720" i="21"/>
  <c r="Z719" i="21"/>
  <c r="J721" i="21"/>
  <c r="L721" i="21" s="1"/>
  <c r="J720" i="21"/>
  <c r="L720" i="21" s="1"/>
  <c r="J719" i="21"/>
  <c r="L719" i="21" s="1"/>
  <c r="A710" i="21"/>
  <c r="D702" i="21"/>
  <c r="D705" i="21"/>
  <c r="D704" i="21"/>
  <c r="S704" i="21" s="1"/>
  <c r="AI209" i="39" s="1"/>
  <c r="AL209" i="39" s="1"/>
  <c r="AI697" i="21"/>
  <c r="AB696" i="21"/>
  <c r="S697" i="21"/>
  <c r="S696" i="21"/>
  <c r="S695" i="21"/>
  <c r="Z697" i="21"/>
  <c r="AB697" i="21" s="1"/>
  <c r="Z696" i="21"/>
  <c r="Z695" i="21"/>
  <c r="AB695" i="21" s="1"/>
  <c r="F697" i="21"/>
  <c r="F696" i="21"/>
  <c r="F695" i="21"/>
  <c r="AI689" i="21"/>
  <c r="AB689" i="21"/>
  <c r="AB688" i="21"/>
  <c r="S691" i="21"/>
  <c r="S690" i="21"/>
  <c r="AI690" i="21" s="1"/>
  <c r="S689" i="21"/>
  <c r="S688" i="21"/>
  <c r="F692" i="21"/>
  <c r="F691" i="21"/>
  <c r="F690" i="21"/>
  <c r="F689" i="21"/>
  <c r="F688" i="21"/>
  <c r="D690" i="21"/>
  <c r="H690" i="21" s="1"/>
  <c r="Z691" i="21"/>
  <c r="Z690" i="21"/>
  <c r="AB690" i="21" s="1"/>
  <c r="Z689" i="21"/>
  <c r="Z688" i="21"/>
  <c r="AB681" i="21"/>
  <c r="AD688" i="21" s="1"/>
  <c r="S684" i="21"/>
  <c r="S683" i="21"/>
  <c r="AI683" i="21" s="1"/>
  <c r="S682" i="21"/>
  <c r="D689" i="21" s="1"/>
  <c r="S681" i="21"/>
  <c r="F685" i="21"/>
  <c r="F684" i="21"/>
  <c r="F683" i="21"/>
  <c r="F682" i="21"/>
  <c r="F681" i="21"/>
  <c r="D683" i="21"/>
  <c r="H683" i="21" s="1"/>
  <c r="Z684" i="21"/>
  <c r="Z683" i="21"/>
  <c r="Z682" i="21"/>
  <c r="AB682" i="21" s="1"/>
  <c r="Z681" i="21"/>
  <c r="AI676" i="21"/>
  <c r="AB675" i="21"/>
  <c r="AB674" i="21"/>
  <c r="S677" i="21"/>
  <c r="S676" i="21"/>
  <c r="S675" i="21"/>
  <c r="AI675" i="21" s="1"/>
  <c r="AK675" i="21" s="1"/>
  <c r="S674" i="21"/>
  <c r="F678" i="21"/>
  <c r="F677" i="21"/>
  <c r="F676" i="21"/>
  <c r="F675" i="21"/>
  <c r="F674" i="21"/>
  <c r="D675" i="21"/>
  <c r="Z677" i="21"/>
  <c r="Z676" i="21"/>
  <c r="AB676" i="21" s="1"/>
  <c r="Z675" i="21"/>
  <c r="Z674" i="21"/>
  <c r="AI668" i="21"/>
  <c r="AB667" i="21"/>
  <c r="S669" i="21"/>
  <c r="D676" i="21" s="1"/>
  <c r="H676" i="21" s="1"/>
  <c r="S668" i="21"/>
  <c r="S667" i="21"/>
  <c r="F671" i="21"/>
  <c r="Y265" i="14" s="1"/>
  <c r="F670" i="21"/>
  <c r="F669" i="21"/>
  <c r="F668" i="21"/>
  <c r="F667" i="21"/>
  <c r="Z670" i="21"/>
  <c r="Z669" i="21"/>
  <c r="AB669" i="21" s="1"/>
  <c r="Z668" i="21"/>
  <c r="AB668" i="21" s="1"/>
  <c r="Z667" i="21"/>
  <c r="AI660" i="21"/>
  <c r="AB660" i="21"/>
  <c r="S663" i="21"/>
  <c r="S662" i="21"/>
  <c r="S661" i="21"/>
  <c r="S660" i="21"/>
  <c r="F664" i="21"/>
  <c r="X265" i="14" s="1"/>
  <c r="F663" i="21"/>
  <c r="F662" i="21"/>
  <c r="F661" i="21"/>
  <c r="F660" i="21"/>
  <c r="Z663" i="21"/>
  <c r="Z662" i="21"/>
  <c r="AB662" i="21" s="1"/>
  <c r="Z661" i="21"/>
  <c r="Z660" i="21"/>
  <c r="AB656" i="21"/>
  <c r="S656" i="21"/>
  <c r="AI656" i="21" s="1"/>
  <c r="S655" i="21"/>
  <c r="S654" i="21"/>
  <c r="S653" i="21"/>
  <c r="D660" i="21" s="1"/>
  <c r="F657" i="21"/>
  <c r="W265" i="14" s="1"/>
  <c r="F656" i="21"/>
  <c r="F655" i="21"/>
  <c r="F654" i="21"/>
  <c r="F653" i="21"/>
  <c r="D653" i="21"/>
  <c r="Z656" i="21"/>
  <c r="Z655" i="21"/>
  <c r="AB655" i="21" s="1"/>
  <c r="Z654" i="21"/>
  <c r="AB654" i="21" s="1"/>
  <c r="Z653" i="21"/>
  <c r="AB653" i="21" s="1"/>
  <c r="AI646" i="21"/>
  <c r="AB649" i="21"/>
  <c r="S649" i="21"/>
  <c r="S648" i="21"/>
  <c r="S647" i="21"/>
  <c r="S646" i="21"/>
  <c r="F650" i="21"/>
  <c r="V265" i="14" s="1"/>
  <c r="F649" i="21"/>
  <c r="F648" i="21"/>
  <c r="F647" i="21"/>
  <c r="F646" i="21"/>
  <c r="D646" i="21"/>
  <c r="H646" i="21" s="1"/>
  <c r="Z649" i="21"/>
  <c r="Z648" i="21"/>
  <c r="AB648" i="21" s="1"/>
  <c r="Z647" i="21"/>
  <c r="Z646" i="21"/>
  <c r="AB646" i="21" s="1"/>
  <c r="AI639" i="21"/>
  <c r="AB642" i="21"/>
  <c r="S642" i="21"/>
  <c r="S641" i="21"/>
  <c r="S640" i="21"/>
  <c r="AI640" i="21" s="1"/>
  <c r="S639" i="21"/>
  <c r="F643" i="21"/>
  <c r="U265" i="14" s="1"/>
  <c r="F642" i="21"/>
  <c r="F641" i="21"/>
  <c r="F640" i="21"/>
  <c r="F639" i="21"/>
  <c r="Z642" i="21"/>
  <c r="Z641" i="21"/>
  <c r="AB641" i="21" s="1"/>
  <c r="AD648" i="21" s="1"/>
  <c r="Z640" i="21"/>
  <c r="Z639" i="21"/>
  <c r="AB639" i="21" s="1"/>
  <c r="S635" i="21"/>
  <c r="S634" i="21"/>
  <c r="AI634" i="21" s="1"/>
  <c r="S633" i="21"/>
  <c r="AI633" i="21" s="1"/>
  <c r="S632" i="21"/>
  <c r="D639" i="21" s="1"/>
  <c r="F636" i="21"/>
  <c r="T265" i="14" s="1"/>
  <c r="F635" i="21"/>
  <c r="F634" i="21"/>
  <c r="F633" i="21"/>
  <c r="F632" i="21"/>
  <c r="D633" i="21"/>
  <c r="Z635" i="21"/>
  <c r="Z634" i="21"/>
  <c r="AB635" i="21" s="1"/>
  <c r="Z633" i="21"/>
  <c r="AB633" i="21" s="1"/>
  <c r="Z632" i="21"/>
  <c r="AB632" i="21" s="1"/>
  <c r="AI626" i="21"/>
  <c r="S628" i="21"/>
  <c r="S627" i="21"/>
  <c r="AI627" i="21" s="1"/>
  <c r="S626" i="21"/>
  <c r="S625" i="21"/>
  <c r="F629" i="21"/>
  <c r="F628" i="21"/>
  <c r="F627" i="21"/>
  <c r="F626" i="21"/>
  <c r="F625" i="21"/>
  <c r="Z628" i="21"/>
  <c r="Z627" i="21"/>
  <c r="Z626" i="21"/>
  <c r="AB626" i="21" s="1"/>
  <c r="AD626" i="21" s="1"/>
  <c r="Z625" i="21"/>
  <c r="AB625" i="21" s="1"/>
  <c r="S621" i="21"/>
  <c r="S620" i="21"/>
  <c r="U620" i="21" s="1"/>
  <c r="S619" i="21"/>
  <c r="AI619" i="21" s="1"/>
  <c r="AK619" i="21" s="1"/>
  <c r="S618" i="21"/>
  <c r="D625" i="21" s="1"/>
  <c r="L621" i="21"/>
  <c r="F622" i="21"/>
  <c r="R265" i="14" s="1"/>
  <c r="AX54" i="14" s="1"/>
  <c r="F621" i="21"/>
  <c r="F620" i="21"/>
  <c r="F619" i="21"/>
  <c r="F618" i="21"/>
  <c r="Z621" i="21"/>
  <c r="Z620" i="21"/>
  <c r="Z619" i="21"/>
  <c r="AB619" i="21" s="1"/>
  <c r="Z618" i="21"/>
  <c r="J621" i="21"/>
  <c r="J620" i="21"/>
  <c r="L620" i="21" s="1"/>
  <c r="J619" i="21"/>
  <c r="L619" i="21" s="1"/>
  <c r="J618" i="21"/>
  <c r="S614" i="21"/>
  <c r="S613" i="21"/>
  <c r="S612" i="21"/>
  <c r="D619" i="21" s="1"/>
  <c r="H619" i="21" s="1"/>
  <c r="S611" i="21"/>
  <c r="F614" i="21"/>
  <c r="F613" i="21"/>
  <c r="F612" i="21"/>
  <c r="F611" i="21"/>
  <c r="Z614" i="21"/>
  <c r="J613" i="21"/>
  <c r="J612" i="21"/>
  <c r="L612" i="21" s="1"/>
  <c r="J611" i="21"/>
  <c r="L611" i="21" s="1"/>
  <c r="S607" i="21"/>
  <c r="S606" i="21"/>
  <c r="S605" i="21"/>
  <c r="D612" i="21" s="1"/>
  <c r="H612" i="21" s="1"/>
  <c r="S604" i="21"/>
  <c r="D611" i="21" s="1"/>
  <c r="H611" i="21" s="1"/>
  <c r="F607" i="21"/>
  <c r="F606" i="21"/>
  <c r="F605" i="21"/>
  <c r="F604" i="21"/>
  <c r="Z605" i="21"/>
  <c r="J607" i="21"/>
  <c r="J606" i="21"/>
  <c r="L607" i="21" s="1"/>
  <c r="J605" i="21"/>
  <c r="L605" i="21" s="1"/>
  <c r="J604" i="21"/>
  <c r="B603" i="21"/>
  <c r="B610" i="21" s="1"/>
  <c r="B617" i="21" s="1"/>
  <c r="B624" i="21" s="1"/>
  <c r="B631" i="21" s="1"/>
  <c r="B638" i="21" s="1"/>
  <c r="B645" i="21" s="1"/>
  <c r="B652" i="21" s="1"/>
  <c r="B659" i="21" s="1"/>
  <c r="B666" i="21" s="1"/>
  <c r="B673" i="21" s="1"/>
  <c r="B680" i="21" s="1"/>
  <c r="B687" i="21" s="1"/>
  <c r="B694" i="21" s="1"/>
  <c r="B701" i="21" s="1"/>
  <c r="S600" i="21"/>
  <c r="S599" i="21"/>
  <c r="D606" i="21" s="1"/>
  <c r="H606" i="21" s="1"/>
  <c r="S598" i="21"/>
  <c r="AI598" i="21" s="1"/>
  <c r="S597" i="21"/>
  <c r="AI597" i="21" s="1"/>
  <c r="F600" i="21"/>
  <c r="F599" i="21"/>
  <c r="F598" i="21"/>
  <c r="F597" i="21"/>
  <c r="D598" i="21"/>
  <c r="H598" i="21" s="1"/>
  <c r="Z600" i="21"/>
  <c r="Z599" i="21"/>
  <c r="Z598" i="21"/>
  <c r="AB598" i="21" s="1"/>
  <c r="Z597" i="21"/>
  <c r="J599" i="21"/>
  <c r="J598" i="21"/>
  <c r="L598" i="21" s="1"/>
  <c r="J597" i="21"/>
  <c r="AI591" i="21"/>
  <c r="S593" i="21"/>
  <c r="S592" i="21"/>
  <c r="AI592" i="21" s="1"/>
  <c r="S591" i="21"/>
  <c r="S590" i="21"/>
  <c r="D590" i="21" s="1"/>
  <c r="H590" i="21" s="1"/>
  <c r="F594" i="21"/>
  <c r="F593" i="21"/>
  <c r="F592" i="21"/>
  <c r="F591" i="21"/>
  <c r="F590" i="21"/>
  <c r="Z593" i="21"/>
  <c r="Z592" i="21"/>
  <c r="AB592" i="21" s="1"/>
  <c r="Z591" i="21"/>
  <c r="Z590" i="21"/>
  <c r="J592" i="21"/>
  <c r="J591" i="21"/>
  <c r="L591" i="21" s="1"/>
  <c r="J590" i="21"/>
  <c r="S586" i="21"/>
  <c r="AI586" i="21" s="1"/>
  <c r="S585" i="21"/>
  <c r="D592" i="21" s="1"/>
  <c r="H592" i="21" s="1"/>
  <c r="S584" i="21"/>
  <c r="S583" i="21"/>
  <c r="AI583" i="21" s="1"/>
  <c r="F587" i="21"/>
  <c r="F586" i="21"/>
  <c r="F585" i="21"/>
  <c r="F584" i="21"/>
  <c r="F583" i="21"/>
  <c r="D586" i="21"/>
  <c r="H586" i="21" s="1"/>
  <c r="D583" i="21"/>
  <c r="Z586" i="21"/>
  <c r="AB586" i="21" s="1"/>
  <c r="Z585" i="21"/>
  <c r="Z584" i="21"/>
  <c r="AB584" i="21" s="1"/>
  <c r="AD584" i="21" s="1"/>
  <c r="Z583" i="21"/>
  <c r="J585" i="21"/>
  <c r="J584" i="21"/>
  <c r="L585" i="21" s="1"/>
  <c r="J583" i="21"/>
  <c r="S579" i="21"/>
  <c r="AI579" i="21" s="1"/>
  <c r="S578" i="21"/>
  <c r="S577" i="21"/>
  <c r="S576" i="21"/>
  <c r="AI576" i="21" s="1"/>
  <c r="F580" i="21"/>
  <c r="F579" i="21"/>
  <c r="F578" i="21"/>
  <c r="F577" i="21"/>
  <c r="F576" i="21"/>
  <c r="Z579" i="21"/>
  <c r="AB579" i="21" s="1"/>
  <c r="Z578" i="21"/>
  <c r="Z577" i="21"/>
  <c r="AB577" i="21" s="1"/>
  <c r="AD577" i="21" s="1"/>
  <c r="Z576" i="21"/>
  <c r="J578" i="21"/>
  <c r="J577" i="21"/>
  <c r="L578" i="21" s="1"/>
  <c r="J576" i="21"/>
  <c r="S573" i="21"/>
  <c r="S572" i="21"/>
  <c r="D579" i="21" s="1"/>
  <c r="H579" i="21" s="1"/>
  <c r="S571" i="21"/>
  <c r="S570" i="21"/>
  <c r="S569" i="21"/>
  <c r="D576" i="21" s="1"/>
  <c r="H576" i="21" s="1"/>
  <c r="F573" i="21"/>
  <c r="F572" i="21"/>
  <c r="F571" i="21"/>
  <c r="F570" i="21"/>
  <c r="F569" i="21"/>
  <c r="Z572" i="21"/>
  <c r="AB572" i="21" s="1"/>
  <c r="Z571" i="21"/>
  <c r="Z570" i="21"/>
  <c r="AB570" i="21" s="1"/>
  <c r="AD570" i="21" s="1"/>
  <c r="Z569" i="21"/>
  <c r="J571" i="21"/>
  <c r="J570" i="21"/>
  <c r="L571" i="21" s="1"/>
  <c r="N571" i="21" s="1"/>
  <c r="J569" i="21"/>
  <c r="S566" i="21"/>
  <c r="S565" i="21"/>
  <c r="AI565" i="21" s="1"/>
  <c r="S564" i="21"/>
  <c r="S563" i="21"/>
  <c r="S562" i="21"/>
  <c r="AI562" i="21" s="1"/>
  <c r="F566" i="21"/>
  <c r="F565" i="21"/>
  <c r="F564" i="21"/>
  <c r="F563" i="21"/>
  <c r="F562" i="21"/>
  <c r="Z565" i="21"/>
  <c r="AB565" i="21" s="1"/>
  <c r="Z564" i="21"/>
  <c r="Z563" i="21"/>
  <c r="AB563" i="21" s="1"/>
  <c r="AD563" i="21" s="1"/>
  <c r="Z562" i="21"/>
  <c r="J564" i="21"/>
  <c r="J563" i="21"/>
  <c r="L564" i="21" s="1"/>
  <c r="J562" i="21"/>
  <c r="S558" i="21"/>
  <c r="D565" i="21" s="1"/>
  <c r="H565" i="21" s="1"/>
  <c r="S557" i="21"/>
  <c r="S556" i="21"/>
  <c r="S555" i="21"/>
  <c r="AI555" i="21" s="1"/>
  <c r="F559" i="21"/>
  <c r="F558" i="21"/>
  <c r="F557" i="21"/>
  <c r="F556" i="21"/>
  <c r="F555" i="21"/>
  <c r="D558" i="21"/>
  <c r="H558" i="21" s="1"/>
  <c r="Z558" i="21"/>
  <c r="AB558" i="21" s="1"/>
  <c r="Z557" i="21"/>
  <c r="Z556" i="21"/>
  <c r="AB556" i="21" s="1"/>
  <c r="Z555" i="21"/>
  <c r="J557" i="21"/>
  <c r="L557" i="21" s="1"/>
  <c r="J556" i="21"/>
  <c r="L556" i="21" s="1"/>
  <c r="J555" i="21"/>
  <c r="S551" i="21"/>
  <c r="AI551" i="21" s="1"/>
  <c r="S550" i="21"/>
  <c r="AI550" i="21" s="1"/>
  <c r="S549" i="21"/>
  <c r="D556" i="21" s="1"/>
  <c r="H556" i="21" s="1"/>
  <c r="S548" i="21"/>
  <c r="F552" i="21"/>
  <c r="F551" i="21"/>
  <c r="F550" i="21"/>
  <c r="F549" i="21"/>
  <c r="F548" i="21"/>
  <c r="Z551" i="21"/>
  <c r="AB551" i="21" s="1"/>
  <c r="Z550" i="21"/>
  <c r="Z549" i="21"/>
  <c r="AB550" i="21" s="1"/>
  <c r="Z548" i="21"/>
  <c r="AB548" i="21" s="1"/>
  <c r="J550" i="21"/>
  <c r="J549" i="21"/>
  <c r="L550" i="21" s="1"/>
  <c r="N550" i="21" s="1"/>
  <c r="J548" i="21"/>
  <c r="B547" i="21"/>
  <c r="B554" i="21" s="1"/>
  <c r="B561" i="21" s="1"/>
  <c r="B568" i="21" s="1"/>
  <c r="B575" i="21" s="1"/>
  <c r="B582" i="21" s="1"/>
  <c r="S544" i="21"/>
  <c r="S543" i="21"/>
  <c r="S542" i="21"/>
  <c r="D549" i="21" s="1"/>
  <c r="S541" i="21"/>
  <c r="Z544" i="21"/>
  <c r="J543" i="21"/>
  <c r="L543" i="21" s="1"/>
  <c r="J542" i="21"/>
  <c r="L542" i="21" s="1"/>
  <c r="J541" i="21"/>
  <c r="L541" i="21" s="1"/>
  <c r="U541" i="21" s="1"/>
  <c r="A532" i="21"/>
  <c r="AY528" i="21"/>
  <c r="AS524" i="21"/>
  <c r="AP526" i="21"/>
  <c r="AP527" i="21" s="1"/>
  <c r="AP528" i="21" s="1"/>
  <c r="AP524" i="21"/>
  <c r="AY526" i="21" s="1"/>
  <c r="D525" i="21"/>
  <c r="D528" i="21"/>
  <c r="D527" i="21"/>
  <c r="AS517" i="21"/>
  <c r="AP519" i="21"/>
  <c r="AP520" i="21" s="1"/>
  <c r="AP521" i="21" s="1"/>
  <c r="AP517" i="21"/>
  <c r="AY520" i="21" s="1"/>
  <c r="AB520" i="21"/>
  <c r="S520" i="21"/>
  <c r="S519" i="21"/>
  <c r="AI519" i="21" s="1"/>
  <c r="S518" i="21"/>
  <c r="AI518" i="21" s="1"/>
  <c r="Z520" i="21"/>
  <c r="Z519" i="21"/>
  <c r="AB519" i="21" s="1"/>
  <c r="Z518" i="21"/>
  <c r="AB518" i="21" s="1"/>
  <c r="F520" i="21"/>
  <c r="F519" i="21"/>
  <c r="F518" i="21"/>
  <c r="AI514" i="21"/>
  <c r="AB512" i="21"/>
  <c r="S514" i="21"/>
  <c r="S513" i="21"/>
  <c r="AI513" i="21" s="1"/>
  <c r="AK513" i="21" s="1"/>
  <c r="S512" i="21"/>
  <c r="S511" i="21"/>
  <c r="F515" i="21"/>
  <c r="F514" i="21"/>
  <c r="F513" i="21"/>
  <c r="F512" i="21"/>
  <c r="F511" i="21"/>
  <c r="Z514" i="21"/>
  <c r="AB514" i="21" s="1"/>
  <c r="Z513" i="21"/>
  <c r="AB513" i="21" s="1"/>
  <c r="Z512" i="21"/>
  <c r="Z511" i="21"/>
  <c r="AS510" i="21"/>
  <c r="AP510" i="21"/>
  <c r="AB505" i="21"/>
  <c r="AB504" i="21"/>
  <c r="S507" i="21"/>
  <c r="S506" i="21"/>
  <c r="D513" i="21" s="1"/>
  <c r="H513" i="21" s="1"/>
  <c r="S505" i="21"/>
  <c r="S504" i="21"/>
  <c r="F508" i="21"/>
  <c r="F507" i="21"/>
  <c r="F506" i="21"/>
  <c r="F505" i="21"/>
  <c r="F504" i="21"/>
  <c r="AT515" i="21"/>
  <c r="Z507" i="21"/>
  <c r="AB507" i="21" s="1"/>
  <c r="Z506" i="21"/>
  <c r="AB506" i="21" s="1"/>
  <c r="AD506" i="21" s="1"/>
  <c r="Z505" i="21"/>
  <c r="Z504" i="21"/>
  <c r="AP505" i="21"/>
  <c r="AS503" i="21"/>
  <c r="AP503" i="21" s="1"/>
  <c r="AI499" i="21"/>
  <c r="S500" i="21"/>
  <c r="S499" i="21"/>
  <c r="D506" i="21" s="1"/>
  <c r="H506" i="21" s="1"/>
  <c r="S498" i="21"/>
  <c r="D505" i="21" s="1"/>
  <c r="H505" i="21" s="1"/>
  <c r="S497" i="21"/>
  <c r="AI497" i="21" s="1"/>
  <c r="F501" i="21"/>
  <c r="F500" i="21"/>
  <c r="F499" i="21"/>
  <c r="F498" i="21"/>
  <c r="F497" i="21"/>
  <c r="AT507" i="21"/>
  <c r="Z500" i="21"/>
  <c r="Z499" i="21"/>
  <c r="AB499" i="21" s="1"/>
  <c r="Z498" i="21"/>
  <c r="Z497" i="21"/>
  <c r="AB498" i="21" s="1"/>
  <c r="AQ504" i="21"/>
  <c r="AS496" i="21"/>
  <c r="AP496" i="21"/>
  <c r="BC494" i="21"/>
  <c r="AI490" i="21"/>
  <c r="AK490" i="21" s="1"/>
  <c r="AB493" i="21"/>
  <c r="AD493" i="21" s="1"/>
  <c r="S493" i="21"/>
  <c r="S492" i="21"/>
  <c r="D499" i="21" s="1"/>
  <c r="H499" i="21" s="1"/>
  <c r="S491" i="21"/>
  <c r="AI491" i="21" s="1"/>
  <c r="S490" i="21"/>
  <c r="D497" i="21" s="1"/>
  <c r="H497" i="21" s="1"/>
  <c r="F494" i="21"/>
  <c r="F493" i="21"/>
  <c r="F492" i="21"/>
  <c r="F491" i="21"/>
  <c r="F490" i="21"/>
  <c r="Z493" i="21"/>
  <c r="Z492" i="21"/>
  <c r="Z491" i="21"/>
  <c r="AB491" i="21" s="1"/>
  <c r="AD491" i="21" s="1"/>
  <c r="Z490" i="21"/>
  <c r="AB490" i="21" s="1"/>
  <c r="BC492" i="21"/>
  <c r="BC491" i="21"/>
  <c r="BC490" i="21"/>
  <c r="AU498" i="21"/>
  <c r="AS489" i="21"/>
  <c r="AP489" i="21" s="1"/>
  <c r="BC487" i="21"/>
  <c r="S486" i="21"/>
  <c r="AI486" i="21" s="1"/>
  <c r="AK486" i="21" s="1"/>
  <c r="S485" i="21"/>
  <c r="S484" i="21"/>
  <c r="D491" i="21" s="1"/>
  <c r="H491" i="21" s="1"/>
  <c r="S483" i="21"/>
  <c r="D490" i="21" s="1"/>
  <c r="H490" i="21" s="1"/>
  <c r="F487" i="21"/>
  <c r="X223" i="14" s="1"/>
  <c r="F486" i="21"/>
  <c r="F485" i="21"/>
  <c r="F484" i="21"/>
  <c r="F483" i="21"/>
  <c r="Z486" i="21"/>
  <c r="AB486" i="21" s="1"/>
  <c r="Z485" i="21"/>
  <c r="Z484" i="21"/>
  <c r="AB484" i="21" s="1"/>
  <c r="Z483" i="21"/>
  <c r="AB483" i="21" s="1"/>
  <c r="BC485" i="21"/>
  <c r="AQ492" i="21"/>
  <c r="AQ491" i="21"/>
  <c r="BC483" i="21"/>
  <c r="AS482" i="21"/>
  <c r="AP482" i="21" s="1"/>
  <c r="BC480" i="21"/>
  <c r="AT487" i="21"/>
  <c r="AQ487" i="21"/>
  <c r="S479" i="21"/>
  <c r="AI479" i="21" s="1"/>
  <c r="AK479" i="21" s="1"/>
  <c r="S478" i="21"/>
  <c r="AI478" i="21" s="1"/>
  <c r="AK478" i="21" s="1"/>
  <c r="S477" i="21"/>
  <c r="D484" i="21" s="1"/>
  <c r="H484" i="21" s="1"/>
  <c r="S476" i="21"/>
  <c r="F480" i="21"/>
  <c r="W223" i="14" s="1"/>
  <c r="F479" i="21"/>
  <c r="F478" i="21"/>
  <c r="F477" i="21"/>
  <c r="F476" i="21"/>
  <c r="Z479" i="21"/>
  <c r="AB479" i="21" s="1"/>
  <c r="Z478" i="21"/>
  <c r="AB478" i="21" s="1"/>
  <c r="AD478" i="21" s="1"/>
  <c r="Z477" i="21"/>
  <c r="AB477" i="21" s="1"/>
  <c r="Z476" i="21"/>
  <c r="BC478" i="21"/>
  <c r="AS475" i="21"/>
  <c r="AP475" i="21"/>
  <c r="AB471" i="21"/>
  <c r="AD471" i="21" s="1"/>
  <c r="S472" i="21"/>
  <c r="AI472" i="21" s="1"/>
  <c r="AK472" i="21" s="1"/>
  <c r="S471" i="21"/>
  <c r="S470" i="21"/>
  <c r="AI470" i="21" s="1"/>
  <c r="S469" i="21"/>
  <c r="S473" i="21" s="1"/>
  <c r="AC155" i="39" s="1"/>
  <c r="F473" i="21"/>
  <c r="V223" i="14" s="1"/>
  <c r="F472" i="21"/>
  <c r="F471" i="21"/>
  <c r="F470" i="21"/>
  <c r="F469" i="21"/>
  <c r="Z472" i="21"/>
  <c r="AB472" i="21" s="1"/>
  <c r="Z471" i="21"/>
  <c r="Z470" i="21"/>
  <c r="AB470" i="21" s="1"/>
  <c r="AD470" i="21" s="1"/>
  <c r="Z469" i="21"/>
  <c r="AB469" i="21" s="1"/>
  <c r="AU478" i="21"/>
  <c r="BC469" i="21"/>
  <c r="AS468" i="21"/>
  <c r="AP468" i="21"/>
  <c r="AB464" i="21"/>
  <c r="S465" i="21"/>
  <c r="D472" i="21" s="1"/>
  <c r="H472" i="21" s="1"/>
  <c r="S464" i="21"/>
  <c r="S463" i="21"/>
  <c r="AI463" i="21" s="1"/>
  <c r="S462" i="21"/>
  <c r="S466" i="21" s="1"/>
  <c r="AC148" i="39" s="1"/>
  <c r="F466" i="21"/>
  <c r="U223" i="14" s="1"/>
  <c r="F465" i="21"/>
  <c r="F464" i="21"/>
  <c r="F463" i="21"/>
  <c r="F462" i="21"/>
  <c r="AQ473" i="21"/>
  <c r="Z465" i="21"/>
  <c r="AB465" i="21" s="1"/>
  <c r="AD465" i="21" s="1"/>
  <c r="Z464" i="21"/>
  <c r="Z463" i="21"/>
  <c r="AB463" i="21" s="1"/>
  <c r="Z462" i="21"/>
  <c r="AB462" i="21" s="1"/>
  <c r="AU471" i="21"/>
  <c r="AS461" i="21"/>
  <c r="AP461" i="21" s="1"/>
  <c r="S460" i="21"/>
  <c r="S458" i="21"/>
  <c r="D465" i="21" s="1"/>
  <c r="H465" i="21" s="1"/>
  <c r="S457" i="21"/>
  <c r="S456" i="21"/>
  <c r="S455" i="21"/>
  <c r="D462" i="21" s="1"/>
  <c r="H462" i="21" s="1"/>
  <c r="AI458" i="21"/>
  <c r="AI457" i="21"/>
  <c r="AK457" i="21" s="1"/>
  <c r="AI456" i="21"/>
  <c r="AI455" i="21"/>
  <c r="F459" i="21"/>
  <c r="T223" i="14" s="1"/>
  <c r="F458" i="21"/>
  <c r="F457" i="21"/>
  <c r="F456" i="21"/>
  <c r="F455" i="21"/>
  <c r="AT466" i="21"/>
  <c r="Z458" i="21"/>
  <c r="AB458" i="21" s="1"/>
  <c r="Z457" i="21"/>
  <c r="AB457" i="21" s="1"/>
  <c r="AD457" i="21" s="1"/>
  <c r="Z456" i="21"/>
  <c r="AB456" i="21" s="1"/>
  <c r="Z455" i="21"/>
  <c r="AT455" i="21"/>
  <c r="AS454" i="21"/>
  <c r="AP454" i="21" s="1"/>
  <c r="AQ459" i="21"/>
  <c r="AB450" i="21"/>
  <c r="S451" i="21"/>
  <c r="D458" i="21" s="1"/>
  <c r="H458" i="21" s="1"/>
  <c r="S450" i="21"/>
  <c r="S449" i="21"/>
  <c r="S448" i="21"/>
  <c r="S452" i="21" s="1"/>
  <c r="F452" i="21"/>
  <c r="S223" i="14" s="1"/>
  <c r="AY47" i="14" s="1"/>
  <c r="F451" i="21"/>
  <c r="F450" i="21"/>
  <c r="F449" i="21"/>
  <c r="F448" i="21"/>
  <c r="Z451" i="21"/>
  <c r="AB451" i="21" s="1"/>
  <c r="Z450" i="21"/>
  <c r="Z449" i="21"/>
  <c r="Z448" i="21"/>
  <c r="AI441" i="21"/>
  <c r="AK441" i="21" s="1"/>
  <c r="AB443" i="21"/>
  <c r="S444" i="21"/>
  <c r="AI444" i="21" s="1"/>
  <c r="S443" i="21"/>
  <c r="S442" i="21"/>
  <c r="S441" i="21"/>
  <c r="D448" i="21" s="1"/>
  <c r="H448" i="21" s="1"/>
  <c r="L442" i="21"/>
  <c r="L441" i="21"/>
  <c r="L445" i="21" s="1"/>
  <c r="F445" i="21"/>
  <c r="R223" i="14" s="1"/>
  <c r="AX47" i="14" s="1"/>
  <c r="F444" i="21"/>
  <c r="F443" i="21"/>
  <c r="F442" i="21"/>
  <c r="F441" i="21"/>
  <c r="Z444" i="21"/>
  <c r="AB444" i="21" s="1"/>
  <c r="Z443" i="21"/>
  <c r="Z442" i="21"/>
  <c r="Z441" i="21"/>
  <c r="AB441" i="21" s="1"/>
  <c r="J444" i="21"/>
  <c r="L444" i="21" s="1"/>
  <c r="N444" i="21" s="1"/>
  <c r="J443" i="21"/>
  <c r="J442" i="21"/>
  <c r="L443" i="21" s="1"/>
  <c r="J441" i="21"/>
  <c r="B440" i="21"/>
  <c r="B447" i="21" s="1"/>
  <c r="B454" i="21" s="1"/>
  <c r="B461" i="21" s="1"/>
  <c r="B468" i="21" s="1"/>
  <c r="B475" i="21" s="1"/>
  <c r="B482" i="21" s="1"/>
  <c r="B489" i="21" s="1"/>
  <c r="B496" i="21" s="1"/>
  <c r="B503" i="21" s="1"/>
  <c r="B510" i="21" s="1"/>
  <c r="B517" i="21" s="1"/>
  <c r="B524" i="21" s="1"/>
  <c r="S437" i="21"/>
  <c r="S436" i="21"/>
  <c r="S435" i="21"/>
  <c r="AI435" i="21" s="1"/>
  <c r="S434" i="21"/>
  <c r="AI434" i="21" s="1"/>
  <c r="F437" i="21"/>
  <c r="F436" i="21"/>
  <c r="F435" i="21"/>
  <c r="F434" i="21"/>
  <c r="Z437" i="21"/>
  <c r="J437" i="21"/>
  <c r="L437" i="21" s="1"/>
  <c r="J436" i="21"/>
  <c r="J435" i="21"/>
  <c r="L436" i="21" s="1"/>
  <c r="J434" i="21"/>
  <c r="L434" i="21" s="1"/>
  <c r="B433" i="21"/>
  <c r="S430" i="21"/>
  <c r="S429" i="21"/>
  <c r="S428" i="21"/>
  <c r="D428" i="21" s="1"/>
  <c r="H428" i="21" s="1"/>
  <c r="S427" i="21"/>
  <c r="F430" i="21"/>
  <c r="F429" i="21"/>
  <c r="F428" i="21"/>
  <c r="F427" i="21"/>
  <c r="J430" i="21"/>
  <c r="L430" i="21" s="1"/>
  <c r="N437" i="21" s="1"/>
  <c r="J429" i="21"/>
  <c r="J428" i="21"/>
  <c r="L428" i="21" s="1"/>
  <c r="N428" i="21" s="1"/>
  <c r="J427" i="21"/>
  <c r="S423" i="21"/>
  <c r="AI423" i="21" s="1"/>
  <c r="S422" i="21"/>
  <c r="AI422" i="21" s="1"/>
  <c r="S421" i="21"/>
  <c r="S420" i="21"/>
  <c r="AI420" i="21" s="1"/>
  <c r="L421" i="21"/>
  <c r="F423" i="21"/>
  <c r="F422" i="21"/>
  <c r="F421" i="21"/>
  <c r="F420" i="21"/>
  <c r="Z423" i="21"/>
  <c r="Z422" i="21"/>
  <c r="Z421" i="21"/>
  <c r="Z420" i="21"/>
  <c r="J422" i="21"/>
  <c r="L422" i="21" s="1"/>
  <c r="J421" i="21"/>
  <c r="J420" i="21"/>
  <c r="AB414" i="21"/>
  <c r="AD414" i="21" s="1"/>
  <c r="S416" i="21"/>
  <c r="D423" i="21" s="1"/>
  <c r="H423" i="21" s="1"/>
  <c r="S415" i="21"/>
  <c r="D422" i="21" s="1"/>
  <c r="S414" i="21"/>
  <c r="U414" i="21" s="1"/>
  <c r="S413" i="21"/>
  <c r="F417" i="21"/>
  <c r="F416" i="21"/>
  <c r="F415" i="21"/>
  <c r="F414" i="21"/>
  <c r="F413" i="21"/>
  <c r="Z416" i="21"/>
  <c r="AB416" i="21" s="1"/>
  <c r="Z415" i="21"/>
  <c r="Z414" i="21"/>
  <c r="AB415" i="21" s="1"/>
  <c r="AD415" i="21" s="1"/>
  <c r="Z413" i="21"/>
  <c r="J415" i="21"/>
  <c r="J414" i="21"/>
  <c r="L414" i="21" s="1"/>
  <c r="J413" i="21"/>
  <c r="S409" i="21"/>
  <c r="D416" i="21" s="1"/>
  <c r="H416" i="21" s="1"/>
  <c r="S408" i="21"/>
  <c r="D415" i="21" s="1"/>
  <c r="H415" i="21" s="1"/>
  <c r="S407" i="21"/>
  <c r="D414" i="21" s="1"/>
  <c r="H414" i="21" s="1"/>
  <c r="S406" i="21"/>
  <c r="AI406" i="21" s="1"/>
  <c r="F410" i="21"/>
  <c r="F409" i="21"/>
  <c r="F408" i="21"/>
  <c r="F407" i="21"/>
  <c r="F406" i="21"/>
  <c r="Z409" i="21"/>
  <c r="AB413" i="21" s="1"/>
  <c r="Z408" i="21"/>
  <c r="AB408" i="21" s="1"/>
  <c r="AD408" i="21" s="1"/>
  <c r="Z407" i="21"/>
  <c r="AB407" i="21" s="1"/>
  <c r="Z406" i="21"/>
  <c r="J408" i="21"/>
  <c r="L408" i="21" s="1"/>
  <c r="J407" i="21"/>
  <c r="L407" i="21" s="1"/>
  <c r="J406" i="21"/>
  <c r="S402" i="21"/>
  <c r="S401" i="21"/>
  <c r="S400" i="21"/>
  <c r="D407" i="21" s="1"/>
  <c r="H407" i="21" s="1"/>
  <c r="S399" i="21"/>
  <c r="D406" i="21" s="1"/>
  <c r="H406" i="21" s="1"/>
  <c r="F403" i="21"/>
  <c r="F402" i="21"/>
  <c r="F401" i="21"/>
  <c r="F400" i="21"/>
  <c r="F399" i="21"/>
  <c r="Z402" i="21"/>
  <c r="Z401" i="21"/>
  <c r="AB401" i="21" s="1"/>
  <c r="Z400" i="21"/>
  <c r="AB400" i="21" s="1"/>
  <c r="Z399" i="21"/>
  <c r="J401" i="21"/>
  <c r="J400" i="21"/>
  <c r="L400" i="21" s="1"/>
  <c r="J399" i="21"/>
  <c r="S396" i="21"/>
  <c r="S395" i="21"/>
  <c r="AI395" i="21" s="1"/>
  <c r="S394" i="21"/>
  <c r="D401" i="21" s="1"/>
  <c r="H401" i="21" s="1"/>
  <c r="S393" i="21"/>
  <c r="D400" i="21" s="1"/>
  <c r="H400" i="21" s="1"/>
  <c r="S392" i="21"/>
  <c r="D399" i="21" s="1"/>
  <c r="H399" i="21" s="1"/>
  <c r="F396" i="21"/>
  <c r="F395" i="21"/>
  <c r="F394" i="21"/>
  <c r="F393" i="21"/>
  <c r="F392" i="21"/>
  <c r="Z395" i="21"/>
  <c r="Z394" i="21"/>
  <c r="Z393" i="21"/>
  <c r="AB393" i="21" s="1"/>
  <c r="AD393" i="21" s="1"/>
  <c r="Z392" i="21"/>
  <c r="J394" i="21"/>
  <c r="J393" i="21"/>
  <c r="L394" i="21" s="1"/>
  <c r="N394" i="21" s="1"/>
  <c r="J392" i="21"/>
  <c r="S389" i="21"/>
  <c r="AI389" i="21" s="1"/>
  <c r="S388" i="21"/>
  <c r="S387" i="21"/>
  <c r="D394" i="21" s="1"/>
  <c r="H394" i="21" s="1"/>
  <c r="S386" i="21"/>
  <c r="D393" i="21" s="1"/>
  <c r="H393" i="21" s="1"/>
  <c r="S385" i="21"/>
  <c r="D392" i="21" s="1"/>
  <c r="H392" i="21" s="1"/>
  <c r="F389" i="21"/>
  <c r="F388" i="21"/>
  <c r="F387" i="21"/>
  <c r="F386" i="21"/>
  <c r="F385" i="21"/>
  <c r="Z388" i="21"/>
  <c r="AB388" i="21" s="1"/>
  <c r="Z387" i="21"/>
  <c r="AB387" i="21" s="1"/>
  <c r="AD387" i="21" s="1"/>
  <c r="Z386" i="21"/>
  <c r="AB386" i="21" s="1"/>
  <c r="AD386" i="21" s="1"/>
  <c r="Z385" i="21"/>
  <c r="J387" i="21"/>
  <c r="J386" i="21"/>
  <c r="L387" i="21" s="1"/>
  <c r="J385" i="21"/>
  <c r="AB380" i="21"/>
  <c r="AB379" i="21"/>
  <c r="S381" i="21"/>
  <c r="S380" i="21"/>
  <c r="S379" i="21"/>
  <c r="U379" i="21" s="1"/>
  <c r="S378" i="21"/>
  <c r="L380" i="21"/>
  <c r="N380" i="21" s="1"/>
  <c r="L379" i="21"/>
  <c r="F382" i="21"/>
  <c r="F381" i="21"/>
  <c r="F380" i="21"/>
  <c r="F379" i="21"/>
  <c r="F378" i="21"/>
  <c r="Z381" i="21"/>
  <c r="AB381" i="21" s="1"/>
  <c r="Z380" i="21"/>
  <c r="Z379" i="21"/>
  <c r="Z378" i="21"/>
  <c r="J380" i="21"/>
  <c r="J379" i="21"/>
  <c r="J378" i="21"/>
  <c r="AI375" i="21"/>
  <c r="S375" i="21"/>
  <c r="Z374" i="21"/>
  <c r="AB375" i="21" s="1"/>
  <c r="Z373" i="21"/>
  <c r="Z372" i="21"/>
  <c r="Z371" i="21"/>
  <c r="J373" i="21"/>
  <c r="L373" i="21" s="1"/>
  <c r="J372" i="21"/>
  <c r="L372" i="21" s="1"/>
  <c r="J371" i="21"/>
  <c r="B370" i="21"/>
  <c r="B377" i="21" s="1"/>
  <c r="B384" i="21" s="1"/>
  <c r="B391" i="21" s="1"/>
  <c r="B398" i="21" s="1"/>
  <c r="B405" i="21" s="1"/>
  <c r="S368" i="21"/>
  <c r="AI368" i="21" s="1"/>
  <c r="Z367" i="21"/>
  <c r="J366" i="21"/>
  <c r="L366" i="21" s="1"/>
  <c r="J365" i="21"/>
  <c r="L365" i="21" s="1"/>
  <c r="J364" i="21"/>
  <c r="A355" i="21"/>
  <c r="BC352" i="21"/>
  <c r="AY352" i="21"/>
  <c r="AY351" i="21"/>
  <c r="BC351" i="21" s="1"/>
  <c r="AY350" i="21"/>
  <c r="BC350" i="21" s="1"/>
  <c r="D349" i="21"/>
  <c r="D348" i="21"/>
  <c r="AO351" i="21"/>
  <c r="BC344" i="21"/>
  <c r="BC343" i="21"/>
  <c r="AY345" i="21"/>
  <c r="BC345" i="21" s="1"/>
  <c r="AY344" i="21"/>
  <c r="AY343" i="21"/>
  <c r="AB342" i="21"/>
  <c r="AD342" i="21" s="1"/>
  <c r="S343" i="21"/>
  <c r="S342" i="21"/>
  <c r="S341" i="21"/>
  <c r="Z343" i="21"/>
  <c r="AB343" i="21" s="1"/>
  <c r="Z342" i="21"/>
  <c r="Z341" i="21"/>
  <c r="F343" i="21"/>
  <c r="AO350" i="21" s="1"/>
  <c r="F342" i="21"/>
  <c r="AO349" i="21" s="1"/>
  <c r="F341" i="21"/>
  <c r="AI336" i="21"/>
  <c r="AB335" i="21"/>
  <c r="AD335" i="21" s="1"/>
  <c r="S337" i="21"/>
  <c r="S336" i="21"/>
  <c r="D343" i="21" s="1"/>
  <c r="H343" i="21" s="1"/>
  <c r="S335" i="21"/>
  <c r="S334" i="21"/>
  <c r="F338" i="21"/>
  <c r="F337" i="21"/>
  <c r="AO344" i="21" s="1"/>
  <c r="F336" i="21"/>
  <c r="AO343" i="21" s="1"/>
  <c r="F335" i="21"/>
  <c r="F334" i="21"/>
  <c r="AO337" i="21"/>
  <c r="Z337" i="21"/>
  <c r="AB337" i="21" s="1"/>
  <c r="Z336" i="21"/>
  <c r="AB336" i="21" s="1"/>
  <c r="AD336" i="21" s="1"/>
  <c r="Z335" i="21"/>
  <c r="Z334" i="21"/>
  <c r="AB329" i="21"/>
  <c r="S330" i="21"/>
  <c r="D337" i="21" s="1"/>
  <c r="H337" i="21" s="1"/>
  <c r="S329" i="21"/>
  <c r="AI329" i="21" s="1"/>
  <c r="AK329" i="21" s="1"/>
  <c r="S328" i="21"/>
  <c r="S327" i="21"/>
  <c r="F331" i="21"/>
  <c r="F330" i="21"/>
  <c r="F329" i="21"/>
  <c r="F328" i="21"/>
  <c r="F327" i="21"/>
  <c r="Z330" i="21"/>
  <c r="AB330" i="21" s="1"/>
  <c r="AD330" i="21" s="1"/>
  <c r="Z329" i="21"/>
  <c r="Z328" i="21"/>
  <c r="AB328" i="21" s="1"/>
  <c r="AD328" i="21" s="1"/>
  <c r="Z327" i="21"/>
  <c r="BC322" i="21"/>
  <c r="BC321" i="21"/>
  <c r="BC320" i="21"/>
  <c r="AI320" i="21"/>
  <c r="AB323" i="21"/>
  <c r="AD323" i="21" s="1"/>
  <c r="S323" i="21"/>
  <c r="S322" i="21"/>
  <c r="S321" i="21"/>
  <c r="AI321" i="21" s="1"/>
  <c r="AK321" i="21" s="1"/>
  <c r="S320" i="21"/>
  <c r="F324" i="21"/>
  <c r="F323" i="21"/>
  <c r="AO330" i="21" s="1"/>
  <c r="F322" i="21"/>
  <c r="F321" i="21"/>
  <c r="AO328" i="21" s="1"/>
  <c r="F320" i="21"/>
  <c r="Z323" i="21"/>
  <c r="AB327" i="21" s="1"/>
  <c r="Z322" i="21"/>
  <c r="Z321" i="21"/>
  <c r="AB321" i="21" s="1"/>
  <c r="AD321" i="21" s="1"/>
  <c r="Z320" i="21"/>
  <c r="AB320" i="21" s="1"/>
  <c r="AQ327" i="21"/>
  <c r="AY327" i="21" s="1"/>
  <c r="BC327" i="21" s="1"/>
  <c r="BC317" i="21"/>
  <c r="BC315" i="21"/>
  <c r="BC314" i="21"/>
  <c r="BC313" i="21"/>
  <c r="AB315" i="21"/>
  <c r="S316" i="21"/>
  <c r="AI316" i="21" s="1"/>
  <c r="S315" i="21"/>
  <c r="AI315" i="21" s="1"/>
  <c r="AK315" i="21" s="1"/>
  <c r="S314" i="21"/>
  <c r="D321" i="21" s="1"/>
  <c r="H321" i="21" s="1"/>
  <c r="S313" i="21"/>
  <c r="F317" i="21"/>
  <c r="F316" i="21"/>
  <c r="F315" i="21"/>
  <c r="F314" i="21"/>
  <c r="F313" i="21"/>
  <c r="AQ323" i="21"/>
  <c r="AY323" i="21" s="1"/>
  <c r="BC323" i="21" s="1"/>
  <c r="Z316" i="21"/>
  <c r="AB316" i="21" s="1"/>
  <c r="AD316" i="21" s="1"/>
  <c r="Z315" i="21"/>
  <c r="Z314" i="21"/>
  <c r="Z313" i="21"/>
  <c r="AB314" i="21" s="1"/>
  <c r="AQ321" i="21"/>
  <c r="AY321" i="21" s="1"/>
  <c r="BC310" i="21"/>
  <c r="BC308" i="21"/>
  <c r="BC307" i="21"/>
  <c r="BC306" i="21"/>
  <c r="AB309" i="21"/>
  <c r="S309" i="21"/>
  <c r="S308" i="21"/>
  <c r="AI308" i="21" s="1"/>
  <c r="S307" i="21"/>
  <c r="D314" i="21" s="1"/>
  <c r="H314" i="21" s="1"/>
  <c r="S306" i="21"/>
  <c r="F310" i="21"/>
  <c r="X181" i="14" s="1"/>
  <c r="F309" i="21"/>
  <c r="F308" i="21"/>
  <c r="F307" i="21"/>
  <c r="F306" i="21"/>
  <c r="AQ317" i="21"/>
  <c r="AY317" i="21" s="1"/>
  <c r="Z309" i="21"/>
  <c r="Z308" i="21"/>
  <c r="Z307" i="21"/>
  <c r="AB307" i="21" s="1"/>
  <c r="AD307" i="21" s="1"/>
  <c r="Z306" i="21"/>
  <c r="AB306" i="21" s="1"/>
  <c r="BC303" i="21"/>
  <c r="BC300" i="21"/>
  <c r="BC299" i="21"/>
  <c r="AB300" i="21"/>
  <c r="S302" i="21"/>
  <c r="AI302" i="21" s="1"/>
  <c r="S301" i="21"/>
  <c r="D308" i="21" s="1"/>
  <c r="H308" i="21" s="1"/>
  <c r="S300" i="21"/>
  <c r="S299" i="21"/>
  <c r="AI299" i="21" s="1"/>
  <c r="F303" i="21"/>
  <c r="W181" i="14" s="1"/>
  <c r="F302" i="21"/>
  <c r="F301" i="21"/>
  <c r="F300" i="21"/>
  <c r="F299" i="21"/>
  <c r="Z302" i="21"/>
  <c r="AB302" i="21" s="1"/>
  <c r="AD302" i="21" s="1"/>
  <c r="Z301" i="21"/>
  <c r="AB301" i="21" s="1"/>
  <c r="AD301" i="21" s="1"/>
  <c r="Z300" i="21"/>
  <c r="Z299" i="21"/>
  <c r="BC296" i="21"/>
  <c r="BC294" i="21"/>
  <c r="BC293" i="21"/>
  <c r="BC292" i="21"/>
  <c r="AB295" i="21"/>
  <c r="S295" i="21"/>
  <c r="S294" i="21"/>
  <c r="AI294" i="21" s="1"/>
  <c r="AK294" i="21" s="1"/>
  <c r="S293" i="21"/>
  <c r="AI293" i="21" s="1"/>
  <c r="S292" i="21"/>
  <c r="S296" i="21" s="1"/>
  <c r="W155" i="39" s="1"/>
  <c r="V138" i="14" s="1"/>
  <c r="V106" i="8" s="1"/>
  <c r="V128" i="8" s="1"/>
  <c r="F295" i="21"/>
  <c r="F294" i="21"/>
  <c r="F293" i="21"/>
  <c r="F292" i="21"/>
  <c r="F296" i="21" s="1"/>
  <c r="V181" i="14" s="1"/>
  <c r="AQ302" i="21"/>
  <c r="AY302" i="21" s="1"/>
  <c r="BC302" i="21" s="1"/>
  <c r="Z295" i="21"/>
  <c r="AB299" i="21" s="1"/>
  <c r="Z294" i="21"/>
  <c r="AB294" i="21" s="1"/>
  <c r="AD294" i="21" s="1"/>
  <c r="Z293" i="21"/>
  <c r="AB293" i="21" s="1"/>
  <c r="Z292" i="21"/>
  <c r="BC289" i="21"/>
  <c r="AB287" i="21"/>
  <c r="S288" i="21"/>
  <c r="AI288" i="21" s="1"/>
  <c r="S287" i="21"/>
  <c r="S286" i="21"/>
  <c r="AI286" i="21" s="1"/>
  <c r="S285" i="21"/>
  <c r="S289" i="21" s="1"/>
  <c r="W148" i="39" s="1"/>
  <c r="U138" i="14" s="1"/>
  <c r="F289" i="21"/>
  <c r="U181" i="14" s="1"/>
  <c r="F288" i="21"/>
  <c r="F287" i="21"/>
  <c r="F286" i="21"/>
  <c r="F285" i="21"/>
  <c r="Z288" i="21"/>
  <c r="AB292" i="21" s="1"/>
  <c r="Z287" i="21"/>
  <c r="Z286" i="21"/>
  <c r="Z285" i="21"/>
  <c r="AB285" i="21" s="1"/>
  <c r="AI279" i="21"/>
  <c r="S281" i="21"/>
  <c r="AI281" i="21" s="1"/>
  <c r="S280" i="21"/>
  <c r="AI280" i="21" s="1"/>
  <c r="S279" i="21"/>
  <c r="S278" i="21"/>
  <c r="F282" i="21"/>
  <c r="T181" i="14" s="1"/>
  <c r="F281" i="21"/>
  <c r="F280" i="21"/>
  <c r="F279" i="21"/>
  <c r="F278" i="21"/>
  <c r="Z281" i="21"/>
  <c r="Z280" i="21"/>
  <c r="AB280" i="21" s="1"/>
  <c r="AD280" i="21" s="1"/>
  <c r="Z279" i="21"/>
  <c r="AB279" i="21" s="1"/>
  <c r="AD279" i="21" s="1"/>
  <c r="Z278" i="21"/>
  <c r="AQ281" i="21"/>
  <c r="AY281" i="21" s="1"/>
  <c r="BC281" i="21" s="1"/>
  <c r="AI273" i="21"/>
  <c r="AK273" i="21" s="1"/>
  <c r="AB272" i="21"/>
  <c r="AD272" i="21" s="1"/>
  <c r="S274" i="21"/>
  <c r="AI274" i="21" s="1"/>
  <c r="S273" i="21"/>
  <c r="D280" i="21" s="1"/>
  <c r="H280" i="21" s="1"/>
  <c r="S272" i="21"/>
  <c r="D279" i="21" s="1"/>
  <c r="H279" i="21" s="1"/>
  <c r="S271" i="21"/>
  <c r="AI271" i="21" s="1"/>
  <c r="F275" i="21"/>
  <c r="S181" i="14" s="1"/>
  <c r="AY43" i="14" s="1"/>
  <c r="F274" i="21"/>
  <c r="F273" i="21"/>
  <c r="F272" i="21"/>
  <c r="F271" i="21"/>
  <c r="Z274" i="21"/>
  <c r="AB274" i="21" s="1"/>
  <c r="AD274" i="21" s="1"/>
  <c r="Z273" i="21"/>
  <c r="AB273" i="21" s="1"/>
  <c r="Z272" i="21"/>
  <c r="Z271" i="21"/>
  <c r="AB265" i="21"/>
  <c r="S267" i="21"/>
  <c r="AI267" i="21" s="1"/>
  <c r="AK267" i="21" s="1"/>
  <c r="S266" i="21"/>
  <c r="D273" i="21" s="1"/>
  <c r="H273" i="21" s="1"/>
  <c r="S265" i="21"/>
  <c r="S264" i="21"/>
  <c r="AI264" i="21" s="1"/>
  <c r="F268" i="21"/>
  <c r="R181" i="14" s="1"/>
  <c r="AX43" i="14" s="1"/>
  <c r="F267" i="21"/>
  <c r="F266" i="21"/>
  <c r="F265" i="21"/>
  <c r="F264" i="21"/>
  <c r="Z267" i="21"/>
  <c r="AB267" i="21" s="1"/>
  <c r="Z266" i="21"/>
  <c r="AB266" i="21" s="1"/>
  <c r="Z265" i="21"/>
  <c r="Z264" i="21"/>
  <c r="J267" i="21"/>
  <c r="J266" i="21"/>
  <c r="L267" i="21" s="1"/>
  <c r="J265" i="21"/>
  <c r="L265" i="21" s="1"/>
  <c r="N265" i="21" s="1"/>
  <c r="J264" i="21"/>
  <c r="S260" i="21"/>
  <c r="D267" i="21" s="1"/>
  <c r="H267" i="21" s="1"/>
  <c r="S259" i="21"/>
  <c r="AI259" i="21" s="1"/>
  <c r="S258" i="21"/>
  <c r="U258" i="21" s="1"/>
  <c r="S257" i="21"/>
  <c r="F260" i="21"/>
  <c r="F259" i="21"/>
  <c r="F258" i="21"/>
  <c r="F257" i="21"/>
  <c r="Z260" i="21"/>
  <c r="J259" i="21"/>
  <c r="L259" i="21" s="1"/>
  <c r="U259" i="21" s="1"/>
  <c r="J258" i="21"/>
  <c r="L258" i="21" s="1"/>
  <c r="J257" i="21"/>
  <c r="S253" i="21"/>
  <c r="D260" i="21" s="1"/>
  <c r="H260" i="21" s="1"/>
  <c r="S252" i="21"/>
  <c r="AI252" i="21" s="1"/>
  <c r="S251" i="21"/>
  <c r="S250" i="21"/>
  <c r="F253" i="21"/>
  <c r="F252" i="21"/>
  <c r="F251" i="21"/>
  <c r="F250" i="21"/>
  <c r="J253" i="21"/>
  <c r="L257" i="21" s="1"/>
  <c r="J252" i="21"/>
  <c r="L252" i="21" s="1"/>
  <c r="U252" i="21" s="1"/>
  <c r="W259" i="21" s="1"/>
  <c r="J251" i="21"/>
  <c r="L251" i="21" s="1"/>
  <c r="N251" i="21" s="1"/>
  <c r="J250" i="21"/>
  <c r="B249" i="21"/>
  <c r="B256" i="21" s="1"/>
  <c r="B263" i="21" s="1"/>
  <c r="B270" i="21" s="1"/>
  <c r="B277" i="21" s="1"/>
  <c r="B284" i="21" s="1"/>
  <c r="B291" i="21" s="1"/>
  <c r="B298" i="21" s="1"/>
  <c r="B305" i="21" s="1"/>
  <c r="B312" i="21" s="1"/>
  <c r="B319" i="21" s="1"/>
  <c r="B326" i="21" s="1"/>
  <c r="B333" i="21" s="1"/>
  <c r="B340" i="21" s="1"/>
  <c r="B347" i="21" s="1"/>
  <c r="AB245" i="21"/>
  <c r="AB244" i="21"/>
  <c r="S246" i="21"/>
  <c r="AI246" i="21" s="1"/>
  <c r="S245" i="21"/>
  <c r="AI245" i="21" s="1"/>
  <c r="AK245" i="21" s="1"/>
  <c r="S244" i="21"/>
  <c r="S243" i="21"/>
  <c r="F246" i="21"/>
  <c r="F245" i="21"/>
  <c r="F244" i="21"/>
  <c r="F243" i="21"/>
  <c r="Z246" i="21"/>
  <c r="Z245" i="21"/>
  <c r="Z244" i="21"/>
  <c r="Z243" i="21"/>
  <c r="J245" i="21"/>
  <c r="L245" i="21" s="1"/>
  <c r="U245" i="21" s="1"/>
  <c r="J244" i="21"/>
  <c r="L244" i="21" s="1"/>
  <c r="J243" i="21"/>
  <c r="S239" i="21"/>
  <c r="D246" i="21" s="1"/>
  <c r="H246" i="21" s="1"/>
  <c r="S238" i="21"/>
  <c r="D245" i="21" s="1"/>
  <c r="H245" i="21" s="1"/>
  <c r="S237" i="21"/>
  <c r="AI237" i="21" s="1"/>
  <c r="S236" i="21"/>
  <c r="F240" i="21"/>
  <c r="F239" i="21"/>
  <c r="F238" i="21"/>
  <c r="F237" i="21"/>
  <c r="F236" i="21"/>
  <c r="Z239" i="21"/>
  <c r="AB243" i="21" s="1"/>
  <c r="Z238" i="21"/>
  <c r="Z237" i="21"/>
  <c r="AB237" i="21" s="1"/>
  <c r="Z236" i="21"/>
  <c r="J238" i="21"/>
  <c r="J237" i="21"/>
  <c r="L237" i="21" s="1"/>
  <c r="U237" i="21" s="1"/>
  <c r="J236" i="21"/>
  <c r="S232" i="21"/>
  <c r="S231" i="21"/>
  <c r="D238" i="21" s="1"/>
  <c r="H238" i="21" s="1"/>
  <c r="S230" i="21"/>
  <c r="S229" i="21"/>
  <c r="AI229" i="21" s="1"/>
  <c r="F233" i="21"/>
  <c r="F232" i="21"/>
  <c r="F231" i="21"/>
  <c r="F230" i="21"/>
  <c r="F229" i="21"/>
  <c r="D232" i="21"/>
  <c r="H232" i="21" s="1"/>
  <c r="Z232" i="21"/>
  <c r="AB236" i="21" s="1"/>
  <c r="Z231" i="21"/>
  <c r="Z230" i="21"/>
  <c r="Z229" i="21"/>
  <c r="J231" i="21"/>
  <c r="J230" i="21"/>
  <c r="L231" i="21" s="1"/>
  <c r="J229" i="21"/>
  <c r="AI225" i="21"/>
  <c r="S225" i="21"/>
  <c r="S224" i="21"/>
  <c r="S223" i="21"/>
  <c r="S222" i="21"/>
  <c r="D229" i="21" s="1"/>
  <c r="H229" i="21" s="1"/>
  <c r="F226" i="21"/>
  <c r="F225" i="21"/>
  <c r="F224" i="21"/>
  <c r="F223" i="21"/>
  <c r="F222" i="21"/>
  <c r="Z225" i="21"/>
  <c r="AB225" i="21" s="1"/>
  <c r="Z224" i="21"/>
  <c r="Z223" i="21"/>
  <c r="AB223" i="21" s="1"/>
  <c r="AD223" i="21" s="1"/>
  <c r="Z222" i="21"/>
  <c r="J224" i="21"/>
  <c r="J223" i="21"/>
  <c r="L224" i="21" s="1"/>
  <c r="J222" i="21"/>
  <c r="S219" i="21"/>
  <c r="S218" i="21"/>
  <c r="D225" i="21" s="1"/>
  <c r="H225" i="21" s="1"/>
  <c r="S217" i="21"/>
  <c r="S216" i="21"/>
  <c r="S215" i="21"/>
  <c r="D222" i="21" s="1"/>
  <c r="H222" i="21" s="1"/>
  <c r="F219" i="21"/>
  <c r="F218" i="21"/>
  <c r="F217" i="21"/>
  <c r="F216" i="21"/>
  <c r="F215" i="21"/>
  <c r="Z218" i="21"/>
  <c r="AB218" i="21" s="1"/>
  <c r="Z217" i="21"/>
  <c r="Z216" i="21"/>
  <c r="AB216" i="21" s="1"/>
  <c r="AD216" i="21" s="1"/>
  <c r="Z215" i="21"/>
  <c r="J217" i="21"/>
  <c r="J216" i="21"/>
  <c r="L217" i="21" s="1"/>
  <c r="N217" i="21" s="1"/>
  <c r="J215" i="21"/>
  <c r="S212" i="21"/>
  <c r="D219" i="21" s="1"/>
  <c r="H219" i="21" s="1"/>
  <c r="S211" i="21"/>
  <c r="S210" i="21"/>
  <c r="AI210" i="21" s="1"/>
  <c r="S209" i="21"/>
  <c r="D216" i="21" s="1"/>
  <c r="H216" i="21" s="1"/>
  <c r="S208" i="21"/>
  <c r="F212" i="21"/>
  <c r="F211" i="21"/>
  <c r="F210" i="21"/>
  <c r="F209" i="21"/>
  <c r="F208" i="21"/>
  <c r="Z211" i="21"/>
  <c r="AB211" i="21" s="1"/>
  <c r="Z210" i="21"/>
  <c r="AB210" i="21" s="1"/>
  <c r="Z209" i="21"/>
  <c r="AB209" i="21" s="1"/>
  <c r="Z208" i="21"/>
  <c r="J210" i="21"/>
  <c r="J209" i="21"/>
  <c r="L210" i="21" s="1"/>
  <c r="J208" i="21"/>
  <c r="AI203" i="21"/>
  <c r="AK203" i="21" s="1"/>
  <c r="S204" i="21"/>
  <c r="AI204" i="21" s="1"/>
  <c r="S203" i="21"/>
  <c r="D210" i="21" s="1"/>
  <c r="H210" i="21" s="1"/>
  <c r="S202" i="21"/>
  <c r="D209" i="21" s="1"/>
  <c r="H209" i="21" s="1"/>
  <c r="S201" i="21"/>
  <c r="F205" i="21"/>
  <c r="F204" i="21"/>
  <c r="F203" i="21"/>
  <c r="F202" i="21"/>
  <c r="F201" i="21"/>
  <c r="Z204" i="21"/>
  <c r="AB204" i="21" s="1"/>
  <c r="Z203" i="21"/>
  <c r="AB203" i="21" s="1"/>
  <c r="Z202" i="21"/>
  <c r="AB202" i="21" s="1"/>
  <c r="Z201" i="21"/>
  <c r="J203" i="21"/>
  <c r="J202" i="21"/>
  <c r="L203" i="21" s="1"/>
  <c r="J201" i="21"/>
  <c r="S197" i="21"/>
  <c r="AI197" i="21" s="1"/>
  <c r="S196" i="21"/>
  <c r="U196" i="21" s="1"/>
  <c r="S195" i="21"/>
  <c r="S194" i="21"/>
  <c r="AI194" i="21" s="1"/>
  <c r="F198" i="21"/>
  <c r="F197" i="21"/>
  <c r="F196" i="21"/>
  <c r="F195" i="21"/>
  <c r="F194" i="21"/>
  <c r="Z197" i="21"/>
  <c r="J196" i="21"/>
  <c r="J195" i="21"/>
  <c r="L196" i="21" s="1"/>
  <c r="N196" i="21" s="1"/>
  <c r="J194" i="21"/>
  <c r="L195" i="21" s="1"/>
  <c r="N195" i="21" s="1"/>
  <c r="B193" i="21"/>
  <c r="B200" i="21" s="1"/>
  <c r="B207" i="21" s="1"/>
  <c r="B214" i="21" s="1"/>
  <c r="B221" i="21" s="1"/>
  <c r="B228" i="21" s="1"/>
  <c r="S190" i="21"/>
  <c r="D197" i="21" s="1"/>
  <c r="H197" i="21" s="1"/>
  <c r="S189" i="21"/>
  <c r="U189" i="21" s="1"/>
  <c r="S188" i="21"/>
  <c r="U188" i="21" s="1"/>
  <c r="S187" i="21"/>
  <c r="D194" i="21" s="1"/>
  <c r="H194" i="21" s="1"/>
  <c r="L189" i="21"/>
  <c r="L188" i="21"/>
  <c r="F191" i="21"/>
  <c r="H191" i="21" s="1"/>
  <c r="F190" i="21"/>
  <c r="F189" i="21"/>
  <c r="F188" i="21"/>
  <c r="F187" i="21"/>
  <c r="Z190" i="21"/>
  <c r="AB191" i="21" s="1"/>
  <c r="J189" i="21"/>
  <c r="J188" i="21"/>
  <c r="J187" i="21"/>
  <c r="L187" i="21" s="1"/>
  <c r="A179" i="21"/>
  <c r="D172" i="21"/>
  <c r="D175" i="21"/>
  <c r="D174" i="21"/>
  <c r="AP175" i="21"/>
  <c r="S167" i="21"/>
  <c r="S166" i="21"/>
  <c r="S165" i="21"/>
  <c r="AI165" i="21" s="1"/>
  <c r="Z167" i="21"/>
  <c r="AB167" i="21" s="1"/>
  <c r="Z166" i="21"/>
  <c r="AB166" i="21" s="1"/>
  <c r="AD166" i="21" s="1"/>
  <c r="Z165" i="21"/>
  <c r="F167" i="21"/>
  <c r="AP167" i="21" s="1"/>
  <c r="F166" i="21"/>
  <c r="AP173" i="21" s="1"/>
  <c r="F165" i="21"/>
  <c r="AP172" i="21" s="1"/>
  <c r="S161" i="21"/>
  <c r="S160" i="21"/>
  <c r="D167" i="21" s="1"/>
  <c r="H167" i="21" s="1"/>
  <c r="S159" i="21"/>
  <c r="AI159" i="21" s="1"/>
  <c r="S158" i="21"/>
  <c r="F162" i="21"/>
  <c r="F161" i="21"/>
  <c r="AP168" i="21" s="1"/>
  <c r="F160" i="21"/>
  <c r="F159" i="21"/>
  <c r="F158" i="21"/>
  <c r="AP165" i="21" s="1"/>
  <c r="Z161" i="21"/>
  <c r="AB161" i="21" s="1"/>
  <c r="Z160" i="21"/>
  <c r="Z159" i="21"/>
  <c r="AB159" i="21" s="1"/>
  <c r="Z158" i="21"/>
  <c r="AB158" i="21" s="1"/>
  <c r="S154" i="21"/>
  <c r="AI154" i="21" s="1"/>
  <c r="S153" i="21"/>
  <c r="D160" i="21" s="1"/>
  <c r="H160" i="21" s="1"/>
  <c r="S152" i="21"/>
  <c r="D159" i="21" s="1"/>
  <c r="H159" i="21" s="1"/>
  <c r="S151" i="21"/>
  <c r="F155" i="21"/>
  <c r="F154" i="21"/>
  <c r="AP161" i="21" s="1"/>
  <c r="F153" i="21"/>
  <c r="AP160" i="21" s="1"/>
  <c r="F152" i="21"/>
  <c r="AP159" i="21" s="1"/>
  <c r="F151" i="21"/>
  <c r="Z154" i="21"/>
  <c r="AB154" i="21" s="1"/>
  <c r="Z153" i="21"/>
  <c r="Z152" i="21"/>
  <c r="AB152" i="21" s="1"/>
  <c r="Z151" i="21"/>
  <c r="S147" i="21"/>
  <c r="AI147" i="21" s="1"/>
  <c r="S146" i="21"/>
  <c r="D153" i="21" s="1"/>
  <c r="H153" i="21" s="1"/>
  <c r="S145" i="21"/>
  <c r="D152" i="21" s="1"/>
  <c r="H152" i="21" s="1"/>
  <c r="S144" i="21"/>
  <c r="F148" i="21"/>
  <c r="F147" i="21"/>
  <c r="F146" i="21"/>
  <c r="AP153" i="21" s="1"/>
  <c r="F145" i="21"/>
  <c r="AP152" i="21" s="1"/>
  <c r="F144" i="21"/>
  <c r="Z147" i="21"/>
  <c r="AB147" i="21" s="1"/>
  <c r="Z146" i="21"/>
  <c r="Z145" i="21"/>
  <c r="AB145" i="21" s="1"/>
  <c r="Z144" i="21"/>
  <c r="S140" i="21"/>
  <c r="AI140" i="21" s="1"/>
  <c r="S139" i="21"/>
  <c r="D146" i="21" s="1"/>
  <c r="H146" i="21" s="1"/>
  <c r="S138" i="21"/>
  <c r="D145" i="21" s="1"/>
  <c r="H145" i="21" s="1"/>
  <c r="S137" i="21"/>
  <c r="F141" i="21"/>
  <c r="F140" i="21"/>
  <c r="AP147" i="21" s="1"/>
  <c r="F139" i="21"/>
  <c r="AP146" i="21" s="1"/>
  <c r="F138" i="21"/>
  <c r="AP145" i="21" s="1"/>
  <c r="F137" i="21"/>
  <c r="Z140" i="21"/>
  <c r="AB140" i="21" s="1"/>
  <c r="Z139" i="21"/>
  <c r="Z138" i="21"/>
  <c r="AB138" i="21" s="1"/>
  <c r="AD138" i="21" s="1"/>
  <c r="Z137" i="21"/>
  <c r="S133" i="21"/>
  <c r="AI133" i="21" s="1"/>
  <c r="S132" i="21"/>
  <c r="D139" i="21" s="1"/>
  <c r="H139" i="21" s="1"/>
  <c r="S131" i="21"/>
  <c r="D138" i="21" s="1"/>
  <c r="H138" i="21" s="1"/>
  <c r="S130" i="21"/>
  <c r="F134" i="21"/>
  <c r="X125" i="14" s="1"/>
  <c r="F133" i="21"/>
  <c r="AP140" i="21" s="1"/>
  <c r="F132" i="21"/>
  <c r="AP139" i="21" s="1"/>
  <c r="F131" i="21"/>
  <c r="AP138" i="21" s="1"/>
  <c r="F130" i="21"/>
  <c r="Z133" i="21"/>
  <c r="AB133" i="21" s="1"/>
  <c r="AD133" i="21" s="1"/>
  <c r="Z132" i="21"/>
  <c r="AB132" i="21" s="1"/>
  <c r="Z131" i="21"/>
  <c r="AB131" i="21" s="1"/>
  <c r="Z130" i="21"/>
  <c r="AI124" i="21"/>
  <c r="S126" i="21"/>
  <c r="AI126" i="21" s="1"/>
  <c r="S125" i="21"/>
  <c r="AI125" i="21" s="1"/>
  <c r="S124" i="21"/>
  <c r="D131" i="21" s="1"/>
  <c r="H131" i="21" s="1"/>
  <c r="S123" i="21"/>
  <c r="F127" i="21"/>
  <c r="W125" i="14" s="1"/>
  <c r="F126" i="21"/>
  <c r="F125" i="21"/>
  <c r="F124" i="21"/>
  <c r="F123" i="21"/>
  <c r="Z126" i="21"/>
  <c r="AB126" i="21" s="1"/>
  <c r="Z125" i="21"/>
  <c r="Z124" i="21"/>
  <c r="AB124" i="21" s="1"/>
  <c r="Z123" i="21"/>
  <c r="AB123" i="21" s="1"/>
  <c r="AD123" i="21" s="1"/>
  <c r="AB116" i="21"/>
  <c r="S119" i="21"/>
  <c r="AI119" i="21" s="1"/>
  <c r="S118" i="21"/>
  <c r="AI118" i="21" s="1"/>
  <c r="S117" i="21"/>
  <c r="D124" i="21" s="1"/>
  <c r="H124" i="21" s="1"/>
  <c r="S116" i="21"/>
  <c r="F120" i="21"/>
  <c r="V125" i="14" s="1"/>
  <c r="F119" i="21"/>
  <c r="F118" i="21"/>
  <c r="F117" i="21"/>
  <c r="F116" i="21"/>
  <c r="Z119" i="21"/>
  <c r="AB119" i="21" s="1"/>
  <c r="AD119" i="21" s="1"/>
  <c r="Z118" i="21"/>
  <c r="AB118" i="21" s="1"/>
  <c r="Z117" i="21"/>
  <c r="Z116" i="21"/>
  <c r="AI110" i="21"/>
  <c r="S112" i="21"/>
  <c r="S111" i="21"/>
  <c r="D118" i="21" s="1"/>
  <c r="H118" i="21" s="1"/>
  <c r="S110" i="21"/>
  <c r="D117" i="21" s="1"/>
  <c r="H117" i="21" s="1"/>
  <c r="S109" i="21"/>
  <c r="F113" i="21"/>
  <c r="U125" i="14" s="1"/>
  <c r="F112" i="21"/>
  <c r="F111" i="21"/>
  <c r="F110" i="21"/>
  <c r="F109" i="21"/>
  <c r="Z112" i="21"/>
  <c r="AB112" i="21" s="1"/>
  <c r="Z111" i="21"/>
  <c r="Z110" i="21"/>
  <c r="AB110" i="21" s="1"/>
  <c r="Z109" i="21"/>
  <c r="AB109" i="21" s="1"/>
  <c r="S105" i="21"/>
  <c r="S104" i="21"/>
  <c r="AI104" i="21" s="1"/>
  <c r="S103" i="21"/>
  <c r="AI103" i="21" s="1"/>
  <c r="S102" i="21"/>
  <c r="F106" i="21"/>
  <c r="T125" i="14" s="1"/>
  <c r="F105" i="21"/>
  <c r="F104" i="21"/>
  <c r="F103" i="21"/>
  <c r="F102" i="21"/>
  <c r="Z105" i="21"/>
  <c r="Z104" i="21"/>
  <c r="Z103" i="21"/>
  <c r="AB103" i="21" s="1"/>
  <c r="Z102" i="21"/>
  <c r="S98" i="21"/>
  <c r="AI98" i="21" s="1"/>
  <c r="S97" i="21"/>
  <c r="AI97" i="21" s="1"/>
  <c r="S96" i="21"/>
  <c r="D103" i="21" s="1"/>
  <c r="H103" i="21" s="1"/>
  <c r="S95" i="21"/>
  <c r="F99" i="21"/>
  <c r="S125" i="14" s="1"/>
  <c r="AY39" i="14" s="1"/>
  <c r="F98" i="21"/>
  <c r="F97" i="21"/>
  <c r="F96" i="21"/>
  <c r="F95" i="21"/>
  <c r="Z98" i="21"/>
  <c r="Z97" i="21"/>
  <c r="Z96" i="21"/>
  <c r="Z95" i="21"/>
  <c r="AI89" i="21"/>
  <c r="S91" i="21"/>
  <c r="D98" i="21" s="1"/>
  <c r="H98" i="21" s="1"/>
  <c r="S90" i="21"/>
  <c r="AI90" i="21" s="1"/>
  <c r="S89" i="21"/>
  <c r="D96" i="21" s="1"/>
  <c r="H96" i="21" s="1"/>
  <c r="S88" i="21"/>
  <c r="AI88" i="21" s="1"/>
  <c r="F92" i="21"/>
  <c r="R125" i="14" s="1"/>
  <c r="AX39" i="14" s="1"/>
  <c r="F91" i="21"/>
  <c r="F90" i="21"/>
  <c r="F89" i="21"/>
  <c r="F88" i="21"/>
  <c r="Z91" i="21"/>
  <c r="AB95" i="21" s="1"/>
  <c r="Z90" i="21"/>
  <c r="AB90" i="21" s="1"/>
  <c r="Z89" i="21"/>
  <c r="AB89" i="21" s="1"/>
  <c r="Z88" i="21"/>
  <c r="J91" i="21"/>
  <c r="J90" i="21"/>
  <c r="J89" i="21"/>
  <c r="L90" i="21" s="1"/>
  <c r="J88" i="21"/>
  <c r="S84" i="21"/>
  <c r="S83" i="21"/>
  <c r="AI83" i="21" s="1"/>
  <c r="S82" i="21"/>
  <c r="D89" i="21" s="1"/>
  <c r="H89" i="21" s="1"/>
  <c r="S81" i="21"/>
  <c r="S85" i="21" s="1"/>
  <c r="F84" i="21"/>
  <c r="F83" i="21"/>
  <c r="F82" i="21"/>
  <c r="F81" i="21"/>
  <c r="F85" i="21" s="1"/>
  <c r="Z84" i="21"/>
  <c r="J83" i="21"/>
  <c r="J82" i="21"/>
  <c r="L83" i="21" s="1"/>
  <c r="J81" i="21"/>
  <c r="S77" i="21"/>
  <c r="S76" i="21"/>
  <c r="AI76" i="21" s="1"/>
  <c r="S75" i="21"/>
  <c r="D82" i="21" s="1"/>
  <c r="H82" i="21" s="1"/>
  <c r="S74" i="21"/>
  <c r="S78" i="21" s="1"/>
  <c r="F77" i="21"/>
  <c r="F76" i="21"/>
  <c r="F75" i="21"/>
  <c r="F74" i="21"/>
  <c r="F78" i="21" s="1"/>
  <c r="AZ114" i="19" s="1"/>
  <c r="J77" i="21"/>
  <c r="J76" i="21"/>
  <c r="J75" i="21"/>
  <c r="J74" i="21"/>
  <c r="B73" i="21"/>
  <c r="B80" i="21" s="1"/>
  <c r="B87" i="21" s="1"/>
  <c r="B94" i="21" s="1"/>
  <c r="B101" i="21" s="1"/>
  <c r="B108" i="21" s="1"/>
  <c r="B115" i="21" s="1"/>
  <c r="B122" i="21" s="1"/>
  <c r="B129" i="21" s="1"/>
  <c r="B136" i="21" s="1"/>
  <c r="B143" i="21" s="1"/>
  <c r="B150" i="21" s="1"/>
  <c r="B157" i="21" s="1"/>
  <c r="B164" i="21" s="1"/>
  <c r="B171" i="21" s="1"/>
  <c r="S70" i="21"/>
  <c r="S69" i="21"/>
  <c r="AI69" i="21" s="1"/>
  <c r="S68" i="21"/>
  <c r="D75" i="21" s="1"/>
  <c r="H75" i="21" s="1"/>
  <c r="S67" i="21"/>
  <c r="F70" i="21"/>
  <c r="F69" i="21"/>
  <c r="F68" i="21"/>
  <c r="F67" i="21"/>
  <c r="Z70" i="21"/>
  <c r="AB70" i="21" s="1"/>
  <c r="Z69" i="21"/>
  <c r="AB69" i="21" s="1"/>
  <c r="Z68" i="21"/>
  <c r="AB68" i="21" s="1"/>
  <c r="Z67" i="21"/>
  <c r="J69" i="21"/>
  <c r="J68" i="21"/>
  <c r="J67" i="21"/>
  <c r="AB62" i="21"/>
  <c r="S63" i="21"/>
  <c r="AI63" i="21" s="1"/>
  <c r="S62" i="21"/>
  <c r="S61" i="21"/>
  <c r="AI61" i="21" s="1"/>
  <c r="S60" i="21"/>
  <c r="S64" i="21" s="1"/>
  <c r="F64" i="21"/>
  <c r="F63" i="21"/>
  <c r="F62" i="21"/>
  <c r="F61" i="21"/>
  <c r="F60" i="21"/>
  <c r="Z63" i="21"/>
  <c r="AB63" i="21" s="1"/>
  <c r="Z62" i="21"/>
  <c r="Z61" i="21"/>
  <c r="Z60" i="21"/>
  <c r="J62" i="21"/>
  <c r="J61" i="21"/>
  <c r="J60" i="21"/>
  <c r="L61" i="21" s="1"/>
  <c r="S56" i="21"/>
  <c r="D63" i="21" s="1"/>
  <c r="H63" i="21" s="1"/>
  <c r="S55" i="21"/>
  <c r="S54" i="21"/>
  <c r="AI54" i="21" s="1"/>
  <c r="S53" i="21"/>
  <c r="D53" i="21" s="1"/>
  <c r="H53" i="21" s="1"/>
  <c r="F57" i="21"/>
  <c r="F56" i="21"/>
  <c r="F55" i="21"/>
  <c r="F54" i="21"/>
  <c r="F53" i="21"/>
  <c r="Z56" i="21"/>
  <c r="AB56" i="21" s="1"/>
  <c r="Z55" i="21"/>
  <c r="AB55" i="21" s="1"/>
  <c r="AD62" i="21" s="1"/>
  <c r="Z54" i="21"/>
  <c r="Z53" i="21"/>
  <c r="J55" i="21"/>
  <c r="J54" i="21"/>
  <c r="J53" i="21"/>
  <c r="AI49" i="21"/>
  <c r="S49" i="21"/>
  <c r="D56" i="21" s="1"/>
  <c r="H56" i="21" s="1"/>
  <c r="S48" i="21"/>
  <c r="S47" i="21"/>
  <c r="AI47" i="21" s="1"/>
  <c r="S46" i="21"/>
  <c r="AI46" i="21" s="1"/>
  <c r="F50" i="21"/>
  <c r="F49" i="21"/>
  <c r="F48" i="21"/>
  <c r="F47" i="21"/>
  <c r="F46" i="21"/>
  <c r="Z48" i="21"/>
  <c r="Z47" i="21"/>
  <c r="AB47" i="21" s="1"/>
  <c r="Z46" i="21"/>
  <c r="J48" i="21"/>
  <c r="J47" i="21"/>
  <c r="L48" i="21" s="1"/>
  <c r="J46" i="21"/>
  <c r="L47" i="21" s="1"/>
  <c r="S43" i="21"/>
  <c r="AI43" i="21" s="1"/>
  <c r="S42" i="21"/>
  <c r="D49" i="21" s="1"/>
  <c r="H49" i="21" s="1"/>
  <c r="S41" i="21"/>
  <c r="S40" i="21"/>
  <c r="S39" i="21"/>
  <c r="D46" i="21" s="1"/>
  <c r="H46" i="21" s="1"/>
  <c r="F43" i="21"/>
  <c r="F42" i="21"/>
  <c r="F41" i="21"/>
  <c r="F40" i="21"/>
  <c r="F39" i="21"/>
  <c r="Z42" i="21"/>
  <c r="AB42" i="21" s="1"/>
  <c r="Z41" i="21"/>
  <c r="AB41" i="21" s="1"/>
  <c r="Z40" i="21"/>
  <c r="AB40" i="21" s="1"/>
  <c r="Z39" i="21"/>
  <c r="J41" i="21"/>
  <c r="J40" i="21"/>
  <c r="L41" i="21" s="1"/>
  <c r="J39" i="21"/>
  <c r="L40" i="21" s="1"/>
  <c r="AI36" i="21"/>
  <c r="S36" i="21"/>
  <c r="S35" i="21"/>
  <c r="D42" i="21" s="1"/>
  <c r="H42" i="21" s="1"/>
  <c r="S34" i="21"/>
  <c r="S33" i="21"/>
  <c r="S32" i="21"/>
  <c r="F36" i="21"/>
  <c r="F35" i="21"/>
  <c r="F34" i="21"/>
  <c r="F33" i="21"/>
  <c r="F32" i="21"/>
  <c r="Z35" i="21"/>
  <c r="Z34" i="21"/>
  <c r="Z33" i="21"/>
  <c r="AB33" i="21" s="1"/>
  <c r="Z32" i="21"/>
  <c r="J34" i="21"/>
  <c r="L34" i="21" s="1"/>
  <c r="J33" i="21"/>
  <c r="J32" i="21"/>
  <c r="L33" i="21" s="1"/>
  <c r="S28" i="21"/>
  <c r="D35" i="21" s="1"/>
  <c r="H35" i="21" s="1"/>
  <c r="S27" i="21"/>
  <c r="D34" i="21" s="1"/>
  <c r="H34" i="21" s="1"/>
  <c r="S26" i="21"/>
  <c r="S25" i="21"/>
  <c r="Z28" i="21"/>
  <c r="Z27" i="21"/>
  <c r="Z26" i="21"/>
  <c r="Z25" i="21"/>
  <c r="J27" i="21"/>
  <c r="L27" i="21" s="1"/>
  <c r="J26" i="21"/>
  <c r="L26" i="21" s="1"/>
  <c r="J25" i="21"/>
  <c r="B24" i="21"/>
  <c r="B31" i="21" s="1"/>
  <c r="B38" i="21" s="1"/>
  <c r="B45" i="21" s="1"/>
  <c r="B52" i="21" s="1"/>
  <c r="B59" i="21" s="1"/>
  <c r="S21" i="21"/>
  <c r="S20" i="21"/>
  <c r="S19" i="21"/>
  <c r="S18" i="21"/>
  <c r="J20" i="21"/>
  <c r="L20" i="21" s="1"/>
  <c r="J19" i="21"/>
  <c r="L19" i="21" s="1"/>
  <c r="J18" i="21"/>
  <c r="B17" i="21"/>
  <c r="S14" i="21"/>
  <c r="S13" i="21"/>
  <c r="S12" i="21"/>
  <c r="S11" i="21"/>
  <c r="Z14" i="21"/>
  <c r="Z13" i="21"/>
  <c r="Z11" i="21"/>
  <c r="AB11" i="21" s="1"/>
  <c r="J13" i="21"/>
  <c r="J12" i="21"/>
  <c r="J11" i="21"/>
  <c r="L11" i="21" s="1"/>
  <c r="C1" i="21"/>
  <c r="B212" i="19"/>
  <c r="B211" i="19"/>
  <c r="B210" i="19"/>
  <c r="B209" i="19"/>
  <c r="B208" i="19"/>
  <c r="A211" i="19"/>
  <c r="A210" i="19"/>
  <c r="A209" i="19"/>
  <c r="A208" i="19"/>
  <c r="BC211" i="19"/>
  <c r="BB211" i="19"/>
  <c r="BA211" i="19"/>
  <c r="AZ211" i="19"/>
  <c r="BC210" i="19"/>
  <c r="BB210" i="19"/>
  <c r="BA210" i="19"/>
  <c r="AZ210" i="19"/>
  <c r="BC209" i="19"/>
  <c r="BB209" i="19"/>
  <c r="BA209" i="19"/>
  <c r="AZ209" i="19"/>
  <c r="BC208" i="19"/>
  <c r="BB208" i="19"/>
  <c r="BA208" i="19"/>
  <c r="AZ208" i="19"/>
  <c r="AI203" i="19"/>
  <c r="AI202" i="19"/>
  <c r="AI201" i="19"/>
  <c r="H202" i="19"/>
  <c r="H201" i="19"/>
  <c r="D203" i="19"/>
  <c r="H203" i="19" s="1"/>
  <c r="D202" i="19"/>
  <c r="D201" i="19"/>
  <c r="B205" i="19"/>
  <c r="B204" i="19"/>
  <c r="B203" i="19"/>
  <c r="B202" i="19"/>
  <c r="B201" i="19"/>
  <c r="Z203" i="19"/>
  <c r="AB203" i="19" s="1"/>
  <c r="Z202" i="19"/>
  <c r="AB202" i="19" s="1"/>
  <c r="Z201" i="19"/>
  <c r="AB201" i="19" s="1"/>
  <c r="A204" i="19"/>
  <c r="A203" i="19"/>
  <c r="A202" i="19"/>
  <c r="A201" i="19"/>
  <c r="BG203" i="19"/>
  <c r="BG202" i="19"/>
  <c r="BG201" i="19"/>
  <c r="BC204" i="19"/>
  <c r="BB204" i="19"/>
  <c r="BA204" i="19"/>
  <c r="AZ204" i="19"/>
  <c r="BC203" i="19"/>
  <c r="BB203" i="19"/>
  <c r="BA203" i="19"/>
  <c r="AZ203" i="19"/>
  <c r="BC202" i="19"/>
  <c r="BB202" i="19"/>
  <c r="BA202" i="19"/>
  <c r="AZ202" i="19"/>
  <c r="BC201" i="19"/>
  <c r="BB201" i="19"/>
  <c r="BA201" i="19"/>
  <c r="AZ201" i="19"/>
  <c r="AU203" i="19"/>
  <c r="AT203" i="19"/>
  <c r="AS203" i="19"/>
  <c r="AR203" i="19"/>
  <c r="AU202" i="19"/>
  <c r="AT202" i="19"/>
  <c r="AS202" i="19"/>
  <c r="AR202" i="19"/>
  <c r="AU201" i="19"/>
  <c r="AQ201" i="19" s="1"/>
  <c r="AT201" i="19"/>
  <c r="AS201" i="19"/>
  <c r="AR201" i="19"/>
  <c r="AQ203" i="19"/>
  <c r="AP203" i="19" s="1"/>
  <c r="AI197" i="19"/>
  <c r="AI196" i="19"/>
  <c r="AI195" i="19"/>
  <c r="AK195" i="19" s="1"/>
  <c r="AI194" i="19"/>
  <c r="S198" i="19"/>
  <c r="H196" i="19"/>
  <c r="D197" i="19"/>
  <c r="H197" i="19" s="1"/>
  <c r="D196" i="19"/>
  <c r="D195" i="19"/>
  <c r="H195" i="19" s="1"/>
  <c r="D194" i="19"/>
  <c r="H194" i="19" s="1"/>
  <c r="B198" i="19"/>
  <c r="B197" i="19"/>
  <c r="B196" i="19"/>
  <c r="B195" i="19"/>
  <c r="B194" i="19"/>
  <c r="Z197" i="19"/>
  <c r="AB197" i="19" s="1"/>
  <c r="Z196" i="19"/>
  <c r="AB196" i="19" s="1"/>
  <c r="Z195" i="19"/>
  <c r="AB195" i="19" s="1"/>
  <c r="Z194" i="19"/>
  <c r="A197" i="19"/>
  <c r="A196" i="19"/>
  <c r="A195" i="19"/>
  <c r="A194" i="19"/>
  <c r="BG197" i="19"/>
  <c r="BG196" i="19"/>
  <c r="BG195" i="19"/>
  <c r="BG194" i="19"/>
  <c r="BC198" i="19"/>
  <c r="BB198" i="19"/>
  <c r="BA198" i="19"/>
  <c r="AZ198" i="19"/>
  <c r="BC197" i="19"/>
  <c r="BB197" i="19"/>
  <c r="BA197" i="19"/>
  <c r="AZ197" i="19"/>
  <c r="BC196" i="19"/>
  <c r="BB196" i="19"/>
  <c r="BA196" i="19"/>
  <c r="AZ196" i="19"/>
  <c r="BC195" i="19"/>
  <c r="BB195" i="19"/>
  <c r="BA195" i="19"/>
  <c r="AZ195" i="19"/>
  <c r="BC194" i="19"/>
  <c r="BB194" i="19"/>
  <c r="BA194" i="19"/>
  <c r="AZ194" i="19"/>
  <c r="AU197" i="19"/>
  <c r="AT197" i="19"/>
  <c r="AS197" i="19"/>
  <c r="AR197" i="19"/>
  <c r="AU196" i="19"/>
  <c r="AT196" i="19"/>
  <c r="AS196" i="19"/>
  <c r="AR196" i="19"/>
  <c r="AU195" i="19"/>
  <c r="AT195" i="19"/>
  <c r="AS195" i="19"/>
  <c r="AR195" i="19"/>
  <c r="AQ195" i="19" s="1"/>
  <c r="AP195" i="19" s="1"/>
  <c r="AU194" i="19"/>
  <c r="AU198" i="19" s="1"/>
  <c r="AT194" i="19"/>
  <c r="AT198" i="19" s="1"/>
  <c r="AS194" i="19"/>
  <c r="AR194" i="19"/>
  <c r="AR198" i="19" s="1"/>
  <c r="AI190" i="19"/>
  <c r="AI189" i="19"/>
  <c r="AI188" i="19"/>
  <c r="AI187" i="19"/>
  <c r="S191" i="19"/>
  <c r="H188" i="19"/>
  <c r="H187" i="19"/>
  <c r="D190" i="19"/>
  <c r="H190" i="19" s="1"/>
  <c r="D189" i="19"/>
  <c r="H189" i="19" s="1"/>
  <c r="D188" i="19"/>
  <c r="D187" i="19"/>
  <c r="B191" i="19"/>
  <c r="B190" i="19"/>
  <c r="B189" i="19"/>
  <c r="B188" i="19"/>
  <c r="B187" i="19"/>
  <c r="Z187" i="19"/>
  <c r="A190" i="19"/>
  <c r="A189" i="19"/>
  <c r="A188" i="19"/>
  <c r="A187" i="19"/>
  <c r="BG190" i="19"/>
  <c r="BG189" i="19"/>
  <c r="BG188" i="19"/>
  <c r="BG187" i="19"/>
  <c r="BC191" i="19"/>
  <c r="BB191" i="19"/>
  <c r="BA191" i="19"/>
  <c r="AZ191" i="19"/>
  <c r="BC190" i="19"/>
  <c r="BB190" i="19"/>
  <c r="BA190" i="19"/>
  <c r="AZ190" i="19"/>
  <c r="BC189" i="19"/>
  <c r="BB189" i="19"/>
  <c r="BA189" i="19"/>
  <c r="AZ189" i="19"/>
  <c r="BC188" i="19"/>
  <c r="BB188" i="19"/>
  <c r="BA188" i="19"/>
  <c r="AZ188" i="19"/>
  <c r="BC187" i="19"/>
  <c r="BB187" i="19"/>
  <c r="BA187" i="19"/>
  <c r="AZ187" i="19"/>
  <c r="AU190" i="19"/>
  <c r="AT190" i="19"/>
  <c r="AS190" i="19"/>
  <c r="AR190" i="19"/>
  <c r="AU189" i="19"/>
  <c r="AT189" i="19"/>
  <c r="AS189" i="19"/>
  <c r="AR189" i="19"/>
  <c r="AU188" i="19"/>
  <c r="AT188" i="19"/>
  <c r="AS188" i="19"/>
  <c r="AR188" i="19"/>
  <c r="AU187" i="19"/>
  <c r="AU191" i="19" s="1"/>
  <c r="AT187" i="19"/>
  <c r="AT191" i="19" s="1"/>
  <c r="AS187" i="19"/>
  <c r="AS191" i="19" s="1"/>
  <c r="AR187" i="19"/>
  <c r="AR191" i="19" s="1"/>
  <c r="AZ184" i="19"/>
  <c r="AZ183" i="19"/>
  <c r="AZ182" i="19"/>
  <c r="AZ181" i="19"/>
  <c r="AZ180" i="19"/>
  <c r="AI183" i="19"/>
  <c r="AI182" i="19"/>
  <c r="AK182" i="19" s="1"/>
  <c r="AI181" i="19"/>
  <c r="AI180" i="19"/>
  <c r="AI184" i="19" s="1"/>
  <c r="S184" i="19"/>
  <c r="D184" i="19" s="1"/>
  <c r="H184" i="19" s="1"/>
  <c r="H183" i="19"/>
  <c r="H180" i="19"/>
  <c r="F184" i="19"/>
  <c r="D183" i="19"/>
  <c r="D182" i="19"/>
  <c r="H182" i="19" s="1"/>
  <c r="D181" i="19"/>
  <c r="H181" i="19" s="1"/>
  <c r="D180" i="19"/>
  <c r="B184" i="19"/>
  <c r="B183" i="19"/>
  <c r="B182" i="19"/>
  <c r="B181" i="19"/>
  <c r="B180" i="19"/>
  <c r="Z183" i="19"/>
  <c r="AB183" i="19" s="1"/>
  <c r="Z182" i="19"/>
  <c r="AB182" i="19" s="1"/>
  <c r="Z181" i="19"/>
  <c r="Z180" i="19"/>
  <c r="AB181" i="19" s="1"/>
  <c r="A183" i="19"/>
  <c r="A182" i="19"/>
  <c r="A181" i="19"/>
  <c r="A180" i="19"/>
  <c r="BG184" i="19"/>
  <c r="BG183" i="19"/>
  <c r="BG182" i="19"/>
  <c r="BG181" i="19"/>
  <c r="BG180" i="19"/>
  <c r="AU183" i="19"/>
  <c r="AT183" i="19"/>
  <c r="AS183" i="19"/>
  <c r="AQ183" i="19" s="1"/>
  <c r="AR183" i="19"/>
  <c r="AU182" i="19"/>
  <c r="AT182" i="19"/>
  <c r="AS182" i="19"/>
  <c r="AR182" i="19"/>
  <c r="AU181" i="19"/>
  <c r="AT181" i="19"/>
  <c r="AS181" i="19"/>
  <c r="AR181" i="19"/>
  <c r="AU180" i="19"/>
  <c r="AU184" i="19" s="1"/>
  <c r="AT180" i="19"/>
  <c r="AT184" i="19" s="1"/>
  <c r="AS180" i="19"/>
  <c r="AS184" i="19" s="1"/>
  <c r="AR180" i="19"/>
  <c r="AQ181" i="19"/>
  <c r="AZ177" i="19"/>
  <c r="AZ176" i="19"/>
  <c r="AZ175" i="19"/>
  <c r="AZ174" i="19"/>
  <c r="AZ173" i="19"/>
  <c r="AI176" i="19"/>
  <c r="AK176" i="19" s="1"/>
  <c r="AI175" i="19"/>
  <c r="AI174" i="19"/>
  <c r="AI173" i="19"/>
  <c r="S177" i="19"/>
  <c r="F177" i="19" s="1"/>
  <c r="BG177" i="19" s="1"/>
  <c r="D176" i="19"/>
  <c r="H176" i="19" s="1"/>
  <c r="B177" i="19"/>
  <c r="B176" i="19"/>
  <c r="B175" i="19"/>
  <c r="B174" i="19"/>
  <c r="B173" i="19"/>
  <c r="Z176" i="19"/>
  <c r="Z175" i="19"/>
  <c r="AB176" i="19" s="1"/>
  <c r="Z174" i="19"/>
  <c r="AB174" i="19" s="1"/>
  <c r="AK174" i="19" s="1"/>
  <c r="Z173" i="19"/>
  <c r="A176" i="19"/>
  <c r="A175" i="19"/>
  <c r="A174" i="19"/>
  <c r="A173" i="19"/>
  <c r="BG176" i="19"/>
  <c r="BG175" i="19"/>
  <c r="BG174" i="19"/>
  <c r="BG173" i="19"/>
  <c r="AT176" i="19"/>
  <c r="AS176" i="19"/>
  <c r="AR176" i="19"/>
  <c r="AU175" i="19"/>
  <c r="AT175" i="19"/>
  <c r="AS175" i="19"/>
  <c r="AR175" i="19"/>
  <c r="AU174" i="19"/>
  <c r="AT174" i="19"/>
  <c r="AS174" i="19"/>
  <c r="AR174" i="19"/>
  <c r="AU173" i="19"/>
  <c r="AT173" i="19"/>
  <c r="AT177" i="19" s="1"/>
  <c r="AS173" i="19"/>
  <c r="AS177" i="19" s="1"/>
  <c r="AR173" i="19"/>
  <c r="AZ170" i="19"/>
  <c r="AZ169" i="19"/>
  <c r="AZ168" i="19"/>
  <c r="AZ167" i="19"/>
  <c r="AZ166" i="19"/>
  <c r="AZ165" i="19"/>
  <c r="AZ164" i="19"/>
  <c r="AZ163" i="19"/>
  <c r="AZ162" i="19"/>
  <c r="AZ161" i="19"/>
  <c r="AZ160" i="19"/>
  <c r="AZ159" i="19"/>
  <c r="AZ158" i="19"/>
  <c r="AZ157" i="19"/>
  <c r="AZ156" i="19"/>
  <c r="AZ155" i="19"/>
  <c r="AZ154" i="19"/>
  <c r="AZ153" i="19"/>
  <c r="AZ152" i="19"/>
  <c r="AZ151" i="19"/>
  <c r="AZ150" i="19"/>
  <c r="AZ149" i="19"/>
  <c r="AZ148" i="19"/>
  <c r="AZ147" i="19"/>
  <c r="AZ146" i="19"/>
  <c r="AZ145" i="19"/>
  <c r="AZ144" i="19"/>
  <c r="AZ143" i="19"/>
  <c r="AZ142" i="19"/>
  <c r="AZ141" i="19"/>
  <c r="AZ140" i="19"/>
  <c r="AZ139" i="19"/>
  <c r="AZ138" i="19"/>
  <c r="AZ137" i="19"/>
  <c r="AZ136" i="19"/>
  <c r="AZ135" i="19"/>
  <c r="AZ134" i="19"/>
  <c r="AZ133" i="19"/>
  <c r="AZ132" i="19"/>
  <c r="AZ131" i="19"/>
  <c r="AZ130" i="19"/>
  <c r="AZ129" i="19"/>
  <c r="AZ128" i="19"/>
  <c r="AZ127" i="19"/>
  <c r="AZ126" i="19"/>
  <c r="AZ125" i="19"/>
  <c r="AZ124" i="19"/>
  <c r="AZ123" i="19"/>
  <c r="AZ122" i="19"/>
  <c r="AZ120" i="19"/>
  <c r="AZ119" i="19"/>
  <c r="AZ118" i="19"/>
  <c r="AZ117" i="19"/>
  <c r="AZ116" i="19"/>
  <c r="AZ115" i="19"/>
  <c r="AZ113" i="19"/>
  <c r="AZ112" i="19"/>
  <c r="AZ111" i="19"/>
  <c r="AZ110" i="19"/>
  <c r="AZ109" i="19"/>
  <c r="AZ108" i="19"/>
  <c r="AZ106" i="19"/>
  <c r="AZ105" i="19"/>
  <c r="AZ104" i="19"/>
  <c r="AZ103" i="19"/>
  <c r="AZ102" i="19"/>
  <c r="AZ101" i="19"/>
  <c r="AZ100" i="19"/>
  <c r="AZ99" i="19"/>
  <c r="AZ98" i="19"/>
  <c r="AZ97" i="19"/>
  <c r="AZ96" i="19"/>
  <c r="AI169" i="19"/>
  <c r="AK169" i="19" s="1"/>
  <c r="AB167" i="19"/>
  <c r="AD167" i="19" s="1"/>
  <c r="S169" i="19"/>
  <c r="S168" i="19"/>
  <c r="AI168" i="19" s="1"/>
  <c r="S167" i="19"/>
  <c r="D167" i="19" s="1"/>
  <c r="H167" i="19" s="1"/>
  <c r="S166" i="19"/>
  <c r="D173" i="19" s="1"/>
  <c r="H173" i="19" s="1"/>
  <c r="F170" i="19"/>
  <c r="F169" i="19"/>
  <c r="B170" i="19"/>
  <c r="B169" i="19"/>
  <c r="B168" i="19"/>
  <c r="B167" i="19"/>
  <c r="B166" i="19"/>
  <c r="Z169" i="19"/>
  <c r="AB169" i="19" s="1"/>
  <c r="Z168" i="19"/>
  <c r="AB168" i="19" s="1"/>
  <c r="Z167" i="19"/>
  <c r="Z166" i="19"/>
  <c r="A169" i="19"/>
  <c r="A168" i="19"/>
  <c r="A167" i="19"/>
  <c r="A166" i="19"/>
  <c r="F167" i="19"/>
  <c r="BG167" i="19" s="1"/>
  <c r="F166" i="19"/>
  <c r="BG170" i="19"/>
  <c r="BG169" i="19"/>
  <c r="BG168" i="19"/>
  <c r="BG166" i="19"/>
  <c r="AU169" i="19"/>
  <c r="AT169" i="19"/>
  <c r="AS169" i="19"/>
  <c r="AR169" i="19"/>
  <c r="AU168" i="19"/>
  <c r="AT168" i="19"/>
  <c r="AS168" i="19"/>
  <c r="AR168" i="19"/>
  <c r="AU167" i="19"/>
  <c r="AT167" i="19"/>
  <c r="AS167" i="19"/>
  <c r="AR167" i="19"/>
  <c r="AQ167" i="19" s="1"/>
  <c r="AU166" i="19"/>
  <c r="AU170" i="19" s="1"/>
  <c r="AT166" i="19"/>
  <c r="AT170" i="19" s="1"/>
  <c r="AS166" i="19"/>
  <c r="AS170" i="19" s="1"/>
  <c r="AR166" i="19"/>
  <c r="AQ166" i="19" s="1"/>
  <c r="AQ169" i="19"/>
  <c r="AP169" i="19" s="1"/>
  <c r="AI162" i="19"/>
  <c r="S162" i="19"/>
  <c r="D169" i="19" s="1"/>
  <c r="H169" i="19" s="1"/>
  <c r="S161" i="19"/>
  <c r="S160" i="19"/>
  <c r="AI160" i="19" s="1"/>
  <c r="AK160" i="19" s="1"/>
  <c r="S159" i="19"/>
  <c r="S163" i="19" s="1"/>
  <c r="F163" i="19"/>
  <c r="F162" i="19"/>
  <c r="F161" i="19"/>
  <c r="BG161" i="19" s="1"/>
  <c r="F160" i="19"/>
  <c r="F159" i="19"/>
  <c r="B163" i="19"/>
  <c r="B162" i="19"/>
  <c r="B161" i="19"/>
  <c r="B160" i="19"/>
  <c r="B159" i="19"/>
  <c r="Z162" i="19"/>
  <c r="AB162" i="19" s="1"/>
  <c r="Z161" i="19"/>
  <c r="AB161" i="19" s="1"/>
  <c r="Z160" i="19"/>
  <c r="AB160" i="19" s="1"/>
  <c r="Z159" i="19"/>
  <c r="A162" i="19"/>
  <c r="A161" i="19"/>
  <c r="A160" i="19"/>
  <c r="A159" i="19"/>
  <c r="BG163" i="19"/>
  <c r="BG162" i="19"/>
  <c r="BG160" i="19"/>
  <c r="BG159" i="19"/>
  <c r="AU162" i="19"/>
  <c r="AT162" i="19"/>
  <c r="AS162" i="19"/>
  <c r="AR162" i="19"/>
  <c r="AU161" i="19"/>
  <c r="AT161" i="19"/>
  <c r="AS161" i="19"/>
  <c r="AR161" i="19"/>
  <c r="AU160" i="19"/>
  <c r="AT160" i="19"/>
  <c r="AS160" i="19"/>
  <c r="AR160" i="19"/>
  <c r="AU159" i="19"/>
  <c r="AU163" i="19" s="1"/>
  <c r="AT159" i="19"/>
  <c r="AT163" i="19" s="1"/>
  <c r="AS159" i="19"/>
  <c r="AS163" i="19" s="1"/>
  <c r="AR159" i="19"/>
  <c r="AQ161" i="19"/>
  <c r="AQ159" i="19"/>
  <c r="S155" i="19"/>
  <c r="S154" i="19"/>
  <c r="AI154" i="19" s="1"/>
  <c r="S153" i="19"/>
  <c r="AI153" i="19" s="1"/>
  <c r="S152" i="19"/>
  <c r="S156" i="19" s="1"/>
  <c r="F156" i="19"/>
  <c r="F155" i="19"/>
  <c r="F154" i="19"/>
  <c r="F153" i="19"/>
  <c r="F152" i="19"/>
  <c r="D153" i="19"/>
  <c r="H153" i="19" s="1"/>
  <c r="B156" i="19"/>
  <c r="B155" i="19"/>
  <c r="B154" i="19"/>
  <c r="B153" i="19"/>
  <c r="B152" i="19"/>
  <c r="Z155" i="19"/>
  <c r="AB159" i="19" s="1"/>
  <c r="Z154" i="19"/>
  <c r="AB154" i="19" s="1"/>
  <c r="Z153" i="19"/>
  <c r="Z152" i="19"/>
  <c r="AB153" i="19" s="1"/>
  <c r="AD153" i="19" s="1"/>
  <c r="A155" i="19"/>
  <c r="A154" i="19"/>
  <c r="A153" i="19"/>
  <c r="A152" i="19"/>
  <c r="AV155" i="19"/>
  <c r="AU155" i="19"/>
  <c r="AT155" i="19"/>
  <c r="AS155" i="19"/>
  <c r="AR155" i="19"/>
  <c r="AV154" i="19"/>
  <c r="AU154" i="19"/>
  <c r="AT154" i="19"/>
  <c r="AS154" i="19"/>
  <c r="AR154" i="19"/>
  <c r="AV153" i="19"/>
  <c r="AU153" i="19"/>
  <c r="AT153" i="19"/>
  <c r="AS153" i="19"/>
  <c r="AR153" i="19"/>
  <c r="AV152" i="19"/>
  <c r="AV156" i="19" s="1"/>
  <c r="AU152" i="19"/>
  <c r="AU156" i="19" s="1"/>
  <c r="AT152" i="19"/>
  <c r="AT156" i="19" s="1"/>
  <c r="AS152" i="19"/>
  <c r="AR152" i="19"/>
  <c r="AQ152" i="19"/>
  <c r="AI146" i="19"/>
  <c r="AK146" i="19" s="1"/>
  <c r="AI145" i="19"/>
  <c r="S148" i="19"/>
  <c r="S147" i="19"/>
  <c r="AI147" i="19" s="1"/>
  <c r="S146" i="19"/>
  <c r="S145" i="19"/>
  <c r="S149" i="19" s="1"/>
  <c r="F149" i="19"/>
  <c r="F148" i="19"/>
  <c r="F147" i="19"/>
  <c r="F146" i="19"/>
  <c r="F145" i="19"/>
  <c r="B149" i="19"/>
  <c r="B148" i="19"/>
  <c r="B147" i="19"/>
  <c r="B146" i="19"/>
  <c r="B145" i="19"/>
  <c r="Z148" i="19"/>
  <c r="Z147" i="19"/>
  <c r="AB147" i="19" s="1"/>
  <c r="Z146" i="19"/>
  <c r="Z145" i="19"/>
  <c r="AB146" i="19" s="1"/>
  <c r="A148" i="19"/>
  <c r="A147" i="19"/>
  <c r="A146" i="19"/>
  <c r="A145" i="19"/>
  <c r="AV148" i="19"/>
  <c r="AU148" i="19"/>
  <c r="AT148" i="19"/>
  <c r="AS148" i="19"/>
  <c r="AR148" i="19"/>
  <c r="AV147" i="19"/>
  <c r="AU147" i="19"/>
  <c r="AT147" i="19"/>
  <c r="AS147" i="19"/>
  <c r="AR147" i="19"/>
  <c r="AQ147" i="19"/>
  <c r="AP147" i="19" s="1"/>
  <c r="AV146" i="19"/>
  <c r="AU146" i="19"/>
  <c r="AT146" i="19"/>
  <c r="AS146" i="19"/>
  <c r="AR146" i="19"/>
  <c r="AV145" i="19"/>
  <c r="AV149" i="19" s="1"/>
  <c r="AU145" i="19"/>
  <c r="AT145" i="19"/>
  <c r="AS145" i="19"/>
  <c r="AR145" i="19"/>
  <c r="BG142" i="19"/>
  <c r="BG140" i="19"/>
  <c r="BG138" i="19"/>
  <c r="AI140" i="19"/>
  <c r="S141" i="19"/>
  <c r="AI141" i="19" s="1"/>
  <c r="S140" i="19"/>
  <c r="S139" i="19"/>
  <c r="S138" i="19"/>
  <c r="D145" i="19" s="1"/>
  <c r="H145" i="19" s="1"/>
  <c r="F142" i="19"/>
  <c r="F141" i="19"/>
  <c r="BG141" i="19" s="1"/>
  <c r="F140" i="19"/>
  <c r="F139" i="19"/>
  <c r="BG139" i="19" s="1"/>
  <c r="F138" i="19"/>
  <c r="D140" i="19"/>
  <c r="H140" i="19" s="1"/>
  <c r="D138" i="19"/>
  <c r="H138" i="19" s="1"/>
  <c r="B142" i="19"/>
  <c r="B141" i="19"/>
  <c r="B140" i="19"/>
  <c r="B139" i="19"/>
  <c r="B138" i="19"/>
  <c r="Z141" i="19"/>
  <c r="AB140" i="2" s="1"/>
  <c r="Z140" i="19"/>
  <c r="Z139" i="19"/>
  <c r="AB138" i="2" s="1"/>
  <c r="A141" i="19"/>
  <c r="A140" i="19"/>
  <c r="A139" i="19"/>
  <c r="A138" i="19"/>
  <c r="AV141" i="19"/>
  <c r="AV142" i="19" s="1"/>
  <c r="AU141" i="19"/>
  <c r="AT141" i="19"/>
  <c r="AS141" i="19"/>
  <c r="AR141" i="19"/>
  <c r="AV140" i="19"/>
  <c r="AU140" i="19"/>
  <c r="AT140" i="19"/>
  <c r="AS140" i="19"/>
  <c r="AR140" i="19"/>
  <c r="AW139" i="19"/>
  <c r="AV139" i="19"/>
  <c r="AU139" i="19"/>
  <c r="AT139" i="19"/>
  <c r="AS139" i="19"/>
  <c r="AR139" i="19"/>
  <c r="AR142" i="19" s="1"/>
  <c r="AW138" i="19"/>
  <c r="AV138" i="19"/>
  <c r="AU138" i="19"/>
  <c r="AT138" i="19"/>
  <c r="AS138" i="19"/>
  <c r="AR138" i="19"/>
  <c r="S136" i="19"/>
  <c r="S134" i="19"/>
  <c r="AI134" i="19" s="1"/>
  <c r="S133" i="19"/>
  <c r="S132" i="19"/>
  <c r="D132" i="19" s="1"/>
  <c r="H132" i="19" s="1"/>
  <c r="S131" i="19"/>
  <c r="BG132" i="19"/>
  <c r="AI133" i="19"/>
  <c r="AI132" i="19"/>
  <c r="AI131" i="19"/>
  <c r="F135" i="19"/>
  <c r="BG135" i="19" s="1"/>
  <c r="F134" i="19"/>
  <c r="BG134" i="19" s="1"/>
  <c r="F133" i="19"/>
  <c r="BG133" i="19" s="1"/>
  <c r="F132" i="19"/>
  <c r="F131" i="19"/>
  <c r="BG131" i="19" s="1"/>
  <c r="B135" i="19"/>
  <c r="B134" i="19"/>
  <c r="B133" i="19"/>
  <c r="B132" i="19"/>
  <c r="B131" i="19"/>
  <c r="AW134" i="19"/>
  <c r="AV134" i="19"/>
  <c r="AU134" i="19"/>
  <c r="AT134" i="19"/>
  <c r="AS134" i="19"/>
  <c r="AR134" i="19"/>
  <c r="Z134" i="19"/>
  <c r="Z133" i="19"/>
  <c r="Z131" i="19"/>
  <c r="AB130" i="2" s="1"/>
  <c r="AD130" i="2" s="1"/>
  <c r="A134" i="19"/>
  <c r="A133" i="19"/>
  <c r="A132" i="19"/>
  <c r="A131" i="19"/>
  <c r="AV133" i="19"/>
  <c r="AU133" i="19"/>
  <c r="AT133" i="19"/>
  <c r="AS133" i="19"/>
  <c r="AR133" i="19"/>
  <c r="AW132" i="19"/>
  <c r="AV132" i="19"/>
  <c r="AU132" i="19"/>
  <c r="AT132" i="19"/>
  <c r="AS132" i="19"/>
  <c r="AR132" i="19"/>
  <c r="AW131" i="19"/>
  <c r="AW135" i="19" s="1"/>
  <c r="AV131" i="19"/>
  <c r="AV135" i="19" s="1"/>
  <c r="AU131" i="19"/>
  <c r="AT131" i="19"/>
  <c r="AS131" i="19"/>
  <c r="AR131" i="19"/>
  <c r="BG127" i="19"/>
  <c r="BG124" i="19"/>
  <c r="AI127" i="19"/>
  <c r="AI126" i="19"/>
  <c r="AB126" i="19"/>
  <c r="AK126" i="19" s="1"/>
  <c r="AB125" i="19"/>
  <c r="S127" i="19"/>
  <c r="D134" i="19" s="1"/>
  <c r="H134" i="19" s="1"/>
  <c r="S126" i="19"/>
  <c r="D133" i="19" s="1"/>
  <c r="S125" i="19"/>
  <c r="AI125" i="19" s="1"/>
  <c r="AK125" i="19" s="1"/>
  <c r="S124" i="19"/>
  <c r="D131" i="19" s="1"/>
  <c r="H131" i="19" s="1"/>
  <c r="F127" i="19"/>
  <c r="F126" i="19"/>
  <c r="BG126" i="19" s="1"/>
  <c r="F125" i="19"/>
  <c r="BG125" i="19" s="1"/>
  <c r="F124" i="19"/>
  <c r="B128" i="19"/>
  <c r="B127" i="19"/>
  <c r="B126" i="19"/>
  <c r="B125" i="19"/>
  <c r="B124" i="19"/>
  <c r="A127" i="19"/>
  <c r="A126" i="19"/>
  <c r="A125" i="19"/>
  <c r="A124" i="19"/>
  <c r="AW127" i="19"/>
  <c r="AV127" i="19"/>
  <c r="AU127" i="19"/>
  <c r="AT127" i="19"/>
  <c r="AS127" i="19"/>
  <c r="AR127" i="19"/>
  <c r="AQ127" i="19" s="1"/>
  <c r="AP127" i="19" s="1"/>
  <c r="AW126" i="19"/>
  <c r="AV126" i="19"/>
  <c r="AU126" i="19"/>
  <c r="AT126" i="19"/>
  <c r="AS126" i="19"/>
  <c r="AR126" i="19"/>
  <c r="AW125" i="19"/>
  <c r="AV125" i="19"/>
  <c r="AU125" i="19"/>
  <c r="AT125" i="19"/>
  <c r="AS125" i="19"/>
  <c r="AR125" i="19"/>
  <c r="AQ125" i="19" s="1"/>
  <c r="AP125" i="19" s="1"/>
  <c r="AW124" i="19"/>
  <c r="AW128" i="19" s="1"/>
  <c r="AV124" i="19"/>
  <c r="AV128" i="19" s="1"/>
  <c r="AU124" i="19"/>
  <c r="AU128" i="19" s="1"/>
  <c r="AT124" i="19"/>
  <c r="AT128" i="19" s="1"/>
  <c r="AS124" i="19"/>
  <c r="AR124" i="19"/>
  <c r="BG120" i="19"/>
  <c r="BG119" i="19"/>
  <c r="AI119" i="19"/>
  <c r="AI118" i="19"/>
  <c r="S120" i="19"/>
  <c r="S119" i="19"/>
  <c r="D126" i="19" s="1"/>
  <c r="H126" i="19" s="1"/>
  <c r="S118" i="19"/>
  <c r="S117" i="19"/>
  <c r="F121" i="19"/>
  <c r="BG121" i="19" s="1"/>
  <c r="F120" i="19"/>
  <c r="F119" i="19"/>
  <c r="F118" i="19"/>
  <c r="BG118" i="19" s="1"/>
  <c r="F117" i="19"/>
  <c r="BG117" i="19" s="1"/>
  <c r="D119" i="19"/>
  <c r="H119" i="19" s="1"/>
  <c r="D118" i="19"/>
  <c r="H118" i="19" s="1"/>
  <c r="B121" i="19"/>
  <c r="B120" i="19"/>
  <c r="B119" i="19"/>
  <c r="B118" i="19"/>
  <c r="B117" i="19"/>
  <c r="A120" i="19"/>
  <c r="A119" i="19"/>
  <c r="A118" i="19"/>
  <c r="A117" i="19"/>
  <c r="AW120" i="19"/>
  <c r="AV120" i="19"/>
  <c r="AU120" i="19"/>
  <c r="AT120" i="19"/>
  <c r="AS120" i="19"/>
  <c r="AR120" i="19"/>
  <c r="AW119" i="19"/>
  <c r="AV119" i="19"/>
  <c r="AU119" i="19"/>
  <c r="AT119" i="19"/>
  <c r="AS119" i="19"/>
  <c r="AR119" i="19"/>
  <c r="AW118" i="19"/>
  <c r="AV118" i="19"/>
  <c r="AU118" i="19"/>
  <c r="AT118" i="19"/>
  <c r="AS118" i="19"/>
  <c r="AR118" i="19"/>
  <c r="AQ118" i="19" s="1"/>
  <c r="AP118" i="19" s="1"/>
  <c r="AW117" i="19"/>
  <c r="AW121" i="19" s="1"/>
  <c r="AV117" i="19"/>
  <c r="AV121" i="19" s="1"/>
  <c r="AU117" i="19"/>
  <c r="AU121" i="19" s="1"/>
  <c r="AT117" i="19"/>
  <c r="AT121" i="19" s="1"/>
  <c r="AS117" i="19"/>
  <c r="AR117" i="19"/>
  <c r="BG113" i="19"/>
  <c r="BG111" i="19"/>
  <c r="AW114" i="19"/>
  <c r="AI112" i="19"/>
  <c r="S113" i="19"/>
  <c r="S112" i="19"/>
  <c r="S111" i="19"/>
  <c r="S110" i="19"/>
  <c r="D117" i="19" s="1"/>
  <c r="H117" i="19" s="1"/>
  <c r="F114" i="19"/>
  <c r="BG114" i="19" s="1"/>
  <c r="F113" i="19"/>
  <c r="F112" i="19"/>
  <c r="BG112" i="19" s="1"/>
  <c r="F111" i="19"/>
  <c r="F110" i="19"/>
  <c r="BG110" i="19" s="1"/>
  <c r="D113" i="19"/>
  <c r="H113" i="19" s="1"/>
  <c r="B114" i="19"/>
  <c r="B113" i="19"/>
  <c r="B112" i="19"/>
  <c r="B111" i="19"/>
  <c r="B110" i="19"/>
  <c r="B109" i="19"/>
  <c r="B116" i="19" s="1"/>
  <c r="B123" i="19" s="1"/>
  <c r="B130" i="19" s="1"/>
  <c r="B137" i="19" s="1"/>
  <c r="B144" i="19" s="1"/>
  <c r="B151" i="19" s="1"/>
  <c r="B158" i="19" s="1"/>
  <c r="B165" i="19" s="1"/>
  <c r="B172" i="19" s="1"/>
  <c r="B179" i="19" s="1"/>
  <c r="B186" i="19" s="1"/>
  <c r="B193" i="19" s="1"/>
  <c r="B200" i="19" s="1"/>
  <c r="B207" i="19" s="1"/>
  <c r="A113" i="19"/>
  <c r="A112" i="19"/>
  <c r="A111" i="19"/>
  <c r="A110" i="19"/>
  <c r="AV113" i="19"/>
  <c r="AU113" i="19"/>
  <c r="AT113" i="19"/>
  <c r="AS113" i="19"/>
  <c r="AR113" i="19"/>
  <c r="AV112" i="19"/>
  <c r="AU112" i="19"/>
  <c r="AT112" i="19"/>
  <c r="AS112" i="19"/>
  <c r="AR112" i="19"/>
  <c r="AV111" i="19"/>
  <c r="AU111" i="19"/>
  <c r="AT111" i="19"/>
  <c r="AT114" i="19" s="1"/>
  <c r="AS111" i="19"/>
  <c r="AR111" i="19"/>
  <c r="AV110" i="19"/>
  <c r="AU110" i="19"/>
  <c r="AU114" i="19" s="1"/>
  <c r="AT110" i="19"/>
  <c r="AS110" i="19"/>
  <c r="AR110" i="19"/>
  <c r="AQ110" i="19"/>
  <c r="BG107" i="19"/>
  <c r="BG106" i="19"/>
  <c r="AW107" i="19"/>
  <c r="AI106" i="19"/>
  <c r="S106" i="19"/>
  <c r="S105" i="19"/>
  <c r="D112" i="19" s="1"/>
  <c r="H112" i="19" s="1"/>
  <c r="S104" i="19"/>
  <c r="AI104" i="19" s="1"/>
  <c r="S103" i="19"/>
  <c r="F107" i="19"/>
  <c r="F106" i="19"/>
  <c r="F105" i="19"/>
  <c r="BG105" i="19" s="1"/>
  <c r="F104" i="19"/>
  <c r="BG104" i="19" s="1"/>
  <c r="F103" i="19"/>
  <c r="BG103" i="19" s="1"/>
  <c r="B107" i="19"/>
  <c r="B106" i="19"/>
  <c r="B105" i="19"/>
  <c r="B104" i="19"/>
  <c r="B103" i="19"/>
  <c r="A106" i="19"/>
  <c r="A105" i="19"/>
  <c r="A104" i="19"/>
  <c r="A103" i="19"/>
  <c r="AV106" i="19"/>
  <c r="AU106" i="19"/>
  <c r="AT106" i="19"/>
  <c r="AS106" i="19"/>
  <c r="AR106" i="19"/>
  <c r="AQ106" i="19"/>
  <c r="AP106" i="19" s="1"/>
  <c r="AV105" i="19"/>
  <c r="AU105" i="19"/>
  <c r="AT105" i="19"/>
  <c r="AS105" i="19"/>
  <c r="AR105" i="19"/>
  <c r="AV104" i="19"/>
  <c r="AU104" i="19"/>
  <c r="AT104" i="19"/>
  <c r="AS104" i="19"/>
  <c r="AR104" i="19"/>
  <c r="AV103" i="19"/>
  <c r="AV107" i="19" s="1"/>
  <c r="AU103" i="19"/>
  <c r="AU107" i="19" s="1"/>
  <c r="AT103" i="19"/>
  <c r="AS103" i="19"/>
  <c r="AR103" i="19"/>
  <c r="AR107" i="19" s="1"/>
  <c r="AW100" i="19"/>
  <c r="AI96" i="19"/>
  <c r="S99" i="19"/>
  <c r="D106" i="19" s="1"/>
  <c r="H106" i="19" s="1"/>
  <c r="S98" i="19"/>
  <c r="D105" i="19" s="1"/>
  <c r="H105" i="19" s="1"/>
  <c r="S97" i="19"/>
  <c r="AI97" i="19" s="1"/>
  <c r="S96" i="19"/>
  <c r="S100" i="19" s="1"/>
  <c r="F100" i="19"/>
  <c r="F99" i="19"/>
  <c r="BG99" i="19" s="1"/>
  <c r="F98" i="19"/>
  <c r="BG98" i="19" s="1"/>
  <c r="F97" i="19"/>
  <c r="F96" i="19"/>
  <c r="D97" i="19"/>
  <c r="H97" i="19" s="1"/>
  <c r="B100" i="19"/>
  <c r="B99" i="19"/>
  <c r="B98" i="19"/>
  <c r="B97" i="19"/>
  <c r="B96" i="19"/>
  <c r="A99" i="19"/>
  <c r="A98" i="19"/>
  <c r="A97" i="19"/>
  <c r="A96" i="19"/>
  <c r="BG97" i="19"/>
  <c r="BG96" i="19"/>
  <c r="BC186" i="19"/>
  <c r="BB186" i="19"/>
  <c r="BA186" i="19"/>
  <c r="BC185" i="19"/>
  <c r="BB185" i="19"/>
  <c r="BA185" i="19"/>
  <c r="BC184" i="19"/>
  <c r="BB184" i="19"/>
  <c r="BA184" i="19"/>
  <c r="BC183" i="19"/>
  <c r="BB183" i="19"/>
  <c r="BA183" i="19"/>
  <c r="BC182" i="19"/>
  <c r="BB182" i="19"/>
  <c r="BA182" i="19"/>
  <c r="BC181" i="19"/>
  <c r="BB181" i="19"/>
  <c r="BA181" i="19"/>
  <c r="BC180" i="19"/>
  <c r="BB180" i="19"/>
  <c r="BA180" i="19"/>
  <c r="BC179" i="19"/>
  <c r="BB179" i="19"/>
  <c r="BA179" i="19"/>
  <c r="BC178" i="19"/>
  <c r="BB178" i="19"/>
  <c r="BA178" i="19"/>
  <c r="BC177" i="19"/>
  <c r="BB177" i="19"/>
  <c r="BA177" i="19"/>
  <c r="BC176" i="19"/>
  <c r="BB176" i="19"/>
  <c r="BA176" i="19"/>
  <c r="BC175" i="19"/>
  <c r="BB175" i="19"/>
  <c r="BA175" i="19"/>
  <c r="BC174" i="19"/>
  <c r="BB174" i="19"/>
  <c r="BA174" i="19"/>
  <c r="BC173" i="19"/>
  <c r="BB173" i="19"/>
  <c r="BA173" i="19"/>
  <c r="BC172" i="19"/>
  <c r="BB172" i="19"/>
  <c r="BA172" i="19"/>
  <c r="BC171" i="19"/>
  <c r="BB171" i="19"/>
  <c r="BA171" i="19"/>
  <c r="BC170" i="19"/>
  <c r="BB170" i="19"/>
  <c r="BA170" i="19"/>
  <c r="BC169" i="19"/>
  <c r="BB169" i="19"/>
  <c r="BA169" i="19"/>
  <c r="BC168" i="19"/>
  <c r="BB168" i="19"/>
  <c r="BA168" i="19"/>
  <c r="BC167" i="19"/>
  <c r="BB167" i="19"/>
  <c r="BA167" i="19"/>
  <c r="BC166" i="19"/>
  <c r="BB166" i="19"/>
  <c r="BA166" i="19"/>
  <c r="BC165" i="19"/>
  <c r="BB165" i="19"/>
  <c r="BA165" i="19"/>
  <c r="BC164" i="19"/>
  <c r="BB164" i="19"/>
  <c r="BA164" i="19"/>
  <c r="BC163" i="19"/>
  <c r="BB163" i="19"/>
  <c r="BA163" i="19"/>
  <c r="BC162" i="19"/>
  <c r="BB162" i="19"/>
  <c r="BA162" i="19"/>
  <c r="BC161" i="19"/>
  <c r="BB161" i="19"/>
  <c r="BA161" i="19"/>
  <c r="BC160" i="19"/>
  <c r="BB160" i="19"/>
  <c r="BA160" i="19"/>
  <c r="BC159" i="19"/>
  <c r="BB159" i="19"/>
  <c r="BA159" i="19"/>
  <c r="BC158" i="19"/>
  <c r="BB158" i="19"/>
  <c r="BA158" i="19"/>
  <c r="BC157" i="19"/>
  <c r="BB157" i="19"/>
  <c r="BA157" i="19"/>
  <c r="BC156" i="19"/>
  <c r="BB156" i="19"/>
  <c r="BA156" i="19"/>
  <c r="BC155" i="19"/>
  <c r="BB155" i="19"/>
  <c r="BA155" i="19"/>
  <c r="BC154" i="19"/>
  <c r="BB154" i="19"/>
  <c r="BA154" i="19"/>
  <c r="BC153" i="19"/>
  <c r="BB153" i="19"/>
  <c r="BA153" i="19"/>
  <c r="BC152" i="19"/>
  <c r="BB152" i="19"/>
  <c r="BA152" i="19"/>
  <c r="BC151" i="19"/>
  <c r="BB151" i="19"/>
  <c r="BA151" i="19"/>
  <c r="BC150" i="19"/>
  <c r="BB150" i="19"/>
  <c r="BA150" i="19"/>
  <c r="BC149" i="19"/>
  <c r="BB149" i="19"/>
  <c r="BA149" i="19"/>
  <c r="BC148" i="19"/>
  <c r="BB148" i="19"/>
  <c r="BA148" i="19"/>
  <c r="BC147" i="19"/>
  <c r="BB147" i="19"/>
  <c r="BA147" i="19"/>
  <c r="BC146" i="19"/>
  <c r="BB146" i="19"/>
  <c r="BA146" i="19"/>
  <c r="BC145" i="19"/>
  <c r="BB145" i="19"/>
  <c r="BA145" i="19"/>
  <c r="BC144" i="19"/>
  <c r="BB144" i="19"/>
  <c r="BA144" i="19"/>
  <c r="BC143" i="19"/>
  <c r="BB143" i="19"/>
  <c r="BA143" i="19"/>
  <c r="BC142" i="19"/>
  <c r="BB142" i="19"/>
  <c r="BA142" i="19"/>
  <c r="BC141" i="19"/>
  <c r="BB141" i="19"/>
  <c r="BA141" i="19"/>
  <c r="BC140" i="19"/>
  <c r="BB140" i="19"/>
  <c r="BA140" i="19"/>
  <c r="BC139" i="19"/>
  <c r="BB139" i="19"/>
  <c r="BA139" i="19"/>
  <c r="BC138" i="19"/>
  <c r="BB138" i="19"/>
  <c r="BA138" i="19"/>
  <c r="BC137" i="19"/>
  <c r="BB137" i="19"/>
  <c r="BA137" i="19"/>
  <c r="BC136" i="19"/>
  <c r="BB136" i="19"/>
  <c r="BA136" i="19"/>
  <c r="BC135" i="19"/>
  <c r="BB135" i="19"/>
  <c r="BA135" i="19"/>
  <c r="BC134" i="19"/>
  <c r="BB134" i="19"/>
  <c r="BA134" i="19"/>
  <c r="BC133" i="19"/>
  <c r="BB133" i="19"/>
  <c r="BA133" i="19"/>
  <c r="BC132" i="19"/>
  <c r="BB132" i="19"/>
  <c r="BA132" i="19"/>
  <c r="BC131" i="19"/>
  <c r="BB131" i="19"/>
  <c r="BA131" i="19"/>
  <c r="BC130" i="19"/>
  <c r="BB130" i="19"/>
  <c r="BA130" i="19"/>
  <c r="BC129" i="19"/>
  <c r="BB129" i="19"/>
  <c r="BA129" i="19"/>
  <c r="BC128" i="19"/>
  <c r="BB128" i="19"/>
  <c r="BA128" i="19"/>
  <c r="BC127" i="19"/>
  <c r="BB127" i="19"/>
  <c r="BA127" i="19"/>
  <c r="BC126" i="19"/>
  <c r="BB126" i="19"/>
  <c r="BA126" i="19"/>
  <c r="BC125" i="19"/>
  <c r="BB125" i="19"/>
  <c r="BA125" i="19"/>
  <c r="BC124" i="19"/>
  <c r="BB124" i="19"/>
  <c r="BA124" i="19"/>
  <c r="BC123" i="19"/>
  <c r="BB123" i="19"/>
  <c r="BA123" i="19"/>
  <c r="BC122" i="19"/>
  <c r="BB122" i="19"/>
  <c r="BA122" i="19"/>
  <c r="BC120" i="19"/>
  <c r="BB120" i="19"/>
  <c r="BA120" i="19"/>
  <c r="BC119" i="19"/>
  <c r="BB119" i="19"/>
  <c r="BA119" i="19"/>
  <c r="BC118" i="19"/>
  <c r="BB118" i="19"/>
  <c r="BA118" i="19"/>
  <c r="BC117" i="19"/>
  <c r="BB117" i="19"/>
  <c r="BA117" i="19"/>
  <c r="BC116" i="19"/>
  <c r="BB116" i="19"/>
  <c r="BA116" i="19"/>
  <c r="BC115" i="19"/>
  <c r="BB115" i="19"/>
  <c r="BA115" i="19"/>
  <c r="BC113" i="19"/>
  <c r="BB113" i="19"/>
  <c r="BA113" i="19"/>
  <c r="BC112" i="19"/>
  <c r="BB112" i="19"/>
  <c r="BA112" i="19"/>
  <c r="BC111" i="19"/>
  <c r="BB111" i="19"/>
  <c r="BA111" i="19"/>
  <c r="BC110" i="19"/>
  <c r="BB110" i="19"/>
  <c r="BA110" i="19"/>
  <c r="BC109" i="19"/>
  <c r="BB109" i="19"/>
  <c r="BA109" i="19"/>
  <c r="BC108" i="19"/>
  <c r="BB108" i="19"/>
  <c r="BA108" i="19"/>
  <c r="BC106" i="19"/>
  <c r="BB106" i="19"/>
  <c r="BA106" i="19"/>
  <c r="BC105" i="19"/>
  <c r="BB105" i="19"/>
  <c r="BA105" i="19"/>
  <c r="BC104" i="19"/>
  <c r="BB104" i="19"/>
  <c r="BA104" i="19"/>
  <c r="BC103" i="19"/>
  <c r="BB103" i="19"/>
  <c r="BA103" i="19"/>
  <c r="BC102" i="19"/>
  <c r="BB102" i="19"/>
  <c r="BA102" i="19"/>
  <c r="BC101" i="19"/>
  <c r="BB101" i="19"/>
  <c r="BA101" i="19"/>
  <c r="BC100" i="19"/>
  <c r="BB100" i="19"/>
  <c r="BA100" i="19"/>
  <c r="BC99" i="19"/>
  <c r="BB99" i="19"/>
  <c r="BA99" i="19"/>
  <c r="BC98" i="19"/>
  <c r="BB98" i="19"/>
  <c r="BA98" i="19"/>
  <c r="BC97" i="19"/>
  <c r="BB97" i="19"/>
  <c r="BA97" i="19"/>
  <c r="BC96" i="19"/>
  <c r="BB96" i="19"/>
  <c r="BA96" i="19"/>
  <c r="AV99" i="19"/>
  <c r="AU99" i="19"/>
  <c r="AT99" i="19"/>
  <c r="AS99" i="19"/>
  <c r="AR99" i="19"/>
  <c r="AQ99" i="19" s="1"/>
  <c r="AP99" i="19" s="1"/>
  <c r="AV98" i="19"/>
  <c r="AU98" i="19"/>
  <c r="AT98" i="19"/>
  <c r="AS98" i="19"/>
  <c r="AQ98" i="19" s="1"/>
  <c r="AP98" i="19" s="1"/>
  <c r="AR98" i="19"/>
  <c r="AV97" i="19"/>
  <c r="AU97" i="19"/>
  <c r="AT97" i="19"/>
  <c r="AS97" i="19"/>
  <c r="AR97" i="19"/>
  <c r="AV96" i="19"/>
  <c r="AU96" i="19"/>
  <c r="AT96" i="19"/>
  <c r="AS96" i="19"/>
  <c r="AR96" i="19"/>
  <c r="AI90" i="19"/>
  <c r="S92" i="19"/>
  <c r="S91" i="19"/>
  <c r="S90" i="19"/>
  <c r="S89" i="19"/>
  <c r="AI89" i="19" s="1"/>
  <c r="F93" i="19"/>
  <c r="F92" i="19"/>
  <c r="F91" i="19"/>
  <c r="F90" i="19"/>
  <c r="F89" i="19"/>
  <c r="D91" i="19"/>
  <c r="H91" i="19" s="1"/>
  <c r="D89" i="19"/>
  <c r="H89" i="19" s="1"/>
  <c r="B93" i="19"/>
  <c r="B92" i="19"/>
  <c r="B91" i="19"/>
  <c r="B90" i="19"/>
  <c r="B89" i="19"/>
  <c r="A92" i="19"/>
  <c r="A91" i="19"/>
  <c r="A90" i="19"/>
  <c r="A89" i="19"/>
  <c r="AI84" i="19"/>
  <c r="S85" i="19"/>
  <c r="S84" i="19"/>
  <c r="S83" i="19"/>
  <c r="AI83" i="19" s="1"/>
  <c r="S82" i="19"/>
  <c r="F86" i="19"/>
  <c r="F85" i="19"/>
  <c r="F84" i="19"/>
  <c r="F83" i="19"/>
  <c r="F82" i="19"/>
  <c r="D85" i="19"/>
  <c r="H85" i="19" s="1"/>
  <c r="B86" i="19"/>
  <c r="B85" i="19"/>
  <c r="B84" i="19"/>
  <c r="B83" i="19"/>
  <c r="B82" i="19"/>
  <c r="Z84" i="19"/>
  <c r="AB83" i="2" s="1"/>
  <c r="J85" i="19"/>
  <c r="A85" i="19"/>
  <c r="A84" i="19"/>
  <c r="A83" i="19"/>
  <c r="A82" i="19"/>
  <c r="AI78" i="19"/>
  <c r="AI77" i="19"/>
  <c r="S78" i="19"/>
  <c r="S77" i="19"/>
  <c r="S76" i="19"/>
  <c r="S75" i="19"/>
  <c r="AI75" i="19" s="1"/>
  <c r="H77" i="19"/>
  <c r="H75" i="19"/>
  <c r="F79" i="19"/>
  <c r="F78" i="19"/>
  <c r="F77" i="19"/>
  <c r="F76" i="19"/>
  <c r="F75" i="19"/>
  <c r="D77" i="19"/>
  <c r="D75" i="19"/>
  <c r="B79" i="19"/>
  <c r="B78" i="19"/>
  <c r="B77" i="19"/>
  <c r="B76" i="19"/>
  <c r="B75" i="19"/>
  <c r="Z77" i="19"/>
  <c r="AB76" i="2" s="1"/>
  <c r="Z76" i="19"/>
  <c r="A78" i="19"/>
  <c r="A77" i="19"/>
  <c r="A76" i="19"/>
  <c r="A75" i="19"/>
  <c r="AI68" i="19"/>
  <c r="S71" i="19"/>
  <c r="D78" i="19" s="1"/>
  <c r="H78" i="19" s="1"/>
  <c r="S70" i="19"/>
  <c r="S69" i="19"/>
  <c r="S68" i="19"/>
  <c r="F72" i="19"/>
  <c r="F71" i="19"/>
  <c r="F70" i="19"/>
  <c r="F69" i="19"/>
  <c r="F68" i="19"/>
  <c r="D69" i="19"/>
  <c r="H69" i="19" s="1"/>
  <c r="B72" i="19"/>
  <c r="B71" i="19"/>
  <c r="B70" i="19"/>
  <c r="B69" i="19"/>
  <c r="B68" i="19"/>
  <c r="A71" i="19"/>
  <c r="A70" i="19"/>
  <c r="A69" i="19"/>
  <c r="A68" i="19"/>
  <c r="AI63" i="19"/>
  <c r="AI62" i="19"/>
  <c r="AI61" i="19"/>
  <c r="S64" i="19"/>
  <c r="AI64" i="19" s="1"/>
  <c r="S63" i="19"/>
  <c r="S62" i="19"/>
  <c r="S61" i="19"/>
  <c r="F65" i="19"/>
  <c r="F64" i="19"/>
  <c r="F63" i="19"/>
  <c r="F62" i="19"/>
  <c r="F61" i="19"/>
  <c r="D62" i="19"/>
  <c r="H62" i="19" s="1"/>
  <c r="B65" i="19"/>
  <c r="B64" i="19"/>
  <c r="B63" i="19"/>
  <c r="B62" i="19"/>
  <c r="B61" i="19"/>
  <c r="A64" i="19"/>
  <c r="A63" i="19"/>
  <c r="A62" i="19"/>
  <c r="A61" i="19"/>
  <c r="AI55" i="19"/>
  <c r="S57" i="19"/>
  <c r="AI57" i="19" s="1"/>
  <c r="S56" i="19"/>
  <c r="AI56" i="19" s="1"/>
  <c r="S55" i="19"/>
  <c r="D55" i="19" s="1"/>
  <c r="H55" i="19" s="1"/>
  <c r="S54" i="19"/>
  <c r="F58" i="19"/>
  <c r="F57" i="19"/>
  <c r="F56" i="19"/>
  <c r="F55" i="19"/>
  <c r="F54" i="19"/>
  <c r="D56" i="19"/>
  <c r="H56" i="19" s="1"/>
  <c r="D54" i="19"/>
  <c r="H54" i="19" s="1"/>
  <c r="B58" i="19"/>
  <c r="B57" i="19"/>
  <c r="B56" i="19"/>
  <c r="B55" i="19"/>
  <c r="B54" i="19"/>
  <c r="A57" i="19"/>
  <c r="A56" i="19"/>
  <c r="A55" i="19"/>
  <c r="A54" i="19"/>
  <c r="AI47" i="19"/>
  <c r="S50" i="19"/>
  <c r="D57" i="19" s="1"/>
  <c r="H57" i="19" s="1"/>
  <c r="S49" i="19"/>
  <c r="AI49" i="19" s="1"/>
  <c r="S48" i="19"/>
  <c r="AI48" i="19" s="1"/>
  <c r="S47" i="19"/>
  <c r="S51" i="19" s="1"/>
  <c r="H48" i="19"/>
  <c r="F51" i="19"/>
  <c r="F50" i="19"/>
  <c r="F49" i="19"/>
  <c r="F48" i="19"/>
  <c r="F47" i="19"/>
  <c r="D50" i="19"/>
  <c r="H50" i="19" s="1"/>
  <c r="D48" i="19"/>
  <c r="B51" i="19"/>
  <c r="B50" i="19"/>
  <c r="B49" i="19"/>
  <c r="B48" i="19"/>
  <c r="B47" i="19"/>
  <c r="A50" i="19"/>
  <c r="A49" i="19"/>
  <c r="A48" i="19"/>
  <c r="A47" i="19"/>
  <c r="AI41" i="19"/>
  <c r="AI40" i="19"/>
  <c r="S43" i="19"/>
  <c r="AI43" i="19" s="1"/>
  <c r="S42" i="19"/>
  <c r="AI42" i="19" s="1"/>
  <c r="S41" i="19"/>
  <c r="S40" i="19"/>
  <c r="S44" i="19" s="1"/>
  <c r="F44" i="19"/>
  <c r="F43" i="19"/>
  <c r="F42" i="19"/>
  <c r="F41" i="19"/>
  <c r="F40" i="19"/>
  <c r="D41" i="19"/>
  <c r="H41" i="19" s="1"/>
  <c r="D40" i="19"/>
  <c r="H40" i="19" s="1"/>
  <c r="Z43" i="19"/>
  <c r="J42" i="19"/>
  <c r="V41" i="2" s="1"/>
  <c r="AI34" i="19"/>
  <c r="AI33" i="19"/>
  <c r="S36" i="19"/>
  <c r="AI36" i="19" s="1"/>
  <c r="S35" i="19"/>
  <c r="AI35" i="19" s="1"/>
  <c r="S34" i="19"/>
  <c r="S33" i="19"/>
  <c r="S37" i="19" s="1"/>
  <c r="F37" i="19"/>
  <c r="F36" i="19"/>
  <c r="F35" i="19"/>
  <c r="F34" i="19"/>
  <c r="F33" i="19"/>
  <c r="D33" i="19"/>
  <c r="H33" i="19" s="1"/>
  <c r="B37" i="19"/>
  <c r="B36" i="19"/>
  <c r="B35" i="19"/>
  <c r="B34" i="19"/>
  <c r="B33" i="19"/>
  <c r="J33" i="19"/>
  <c r="V32" i="2" s="1"/>
  <c r="A36" i="19"/>
  <c r="A35" i="19"/>
  <c r="A34" i="19"/>
  <c r="A33" i="19"/>
  <c r="AI28" i="19"/>
  <c r="AI27" i="19"/>
  <c r="S29" i="19"/>
  <c r="S28" i="19"/>
  <c r="S27" i="19"/>
  <c r="S26" i="19"/>
  <c r="F30" i="19"/>
  <c r="F29" i="19"/>
  <c r="F28" i="19"/>
  <c r="F27" i="19"/>
  <c r="F26" i="19"/>
  <c r="B30" i="19"/>
  <c r="B29" i="19"/>
  <c r="B28" i="19"/>
  <c r="B27" i="19"/>
  <c r="B26" i="19"/>
  <c r="A29" i="19"/>
  <c r="A28" i="19"/>
  <c r="A27" i="19"/>
  <c r="A26" i="19"/>
  <c r="AI21" i="19"/>
  <c r="AI19" i="19"/>
  <c r="S22" i="19"/>
  <c r="S21" i="19"/>
  <c r="D28" i="19" s="1"/>
  <c r="S20" i="19"/>
  <c r="D27" i="19" s="1"/>
  <c r="H27" i="19" s="1"/>
  <c r="S19" i="19"/>
  <c r="H20" i="19"/>
  <c r="F23" i="19"/>
  <c r="F22" i="19"/>
  <c r="F21" i="19"/>
  <c r="F20" i="19"/>
  <c r="F19" i="19"/>
  <c r="D20" i="19"/>
  <c r="B23" i="19"/>
  <c r="B22" i="19"/>
  <c r="B21" i="19"/>
  <c r="B20" i="19"/>
  <c r="B19" i="19"/>
  <c r="B18" i="19"/>
  <c r="B25" i="19" s="1"/>
  <c r="B32" i="19" s="1"/>
  <c r="B39" i="19" s="1"/>
  <c r="B46" i="19" s="1"/>
  <c r="B53" i="19" s="1"/>
  <c r="B60" i="19" s="1"/>
  <c r="B67" i="19" s="1"/>
  <c r="B74" i="19" s="1"/>
  <c r="B81" i="19" s="1"/>
  <c r="B88" i="19" s="1"/>
  <c r="A22" i="19"/>
  <c r="A21" i="19"/>
  <c r="A20" i="19"/>
  <c r="A19" i="19"/>
  <c r="AI13" i="19"/>
  <c r="S15" i="19"/>
  <c r="AI15" i="19" s="1"/>
  <c r="S14" i="19"/>
  <c r="D21" i="19" s="1"/>
  <c r="H21" i="19" s="1"/>
  <c r="S13" i="19"/>
  <c r="S12" i="19"/>
  <c r="D19" i="19" s="1"/>
  <c r="H19" i="19" s="1"/>
  <c r="F16" i="19"/>
  <c r="F15" i="19"/>
  <c r="F14" i="19"/>
  <c r="F13" i="19"/>
  <c r="F12" i="19"/>
  <c r="D16" i="19"/>
  <c r="H16" i="19" s="1"/>
  <c r="D15" i="19"/>
  <c r="D14" i="19"/>
  <c r="H14" i="19" s="1"/>
  <c r="D13" i="19"/>
  <c r="H13" i="19" s="1"/>
  <c r="D12" i="19"/>
  <c r="H12" i="19" s="1"/>
  <c r="B16" i="19"/>
  <c r="B15" i="19"/>
  <c r="B14" i="19"/>
  <c r="B13" i="19"/>
  <c r="B12" i="19"/>
  <c r="J15" i="19"/>
  <c r="A15" i="19"/>
  <c r="A14" i="19"/>
  <c r="A13" i="19"/>
  <c r="A12" i="19"/>
  <c r="A1" i="19"/>
  <c r="DM68" i="30"/>
  <c r="DL68" i="30"/>
  <c r="DK68" i="30"/>
  <c r="DJ68" i="30"/>
  <c r="DI68" i="30"/>
  <c r="DH68" i="30"/>
  <c r="DG68" i="30"/>
  <c r="DF68" i="30"/>
  <c r="DE68" i="30"/>
  <c r="DD68" i="30"/>
  <c r="DC68" i="30"/>
  <c r="DD67" i="30"/>
  <c r="CW66" i="30"/>
  <c r="CV66" i="30"/>
  <c r="CU66" i="30"/>
  <c r="CT66" i="30"/>
  <c r="CR66" i="30"/>
  <c r="CQ66" i="30"/>
  <c r="CP66" i="30"/>
  <c r="CO66" i="30"/>
  <c r="CM66" i="30"/>
  <c r="CL66" i="30"/>
  <c r="CK66" i="30"/>
  <c r="CJ66" i="30"/>
  <c r="CH66" i="30"/>
  <c r="CG66" i="30"/>
  <c r="CF66" i="30"/>
  <c r="CE66" i="30"/>
  <c r="CC66" i="30"/>
  <c r="CB66" i="30"/>
  <c r="CA66" i="30"/>
  <c r="BZ66" i="30"/>
  <c r="BX66" i="30"/>
  <c r="BW66" i="30"/>
  <c r="BV66" i="30"/>
  <c r="BU66" i="30"/>
  <c r="BS66" i="30"/>
  <c r="BR66" i="30"/>
  <c r="BQ66" i="30"/>
  <c r="BP66" i="30"/>
  <c r="BN66" i="30"/>
  <c r="BM66" i="30"/>
  <c r="BL66" i="30"/>
  <c r="BK66" i="30"/>
  <c r="BI66" i="30"/>
  <c r="BH66" i="30"/>
  <c r="BG66" i="30"/>
  <c r="BF66" i="30"/>
  <c r="BD70" i="30"/>
  <c r="BC70" i="30"/>
  <c r="BB70" i="30"/>
  <c r="BA70" i="30"/>
  <c r="BD69" i="30"/>
  <c r="BC69" i="30"/>
  <c r="BB69" i="30"/>
  <c r="BA69" i="30"/>
  <c r="BD68" i="30"/>
  <c r="BC68" i="30"/>
  <c r="BB68" i="30"/>
  <c r="BA68" i="30"/>
  <c r="BD66" i="30"/>
  <c r="BC66" i="30"/>
  <c r="BB66" i="30"/>
  <c r="BA66" i="30"/>
  <c r="AY70" i="30"/>
  <c r="AX70" i="30"/>
  <c r="AW70" i="30"/>
  <c r="AV70" i="30"/>
  <c r="AY69" i="30"/>
  <c r="AX69" i="30"/>
  <c r="AW69" i="30"/>
  <c r="AV69" i="30"/>
  <c r="AY68" i="30"/>
  <c r="AX68" i="30"/>
  <c r="AW68" i="30"/>
  <c r="AV68" i="30"/>
  <c r="AY66" i="30"/>
  <c r="AX66" i="30"/>
  <c r="AW66" i="30"/>
  <c r="AV66" i="30"/>
  <c r="AT70" i="30"/>
  <c r="AS70" i="30"/>
  <c r="AR70" i="30"/>
  <c r="AQ70" i="30"/>
  <c r="AT69" i="30"/>
  <c r="AS69" i="30"/>
  <c r="AR69" i="30"/>
  <c r="AQ69" i="30"/>
  <c r="AT68" i="30"/>
  <c r="AS68" i="30"/>
  <c r="AR68" i="30"/>
  <c r="AQ68" i="30"/>
  <c r="AT66" i="30"/>
  <c r="AS66" i="30"/>
  <c r="AQ66" i="30"/>
  <c r="AO70" i="30"/>
  <c r="AN70" i="30"/>
  <c r="AM70" i="30"/>
  <c r="AL70" i="30"/>
  <c r="AO69" i="30"/>
  <c r="AN69" i="30"/>
  <c r="AM69" i="30"/>
  <c r="AL69" i="30"/>
  <c r="AO68" i="30"/>
  <c r="AN68" i="30"/>
  <c r="AM68" i="30"/>
  <c r="AL68" i="30"/>
  <c r="AN66" i="30"/>
  <c r="AM66" i="30"/>
  <c r="AL66" i="30"/>
  <c r="AJ70" i="30"/>
  <c r="AI70" i="30"/>
  <c r="AH70" i="30"/>
  <c r="AG70" i="30"/>
  <c r="AJ69" i="30"/>
  <c r="AI69" i="30"/>
  <c r="AH69" i="30"/>
  <c r="AG69" i="30"/>
  <c r="AJ68" i="30"/>
  <c r="AI68" i="30"/>
  <c r="AH68" i="30"/>
  <c r="AG68" i="30"/>
  <c r="AE70" i="30"/>
  <c r="AD70" i="30"/>
  <c r="AC70" i="30"/>
  <c r="AB70" i="30"/>
  <c r="AE69" i="30"/>
  <c r="AD69" i="30"/>
  <c r="AC69" i="30"/>
  <c r="AB69" i="30"/>
  <c r="AE68" i="30"/>
  <c r="AD68" i="30"/>
  <c r="AC68" i="30"/>
  <c r="AB68" i="30"/>
  <c r="Z70" i="30"/>
  <c r="Y70" i="30"/>
  <c r="X70" i="30"/>
  <c r="W70" i="30"/>
  <c r="Z69" i="30"/>
  <c r="Y69" i="30"/>
  <c r="X69" i="30"/>
  <c r="W69" i="30"/>
  <c r="Z68" i="30"/>
  <c r="Y68" i="30"/>
  <c r="X68" i="30"/>
  <c r="W68" i="30"/>
  <c r="U70" i="30"/>
  <c r="T70" i="30"/>
  <c r="S70" i="30"/>
  <c r="R70" i="30"/>
  <c r="U69" i="30"/>
  <c r="T69" i="30"/>
  <c r="S69" i="30"/>
  <c r="R69" i="30"/>
  <c r="U68" i="30"/>
  <c r="T68" i="30"/>
  <c r="S68" i="30"/>
  <c r="R68" i="30"/>
  <c r="P70" i="30"/>
  <c r="O70" i="30"/>
  <c r="N70" i="30"/>
  <c r="M70" i="30"/>
  <c r="P69" i="30"/>
  <c r="O69" i="30"/>
  <c r="N69" i="30"/>
  <c r="M69" i="30"/>
  <c r="P68" i="30"/>
  <c r="O68" i="30"/>
  <c r="N68" i="30"/>
  <c r="M68" i="30"/>
  <c r="K70" i="30"/>
  <c r="J70" i="30"/>
  <c r="I70" i="30"/>
  <c r="H70" i="30"/>
  <c r="K69" i="30"/>
  <c r="J69" i="30"/>
  <c r="I69" i="30"/>
  <c r="H69" i="30"/>
  <c r="K68" i="30"/>
  <c r="J68" i="30"/>
  <c r="I68" i="30"/>
  <c r="H68" i="30"/>
  <c r="K67" i="30"/>
  <c r="J66" i="30"/>
  <c r="F70" i="30"/>
  <c r="E70" i="30"/>
  <c r="D70" i="30"/>
  <c r="C70" i="30"/>
  <c r="F69" i="30"/>
  <c r="E69" i="30"/>
  <c r="D69" i="30"/>
  <c r="C69" i="30"/>
  <c r="F68" i="30"/>
  <c r="E68" i="30"/>
  <c r="D68" i="30"/>
  <c r="C68" i="30"/>
  <c r="E66" i="30"/>
  <c r="D66" i="30"/>
  <c r="DT61" i="30"/>
  <c r="DQ61" i="30"/>
  <c r="DQ66" i="30" s="1"/>
  <c r="DP61" i="30"/>
  <c r="DP62" i="30" s="1"/>
  <c r="DO61" i="30"/>
  <c r="DO66" i="30" s="1"/>
  <c r="DM61" i="30"/>
  <c r="DM66" i="30" s="1"/>
  <c r="DG60" i="30"/>
  <c r="CE55" i="30"/>
  <c r="CE54" i="30"/>
  <c r="CE52" i="30"/>
  <c r="CL55" i="30"/>
  <c r="CK55" i="30"/>
  <c r="CJ55" i="30"/>
  <c r="CL54" i="30"/>
  <c r="CK54" i="30"/>
  <c r="CJ54" i="30"/>
  <c r="DY52" i="30"/>
  <c r="DX52" i="30"/>
  <c r="DW52" i="30"/>
  <c r="DV52" i="30"/>
  <c r="DU52" i="30"/>
  <c r="DT52" i="30"/>
  <c r="DS52" i="30"/>
  <c r="DR52" i="30"/>
  <c r="DQ52" i="30"/>
  <c r="DP52" i="30"/>
  <c r="DO52" i="30"/>
  <c r="DN52" i="30"/>
  <c r="DM52" i="30"/>
  <c r="DL52" i="30"/>
  <c r="DK52" i="30"/>
  <c r="DJ52" i="30"/>
  <c r="DI52" i="30"/>
  <c r="DH52" i="30"/>
  <c r="DG52" i="30"/>
  <c r="DF52" i="30"/>
  <c r="DE52" i="30"/>
  <c r="CK52" i="30"/>
  <c r="CJ52" i="30"/>
  <c r="BX55" i="30"/>
  <c r="BW55" i="30"/>
  <c r="BV55" i="30"/>
  <c r="BU55" i="30"/>
  <c r="BX54" i="30"/>
  <c r="BW54" i="30"/>
  <c r="BV54" i="30"/>
  <c r="BU54" i="30"/>
  <c r="BX52" i="30"/>
  <c r="BW52" i="30"/>
  <c r="BV52" i="30"/>
  <c r="BU52" i="30"/>
  <c r="BS55" i="30"/>
  <c r="BQ55" i="30"/>
  <c r="BP55" i="30"/>
  <c r="BS54" i="30"/>
  <c r="BR54" i="30"/>
  <c r="BQ54" i="30"/>
  <c r="BP54" i="30"/>
  <c r="BS52" i="30"/>
  <c r="BR52" i="30"/>
  <c r="BQ52" i="30"/>
  <c r="BP52" i="30"/>
  <c r="BN55" i="30"/>
  <c r="BL55" i="30"/>
  <c r="BN54" i="30"/>
  <c r="BM54" i="30"/>
  <c r="BL54" i="30"/>
  <c r="BK54" i="30"/>
  <c r="BN52" i="30"/>
  <c r="BM52" i="30"/>
  <c r="BL52" i="30"/>
  <c r="BK52" i="30"/>
  <c r="U45" i="30"/>
  <c r="DT45" i="30"/>
  <c r="DS45" i="30"/>
  <c r="DR45" i="30"/>
  <c r="DQ45" i="30"/>
  <c r="DP45" i="30"/>
  <c r="DO45" i="30"/>
  <c r="DN45" i="30"/>
  <c r="DM45" i="30"/>
  <c r="DL45" i="30"/>
  <c r="DK45" i="30"/>
  <c r="DJ45" i="30"/>
  <c r="DH45" i="30"/>
  <c r="DG45" i="30"/>
  <c r="DF45" i="30"/>
  <c r="DE45" i="30"/>
  <c r="DD45" i="30"/>
  <c r="DC45" i="30"/>
  <c r="DB45" i="30"/>
  <c r="DA45" i="30"/>
  <c r="CZ45" i="30"/>
  <c r="CQ45" i="30"/>
  <c r="CP45" i="30"/>
  <c r="CO45" i="30"/>
  <c r="CM45" i="30"/>
  <c r="CL45" i="30"/>
  <c r="CK45" i="30"/>
  <c r="CJ45" i="30"/>
  <c r="CH45" i="30"/>
  <c r="CG45" i="30"/>
  <c r="CF45" i="30"/>
  <c r="CE45" i="30"/>
  <c r="CC45" i="30"/>
  <c r="CB45" i="30"/>
  <c r="CA45" i="30"/>
  <c r="BZ45" i="30"/>
  <c r="BX45" i="30"/>
  <c r="BW45" i="30"/>
  <c r="BV45" i="30"/>
  <c r="BU45" i="30"/>
  <c r="BS45" i="30"/>
  <c r="BR45" i="30"/>
  <c r="BQ45" i="30"/>
  <c r="BP45" i="30"/>
  <c r="BN45" i="30"/>
  <c r="BM45" i="30"/>
  <c r="BL45" i="30"/>
  <c r="BK45" i="30"/>
  <c r="BI45" i="30"/>
  <c r="BH45" i="30"/>
  <c r="BG45" i="30"/>
  <c r="BF45" i="30"/>
  <c r="BD45" i="30"/>
  <c r="BC45" i="30"/>
  <c r="BB45" i="30"/>
  <c r="BA45" i="30"/>
  <c r="AY45" i="30"/>
  <c r="AX45" i="30"/>
  <c r="AW45" i="30"/>
  <c r="AV45" i="30"/>
  <c r="AT45" i="30"/>
  <c r="AS45" i="30"/>
  <c r="AR45" i="30"/>
  <c r="AQ45" i="30"/>
  <c r="AO45" i="30"/>
  <c r="AN45" i="30"/>
  <c r="AM45" i="30"/>
  <c r="AL45" i="30"/>
  <c r="AJ45" i="30"/>
  <c r="AI45" i="30"/>
  <c r="AH45" i="30"/>
  <c r="AG45" i="30"/>
  <c r="AE45" i="30"/>
  <c r="AD45" i="30"/>
  <c r="AC45" i="30"/>
  <c r="AB45" i="30"/>
  <c r="Z45" i="30"/>
  <c r="Y45" i="30"/>
  <c r="X45" i="30"/>
  <c r="W45" i="30"/>
  <c r="T45" i="30"/>
  <c r="S45" i="30"/>
  <c r="R45" i="30"/>
  <c r="P45" i="30"/>
  <c r="O45" i="30"/>
  <c r="N45" i="30"/>
  <c r="M45" i="30"/>
  <c r="M44" i="30"/>
  <c r="K45" i="30"/>
  <c r="J45" i="30"/>
  <c r="I45" i="30"/>
  <c r="H45" i="30"/>
  <c r="E47" i="30"/>
  <c r="D47" i="30"/>
  <c r="F46" i="30"/>
  <c r="E46" i="30"/>
  <c r="D46" i="30"/>
  <c r="C46" i="30"/>
  <c r="F45" i="30"/>
  <c r="E45" i="30"/>
  <c r="D45" i="30"/>
  <c r="C45" i="30"/>
  <c r="F44" i="30"/>
  <c r="E44" i="30"/>
  <c r="D44" i="30"/>
  <c r="C44" i="30"/>
  <c r="DN30" i="30"/>
  <c r="DF30" i="30"/>
  <c r="DE30" i="30"/>
  <c r="DD30" i="30"/>
  <c r="DM29" i="30"/>
  <c r="DL29" i="30"/>
  <c r="DK29" i="30"/>
  <c r="DJ29" i="30"/>
  <c r="DI29" i="30"/>
  <c r="DH29" i="30"/>
  <c r="DT28" i="30"/>
  <c r="DQ28" i="30"/>
  <c r="DP28" i="30"/>
  <c r="DO28" i="30"/>
  <c r="DN28" i="30"/>
  <c r="DM28" i="30"/>
  <c r="DL28" i="30"/>
  <c r="DK28" i="30"/>
  <c r="DJ28" i="30"/>
  <c r="DI28" i="30"/>
  <c r="DH28" i="30"/>
  <c r="DG28" i="30"/>
  <c r="DE28" i="30"/>
  <c r="DD28" i="30"/>
  <c r="CW30" i="30"/>
  <c r="CV30" i="30"/>
  <c r="CT30" i="30"/>
  <c r="CR30" i="30"/>
  <c r="CQ30" i="30"/>
  <c r="CO30" i="30"/>
  <c r="CM30" i="30"/>
  <c r="CL30" i="30"/>
  <c r="CJ30" i="30"/>
  <c r="CH30" i="30"/>
  <c r="CG30" i="30"/>
  <c r="CE30" i="30"/>
  <c r="CC30" i="30"/>
  <c r="CB30" i="30"/>
  <c r="BZ30" i="30"/>
  <c r="BX30" i="30"/>
  <c r="BW30" i="30"/>
  <c r="BU30" i="30"/>
  <c r="BS30" i="30"/>
  <c r="BR30" i="30"/>
  <c r="BP30" i="30"/>
  <c r="BS29" i="30"/>
  <c r="BR29" i="30"/>
  <c r="BQ29" i="30"/>
  <c r="BP29" i="30"/>
  <c r="BS28" i="30"/>
  <c r="BR28" i="30"/>
  <c r="BQ28" i="30"/>
  <c r="BP28" i="30"/>
  <c r="BN30" i="30"/>
  <c r="BM30" i="30"/>
  <c r="BL30" i="30"/>
  <c r="BK30" i="30"/>
  <c r="BN28" i="30"/>
  <c r="BM28" i="30"/>
  <c r="BL28" i="30"/>
  <c r="BK28" i="30"/>
  <c r="BI30" i="30"/>
  <c r="BH30" i="30"/>
  <c r="BG30" i="30"/>
  <c r="BF30" i="30"/>
  <c r="BH29" i="30"/>
  <c r="BG29" i="30"/>
  <c r="BF29" i="30"/>
  <c r="BI28" i="30"/>
  <c r="BH28" i="30"/>
  <c r="BG28" i="30"/>
  <c r="BF28" i="30"/>
  <c r="BD30" i="30"/>
  <c r="BC30" i="30"/>
  <c r="BB30" i="30"/>
  <c r="BA30" i="30"/>
  <c r="BD29" i="30"/>
  <c r="BC29" i="30"/>
  <c r="BB29" i="30"/>
  <c r="BA29" i="30"/>
  <c r="BD28" i="30"/>
  <c r="BC28" i="30"/>
  <c r="BB28" i="30"/>
  <c r="BA28" i="30"/>
  <c r="AY30" i="30"/>
  <c r="AX30" i="30"/>
  <c r="AW30" i="30"/>
  <c r="AV30" i="30"/>
  <c r="AY29" i="30"/>
  <c r="AX29" i="30"/>
  <c r="AW29" i="30"/>
  <c r="AV29" i="30"/>
  <c r="AY28" i="30"/>
  <c r="AX28" i="30"/>
  <c r="AW28" i="30"/>
  <c r="AV28" i="30"/>
  <c r="AT30" i="30"/>
  <c r="AS30" i="30"/>
  <c r="AR30" i="30"/>
  <c r="AQ30" i="30"/>
  <c r="AT29" i="30"/>
  <c r="AS29" i="30"/>
  <c r="AR29" i="30"/>
  <c r="AQ29" i="30"/>
  <c r="AT28" i="30"/>
  <c r="AS28" i="30"/>
  <c r="AR28" i="30"/>
  <c r="AQ28" i="30"/>
  <c r="AO30" i="30"/>
  <c r="AN30" i="30"/>
  <c r="AM30" i="30"/>
  <c r="AL30" i="30"/>
  <c r="AO29" i="30"/>
  <c r="AN29" i="30"/>
  <c r="AM29" i="30"/>
  <c r="AL29" i="30"/>
  <c r="AO28" i="30"/>
  <c r="AN28" i="30"/>
  <c r="AM28" i="30"/>
  <c r="AL28" i="30"/>
  <c r="AJ30" i="30"/>
  <c r="AI30" i="30"/>
  <c r="AH30" i="30"/>
  <c r="AG30" i="30"/>
  <c r="AJ29" i="30"/>
  <c r="AI29" i="30"/>
  <c r="AH29" i="30"/>
  <c r="AG29" i="30"/>
  <c r="AJ28" i="30"/>
  <c r="AI28" i="30"/>
  <c r="AH28" i="30"/>
  <c r="AG28" i="30"/>
  <c r="AE30" i="30"/>
  <c r="AD30" i="30"/>
  <c r="AC30" i="30"/>
  <c r="AB30" i="30"/>
  <c r="AE29" i="30"/>
  <c r="AD29" i="30"/>
  <c r="AC29" i="30"/>
  <c r="AB29" i="30"/>
  <c r="AE28" i="30"/>
  <c r="AD28" i="30"/>
  <c r="AC28" i="30"/>
  <c r="AB28" i="30"/>
  <c r="Z30" i="30"/>
  <c r="Y30" i="30"/>
  <c r="X30" i="30"/>
  <c r="W30" i="30"/>
  <c r="Z29" i="30"/>
  <c r="Y29" i="30"/>
  <c r="X29" i="30"/>
  <c r="W29" i="30"/>
  <c r="Z28" i="30"/>
  <c r="Y28" i="30"/>
  <c r="X28" i="30"/>
  <c r="W28" i="30"/>
  <c r="U30" i="30"/>
  <c r="T30" i="30"/>
  <c r="S30" i="30"/>
  <c r="R30" i="30"/>
  <c r="U29" i="30"/>
  <c r="T29" i="30"/>
  <c r="S29" i="30"/>
  <c r="R29" i="30"/>
  <c r="U28" i="30"/>
  <c r="T28" i="30"/>
  <c r="S28" i="30"/>
  <c r="R28" i="30"/>
  <c r="P30" i="30"/>
  <c r="O30" i="30"/>
  <c r="N30" i="30"/>
  <c r="M30" i="30"/>
  <c r="P29" i="30"/>
  <c r="O29" i="30"/>
  <c r="N29" i="30"/>
  <c r="M29" i="30"/>
  <c r="P28" i="30"/>
  <c r="O28" i="30"/>
  <c r="N28" i="30"/>
  <c r="M28" i="30"/>
  <c r="K30" i="30"/>
  <c r="J30" i="30"/>
  <c r="I30" i="30"/>
  <c r="H30" i="30"/>
  <c r="K29" i="30"/>
  <c r="J29" i="30"/>
  <c r="I29" i="30"/>
  <c r="H29" i="30"/>
  <c r="K28" i="30"/>
  <c r="J28" i="30"/>
  <c r="I28" i="30"/>
  <c r="H28" i="30"/>
  <c r="F30" i="30"/>
  <c r="E30" i="30"/>
  <c r="D30" i="30"/>
  <c r="C30" i="30"/>
  <c r="F29" i="30"/>
  <c r="F28" i="30"/>
  <c r="E28" i="30"/>
  <c r="D28" i="30"/>
  <c r="C28" i="30"/>
  <c r="AT24" i="30"/>
  <c r="AT23" i="30"/>
  <c r="AR24" i="30"/>
  <c r="DK24" i="30" s="1"/>
  <c r="AQ24" i="30"/>
  <c r="BS23" i="30"/>
  <c r="BR23" i="30"/>
  <c r="BQ23" i="30"/>
  <c r="BP23" i="30"/>
  <c r="BN23" i="30"/>
  <c r="BM23" i="30"/>
  <c r="BL23" i="30"/>
  <c r="BH23" i="30"/>
  <c r="BG23" i="30"/>
  <c r="BF23" i="30"/>
  <c r="BD23" i="30"/>
  <c r="BC23" i="30"/>
  <c r="BB23" i="30"/>
  <c r="BA23" i="30"/>
  <c r="AY23" i="30"/>
  <c r="AX23" i="30"/>
  <c r="AW23" i="30"/>
  <c r="AV23" i="30"/>
  <c r="AS23" i="30"/>
  <c r="AR23" i="30"/>
  <c r="AQ23" i="30"/>
  <c r="AO23" i="30"/>
  <c r="AN23" i="30"/>
  <c r="AM23" i="30"/>
  <c r="AL23" i="30"/>
  <c r="AJ23" i="30"/>
  <c r="AI23" i="30"/>
  <c r="AH23" i="30"/>
  <c r="AG23" i="30"/>
  <c r="AE23" i="30"/>
  <c r="AD23" i="30"/>
  <c r="AC23" i="30"/>
  <c r="AB23" i="30"/>
  <c r="Z23" i="30"/>
  <c r="Y23" i="30"/>
  <c r="X23" i="30"/>
  <c r="W23" i="30"/>
  <c r="U23" i="30"/>
  <c r="T23" i="30"/>
  <c r="S23" i="30"/>
  <c r="R23" i="30"/>
  <c r="P23" i="30"/>
  <c r="O23" i="30"/>
  <c r="N23" i="30"/>
  <c r="M23" i="30"/>
  <c r="K23" i="30"/>
  <c r="J23" i="30"/>
  <c r="I23" i="30"/>
  <c r="H23" i="30"/>
  <c r="F23" i="30"/>
  <c r="E23" i="30"/>
  <c r="D23" i="30"/>
  <c r="C23" i="30"/>
  <c r="BS19" i="30"/>
  <c r="BR19" i="30"/>
  <c r="BQ19" i="30"/>
  <c r="BP19" i="30"/>
  <c r="BN19" i="30"/>
  <c r="BM19" i="30"/>
  <c r="BL19" i="30"/>
  <c r="BK19" i="30"/>
  <c r="BI19" i="30"/>
  <c r="BH19" i="30"/>
  <c r="BG19" i="30"/>
  <c r="BF19" i="30"/>
  <c r="BD19" i="30"/>
  <c r="BC19" i="30"/>
  <c r="BB19" i="30"/>
  <c r="BA19" i="30"/>
  <c r="AY19" i="30"/>
  <c r="AX19" i="30"/>
  <c r="AW19" i="30"/>
  <c r="AV19" i="30"/>
  <c r="AT19" i="30"/>
  <c r="AS19" i="30"/>
  <c r="AR19" i="30"/>
  <c r="AQ19" i="30"/>
  <c r="AO19" i="30"/>
  <c r="AN19" i="30"/>
  <c r="AM19" i="30"/>
  <c r="AL19" i="30"/>
  <c r="AJ19" i="30"/>
  <c r="AI19" i="30"/>
  <c r="AH19" i="30"/>
  <c r="AG19" i="30"/>
  <c r="AE19" i="30"/>
  <c r="AD19" i="30"/>
  <c r="AC19" i="30"/>
  <c r="AB19" i="30"/>
  <c r="Z19" i="30"/>
  <c r="Y19" i="30"/>
  <c r="X19" i="30"/>
  <c r="W19" i="30"/>
  <c r="U19" i="30"/>
  <c r="T19" i="30"/>
  <c r="S19" i="30"/>
  <c r="R19" i="30"/>
  <c r="P19" i="30"/>
  <c r="O19" i="30"/>
  <c r="N19" i="30"/>
  <c r="M19" i="30"/>
  <c r="K19" i="30"/>
  <c r="J19" i="30"/>
  <c r="I19" i="30"/>
  <c r="H19" i="30"/>
  <c r="F19" i="30"/>
  <c r="E19" i="30"/>
  <c r="D19" i="30"/>
  <c r="C19" i="30"/>
  <c r="DT16" i="30"/>
  <c r="DS16" i="30"/>
  <c r="DR16" i="30"/>
  <c r="DQ16" i="30"/>
  <c r="DP16" i="30"/>
  <c r="DO16" i="30"/>
  <c r="DN16" i="30"/>
  <c r="DM16" i="30"/>
  <c r="DL16" i="30"/>
  <c r="DK16" i="30"/>
  <c r="DJ16" i="30"/>
  <c r="DI16" i="30"/>
  <c r="DH16" i="30"/>
  <c r="DG16" i="30"/>
  <c r="DF16" i="30"/>
  <c r="DE16" i="30"/>
  <c r="DD16" i="30"/>
  <c r="DC16" i="30"/>
  <c r="DB16" i="30"/>
  <c r="DA16" i="30"/>
  <c r="CZ16" i="30"/>
  <c r="BQ16" i="30"/>
  <c r="BP16" i="30"/>
  <c r="BN16" i="30"/>
  <c r="BM16" i="30"/>
  <c r="BL16" i="30"/>
  <c r="BK16" i="30"/>
  <c r="BG16" i="30"/>
  <c r="BF16" i="30"/>
  <c r="BB16" i="30"/>
  <c r="BA16" i="30"/>
  <c r="AW16" i="30"/>
  <c r="AV16" i="30"/>
  <c r="AR16" i="30"/>
  <c r="AQ16" i="30"/>
  <c r="AO16" i="30"/>
  <c r="AN16" i="30"/>
  <c r="AM16" i="30"/>
  <c r="AL16" i="30"/>
  <c r="AJ16" i="30"/>
  <c r="AI16" i="30"/>
  <c r="AH16" i="30"/>
  <c r="AG16" i="30"/>
  <c r="AE16" i="30"/>
  <c r="AD16" i="30"/>
  <c r="AC16" i="30"/>
  <c r="AB16" i="30"/>
  <c r="Z16" i="30"/>
  <c r="Y16" i="30"/>
  <c r="X16" i="30"/>
  <c r="W16" i="30"/>
  <c r="U16" i="30"/>
  <c r="T16" i="30"/>
  <c r="S16" i="30"/>
  <c r="R16" i="30"/>
  <c r="P16" i="30"/>
  <c r="O16" i="30"/>
  <c r="N16" i="30"/>
  <c r="M16" i="30"/>
  <c r="BS14" i="30"/>
  <c r="BR14" i="30"/>
  <c r="BQ14" i="30"/>
  <c r="BP14" i="30"/>
  <c r="BN14" i="30"/>
  <c r="BM14" i="30"/>
  <c r="BL14" i="30"/>
  <c r="BK14" i="30"/>
  <c r="BI14" i="30"/>
  <c r="BH14" i="30"/>
  <c r="BG14" i="30"/>
  <c r="BF14" i="30"/>
  <c r="BD14" i="30"/>
  <c r="BC14" i="30"/>
  <c r="BB14" i="30"/>
  <c r="BA14" i="30"/>
  <c r="AY14" i="30"/>
  <c r="AX14" i="30"/>
  <c r="AW14" i="30"/>
  <c r="AV14" i="30"/>
  <c r="AT14" i="30"/>
  <c r="AS14" i="30"/>
  <c r="AR14" i="30"/>
  <c r="AQ14" i="30"/>
  <c r="AO14" i="30"/>
  <c r="AN14" i="30"/>
  <c r="AM14" i="30"/>
  <c r="AL14" i="30"/>
  <c r="AJ14" i="30"/>
  <c r="AI14" i="30"/>
  <c r="AH14" i="30"/>
  <c r="AG14" i="30"/>
  <c r="AE14" i="30"/>
  <c r="AD14" i="30"/>
  <c r="AC14" i="30"/>
  <c r="AB14" i="30"/>
  <c r="Z14" i="30"/>
  <c r="Y14" i="30"/>
  <c r="X14" i="30"/>
  <c r="W14" i="30"/>
  <c r="U14" i="30"/>
  <c r="T14" i="30"/>
  <c r="S14" i="30"/>
  <c r="R14" i="30"/>
  <c r="P14" i="30"/>
  <c r="O14" i="30"/>
  <c r="N14" i="30"/>
  <c r="M14" i="30"/>
  <c r="K14" i="30"/>
  <c r="J14" i="30"/>
  <c r="I14" i="30"/>
  <c r="H14" i="30"/>
  <c r="F14" i="30"/>
  <c r="E14" i="30"/>
  <c r="D14" i="30"/>
  <c r="C14" i="30"/>
  <c r="BS11" i="30"/>
  <c r="BR11" i="30"/>
  <c r="BQ11" i="30"/>
  <c r="BP11" i="30"/>
  <c r="BN11" i="30"/>
  <c r="BM11" i="30"/>
  <c r="BL11" i="30"/>
  <c r="BK11" i="30"/>
  <c r="BI11" i="30"/>
  <c r="BH11" i="30"/>
  <c r="BG11" i="30"/>
  <c r="BF11" i="30"/>
  <c r="BD11" i="30"/>
  <c r="BC11" i="30"/>
  <c r="BB11" i="30"/>
  <c r="BA11" i="30"/>
  <c r="AY11" i="30"/>
  <c r="AX11" i="30"/>
  <c r="AW11" i="30"/>
  <c r="AV11" i="30"/>
  <c r="AT11" i="30"/>
  <c r="AS11" i="30"/>
  <c r="AR11" i="30"/>
  <c r="AQ11" i="30"/>
  <c r="AO11" i="30"/>
  <c r="AN11" i="30"/>
  <c r="AM11" i="30"/>
  <c r="AL11" i="30"/>
  <c r="AJ11" i="30"/>
  <c r="AI11" i="30"/>
  <c r="AH11" i="30"/>
  <c r="AG11" i="30"/>
  <c r="AE11" i="30"/>
  <c r="AD11" i="30"/>
  <c r="AC11" i="30"/>
  <c r="AB11" i="30"/>
  <c r="Z11" i="30"/>
  <c r="Y11" i="30"/>
  <c r="X11" i="30"/>
  <c r="W11" i="30"/>
  <c r="U11" i="30"/>
  <c r="T11" i="30"/>
  <c r="S11" i="30"/>
  <c r="R11" i="30"/>
  <c r="P11" i="30"/>
  <c r="O11" i="30"/>
  <c r="N11" i="30"/>
  <c r="M11" i="30"/>
  <c r="K11" i="30"/>
  <c r="J11" i="30"/>
  <c r="I11" i="30"/>
  <c r="H11" i="30"/>
  <c r="F11" i="30"/>
  <c r="E11" i="30"/>
  <c r="D11" i="30"/>
  <c r="C11" i="30"/>
  <c r="BS9" i="30"/>
  <c r="BR9" i="30"/>
  <c r="BQ9" i="30"/>
  <c r="BP9" i="30"/>
  <c r="BN9" i="30"/>
  <c r="BN13" i="30" s="1"/>
  <c r="BM9" i="30"/>
  <c r="BL9" i="30"/>
  <c r="BK9" i="30"/>
  <c r="BI9" i="30"/>
  <c r="BI44" i="30" s="1"/>
  <c r="BH9" i="30"/>
  <c r="BH44" i="30" s="1"/>
  <c r="BG9" i="30"/>
  <c r="BF9" i="30"/>
  <c r="BD9" i="30"/>
  <c r="BD13" i="30" s="1"/>
  <c r="BC9" i="30"/>
  <c r="BC44" i="30" s="1"/>
  <c r="BB9" i="30"/>
  <c r="BA9" i="30"/>
  <c r="AY9" i="30"/>
  <c r="AX9" i="30"/>
  <c r="AW9" i="30"/>
  <c r="AV9" i="30"/>
  <c r="AT9" i="30"/>
  <c r="AT13" i="30" s="1"/>
  <c r="AS9" i="30"/>
  <c r="AR9" i="30"/>
  <c r="AQ9" i="30"/>
  <c r="AO9" i="30"/>
  <c r="AO44" i="30" s="1"/>
  <c r="AN9" i="30"/>
  <c r="AN44" i="30" s="1"/>
  <c r="AM9" i="30"/>
  <c r="AL9" i="30"/>
  <c r="AJ9" i="30"/>
  <c r="AJ13" i="30" s="1"/>
  <c r="AI9" i="30"/>
  <c r="AH9" i="30"/>
  <c r="AG9" i="30"/>
  <c r="AG44" i="30" s="1"/>
  <c r="AE9" i="30"/>
  <c r="AE13" i="30" s="1"/>
  <c r="AD9" i="30"/>
  <c r="AC9" i="30"/>
  <c r="AB9" i="30"/>
  <c r="Z9" i="30"/>
  <c r="Z13" i="30" s="1"/>
  <c r="Y9" i="30"/>
  <c r="Y44" i="30" s="1"/>
  <c r="X9" i="30"/>
  <c r="W9" i="30"/>
  <c r="U9" i="30"/>
  <c r="U13" i="30" s="1"/>
  <c r="T9" i="30"/>
  <c r="T44" i="30" s="1"/>
  <c r="S9" i="30"/>
  <c r="R9" i="30"/>
  <c r="R13" i="30" s="1"/>
  <c r="P9" i="30"/>
  <c r="P44" i="30" s="1"/>
  <c r="O9" i="30"/>
  <c r="N9" i="30"/>
  <c r="M9" i="30"/>
  <c r="M13" i="30" s="1"/>
  <c r="K9" i="30"/>
  <c r="K13" i="30" s="1"/>
  <c r="J9" i="30"/>
  <c r="I9" i="30"/>
  <c r="H9" i="30"/>
  <c r="H13" i="30" s="1"/>
  <c r="F9" i="30"/>
  <c r="F13" i="30" s="1"/>
  <c r="E9" i="30"/>
  <c r="E13" i="30" s="1"/>
  <c r="D9" i="30"/>
  <c r="D13" i="30" s="1"/>
  <c r="C9" i="30"/>
  <c r="C13" i="30" s="1"/>
  <c r="DC7" i="30"/>
  <c r="DD7" i="30" s="1"/>
  <c r="DE7" i="30" s="1"/>
  <c r="DF7" i="30" s="1"/>
  <c r="DG7" i="30" s="1"/>
  <c r="M7" i="30"/>
  <c r="K7" i="30"/>
  <c r="P7" i="30" s="1"/>
  <c r="U7" i="30" s="1"/>
  <c r="Z7" i="30" s="1"/>
  <c r="AE7" i="30" s="1"/>
  <c r="AJ7" i="30" s="1"/>
  <c r="J7" i="30"/>
  <c r="O7" i="30" s="1"/>
  <c r="T7" i="30" s="1"/>
  <c r="Y7" i="30" s="1"/>
  <c r="AD7" i="30" s="1"/>
  <c r="AI7" i="30" s="1"/>
  <c r="I7" i="30"/>
  <c r="N7" i="30" s="1"/>
  <c r="BP6" i="30"/>
  <c r="BK6" i="30"/>
  <c r="BF6" i="30"/>
  <c r="BA6" i="30"/>
  <c r="AV6" i="30"/>
  <c r="AQ6" i="30"/>
  <c r="AL6" i="30"/>
  <c r="AG6" i="30"/>
  <c r="AB6" i="30"/>
  <c r="R6" i="30"/>
  <c r="M6" i="30"/>
  <c r="C34" i="88"/>
  <c r="B34" i="88"/>
  <c r="E21" i="88"/>
  <c r="P328" i="14" l="1"/>
  <c r="DH60" i="30" s="1"/>
  <c r="L840" i="21"/>
  <c r="AU463" i="21"/>
  <c r="AT469" i="21"/>
  <c r="AQ471" i="21"/>
  <c r="AQ486" i="21"/>
  <c r="AR336" i="21"/>
  <c r="AU457" i="21"/>
  <c r="AT485" i="21"/>
  <c r="AT493" i="21"/>
  <c r="AT505" i="21"/>
  <c r="AQ278" i="21"/>
  <c r="AY278" i="21" s="1"/>
  <c r="BC278" i="21" s="1"/>
  <c r="AQ457" i="21"/>
  <c r="AQ466" i="21"/>
  <c r="AT504" i="21"/>
  <c r="AQ324" i="21"/>
  <c r="AY324" i="21" s="1"/>
  <c r="BC324" i="21" s="1"/>
  <c r="AQ328" i="21"/>
  <c r="AY328" i="21" s="1"/>
  <c r="BC328" i="21" s="1"/>
  <c r="AQ462" i="21"/>
  <c r="AR464" i="21"/>
  <c r="AT465" i="21"/>
  <c r="AT473" i="21"/>
  <c r="AQ499" i="21"/>
  <c r="AT508" i="21"/>
  <c r="AQ299" i="21"/>
  <c r="AY299" i="21" s="1"/>
  <c r="AQ330" i="21"/>
  <c r="AY330" i="21" s="1"/>
  <c r="BC330" i="21" s="1"/>
  <c r="AT462" i="21"/>
  <c r="AQ472" i="21"/>
  <c r="AU485" i="21"/>
  <c r="AT492" i="21"/>
  <c r="AY492" i="21" s="1"/>
  <c r="AQ511" i="21"/>
  <c r="AT513" i="21"/>
  <c r="AQ285" i="21"/>
  <c r="AY285" i="21" s="1"/>
  <c r="BC285" i="21" s="1"/>
  <c r="AQ296" i="21"/>
  <c r="AY296" i="21" s="1"/>
  <c r="AQ306" i="21"/>
  <c r="AY306" i="21" s="1"/>
  <c r="AQ322" i="21"/>
  <c r="AY322" i="21" s="1"/>
  <c r="AQ329" i="21"/>
  <c r="AY329" i="21" s="1"/>
  <c r="BC329" i="21" s="1"/>
  <c r="AQ337" i="21"/>
  <c r="AY337" i="21" s="1"/>
  <c r="BC337" i="21" s="1"/>
  <c r="AQ456" i="21"/>
  <c r="AR457" i="21"/>
  <c r="AQ464" i="21"/>
  <c r="AQ470" i="21"/>
  <c r="AR471" i="21"/>
  <c r="AQ476" i="21"/>
  <c r="AR478" i="21"/>
  <c r="AT479" i="21"/>
  <c r="AT490" i="21"/>
  <c r="AQ494" i="21"/>
  <c r="AR498" i="21"/>
  <c r="AQ500" i="21"/>
  <c r="AP512" i="21"/>
  <c r="AP513" i="21" s="1"/>
  <c r="AQ282" i="21"/>
  <c r="AY282" i="21" s="1"/>
  <c r="BC282" i="21" s="1"/>
  <c r="AQ293" i="21"/>
  <c r="AY293" i="21" s="1"/>
  <c r="AQ314" i="21"/>
  <c r="AY314" i="21" s="1"/>
  <c r="AQ320" i="21"/>
  <c r="AY320" i="21" s="1"/>
  <c r="AQ336" i="21"/>
  <c r="AY336" i="21" s="1"/>
  <c r="BC336" i="21" s="1"/>
  <c r="AQ338" i="21"/>
  <c r="AY338" i="21" s="1"/>
  <c r="BC338" i="21" s="1"/>
  <c r="AQ455" i="21"/>
  <c r="AY455" i="21" s="1"/>
  <c r="AU456" i="21"/>
  <c r="AU464" i="21"/>
  <c r="AT458" i="21"/>
  <c r="AQ463" i="21"/>
  <c r="AQ469" i="21"/>
  <c r="AU470" i="21"/>
  <c r="AT472" i="21"/>
  <c r="AR484" i="21"/>
  <c r="AQ501" i="21"/>
  <c r="AQ279" i="21"/>
  <c r="AY279" i="21" s="1"/>
  <c r="BC279" i="21" s="1"/>
  <c r="AR294" i="21"/>
  <c r="AQ303" i="21"/>
  <c r="AY303" i="21" s="1"/>
  <c r="AQ308" i="21"/>
  <c r="AY308" i="21" s="1"/>
  <c r="AR314" i="21"/>
  <c r="AR328" i="21"/>
  <c r="AT476" i="21"/>
  <c r="AY476" i="21" s="1"/>
  <c r="AQ515" i="21"/>
  <c r="AR280" i="21"/>
  <c r="AQ288" i="21"/>
  <c r="AY288" i="21" s="1"/>
  <c r="BC288" i="21" s="1"/>
  <c r="AR300" i="21"/>
  <c r="AQ309" i="21"/>
  <c r="AY309" i="21" s="1"/>
  <c r="AR321" i="21"/>
  <c r="AQ331" i="21"/>
  <c r="AY331" i="21" s="1"/>
  <c r="BC331" i="21" s="1"/>
  <c r="AT459" i="21"/>
  <c r="AY459" i="21" s="1"/>
  <c r="AQ458" i="21"/>
  <c r="AQ465" i="21"/>
  <c r="AT477" i="21"/>
  <c r="AR480" i="21"/>
  <c r="AQ483" i="21"/>
  <c r="AT484" i="21"/>
  <c r="AU492" i="21"/>
  <c r="AQ493" i="21"/>
  <c r="AY493" i="21" s="1"/>
  <c r="AT494" i="21"/>
  <c r="AT497" i="21"/>
  <c r="AR505" i="21"/>
  <c r="AU505" i="21"/>
  <c r="AT514" i="21"/>
  <c r="N58" i="3"/>
  <c r="X58" i="3"/>
  <c r="BN41" i="3"/>
  <c r="BH11" i="32"/>
  <c r="BL40" i="3"/>
  <c r="BF56" i="32"/>
  <c r="BJ43" i="3"/>
  <c r="C30" i="99"/>
  <c r="C44" i="99" s="1"/>
  <c r="BH45" i="32"/>
  <c r="BL39" i="3"/>
  <c r="BJ45" i="32" s="1"/>
  <c r="AI125" i="2"/>
  <c r="AI161" i="2"/>
  <c r="AI174" i="2"/>
  <c r="AI187" i="2"/>
  <c r="AI195" i="2"/>
  <c r="AI98" i="2"/>
  <c r="AI104" i="2"/>
  <c r="AI180" i="2"/>
  <c r="DN36" i="36"/>
  <c r="ED231" i="40"/>
  <c r="EE231" i="40"/>
  <c r="EE229" i="40"/>
  <c r="BN51" i="32"/>
  <c r="AF68" i="8"/>
  <c r="BH9" i="32"/>
  <c r="AE73" i="8"/>
  <c r="D13" i="99"/>
  <c r="AU210" i="19"/>
  <c r="S702" i="21"/>
  <c r="S348" i="21"/>
  <c r="AC19" i="8"/>
  <c r="BH71" i="3" s="1"/>
  <c r="DN37" i="36"/>
  <c r="U178" i="14"/>
  <c r="U106" i="8"/>
  <c r="U128" i="8" s="1"/>
  <c r="AD155" i="39"/>
  <c r="V194" i="14"/>
  <c r="V109" i="8" s="1"/>
  <c r="AG155" i="39"/>
  <c r="AQ113" i="19"/>
  <c r="AU149" i="19"/>
  <c r="AQ197" i="19"/>
  <c r="AP197" i="19" s="1"/>
  <c r="AI53" i="21"/>
  <c r="AI68" i="21"/>
  <c r="AI74" i="21"/>
  <c r="AZ121" i="19"/>
  <c r="Q125" i="14"/>
  <c r="AW39" i="14" s="1"/>
  <c r="F120" i="39"/>
  <c r="D85" i="21"/>
  <c r="AI81" i="21"/>
  <c r="D104" i="21"/>
  <c r="H104" i="21" s="1"/>
  <c r="D110" i="21"/>
  <c r="H110" i="21" s="1"/>
  <c r="AI111" i="21"/>
  <c r="D125" i="21"/>
  <c r="H125" i="21" s="1"/>
  <c r="AI132" i="21"/>
  <c r="AP144" i="21"/>
  <c r="AP154" i="21"/>
  <c r="AI152" i="21"/>
  <c r="AI160" i="21"/>
  <c r="AI202" i="21"/>
  <c r="AK202" i="21" s="1"/>
  <c r="AI215" i="21"/>
  <c r="AI222" i="21"/>
  <c r="AI253" i="21"/>
  <c r="AI260" i="21"/>
  <c r="D274" i="21"/>
  <c r="H274" i="21" s="1"/>
  <c r="AI292" i="21"/>
  <c r="D336" i="21"/>
  <c r="H336" i="21" s="1"/>
  <c r="AI337" i="21"/>
  <c r="AI385" i="21"/>
  <c r="S431" i="21"/>
  <c r="F431" i="21" s="1"/>
  <c r="AI427" i="21"/>
  <c r="D434" i="21"/>
  <c r="H434" i="21" s="1"/>
  <c r="D441" i="21"/>
  <c r="H441" i="21" s="1"/>
  <c r="D451" i="21"/>
  <c r="H451" i="21" s="1"/>
  <c r="AI451" i="21"/>
  <c r="U194" i="14"/>
  <c r="U109" i="8" s="1"/>
  <c r="AD148" i="39"/>
  <c r="AG148" i="39"/>
  <c r="D469" i="21"/>
  <c r="H469" i="21" s="1"/>
  <c r="AI483" i="21"/>
  <c r="D551" i="21"/>
  <c r="H551" i="21" s="1"/>
  <c r="D562" i="21"/>
  <c r="H562" i="21" s="1"/>
  <c r="D569" i="21"/>
  <c r="H569" i="21" s="1"/>
  <c r="AI569" i="21"/>
  <c r="D605" i="21"/>
  <c r="H605" i="21" s="1"/>
  <c r="AI612" i="21"/>
  <c r="AI620" i="21"/>
  <c r="H633" i="21"/>
  <c r="BE110" i="39"/>
  <c r="BI110" i="39"/>
  <c r="BN194" i="39"/>
  <c r="BL194" i="39"/>
  <c r="I66" i="14"/>
  <c r="I126" i="14" s="1"/>
  <c r="H8" i="14"/>
  <c r="H103" i="8"/>
  <c r="H160" i="8" s="1"/>
  <c r="L71" i="14"/>
  <c r="L103" i="8"/>
  <c r="L160" i="8" s="1"/>
  <c r="L8" i="14"/>
  <c r="P8" i="14"/>
  <c r="P103" i="8"/>
  <c r="P160" i="8" s="1"/>
  <c r="T66" i="14"/>
  <c r="T126" i="14" s="1"/>
  <c r="T103" i="8"/>
  <c r="T8" i="14"/>
  <c r="X103" i="8"/>
  <c r="X8" i="14"/>
  <c r="AB103" i="8"/>
  <c r="AB8" i="14"/>
  <c r="AQ134" i="19"/>
  <c r="AP134" i="19" s="1"/>
  <c r="AQ194" i="19"/>
  <c r="AQ196" i="19"/>
  <c r="AP196" i="19" s="1"/>
  <c r="AI56" i="21"/>
  <c r="D60" i="21"/>
  <c r="H60" i="21" s="1"/>
  <c r="AI60" i="21"/>
  <c r="AI75" i="21"/>
  <c r="AI82" i="21"/>
  <c r="D111" i="21"/>
  <c r="H111" i="21" s="1"/>
  <c r="AI117" i="21"/>
  <c r="D132" i="21"/>
  <c r="H132" i="21" s="1"/>
  <c r="AP137" i="21"/>
  <c r="AI145" i="21"/>
  <c r="AI153" i="21"/>
  <c r="AP174" i="21"/>
  <c r="D195" i="21"/>
  <c r="H195" i="21" s="1"/>
  <c r="AI209" i="21"/>
  <c r="AI218" i="21"/>
  <c r="D252" i="21"/>
  <c r="H252" i="21" s="1"/>
  <c r="D259" i="21"/>
  <c r="H259" i="21" s="1"/>
  <c r="D266" i="21"/>
  <c r="H266" i="21" s="1"/>
  <c r="AI266" i="21"/>
  <c r="AI301" i="21"/>
  <c r="AO341" i="21"/>
  <c r="D386" i="21"/>
  <c r="H386" i="21" s="1"/>
  <c r="AI386" i="21"/>
  <c r="AI393" i="21"/>
  <c r="AI399" i="21"/>
  <c r="AI415" i="21"/>
  <c r="AI428" i="21"/>
  <c r="D435" i="21"/>
  <c r="H435" i="21" s="1"/>
  <c r="AI462" i="21"/>
  <c r="AI477" i="21"/>
  <c r="AI498" i="21"/>
  <c r="S525" i="21"/>
  <c r="H549" i="21"/>
  <c r="D572" i="21"/>
  <c r="H572" i="21" s="1"/>
  <c r="AI572" i="21"/>
  <c r="H583" i="21"/>
  <c r="AI604" i="21"/>
  <c r="D627" i="21"/>
  <c r="H627" i="21" s="1"/>
  <c r="AI647" i="21"/>
  <c r="D647" i="21"/>
  <c r="H647" i="21" s="1"/>
  <c r="D697" i="21"/>
  <c r="H697" i="21" s="1"/>
  <c r="CA25" i="36"/>
  <c r="T7" i="14"/>
  <c r="AQ132" i="19"/>
  <c r="AP132" i="19" s="1"/>
  <c r="D32" i="21"/>
  <c r="H32" i="21" s="1"/>
  <c r="D40" i="21"/>
  <c r="H40" i="21" s="1"/>
  <c r="D67" i="21"/>
  <c r="H67" i="21" s="1"/>
  <c r="D74" i="21"/>
  <c r="H74" i="21" s="1"/>
  <c r="D81" i="21"/>
  <c r="H81" i="21" s="1"/>
  <c r="D88" i="21"/>
  <c r="H88" i="21" s="1"/>
  <c r="AI138" i="21"/>
  <c r="AI146" i="21"/>
  <c r="AI161" i="21"/>
  <c r="S174" i="21"/>
  <c r="AI174" i="21" s="1"/>
  <c r="AI238" i="21"/>
  <c r="D253" i="21"/>
  <c r="H253" i="21" s="1"/>
  <c r="AI307" i="21"/>
  <c r="AO335" i="21"/>
  <c r="AI394" i="21"/>
  <c r="AI400" i="21"/>
  <c r="AI407" i="21"/>
  <c r="AK407" i="21" s="1"/>
  <c r="AI416" i="21"/>
  <c r="H422" i="21"/>
  <c r="D427" i="21"/>
  <c r="H427" i="21" s="1"/>
  <c r="D455" i="21"/>
  <c r="H455" i="21" s="1"/>
  <c r="AI465" i="21"/>
  <c r="D473" i="21"/>
  <c r="H473" i="21" s="1"/>
  <c r="D498" i="21"/>
  <c r="H498" i="21" s="1"/>
  <c r="AI506" i="21"/>
  <c r="AI605" i="21"/>
  <c r="AI632" i="21"/>
  <c r="BL174" i="39"/>
  <c r="BI174" i="39"/>
  <c r="BN189" i="39"/>
  <c r="BI189" i="39"/>
  <c r="O104" i="8"/>
  <c r="W126" i="14"/>
  <c r="Q320" i="14"/>
  <c r="Q348" i="14" s="1"/>
  <c r="P118" i="8"/>
  <c r="Q119" i="8" s="1"/>
  <c r="D33" i="21"/>
  <c r="H33" i="21" s="1"/>
  <c r="F71" i="21"/>
  <c r="AZ107" i="19" s="1"/>
  <c r="S71" i="21"/>
  <c r="D78" i="21" s="1"/>
  <c r="H78" i="21" s="1"/>
  <c r="AI67" i="21"/>
  <c r="D90" i="21"/>
  <c r="H90" i="21" s="1"/>
  <c r="AI131" i="21"/>
  <c r="AI139" i="21"/>
  <c r="AP151" i="21"/>
  <c r="AI167" i="21"/>
  <c r="D211" i="21"/>
  <c r="H211" i="21" s="1"/>
  <c r="AO329" i="21"/>
  <c r="AI343" i="21"/>
  <c r="D430" i="21"/>
  <c r="H430" i="21" s="1"/>
  <c r="AI448" i="21"/>
  <c r="D457" i="21"/>
  <c r="H457" i="21" s="1"/>
  <c r="AI469" i="21"/>
  <c r="AK469" i="21" s="1"/>
  <c r="AM486" i="21"/>
  <c r="S527" i="21"/>
  <c r="AI527" i="21" s="1"/>
  <c r="D573" i="21"/>
  <c r="H573" i="21" s="1"/>
  <c r="AI618" i="21"/>
  <c r="D632" i="21"/>
  <c r="H632" i="21" s="1"/>
  <c r="D668" i="21"/>
  <c r="AI661" i="21"/>
  <c r="BI139" i="39"/>
  <c r="BI168" i="39"/>
  <c r="BL180" i="39"/>
  <c r="BI180" i="39"/>
  <c r="I106" i="8"/>
  <c r="I8" i="14"/>
  <c r="M106" i="8"/>
  <c r="M160" i="8" s="1"/>
  <c r="M162" i="8" s="1"/>
  <c r="M8" i="14"/>
  <c r="Q106" i="8"/>
  <c r="Q128" i="8" s="1"/>
  <c r="Q8" i="14"/>
  <c r="AT27" i="14"/>
  <c r="N115" i="8"/>
  <c r="AX27" i="14"/>
  <c r="R115" i="8"/>
  <c r="D618" i="21"/>
  <c r="H618" i="21" s="1"/>
  <c r="AI611" i="21"/>
  <c r="D626" i="21"/>
  <c r="H626" i="21" s="1"/>
  <c r="S643" i="21"/>
  <c r="AI148" i="39" s="1"/>
  <c r="H660" i="21"/>
  <c r="D669" i="21"/>
  <c r="H669" i="21" s="1"/>
  <c r="AI669" i="21"/>
  <c r="D682" i="21"/>
  <c r="H682" i="21" s="1"/>
  <c r="AI682" i="21"/>
  <c r="AI691" i="21"/>
  <c r="BI62" i="39"/>
  <c r="BC68" i="39"/>
  <c r="AY139" i="39"/>
  <c r="AY140" i="39"/>
  <c r="BI159" i="39"/>
  <c r="BI186" i="39"/>
  <c r="CE10" i="36"/>
  <c r="CB10" i="35" s="1"/>
  <c r="CA21" i="36"/>
  <c r="W104" i="8"/>
  <c r="J262" i="14"/>
  <c r="J112" i="8"/>
  <c r="J135" i="8" s="1"/>
  <c r="N262" i="14"/>
  <c r="AT26" i="14"/>
  <c r="AT53" i="14" s="1"/>
  <c r="N112" i="8"/>
  <c r="N168" i="8" s="1"/>
  <c r="R262" i="14"/>
  <c r="AX26" i="14"/>
  <c r="R112" i="8"/>
  <c r="R134" i="8" s="1"/>
  <c r="K279" i="14"/>
  <c r="K307" i="14" s="1"/>
  <c r="S279" i="14"/>
  <c r="S307" i="14" s="1"/>
  <c r="AY59" i="14" s="1"/>
  <c r="D137" i="2"/>
  <c r="H653" i="21"/>
  <c r="D661" i="21"/>
  <c r="H661" i="21" s="1"/>
  <c r="BC67" i="39"/>
  <c r="BI69" i="39"/>
  <c r="BI75" i="39"/>
  <c r="BI95" i="39"/>
  <c r="AP155" i="39"/>
  <c r="BI188" i="39"/>
  <c r="S107" i="8"/>
  <c r="N135" i="8"/>
  <c r="N8" i="14"/>
  <c r="O139" i="14"/>
  <c r="O182" i="14" s="1"/>
  <c r="AU44" i="14" s="1"/>
  <c r="O8" i="14"/>
  <c r="L303" i="14"/>
  <c r="L115" i="8"/>
  <c r="L116" i="8" s="1"/>
  <c r="AV27" i="14"/>
  <c r="AV57" i="14" s="1"/>
  <c r="P115" i="8"/>
  <c r="P116" i="8" s="1"/>
  <c r="T303" i="14"/>
  <c r="T115" i="8"/>
  <c r="T116" i="8" s="1"/>
  <c r="D640" i="21"/>
  <c r="H640" i="21" s="1"/>
  <c r="D654" i="21"/>
  <c r="H654" i="21" s="1"/>
  <c r="S664" i="21"/>
  <c r="BI126" i="39"/>
  <c r="BB141" i="39"/>
  <c r="AY141" i="39"/>
  <c r="BI147" i="39"/>
  <c r="BE158" i="39"/>
  <c r="BI161" i="39"/>
  <c r="AP162" i="39"/>
  <c r="BI167" i="39"/>
  <c r="BZ15" i="36"/>
  <c r="I160" i="8"/>
  <c r="O106" i="8"/>
  <c r="O107" i="8" s="1"/>
  <c r="P109" i="8"/>
  <c r="K138" i="8"/>
  <c r="AV46" i="14"/>
  <c r="AX53" i="14"/>
  <c r="O66" i="14"/>
  <c r="O126" i="14" s="1"/>
  <c r="AU40" i="14" s="1"/>
  <c r="AA66" i="14"/>
  <c r="AA126" i="14" s="1"/>
  <c r="Y106" i="8"/>
  <c r="Y128" i="8" s="1"/>
  <c r="Y8" i="14"/>
  <c r="AV26" i="14"/>
  <c r="P112" i="8"/>
  <c r="P113" i="8" s="1"/>
  <c r="V278" i="14"/>
  <c r="V115" i="8" s="1"/>
  <c r="V137" i="8" s="1"/>
  <c r="M156" i="8"/>
  <c r="M157" i="8"/>
  <c r="AV32" i="14"/>
  <c r="AW38" i="14"/>
  <c r="AT42" i="14"/>
  <c r="AX42" i="14"/>
  <c r="G71" i="14"/>
  <c r="K71" i="14"/>
  <c r="O71" i="14"/>
  <c r="I139" i="14"/>
  <c r="I182" i="14" s="1"/>
  <c r="P139" i="14"/>
  <c r="Y139" i="14"/>
  <c r="Y182" i="14" s="1"/>
  <c r="F182" i="14"/>
  <c r="K110" i="8"/>
  <c r="O110" i="8"/>
  <c r="AA110" i="8"/>
  <c r="I161" i="8"/>
  <c r="M161" i="8"/>
  <c r="M66" i="14"/>
  <c r="M126" i="14" s="1"/>
  <c r="E72" i="14"/>
  <c r="I72" i="14"/>
  <c r="M72" i="14"/>
  <c r="G72" i="14"/>
  <c r="D182" i="14"/>
  <c r="N237" i="14"/>
  <c r="N266" i="14" s="1"/>
  <c r="I23" i="99"/>
  <c r="J23" i="99" s="1"/>
  <c r="S74" i="60"/>
  <c r="S110" i="60" s="1"/>
  <c r="S147" i="60" s="1"/>
  <c r="T9" i="60"/>
  <c r="V81" i="60"/>
  <c r="V77" i="60"/>
  <c r="W64" i="60"/>
  <c r="V80" i="60"/>
  <c r="V76" i="60"/>
  <c r="V78" i="60"/>
  <c r="V63" i="60"/>
  <c r="W63" i="60" s="1"/>
  <c r="X63" i="60" s="1"/>
  <c r="Y63" i="60" s="1"/>
  <c r="Z63" i="60" s="1"/>
  <c r="AA63" i="60" s="1"/>
  <c r="AB63" i="60" s="1"/>
  <c r="V79" i="60"/>
  <c r="K11" i="60"/>
  <c r="P48" i="60"/>
  <c r="K67" i="60"/>
  <c r="O67" i="60"/>
  <c r="S67" i="60"/>
  <c r="H118" i="60"/>
  <c r="I117" i="60"/>
  <c r="H83" i="60"/>
  <c r="H119" i="60" s="1"/>
  <c r="Q117" i="60"/>
  <c r="P118" i="60"/>
  <c r="P83" i="60"/>
  <c r="Q9" i="60"/>
  <c r="I82" i="60"/>
  <c r="I72" i="60"/>
  <c r="M82" i="60"/>
  <c r="M72" i="60"/>
  <c r="Q82" i="60"/>
  <c r="Q72" i="60"/>
  <c r="U83" i="60"/>
  <c r="V82" i="60"/>
  <c r="R74" i="60"/>
  <c r="R110" i="60" s="1"/>
  <c r="R147" i="60" s="1"/>
  <c r="K85" i="60"/>
  <c r="J82" i="60"/>
  <c r="J72" i="60"/>
  <c r="N82" i="60"/>
  <c r="N72" i="60"/>
  <c r="R82" i="60"/>
  <c r="R72" i="60"/>
  <c r="L83" i="60"/>
  <c r="L85" i="60"/>
  <c r="L84" i="60"/>
  <c r="U117" i="60"/>
  <c r="T118" i="60"/>
  <c r="T83" i="60"/>
  <c r="U118" i="60" s="1"/>
  <c r="L8" i="60"/>
  <c r="K64" i="60"/>
  <c r="O64" i="60"/>
  <c r="S64" i="60"/>
  <c r="J67" i="60"/>
  <c r="N67" i="60"/>
  <c r="R67" i="60"/>
  <c r="W47" i="60"/>
  <c r="X47" i="60" s="1"/>
  <c r="Y47" i="60" s="1"/>
  <c r="Z47" i="60" s="1"/>
  <c r="AA47" i="60" s="1"/>
  <c r="AB47" i="60" s="1"/>
  <c r="M117" i="60"/>
  <c r="P117" i="60"/>
  <c r="T117" i="60"/>
  <c r="K86" i="60"/>
  <c r="K87" i="60" s="1"/>
  <c r="K84" i="60"/>
  <c r="O84" i="60"/>
  <c r="O85" i="60" s="1"/>
  <c r="S84" i="60"/>
  <c r="C132" i="60"/>
  <c r="B135" i="60"/>
  <c r="C134" i="60"/>
  <c r="P149" i="60"/>
  <c r="AB132" i="2"/>
  <c r="AD132" i="2" s="1"/>
  <c r="L12" i="21"/>
  <c r="AB14" i="21"/>
  <c r="AB117" i="21"/>
  <c r="AD154" i="21"/>
  <c r="AB165" i="21"/>
  <c r="AK167" i="21"/>
  <c r="CY21" i="40"/>
  <c r="CX21" i="40"/>
  <c r="H45" i="40"/>
  <c r="CX57" i="40"/>
  <c r="CY57" i="40"/>
  <c r="AI62" i="40"/>
  <c r="G201" i="14"/>
  <c r="G203" i="14" s="1"/>
  <c r="G17" i="14" s="1"/>
  <c r="P76" i="40"/>
  <c r="P68" i="40"/>
  <c r="EE98" i="40"/>
  <c r="AB42" i="2"/>
  <c r="AD42" i="2" s="1"/>
  <c r="AB14" i="2"/>
  <c r="AB138" i="19"/>
  <c r="AB133" i="2"/>
  <c r="AB139" i="19"/>
  <c r="L13" i="21"/>
  <c r="L69" i="21"/>
  <c r="L77" i="21"/>
  <c r="L91" i="21"/>
  <c r="AB97" i="21"/>
  <c r="AK140" i="21"/>
  <c r="AK147" i="21"/>
  <c r="AK161" i="21"/>
  <c r="AB549" i="21"/>
  <c r="N9" i="40"/>
  <c r="G9" i="40" s="1"/>
  <c r="DB9" i="40" s="1"/>
  <c r="N12" i="40"/>
  <c r="G12" i="40" s="1"/>
  <c r="DB12" i="40" s="1"/>
  <c r="N11" i="40"/>
  <c r="G11" i="40" s="1"/>
  <c r="DB11" i="40" s="1"/>
  <c r="N10" i="40"/>
  <c r="G10" i="40" s="1"/>
  <c r="DB10" i="40" s="1"/>
  <c r="G51" i="40"/>
  <c r="P59" i="40"/>
  <c r="AR73" i="40"/>
  <c r="CX74" i="40"/>
  <c r="ED74" i="40"/>
  <c r="EE74" i="40"/>
  <c r="EF74" i="40" s="1"/>
  <c r="EG74" i="40" s="1"/>
  <c r="ED76" i="40"/>
  <c r="EE76" i="40"/>
  <c r="CX75" i="40"/>
  <c r="EE82" i="40"/>
  <c r="EF82" i="40" s="1"/>
  <c r="ED82" i="40"/>
  <c r="EE84" i="40"/>
  <c r="EF84" i="40" s="1"/>
  <c r="ED84" i="40"/>
  <c r="N86" i="40"/>
  <c r="J81" i="14"/>
  <c r="EE90" i="40"/>
  <c r="EF90" i="40" s="1"/>
  <c r="ED90" i="40"/>
  <c r="EE92" i="40"/>
  <c r="EF92" i="40" s="1"/>
  <c r="ED92" i="40"/>
  <c r="AB102" i="40"/>
  <c r="L153" i="14"/>
  <c r="L152" i="14" s="1"/>
  <c r="DB101" i="40"/>
  <c r="I101" i="40"/>
  <c r="H101" i="40"/>
  <c r="DQ106" i="40"/>
  <c r="DJ106" i="40"/>
  <c r="CY106" i="40"/>
  <c r="DK106" i="40"/>
  <c r="DM106" i="40"/>
  <c r="DL106" i="40"/>
  <c r="DP106" i="40"/>
  <c r="DI106" i="40"/>
  <c r="DO106" i="40"/>
  <c r="DQ114" i="40"/>
  <c r="DJ114" i="40"/>
  <c r="CY114" i="40"/>
  <c r="DK114" i="40"/>
  <c r="DL114" i="40"/>
  <c r="DP114" i="40"/>
  <c r="DI114" i="40"/>
  <c r="DO114" i="40"/>
  <c r="DM114" i="40"/>
  <c r="V84" i="2"/>
  <c r="AB26" i="21"/>
  <c r="AD116" i="21"/>
  <c r="AD124" i="21"/>
  <c r="AB130" i="21"/>
  <c r="AD130" i="21" s="1"/>
  <c r="AB137" i="21"/>
  <c r="AD137" i="21" s="1"/>
  <c r="AB144" i="21"/>
  <c r="AB151" i="21"/>
  <c r="AD556" i="21"/>
  <c r="C81" i="14"/>
  <c r="N30" i="40"/>
  <c r="CW45" i="40"/>
  <c r="F45" i="40"/>
  <c r="E45" i="40"/>
  <c r="CX52" i="40"/>
  <c r="CX51" i="40"/>
  <c r="E53" i="40"/>
  <c r="G58" i="40"/>
  <c r="P58" i="40"/>
  <c r="P66" i="40"/>
  <c r="AI70" i="40"/>
  <c r="H201" i="14"/>
  <c r="H203" i="14" s="1"/>
  <c r="AI78" i="40"/>
  <c r="I201" i="14"/>
  <c r="I203" i="14" s="1"/>
  <c r="I17" i="14" s="1"/>
  <c r="U94" i="40"/>
  <c r="K82" i="14"/>
  <c r="K86" i="14"/>
  <c r="AW94" i="40"/>
  <c r="K285" i="14"/>
  <c r="DD116" i="40"/>
  <c r="AB77" i="19"/>
  <c r="AB75" i="2"/>
  <c r="AB140" i="19"/>
  <c r="AB139" i="2"/>
  <c r="AD139" i="2" s="1"/>
  <c r="AF139" i="2" s="1"/>
  <c r="N19" i="21"/>
  <c r="AB35" i="21"/>
  <c r="L54" i="21"/>
  <c r="AK97" i="21"/>
  <c r="AB104" i="21"/>
  <c r="AK117" i="21"/>
  <c r="AB125" i="21"/>
  <c r="AD132" i="21" s="1"/>
  <c r="AF132" i="21" s="1"/>
  <c r="AK126" i="21"/>
  <c r="AK131" i="21"/>
  <c r="AB139" i="21"/>
  <c r="AB146" i="21"/>
  <c r="AK146" i="21" s="1"/>
  <c r="AB153" i="21"/>
  <c r="AK153" i="21" s="1"/>
  <c r="AB160" i="21"/>
  <c r="AK160" i="21" s="1"/>
  <c r="CY26" i="40"/>
  <c r="CY34" i="40"/>
  <c r="CW37" i="40"/>
  <c r="CY49" i="40"/>
  <c r="F32" i="14"/>
  <c r="CY58" i="40"/>
  <c r="CX58" i="40"/>
  <c r="CX59" i="40"/>
  <c r="CY76" i="40"/>
  <c r="CY68" i="40"/>
  <c r="CX73" i="40"/>
  <c r="ED73" i="40"/>
  <c r="EE73" i="40"/>
  <c r="ED75" i="40"/>
  <c r="EE75" i="40"/>
  <c r="CY81" i="40"/>
  <c r="CX81" i="40"/>
  <c r="EE81" i="40"/>
  <c r="ED81" i="40"/>
  <c r="ED85" i="40" s="1"/>
  <c r="EE83" i="40"/>
  <c r="EF83" i="40" s="1"/>
  <c r="ED83" i="40"/>
  <c r="EE89" i="40"/>
  <c r="ED89" i="40"/>
  <c r="ED93" i="40" s="1"/>
  <c r="EE91" i="40"/>
  <c r="EF91" i="40" s="1"/>
  <c r="ED91" i="40"/>
  <c r="DI100" i="40"/>
  <c r="CY100" i="40"/>
  <c r="DJ100" i="40"/>
  <c r="DL100" i="40"/>
  <c r="DK100" i="40"/>
  <c r="EE100" i="40"/>
  <c r="EE105" i="40"/>
  <c r="ED105" i="40"/>
  <c r="EE107" i="40"/>
  <c r="ED107" i="40"/>
  <c r="EE113" i="40"/>
  <c r="ED113" i="40"/>
  <c r="M178" i="14"/>
  <c r="L157" i="14"/>
  <c r="M145" i="14" s="1"/>
  <c r="S254" i="14"/>
  <c r="K294" i="14"/>
  <c r="V298" i="14"/>
  <c r="N19" i="40"/>
  <c r="G19" i="40" s="1"/>
  <c r="DB19" i="40" s="1"/>
  <c r="F25" i="40"/>
  <c r="F26" i="40"/>
  <c r="F27" i="40"/>
  <c r="F28" i="40"/>
  <c r="AB26" i="40"/>
  <c r="D29" i="40"/>
  <c r="H29" i="40" s="1"/>
  <c r="M29" i="40"/>
  <c r="CW27" i="40"/>
  <c r="I37" i="40"/>
  <c r="O37" i="40"/>
  <c r="AA37" i="40"/>
  <c r="CW35" i="40"/>
  <c r="F41" i="40"/>
  <c r="F42" i="40"/>
  <c r="F43" i="40"/>
  <c r="F44" i="40"/>
  <c r="AP42" i="40"/>
  <c r="AR42" i="40" s="1"/>
  <c r="I45" i="40"/>
  <c r="O45" i="40"/>
  <c r="AA45" i="40"/>
  <c r="CW42" i="40"/>
  <c r="DB45" i="40"/>
  <c r="E31" i="14" s="1"/>
  <c r="Z36" i="19" s="1"/>
  <c r="AB35" i="2" s="1"/>
  <c r="F53" i="40"/>
  <c r="AC53" i="40"/>
  <c r="AJ53" i="40"/>
  <c r="AQ53" i="40"/>
  <c r="E57" i="40"/>
  <c r="E58" i="40"/>
  <c r="CY59" i="40"/>
  <c r="I57" i="40"/>
  <c r="P57" i="40"/>
  <c r="F61" i="40"/>
  <c r="V61" i="40"/>
  <c r="U60" i="40" s="1"/>
  <c r="G60" i="40" s="1"/>
  <c r="AC61" i="40"/>
  <c r="AH61" i="40"/>
  <c r="AO61" i="40"/>
  <c r="DB61" i="40"/>
  <c r="AI68" i="40"/>
  <c r="AP68" i="40"/>
  <c r="P67" i="40"/>
  <c r="F69" i="40"/>
  <c r="V69" i="40"/>
  <c r="AA69" i="40"/>
  <c r="CW65" i="40"/>
  <c r="CW69" i="40"/>
  <c r="E73" i="40"/>
  <c r="E74" i="40"/>
  <c r="M77" i="40"/>
  <c r="W77" i="40"/>
  <c r="AC77" i="40"/>
  <c r="AH77" i="40"/>
  <c r="AO77" i="40"/>
  <c r="DB73" i="40"/>
  <c r="M85" i="40"/>
  <c r="S85" i="40"/>
  <c r="AJ85" i="40"/>
  <c r="AO85" i="40"/>
  <c r="AU85" i="40"/>
  <c r="J285" i="14" s="1"/>
  <c r="J287" i="14" s="1"/>
  <c r="CW82" i="40"/>
  <c r="F89" i="40"/>
  <c r="F90" i="40"/>
  <c r="F91" i="40"/>
  <c r="F92" i="40"/>
  <c r="CW91" i="40"/>
  <c r="I89" i="40"/>
  <c r="W93" i="40"/>
  <c r="AY93" i="40"/>
  <c r="DB93" i="40"/>
  <c r="F97" i="40"/>
  <c r="F98" i="40"/>
  <c r="F99" i="40"/>
  <c r="F100" i="40"/>
  <c r="CX101" i="40"/>
  <c r="DL101" i="40"/>
  <c r="I98" i="40"/>
  <c r="S101" i="40"/>
  <c r="AH101" i="40"/>
  <c r="AN101" i="40"/>
  <c r="AU101" i="40"/>
  <c r="DF101" i="40"/>
  <c r="AR101" i="40"/>
  <c r="DB107" i="40"/>
  <c r="I107" i="40"/>
  <c r="DI109" i="40"/>
  <c r="EE106" i="40"/>
  <c r="EF106" i="40" s="1"/>
  <c r="EE108" i="40"/>
  <c r="EF108" i="40" s="1"/>
  <c r="T109" i="40"/>
  <c r="R117" i="40"/>
  <c r="V109" i="40"/>
  <c r="BA117" i="40"/>
  <c r="BB109" i="40"/>
  <c r="E113" i="40"/>
  <c r="F113" i="40"/>
  <c r="E115" i="40"/>
  <c r="DF115" i="40"/>
  <c r="CW115" i="40"/>
  <c r="F115" i="40"/>
  <c r="DY115" i="40"/>
  <c r="EE115" i="40" s="1"/>
  <c r="EF115" i="40" s="1"/>
  <c r="DO115" i="40"/>
  <c r="CW113" i="40"/>
  <c r="DO113" i="40" s="1"/>
  <c r="EE114" i="40"/>
  <c r="EF114" i="40" s="1"/>
  <c r="EE116" i="40"/>
  <c r="EF116" i="40" s="1"/>
  <c r="I113" i="40"/>
  <c r="DB117" i="40"/>
  <c r="I117" i="40"/>
  <c r="DD121" i="40"/>
  <c r="DD124" i="40"/>
  <c r="DP122" i="40"/>
  <c r="H125" i="40"/>
  <c r="CC141" i="40"/>
  <c r="CF133" i="40"/>
  <c r="CE133" i="40"/>
  <c r="EE130" i="40"/>
  <c r="ED130" i="40"/>
  <c r="EE132" i="40"/>
  <c r="EF132" i="40" s="1"/>
  <c r="ED132" i="40"/>
  <c r="DE147" i="40"/>
  <c r="EE146" i="40"/>
  <c r="EF146" i="40" s="1"/>
  <c r="ED146" i="40"/>
  <c r="EE148" i="40"/>
  <c r="ED148" i="40"/>
  <c r="H17" i="14"/>
  <c r="AB107" i="14"/>
  <c r="V167" i="14"/>
  <c r="N20" i="40"/>
  <c r="G20" i="40" s="1"/>
  <c r="DB20" i="40" s="1"/>
  <c r="O29" i="40"/>
  <c r="CW28" i="40"/>
  <c r="AC37" i="40"/>
  <c r="CW36" i="40"/>
  <c r="AC45" i="40"/>
  <c r="CW43" i="40"/>
  <c r="CY51" i="40" s="1"/>
  <c r="E49" i="40"/>
  <c r="L53" i="40"/>
  <c r="N54" i="40" s="1"/>
  <c r="AJ61" i="40"/>
  <c r="AQ61" i="40"/>
  <c r="AC69" i="40"/>
  <c r="AH69" i="40"/>
  <c r="AO69" i="40"/>
  <c r="CW66" i="40"/>
  <c r="DB69" i="40"/>
  <c r="F73" i="40"/>
  <c r="F74" i="40"/>
  <c r="F75" i="40"/>
  <c r="F76" i="40"/>
  <c r="P74" i="40"/>
  <c r="AR74" i="40"/>
  <c r="S77" i="40"/>
  <c r="AJ77" i="40"/>
  <c r="AQ77" i="40"/>
  <c r="DB74" i="40"/>
  <c r="I84" i="40"/>
  <c r="O85" i="40"/>
  <c r="Z85" i="40"/>
  <c r="AB86" i="40" s="1"/>
  <c r="AQ85" i="40"/>
  <c r="CW83" i="40"/>
  <c r="CW90" i="40"/>
  <c r="I90" i="40"/>
  <c r="L93" i="40"/>
  <c r="T93" i="40"/>
  <c r="AV93" i="40"/>
  <c r="DB89" i="40"/>
  <c r="CY101" i="40"/>
  <c r="DJ98" i="40"/>
  <c r="ED98" i="40"/>
  <c r="I100" i="40"/>
  <c r="T101" i="40"/>
  <c r="AO101" i="40"/>
  <c r="AV101" i="40"/>
  <c r="P101" i="40"/>
  <c r="E106" i="40"/>
  <c r="F106" i="40"/>
  <c r="CW108" i="40"/>
  <c r="E108" i="40"/>
  <c r="DF108" i="40"/>
  <c r="F108" i="40"/>
  <c r="DP109" i="40"/>
  <c r="DK109" i="40"/>
  <c r="CX109" i="40"/>
  <c r="DQ109" i="40"/>
  <c r="CY109" i="40"/>
  <c r="DJ109" i="40"/>
  <c r="I108" i="40"/>
  <c r="DO108" i="40"/>
  <c r="S109" i="40"/>
  <c r="AV109" i="40"/>
  <c r="AX109" i="40"/>
  <c r="DL109" i="40"/>
  <c r="DF106" i="40"/>
  <c r="AQ109" i="40"/>
  <c r="AR109" i="40"/>
  <c r="DB115" i="40"/>
  <c r="DD115" i="40" s="1"/>
  <c r="I115" i="40"/>
  <c r="DP113" i="40"/>
  <c r="ED115" i="40"/>
  <c r="I116" i="40"/>
  <c r="AR117" i="40"/>
  <c r="DQ122" i="40"/>
  <c r="DJ122" i="40"/>
  <c r="CY122" i="40"/>
  <c r="DM122" i="40"/>
  <c r="DI122" i="40"/>
  <c r="DO122" i="40"/>
  <c r="DL122" i="40"/>
  <c r="DK122" i="40"/>
  <c r="DD123" i="40"/>
  <c r="K141" i="40"/>
  <c r="M133" i="40"/>
  <c r="U130" i="40"/>
  <c r="W130" i="40" s="1"/>
  <c r="U137" i="40"/>
  <c r="U129" i="40"/>
  <c r="W129" i="40" s="1"/>
  <c r="U138" i="40"/>
  <c r="U132" i="40"/>
  <c r="U139" i="40"/>
  <c r="U131" i="40"/>
  <c r="W131" i="40" s="1"/>
  <c r="AV133" i="40"/>
  <c r="AW133" i="40"/>
  <c r="CF138" i="40"/>
  <c r="CF132" i="40"/>
  <c r="CH140" i="40" s="1"/>
  <c r="CF131" i="40"/>
  <c r="CF139" i="40"/>
  <c r="CF130" i="40"/>
  <c r="Z841" i="21" s="1"/>
  <c r="CF129" i="40"/>
  <c r="Z840" i="21" s="1"/>
  <c r="CF137" i="40"/>
  <c r="AD141" i="40"/>
  <c r="AD133" i="40"/>
  <c r="EE138" i="40"/>
  <c r="EF138" i="40" s="1"/>
  <c r="ED138" i="40"/>
  <c r="DD148" i="40"/>
  <c r="J111" i="14"/>
  <c r="V111" i="14"/>
  <c r="X107" i="14"/>
  <c r="O152" i="14"/>
  <c r="O17" i="14" s="1"/>
  <c r="K254" i="14"/>
  <c r="M295" i="14"/>
  <c r="CW25" i="40"/>
  <c r="E33" i="40"/>
  <c r="L37" i="40"/>
  <c r="N38" i="40" s="1"/>
  <c r="CW33" i="40"/>
  <c r="CX34" i="40" s="1"/>
  <c r="L45" i="40"/>
  <c r="N46" i="40" s="1"/>
  <c r="CW44" i="40"/>
  <c r="F49" i="40"/>
  <c r="F50" i="40"/>
  <c r="F51" i="40"/>
  <c r="F52" i="40"/>
  <c r="H53" i="40"/>
  <c r="M53" i="40"/>
  <c r="Z53" i="40"/>
  <c r="AB54" i="40" s="1"/>
  <c r="CW53" i="40"/>
  <c r="CY60" i="40"/>
  <c r="I59" i="40"/>
  <c r="H61" i="40"/>
  <c r="Z61" i="40"/>
  <c r="AB62" i="40" s="1"/>
  <c r="S69" i="40"/>
  <c r="CW67" i="40"/>
  <c r="O77" i="40"/>
  <c r="T77" i="40"/>
  <c r="Z77" i="40"/>
  <c r="AB78" i="40" s="1"/>
  <c r="P85" i="40"/>
  <c r="AA85" i="40"/>
  <c r="AG85" i="40"/>
  <c r="CW84" i="40"/>
  <c r="CY92" i="40" s="1"/>
  <c r="CW89" i="40"/>
  <c r="I91" i="40"/>
  <c r="M93" i="40"/>
  <c r="AG93" i="40"/>
  <c r="AN93" i="40"/>
  <c r="AK93" i="40"/>
  <c r="DF100" i="40"/>
  <c r="ED97" i="40"/>
  <c r="ED101" i="40" s="1"/>
  <c r="ED99" i="40"/>
  <c r="EF99" i="40" s="1"/>
  <c r="CW97" i="40"/>
  <c r="CY98" i="40"/>
  <c r="DK98" i="40"/>
  <c r="ED100" i="40"/>
  <c r="AK101" i="40"/>
  <c r="DF98" i="40"/>
  <c r="DB106" i="40"/>
  <c r="I106" i="40"/>
  <c r="DM109" i="40"/>
  <c r="AG109" i="40"/>
  <c r="AU109" i="40"/>
  <c r="DF109" i="40"/>
  <c r="E114" i="40"/>
  <c r="DF114" i="40"/>
  <c r="F114" i="40"/>
  <c r="DF116" i="40"/>
  <c r="D117" i="40"/>
  <c r="CW116" i="40"/>
  <c r="E116" i="40"/>
  <c r="F116" i="40"/>
  <c r="AV117" i="40"/>
  <c r="AD117" i="40"/>
  <c r="DF125" i="40"/>
  <c r="CW125" i="40"/>
  <c r="F125" i="40"/>
  <c r="E125" i="40"/>
  <c r="AI132" i="40"/>
  <c r="AI131" i="40"/>
  <c r="AI130" i="40"/>
  <c r="AI129" i="40"/>
  <c r="DL131" i="40"/>
  <c r="DK131" i="40"/>
  <c r="DN131" i="40"/>
  <c r="DJ131" i="40"/>
  <c r="DM131" i="40"/>
  <c r="DI131" i="40"/>
  <c r="EE129" i="40"/>
  <c r="ED129" i="40"/>
  <c r="EE131" i="40"/>
  <c r="EF131" i="40" s="1"/>
  <c r="ED131" i="40"/>
  <c r="BD133" i="40"/>
  <c r="BC133" i="40"/>
  <c r="DN137" i="40"/>
  <c r="DJ137" i="40"/>
  <c r="DM137" i="40"/>
  <c r="DI137" i="40"/>
  <c r="DL137" i="40"/>
  <c r="DK137" i="40"/>
  <c r="ED149" i="40"/>
  <c r="AW181" i="40"/>
  <c r="AX170" i="40"/>
  <c r="AX177" i="40" s="1"/>
  <c r="AX184" i="40" s="1"/>
  <c r="AX191" i="40" s="1"/>
  <c r="AX198" i="40" s="1"/>
  <c r="AX205" i="40" s="1"/>
  <c r="AX212" i="40" s="1"/>
  <c r="AX219" i="40" s="1"/>
  <c r="AX226" i="40" s="1"/>
  <c r="AX233" i="40" s="1"/>
  <c r="AX240" i="40" s="1"/>
  <c r="AX247" i="40" s="1"/>
  <c r="AX254" i="40" s="1"/>
  <c r="W212" i="14"/>
  <c r="W215" i="14"/>
  <c r="W254" i="14"/>
  <c r="M257" i="14"/>
  <c r="R335" i="14"/>
  <c r="AD140" i="2"/>
  <c r="D13" i="40"/>
  <c r="E26" i="40"/>
  <c r="F34" i="40"/>
  <c r="F36" i="40"/>
  <c r="H37" i="40"/>
  <c r="E41" i="40"/>
  <c r="E44" i="40"/>
  <c r="I53" i="40"/>
  <c r="E61" i="40"/>
  <c r="CW61" i="40"/>
  <c r="F68" i="40"/>
  <c r="G77" i="40"/>
  <c r="AA77" i="40"/>
  <c r="F81" i="40"/>
  <c r="G85" i="40"/>
  <c r="AH85" i="40"/>
  <c r="CW85" i="40"/>
  <c r="E92" i="40"/>
  <c r="I92" i="40"/>
  <c r="V93" i="40"/>
  <c r="AC93" i="40"/>
  <c r="AX93" i="40"/>
  <c r="AQ93" i="40"/>
  <c r="E98" i="40"/>
  <c r="E99" i="40"/>
  <c r="E100" i="40"/>
  <c r="CW99" i="40"/>
  <c r="DL98" i="40"/>
  <c r="EE97" i="40"/>
  <c r="DD98" i="40"/>
  <c r="AA101" i="40"/>
  <c r="DI101" i="40"/>
  <c r="E105" i="40"/>
  <c r="F105" i="40"/>
  <c r="DF107" i="40"/>
  <c r="E107" i="40"/>
  <c r="CW107" i="40"/>
  <c r="F107" i="40"/>
  <c r="CW105" i="40"/>
  <c r="I109" i="40"/>
  <c r="Z109" i="40"/>
  <c r="AA109" i="40"/>
  <c r="AH109" i="40"/>
  <c r="DB109" i="40"/>
  <c r="O109" i="40"/>
  <c r="P109" i="40"/>
  <c r="DB114" i="40"/>
  <c r="DD114" i="40" s="1"/>
  <c r="I114" i="40"/>
  <c r="DP116" i="40"/>
  <c r="P117" i="40"/>
  <c r="AO117" i="40"/>
  <c r="BE117" i="40"/>
  <c r="DD122" i="40"/>
  <c r="EE122" i="40"/>
  <c r="ED122" i="40"/>
  <c r="EE124" i="40"/>
  <c r="EF124" i="40" s="1"/>
  <c r="ED124" i="40"/>
  <c r="T125" i="40"/>
  <c r="AO125" i="40"/>
  <c r="AW132" i="40"/>
  <c r="AW137" i="40"/>
  <c r="AW131" i="40"/>
  <c r="AW138" i="40"/>
  <c r="AW130" i="40"/>
  <c r="AW139" i="40"/>
  <c r="AW129" i="40"/>
  <c r="BD129" i="40"/>
  <c r="BD130" i="40"/>
  <c r="BD131" i="40"/>
  <c r="BD132" i="40"/>
  <c r="W141" i="40"/>
  <c r="W133" i="40"/>
  <c r="EE137" i="40"/>
  <c r="ED137" i="40"/>
  <c r="EE139" i="40"/>
  <c r="ED139" i="40"/>
  <c r="EF147" i="40"/>
  <c r="DD154" i="40"/>
  <c r="I99" i="40"/>
  <c r="O117" i="40"/>
  <c r="AK117" i="40"/>
  <c r="AQ117" i="40"/>
  <c r="BF117" i="40"/>
  <c r="F121" i="40"/>
  <c r="F122" i="40"/>
  <c r="F123" i="40"/>
  <c r="F124" i="40"/>
  <c r="CW123" i="40"/>
  <c r="DF123" i="40" s="1"/>
  <c r="DL125" i="40"/>
  <c r="DQ125" i="40"/>
  <c r="I123" i="40"/>
  <c r="I125" i="40"/>
  <c r="O125" i="40"/>
  <c r="O133" i="40" s="1"/>
  <c r="AV125" i="40"/>
  <c r="BF125" i="40"/>
  <c r="DB125" i="40"/>
  <c r="DF122" i="40"/>
  <c r="AB127" i="40"/>
  <c r="CW130" i="40"/>
  <c r="CX131" i="40" s="1"/>
  <c r="R133" i="40"/>
  <c r="T133" i="40" s="1"/>
  <c r="AI133" i="40"/>
  <c r="AP131" i="40"/>
  <c r="AB134" i="40"/>
  <c r="E137" i="40"/>
  <c r="E138" i="40"/>
  <c r="E139" i="40"/>
  <c r="CW140" i="40"/>
  <c r="CX141" i="40"/>
  <c r="DI138" i="40"/>
  <c r="DM138" i="40"/>
  <c r="DK139" i="40"/>
  <c r="ED140" i="40"/>
  <c r="EF140" i="40" s="1"/>
  <c r="AY141" i="40"/>
  <c r="BF138" i="40"/>
  <c r="E146" i="40"/>
  <c r="E148" i="40"/>
  <c r="CY145" i="40"/>
  <c r="CX147" i="40"/>
  <c r="CX149" i="40"/>
  <c r="DM148" i="40"/>
  <c r="DV149" i="40"/>
  <c r="EE145" i="40"/>
  <c r="BF149" i="40"/>
  <c r="I154" i="40"/>
  <c r="BF156" i="40"/>
  <c r="BF163" i="40"/>
  <c r="ED160" i="40"/>
  <c r="EE160" i="40"/>
  <c r="BJ166" i="40"/>
  <c r="BH167" i="40"/>
  <c r="BR176" i="40"/>
  <c r="DS121" i="40"/>
  <c r="DS123" i="40"/>
  <c r="I124" i="40"/>
  <c r="CW129" i="40"/>
  <c r="DF129" i="40" s="1"/>
  <c r="D133" i="40"/>
  <c r="DF131" i="40"/>
  <c r="AP132" i="40"/>
  <c r="F137" i="40"/>
  <c r="F138" i="40"/>
  <c r="F139" i="40"/>
  <c r="F140" i="40"/>
  <c r="DJ138" i="40"/>
  <c r="DN138" i="40"/>
  <c r="DL139" i="40"/>
  <c r="D141" i="40"/>
  <c r="E149" i="40" s="1"/>
  <c r="BA141" i="40"/>
  <c r="BF139" i="40"/>
  <c r="DF137" i="40"/>
  <c r="F145" i="40"/>
  <c r="F147" i="40"/>
  <c r="DM146" i="40"/>
  <c r="DI146" i="40"/>
  <c r="CX146" i="40"/>
  <c r="DI148" i="40"/>
  <c r="I148" i="40"/>
  <c r="EF152" i="40"/>
  <c r="EF154" i="40"/>
  <c r="P163" i="40"/>
  <c r="EF173" i="40"/>
  <c r="CW121" i="40"/>
  <c r="CX122" i="40" s="1"/>
  <c r="DO121" i="40"/>
  <c r="I121" i="40"/>
  <c r="CW132" i="40"/>
  <c r="CX137" i="40" s="1"/>
  <c r="AM133" i="40"/>
  <c r="DF132" i="40"/>
  <c r="AP129" i="40"/>
  <c r="CX139" i="40"/>
  <c r="DK138" i="40"/>
  <c r="DM139" i="40"/>
  <c r="Y141" i="40"/>
  <c r="AF141" i="40"/>
  <c r="AF149" i="40" s="1"/>
  <c r="DF138" i="40"/>
  <c r="CY146" i="40"/>
  <c r="DF146" i="40"/>
  <c r="DD155" i="40"/>
  <c r="AR156" i="40"/>
  <c r="G156" i="40"/>
  <c r="DD168" i="40"/>
  <c r="DD161" i="40"/>
  <c r="CW124" i="40"/>
  <c r="DF124" i="40" s="1"/>
  <c r="DK125" i="40"/>
  <c r="I122" i="40"/>
  <c r="M125" i="40"/>
  <c r="F129" i="40"/>
  <c r="F131" i="40"/>
  <c r="AA133" i="40"/>
  <c r="AD132" i="40"/>
  <c r="DF140" i="40"/>
  <c r="BF145" i="40"/>
  <c r="BF137" i="40"/>
  <c r="CX138" i="40"/>
  <c r="CY139" i="40"/>
  <c r="DJ139" i="40"/>
  <c r="R141" i="40"/>
  <c r="AT141" i="40"/>
  <c r="BF141" i="40"/>
  <c r="DF145" i="40"/>
  <c r="DJ145" i="40"/>
  <c r="CX145" i="40"/>
  <c r="DL147" i="40"/>
  <c r="CY147" i="40"/>
  <c r="CY148" i="40"/>
  <c r="DK145" i="40"/>
  <c r="DK146" i="40"/>
  <c r="DK147" i="40"/>
  <c r="DL148" i="40"/>
  <c r="P149" i="40"/>
  <c r="G149" i="40"/>
  <c r="DF148" i="40"/>
  <c r="DD152" i="40"/>
  <c r="EF153" i="40"/>
  <c r="AD156" i="40"/>
  <c r="AD163" i="40"/>
  <c r="DD162" i="40"/>
  <c r="I153" i="40"/>
  <c r="DB153" i="40"/>
  <c r="AK156" i="40"/>
  <c r="EE159" i="40"/>
  <c r="EE161" i="40"/>
  <c r="EF161" i="40" s="1"/>
  <c r="I161" i="40"/>
  <c r="DB159" i="40"/>
  <c r="BL163" i="40"/>
  <c r="BY166" i="40" s="1"/>
  <c r="DD169" i="40"/>
  <c r="G170" i="40"/>
  <c r="W170" i="40"/>
  <c r="AY170" i="40"/>
  <c r="BL170" i="40"/>
  <c r="ED173" i="40"/>
  <c r="ED175" i="40"/>
  <c r="EF175" i="40" s="1"/>
  <c r="G177" i="40"/>
  <c r="I180" i="40"/>
  <c r="EE180" i="40"/>
  <c r="EE182" i="40"/>
  <c r="EF182" i="40" s="1"/>
  <c r="ED180" i="40"/>
  <c r="W184" i="40"/>
  <c r="G184" i="40"/>
  <c r="W191" i="40"/>
  <c r="ED188" i="40"/>
  <c r="EF188" i="40" s="1"/>
  <c r="EF195" i="40"/>
  <c r="I162" i="40"/>
  <c r="DD160" i="40"/>
  <c r="G163" i="40"/>
  <c r="ED166" i="40"/>
  <c r="EF166" i="40" s="1"/>
  <c r="ED168" i="40"/>
  <c r="EF168" i="40" s="1"/>
  <c r="P170" i="40"/>
  <c r="AD170" i="40"/>
  <c r="AR170" i="40"/>
  <c r="BF170" i="40"/>
  <c r="BV170" i="40"/>
  <c r="P184" i="40"/>
  <c r="AD184" i="40"/>
  <c r="I188" i="40"/>
  <c r="I190" i="40"/>
  <c r="AD191" i="40"/>
  <c r="I194" i="40"/>
  <c r="I196" i="40"/>
  <c r="CI196" i="40"/>
  <c r="I155" i="40"/>
  <c r="I159" i="40"/>
  <c r="BF160" i="40"/>
  <c r="BH170" i="40"/>
  <c r="BV166" i="40"/>
  <c r="BV167" i="40" s="1"/>
  <c r="BV168" i="40" s="1"/>
  <c r="BX168" i="40" s="1"/>
  <c r="ED174" i="40"/>
  <c r="EF174" i="40" s="1"/>
  <c r="EE181" i="40"/>
  <c r="EF181" i="40" s="1"/>
  <c r="AR184" i="40"/>
  <c r="BP183" i="40"/>
  <c r="EA183" i="40" s="1"/>
  <c r="ED187" i="40"/>
  <c r="ED189" i="40"/>
  <c r="EF202" i="40"/>
  <c r="I152" i="40"/>
  <c r="AD177" i="40"/>
  <c r="BF177" i="40"/>
  <c r="I176" i="40"/>
  <c r="BO189" i="40"/>
  <c r="I189" i="40"/>
  <c r="EF187" i="40"/>
  <c r="EF189" i="40"/>
  <c r="I195" i="40"/>
  <c r="BF191" i="40"/>
  <c r="EE201" i="40"/>
  <c r="W212" i="40"/>
  <c r="I216" i="40"/>
  <c r="I209" i="40"/>
  <c r="CT226" i="40"/>
  <c r="CT233" i="40" s="1"/>
  <c r="CT240" i="40" s="1"/>
  <c r="CT247" i="40" s="1"/>
  <c r="CT254" i="40" s="1"/>
  <c r="CS217" i="40"/>
  <c r="ED194" i="40"/>
  <c r="ED195" i="40"/>
  <c r="ED196" i="40"/>
  <c r="EF196" i="40" s="1"/>
  <c r="I197" i="40"/>
  <c r="CI205" i="40"/>
  <c r="CI201" i="40"/>
  <c r="ED203" i="40"/>
  <c r="EF203" i="40" s="1"/>
  <c r="P212" i="40"/>
  <c r="AR212" i="40"/>
  <c r="I208" i="40"/>
  <c r="I218" i="40"/>
  <c r="I211" i="40"/>
  <c r="EE209" i="40"/>
  <c r="EF209" i="40" s="1"/>
  <c r="ED209" i="40"/>
  <c r="EE210" i="40"/>
  <c r="ED210" i="40"/>
  <c r="EF215" i="40"/>
  <c r="EF222" i="40"/>
  <c r="G191" i="40"/>
  <c r="I201" i="40"/>
  <c r="I210" i="40"/>
  <c r="ED208" i="40"/>
  <c r="EF208" i="40" s="1"/>
  <c r="CP216" i="40"/>
  <c r="I212" i="40"/>
  <c r="AK212" i="40"/>
  <c r="I217" i="40"/>
  <c r="ED215" i="40"/>
  <c r="ED217" i="40"/>
  <c r="EF217" i="40" s="1"/>
  <c r="G219" i="40"/>
  <c r="AK219" i="40"/>
  <c r="I223" i="40"/>
  <c r="EE224" i="40"/>
  <c r="EF224" i="40" s="1"/>
  <c r="AD219" i="40"/>
  <c r="ED223" i="40"/>
  <c r="EF223" i="40" s="1"/>
  <c r="ED216" i="40"/>
  <c r="ED218" i="40"/>
  <c r="EF218" i="40" s="1"/>
  <c r="EE216" i="40"/>
  <c r="EF216" i="40" s="1"/>
  <c r="ED222" i="40"/>
  <c r="EF238" i="40"/>
  <c r="ED230" i="40"/>
  <c r="EF230" i="40" s="1"/>
  <c r="EF237" i="40"/>
  <c r="ED229" i="40"/>
  <c r="EF229" i="40" s="1"/>
  <c r="EF236" i="40"/>
  <c r="ED237" i="40"/>
  <c r="EE243" i="40"/>
  <c r="ED243" i="40"/>
  <c r="EE245" i="40"/>
  <c r="EF245" i="40" s="1"/>
  <c r="ED245" i="40"/>
  <c r="EE244" i="40"/>
  <c r="EF244" i="40" s="1"/>
  <c r="EF250" i="40"/>
  <c r="ED251" i="40"/>
  <c r="EF251" i="40" s="1"/>
  <c r="N34" i="21"/>
  <c r="P34" i="21" s="1"/>
  <c r="L62" i="21"/>
  <c r="C106" i="14"/>
  <c r="AB27" i="21"/>
  <c r="AD34" i="21" s="1"/>
  <c r="AB32" i="21"/>
  <c r="AD69" i="21"/>
  <c r="L76" i="21"/>
  <c r="L81" i="21"/>
  <c r="U81" i="21" s="1"/>
  <c r="AK90" i="21"/>
  <c r="C111" i="14"/>
  <c r="N111" i="14"/>
  <c r="N33" i="21"/>
  <c r="P33" i="21" s="1"/>
  <c r="AD40" i="21"/>
  <c r="AB54" i="21"/>
  <c r="AK54" i="21" s="1"/>
  <c r="AK69" i="21"/>
  <c r="AK68" i="21"/>
  <c r="AB34" i="21"/>
  <c r="AB48" i="21"/>
  <c r="AD55" i="21" s="1"/>
  <c r="L55" i="21"/>
  <c r="AB61" i="21"/>
  <c r="AB91" i="21"/>
  <c r="I81" i="14"/>
  <c r="J11" i="2"/>
  <c r="J15" i="2" s="1"/>
  <c r="A18" i="2"/>
  <c r="R20" i="2"/>
  <c r="A28" i="2"/>
  <c r="P28" i="2"/>
  <c r="R25" i="2"/>
  <c r="AD14" i="2"/>
  <c r="N21" i="2"/>
  <c r="T18" i="2"/>
  <c r="D22" i="2"/>
  <c r="L22" i="2" s="1"/>
  <c r="F22" i="2"/>
  <c r="J18" i="2"/>
  <c r="N42" i="2"/>
  <c r="J35" i="2"/>
  <c r="R35" i="2" s="1"/>
  <c r="N35" i="2"/>
  <c r="AD35" i="2"/>
  <c r="P35" i="2"/>
  <c r="L34" i="2"/>
  <c r="L41" i="2"/>
  <c r="N18" i="2"/>
  <c r="L20" i="2"/>
  <c r="L27" i="2"/>
  <c r="J28" i="2"/>
  <c r="P27" i="2"/>
  <c r="L32" i="2"/>
  <c r="D29" i="2"/>
  <c r="P18" i="2"/>
  <c r="T20" i="2"/>
  <c r="R19" i="2"/>
  <c r="J27" i="2"/>
  <c r="J29" i="2" s="1"/>
  <c r="R29" i="2" s="1"/>
  <c r="N26" i="2"/>
  <c r="N28" i="2"/>
  <c r="T27" i="2"/>
  <c r="B27" i="2"/>
  <c r="R28" i="2"/>
  <c r="N33" i="2"/>
  <c r="T35" i="2"/>
  <c r="N19" i="2"/>
  <c r="P19" i="2"/>
  <c r="L28" i="2"/>
  <c r="R27" i="2"/>
  <c r="J34" i="2"/>
  <c r="J36" i="2" s="1"/>
  <c r="N34" i="2"/>
  <c r="D36" i="2"/>
  <c r="L36" i="2" s="1"/>
  <c r="R32" i="2"/>
  <c r="F36" i="2"/>
  <c r="P39" i="2"/>
  <c r="J40" i="2"/>
  <c r="R40" i="2" s="1"/>
  <c r="P48" i="2"/>
  <c r="T49" i="2"/>
  <c r="J49" i="2"/>
  <c r="R49" i="2" s="1"/>
  <c r="N56" i="2"/>
  <c r="T53" i="2"/>
  <c r="F57" i="2"/>
  <c r="L53" i="2"/>
  <c r="P61" i="2"/>
  <c r="T62" i="2"/>
  <c r="J61" i="2"/>
  <c r="J64" i="2" s="1"/>
  <c r="P70" i="2"/>
  <c r="J70" i="2"/>
  <c r="P74" i="2"/>
  <c r="T75" i="2"/>
  <c r="AM76" i="2"/>
  <c r="AI76" i="2"/>
  <c r="J76" i="2"/>
  <c r="R76" i="2" s="1"/>
  <c r="J83" i="2"/>
  <c r="AM82" i="2"/>
  <c r="P84" i="2"/>
  <c r="L82" i="2"/>
  <c r="AI91" i="2"/>
  <c r="R91" i="2"/>
  <c r="AH91" i="2"/>
  <c r="AN110" i="2"/>
  <c r="R119" i="2"/>
  <c r="AH119" i="2"/>
  <c r="T33" i="2"/>
  <c r="L33" i="2"/>
  <c r="R33" i="2"/>
  <c r="N39" i="2"/>
  <c r="P40" i="2"/>
  <c r="L42" i="2"/>
  <c r="J41" i="2"/>
  <c r="R41" i="2" s="1"/>
  <c r="R42" i="2"/>
  <c r="J48" i="2"/>
  <c r="R48" i="2" s="1"/>
  <c r="N48" i="2"/>
  <c r="P49" i="2"/>
  <c r="D50" i="2"/>
  <c r="R46" i="2"/>
  <c r="F50" i="2"/>
  <c r="P53" i="2"/>
  <c r="J54" i="2"/>
  <c r="R54" i="2" s="1"/>
  <c r="P62" i="2"/>
  <c r="J63" i="2"/>
  <c r="R63" i="2" s="1"/>
  <c r="N70" i="2"/>
  <c r="T67" i="2"/>
  <c r="F71" i="2"/>
  <c r="R67" i="2"/>
  <c r="J75" i="2"/>
  <c r="AI75" i="2" s="1"/>
  <c r="N74" i="2"/>
  <c r="P75" i="2"/>
  <c r="T76" i="2"/>
  <c r="AD75" i="2"/>
  <c r="D78" i="2"/>
  <c r="L78" i="2" s="1"/>
  <c r="R77" i="2"/>
  <c r="J77" i="2"/>
  <c r="AI77" i="2" s="1"/>
  <c r="AM83" i="2"/>
  <c r="AD83" i="2"/>
  <c r="J84" i="2"/>
  <c r="R81" i="2"/>
  <c r="R105" i="2"/>
  <c r="AH105" i="2"/>
  <c r="N40" i="2"/>
  <c r="D43" i="2"/>
  <c r="L43" i="2" s="1"/>
  <c r="L47" i="2"/>
  <c r="L46" i="2"/>
  <c r="R47" i="2"/>
  <c r="N53" i="2"/>
  <c r="P54" i="2"/>
  <c r="J55" i="2"/>
  <c r="R55" i="2" s="1"/>
  <c r="L55" i="2"/>
  <c r="R56" i="2"/>
  <c r="J62" i="2"/>
  <c r="R62" i="2" s="1"/>
  <c r="N62" i="2"/>
  <c r="P63" i="2"/>
  <c r="D64" i="2"/>
  <c r="R60" i="2"/>
  <c r="F64" i="2"/>
  <c r="P67" i="2"/>
  <c r="J68" i="2"/>
  <c r="R68" i="2" s="1"/>
  <c r="L68" i="2"/>
  <c r="AI69" i="2"/>
  <c r="N75" i="2"/>
  <c r="P76" i="2"/>
  <c r="AD76" i="2"/>
  <c r="AM74" i="2"/>
  <c r="F78" i="2"/>
  <c r="AM84" i="2"/>
  <c r="N91" i="2"/>
  <c r="X84" i="2"/>
  <c r="AN82" i="2"/>
  <c r="AP82" i="2" s="1"/>
  <c r="AH90" i="2"/>
  <c r="AI90" i="2"/>
  <c r="R112" i="2"/>
  <c r="AH112" i="2"/>
  <c r="AN117" i="2"/>
  <c r="F43" i="2"/>
  <c r="D57" i="2"/>
  <c r="L57" i="2" s="1"/>
  <c r="R61" i="2"/>
  <c r="J71" i="2"/>
  <c r="N67" i="2"/>
  <c r="P68" i="2"/>
  <c r="L70" i="2"/>
  <c r="N76" i="2"/>
  <c r="AM75" i="2"/>
  <c r="J74" i="2"/>
  <c r="J78" i="2" s="1"/>
  <c r="R75" i="2"/>
  <c r="AP81" i="2"/>
  <c r="T77" i="2"/>
  <c r="F85" i="2"/>
  <c r="N25" i="2"/>
  <c r="P25" i="2"/>
  <c r="T25" i="2"/>
  <c r="N32" i="2"/>
  <c r="P32" i="2"/>
  <c r="X32" i="2"/>
  <c r="N41" i="2"/>
  <c r="P41" i="2"/>
  <c r="X41" i="2"/>
  <c r="N46" i="2"/>
  <c r="P46" i="2"/>
  <c r="N55" i="2"/>
  <c r="P55" i="2"/>
  <c r="N60" i="2"/>
  <c r="P60" i="2"/>
  <c r="N69" i="2"/>
  <c r="P69" i="2"/>
  <c r="N77" i="2"/>
  <c r="P77" i="2"/>
  <c r="J82" i="2"/>
  <c r="AH82" i="2" s="1"/>
  <c r="N81" i="2"/>
  <c r="P81" i="2"/>
  <c r="L81" i="2"/>
  <c r="D85" i="2"/>
  <c r="L85" i="2" s="1"/>
  <c r="R84" i="2"/>
  <c r="P88" i="2"/>
  <c r="T89" i="2"/>
  <c r="AP91" i="2"/>
  <c r="T90" i="2"/>
  <c r="P95" i="2"/>
  <c r="T97" i="2"/>
  <c r="AH98" i="2"/>
  <c r="P103" i="2"/>
  <c r="T104" i="2"/>
  <c r="D106" i="2"/>
  <c r="L106" i="2" s="1"/>
  <c r="R102" i="2"/>
  <c r="F106" i="2"/>
  <c r="AI102" i="2"/>
  <c r="AN102" i="2"/>
  <c r="P110" i="2"/>
  <c r="T111" i="2"/>
  <c r="D113" i="2"/>
  <c r="L113" i="2" s="1"/>
  <c r="R109" i="2"/>
  <c r="F113" i="2"/>
  <c r="AI109" i="2"/>
  <c r="AN109" i="2"/>
  <c r="AH123" i="2"/>
  <c r="P117" i="2"/>
  <c r="T118" i="2"/>
  <c r="D120" i="2"/>
  <c r="L120" i="2" s="1"/>
  <c r="R116" i="2"/>
  <c r="F120" i="2"/>
  <c r="AI116" i="2"/>
  <c r="AN116" i="2"/>
  <c r="P124" i="2"/>
  <c r="T125" i="2"/>
  <c r="AD124" i="2"/>
  <c r="D127" i="2"/>
  <c r="R123" i="2"/>
  <c r="F127" i="2"/>
  <c r="AI123" i="2"/>
  <c r="T131" i="2"/>
  <c r="J132" i="2"/>
  <c r="AF137" i="2"/>
  <c r="AF147" i="2"/>
  <c r="AF144" i="2"/>
  <c r="AN153" i="2"/>
  <c r="J88" i="2"/>
  <c r="AI88" i="2" s="1"/>
  <c r="N88" i="2"/>
  <c r="P89" i="2"/>
  <c r="AM88" i="2"/>
  <c r="F92" i="2"/>
  <c r="R88" i="2"/>
  <c r="N95" i="2"/>
  <c r="AM95" i="2"/>
  <c r="J95" i="2"/>
  <c r="AM103" i="2"/>
  <c r="N110" i="2"/>
  <c r="L110" i="2"/>
  <c r="N117" i="2"/>
  <c r="P118" i="2"/>
  <c r="L117" i="2"/>
  <c r="AN123" i="2"/>
  <c r="N124" i="2"/>
  <c r="P125" i="2"/>
  <c r="AD125" i="2"/>
  <c r="AM124" i="2"/>
  <c r="L124" i="2"/>
  <c r="AI124" i="2"/>
  <c r="T123" i="2"/>
  <c r="J124" i="2"/>
  <c r="J127" i="2" s="1"/>
  <c r="AF132" i="2"/>
  <c r="L132" i="2"/>
  <c r="AI131" i="2"/>
  <c r="L131" i="2"/>
  <c r="L137" i="2"/>
  <c r="R82" i="2"/>
  <c r="N89" i="2"/>
  <c r="AM89" i="2"/>
  <c r="AN90" i="2" s="1"/>
  <c r="AP90" i="2" s="1"/>
  <c r="AI89" i="2"/>
  <c r="J89" i="2"/>
  <c r="L89" i="2"/>
  <c r="AM97" i="2"/>
  <c r="AN98" i="2" s="1"/>
  <c r="AP98" i="2" s="1"/>
  <c r="J96" i="2"/>
  <c r="R96" i="2" s="1"/>
  <c r="R97" i="2"/>
  <c r="N104" i="2"/>
  <c r="P105" i="2"/>
  <c r="AM104" i="2"/>
  <c r="AN105" i="2" s="1"/>
  <c r="J103" i="2"/>
  <c r="AH103" i="2" s="1"/>
  <c r="R104" i="2"/>
  <c r="J111" i="2"/>
  <c r="AH111" i="2" s="1"/>
  <c r="N111" i="2"/>
  <c r="P112" i="2"/>
  <c r="AM111" i="2"/>
  <c r="AN112" i="2" s="1"/>
  <c r="J110" i="2"/>
  <c r="AH110" i="2" s="1"/>
  <c r="R111" i="2"/>
  <c r="J118" i="2"/>
  <c r="AH118" i="2" s="1"/>
  <c r="N118" i="2"/>
  <c r="P119" i="2"/>
  <c r="AM118" i="2"/>
  <c r="AN119" i="2" s="1"/>
  <c r="J117" i="2"/>
  <c r="AH117" i="2" s="1"/>
  <c r="R118" i="2"/>
  <c r="N125" i="2"/>
  <c r="P126" i="2"/>
  <c r="AM125" i="2"/>
  <c r="AN126" i="2" s="1"/>
  <c r="R125" i="2"/>
  <c r="J126" i="2"/>
  <c r="AN131" i="2"/>
  <c r="AI138" i="2"/>
  <c r="AF146" i="2"/>
  <c r="AI83" i="2"/>
  <c r="L83" i="2"/>
  <c r="T88" i="2"/>
  <c r="R90" i="2"/>
  <c r="T96" i="2"/>
  <c r="J97" i="2"/>
  <c r="AH97" i="2" s="1"/>
  <c r="R98" i="2"/>
  <c r="T103" i="2"/>
  <c r="AI105" i="2"/>
  <c r="T110" i="2"/>
  <c r="AI112" i="2"/>
  <c r="T117" i="2"/>
  <c r="AI119" i="2"/>
  <c r="T124" i="2"/>
  <c r="L133" i="2"/>
  <c r="L126" i="2"/>
  <c r="AI126" i="2"/>
  <c r="AN124" i="2"/>
  <c r="AM131" i="2"/>
  <c r="P131" i="2"/>
  <c r="D134" i="2"/>
  <c r="L134" i="2" s="1"/>
  <c r="T132" i="2"/>
  <c r="N90" i="2"/>
  <c r="P90" i="2"/>
  <c r="N96" i="2"/>
  <c r="P96" i="2"/>
  <c r="F99" i="2"/>
  <c r="N102" i="2"/>
  <c r="P102" i="2"/>
  <c r="N109" i="2"/>
  <c r="P109" i="2"/>
  <c r="N116" i="2"/>
  <c r="P116" i="2"/>
  <c r="N123" i="2"/>
  <c r="P123" i="2"/>
  <c r="AD123" i="2"/>
  <c r="N130" i="2"/>
  <c r="P130" i="2"/>
  <c r="T130" i="2"/>
  <c r="AD133" i="2"/>
  <c r="AM133" i="2"/>
  <c r="J140" i="2"/>
  <c r="AH140" i="2" s="1"/>
  <c r="N140" i="2"/>
  <c r="T137" i="2"/>
  <c r="AM140" i="2"/>
  <c r="J139" i="2"/>
  <c r="R140" i="2"/>
  <c r="J146" i="2"/>
  <c r="J147" i="2"/>
  <c r="AH147" i="2" s="1"/>
  <c r="N147" i="2"/>
  <c r="T144" i="2"/>
  <c r="AM147" i="2"/>
  <c r="T145" i="2"/>
  <c r="P153" i="2"/>
  <c r="AD153" i="2"/>
  <c r="AF153" i="2" s="1"/>
  <c r="T151" i="2"/>
  <c r="J151" i="2"/>
  <c r="P159" i="2"/>
  <c r="AD159" i="2"/>
  <c r="AF159" i="2" s="1"/>
  <c r="AH161" i="2"/>
  <c r="AN168" i="2"/>
  <c r="P137" i="2"/>
  <c r="D141" i="2"/>
  <c r="L141" i="2" s="1"/>
  <c r="P144" i="2"/>
  <c r="D148" i="2"/>
  <c r="R147" i="2"/>
  <c r="L144" i="2"/>
  <c r="AN151" i="2"/>
  <c r="AN155" i="2" s="1"/>
  <c r="AN152" i="2"/>
  <c r="AI153" i="2"/>
  <c r="R154" i="2"/>
  <c r="AH154" i="2"/>
  <c r="AI154" i="2"/>
  <c r="J158" i="2"/>
  <c r="J159" i="2"/>
  <c r="AI159" i="2" s="1"/>
  <c r="N158" i="2"/>
  <c r="T158" i="2"/>
  <c r="AM158" i="2"/>
  <c r="AI175" i="2"/>
  <c r="AH175" i="2"/>
  <c r="N132" i="2"/>
  <c r="P132" i="2"/>
  <c r="AI130" i="2"/>
  <c r="F134" i="2"/>
  <c r="J133" i="2"/>
  <c r="AH133" i="2" s="1"/>
  <c r="R131" i="2"/>
  <c r="N137" i="2"/>
  <c r="T140" i="2"/>
  <c r="AM137" i="2"/>
  <c r="AI137" i="2"/>
  <c r="J137" i="2"/>
  <c r="N144" i="2"/>
  <c r="T147" i="2"/>
  <c r="AM144" i="2"/>
  <c r="F148" i="2"/>
  <c r="J144" i="2"/>
  <c r="AI147" i="2"/>
  <c r="J152" i="2"/>
  <c r="J153" i="2"/>
  <c r="N153" i="2"/>
  <c r="T153" i="2"/>
  <c r="N159" i="2"/>
  <c r="T159" i="2"/>
  <c r="D162" i="2"/>
  <c r="L162" i="2" s="1"/>
  <c r="T160" i="2"/>
  <c r="R161" i="2"/>
  <c r="R165" i="2"/>
  <c r="AH165" i="2"/>
  <c r="L169" i="2"/>
  <c r="AI165" i="2"/>
  <c r="N133" i="2"/>
  <c r="P133" i="2"/>
  <c r="AM132" i="2"/>
  <c r="AN133" i="2" s="1"/>
  <c r="P140" i="2"/>
  <c r="AN140" i="2"/>
  <c r="L139" i="2"/>
  <c r="R138" i="2"/>
  <c r="P147" i="2"/>
  <c r="AN147" i="2"/>
  <c r="L146" i="2"/>
  <c r="AI145" i="2"/>
  <c r="D155" i="2"/>
  <c r="L155" i="2" s="1"/>
  <c r="R151" i="2"/>
  <c r="F155" i="2"/>
  <c r="L153" i="2"/>
  <c r="P158" i="2"/>
  <c r="AD158" i="2"/>
  <c r="J160" i="2"/>
  <c r="N138" i="2"/>
  <c r="P138" i="2"/>
  <c r="AD138" i="2"/>
  <c r="F141" i="2"/>
  <c r="N145" i="2"/>
  <c r="P145" i="2"/>
  <c r="AD145" i="2"/>
  <c r="N151" i="2"/>
  <c r="P151" i="2"/>
  <c r="AD151" i="2"/>
  <c r="AF151" i="2" s="1"/>
  <c r="N161" i="2"/>
  <c r="P161" i="2"/>
  <c r="T161" i="2"/>
  <c r="AD161" i="2"/>
  <c r="AF161" i="2" s="1"/>
  <c r="N168" i="2"/>
  <c r="P168" i="2"/>
  <c r="T168" i="2"/>
  <c r="AD168" i="2"/>
  <c r="J166" i="2"/>
  <c r="J169" i="2" s="1"/>
  <c r="L165" i="2"/>
  <c r="R168" i="2"/>
  <c r="T173" i="2"/>
  <c r="N174" i="2"/>
  <c r="P174" i="2"/>
  <c r="AM173" i="2"/>
  <c r="AN174" i="2" s="1"/>
  <c r="F176" i="2"/>
  <c r="J181" i="2"/>
  <c r="N181" i="2"/>
  <c r="AD181" i="2"/>
  <c r="L187" i="2"/>
  <c r="L180" i="2"/>
  <c r="J179" i="2"/>
  <c r="L182" i="2"/>
  <c r="J188" i="2"/>
  <c r="AH188" i="2" s="1"/>
  <c r="N189" i="2"/>
  <c r="L197" i="2"/>
  <c r="N165" i="2"/>
  <c r="P165" i="2"/>
  <c r="T165" i="2"/>
  <c r="AD165" i="2"/>
  <c r="AF165" i="2" s="1"/>
  <c r="AM165" i="2"/>
  <c r="J167" i="2"/>
  <c r="AI168" i="2"/>
  <c r="N175" i="2"/>
  <c r="P175" i="2"/>
  <c r="AD175" i="2"/>
  <c r="AF175" i="2" s="1"/>
  <c r="J172" i="2"/>
  <c r="R173" i="2"/>
  <c r="AI173" i="2"/>
  <c r="AN181" i="2"/>
  <c r="J182" i="2"/>
  <c r="AM188" i="2"/>
  <c r="AN189" i="2" s="1"/>
  <c r="J189" i="2"/>
  <c r="P188" i="2"/>
  <c r="AI186" i="2"/>
  <c r="F162" i="2"/>
  <c r="AI158" i="2"/>
  <c r="N166" i="2"/>
  <c r="P166" i="2"/>
  <c r="T166" i="2"/>
  <c r="AD166" i="2"/>
  <c r="AF166" i="2" s="1"/>
  <c r="F169" i="2"/>
  <c r="N172" i="2"/>
  <c r="P172" i="2"/>
  <c r="AD172" i="2"/>
  <c r="AM175" i="2"/>
  <c r="AN175" i="2" s="1"/>
  <c r="R174" i="2"/>
  <c r="T181" i="2"/>
  <c r="AM182" i="2"/>
  <c r="AN182" i="2" s="1"/>
  <c r="AD182" i="2"/>
  <c r="AF182" i="2" s="1"/>
  <c r="P182" i="2"/>
  <c r="N182" i="2"/>
  <c r="J186" i="2"/>
  <c r="P181" i="2"/>
  <c r="AI182" i="2"/>
  <c r="T188" i="2"/>
  <c r="AM189" i="2"/>
  <c r="P189" i="2"/>
  <c r="N154" i="2"/>
  <c r="P154" i="2"/>
  <c r="AD154" i="2"/>
  <c r="AF154" i="2" s="1"/>
  <c r="N160" i="2"/>
  <c r="P160" i="2"/>
  <c r="AD160" i="2"/>
  <c r="AF160" i="2" s="1"/>
  <c r="N167" i="2"/>
  <c r="P167" i="2"/>
  <c r="AD167" i="2"/>
  <c r="N173" i="2"/>
  <c r="P173" i="2"/>
  <c r="AD173" i="2"/>
  <c r="AM172" i="2"/>
  <c r="L179" i="2"/>
  <c r="L172" i="2"/>
  <c r="D176" i="2"/>
  <c r="L176" i="2" s="1"/>
  <c r="R175" i="2"/>
  <c r="D183" i="2"/>
  <c r="L183" i="2" s="1"/>
  <c r="R179" i="2"/>
  <c r="F183" i="2"/>
  <c r="AI179" i="2"/>
  <c r="AN187" i="2"/>
  <c r="AN186" i="2"/>
  <c r="N188" i="2"/>
  <c r="AI188" i="2"/>
  <c r="AI196" i="2"/>
  <c r="AH200" i="2"/>
  <c r="AI200" i="2"/>
  <c r="N179" i="2"/>
  <c r="P179" i="2"/>
  <c r="AD179" i="2"/>
  <c r="AF179" i="2" s="1"/>
  <c r="AM179" i="2"/>
  <c r="T186" i="2"/>
  <c r="N187" i="2"/>
  <c r="P187" i="2"/>
  <c r="AM187" i="2"/>
  <c r="F190" i="2"/>
  <c r="L188" i="2"/>
  <c r="R187" i="2"/>
  <c r="T194" i="2"/>
  <c r="N195" i="2"/>
  <c r="P195" i="2"/>
  <c r="AD195" i="2"/>
  <c r="AM195" i="2"/>
  <c r="AN196" i="2" s="1"/>
  <c r="J193" i="2"/>
  <c r="R195" i="2"/>
  <c r="J201" i="2"/>
  <c r="AI201" i="2" s="1"/>
  <c r="L200" i="2"/>
  <c r="R188" i="2"/>
  <c r="N196" i="2"/>
  <c r="P196" i="2"/>
  <c r="AD196" i="2"/>
  <c r="J194" i="2"/>
  <c r="L193" i="2"/>
  <c r="R196" i="2"/>
  <c r="N200" i="2"/>
  <c r="P200" i="2"/>
  <c r="AD200" i="2"/>
  <c r="AM200" i="2"/>
  <c r="J202" i="2"/>
  <c r="AH202" i="2" s="1"/>
  <c r="R200" i="2"/>
  <c r="N193" i="2"/>
  <c r="P193" i="2"/>
  <c r="AD193" i="2"/>
  <c r="AF193" i="2" s="1"/>
  <c r="AM193" i="2"/>
  <c r="N201" i="2"/>
  <c r="P201" i="2"/>
  <c r="AD201" i="2"/>
  <c r="AM201" i="2"/>
  <c r="AN202" i="2" s="1"/>
  <c r="N186" i="2"/>
  <c r="P186" i="2"/>
  <c r="AD186" i="2"/>
  <c r="AF186" i="2" s="1"/>
  <c r="N194" i="2"/>
  <c r="P194" i="2"/>
  <c r="AD194" i="2"/>
  <c r="F197" i="2"/>
  <c r="N202" i="2"/>
  <c r="P202" i="2"/>
  <c r="AD202" i="2"/>
  <c r="Z42" i="35"/>
  <c r="AA36" i="35"/>
  <c r="N6" i="31"/>
  <c r="Z7" i="35"/>
  <c r="CP43" i="35"/>
  <c r="CQ37" i="35"/>
  <c r="AP40" i="35"/>
  <c r="AQ34" i="35"/>
  <c r="AT43" i="35"/>
  <c r="AU37" i="35"/>
  <c r="AQ36" i="35"/>
  <c r="AP42" i="35"/>
  <c r="B41" i="35"/>
  <c r="B35" i="35"/>
  <c r="B29" i="35"/>
  <c r="B23" i="35"/>
  <c r="B43" i="35"/>
  <c r="B37" i="35"/>
  <c r="B25" i="35"/>
  <c r="H35" i="35"/>
  <c r="H23" i="35"/>
  <c r="H37" i="35"/>
  <c r="H25" i="35"/>
  <c r="L35" i="35"/>
  <c r="L23" i="35"/>
  <c r="L37" i="35"/>
  <c r="L25" i="35"/>
  <c r="P35" i="35"/>
  <c r="P23" i="35"/>
  <c r="P37" i="35"/>
  <c r="P25" i="35"/>
  <c r="T35" i="35"/>
  <c r="T23" i="35"/>
  <c r="T17" i="35"/>
  <c r="T37" i="35"/>
  <c r="T19" i="35"/>
  <c r="T31" i="35"/>
  <c r="T25" i="35"/>
  <c r="X35" i="35"/>
  <c r="X29" i="35"/>
  <c r="X23" i="35"/>
  <c r="X37" i="35"/>
  <c r="X31" i="35"/>
  <c r="X25" i="35"/>
  <c r="AB35" i="35"/>
  <c r="AB23" i="35"/>
  <c r="AB37" i="35"/>
  <c r="AB31" i="35"/>
  <c r="AB25" i="35"/>
  <c r="AF29" i="35"/>
  <c r="AF35" i="35"/>
  <c r="AF23" i="35"/>
  <c r="AF37" i="35"/>
  <c r="AF25" i="35"/>
  <c r="AJ35" i="35"/>
  <c r="AJ29" i="35"/>
  <c r="AJ23" i="35"/>
  <c r="AJ37" i="35"/>
  <c r="AJ25" i="35"/>
  <c r="AN29" i="35"/>
  <c r="AN35" i="35"/>
  <c r="AN23" i="35"/>
  <c r="AN37" i="35"/>
  <c r="AN25" i="35"/>
  <c r="AR35" i="35"/>
  <c r="AR23" i="35"/>
  <c r="AR37" i="35"/>
  <c r="AR25" i="35"/>
  <c r="AV29" i="35"/>
  <c r="AV35" i="35"/>
  <c r="AV23" i="35"/>
  <c r="AV37" i="35"/>
  <c r="AV25" i="35"/>
  <c r="AZ35" i="35"/>
  <c r="AZ29" i="35"/>
  <c r="AZ23" i="35"/>
  <c r="AZ37" i="35"/>
  <c r="AZ25" i="35"/>
  <c r="BD29" i="35"/>
  <c r="BD35" i="35"/>
  <c r="BD23" i="35"/>
  <c r="BD37" i="35"/>
  <c r="BD31" i="35"/>
  <c r="BD25" i="35"/>
  <c r="BH29" i="35"/>
  <c r="BH23" i="35"/>
  <c r="BH37" i="35"/>
  <c r="BH31" i="35"/>
  <c r="BH25" i="35"/>
  <c r="BL35" i="35"/>
  <c r="BL29" i="35"/>
  <c r="BL23" i="35"/>
  <c r="BL37" i="35"/>
  <c r="BL31" i="35"/>
  <c r="BL25" i="35"/>
  <c r="BP29" i="35"/>
  <c r="BP35" i="35"/>
  <c r="BP23" i="35"/>
  <c r="BP37" i="35"/>
  <c r="BP31" i="35"/>
  <c r="BP25" i="35"/>
  <c r="BT35" i="35"/>
  <c r="BT29" i="35"/>
  <c r="BT23" i="35"/>
  <c r="BT37" i="35"/>
  <c r="BT31" i="35"/>
  <c r="BT25" i="35"/>
  <c r="BX35" i="35"/>
  <c r="BX29" i="35"/>
  <c r="BX23" i="35"/>
  <c r="BX37" i="35"/>
  <c r="BX31" i="35"/>
  <c r="BX25" i="35"/>
  <c r="CB35" i="35"/>
  <c r="CB29" i="35"/>
  <c r="CB23" i="35"/>
  <c r="CB37" i="35"/>
  <c r="CB31" i="35"/>
  <c r="CB25" i="35"/>
  <c r="CF29" i="35"/>
  <c r="CF23" i="35"/>
  <c r="CF37" i="35"/>
  <c r="CF31" i="35"/>
  <c r="CF25" i="35"/>
  <c r="CT43" i="35"/>
  <c r="CU37" i="35"/>
  <c r="H16" i="35"/>
  <c r="H18" i="35"/>
  <c r="L16" i="35"/>
  <c r="L18" i="35"/>
  <c r="P16" i="35"/>
  <c r="P18" i="35"/>
  <c r="T16" i="35"/>
  <c r="V41" i="35"/>
  <c r="W18" i="35"/>
  <c r="X19" i="35"/>
  <c r="Z41" i="35"/>
  <c r="AA35" i="35"/>
  <c r="AA18" i="35"/>
  <c r="AB19" i="35"/>
  <c r="AD41" i="35"/>
  <c r="AE18" i="35"/>
  <c r="AF19" i="35"/>
  <c r="AH35" i="35"/>
  <c r="AI18" i="35"/>
  <c r="AJ19" i="35"/>
  <c r="AL35" i="35"/>
  <c r="AM18" i="35"/>
  <c r="AN19" i="35"/>
  <c r="AP41" i="35"/>
  <c r="AQ35" i="35"/>
  <c r="AQ18" i="35"/>
  <c r="AR19" i="35"/>
  <c r="AT41" i="35"/>
  <c r="AU35" i="35"/>
  <c r="AU18" i="35"/>
  <c r="AV19" i="35"/>
  <c r="AX35" i="35"/>
  <c r="AY18" i="35"/>
  <c r="AZ19" i="35"/>
  <c r="BB35" i="35"/>
  <c r="BC17" i="35"/>
  <c r="BB43" i="35"/>
  <c r="BC37" i="35"/>
  <c r="BG17" i="35"/>
  <c r="BH19" i="35"/>
  <c r="BS16" i="35"/>
  <c r="CT35" i="35"/>
  <c r="CU17" i="35"/>
  <c r="CY17" i="35"/>
  <c r="AJ31" i="35"/>
  <c r="AR29" i="35"/>
  <c r="AZ31" i="35"/>
  <c r="AQ29" i="35"/>
  <c r="A35" i="35"/>
  <c r="CF35" i="35"/>
  <c r="AE36" i="35"/>
  <c r="AD42" i="35"/>
  <c r="AM36" i="35"/>
  <c r="AL42" i="35"/>
  <c r="AY36" i="35"/>
  <c r="AX42" i="35"/>
  <c r="BC18" i="35"/>
  <c r="A23" i="35"/>
  <c r="A40" i="35"/>
  <c r="A34" i="35"/>
  <c r="A28" i="35"/>
  <c r="A42" i="35"/>
  <c r="A36" i="35"/>
  <c r="A30" i="35"/>
  <c r="CU13" i="35"/>
  <c r="A17" i="35"/>
  <c r="A19" i="35"/>
  <c r="V40" i="35"/>
  <c r="W34" i="35"/>
  <c r="Z40" i="35"/>
  <c r="AA34" i="35"/>
  <c r="AD40" i="35"/>
  <c r="AE34" i="35"/>
  <c r="AH40" i="35"/>
  <c r="AI34" i="35"/>
  <c r="AL40" i="35"/>
  <c r="AN18" i="35"/>
  <c r="AT40" i="35"/>
  <c r="AU34" i="35"/>
  <c r="AV18" i="35"/>
  <c r="AX40" i="35"/>
  <c r="AY34" i="35"/>
  <c r="BD17" i="35"/>
  <c r="BC19" i="35"/>
  <c r="BH17" i="35"/>
  <c r="BN37" i="35"/>
  <c r="BO19" i="35"/>
  <c r="BR35" i="35"/>
  <c r="BS17" i="35"/>
  <c r="BS19" i="35"/>
  <c r="BV35" i="35"/>
  <c r="BW17" i="35"/>
  <c r="BV37" i="35"/>
  <c r="BW19" i="35"/>
  <c r="BZ35" i="35"/>
  <c r="CA17" i="35"/>
  <c r="BZ37" i="35"/>
  <c r="CA19" i="35"/>
  <c r="CD35" i="35"/>
  <c r="CE17" i="35"/>
  <c r="CD37" i="35"/>
  <c r="CE19" i="35"/>
  <c r="CH35" i="35"/>
  <c r="CI17" i="35"/>
  <c r="CH37" i="35"/>
  <c r="CI19" i="35"/>
  <c r="CL35" i="35"/>
  <c r="CM17" i="35"/>
  <c r="CM19" i="35"/>
  <c r="CU19" i="35"/>
  <c r="BJ35" i="35"/>
  <c r="BK17" i="35"/>
  <c r="BJ37" i="35"/>
  <c r="BK19" i="35"/>
  <c r="AV24" i="35"/>
  <c r="A29" i="35"/>
  <c r="W30" i="35"/>
  <c r="AF31" i="35"/>
  <c r="AV31" i="35"/>
  <c r="R36" i="35"/>
  <c r="AE35" i="35"/>
  <c r="DB43" i="35"/>
  <c r="DC37" i="35"/>
  <c r="B40" i="35"/>
  <c r="B34" i="35"/>
  <c r="B22" i="35"/>
  <c r="B28" i="35"/>
  <c r="B42" i="35"/>
  <c r="B36" i="35"/>
  <c r="B24" i="35"/>
  <c r="H34" i="35"/>
  <c r="H22" i="35"/>
  <c r="H36" i="35"/>
  <c r="H24" i="35"/>
  <c r="L22" i="35"/>
  <c r="L34" i="35"/>
  <c r="L36" i="35"/>
  <c r="L24" i="35"/>
  <c r="P34" i="35"/>
  <c r="P22" i="35"/>
  <c r="P36" i="35"/>
  <c r="P24" i="35"/>
  <c r="T22" i="35"/>
  <c r="T34" i="35"/>
  <c r="T36" i="35"/>
  <c r="T30" i="35"/>
  <c r="T24" i="35"/>
  <c r="X36" i="35"/>
  <c r="X30" i="35"/>
  <c r="X24" i="35"/>
  <c r="AB28" i="35"/>
  <c r="AB34" i="35"/>
  <c r="AB22" i="35"/>
  <c r="AB36" i="35"/>
  <c r="AB24" i="35"/>
  <c r="AB30" i="35"/>
  <c r="AF34" i="35"/>
  <c r="AF28" i="35"/>
  <c r="AF22" i="35"/>
  <c r="AF36" i="35"/>
  <c r="AF24" i="35"/>
  <c r="AJ28" i="35"/>
  <c r="AJ22" i="35"/>
  <c r="AJ24" i="35"/>
  <c r="AJ36" i="35"/>
  <c r="AN34" i="35"/>
  <c r="AN28" i="35"/>
  <c r="AN22" i="35"/>
  <c r="AN36" i="35"/>
  <c r="AN24" i="35"/>
  <c r="AR34" i="35"/>
  <c r="AR28" i="35"/>
  <c r="AR22" i="35"/>
  <c r="AR36" i="35"/>
  <c r="AR30" i="35"/>
  <c r="AR24" i="35"/>
  <c r="AV34" i="35"/>
  <c r="AV28" i="35"/>
  <c r="AV22" i="35"/>
  <c r="AZ34" i="35"/>
  <c r="AZ28" i="35"/>
  <c r="AZ22" i="35"/>
  <c r="AZ36" i="35"/>
  <c r="AZ24" i="35"/>
  <c r="BD34" i="35"/>
  <c r="BD28" i="35"/>
  <c r="BD22" i="35"/>
  <c r="BD36" i="35"/>
  <c r="BD30" i="35"/>
  <c r="BD24" i="35"/>
  <c r="BD18" i="35"/>
  <c r="BH34" i="35"/>
  <c r="BH28" i="35"/>
  <c r="BH22" i="35"/>
  <c r="BH36" i="35"/>
  <c r="BH30" i="35"/>
  <c r="BH24" i="35"/>
  <c r="BL34" i="35"/>
  <c r="BL28" i="35"/>
  <c r="BL22" i="35"/>
  <c r="BL36" i="35"/>
  <c r="BL30" i="35"/>
  <c r="BL24" i="35"/>
  <c r="BL18" i="35"/>
  <c r="BP34" i="35"/>
  <c r="BP28" i="35"/>
  <c r="BP22" i="35"/>
  <c r="BP16" i="35"/>
  <c r="BP36" i="35"/>
  <c r="BP30" i="35"/>
  <c r="BP24" i="35"/>
  <c r="BP18" i="35"/>
  <c r="BT34" i="35"/>
  <c r="BT28" i="35"/>
  <c r="BT22" i="35"/>
  <c r="BT16" i="35"/>
  <c r="BT36" i="35"/>
  <c r="BT30" i="35"/>
  <c r="BT24" i="35"/>
  <c r="BT18" i="35"/>
  <c r="BX36" i="35"/>
  <c r="BX30" i="35"/>
  <c r="BX24" i="35"/>
  <c r="BX18" i="35"/>
  <c r="CB34" i="35"/>
  <c r="CB28" i="35"/>
  <c r="CB22" i="35"/>
  <c r="CB16" i="35"/>
  <c r="CB36" i="35"/>
  <c r="CB30" i="35"/>
  <c r="CB18" i="35"/>
  <c r="CF34" i="35"/>
  <c r="CF28" i="35"/>
  <c r="CF22" i="35"/>
  <c r="CF16" i="35"/>
  <c r="CF36" i="35"/>
  <c r="CF30" i="35"/>
  <c r="CF18" i="35"/>
  <c r="CL43" i="35"/>
  <c r="CM37" i="35"/>
  <c r="CQ13" i="35"/>
  <c r="Z43" i="35"/>
  <c r="AA37" i="35"/>
  <c r="AD43" i="35"/>
  <c r="AE37" i="35"/>
  <c r="AH43" i="35"/>
  <c r="AI37" i="35"/>
  <c r="AL43" i="35"/>
  <c r="AM37" i="35"/>
  <c r="AP43" i="35"/>
  <c r="AQ37" i="35"/>
  <c r="AX43" i="35"/>
  <c r="AY37" i="35"/>
  <c r="BB36" i="35"/>
  <c r="BF42" i="35" s="1"/>
  <c r="BG18" i="35"/>
  <c r="BH18" i="35"/>
  <c r="BN40" i="35"/>
  <c r="BO34" i="35"/>
  <c r="CP35" i="35"/>
  <c r="CQ17" i="35"/>
  <c r="A22" i="35"/>
  <c r="B30" i="35"/>
  <c r="AJ30" i="35"/>
  <c r="AM29" i="35"/>
  <c r="AZ30" i="35"/>
  <c r="BC29" i="35"/>
  <c r="BG29" i="35"/>
  <c r="X34" i="35"/>
  <c r="AJ34" i="35"/>
  <c r="A43" i="35"/>
  <c r="A37" i="35"/>
  <c r="A31" i="35"/>
  <c r="V42" i="35"/>
  <c r="W36" i="35"/>
  <c r="AI36" i="35"/>
  <c r="AH42" i="35"/>
  <c r="AU36" i="35"/>
  <c r="AT42" i="35"/>
  <c r="BF34" i="35"/>
  <c r="BK16" i="35"/>
  <c r="BG16" i="35"/>
  <c r="BR43" i="35"/>
  <c r="BS37" i="35"/>
  <c r="BB40" i="35"/>
  <c r="BO36" i="35"/>
  <c r="BN42" i="35"/>
  <c r="BS36" i="35"/>
  <c r="BR42" i="35"/>
  <c r="BW36" i="35"/>
  <c r="BV42" i="35"/>
  <c r="CA36" i="35"/>
  <c r="BZ42" i="35"/>
  <c r="CE36" i="35"/>
  <c r="CD42" i="35"/>
  <c r="CI36" i="35"/>
  <c r="CH42" i="35"/>
  <c r="CM36" i="35"/>
  <c r="CL42" i="35"/>
  <c r="CQ36" i="35"/>
  <c r="CP42" i="35"/>
  <c r="CU36" i="35"/>
  <c r="CT42" i="35"/>
  <c r="BF41" i="35"/>
  <c r="BG35" i="35"/>
  <c r="BK36" i="35"/>
  <c r="BJ42" i="35"/>
  <c r="AE28" i="35"/>
  <c r="AI28" i="35"/>
  <c r="AM28" i="35"/>
  <c r="AQ28" i="35"/>
  <c r="AY28" i="35"/>
  <c r="BC28" i="35"/>
  <c r="F42" i="35"/>
  <c r="G36" i="35"/>
  <c r="N42" i="35"/>
  <c r="O36" i="35"/>
  <c r="BR40" i="35"/>
  <c r="BS34" i="35"/>
  <c r="BV40" i="35"/>
  <c r="BW34" i="35"/>
  <c r="BZ40" i="35"/>
  <c r="CD40" i="35"/>
  <c r="CE34" i="35"/>
  <c r="CH40" i="35"/>
  <c r="CI34" i="35"/>
  <c r="CL40" i="35"/>
  <c r="CM34" i="35"/>
  <c r="CP40" i="35"/>
  <c r="CT40" i="35"/>
  <c r="CU34" i="35"/>
  <c r="CY34" i="35"/>
  <c r="CY16" i="35"/>
  <c r="R35" i="35"/>
  <c r="W35" i="35" s="1"/>
  <c r="CX43" i="35"/>
  <c r="CY37" i="35"/>
  <c r="J42" i="35"/>
  <c r="K36" i="35"/>
  <c r="S37" i="35"/>
  <c r="BC34" i="35"/>
  <c r="CA34" i="35"/>
  <c r="AM31" i="35"/>
  <c r="G34" i="35"/>
  <c r="J43" i="35"/>
  <c r="N43" i="35"/>
  <c r="BJ40" i="35"/>
  <c r="J41" i="35"/>
  <c r="N41" i="35"/>
  <c r="CY36" i="35"/>
  <c r="BG28" i="35"/>
  <c r="G35" i="35"/>
  <c r="J40" i="35"/>
  <c r="K35" i="35"/>
  <c r="N40" i="35"/>
  <c r="O35" i="35"/>
  <c r="R40" i="35"/>
  <c r="BF43" i="35"/>
  <c r="BG37" i="35"/>
  <c r="CX42" i="35"/>
  <c r="DB42" i="35"/>
  <c r="DG36" i="35"/>
  <c r="D32" i="31"/>
  <c r="D56" i="31" s="1"/>
  <c r="D50" i="31"/>
  <c r="D44" i="31"/>
  <c r="N50" i="31"/>
  <c r="N44" i="31"/>
  <c r="N32" i="31"/>
  <c r="N56" i="31" s="1"/>
  <c r="H44" i="31"/>
  <c r="H50" i="31" s="1"/>
  <c r="H32" i="31"/>
  <c r="P53" i="31"/>
  <c r="P47" i="31"/>
  <c r="P67" i="31" s="1"/>
  <c r="P35" i="31"/>
  <c r="P59" i="31" s="1"/>
  <c r="R50" i="31"/>
  <c r="R44" i="31"/>
  <c r="R64" i="31" s="1"/>
  <c r="R32" i="31"/>
  <c r="R56" i="31" s="1"/>
  <c r="T50" i="31"/>
  <c r="T32" i="31"/>
  <c r="T56" i="31" s="1"/>
  <c r="T44" i="31"/>
  <c r="T64" i="31" s="1"/>
  <c r="F50" i="31"/>
  <c r="F44" i="31"/>
  <c r="F32" i="31"/>
  <c r="F56" i="31" s="1"/>
  <c r="L32" i="31"/>
  <c r="L44" i="31"/>
  <c r="L50" i="31" s="1"/>
  <c r="T53" i="31"/>
  <c r="T47" i="31"/>
  <c r="T67" i="31" s="1"/>
  <c r="T35" i="31"/>
  <c r="T59" i="31" s="1"/>
  <c r="AL56" i="31"/>
  <c r="AL59" i="31"/>
  <c r="X45" i="31"/>
  <c r="X65" i="31" s="1"/>
  <c r="X33" i="31"/>
  <c r="BB35" i="31"/>
  <c r="BB47" i="31"/>
  <c r="BB53" i="31" s="1"/>
  <c r="P44" i="31"/>
  <c r="P64" i="31" s="1"/>
  <c r="P32" i="31"/>
  <c r="X50" i="31"/>
  <c r="X44" i="31"/>
  <c r="X64" i="31" s="1"/>
  <c r="X32" i="31"/>
  <c r="X56" i="31" s="1"/>
  <c r="N34" i="31"/>
  <c r="N52" i="31"/>
  <c r="N46" i="31"/>
  <c r="F34" i="31"/>
  <c r="F46" i="31"/>
  <c r="F52" i="31" s="1"/>
  <c r="H46" i="31"/>
  <c r="H52" i="31" s="1"/>
  <c r="H34" i="31"/>
  <c r="J52" i="31"/>
  <c r="J46" i="31"/>
  <c r="J34" i="31"/>
  <c r="J58" i="31" s="1"/>
  <c r="L46" i="31"/>
  <c r="L52" i="31"/>
  <c r="L34" i="31"/>
  <c r="L58" i="31" s="1"/>
  <c r="R51" i="31"/>
  <c r="R45" i="31"/>
  <c r="R65" i="31" s="1"/>
  <c r="R33" i="31"/>
  <c r="R57" i="31" s="1"/>
  <c r="T45" i="31"/>
  <c r="T65" i="31" s="1"/>
  <c r="T33" i="31"/>
  <c r="V50" i="31"/>
  <c r="V44" i="31"/>
  <c r="V64" i="31" s="1"/>
  <c r="V32" i="31"/>
  <c r="V56" i="31" s="1"/>
  <c r="J44" i="31"/>
  <c r="J50" i="31" s="1"/>
  <c r="J32" i="31"/>
  <c r="R53" i="31"/>
  <c r="R47" i="31"/>
  <c r="R67" i="31" s="1"/>
  <c r="R35" i="31"/>
  <c r="R59" i="31" s="1"/>
  <c r="X46" i="31"/>
  <c r="X66" i="31" s="1"/>
  <c r="X34" i="31"/>
  <c r="R46" i="31"/>
  <c r="R66" i="31" s="1"/>
  <c r="R34" i="31"/>
  <c r="R58" i="31" s="1"/>
  <c r="T46" i="31"/>
  <c r="T66" i="31" s="1"/>
  <c r="T34" i="31"/>
  <c r="D59" i="31"/>
  <c r="L59" i="31"/>
  <c r="AB59" i="31"/>
  <c r="AR59" i="31"/>
  <c r="V59" i="31"/>
  <c r="BF44" i="31"/>
  <c r="BF50" i="31" s="1"/>
  <c r="BF32" i="31"/>
  <c r="H51" i="31"/>
  <c r="H45" i="31"/>
  <c r="H33" i="31"/>
  <c r="H57" i="31" s="1"/>
  <c r="N45" i="31"/>
  <c r="N51" i="31" s="1"/>
  <c r="N33" i="31"/>
  <c r="AD51" i="31"/>
  <c r="AD45" i="31"/>
  <c r="AD65" i="31" s="1"/>
  <c r="AD33" i="31"/>
  <c r="AD57" i="31" s="1"/>
  <c r="AJ45" i="31"/>
  <c r="AJ65" i="31" s="1"/>
  <c r="AJ33" i="31"/>
  <c r="AP51" i="31"/>
  <c r="AP45" i="31"/>
  <c r="AP65" i="31" s="1"/>
  <c r="AP33" i="31"/>
  <c r="AP57" i="31" s="1"/>
  <c r="AR45" i="31"/>
  <c r="AR65" i="31" s="1"/>
  <c r="AR33" i="31"/>
  <c r="AX51" i="31"/>
  <c r="AX45" i="31"/>
  <c r="AX65" i="31" s="1"/>
  <c r="AX33" i="31"/>
  <c r="AX57" i="31" s="1"/>
  <c r="BD33" i="31"/>
  <c r="BD57" i="31" s="1"/>
  <c r="AX52" i="31"/>
  <c r="AR64" i="31"/>
  <c r="BF51" i="31"/>
  <c r="AB52" i="31"/>
  <c r="AF52" i="31"/>
  <c r="AJ52" i="31"/>
  <c r="AN52" i="31"/>
  <c r="AR52" i="31"/>
  <c r="AV52" i="31"/>
  <c r="AZ52" i="31"/>
  <c r="BD46" i="31"/>
  <c r="BD66" i="31" s="1"/>
  <c r="BF33" i="31"/>
  <c r="BF57" i="31" s="1"/>
  <c r="AF32" i="31"/>
  <c r="AF56" i="31" s="1"/>
  <c r="AN32" i="31"/>
  <c r="AN56" i="31" s="1"/>
  <c r="AV32" i="31"/>
  <c r="AV56" i="31" s="1"/>
  <c r="AZ32" i="31"/>
  <c r="AZ56" i="31" s="1"/>
  <c r="BD45" i="31"/>
  <c r="BD51" i="31" s="1"/>
  <c r="BB52" i="31"/>
  <c r="F45" i="31"/>
  <c r="F33" i="31"/>
  <c r="F57" i="31" s="1"/>
  <c r="L45" i="31"/>
  <c r="L51" i="31" s="1"/>
  <c r="L33" i="31"/>
  <c r="Z51" i="31"/>
  <c r="Z45" i="31"/>
  <c r="Z65" i="31" s="1"/>
  <c r="Z33" i="31"/>
  <c r="Z57" i="31" s="1"/>
  <c r="AH45" i="31"/>
  <c r="AH65" i="31" s="1"/>
  <c r="AH33" i="31"/>
  <c r="AN51" i="31"/>
  <c r="AN45" i="31"/>
  <c r="AN65" i="31" s="1"/>
  <c r="AN33" i="31"/>
  <c r="AN57" i="31" s="1"/>
  <c r="AT45" i="31"/>
  <c r="AT65" i="31" s="1"/>
  <c r="AT33" i="31"/>
  <c r="AZ51" i="31"/>
  <c r="AZ45" i="31"/>
  <c r="AZ33" i="31"/>
  <c r="AZ57" i="31" s="1"/>
  <c r="AP32" i="31"/>
  <c r="AT64" i="31"/>
  <c r="AZ65" i="31"/>
  <c r="AR67" i="31"/>
  <c r="BF52" i="31"/>
  <c r="BF46" i="31"/>
  <c r="BF66" i="31" s="1"/>
  <c r="D53" i="31"/>
  <c r="D47" i="31"/>
  <c r="F53" i="31"/>
  <c r="F47" i="31"/>
  <c r="F59" i="31" s="1"/>
  <c r="H53" i="31"/>
  <c r="H47" i="31"/>
  <c r="J53" i="31"/>
  <c r="J47" i="31"/>
  <c r="L53" i="31"/>
  <c r="L47" i="31"/>
  <c r="N53" i="31"/>
  <c r="N47" i="31"/>
  <c r="N59" i="31" s="1"/>
  <c r="V53" i="31"/>
  <c r="V47" i="31"/>
  <c r="V67" i="31" s="1"/>
  <c r="X53" i="31"/>
  <c r="X47" i="31"/>
  <c r="X67" i="31" s="1"/>
  <c r="Z53" i="31"/>
  <c r="Z47" i="31"/>
  <c r="Z67" i="31" s="1"/>
  <c r="AB53" i="31"/>
  <c r="BK55" i="30" s="1"/>
  <c r="AB47" i="31"/>
  <c r="AB67" i="31" s="1"/>
  <c r="AD53" i="31"/>
  <c r="AD47" i="31"/>
  <c r="AD67" i="31" s="1"/>
  <c r="AF53" i="31"/>
  <c r="AF47" i="31"/>
  <c r="AF67" i="31" s="1"/>
  <c r="AH53" i="31"/>
  <c r="AH47" i="31"/>
  <c r="AH67" i="31" s="1"/>
  <c r="AJ53" i="31"/>
  <c r="AJ47" i="31"/>
  <c r="AJ67" i="31" s="1"/>
  <c r="AL53" i="31"/>
  <c r="AL47" i="31"/>
  <c r="AL67" i="31" s="1"/>
  <c r="AN53" i="31"/>
  <c r="AN47" i="31"/>
  <c r="AN67" i="31" s="1"/>
  <c r="AP53" i="31"/>
  <c r="AP47" i="31"/>
  <c r="AP67" i="31" s="1"/>
  <c r="AR53" i="31"/>
  <c r="AR47" i="31"/>
  <c r="AT53" i="31"/>
  <c r="AT47" i="31"/>
  <c r="AT59" i="31" s="1"/>
  <c r="AV53" i="31"/>
  <c r="AV47" i="31"/>
  <c r="AV35" i="31"/>
  <c r="AV59" i="31" s="1"/>
  <c r="AX47" i="31"/>
  <c r="AX67" i="31" s="1"/>
  <c r="AX35" i="31"/>
  <c r="BD35" i="31"/>
  <c r="BD47" i="31"/>
  <c r="BD53" i="31" s="1"/>
  <c r="BF34" i="31"/>
  <c r="BF58" i="31" s="1"/>
  <c r="J35" i="31"/>
  <c r="J59" i="31" s="1"/>
  <c r="Z35" i="31"/>
  <c r="Z59" i="31" s="1"/>
  <c r="AH35" i="31"/>
  <c r="AH59" i="31" s="1"/>
  <c r="AP35" i="31"/>
  <c r="AP59" i="31" s="1"/>
  <c r="BD58" i="31"/>
  <c r="Z52" i="31"/>
  <c r="AP52" i="31"/>
  <c r="AV67" i="31"/>
  <c r="D51" i="31"/>
  <c r="D45" i="31"/>
  <c r="D33" i="31"/>
  <c r="D57" i="31" s="1"/>
  <c r="J45" i="31"/>
  <c r="J33" i="31"/>
  <c r="J57" i="31" s="1"/>
  <c r="P45" i="31"/>
  <c r="P65" i="31" s="1"/>
  <c r="P33" i="31"/>
  <c r="V51" i="31"/>
  <c r="V45" i="31"/>
  <c r="V65" i="31" s="1"/>
  <c r="V33" i="31"/>
  <c r="V57" i="31" s="1"/>
  <c r="AB45" i="31"/>
  <c r="AB65" i="31" s="1"/>
  <c r="AB33" i="31"/>
  <c r="AF51" i="31"/>
  <c r="AF45" i="31"/>
  <c r="AF65" i="31" s="1"/>
  <c r="AF33" i="31"/>
  <c r="AF57" i="31" s="1"/>
  <c r="AL45" i="31"/>
  <c r="AL65" i="31" s="1"/>
  <c r="AL33" i="31"/>
  <c r="AV51" i="31"/>
  <c r="AV45" i="31"/>
  <c r="AV65" i="31" s="1"/>
  <c r="AV33" i="31"/>
  <c r="AV57" i="31" s="1"/>
  <c r="BB45" i="31"/>
  <c r="BB65" i="31" s="1"/>
  <c r="BB33" i="31"/>
  <c r="F51" i="31"/>
  <c r="AH52" i="31"/>
  <c r="AV64" i="31"/>
  <c r="AT67" i="31"/>
  <c r="AB50" i="31"/>
  <c r="AD50" i="31"/>
  <c r="AF50" i="31"/>
  <c r="AJ50" i="31"/>
  <c r="AL50" i="31"/>
  <c r="AN50" i="31"/>
  <c r="AR50" i="31"/>
  <c r="AT50" i="31"/>
  <c r="AV50" i="31"/>
  <c r="H35" i="31"/>
  <c r="H59" i="31" s="1"/>
  <c r="V58" i="31"/>
  <c r="X35" i="31"/>
  <c r="X59" i="31" s="1"/>
  <c r="AB32" i="31"/>
  <c r="AB56" i="31" s="1"/>
  <c r="AD58" i="31"/>
  <c r="AF35" i="31"/>
  <c r="AF59" i="31" s="1"/>
  <c r="AJ32" i="31"/>
  <c r="AJ56" i="31" s="1"/>
  <c r="AL58" i="31"/>
  <c r="AN35" i="31"/>
  <c r="AN59" i="31" s="1"/>
  <c r="AR32" i="31"/>
  <c r="AR56" i="31" s="1"/>
  <c r="AT58" i="31"/>
  <c r="AX32" i="31"/>
  <c r="AX56" i="31" s="1"/>
  <c r="BB32" i="31"/>
  <c r="BB56" i="31" s="1"/>
  <c r="AZ47" i="31"/>
  <c r="AZ53" i="31" s="1"/>
  <c r="Z44" i="31"/>
  <c r="Z64" i="31" s="1"/>
  <c r="AD44" i="31"/>
  <c r="AD64" i="31" s="1"/>
  <c r="AH44" i="31"/>
  <c r="AH64" i="31" s="1"/>
  <c r="AL44" i="31"/>
  <c r="AL64" i="31" s="1"/>
  <c r="AP44" i="31"/>
  <c r="AP50" i="31" s="1"/>
  <c r="AT44" i="31"/>
  <c r="AT56" i="31" s="1"/>
  <c r="J51" i="31"/>
  <c r="P52" i="31"/>
  <c r="AD52" i="31"/>
  <c r="AT52" i="31"/>
  <c r="AX50" i="31"/>
  <c r="AZ50" i="31"/>
  <c r="BB50" i="31"/>
  <c r="BD44" i="31"/>
  <c r="BD64" i="31" s="1"/>
  <c r="J16" i="32"/>
  <c r="J38" i="32"/>
  <c r="J63" i="32" s="1"/>
  <c r="AF80" i="32"/>
  <c r="AF38" i="32"/>
  <c r="AF63" i="32" s="1"/>
  <c r="AF66" i="32" s="1"/>
  <c r="AJ38" i="32"/>
  <c r="R77" i="8" s="1"/>
  <c r="AJ80" i="32"/>
  <c r="AR38" i="32"/>
  <c r="AR63" i="32" s="1"/>
  <c r="AR80" i="32"/>
  <c r="X74" i="32"/>
  <c r="X76" i="32"/>
  <c r="AB76" i="32"/>
  <c r="AB74" i="32"/>
  <c r="AF74" i="32"/>
  <c r="AH74" i="32" s="1"/>
  <c r="AJ74" i="32" s="1"/>
  <c r="AL74" i="32" s="1"/>
  <c r="AN74" i="32" s="1"/>
  <c r="AF76" i="32"/>
  <c r="AJ73" i="32"/>
  <c r="AJ76" i="32" s="1"/>
  <c r="AJ75" i="32"/>
  <c r="AH80" i="32"/>
  <c r="L16" i="32"/>
  <c r="AH78" i="32"/>
  <c r="AH79" i="32"/>
  <c r="AH36" i="32"/>
  <c r="AH38" i="32" s="1"/>
  <c r="AH63" i="32" s="1"/>
  <c r="AH66" i="32" s="1"/>
  <c r="BB36" i="32"/>
  <c r="BB38" i="32" s="1"/>
  <c r="BB63" i="32" s="1"/>
  <c r="BB66" i="32" s="1"/>
  <c r="D63" i="32"/>
  <c r="D64" i="32" s="1"/>
  <c r="H63" i="32"/>
  <c r="H66" i="32" s="1"/>
  <c r="P63" i="32"/>
  <c r="P64" i="32" s="1"/>
  <c r="P66" i="32"/>
  <c r="N38" i="32"/>
  <c r="N16" i="32"/>
  <c r="V38" i="32"/>
  <c r="K77" i="8" s="1"/>
  <c r="K78" i="8" s="1"/>
  <c r="V16" i="32"/>
  <c r="Z15" i="32"/>
  <c r="P16" i="32"/>
  <c r="V63" i="32"/>
  <c r="V64" i="32" s="1"/>
  <c r="AL81" i="32"/>
  <c r="BD63" i="32"/>
  <c r="BD66" i="32" s="1"/>
  <c r="AV38" i="32"/>
  <c r="AV63" i="32" s="1"/>
  <c r="AV66" i="32" s="1"/>
  <c r="Z74" i="32"/>
  <c r="Z76" i="32"/>
  <c r="AD76" i="32"/>
  <c r="AD74" i="32"/>
  <c r="AH73" i="32"/>
  <c r="AH76" i="32" s="1"/>
  <c r="AH75" i="32"/>
  <c r="AL73" i="32"/>
  <c r="AL76" i="32" s="1"/>
  <c r="AL75" i="32"/>
  <c r="AD15" i="32"/>
  <c r="AD38" i="32" s="1"/>
  <c r="AD63" i="32" s="1"/>
  <c r="AD66" i="32" s="1"/>
  <c r="AL15" i="32"/>
  <c r="T16" i="32"/>
  <c r="AF81" i="32"/>
  <c r="L63" i="32"/>
  <c r="L66" i="32" s="1"/>
  <c r="AP81" i="32"/>
  <c r="AR66" i="32"/>
  <c r="AP80" i="32"/>
  <c r="AP38" i="32"/>
  <c r="AP63" i="32" s="1"/>
  <c r="AP66" i="32" s="1"/>
  <c r="AX15" i="32"/>
  <c r="AX38" i="32" s="1"/>
  <c r="X15" i="32"/>
  <c r="AB15" i="32"/>
  <c r="R34" i="32"/>
  <c r="R36" i="32" s="1"/>
  <c r="R38" i="32" s="1"/>
  <c r="T36" i="32"/>
  <c r="T38" i="32" s="1"/>
  <c r="AT36" i="32"/>
  <c r="AT38" i="32" s="1"/>
  <c r="AT63" i="32" s="1"/>
  <c r="AT66" i="32" s="1"/>
  <c r="AH81" i="32"/>
  <c r="AZ63" i="32"/>
  <c r="AZ66" i="32" s="1"/>
  <c r="AJ81" i="32"/>
  <c r="AJ63" i="32"/>
  <c r="AJ66" i="32" s="1"/>
  <c r="X78" i="32"/>
  <c r="AB78" i="32"/>
  <c r="AX63" i="32"/>
  <c r="AX66" i="32" s="1"/>
  <c r="AN81" i="32"/>
  <c r="AR81" i="32"/>
  <c r="AD78" i="32"/>
  <c r="AJ78" i="32"/>
  <c r="F63" i="32"/>
  <c r="F64" i="32" s="1"/>
  <c r="N63" i="32"/>
  <c r="N64" i="32" s="1"/>
  <c r="P6" i="3"/>
  <c r="R6" i="3" s="1"/>
  <c r="T6" i="3" s="1"/>
  <c r="V6" i="3" s="1"/>
  <c r="X6" i="3" s="1"/>
  <c r="Z6" i="3" s="1"/>
  <c r="AB6" i="3" s="1"/>
  <c r="AD6" i="3" s="1"/>
  <c r="AF6" i="3" s="1"/>
  <c r="AH6" i="3" s="1"/>
  <c r="AJ6" i="3" s="1"/>
  <c r="AL6" i="3" s="1"/>
  <c r="AN6" i="3" s="1"/>
  <c r="AP6" i="3" s="1"/>
  <c r="AR6" i="3" s="1"/>
  <c r="AT6" i="3" s="1"/>
  <c r="AV6" i="3" s="1"/>
  <c r="AX6" i="3" s="1"/>
  <c r="AZ6" i="3" s="1"/>
  <c r="BB6" i="3" s="1"/>
  <c r="BD6" i="3" s="1"/>
  <c r="BF6" i="3" s="1"/>
  <c r="BH6" i="3" s="1"/>
  <c r="BJ6" i="3" s="1"/>
  <c r="BL6" i="3" s="1"/>
  <c r="N6" i="3"/>
  <c r="P15" i="3"/>
  <c r="P27" i="3" s="1"/>
  <c r="V27" i="3"/>
  <c r="V83" i="3" s="1"/>
  <c r="BL24" i="3"/>
  <c r="AX37" i="3"/>
  <c r="AX45" i="3" s="1"/>
  <c r="AX79" i="3"/>
  <c r="K58" i="3"/>
  <c r="K63" i="3" s="1"/>
  <c r="BJ51" i="3"/>
  <c r="BH50" i="32" s="1"/>
  <c r="AF58" i="3"/>
  <c r="AH58" i="3"/>
  <c r="AP58" i="3"/>
  <c r="BB18" i="3"/>
  <c r="BB19" i="3" s="1"/>
  <c r="AH100" i="3"/>
  <c r="AH77" i="3"/>
  <c r="AP100" i="3"/>
  <c r="AZ77" i="3"/>
  <c r="BD37" i="3"/>
  <c r="BD45" i="3" s="1"/>
  <c r="BD58" i="3" s="1"/>
  <c r="BF33" i="3"/>
  <c r="AT37" i="3"/>
  <c r="AT45" i="3" s="1"/>
  <c r="AT58" i="3" s="1"/>
  <c r="AT79" i="3"/>
  <c r="BJ79" i="3"/>
  <c r="E58" i="3"/>
  <c r="E63" i="3" s="1"/>
  <c r="R58" i="3"/>
  <c r="Z58" i="3"/>
  <c r="AJ58" i="3"/>
  <c r="AX58" i="3"/>
  <c r="AB100" i="3"/>
  <c r="AB77" i="3"/>
  <c r="AJ100" i="3"/>
  <c r="AJ77" i="3"/>
  <c r="AR100" i="3"/>
  <c r="AR77" i="3"/>
  <c r="BL43" i="3"/>
  <c r="BN39" i="3"/>
  <c r="BL45" i="32" s="1"/>
  <c r="T58" i="3"/>
  <c r="AB58" i="3"/>
  <c r="BP78" i="3"/>
  <c r="I27" i="3"/>
  <c r="G63" i="3"/>
  <c r="N63" i="3"/>
  <c r="V82" i="3"/>
  <c r="V63" i="3"/>
  <c r="AD45" i="3"/>
  <c r="AD58" i="3" s="1"/>
  <c r="AL45" i="3"/>
  <c r="AL58" i="3" s="1"/>
  <c r="BB37" i="3"/>
  <c r="BB45" i="3" s="1"/>
  <c r="BB58" i="3" s="1"/>
  <c r="BH43" i="3"/>
  <c r="I58" i="3"/>
  <c r="I63" i="3" s="1"/>
  <c r="P58" i="3"/>
  <c r="M58" i="3"/>
  <c r="AF74" i="3"/>
  <c r="AF75" i="3"/>
  <c r="AJ74" i="3"/>
  <c r="AJ75" i="3"/>
  <c r="AN74" i="3"/>
  <c r="AN75" i="3"/>
  <c r="AV74" i="3"/>
  <c r="AV75" i="3"/>
  <c r="AX76" i="3"/>
  <c r="AX77" i="3"/>
  <c r="AZ74" i="3"/>
  <c r="AZ75" i="3"/>
  <c r="BB75" i="3"/>
  <c r="BB77" i="3"/>
  <c r="BD74" i="3"/>
  <c r="BD77" i="3"/>
  <c r="BD75" i="3"/>
  <c r="BF76" i="3"/>
  <c r="BH76" i="3" s="1"/>
  <c r="BF75" i="3"/>
  <c r="BF77" i="3"/>
  <c r="BH77" i="3" s="1"/>
  <c r="BJ77" i="3" s="1"/>
  <c r="BL77" i="3" s="1"/>
  <c r="BN77" i="3" s="1"/>
  <c r="BP77" i="3" s="1"/>
  <c r="BR77" i="3" s="1"/>
  <c r="AL74" i="3"/>
  <c r="AN76" i="3"/>
  <c r="AN77" i="3"/>
  <c r="AZ99" i="3"/>
  <c r="BB99" i="3" s="1"/>
  <c r="AX100" i="3"/>
  <c r="AD100" i="3"/>
  <c r="AD77" i="3"/>
  <c r="AL100" i="3"/>
  <c r="AL77" i="3"/>
  <c r="AT100" i="3"/>
  <c r="AT77" i="3"/>
  <c r="AF77" i="3"/>
  <c r="AV77" i="3"/>
  <c r="V87" i="3"/>
  <c r="AL98" i="3"/>
  <c r="AJ98" i="3"/>
  <c r="AN96" i="3"/>
  <c r="AT31" i="14"/>
  <c r="AT9" i="14"/>
  <c r="AX31" i="14"/>
  <c r="AX9" i="14"/>
  <c r="AB67" i="21"/>
  <c r="AB232" i="21"/>
  <c r="D396" i="21"/>
  <c r="H396" i="21" s="1"/>
  <c r="AD558" i="21"/>
  <c r="AD565" i="21"/>
  <c r="AB597" i="21"/>
  <c r="Z8" i="8"/>
  <c r="Y17" i="8"/>
  <c r="Y21" i="8"/>
  <c r="Y35" i="8"/>
  <c r="K104" i="8"/>
  <c r="AA104" i="8"/>
  <c r="J107" i="8"/>
  <c r="J113" i="8"/>
  <c r="P48" i="14"/>
  <c r="X38" i="14"/>
  <c r="AK7" i="14"/>
  <c r="E9" i="14"/>
  <c r="E42" i="14" s="1"/>
  <c r="P9" i="14"/>
  <c r="P42" i="14" s="1"/>
  <c r="U9" i="14"/>
  <c r="U42" i="14" s="1"/>
  <c r="L12" i="14"/>
  <c r="AB12" i="14"/>
  <c r="C14" i="14"/>
  <c r="C19" i="14" s="1"/>
  <c r="AV38" i="14"/>
  <c r="AU42" i="14"/>
  <c r="AY42" i="14"/>
  <c r="AW46" i="14"/>
  <c r="AW32" i="14"/>
  <c r="AU53" i="14"/>
  <c r="AY53" i="14"/>
  <c r="AW35" i="14"/>
  <c r="AW57" i="14"/>
  <c r="C49" i="14"/>
  <c r="C317" i="14" s="1"/>
  <c r="G49" i="14"/>
  <c r="G317" i="14" s="1"/>
  <c r="K49" i="14"/>
  <c r="O49" i="14"/>
  <c r="AB15" i="21"/>
  <c r="AB39" i="21"/>
  <c r="AK218" i="21"/>
  <c r="AB222" i="21"/>
  <c r="AK222" i="21" s="1"/>
  <c r="AD388" i="21"/>
  <c r="AB399" i="21"/>
  <c r="AB423" i="21"/>
  <c r="AD423" i="21" s="1"/>
  <c r="AB590" i="21"/>
  <c r="AB733" i="21"/>
  <c r="AB740" i="21"/>
  <c r="AB775" i="21"/>
  <c r="AB840" i="21"/>
  <c r="AB854" i="21"/>
  <c r="G107" i="8"/>
  <c r="G129" i="8"/>
  <c r="K129" i="8"/>
  <c r="O129" i="8"/>
  <c r="M132" i="8"/>
  <c r="C276" i="14"/>
  <c r="C234" i="14"/>
  <c r="C192" i="14"/>
  <c r="C136" i="14"/>
  <c r="C63" i="14"/>
  <c r="D5" i="14"/>
  <c r="N317" i="14"/>
  <c r="N234" i="14"/>
  <c r="N276" i="14"/>
  <c r="N192" i="14"/>
  <c r="N136" i="14"/>
  <c r="N63" i="14"/>
  <c r="AW17" i="14"/>
  <c r="AV42" i="14"/>
  <c r="AV31" i="14"/>
  <c r="AT32" i="14"/>
  <c r="AT46" i="14"/>
  <c r="AX32" i="14"/>
  <c r="AX46" i="14"/>
  <c r="AV34" i="14"/>
  <c r="AV53" i="14"/>
  <c r="AT57" i="14"/>
  <c r="AT35" i="14"/>
  <c r="AX35" i="14"/>
  <c r="AX57" i="14"/>
  <c r="C96" i="14"/>
  <c r="C92" i="14"/>
  <c r="D77" i="14"/>
  <c r="D93" i="14" s="1"/>
  <c r="DQ62" i="30"/>
  <c r="DP66" i="30"/>
  <c r="AB46" i="21"/>
  <c r="AB60" i="21"/>
  <c r="AK60" i="21" s="1"/>
  <c r="AB208" i="21"/>
  <c r="AB378" i="21"/>
  <c r="AB392" i="21"/>
  <c r="AB406" i="21"/>
  <c r="AK423" i="21"/>
  <c r="AK579" i="21"/>
  <c r="AD586" i="21"/>
  <c r="AB583" i="21"/>
  <c r="AK747" i="21"/>
  <c r="Q121" i="8"/>
  <c r="Q145" i="8" s="1"/>
  <c r="H107" i="8"/>
  <c r="L107" i="8"/>
  <c r="P107" i="8"/>
  <c r="J110" i="8"/>
  <c r="N110" i="8"/>
  <c r="R110" i="8"/>
  <c r="V110" i="8"/>
  <c r="Z110" i="8"/>
  <c r="N116" i="8"/>
  <c r="O5" i="14"/>
  <c r="B49" i="14"/>
  <c r="B317" i="14" s="1"/>
  <c r="B25" i="14"/>
  <c r="F49" i="14"/>
  <c r="F317" i="14" s="1"/>
  <c r="J12" i="14"/>
  <c r="N49" i="14"/>
  <c r="N12" i="14"/>
  <c r="R48" i="14"/>
  <c r="R12" i="14"/>
  <c r="V12" i="14"/>
  <c r="Z12" i="14"/>
  <c r="B9" i="14"/>
  <c r="B42" i="14" s="1"/>
  <c r="R9" i="14"/>
  <c r="R42" i="14" s="1"/>
  <c r="AT38" i="14"/>
  <c r="AT30" i="14"/>
  <c r="AX38" i="14"/>
  <c r="AX30" i="14"/>
  <c r="AW42" i="14"/>
  <c r="AY46" i="14"/>
  <c r="DT66" i="30"/>
  <c r="AB88" i="21"/>
  <c r="AB198" i="21"/>
  <c r="AB215" i="21"/>
  <c r="AK215" i="21" s="1"/>
  <c r="AB229" i="21"/>
  <c r="AK551" i="21"/>
  <c r="AB569" i="21"/>
  <c r="AK569" i="21" s="1"/>
  <c r="AK583" i="21"/>
  <c r="AB618" i="21"/>
  <c r="AK618" i="21" s="1"/>
  <c r="Y28" i="8"/>
  <c r="Y12" i="8"/>
  <c r="I107" i="8"/>
  <c r="M107" i="8"/>
  <c r="V107" i="8"/>
  <c r="I113" i="8"/>
  <c r="I129" i="8"/>
  <c r="M129" i="8"/>
  <c r="S128" i="8"/>
  <c r="C9" i="14"/>
  <c r="C42" i="14" s="1"/>
  <c r="G9" i="14"/>
  <c r="G42" i="14" s="1"/>
  <c r="K9" i="14"/>
  <c r="K42" i="14" s="1"/>
  <c r="AU7" i="14"/>
  <c r="O9" i="14"/>
  <c r="O42" i="14" s="1"/>
  <c r="AY7" i="14"/>
  <c r="AY34" i="14" s="1"/>
  <c r="S9" i="14"/>
  <c r="S42" i="14" s="1"/>
  <c r="W9" i="14"/>
  <c r="W42" i="14" s="1"/>
  <c r="AA9" i="14"/>
  <c r="AA42" i="14" s="1"/>
  <c r="D9" i="14"/>
  <c r="D42" i="14" s="1"/>
  <c r="N9" i="14"/>
  <c r="N42" i="14" s="1"/>
  <c r="T9" i="14"/>
  <c r="T42" i="14" s="1"/>
  <c r="AW31" i="14"/>
  <c r="AW9" i="14"/>
  <c r="K12" i="14"/>
  <c r="AA12" i="14"/>
  <c r="AU38" i="14"/>
  <c r="AY38" i="14"/>
  <c r="AY30" i="14"/>
  <c r="AT34" i="14"/>
  <c r="AX34" i="14"/>
  <c r="J49" i="14"/>
  <c r="O113" i="8"/>
  <c r="M276" i="14"/>
  <c r="M317" i="14"/>
  <c r="M234" i="14"/>
  <c r="M192" i="14"/>
  <c r="M136" i="14"/>
  <c r="Y28" i="14"/>
  <c r="Y29" i="14" s="1"/>
  <c r="Y46" i="14" s="1"/>
  <c r="AW30" i="14"/>
  <c r="AV35" i="14"/>
  <c r="B120" i="14"/>
  <c r="B66" i="14"/>
  <c r="F120" i="14"/>
  <c r="F66" i="14"/>
  <c r="F126" i="14" s="1"/>
  <c r="J66" i="14"/>
  <c r="J126" i="14" s="1"/>
  <c r="N66" i="14"/>
  <c r="N126" i="14" s="1"/>
  <c r="R66" i="14"/>
  <c r="R126" i="14" s="1"/>
  <c r="V66" i="14"/>
  <c r="V126" i="14" s="1"/>
  <c r="Z66" i="14"/>
  <c r="Z126" i="14" s="1"/>
  <c r="C66" i="14"/>
  <c r="C126" i="14" s="1"/>
  <c r="C130" i="14" s="1"/>
  <c r="H66" i="14"/>
  <c r="S66" i="14"/>
  <c r="S126" i="14" s="1"/>
  <c r="X66" i="14"/>
  <c r="X126" i="14" s="1"/>
  <c r="AK65" i="14"/>
  <c r="AS66" i="14"/>
  <c r="I71" i="14"/>
  <c r="X32" i="14"/>
  <c r="AU46" i="14"/>
  <c r="D66" i="14"/>
  <c r="D126" i="14" s="1"/>
  <c r="Y66" i="14"/>
  <c r="Y126" i="14" s="1"/>
  <c r="Y32" i="14"/>
  <c r="H68" i="14"/>
  <c r="E66" i="14"/>
  <c r="E126" i="14" s="1"/>
  <c r="P66" i="14"/>
  <c r="P126" i="14" s="1"/>
  <c r="U66" i="14"/>
  <c r="U126" i="14" s="1"/>
  <c r="E71" i="14"/>
  <c r="M71" i="14"/>
  <c r="B117" i="14"/>
  <c r="B92" i="14"/>
  <c r="B96" i="14"/>
  <c r="C117" i="14"/>
  <c r="AW53" i="14"/>
  <c r="AU57" i="14"/>
  <c r="AY57" i="14"/>
  <c r="AV30" i="14"/>
  <c r="AW34" i="14"/>
  <c r="AU35" i="14"/>
  <c r="AY35" i="14"/>
  <c r="I49" i="14"/>
  <c r="I317" i="14" s="1"/>
  <c r="M49" i="14"/>
  <c r="M63" i="14"/>
  <c r="L66" i="14"/>
  <c r="L126" i="14" s="1"/>
  <c r="Q66" i="14"/>
  <c r="Q126" i="14" s="1"/>
  <c r="AB66" i="14"/>
  <c r="AB126" i="14" s="1"/>
  <c r="J123" i="14"/>
  <c r="F71" i="14"/>
  <c r="F72" i="14"/>
  <c r="J71" i="14"/>
  <c r="J72" i="14"/>
  <c r="N71" i="14"/>
  <c r="N72" i="14"/>
  <c r="H71" i="14"/>
  <c r="C72" i="14"/>
  <c r="K72" i="14"/>
  <c r="G118" i="14"/>
  <c r="H78" i="14"/>
  <c r="H94" i="14" s="1"/>
  <c r="F106" i="14"/>
  <c r="E105" i="14"/>
  <c r="D111" i="14"/>
  <c r="M144" i="14"/>
  <c r="C120" i="14"/>
  <c r="D105" i="14"/>
  <c r="D106" i="14" s="1"/>
  <c r="K105" i="14"/>
  <c r="K120" i="14" s="1"/>
  <c r="O105" i="14"/>
  <c r="W105" i="14"/>
  <c r="W120" i="14" s="1"/>
  <c r="AA105" i="14"/>
  <c r="AA120" i="14" s="1"/>
  <c r="I107" i="14"/>
  <c r="I122" i="14" s="1"/>
  <c r="M107" i="14"/>
  <c r="U107" i="14"/>
  <c r="F107" i="14"/>
  <c r="F122" i="14" s="1"/>
  <c r="H110" i="14"/>
  <c r="L110" i="14"/>
  <c r="T110" i="14"/>
  <c r="X110" i="14"/>
  <c r="AB110" i="14"/>
  <c r="B115" i="14"/>
  <c r="J139" i="14"/>
  <c r="J182" i="14" s="1"/>
  <c r="N139" i="14"/>
  <c r="N182" i="14" s="1"/>
  <c r="R178" i="14"/>
  <c r="R139" i="14"/>
  <c r="R182" i="14" s="1"/>
  <c r="V178" i="14"/>
  <c r="V179" i="14" s="1"/>
  <c r="V139" i="14"/>
  <c r="V182" i="14" s="1"/>
  <c r="V186" i="14" s="1"/>
  <c r="Z139" i="14"/>
  <c r="Z182" i="14" s="1"/>
  <c r="AK138" i="14"/>
  <c r="T139" i="14"/>
  <c r="T182" i="14" s="1"/>
  <c r="D173" i="14"/>
  <c r="H173" i="14"/>
  <c r="I166" i="14"/>
  <c r="N173" i="14"/>
  <c r="O166" i="14"/>
  <c r="N166" i="14"/>
  <c r="N167" i="14" s="1"/>
  <c r="R173" i="14"/>
  <c r="S166" i="14"/>
  <c r="R166" i="14"/>
  <c r="E111" i="14"/>
  <c r="I111" i="14"/>
  <c r="O111" i="14"/>
  <c r="D117" i="14"/>
  <c r="S178" i="14"/>
  <c r="S179" i="14" s="1"/>
  <c r="K139" i="14"/>
  <c r="K182" i="14" s="1"/>
  <c r="U139" i="14"/>
  <c r="U182" i="14" s="1"/>
  <c r="AA139" i="14"/>
  <c r="AA182" i="14" s="1"/>
  <c r="E178" i="14"/>
  <c r="E167" i="14"/>
  <c r="E186" i="14" s="1"/>
  <c r="D167" i="14"/>
  <c r="D178" i="14"/>
  <c r="E173" i="14"/>
  <c r="F166" i="14"/>
  <c r="I173" i="14"/>
  <c r="J166" i="14"/>
  <c r="O173" i="14"/>
  <c r="S173" i="14"/>
  <c r="T166" i="14"/>
  <c r="T167" i="14" s="1"/>
  <c r="W166" i="14"/>
  <c r="W167" i="14" s="1"/>
  <c r="W173" i="14"/>
  <c r="X166" i="14"/>
  <c r="F111" i="14"/>
  <c r="K111" i="14"/>
  <c r="U111" i="14"/>
  <c r="X178" i="14"/>
  <c r="G139" i="14"/>
  <c r="G182" i="14" s="1"/>
  <c r="L139" i="14"/>
  <c r="L182" i="14" s="1"/>
  <c r="Q139" i="14"/>
  <c r="AB139" i="14"/>
  <c r="AB182" i="14" s="1"/>
  <c r="G105" i="14"/>
  <c r="G106" i="14" s="1"/>
  <c r="J105" i="14"/>
  <c r="J120" i="14" s="1"/>
  <c r="N105" i="14"/>
  <c r="V105" i="14"/>
  <c r="V120" i="14" s="1"/>
  <c r="T107" i="14"/>
  <c r="I108" i="14"/>
  <c r="I123" i="14" s="1"/>
  <c r="E107" i="14"/>
  <c r="E122" i="14" s="1"/>
  <c r="G111" i="14"/>
  <c r="W111" i="14"/>
  <c r="D186" i="14"/>
  <c r="H139" i="14"/>
  <c r="H182" i="14" s="1"/>
  <c r="M139" i="14"/>
  <c r="M182" i="14" s="1"/>
  <c r="S139" i="14"/>
  <c r="S182" i="14" s="1"/>
  <c r="C156" i="14"/>
  <c r="H166" i="14"/>
  <c r="H178" i="14" s="1"/>
  <c r="L166" i="14"/>
  <c r="L178" i="14" s="1"/>
  <c r="G173" i="14"/>
  <c r="L173" i="14"/>
  <c r="L220" i="14"/>
  <c r="L195" i="14"/>
  <c r="L224" i="14" s="1"/>
  <c r="P195" i="14"/>
  <c r="T220" i="14"/>
  <c r="T195" i="14"/>
  <c r="T224" i="14" s="1"/>
  <c r="X220" i="14"/>
  <c r="AB220" i="14"/>
  <c r="AB195" i="14"/>
  <c r="AB224" i="14" s="1"/>
  <c r="AB228" i="14" s="1"/>
  <c r="M195" i="14"/>
  <c r="M224" i="14" s="1"/>
  <c r="U195" i="14"/>
  <c r="U224" i="14" s="1"/>
  <c r="F173" i="14"/>
  <c r="J173" i="14"/>
  <c r="C173" i="14"/>
  <c r="M173" i="14"/>
  <c r="X173" i="14"/>
  <c r="M220" i="14"/>
  <c r="F204" i="14"/>
  <c r="F203" i="14"/>
  <c r="F17" i="14" s="1"/>
  <c r="F217" i="14"/>
  <c r="T173" i="14"/>
  <c r="J220" i="14"/>
  <c r="N195" i="14"/>
  <c r="N224" i="14" s="1"/>
  <c r="R220" i="14"/>
  <c r="R195" i="14"/>
  <c r="R224" i="14" s="1"/>
  <c r="V220" i="14"/>
  <c r="V195" i="14"/>
  <c r="V224" i="14" s="1"/>
  <c r="Z195" i="14"/>
  <c r="Z224" i="14" s="1"/>
  <c r="J195" i="14"/>
  <c r="J224" i="14" s="1"/>
  <c r="G166" i="14"/>
  <c r="G167" i="14" s="1"/>
  <c r="K166" i="14"/>
  <c r="K167" i="14" s="1"/>
  <c r="V173" i="14"/>
  <c r="AK169" i="14"/>
  <c r="K173" i="14"/>
  <c r="U173" i="14"/>
  <c r="O220" i="14"/>
  <c r="AA220" i="14"/>
  <c r="K195" i="14"/>
  <c r="K224" i="14" s="1"/>
  <c r="S195" i="14"/>
  <c r="S224" i="14" s="1"/>
  <c r="AA195" i="14"/>
  <c r="AA224" i="14" s="1"/>
  <c r="AK194" i="14"/>
  <c r="X212" i="14"/>
  <c r="N211" i="14"/>
  <c r="N212" i="14" s="1"/>
  <c r="S211" i="14"/>
  <c r="S212" i="14" s="1"/>
  <c r="L215" i="14"/>
  <c r="R215" i="14"/>
  <c r="AB215" i="14"/>
  <c r="M237" i="14"/>
  <c r="M266" i="14" s="1"/>
  <c r="I211" i="14"/>
  <c r="I212" i="14" s="1"/>
  <c r="M211" i="14"/>
  <c r="M212" i="14" s="1"/>
  <c r="U211" i="14"/>
  <c r="H215" i="14"/>
  <c r="N215" i="14"/>
  <c r="X215" i="14"/>
  <c r="AK214" i="14"/>
  <c r="H237" i="14"/>
  <c r="H266" i="14" s="1"/>
  <c r="H270" i="14" s="1"/>
  <c r="L237" i="14"/>
  <c r="L266" i="14" s="1"/>
  <c r="P237" i="14"/>
  <c r="T237" i="14"/>
  <c r="T266" i="14" s="1"/>
  <c r="AK236" i="14"/>
  <c r="X262" i="14"/>
  <c r="AB237" i="14"/>
  <c r="AB266" i="14" s="1"/>
  <c r="F211" i="14"/>
  <c r="G212" i="14" s="1"/>
  <c r="K211" i="14"/>
  <c r="K212" i="14" s="1"/>
  <c r="O215" i="14"/>
  <c r="T215" i="14"/>
  <c r="I262" i="14"/>
  <c r="M262" i="14"/>
  <c r="I237" i="14"/>
  <c r="I266" i="14" s="1"/>
  <c r="Q237" i="14"/>
  <c r="Y237" i="14"/>
  <c r="Y266" i="14" s="1"/>
  <c r="F226" i="14"/>
  <c r="K215" i="14"/>
  <c r="V215" i="14"/>
  <c r="AA215" i="14"/>
  <c r="J263" i="14"/>
  <c r="J237" i="14"/>
  <c r="J266" i="14" s="1"/>
  <c r="J270" i="14" s="1"/>
  <c r="R237" i="14"/>
  <c r="R266" i="14" s="1"/>
  <c r="Z237" i="14"/>
  <c r="Z266" i="14" s="1"/>
  <c r="I215" i="14"/>
  <c r="M215" i="14"/>
  <c r="U215" i="14"/>
  <c r="G262" i="14"/>
  <c r="K262" i="14"/>
  <c r="K263" i="14" s="1"/>
  <c r="S262" i="14"/>
  <c r="S263" i="14" s="1"/>
  <c r="D246" i="14"/>
  <c r="E242" i="14" s="1"/>
  <c r="E246" i="14" s="1"/>
  <c r="AA253" i="14"/>
  <c r="I254" i="14"/>
  <c r="F257" i="14"/>
  <c r="J257" i="14"/>
  <c r="N257" i="14"/>
  <c r="R257" i="14"/>
  <c r="V257" i="14"/>
  <c r="L257" i="14"/>
  <c r="G257" i="14"/>
  <c r="H253" i="14"/>
  <c r="H254" i="14" s="1"/>
  <c r="K257" i="14"/>
  <c r="L253" i="14"/>
  <c r="L254" i="14" s="1"/>
  <c r="O257" i="14"/>
  <c r="S257" i="14"/>
  <c r="T253" i="14"/>
  <c r="W257" i="14"/>
  <c r="X253" i="14"/>
  <c r="AA257" i="14"/>
  <c r="AB253" i="14"/>
  <c r="AB254" i="14" s="1"/>
  <c r="E257" i="14"/>
  <c r="H257" i="14"/>
  <c r="X257" i="14"/>
  <c r="M303" i="14"/>
  <c r="M304" i="14" s="1"/>
  <c r="M279" i="14"/>
  <c r="M307" i="14" s="1"/>
  <c r="M311" i="14" s="1"/>
  <c r="AK278" i="14"/>
  <c r="Q279" i="14"/>
  <c r="Q307" i="14" s="1"/>
  <c r="U303" i="14"/>
  <c r="U304" i="14" s="1"/>
  <c r="U279" i="14"/>
  <c r="U307" i="14" s="1"/>
  <c r="K237" i="14"/>
  <c r="K266" i="14" s="1"/>
  <c r="K270" i="14" s="1"/>
  <c r="O237" i="14"/>
  <c r="O266" i="14" s="1"/>
  <c r="S237" i="14"/>
  <c r="S266" i="14" s="1"/>
  <c r="AA237" i="14"/>
  <c r="AA266" i="14" s="1"/>
  <c r="O253" i="14"/>
  <c r="O254" i="14" s="1"/>
  <c r="I257" i="14"/>
  <c r="K303" i="14"/>
  <c r="L304" i="14" s="1"/>
  <c r="AK256" i="14"/>
  <c r="O279" i="14"/>
  <c r="O307" i="14" s="1"/>
  <c r="T279" i="14"/>
  <c r="T307" i="14" s="1"/>
  <c r="R344" i="14"/>
  <c r="P279" i="14"/>
  <c r="P307" i="14" s="1"/>
  <c r="L295" i="14"/>
  <c r="L311" i="14" s="1"/>
  <c r="S303" i="14"/>
  <c r="T304" i="14" s="1"/>
  <c r="S320" i="14"/>
  <c r="S348" i="14" s="1"/>
  <c r="J309" i="14"/>
  <c r="J294" i="14"/>
  <c r="J303" i="14" s="1"/>
  <c r="N294" i="14"/>
  <c r="R294" i="14"/>
  <c r="S295" i="14" s="1"/>
  <c r="S311" i="14" s="1"/>
  <c r="V294" i="14"/>
  <c r="R298" i="14"/>
  <c r="J300" i="14"/>
  <c r="P329" i="14"/>
  <c r="P330" i="14" s="1"/>
  <c r="Q325" i="14"/>
  <c r="Q328" i="14" s="1"/>
  <c r="N279" i="14"/>
  <c r="N307" i="14" s="1"/>
  <c r="R279" i="14"/>
  <c r="R307" i="14" s="1"/>
  <c r="V279" i="14"/>
  <c r="V307" i="14" s="1"/>
  <c r="K284" i="14"/>
  <c r="K287" i="14" s="1"/>
  <c r="K309" i="14" s="1"/>
  <c r="O294" i="14"/>
  <c r="T295" i="14"/>
  <c r="U295" i="14"/>
  <c r="K298" i="14"/>
  <c r="O298" i="14"/>
  <c r="S298" i="14"/>
  <c r="AK297" i="14"/>
  <c r="N298" i="14"/>
  <c r="T298" i="14"/>
  <c r="K300" i="14"/>
  <c r="K301" i="14" s="1"/>
  <c r="P320" i="14"/>
  <c r="S335" i="14"/>
  <c r="S336" i="14" s="1"/>
  <c r="W335" i="14"/>
  <c r="AA335" i="14"/>
  <c r="AE335" i="14"/>
  <c r="R339" i="14"/>
  <c r="S339" i="14"/>
  <c r="R320" i="14"/>
  <c r="R348" i="14" s="1"/>
  <c r="H101" i="8"/>
  <c r="I5" i="8"/>
  <c r="L148" i="8"/>
  <c r="L29" i="8"/>
  <c r="L151" i="8" s="1"/>
  <c r="L37" i="8"/>
  <c r="L41" i="8" s="1"/>
  <c r="P148" i="8"/>
  <c r="P37" i="8"/>
  <c r="P29" i="8"/>
  <c r="P151" i="8" s="1"/>
  <c r="X148" i="8"/>
  <c r="X37" i="8"/>
  <c r="X29" i="8"/>
  <c r="X151" i="8" s="1"/>
  <c r="AB148" i="8"/>
  <c r="AB29" i="8"/>
  <c r="AB151" i="8" s="1"/>
  <c r="AB37" i="8"/>
  <c r="Y148" i="8"/>
  <c r="Y37" i="8"/>
  <c r="Y29" i="8"/>
  <c r="Y151" i="8" s="1"/>
  <c r="C122" i="8"/>
  <c r="C12" i="8"/>
  <c r="C28" i="8"/>
  <c r="G122" i="8"/>
  <c r="G12" i="8"/>
  <c r="G28" i="8"/>
  <c r="K122" i="8"/>
  <c r="K74" i="8"/>
  <c r="K12" i="8"/>
  <c r="K28" i="8"/>
  <c r="K21" i="8"/>
  <c r="O122" i="8"/>
  <c r="O74" i="8"/>
  <c r="O12" i="8"/>
  <c r="O28" i="8"/>
  <c r="O21" i="8"/>
  <c r="S122" i="8"/>
  <c r="S74" i="8"/>
  <c r="S32" i="8"/>
  <c r="S12" i="8"/>
  <c r="S28" i="8"/>
  <c r="S21" i="8"/>
  <c r="W122" i="8"/>
  <c r="W74" i="8"/>
  <c r="W12" i="8"/>
  <c r="W28" i="8"/>
  <c r="W21" i="8"/>
  <c r="AA122" i="8"/>
  <c r="AA74" i="8"/>
  <c r="AA12" i="8"/>
  <c r="AA28" i="8"/>
  <c r="AA21" i="8"/>
  <c r="C8" i="8"/>
  <c r="N8" i="8"/>
  <c r="S8" i="8"/>
  <c r="AJ7" i="8"/>
  <c r="AG12" i="8"/>
  <c r="AH12" i="8" s="1"/>
  <c r="F12" i="8"/>
  <c r="N12" i="8"/>
  <c r="V12" i="8"/>
  <c r="V14" i="8" s="1"/>
  <c r="V13" i="8" s="1"/>
  <c r="G15" i="8"/>
  <c r="O15" i="8"/>
  <c r="W15" i="8"/>
  <c r="S17" i="8"/>
  <c r="AA17" i="8"/>
  <c r="E23" i="8"/>
  <c r="I23" i="8"/>
  <c r="M23" i="8"/>
  <c r="Q23" i="8"/>
  <c r="U23" i="8"/>
  <c r="U22" i="8" s="1"/>
  <c r="Y23" i="8"/>
  <c r="B23" i="8"/>
  <c r="J23" i="8"/>
  <c r="R23" i="8"/>
  <c r="Z23" i="8"/>
  <c r="H28" i="8"/>
  <c r="B35" i="8"/>
  <c r="F35" i="8"/>
  <c r="J35" i="8"/>
  <c r="N35" i="8"/>
  <c r="R35" i="8"/>
  <c r="V35" i="8"/>
  <c r="Z35" i="8"/>
  <c r="AE34" i="8"/>
  <c r="R48" i="8"/>
  <c r="J15" i="8"/>
  <c r="R15" i="8"/>
  <c r="R14" i="8" s="1"/>
  <c r="R13" i="8" s="1"/>
  <c r="Z15" i="8"/>
  <c r="Z14" i="8" s="1"/>
  <c r="Z13" i="8" s="1"/>
  <c r="N17" i="8"/>
  <c r="V17" i="8"/>
  <c r="S26" i="8"/>
  <c r="T25" i="8"/>
  <c r="R26" i="8"/>
  <c r="I28" i="8"/>
  <c r="Q28" i="8"/>
  <c r="R32" i="8"/>
  <c r="E122" i="8"/>
  <c r="E14" i="8"/>
  <c r="E15" i="8"/>
  <c r="I122" i="8"/>
  <c r="I14" i="8"/>
  <c r="I15" i="8"/>
  <c r="M122" i="8"/>
  <c r="M14" i="8"/>
  <c r="M15" i="8"/>
  <c r="Q122" i="8"/>
  <c r="Q14" i="8"/>
  <c r="Q15" i="8"/>
  <c r="U122" i="8"/>
  <c r="U15" i="8"/>
  <c r="Y122" i="8"/>
  <c r="Y15" i="8"/>
  <c r="F8" i="8"/>
  <c r="K8" i="8"/>
  <c r="Q8" i="8"/>
  <c r="V8" i="8"/>
  <c r="AA8" i="8"/>
  <c r="C15" i="8"/>
  <c r="K15" i="8"/>
  <c r="S15" i="8"/>
  <c r="AA15" i="8"/>
  <c r="O17" i="8"/>
  <c r="W17" i="8"/>
  <c r="AL22" i="8"/>
  <c r="D28" i="8"/>
  <c r="B122" i="8"/>
  <c r="B28" i="8"/>
  <c r="F122" i="8"/>
  <c r="F28" i="8"/>
  <c r="F14" i="8"/>
  <c r="J122" i="8"/>
  <c r="J28" i="8"/>
  <c r="J21" i="8"/>
  <c r="J14" i="8"/>
  <c r="N122" i="8"/>
  <c r="N28" i="8"/>
  <c r="N75" i="8" s="1"/>
  <c r="N21" i="8"/>
  <c r="N14" i="8"/>
  <c r="R122" i="8"/>
  <c r="R28" i="8"/>
  <c r="R21" i="8"/>
  <c r="V122" i="8"/>
  <c r="V28" i="8"/>
  <c r="V21" i="8"/>
  <c r="Z122" i="8"/>
  <c r="Z28" i="8"/>
  <c r="Z75" i="8" s="1"/>
  <c r="Z21" i="8"/>
  <c r="G8" i="8"/>
  <c r="R8" i="8"/>
  <c r="W8" i="8"/>
  <c r="U14" i="8"/>
  <c r="U13" i="8" s="1"/>
  <c r="F15" i="8"/>
  <c r="N15" i="8"/>
  <c r="V15" i="8"/>
  <c r="R17" i="8"/>
  <c r="Z17" i="8"/>
  <c r="L23" i="8"/>
  <c r="L22" i="8"/>
  <c r="P23" i="8"/>
  <c r="P22" i="8"/>
  <c r="T22" i="8"/>
  <c r="X23" i="8"/>
  <c r="X22" i="8"/>
  <c r="AB23" i="8"/>
  <c r="AB22" i="8"/>
  <c r="M21" i="8"/>
  <c r="U21" i="8"/>
  <c r="AB24" i="8"/>
  <c r="E28" i="8"/>
  <c r="M28" i="8"/>
  <c r="U28" i="8"/>
  <c r="V32" i="8"/>
  <c r="P41" i="8"/>
  <c r="P25" i="8" s="1"/>
  <c r="P26" i="8" s="1"/>
  <c r="L122" i="8"/>
  <c r="L74" i="8"/>
  <c r="P122" i="8"/>
  <c r="P74" i="8"/>
  <c r="X122" i="8"/>
  <c r="X74" i="8"/>
  <c r="AB122" i="8"/>
  <c r="AB74" i="8"/>
  <c r="D8" i="8"/>
  <c r="H8" i="8"/>
  <c r="L8" i="8"/>
  <c r="P8" i="8"/>
  <c r="X8" i="8"/>
  <c r="AB8" i="8"/>
  <c r="D12" i="8"/>
  <c r="H12" i="8"/>
  <c r="L12" i="8"/>
  <c r="P12" i="8"/>
  <c r="X12" i="8"/>
  <c r="AB12" i="8"/>
  <c r="I22" i="8"/>
  <c r="M22" i="8"/>
  <c r="Q22" i="8"/>
  <c r="Y22" i="8"/>
  <c r="S45" i="8"/>
  <c r="AB61" i="8"/>
  <c r="I74" i="8"/>
  <c r="M74" i="8"/>
  <c r="Q74" i="8"/>
  <c r="U74" i="8"/>
  <c r="Y74" i="8"/>
  <c r="S50" i="8"/>
  <c r="J75" i="8"/>
  <c r="R74" i="8"/>
  <c r="V74" i="8"/>
  <c r="Z74" i="8"/>
  <c r="D15" i="8"/>
  <c r="H15" i="8"/>
  <c r="L15" i="8"/>
  <c r="P15" i="8"/>
  <c r="X15" i="8"/>
  <c r="AB15" i="8"/>
  <c r="P17" i="8"/>
  <c r="X17" i="8"/>
  <c r="AB17" i="8"/>
  <c r="O75" i="8"/>
  <c r="S75" i="8"/>
  <c r="AA75" i="8"/>
  <c r="R78" i="8"/>
  <c r="K135" i="8"/>
  <c r="K113" i="8"/>
  <c r="S134" i="8"/>
  <c r="S113" i="8"/>
  <c r="AA134" i="8"/>
  <c r="AA113" i="8"/>
  <c r="H113" i="8"/>
  <c r="R137" i="8"/>
  <c r="R116" i="8"/>
  <c r="O135" i="8"/>
  <c r="L75" i="8"/>
  <c r="P75" i="8"/>
  <c r="X75" i="8"/>
  <c r="AB75" i="8"/>
  <c r="AF73" i="8"/>
  <c r="J74" i="8"/>
  <c r="N74" i="8"/>
  <c r="Z107" i="8"/>
  <c r="L113" i="8"/>
  <c r="AB113" i="8"/>
  <c r="I75" i="8"/>
  <c r="M75" i="8"/>
  <c r="Q75" i="8"/>
  <c r="Y75" i="8"/>
  <c r="V75" i="8"/>
  <c r="C160" i="8"/>
  <c r="G160" i="8"/>
  <c r="G121" i="8"/>
  <c r="K160" i="8"/>
  <c r="K121" i="8"/>
  <c r="K141" i="8" s="1"/>
  <c r="O160" i="8"/>
  <c r="O121" i="8"/>
  <c r="O141" i="8" s="1"/>
  <c r="S160" i="8"/>
  <c r="S125" i="8"/>
  <c r="S121" i="8"/>
  <c r="S145" i="8" s="1"/>
  <c r="W125" i="8"/>
  <c r="AA160" i="8"/>
  <c r="AA125" i="8"/>
  <c r="C104" i="8"/>
  <c r="C121" i="8" s="1"/>
  <c r="S104" i="8"/>
  <c r="R107" i="8"/>
  <c r="L156" i="8"/>
  <c r="L110" i="8"/>
  <c r="L121" i="8"/>
  <c r="L146" i="8" s="1"/>
  <c r="P156" i="8"/>
  <c r="P110" i="8"/>
  <c r="P121" i="8"/>
  <c r="P145" i="8" s="1"/>
  <c r="T131" i="8"/>
  <c r="T110" i="8"/>
  <c r="X131" i="8"/>
  <c r="AB131" i="8"/>
  <c r="AB110" i="8"/>
  <c r="T113" i="8"/>
  <c r="B160" i="8"/>
  <c r="F160" i="8"/>
  <c r="J160" i="8"/>
  <c r="N165" i="8"/>
  <c r="N160" i="8"/>
  <c r="R160" i="8"/>
  <c r="V160" i="8"/>
  <c r="Z160" i="8"/>
  <c r="F104" i="8"/>
  <c r="J104" i="8"/>
  <c r="N104" i="8"/>
  <c r="R104" i="8"/>
  <c r="V104" i="8"/>
  <c r="Z104" i="8"/>
  <c r="Q107" i="8"/>
  <c r="U107" i="8"/>
  <c r="Y107" i="8"/>
  <c r="K156" i="8"/>
  <c r="O156" i="8"/>
  <c r="S156" i="8"/>
  <c r="M116" i="8"/>
  <c r="Q116" i="8"/>
  <c r="U116" i="8"/>
  <c r="P119" i="8"/>
  <c r="B126" i="8"/>
  <c r="F126" i="8"/>
  <c r="J161" i="8"/>
  <c r="J143" i="8"/>
  <c r="J126" i="8"/>
  <c r="N161" i="8"/>
  <c r="N143" i="8"/>
  <c r="N126" i="8"/>
  <c r="V125" i="8"/>
  <c r="E126" i="8"/>
  <c r="H129" i="8"/>
  <c r="L129" i="8"/>
  <c r="P129" i="8"/>
  <c r="S131" i="8"/>
  <c r="S157" i="8" s="1"/>
  <c r="I132" i="8"/>
  <c r="I135" i="8"/>
  <c r="M135" i="8"/>
  <c r="G135" i="8"/>
  <c r="V116" i="8"/>
  <c r="C126" i="8"/>
  <c r="Z125" i="8"/>
  <c r="I126" i="8"/>
  <c r="I147" i="8"/>
  <c r="T160" i="8"/>
  <c r="T125" i="8"/>
  <c r="X160" i="8"/>
  <c r="X125" i="8"/>
  <c r="AB160" i="8"/>
  <c r="AB125" i="8"/>
  <c r="D104" i="8"/>
  <c r="D121" i="8" s="1"/>
  <c r="H104" i="8"/>
  <c r="H121" i="8" s="1"/>
  <c r="L104" i="8"/>
  <c r="P104" i="8"/>
  <c r="T104" i="8"/>
  <c r="X104" i="8"/>
  <c r="AB104" i="8"/>
  <c r="AA107" i="8"/>
  <c r="Q156" i="8"/>
  <c r="Q131" i="8"/>
  <c r="Q157" i="8" s="1"/>
  <c r="U131" i="8"/>
  <c r="Y131" i="8"/>
  <c r="M113" i="8"/>
  <c r="Q113" i="8"/>
  <c r="Y113" i="8"/>
  <c r="K116" i="8"/>
  <c r="O116" i="8"/>
  <c r="S116" i="8"/>
  <c r="R119" i="8"/>
  <c r="I121" i="8"/>
  <c r="I144" i="8" s="1"/>
  <c r="M121" i="8"/>
  <c r="M150" i="8" s="1"/>
  <c r="D126" i="8"/>
  <c r="M126" i="8"/>
  <c r="J129" i="8"/>
  <c r="N129" i="8"/>
  <c r="K132" i="8"/>
  <c r="K157" i="8"/>
  <c r="O132" i="8"/>
  <c r="O157" i="8"/>
  <c r="AA131" i="8"/>
  <c r="G158" i="8"/>
  <c r="T137" i="8"/>
  <c r="P141" i="8"/>
  <c r="Q160" i="8"/>
  <c r="Q125" i="8"/>
  <c r="U160" i="8"/>
  <c r="U125" i="8"/>
  <c r="Y160" i="8"/>
  <c r="Y125" i="8"/>
  <c r="E104" i="8"/>
  <c r="E121" i="8" s="1"/>
  <c r="I104" i="8"/>
  <c r="M104" i="8"/>
  <c r="Q104" i="8"/>
  <c r="U104" i="8"/>
  <c r="Y104" i="8"/>
  <c r="T107" i="8"/>
  <c r="AB107" i="8"/>
  <c r="J156" i="8"/>
  <c r="J158" i="8" s="1"/>
  <c r="N156" i="8"/>
  <c r="R156" i="8"/>
  <c r="R131" i="8"/>
  <c r="V131" i="8"/>
  <c r="Z131" i="8"/>
  <c r="M110" i="8"/>
  <c r="Q110" i="8"/>
  <c r="U110" i="8"/>
  <c r="Y110" i="8"/>
  <c r="R113" i="8"/>
  <c r="Z113" i="8"/>
  <c r="S119" i="8"/>
  <c r="B121" i="8"/>
  <c r="F121" i="8"/>
  <c r="J121" i="8"/>
  <c r="J141" i="8" s="1"/>
  <c r="N121" i="8"/>
  <c r="N141" i="8" s="1"/>
  <c r="R121" i="8"/>
  <c r="R145" i="8" s="1"/>
  <c r="R125" i="8"/>
  <c r="L132" i="8"/>
  <c r="P132" i="8"/>
  <c r="L135" i="8"/>
  <c r="P135" i="8"/>
  <c r="J138" i="8"/>
  <c r="N138" i="8"/>
  <c r="I162" i="8"/>
  <c r="H126" i="8"/>
  <c r="L126" i="8"/>
  <c r="P126" i="8"/>
  <c r="N158" i="8"/>
  <c r="H143" i="8"/>
  <c r="L143" i="8"/>
  <c r="P143" i="8"/>
  <c r="G146" i="8"/>
  <c r="K146" i="8"/>
  <c r="O146" i="8"/>
  <c r="M144" i="8"/>
  <c r="H146" i="8"/>
  <c r="G161" i="8"/>
  <c r="G162" i="8" s="1"/>
  <c r="K161" i="8"/>
  <c r="K162" i="8" s="1"/>
  <c r="O161" i="8"/>
  <c r="O162" i="8" s="1"/>
  <c r="L157" i="8"/>
  <c r="L158" i="8" s="1"/>
  <c r="P157" i="8"/>
  <c r="P158" i="8" s="1"/>
  <c r="J132" i="8"/>
  <c r="N132" i="8"/>
  <c r="H158" i="8"/>
  <c r="H135" i="8"/>
  <c r="H162" i="8"/>
  <c r="L162" i="8"/>
  <c r="P162" i="8"/>
  <c r="G126" i="8"/>
  <c r="K126" i="8"/>
  <c r="O126" i="8"/>
  <c r="I158" i="8"/>
  <c r="M158" i="8"/>
  <c r="G143" i="8"/>
  <c r="K143" i="8"/>
  <c r="O143" i="8"/>
  <c r="J146" i="8"/>
  <c r="CA27" i="36"/>
  <c r="CA16" i="36"/>
  <c r="CN23" i="36"/>
  <c r="BW27" i="36"/>
  <c r="AP6" i="36"/>
  <c r="AT6" i="36" s="1"/>
  <c r="AX6" i="36" s="1"/>
  <c r="CP28" i="30"/>
  <c r="CF28" i="30"/>
  <c r="BV28" i="30"/>
  <c r="CB23" i="30"/>
  <c r="CM19" i="30"/>
  <c r="CU16" i="30"/>
  <c r="CA16" i="30"/>
  <c r="CK14" i="30"/>
  <c r="CP11" i="30"/>
  <c r="BV11" i="30"/>
  <c r="CA9" i="30"/>
  <c r="AI159" i="19"/>
  <c r="BC71" i="39"/>
  <c r="BL68" i="39"/>
  <c r="BI70" i="39"/>
  <c r="BI78" i="39"/>
  <c r="BL95" i="39"/>
  <c r="BL111" i="39"/>
  <c r="BN186" i="39"/>
  <c r="BN188" i="39"/>
  <c r="BS81" i="36"/>
  <c r="BR61" i="36"/>
  <c r="BS41" i="36"/>
  <c r="BS51" i="36"/>
  <c r="CI82" i="36"/>
  <c r="CH62" i="36"/>
  <c r="CI42" i="36"/>
  <c r="CI32" i="36"/>
  <c r="CI22" i="36"/>
  <c r="CJ22" i="36" s="1"/>
  <c r="CI84" i="36"/>
  <c r="CH64" i="36"/>
  <c r="CI44" i="36"/>
  <c r="CI34" i="36"/>
  <c r="CM13" i="36"/>
  <c r="CM81" i="36"/>
  <c r="CL61" i="36"/>
  <c r="CM51" i="36"/>
  <c r="CM31" i="36"/>
  <c r="CM41" i="36"/>
  <c r="CL14" i="36"/>
  <c r="BW82" i="36"/>
  <c r="BV62" i="36"/>
  <c r="BW32" i="36"/>
  <c r="BW42" i="36"/>
  <c r="BW22" i="36"/>
  <c r="BS10" i="36"/>
  <c r="BW10" i="36"/>
  <c r="BZ64" i="36"/>
  <c r="CA84" i="36"/>
  <c r="CA44" i="36"/>
  <c r="CA34" i="36"/>
  <c r="CA24" i="36"/>
  <c r="CQ10" i="36"/>
  <c r="AI25" i="36"/>
  <c r="AM14" i="36"/>
  <c r="AU14" i="36"/>
  <c r="CE25" i="36"/>
  <c r="CF25" i="36" s="1"/>
  <c r="CE45" i="36"/>
  <c r="CE14" i="36"/>
  <c r="L16" i="36"/>
  <c r="O27" i="36"/>
  <c r="O16" i="36"/>
  <c r="AB16" i="36"/>
  <c r="AE37" i="36"/>
  <c r="AE16" i="36"/>
  <c r="AM16" i="36"/>
  <c r="BP16" i="36"/>
  <c r="CE15" i="36"/>
  <c r="CH15" i="36"/>
  <c r="CI36" i="36" s="1"/>
  <c r="CL15" i="36"/>
  <c r="BL62" i="36"/>
  <c r="BH62" i="36"/>
  <c r="BF92" i="36"/>
  <c r="BG62" i="36"/>
  <c r="CN24" i="36"/>
  <c r="CV24" i="36"/>
  <c r="DD24" i="36"/>
  <c r="AA26" i="36"/>
  <c r="AI56" i="36"/>
  <c r="AI46" i="36"/>
  <c r="AT76" i="36"/>
  <c r="AU55" i="36"/>
  <c r="AU27" i="36"/>
  <c r="BR25" i="36"/>
  <c r="DP36" i="36"/>
  <c r="BK37" i="36"/>
  <c r="CA36" i="36"/>
  <c r="AI35" i="36"/>
  <c r="AM37" i="36"/>
  <c r="AQ37" i="36"/>
  <c r="BC37" i="36"/>
  <c r="G37" i="36"/>
  <c r="O37" i="36"/>
  <c r="G44" i="36"/>
  <c r="AA46" i="36"/>
  <c r="S46" i="36"/>
  <c r="W47" i="36"/>
  <c r="AE47" i="36"/>
  <c r="CM45" i="36"/>
  <c r="DC46" i="36"/>
  <c r="K46" i="36"/>
  <c r="CA56" i="36"/>
  <c r="CE55" i="36"/>
  <c r="DC56" i="36"/>
  <c r="W67" i="36"/>
  <c r="H15" i="19"/>
  <c r="BI138" i="39"/>
  <c r="BI175" i="39"/>
  <c r="BN180" i="39"/>
  <c r="CA81" i="36"/>
  <c r="BZ61" i="36"/>
  <c r="CA51" i="36"/>
  <c r="CA31" i="36"/>
  <c r="CB15" i="36"/>
  <c r="CB16" i="36" s="1"/>
  <c r="CI11" i="36"/>
  <c r="CI13" i="36"/>
  <c r="CA10" i="36"/>
  <c r="BX10" i="35" s="1"/>
  <c r="BX34" i="35" s="1"/>
  <c r="BW11" i="36"/>
  <c r="CA13" i="36"/>
  <c r="G35" i="36"/>
  <c r="G25" i="36"/>
  <c r="S14" i="36"/>
  <c r="AA14" i="36"/>
  <c r="AI14" i="36"/>
  <c r="BG14" i="36"/>
  <c r="BR14" i="36"/>
  <c r="BS35" i="36" s="1"/>
  <c r="CM10" i="36"/>
  <c r="CQ85" i="36"/>
  <c r="CQ45" i="36"/>
  <c r="CY25" i="36"/>
  <c r="CY35" i="36"/>
  <c r="K15" i="36"/>
  <c r="P16" i="36"/>
  <c r="S16" i="36"/>
  <c r="AA15" i="36"/>
  <c r="AF16" i="36"/>
  <c r="AI16" i="36"/>
  <c r="AN16" i="36"/>
  <c r="AQ27" i="36"/>
  <c r="AQ16" i="36"/>
  <c r="BC26" i="36"/>
  <c r="BD15" i="36"/>
  <c r="BD18" i="36" s="1"/>
  <c r="BD16" i="36"/>
  <c r="BG47" i="36"/>
  <c r="BG16" i="36"/>
  <c r="BK27" i="36"/>
  <c r="BO15" i="36"/>
  <c r="BR15" i="36"/>
  <c r="CN15" i="36"/>
  <c r="CV15" i="36"/>
  <c r="CV16" i="36" s="1"/>
  <c r="CU17" i="36"/>
  <c r="CY87" i="36"/>
  <c r="CY47" i="36"/>
  <c r="CY27" i="36"/>
  <c r="CY17" i="36"/>
  <c r="DC47" i="36"/>
  <c r="DD16" i="36"/>
  <c r="DD17" i="36"/>
  <c r="DG16" i="36"/>
  <c r="AM26" i="36"/>
  <c r="AM15" i="36"/>
  <c r="CL16" i="36"/>
  <c r="BG22" i="36"/>
  <c r="BH22" i="36" s="1"/>
  <c r="BG25" i="36"/>
  <c r="BP24" i="36"/>
  <c r="CN22" i="36"/>
  <c r="CV22" i="36"/>
  <c r="DD22" i="36"/>
  <c r="DP21" i="36"/>
  <c r="DL21" i="36"/>
  <c r="F75" i="36"/>
  <c r="G24" i="36"/>
  <c r="F64" i="36"/>
  <c r="G54" i="36"/>
  <c r="CI24" i="36"/>
  <c r="CJ24" i="36" s="1"/>
  <c r="W76" i="36"/>
  <c r="AI26" i="36"/>
  <c r="AU25" i="36"/>
  <c r="BC55" i="36"/>
  <c r="O26" i="36"/>
  <c r="BR26" i="36"/>
  <c r="BS56" i="36" s="1"/>
  <c r="CU26" i="36"/>
  <c r="BX35" i="36"/>
  <c r="CB35" i="36"/>
  <c r="BW35" i="36"/>
  <c r="S37" i="36"/>
  <c r="CQ35" i="36"/>
  <c r="CY37" i="36"/>
  <c r="DC37" i="36"/>
  <c r="DK36" i="36"/>
  <c r="K36" i="36"/>
  <c r="BX45" i="36"/>
  <c r="BW45" i="36"/>
  <c r="K44" i="36"/>
  <c r="AM45" i="36"/>
  <c r="BK47" i="36"/>
  <c r="BS45" i="36"/>
  <c r="CM46" i="36"/>
  <c r="DG47" i="36"/>
  <c r="DK47" i="36"/>
  <c r="CA55" i="36"/>
  <c r="CQ56" i="36"/>
  <c r="DG56" i="36"/>
  <c r="W55" i="36"/>
  <c r="AI152" i="19"/>
  <c r="BE71" i="39"/>
  <c r="BI88" i="39"/>
  <c r="BL196" i="39"/>
  <c r="CI81" i="36"/>
  <c r="CH61" i="36"/>
  <c r="CI31" i="36"/>
  <c r="CI51" i="36"/>
  <c r="CI41" i="36"/>
  <c r="CH63" i="36"/>
  <c r="CI83" i="36"/>
  <c r="CI33" i="36"/>
  <c r="CI43" i="36"/>
  <c r="CH14" i="36"/>
  <c r="DK86" i="36"/>
  <c r="DK26" i="36"/>
  <c r="DK46" i="36"/>
  <c r="DL16" i="36"/>
  <c r="BK85" i="36"/>
  <c r="BK25" i="36"/>
  <c r="BL25" i="36" s="1"/>
  <c r="BK14" i="36"/>
  <c r="G27" i="36"/>
  <c r="G16" i="36"/>
  <c r="S36" i="36"/>
  <c r="T15" i="36"/>
  <c r="T16" i="36" s="1"/>
  <c r="W37" i="36"/>
  <c r="W16" i="36"/>
  <c r="AJ16" i="36"/>
  <c r="CE27" i="36"/>
  <c r="CE16" i="36"/>
  <c r="CH16" i="36"/>
  <c r="BF27" i="36"/>
  <c r="BG57" i="36" s="1"/>
  <c r="BF61" i="36"/>
  <c r="BF64" i="36"/>
  <c r="BG24" i="36"/>
  <c r="BH24" i="36" s="1"/>
  <c r="BT22" i="36"/>
  <c r="CF21" i="36"/>
  <c r="CF23" i="36"/>
  <c r="BJ61" i="36"/>
  <c r="BJ27" i="36"/>
  <c r="BK57" i="36" s="1"/>
  <c r="BJ25" i="36"/>
  <c r="BK55" i="36" s="1"/>
  <c r="DP22" i="36"/>
  <c r="DL22" i="36"/>
  <c r="J75" i="36"/>
  <c r="J64" i="36"/>
  <c r="J65" i="36" s="1"/>
  <c r="K54" i="36"/>
  <c r="K24" i="36"/>
  <c r="AD76" i="36"/>
  <c r="AE55" i="36"/>
  <c r="AE45" i="36"/>
  <c r="AE27" i="36"/>
  <c r="AM47" i="36"/>
  <c r="AM57" i="36"/>
  <c r="BC25" i="36"/>
  <c r="BW25" i="36"/>
  <c r="CQ25" i="36"/>
  <c r="DG25" i="36"/>
  <c r="DH25" i="36" s="1"/>
  <c r="K26" i="36"/>
  <c r="CA26" i="36"/>
  <c r="BH36" i="36"/>
  <c r="BG36" i="36"/>
  <c r="CN36" i="36"/>
  <c r="CM36" i="36"/>
  <c r="DP37" i="36"/>
  <c r="O34" i="36"/>
  <c r="BT64" i="36"/>
  <c r="BS64" i="36"/>
  <c r="BR94" i="36"/>
  <c r="BX64" i="36"/>
  <c r="AI36" i="36"/>
  <c r="AM36" i="36"/>
  <c r="AU35" i="36"/>
  <c r="AY35" i="36"/>
  <c r="BC36" i="36"/>
  <c r="CE37" i="36"/>
  <c r="CR36" i="36"/>
  <c r="CQ47" i="36"/>
  <c r="G46" i="36"/>
  <c r="O46" i="36"/>
  <c r="CI56" i="36"/>
  <c r="CU56" i="36"/>
  <c r="G66" i="36"/>
  <c r="N65" i="36"/>
  <c r="AQ65" i="36"/>
  <c r="BL77" i="39"/>
  <c r="BI81" i="39"/>
  <c r="BL84" i="39"/>
  <c r="BL126" i="39"/>
  <c r="BN174" i="39"/>
  <c r="BL200" i="39"/>
  <c r="CI10" i="36"/>
  <c r="CI12" i="36"/>
  <c r="BW81" i="36"/>
  <c r="BW51" i="36"/>
  <c r="BV61" i="36"/>
  <c r="BV15" i="36"/>
  <c r="N64" i="36"/>
  <c r="O13" i="36"/>
  <c r="S13" i="36"/>
  <c r="CA14" i="36"/>
  <c r="CE13" i="36"/>
  <c r="DK15" i="36"/>
  <c r="K35" i="36"/>
  <c r="K14" i="36"/>
  <c r="O14" i="36"/>
  <c r="W14" i="36"/>
  <c r="AE14" i="36"/>
  <c r="AQ14" i="36"/>
  <c r="BO45" i="36"/>
  <c r="BW14" i="36"/>
  <c r="CM12" i="36"/>
  <c r="H16" i="36"/>
  <c r="K16" i="36"/>
  <c r="S15" i="36"/>
  <c r="X16" i="36"/>
  <c r="AA16" i="36"/>
  <c r="AI15" i="36"/>
  <c r="AU26" i="36"/>
  <c r="AV15" i="36"/>
  <c r="AV18" i="36" s="1"/>
  <c r="AY27" i="36"/>
  <c r="AY16" i="36"/>
  <c r="BK46" i="36"/>
  <c r="BL15" i="36"/>
  <c r="BL18" i="36" s="1"/>
  <c r="BO47" i="36"/>
  <c r="BO27" i="36"/>
  <c r="BO16" i="36"/>
  <c r="BR16" i="36"/>
  <c r="CF16" i="36"/>
  <c r="CQ37" i="36"/>
  <c r="CQ27" i="36"/>
  <c r="CU16" i="36"/>
  <c r="CY46" i="36"/>
  <c r="CZ15" i="36"/>
  <c r="CZ16" i="36" s="1"/>
  <c r="DC26" i="36"/>
  <c r="DC36" i="36"/>
  <c r="DC15" i="36"/>
  <c r="DG15" i="36"/>
  <c r="DG37" i="36"/>
  <c r="DG27" i="36"/>
  <c r="DH17" i="36"/>
  <c r="BG21" i="36"/>
  <c r="BH21" i="36" s="1"/>
  <c r="BL24" i="36"/>
  <c r="BS21" i="36"/>
  <c r="BT21" i="36" s="1"/>
  <c r="BW21" i="36"/>
  <c r="BX21" i="36" s="1"/>
  <c r="CM21" i="36"/>
  <c r="BN62" i="36"/>
  <c r="BN27" i="36"/>
  <c r="BO57" i="36" s="1"/>
  <c r="BK62" i="36"/>
  <c r="BJ92" i="36"/>
  <c r="BP62" i="36"/>
  <c r="DL24" i="36"/>
  <c r="K25" i="36"/>
  <c r="O24" i="36"/>
  <c r="S26" i="36"/>
  <c r="AE25" i="36"/>
  <c r="AL76" i="36"/>
  <c r="AM55" i="36"/>
  <c r="AM27" i="36"/>
  <c r="AY26" i="36"/>
  <c r="BN25" i="36"/>
  <c r="BO55" i="36" s="1"/>
  <c r="G26" i="36"/>
  <c r="BF26" i="36"/>
  <c r="BN26" i="36"/>
  <c r="BG35" i="36"/>
  <c r="CA35" i="36"/>
  <c r="S35" i="36"/>
  <c r="CU36" i="36"/>
  <c r="CY36" i="36"/>
  <c r="DG35" i="36"/>
  <c r="CF46" i="36"/>
  <c r="CB46" i="36"/>
  <c r="CA46" i="36"/>
  <c r="BK45" i="36"/>
  <c r="CE47" i="36"/>
  <c r="CY45" i="36"/>
  <c r="CE56" i="36"/>
  <c r="CY56" i="36"/>
  <c r="DK56" i="36"/>
  <c r="AI67" i="36"/>
  <c r="BF63" i="36"/>
  <c r="BP63" i="36"/>
  <c r="BJ93" i="36"/>
  <c r="EB63" i="36"/>
  <c r="EB64" i="36" s="1"/>
  <c r="CU25" i="36"/>
  <c r="CV25" i="36" s="1"/>
  <c r="BG32" i="36"/>
  <c r="BH33" i="36"/>
  <c r="BL32" i="36"/>
  <c r="BL34" i="36"/>
  <c r="BP32" i="36"/>
  <c r="BW31" i="36"/>
  <c r="DS31" i="36"/>
  <c r="DS33" i="36"/>
  <c r="BB74" i="36"/>
  <c r="BC74" i="36" s="1"/>
  <c r="BB63" i="36"/>
  <c r="BD63" i="36" s="1"/>
  <c r="CF63" i="36"/>
  <c r="CD93" i="36"/>
  <c r="CE63" i="36"/>
  <c r="CD67" i="36"/>
  <c r="CJ63" i="36"/>
  <c r="AF75" i="36"/>
  <c r="AA75" i="36"/>
  <c r="AA35" i="36"/>
  <c r="AB36" i="36"/>
  <c r="CJ36" i="36"/>
  <c r="AJ36" i="36"/>
  <c r="AN37" i="36"/>
  <c r="AV35" i="36"/>
  <c r="AZ36" i="36"/>
  <c r="BB35" i="36"/>
  <c r="BH35" i="36" s="1"/>
  <c r="BD37" i="36"/>
  <c r="BJ36" i="36"/>
  <c r="BN37" i="36"/>
  <c r="CD35" i="36"/>
  <c r="CF37" i="36"/>
  <c r="CR35" i="36"/>
  <c r="CV36" i="36"/>
  <c r="CZ37" i="36"/>
  <c r="DH35" i="36"/>
  <c r="DR35" i="36" s="1"/>
  <c r="DL36" i="36"/>
  <c r="DN35" i="36"/>
  <c r="AD19" i="8" s="1"/>
  <c r="K37" i="36"/>
  <c r="BX41" i="36"/>
  <c r="CA41" i="36"/>
  <c r="AB46" i="36"/>
  <c r="AN45" i="36"/>
  <c r="AR46" i="36"/>
  <c r="BT45" i="36"/>
  <c r="BZ45" i="36"/>
  <c r="CF45" i="36" s="1"/>
  <c r="CJ45" i="36"/>
  <c r="CN46" i="36"/>
  <c r="CR47" i="36"/>
  <c r="CZ45" i="36"/>
  <c r="DD46" i="36"/>
  <c r="DH47" i="36"/>
  <c r="DP45" i="36"/>
  <c r="BW52" i="36"/>
  <c r="DC52" i="36"/>
  <c r="DK52" i="36"/>
  <c r="CB52" i="36"/>
  <c r="CF52" i="36"/>
  <c r="CJ52" i="36"/>
  <c r="CI55" i="36"/>
  <c r="CR52" i="36"/>
  <c r="CV52" i="36"/>
  <c r="CT54" i="36"/>
  <c r="CZ52" i="36"/>
  <c r="DG52" i="36"/>
  <c r="DH53" i="36"/>
  <c r="DJ53" i="36"/>
  <c r="O54" i="36"/>
  <c r="BV53" i="36"/>
  <c r="BP54" i="36"/>
  <c r="BT53" i="36"/>
  <c r="DF57" i="36"/>
  <c r="DG57" i="36" s="1"/>
  <c r="AY55" i="36"/>
  <c r="F93" i="36"/>
  <c r="G63" i="36"/>
  <c r="K61" i="36"/>
  <c r="L62" i="36"/>
  <c r="T63" i="36"/>
  <c r="R93" i="36"/>
  <c r="X63" i="36"/>
  <c r="W66" i="36"/>
  <c r="Z64" i="36"/>
  <c r="AH123" i="36"/>
  <c r="AI113" i="36"/>
  <c r="AI94" i="36"/>
  <c r="AZ63" i="36"/>
  <c r="AX93" i="36"/>
  <c r="AY63" i="36"/>
  <c r="DY63" i="36"/>
  <c r="DY64" i="36" s="1"/>
  <c r="BO63" i="36"/>
  <c r="BN93" i="36"/>
  <c r="BT63" i="36"/>
  <c r="T76" i="36"/>
  <c r="AH77" i="36"/>
  <c r="DV75" i="36"/>
  <c r="DV76" i="36" s="1"/>
  <c r="BD74" i="36"/>
  <c r="K84" i="36"/>
  <c r="W85" i="36"/>
  <c r="AA86" i="36"/>
  <c r="AE87" i="36"/>
  <c r="AM85" i="36"/>
  <c r="AQ86" i="36"/>
  <c r="AU87" i="36"/>
  <c r="BC85" i="36"/>
  <c r="BG86" i="36"/>
  <c r="BK87" i="36"/>
  <c r="BS85" i="36"/>
  <c r="BW86" i="36"/>
  <c r="CA87" i="36"/>
  <c r="CI85" i="36"/>
  <c r="CM86" i="36"/>
  <c r="CQ87" i="36"/>
  <c r="CY85" i="36"/>
  <c r="DC86" i="36"/>
  <c r="DG87" i="36"/>
  <c r="G87" i="36"/>
  <c r="O87" i="36"/>
  <c r="BX31" i="36"/>
  <c r="BR37" i="36"/>
  <c r="BJ35" i="36"/>
  <c r="BN36" i="36"/>
  <c r="BV37" i="36"/>
  <c r="CB37" i="36" s="1"/>
  <c r="CF36" i="36"/>
  <c r="CN37" i="36"/>
  <c r="CB41" i="36"/>
  <c r="S45" i="36"/>
  <c r="S47" i="36"/>
  <c r="W46" i="36"/>
  <c r="AF46" i="36"/>
  <c r="AJ47" i="36"/>
  <c r="AR45" i="36"/>
  <c r="BV47" i="36"/>
  <c r="CE46" i="36"/>
  <c r="CN45" i="36"/>
  <c r="CR46" i="36"/>
  <c r="CV47" i="36"/>
  <c r="DD45" i="36"/>
  <c r="DH46" i="36"/>
  <c r="DL47" i="36"/>
  <c r="BZ53" i="36"/>
  <c r="CD53" i="36"/>
  <c r="CH53" i="36"/>
  <c r="CP53" i="36"/>
  <c r="CP54" i="36" s="1"/>
  <c r="CT53" i="36"/>
  <c r="CX53" i="36"/>
  <c r="DH52" i="36"/>
  <c r="DF54" i="36"/>
  <c r="DF55" i="36" s="1"/>
  <c r="G57" i="36"/>
  <c r="O57" i="36"/>
  <c r="CH57" i="36"/>
  <c r="CI57" i="36" s="1"/>
  <c r="DB57" i="36"/>
  <c r="DC57" i="36" s="1"/>
  <c r="AA57" i="36"/>
  <c r="F91" i="36"/>
  <c r="G61" i="36"/>
  <c r="L61" i="36"/>
  <c r="J122" i="36"/>
  <c r="K112" i="36"/>
  <c r="K93" i="36"/>
  <c r="N91" i="36"/>
  <c r="O61" i="36"/>
  <c r="N67" i="36"/>
  <c r="N66" i="36"/>
  <c r="S65" i="36"/>
  <c r="Z67" i="36"/>
  <c r="AB61" i="36"/>
  <c r="Z91" i="36"/>
  <c r="AF61" i="36"/>
  <c r="Z66" i="36"/>
  <c r="Z65" i="36"/>
  <c r="AD122" i="36"/>
  <c r="AE112" i="36"/>
  <c r="AE93" i="36"/>
  <c r="AI62" i="36"/>
  <c r="AH66" i="36"/>
  <c r="AH92" i="36"/>
  <c r="AL120" i="36"/>
  <c r="AM110" i="36"/>
  <c r="AL96" i="36"/>
  <c r="AM91" i="36"/>
  <c r="AN62" i="36"/>
  <c r="AV62" i="36"/>
  <c r="AT92" i="36"/>
  <c r="AV92" i="36" s="1"/>
  <c r="AU62" i="36"/>
  <c r="AZ62" i="36"/>
  <c r="AX97" i="36"/>
  <c r="AX123" i="36"/>
  <c r="AY113" i="36"/>
  <c r="AY94" i="36"/>
  <c r="AY67" i="36"/>
  <c r="BK63" i="36"/>
  <c r="BN123" i="36"/>
  <c r="BO113" i="36"/>
  <c r="BT94" i="36"/>
  <c r="BO94" i="36"/>
  <c r="BZ130" i="36"/>
  <c r="CA92" i="36"/>
  <c r="BZ121" i="36"/>
  <c r="CA111" i="36"/>
  <c r="CF92" i="36"/>
  <c r="CD97" i="36"/>
  <c r="CL130" i="36"/>
  <c r="CL121" i="36"/>
  <c r="CM92" i="36"/>
  <c r="CM111" i="36"/>
  <c r="CR92" i="36"/>
  <c r="CQ97" i="36"/>
  <c r="R77" i="36"/>
  <c r="AB75" i="36"/>
  <c r="AL77" i="36"/>
  <c r="O84" i="36"/>
  <c r="BG34" i="36"/>
  <c r="BF37" i="36"/>
  <c r="BL33" i="36"/>
  <c r="BS31" i="36"/>
  <c r="AA37" i="36"/>
  <c r="BR36" i="36"/>
  <c r="CA37" i="36"/>
  <c r="CI37" i="36"/>
  <c r="AF37" i="36"/>
  <c r="AI37" i="36"/>
  <c r="AQ35" i="36"/>
  <c r="AU36" i="36"/>
  <c r="AY37" i="36"/>
  <c r="BN35" i="36"/>
  <c r="BV36" i="36"/>
  <c r="CB36" i="36" s="1"/>
  <c r="CM35" i="36"/>
  <c r="CQ36" i="36"/>
  <c r="CU37" i="36"/>
  <c r="DC35" i="36"/>
  <c r="DG36" i="36"/>
  <c r="O44" i="36"/>
  <c r="AI45" i="36"/>
  <c r="AM46" i="36"/>
  <c r="AQ47" i="36"/>
  <c r="BV46" i="36"/>
  <c r="BZ47" i="36"/>
  <c r="K47" i="36"/>
  <c r="BK52" i="36"/>
  <c r="BL52" i="36"/>
  <c r="BS54" i="36"/>
  <c r="BT54" i="36"/>
  <c r="BP52" i="36"/>
  <c r="DJ55" i="36"/>
  <c r="AC73" i="8" s="1"/>
  <c r="CD57" i="36"/>
  <c r="CE57" i="36" s="1"/>
  <c r="CX57" i="36"/>
  <c r="CY57" i="36" s="1"/>
  <c r="F121" i="36"/>
  <c r="G111" i="36"/>
  <c r="G92" i="36"/>
  <c r="F67" i="36"/>
  <c r="P62" i="36"/>
  <c r="N92" i="36"/>
  <c r="T62" i="36"/>
  <c r="S66" i="36"/>
  <c r="V93" i="36"/>
  <c r="W63" i="36"/>
  <c r="AE61" i="36"/>
  <c r="AD91" i="36"/>
  <c r="AD67" i="36"/>
  <c r="AD65" i="36"/>
  <c r="AJ63" i="36"/>
  <c r="AH93" i="36"/>
  <c r="AJ93" i="36" s="1"/>
  <c r="DU63" i="36"/>
  <c r="DU64" i="36" s="1"/>
  <c r="AN63" i="36"/>
  <c r="AP67" i="36"/>
  <c r="AR61" i="36"/>
  <c r="C47" i="30" s="1"/>
  <c r="AP91" i="36"/>
  <c r="AR91" i="36" s="1"/>
  <c r="AQ61" i="36"/>
  <c r="AV61" i="36"/>
  <c r="AP66" i="36"/>
  <c r="AT122" i="36"/>
  <c r="AU112" i="36"/>
  <c r="AZ93" i="36"/>
  <c r="AU93" i="36"/>
  <c r="BB120" i="36"/>
  <c r="BC110" i="36"/>
  <c r="BB96" i="36"/>
  <c r="BC91" i="36"/>
  <c r="BZ131" i="36"/>
  <c r="BZ122" i="36"/>
  <c r="CF93" i="36"/>
  <c r="CA93" i="36"/>
  <c r="DC93" i="36"/>
  <c r="DC112" i="36"/>
  <c r="DB122" i="36"/>
  <c r="DB98" i="36"/>
  <c r="V77" i="36"/>
  <c r="AX77" i="36"/>
  <c r="W87" i="36"/>
  <c r="AI86" i="36"/>
  <c r="AU85" i="36"/>
  <c r="BC87" i="36"/>
  <c r="BO86" i="36"/>
  <c r="CA85" i="36"/>
  <c r="CI87" i="36"/>
  <c r="CU86" i="36"/>
  <c r="DG85" i="36"/>
  <c r="T75" i="36"/>
  <c r="O75" i="36"/>
  <c r="X76" i="36"/>
  <c r="S76" i="36"/>
  <c r="Z76" i="36"/>
  <c r="AA55" i="36"/>
  <c r="AN76" i="36"/>
  <c r="AI76" i="36"/>
  <c r="AP76" i="36"/>
  <c r="AQ55" i="36"/>
  <c r="AY76" i="36"/>
  <c r="BT31" i="36"/>
  <c r="AA36" i="36"/>
  <c r="BW41" i="36"/>
  <c r="AB47" i="36"/>
  <c r="CA52" i="36"/>
  <c r="CE52" i="36"/>
  <c r="CI52" i="36"/>
  <c r="CQ52" i="36"/>
  <c r="CU52" i="36"/>
  <c r="CT55" i="36"/>
  <c r="CY52" i="36"/>
  <c r="BV56" i="36"/>
  <c r="BW56" i="36" s="1"/>
  <c r="BV54" i="36"/>
  <c r="DB54" i="36"/>
  <c r="BL54" i="36"/>
  <c r="BP53" i="36"/>
  <c r="BZ57" i="36"/>
  <c r="CA57" i="36" s="1"/>
  <c r="CT57" i="36"/>
  <c r="CU57" i="36" s="1"/>
  <c r="DJ57" i="36"/>
  <c r="S55" i="36"/>
  <c r="G62" i="36"/>
  <c r="F65" i="36"/>
  <c r="J67" i="36"/>
  <c r="J91" i="36"/>
  <c r="P61" i="36"/>
  <c r="J66" i="36"/>
  <c r="L66" i="36" s="1"/>
  <c r="O62" i="36"/>
  <c r="R92" i="36"/>
  <c r="S62" i="36"/>
  <c r="R67" i="36"/>
  <c r="X64" i="36"/>
  <c r="V94" i="36"/>
  <c r="AB64" i="36"/>
  <c r="X66" i="36"/>
  <c r="Z121" i="36"/>
  <c r="AA111" i="36"/>
  <c r="AA92" i="36"/>
  <c r="AB63" i="36"/>
  <c r="AF62" i="36"/>
  <c r="AD92" i="36"/>
  <c r="AJ62" i="36"/>
  <c r="AD66" i="36"/>
  <c r="AI63" i="36"/>
  <c r="AN64" i="36"/>
  <c r="AM64" i="36"/>
  <c r="AL94" i="36"/>
  <c r="AR64" i="36"/>
  <c r="F47" i="30" s="1"/>
  <c r="AP121" i="36"/>
  <c r="AQ111" i="36"/>
  <c r="AQ92" i="36"/>
  <c r="AT66" i="36"/>
  <c r="BD64" i="36"/>
  <c r="BB94" i="36"/>
  <c r="BC64" i="36"/>
  <c r="BH64" i="36"/>
  <c r="CD123" i="36"/>
  <c r="CE113" i="36"/>
  <c r="CE94" i="36"/>
  <c r="CP122" i="36"/>
  <c r="CQ93" i="36"/>
  <c r="CQ112" i="36"/>
  <c r="CP98" i="36"/>
  <c r="DW75" i="36"/>
  <c r="DW76" i="36" s="1"/>
  <c r="G84" i="36"/>
  <c r="J121" i="36"/>
  <c r="K111" i="36"/>
  <c r="K63" i="36"/>
  <c r="N122" i="36"/>
  <c r="O112" i="36"/>
  <c r="S61" i="36"/>
  <c r="R123" i="36"/>
  <c r="S113" i="36"/>
  <c r="V120" i="36"/>
  <c r="W110" i="36"/>
  <c r="V97" i="36"/>
  <c r="W62" i="36"/>
  <c r="V65" i="36"/>
  <c r="AA63" i="36"/>
  <c r="AE64" i="36"/>
  <c r="AI61" i="36"/>
  <c r="AM62" i="36"/>
  <c r="AL65" i="36"/>
  <c r="AQ63" i="36"/>
  <c r="AU64" i="36"/>
  <c r="AT67" i="36"/>
  <c r="AY61" i="36"/>
  <c r="BC62" i="36"/>
  <c r="BB65" i="36"/>
  <c r="BK64" i="36"/>
  <c r="BO61" i="36"/>
  <c r="BS62" i="36"/>
  <c r="BW63" i="36"/>
  <c r="CE61" i="36"/>
  <c r="CF62" i="36"/>
  <c r="CM63" i="36"/>
  <c r="CQ64" i="36"/>
  <c r="CP67" i="36"/>
  <c r="CU61" i="36"/>
  <c r="CV62" i="36"/>
  <c r="CT123" i="36"/>
  <c r="CU113" i="36"/>
  <c r="CZ94" i="36"/>
  <c r="CX120" i="36"/>
  <c r="CY110" i="36"/>
  <c r="CX96" i="36"/>
  <c r="CY91" i="36"/>
  <c r="CY62" i="36"/>
  <c r="CZ63" i="36"/>
  <c r="CX65" i="36"/>
  <c r="DB121" i="36"/>
  <c r="DC92" i="36"/>
  <c r="DC111" i="36"/>
  <c r="DH92" i="36"/>
  <c r="DC63" i="36"/>
  <c r="DD64" i="36"/>
  <c r="DB66" i="36"/>
  <c r="DH61" i="36"/>
  <c r="DF93" i="36"/>
  <c r="DG64" i="36"/>
  <c r="DF67" i="36"/>
  <c r="DK61" i="36"/>
  <c r="DL62" i="36"/>
  <c r="DX63" i="36"/>
  <c r="DX64" i="36" s="1"/>
  <c r="F77" i="36"/>
  <c r="K76" i="36"/>
  <c r="S74" i="36"/>
  <c r="W73" i="36"/>
  <c r="AB73" i="36"/>
  <c r="AE75" i="36"/>
  <c r="AI74" i="36"/>
  <c r="AM73" i="36"/>
  <c r="AR73" i="36"/>
  <c r="AU75" i="36"/>
  <c r="AY74" i="36"/>
  <c r="BC73" i="36"/>
  <c r="AA85" i="36"/>
  <c r="AI87" i="36"/>
  <c r="AU86" i="36"/>
  <c r="BG85" i="36"/>
  <c r="BO87" i="36"/>
  <c r="CA86" i="36"/>
  <c r="CM85" i="36"/>
  <c r="CU87" i="36"/>
  <c r="DG86" i="36"/>
  <c r="G86" i="36"/>
  <c r="W91" i="36"/>
  <c r="AZ91" i="36"/>
  <c r="CT93" i="36"/>
  <c r="CV93" i="36" s="1"/>
  <c r="CA112" i="36"/>
  <c r="BW113" i="36"/>
  <c r="CQ92" i="36"/>
  <c r="CP121" i="36"/>
  <c r="CQ111" i="36"/>
  <c r="CV92" i="36"/>
  <c r="CP66" i="36"/>
  <c r="CT67" i="36"/>
  <c r="CY113" i="36"/>
  <c r="DD94" i="36"/>
  <c r="CX123" i="36"/>
  <c r="DB120" i="36"/>
  <c r="DC110" i="36"/>
  <c r="DB95" i="36"/>
  <c r="DB96" i="36"/>
  <c r="DC91" i="36"/>
  <c r="DB65" i="36"/>
  <c r="DF121" i="36"/>
  <c r="DG92" i="36"/>
  <c r="DG111" i="36"/>
  <c r="DL92" i="36"/>
  <c r="DF66" i="36"/>
  <c r="DJ122" i="36"/>
  <c r="DK112" i="36"/>
  <c r="DK93" i="36"/>
  <c r="DJ67" i="36"/>
  <c r="N77" i="36"/>
  <c r="AD77" i="36"/>
  <c r="AT77" i="36"/>
  <c r="W86" i="36"/>
  <c r="AI85" i="36"/>
  <c r="AQ87" i="36"/>
  <c r="BC86" i="36"/>
  <c r="BO85" i="36"/>
  <c r="BW87" i="36"/>
  <c r="CI86" i="36"/>
  <c r="CU85" i="36"/>
  <c r="DC87" i="36"/>
  <c r="R91" i="36"/>
  <c r="V92" i="36"/>
  <c r="V95" i="36" s="1"/>
  <c r="AE94" i="36"/>
  <c r="AH96" i="36"/>
  <c r="BO91" i="36"/>
  <c r="CU94" i="36"/>
  <c r="DH91" i="36"/>
  <c r="CQ115" i="36"/>
  <c r="AL67" i="36"/>
  <c r="AP123" i="36"/>
  <c r="AQ113" i="36"/>
  <c r="AQ94" i="36"/>
  <c r="AT120" i="36"/>
  <c r="AU110" i="36"/>
  <c r="AU91" i="36"/>
  <c r="AT65" i="36"/>
  <c r="AV65" i="36" s="1"/>
  <c r="AX121" i="36"/>
  <c r="AY111" i="36"/>
  <c r="AY92" i="36"/>
  <c r="AX66" i="36"/>
  <c r="BR131" i="36"/>
  <c r="BR189" i="36" s="1"/>
  <c r="BS112" i="36"/>
  <c r="BR122" i="36" s="1"/>
  <c r="BS93" i="36"/>
  <c r="BV132" i="36"/>
  <c r="BV190" i="36" s="1"/>
  <c r="BV123" i="36"/>
  <c r="BW94" i="36"/>
  <c r="CA62" i="36"/>
  <c r="CD121" i="36"/>
  <c r="CE111" i="36"/>
  <c r="CE92" i="36"/>
  <c r="CD66" i="36"/>
  <c r="CL132" i="36"/>
  <c r="CL123" i="36"/>
  <c r="CM113" i="36"/>
  <c r="CR94" i="36"/>
  <c r="CM94" i="36"/>
  <c r="CP120" i="36"/>
  <c r="CQ110" i="36"/>
  <c r="CP95" i="36"/>
  <c r="CP96" i="36"/>
  <c r="CQ91" i="36"/>
  <c r="CQ62" i="36"/>
  <c r="CP65" i="36"/>
  <c r="CT121" i="36"/>
  <c r="CU92" i="36"/>
  <c r="CU111" i="36"/>
  <c r="CZ92" i="36"/>
  <c r="CU63" i="36"/>
  <c r="CT66" i="36"/>
  <c r="CY64" i="36"/>
  <c r="CX67" i="36"/>
  <c r="DC61" i="36"/>
  <c r="DB123" i="36"/>
  <c r="DC113" i="36"/>
  <c r="DH94" i="36"/>
  <c r="DF120" i="36"/>
  <c r="DG110" i="36"/>
  <c r="DF95" i="36"/>
  <c r="DF96" i="36"/>
  <c r="DL91" i="36"/>
  <c r="DF97" i="36"/>
  <c r="DG116" i="36" s="1"/>
  <c r="DG91" i="36"/>
  <c r="DG62" i="36"/>
  <c r="DF65" i="36"/>
  <c r="DJ121" i="36"/>
  <c r="DK92" i="36"/>
  <c r="DK111" i="36"/>
  <c r="DK63" i="36"/>
  <c r="DJ66" i="36"/>
  <c r="DV63" i="36"/>
  <c r="DV64" i="36" s="1"/>
  <c r="K74" i="36"/>
  <c r="J77" i="36"/>
  <c r="O73" i="36"/>
  <c r="W75" i="36"/>
  <c r="AA74" i="36"/>
  <c r="Z77" i="36"/>
  <c r="AE73" i="36"/>
  <c r="AM75" i="36"/>
  <c r="AQ74" i="36"/>
  <c r="AR75" i="36"/>
  <c r="AP77" i="36"/>
  <c r="AU73" i="36"/>
  <c r="BC75" i="36"/>
  <c r="DU75" i="36"/>
  <c r="DU76" i="36" s="1"/>
  <c r="DY75" i="36"/>
  <c r="DY76" i="36" s="1"/>
  <c r="S87" i="36"/>
  <c r="AE86" i="36"/>
  <c r="AQ85" i="36"/>
  <c r="AY87" i="36"/>
  <c r="BK86" i="36"/>
  <c r="BW85" i="36"/>
  <c r="CE87" i="36"/>
  <c r="CQ86" i="36"/>
  <c r="DC85" i="36"/>
  <c r="DK87" i="36"/>
  <c r="O86" i="36"/>
  <c r="K92" i="36"/>
  <c r="O93" i="36"/>
  <c r="S94" i="36"/>
  <c r="AL93" i="36"/>
  <c r="AL97" i="36" s="1"/>
  <c r="AV94" i="36"/>
  <c r="BX93" i="36"/>
  <c r="CX93" i="36"/>
  <c r="Z122" i="36"/>
  <c r="AA112" i="36"/>
  <c r="AD123" i="36"/>
  <c r="AE113" i="36"/>
  <c r="AI110" i="36"/>
  <c r="AH120" i="36"/>
  <c r="AH95" i="36"/>
  <c r="AH65" i="36"/>
  <c r="AR92" i="36"/>
  <c r="AL121" i="36"/>
  <c r="AM111" i="36"/>
  <c r="AL66" i="36"/>
  <c r="AV93" i="36"/>
  <c r="AP122" i="36"/>
  <c r="AQ112" i="36"/>
  <c r="AQ64" i="36"/>
  <c r="AU61" i="36"/>
  <c r="AT123" i="36"/>
  <c r="AZ94" i="36"/>
  <c r="AU113" i="36"/>
  <c r="AY110" i="36"/>
  <c r="BD91" i="36"/>
  <c r="AX96" i="36"/>
  <c r="AX120" i="36"/>
  <c r="AX95" i="36"/>
  <c r="AY62" i="36"/>
  <c r="AX65" i="36"/>
  <c r="BH92" i="36"/>
  <c r="BB121" i="36"/>
  <c r="BC111" i="36"/>
  <c r="BB66" i="36"/>
  <c r="BP94" i="36"/>
  <c r="BK113" i="36"/>
  <c r="BJ123" i="36"/>
  <c r="BN120" i="36"/>
  <c r="BO110" i="36"/>
  <c r="BN65" i="36"/>
  <c r="BR130" i="36"/>
  <c r="BR188" i="36" s="1"/>
  <c r="BR121" i="36"/>
  <c r="BS111" i="36"/>
  <c r="BS63" i="36"/>
  <c r="BV131" i="36"/>
  <c r="BV189" i="36" s="1"/>
  <c r="BV122" i="36"/>
  <c r="CB93" i="36"/>
  <c r="BW112" i="36"/>
  <c r="BW64" i="36"/>
  <c r="CE110" i="36"/>
  <c r="CD96" i="36"/>
  <c r="CD120" i="36"/>
  <c r="CD95" i="36"/>
  <c r="CE62" i="36"/>
  <c r="CD65" i="36"/>
  <c r="CL131" i="36"/>
  <c r="CR93" i="36"/>
  <c r="CL98" i="36"/>
  <c r="CM112" i="36"/>
  <c r="CL122" i="36"/>
  <c r="CM64" i="36"/>
  <c r="CQ61" i="36"/>
  <c r="CR62" i="36"/>
  <c r="CQ113" i="36"/>
  <c r="CV94" i="36"/>
  <c r="CP123" i="36"/>
  <c r="CU110" i="36"/>
  <c r="CT95" i="36"/>
  <c r="CT96" i="36"/>
  <c r="CT120" i="36"/>
  <c r="CU91" i="36"/>
  <c r="CU62" i="36"/>
  <c r="CT65" i="36"/>
  <c r="CY92" i="36"/>
  <c r="CX121" i="36"/>
  <c r="DD92" i="36"/>
  <c r="CZ64" i="36"/>
  <c r="CX66" i="36"/>
  <c r="DD61" i="36"/>
  <c r="DC64" i="36"/>
  <c r="DB67" i="36"/>
  <c r="DG61" i="36"/>
  <c r="DH62" i="36"/>
  <c r="DG113" i="36"/>
  <c r="DG94" i="36"/>
  <c r="DF123" i="36"/>
  <c r="DJ120" i="36"/>
  <c r="DJ96" i="36"/>
  <c r="DK110" i="36"/>
  <c r="DJ97" i="36"/>
  <c r="DK91" i="36"/>
  <c r="DK62" i="36"/>
  <c r="DL63" i="36"/>
  <c r="DW63" i="36"/>
  <c r="DW64" i="36" s="1"/>
  <c r="G74" i="36"/>
  <c r="K73" i="36"/>
  <c r="O76" i="36"/>
  <c r="S75" i="36"/>
  <c r="W74" i="36"/>
  <c r="AA73" i="36"/>
  <c r="AI75" i="36"/>
  <c r="AM74" i="36"/>
  <c r="AQ73" i="36"/>
  <c r="AY75" i="36"/>
  <c r="S85" i="36"/>
  <c r="AA87" i="36"/>
  <c r="AM86" i="36"/>
  <c r="AY85" i="36"/>
  <c r="BG87" i="36"/>
  <c r="BS86" i="36"/>
  <c r="CE85" i="36"/>
  <c r="CM87" i="36"/>
  <c r="CY86" i="36"/>
  <c r="K86" i="36"/>
  <c r="V96" i="36"/>
  <c r="AA93" i="36"/>
  <c r="AH97" i="36"/>
  <c r="AN91" i="36"/>
  <c r="AY91" i="36"/>
  <c r="BC92" i="36"/>
  <c r="BK94" i="36"/>
  <c r="CE91" i="36"/>
  <c r="CQ94" i="36"/>
  <c r="CV91" i="36"/>
  <c r="CT97" i="36"/>
  <c r="CY94" i="36"/>
  <c r="DD91" i="36"/>
  <c r="DB97" i="36"/>
  <c r="CU116" i="36"/>
  <c r="AI115" i="36"/>
  <c r="AY115" i="36"/>
  <c r="DK116" i="36"/>
  <c r="CY111" i="36"/>
  <c r="AM115" i="36"/>
  <c r="AY114" i="36"/>
  <c r="BR115" i="36"/>
  <c r="CQ114" i="36"/>
  <c r="CT114" i="36"/>
  <c r="CX116" i="36"/>
  <c r="DK115" i="36"/>
  <c r="BV114" i="36"/>
  <c r="BV116" i="36"/>
  <c r="CH116" i="36"/>
  <c r="BR116" i="36"/>
  <c r="CX114" i="36"/>
  <c r="AE161" i="36"/>
  <c r="AA161" i="36"/>
  <c r="BZ114" i="36"/>
  <c r="BZ116" i="36"/>
  <c r="AI114" i="36"/>
  <c r="BC115" i="36"/>
  <c r="BR114" i="36"/>
  <c r="CE116" i="36"/>
  <c r="CU115" i="36"/>
  <c r="DG114" i="36"/>
  <c r="AY116" i="36"/>
  <c r="CE114" i="36"/>
  <c r="CQ116" i="36"/>
  <c r="DC115" i="36"/>
  <c r="Z141" i="36"/>
  <c r="AA160" i="36"/>
  <c r="AE163" i="36"/>
  <c r="AA163" i="36"/>
  <c r="AM163" i="36"/>
  <c r="R141" i="36"/>
  <c r="Z142" i="36"/>
  <c r="AD141" i="36"/>
  <c r="AE162" i="36"/>
  <c r="AM162" i="36"/>
  <c r="V143" i="36"/>
  <c r="AI161" i="36"/>
  <c r="DJ204" i="36"/>
  <c r="DK214" i="36"/>
  <c r="DJ203" i="36"/>
  <c r="DK208" i="36"/>
  <c r="AM221" i="36"/>
  <c r="AY221" i="36"/>
  <c r="F223" i="36"/>
  <c r="F224" i="36"/>
  <c r="V223" i="36"/>
  <c r="V224" i="36"/>
  <c r="AL223" i="36"/>
  <c r="AM218" i="36"/>
  <c r="AL224" i="36"/>
  <c r="BC219" i="36"/>
  <c r="BB224" i="36"/>
  <c r="BB223" i="36"/>
  <c r="BJ249" i="36"/>
  <c r="BJ251" i="36" s="1"/>
  <c r="BK223" i="36"/>
  <c r="BJ224" i="36"/>
  <c r="BK220" i="36"/>
  <c r="BK221" i="36"/>
  <c r="AP224" i="36"/>
  <c r="AP223" i="36"/>
  <c r="AQ218" i="36"/>
  <c r="S236" i="36"/>
  <c r="O236" i="36"/>
  <c r="W235" i="36"/>
  <c r="BG221" i="36"/>
  <c r="AX224" i="36"/>
  <c r="AX223" i="36"/>
  <c r="BC218" i="36"/>
  <c r="AU222" i="36"/>
  <c r="J223" i="36"/>
  <c r="Z223" i="36"/>
  <c r="AT224" i="36"/>
  <c r="S235" i="36"/>
  <c r="AE236" i="36"/>
  <c r="BW234" i="36"/>
  <c r="DN231" i="36"/>
  <c r="DN232" i="36" s="1"/>
  <c r="DN233" i="36" s="1"/>
  <c r="DJ213" i="36"/>
  <c r="DS231" i="36"/>
  <c r="DS232" i="36" s="1"/>
  <c r="DS233" i="36" s="1"/>
  <c r="BG218" i="36"/>
  <c r="AP281" i="36"/>
  <c r="E29" i="30" s="1"/>
  <c r="BF224" i="36"/>
  <c r="BN236" i="36"/>
  <c r="BN234" i="36"/>
  <c r="BR235" i="36"/>
  <c r="BW235" i="36" s="1"/>
  <c r="BV236" i="36"/>
  <c r="BV234" i="36"/>
  <c r="BZ235" i="36"/>
  <c r="CE235" i="36" s="1"/>
  <c r="CD236" i="36"/>
  <c r="CD234" i="36"/>
  <c r="CI234" i="36" s="1"/>
  <c r="CH235" i="36"/>
  <c r="CM235" i="36" s="1"/>
  <c r="CL236" i="36"/>
  <c r="CQ236" i="36" s="1"/>
  <c r="CL234" i="36"/>
  <c r="CQ234" i="36" s="1"/>
  <c r="DJ236" i="36"/>
  <c r="DJ234" i="36"/>
  <c r="N234" i="36"/>
  <c r="V234" i="36"/>
  <c r="V236" i="36"/>
  <c r="AA236" i="36" s="1"/>
  <c r="AD234" i="36"/>
  <c r="AI234" i="36" s="1"/>
  <c r="AD236" i="36"/>
  <c r="AI236" i="36" s="1"/>
  <c r="BO235" i="36"/>
  <c r="BV235" i="36"/>
  <c r="CA235" i="36" s="1"/>
  <c r="DC235" i="36"/>
  <c r="DG235" i="36"/>
  <c r="DG236" i="36"/>
  <c r="DK236" i="36"/>
  <c r="BR236" i="36"/>
  <c r="CH236" i="36"/>
  <c r="CM236" i="36" s="1"/>
  <c r="DK235" i="36"/>
  <c r="BZ232" i="36"/>
  <c r="BZ233" i="36" s="1"/>
  <c r="CY234" i="36"/>
  <c r="R234" i="36"/>
  <c r="Z234" i="36"/>
  <c r="AE234" i="36" s="1"/>
  <c r="BZ236" i="36"/>
  <c r="CU235" i="36"/>
  <c r="CY235" i="36"/>
  <c r="CY236" i="36"/>
  <c r="DC236" i="36"/>
  <c r="DG234" i="36"/>
  <c r="CP272" i="36"/>
  <c r="DJ293" i="36"/>
  <c r="AP280" i="36"/>
  <c r="D29" i="30" s="1"/>
  <c r="DN293" i="36"/>
  <c r="DO291" i="36"/>
  <c r="DJ256" i="36"/>
  <c r="CI268" i="36"/>
  <c r="BC269" i="36"/>
  <c r="CI271" i="36"/>
  <c r="AQ269" i="36"/>
  <c r="AU268" i="36"/>
  <c r="AY271" i="36"/>
  <c r="N274" i="36"/>
  <c r="AD274" i="36"/>
  <c r="AX273" i="36"/>
  <c r="J234" i="36"/>
  <c r="O234" i="36" s="1"/>
  <c r="BC270" i="36"/>
  <c r="CM268" i="36"/>
  <c r="AL273" i="36"/>
  <c r="AX274" i="36"/>
  <c r="CH273" i="36"/>
  <c r="CP274" i="36"/>
  <c r="F234" i="36"/>
  <c r="J235" i="36"/>
  <c r="O235" i="36" s="1"/>
  <c r="AM268" i="36"/>
  <c r="R273" i="36"/>
  <c r="AH273" i="36"/>
  <c r="AT273" i="36"/>
  <c r="CT273" i="36"/>
  <c r="CH282" i="36"/>
  <c r="CH283" i="36" s="1"/>
  <c r="BV294" i="36"/>
  <c r="CP269" i="36"/>
  <c r="CT270" i="36"/>
  <c r="CT274" i="36"/>
  <c r="BL74" i="39"/>
  <c r="CA36" i="39"/>
  <c r="BU36" i="39"/>
  <c r="BZ36" i="39"/>
  <c r="BF43" i="39"/>
  <c r="BY36" i="39"/>
  <c r="BX36" i="39"/>
  <c r="BM50" i="39"/>
  <c r="BM78" i="39"/>
  <c r="BL78" i="39"/>
  <c r="H625" i="21"/>
  <c r="CA22" i="39"/>
  <c r="BX29" i="39"/>
  <c r="BD50" i="39"/>
  <c r="BK46" i="39"/>
  <c r="BM46" i="39" s="1"/>
  <c r="BX50" i="39"/>
  <c r="BF56" i="39"/>
  <c r="E57" i="39"/>
  <c r="BY64" i="39"/>
  <c r="BE61" i="39"/>
  <c r="BC70" i="39"/>
  <c r="BI67" i="39"/>
  <c r="BM68" i="39"/>
  <c r="BL69" i="39"/>
  <c r="X71" i="39"/>
  <c r="BK74" i="39"/>
  <c r="BM74" i="39" s="1"/>
  <c r="BE75" i="39"/>
  <c r="BE78" i="39"/>
  <c r="BE82" i="39"/>
  <c r="BL82" i="39"/>
  <c r="BJ85" i="39"/>
  <c r="BX82" i="39"/>
  <c r="CH81" i="39"/>
  <c r="AD85" i="39"/>
  <c r="BY85" i="39"/>
  <c r="AP85" i="39"/>
  <c r="CA85" i="39"/>
  <c r="BM88" i="39"/>
  <c r="CF89" i="39"/>
  <c r="CC89" i="39"/>
  <c r="CH89" i="39"/>
  <c r="CG89" i="39"/>
  <c r="BM89" i="39"/>
  <c r="CF91" i="39"/>
  <c r="CI91" i="39"/>
  <c r="CH91" i="39"/>
  <c r="CC91" i="39"/>
  <c r="CG91" i="39"/>
  <c r="BM91" i="39"/>
  <c r="CI89" i="39"/>
  <c r="I29" i="39"/>
  <c r="BY29" i="39"/>
  <c r="BF47" i="39"/>
  <c r="I50" i="39"/>
  <c r="AA50" i="39"/>
  <c r="BD57" i="39"/>
  <c r="BU57" i="39" s="1"/>
  <c r="BK57" i="39"/>
  <c r="BM57" i="39" s="1"/>
  <c r="X57" i="39"/>
  <c r="AJ57" i="39"/>
  <c r="BX64" i="39"/>
  <c r="BE67" i="39"/>
  <c r="BE68" i="39"/>
  <c r="BF69" i="39"/>
  <c r="BI68" i="39"/>
  <c r="BL75" i="39"/>
  <c r="BL76" i="39"/>
  <c r="BM77" i="39"/>
  <c r="BX78" i="39"/>
  <c r="BU81" i="39"/>
  <c r="CA81" i="39"/>
  <c r="BY81" i="39"/>
  <c r="BF81" i="39"/>
  <c r="BF82" i="39"/>
  <c r="CA84" i="39"/>
  <c r="BY84" i="39"/>
  <c r="BE84" i="39"/>
  <c r="CC84" i="39"/>
  <c r="CI84" i="39"/>
  <c r="CG84" i="39"/>
  <c r="BM84" i="39"/>
  <c r="CF84" i="39"/>
  <c r="BX84" i="39"/>
  <c r="BX88" i="39"/>
  <c r="BE88" i="39"/>
  <c r="BZ88" i="39"/>
  <c r="BU88" i="39"/>
  <c r="BY88" i="39"/>
  <c r="BF88" i="39"/>
  <c r="CI113" i="39"/>
  <c r="CG113" i="39"/>
  <c r="CK148" i="39"/>
  <c r="AA148" i="39"/>
  <c r="X148" i="39"/>
  <c r="BZ29" i="39"/>
  <c r="BF62" i="39"/>
  <c r="BF63" i="39"/>
  <c r="BJ64" i="39"/>
  <c r="BK64" i="39" s="1"/>
  <c r="BM64" i="39" s="1"/>
  <c r="E64" i="39"/>
  <c r="BM62" i="39"/>
  <c r="CI83" i="39"/>
  <c r="BM83" i="39"/>
  <c r="CG83" i="39"/>
  <c r="CF83" i="39"/>
  <c r="BX81" i="39"/>
  <c r="BZ84" i="39"/>
  <c r="CH83" i="39"/>
  <c r="X85" i="39"/>
  <c r="BX85" i="39"/>
  <c r="CF92" i="39"/>
  <c r="CI92" i="39"/>
  <c r="CH92" i="39"/>
  <c r="CG92" i="39"/>
  <c r="AI285" i="21"/>
  <c r="D292" i="21"/>
  <c r="H292" i="21" s="1"/>
  <c r="I57" i="39"/>
  <c r="BE62" i="39"/>
  <c r="H71" i="39"/>
  <c r="I64" i="39"/>
  <c r="BL67" i="39"/>
  <c r="BJ71" i="39"/>
  <c r="BK71" i="39" s="1"/>
  <c r="BM71" i="39" s="1"/>
  <c r="CA78" i="39"/>
  <c r="BU78" i="39"/>
  <c r="BF78" i="39"/>
  <c r="BE77" i="39"/>
  <c r="BZ78" i="39"/>
  <c r="BF89" i="39"/>
  <c r="CA82" i="39"/>
  <c r="BY82" i="39"/>
  <c r="BU82" i="39"/>
  <c r="BU85" i="39"/>
  <c r="BF85" i="39"/>
  <c r="CI81" i="39"/>
  <c r="CG81" i="39"/>
  <c r="CC81" i="39"/>
  <c r="CF81" i="39"/>
  <c r="CI82" i="39"/>
  <c r="CC82" i="39"/>
  <c r="CG82" i="39"/>
  <c r="BM82" i="39"/>
  <c r="CF82" i="39"/>
  <c r="BL83" i="39"/>
  <c r="BZ81" i="39"/>
  <c r="BZ85" i="39"/>
  <c r="CH84" i="39"/>
  <c r="AA85" i="39"/>
  <c r="AM85" i="39"/>
  <c r="BU84" i="39"/>
  <c r="BX92" i="39"/>
  <c r="BE92" i="39"/>
  <c r="BY92" i="39"/>
  <c r="BF92" i="39"/>
  <c r="BM92" i="39"/>
  <c r="CC92" i="39"/>
  <c r="BI91" i="39"/>
  <c r="BY90" i="39"/>
  <c r="BY91" i="39"/>
  <c r="CG88" i="39"/>
  <c r="CG90" i="39"/>
  <c r="X92" i="39"/>
  <c r="AD92" i="39"/>
  <c r="AJ92" i="39"/>
  <c r="AP92" i="39"/>
  <c r="BU92" i="39"/>
  <c r="BF95" i="39"/>
  <c r="BE96" i="39"/>
  <c r="BF99" i="39"/>
  <c r="BI96" i="39"/>
  <c r="BI98" i="39"/>
  <c r="BM98" i="39"/>
  <c r="CA95" i="39"/>
  <c r="CA96" i="39"/>
  <c r="CA97" i="39"/>
  <c r="CA99" i="39"/>
  <c r="CI96" i="39"/>
  <c r="CI97" i="39"/>
  <c r="CI98" i="39"/>
  <c r="I99" i="39"/>
  <c r="AA99" i="39"/>
  <c r="BK99" i="39"/>
  <c r="BU96" i="39"/>
  <c r="CC99" i="39"/>
  <c r="BM103" i="39"/>
  <c r="CG102" i="39"/>
  <c r="CG103" i="39"/>
  <c r="CG105" i="39"/>
  <c r="E106" i="39"/>
  <c r="BK106" i="39"/>
  <c r="CH106" i="39" s="1"/>
  <c r="CC102" i="39"/>
  <c r="BM110" i="39"/>
  <c r="CG109" i="39"/>
  <c r="CG110" i="39"/>
  <c r="CG112" i="39"/>
  <c r="X113" i="39"/>
  <c r="AG113" i="39"/>
  <c r="CC113" i="39"/>
  <c r="BE117" i="39"/>
  <c r="BU118" i="39"/>
  <c r="CA118" i="39"/>
  <c r="BE119" i="39"/>
  <c r="BM116" i="39"/>
  <c r="CC118" i="39"/>
  <c r="CI118" i="39"/>
  <c r="BX116" i="39"/>
  <c r="BY117" i="39"/>
  <c r="BZ118" i="39"/>
  <c r="CG116" i="39"/>
  <c r="CF119" i="39"/>
  <c r="X127" i="39"/>
  <c r="CK120" i="39"/>
  <c r="BD120" i="39"/>
  <c r="AA120" i="39"/>
  <c r="AA128" i="39" s="1"/>
  <c r="AZ120" i="39"/>
  <c r="AW127" i="39"/>
  <c r="BE120" i="39"/>
  <c r="AP130" i="39"/>
  <c r="AO127" i="39"/>
  <c r="BD123" i="39"/>
  <c r="BY124" i="39"/>
  <c r="BM124" i="39"/>
  <c r="BU124" i="39"/>
  <c r="BX124" i="39"/>
  <c r="BF124" i="39"/>
  <c r="CA124" i="39"/>
  <c r="BU125" i="39"/>
  <c r="BY125" i="39"/>
  <c r="BX125" i="39"/>
  <c r="BF125" i="39"/>
  <c r="CA125" i="39"/>
  <c r="BF133" i="39"/>
  <c r="BY126" i="39"/>
  <c r="BX126" i="39"/>
  <c r="BF126" i="39"/>
  <c r="CA126" i="39"/>
  <c r="BE130" i="39"/>
  <c r="CG131" i="39"/>
  <c r="BM131" i="39"/>
  <c r="CC131" i="39"/>
  <c r="CF131" i="39"/>
  <c r="CI131" i="39"/>
  <c r="CH131" i="39"/>
  <c r="BU71" i="39"/>
  <c r="BK85" i="39"/>
  <c r="BY83" i="39"/>
  <c r="BE90" i="39"/>
  <c r="BF91" i="39"/>
  <c r="BZ89" i="39"/>
  <c r="BZ90" i="39"/>
  <c r="BZ91" i="39"/>
  <c r="BZ92" i="39"/>
  <c r="CH88" i="39"/>
  <c r="CH90" i="39"/>
  <c r="H92" i="39"/>
  <c r="CC88" i="39"/>
  <c r="BF96" i="39"/>
  <c r="BE97" i="39"/>
  <c r="BM97" i="39"/>
  <c r="BX95" i="39"/>
  <c r="BX96" i="39"/>
  <c r="BX97" i="39"/>
  <c r="BX99" i="39"/>
  <c r="CF96" i="39"/>
  <c r="CF97" i="39"/>
  <c r="CF98" i="39"/>
  <c r="CM99" i="39"/>
  <c r="E99" i="39"/>
  <c r="BU97" i="39"/>
  <c r="CC96" i="39"/>
  <c r="CK99" i="39"/>
  <c r="BM102" i="39"/>
  <c r="BZ104" i="39"/>
  <c r="BG104" i="39" s="1"/>
  <c r="CH102" i="39"/>
  <c r="CH103" i="39"/>
  <c r="CH105" i="39"/>
  <c r="AJ106" i="39"/>
  <c r="AP106" i="39"/>
  <c r="BD106" i="39"/>
  <c r="BU106" i="39" s="1"/>
  <c r="CC103" i="39"/>
  <c r="CK106" i="39"/>
  <c r="BM109" i="39"/>
  <c r="BZ109" i="39"/>
  <c r="BG109" i="39" s="1"/>
  <c r="BZ112" i="39"/>
  <c r="BG112" i="39" s="1"/>
  <c r="CH109" i="39"/>
  <c r="CH110" i="39"/>
  <c r="CH111" i="39"/>
  <c r="CH112" i="39"/>
  <c r="CH113" i="39"/>
  <c r="H113" i="39"/>
  <c r="AS113" i="39"/>
  <c r="CC109" i="39"/>
  <c r="CK113" i="39"/>
  <c r="BF116" i="39"/>
  <c r="BF118" i="39"/>
  <c r="BI119" i="39"/>
  <c r="BM118" i="39"/>
  <c r="BY116" i="39"/>
  <c r="CF118" i="39"/>
  <c r="X120" i="39"/>
  <c r="AD120" i="39"/>
  <c r="AW120" i="39"/>
  <c r="BU116" i="39"/>
  <c r="BG116" i="39" s="1"/>
  <c r="BL124" i="39"/>
  <c r="BI124" i="39"/>
  <c r="BL125" i="39"/>
  <c r="BI125" i="39"/>
  <c r="CG125" i="39"/>
  <c r="CF125" i="39"/>
  <c r="BM125" i="39"/>
  <c r="CI125" i="39"/>
  <c r="BZ124" i="39"/>
  <c r="AD134" i="39"/>
  <c r="CK127" i="39"/>
  <c r="BD127" i="39"/>
  <c r="BY127" i="39"/>
  <c r="AD127" i="39"/>
  <c r="BU126" i="39"/>
  <c r="AG127" i="39"/>
  <c r="AG128" i="39" s="1"/>
  <c r="I92" i="39"/>
  <c r="CK92" i="39"/>
  <c r="CN92" i="39" s="1"/>
  <c r="BF97" i="39"/>
  <c r="BY95" i="39"/>
  <c r="BY99" i="39"/>
  <c r="CG98" i="39"/>
  <c r="CI103" i="39"/>
  <c r="H106" i="39"/>
  <c r="CI110" i="39"/>
  <c r="I113" i="39"/>
  <c r="BD113" i="39"/>
  <c r="BM113" i="39" s="1"/>
  <c r="CC110" i="39"/>
  <c r="BU117" i="39"/>
  <c r="CA117" i="39"/>
  <c r="BU119" i="39"/>
  <c r="CA119" i="39"/>
  <c r="CC116" i="39"/>
  <c r="CI116" i="39"/>
  <c r="CI119" i="39"/>
  <c r="BM119" i="39"/>
  <c r="BY119" i="39"/>
  <c r="CH119" i="39"/>
  <c r="BE123" i="39"/>
  <c r="AS127" i="39"/>
  <c r="AS128" i="39" s="1"/>
  <c r="CC130" i="39"/>
  <c r="CG130" i="39"/>
  <c r="CF130" i="39"/>
  <c r="CI130" i="39"/>
  <c r="CH130" i="39"/>
  <c r="BM130" i="39"/>
  <c r="BX91" i="39"/>
  <c r="CF90" i="39"/>
  <c r="BU91" i="39"/>
  <c r="BE95" i="39"/>
  <c r="BE99" i="39"/>
  <c r="BM95" i="39"/>
  <c r="BZ95" i="39"/>
  <c r="BZ96" i="39"/>
  <c r="BZ97" i="39"/>
  <c r="CH98" i="39"/>
  <c r="BU95" i="39"/>
  <c r="BL103" i="39"/>
  <c r="CF105" i="39"/>
  <c r="CF106" i="39"/>
  <c r="CM106" i="39"/>
  <c r="CN106" i="39" s="1"/>
  <c r="I106" i="39"/>
  <c r="BL110" i="39"/>
  <c r="CF112" i="39"/>
  <c r="CF113" i="39"/>
  <c r="CM113" i="39"/>
  <c r="E113" i="39"/>
  <c r="AZ113" i="39"/>
  <c r="BI116" i="39"/>
  <c r="BF117" i="39"/>
  <c r="BL118" i="39"/>
  <c r="BI118" i="39"/>
  <c r="BF119" i="39"/>
  <c r="BL116" i="39"/>
  <c r="BM117" i="39"/>
  <c r="BL119" i="39"/>
  <c r="BX117" i="39"/>
  <c r="BY118" i="39"/>
  <c r="BZ119" i="39"/>
  <c r="CF116" i="39"/>
  <c r="CH118" i="39"/>
  <c r="I120" i="39"/>
  <c r="I128" i="39" s="1"/>
  <c r="CM120" i="39"/>
  <c r="CN120" i="39" s="1"/>
  <c r="CC120" i="39"/>
  <c r="BK120" i="39"/>
  <c r="H120" i="39"/>
  <c r="CC119" i="39"/>
  <c r="BZ126" i="39"/>
  <c r="AP123" i="39"/>
  <c r="CN134" i="39"/>
  <c r="CI117" i="39"/>
  <c r="BM126" i="39"/>
  <c r="CI126" i="39"/>
  <c r="BU127" i="39"/>
  <c r="CC126" i="39"/>
  <c r="BF131" i="39"/>
  <c r="BZ130" i="39"/>
  <c r="BZ131" i="39"/>
  <c r="BZ132" i="39"/>
  <c r="BZ133" i="39"/>
  <c r="CH133" i="39"/>
  <c r="BI132" i="39"/>
  <c r="AZ133" i="39"/>
  <c r="AA134" i="39"/>
  <c r="AS134" i="39"/>
  <c r="CC133" i="39"/>
  <c r="AB140" i="39"/>
  <c r="AG139" i="39"/>
  <c r="AH139" i="39" s="1"/>
  <c r="AN140" i="39"/>
  <c r="AT139" i="39"/>
  <c r="BF137" i="39"/>
  <c r="CH137" i="39"/>
  <c r="BM137" i="39"/>
  <c r="BM140" i="39"/>
  <c r="BY139" i="39"/>
  <c r="CF138" i="39"/>
  <c r="CI140" i="39"/>
  <c r="CM139" i="39"/>
  <c r="CN139" i="39" s="1"/>
  <c r="BK139" i="39"/>
  <c r="CG139" i="39" s="1"/>
  <c r="E141" i="39"/>
  <c r="J139" i="39"/>
  <c r="Z141" i="39"/>
  <c r="AJ141" i="39"/>
  <c r="CC137" i="39"/>
  <c r="AN144" i="39"/>
  <c r="BL144" i="39"/>
  <c r="BI144" i="39"/>
  <c r="BI146" i="39"/>
  <c r="BF147" i="39"/>
  <c r="BM144" i="39"/>
  <c r="BM146" i="39"/>
  <c r="BX146" i="39"/>
  <c r="CH144" i="39"/>
  <c r="CH146" i="39"/>
  <c r="J151" i="39"/>
  <c r="J144" i="39"/>
  <c r="AS148" i="39"/>
  <c r="CI148" i="39"/>
  <c r="AN159" i="39"/>
  <c r="AN166" i="39"/>
  <c r="CF123" i="39"/>
  <c r="CF126" i="39"/>
  <c r="CF127" i="39"/>
  <c r="CM127" i="39"/>
  <c r="CN127" i="39" s="1"/>
  <c r="BK127" i="39"/>
  <c r="AM127" i="39"/>
  <c r="AM128" i="39" s="1"/>
  <c r="BF132" i="39"/>
  <c r="BE133" i="39"/>
  <c r="BM133" i="39"/>
  <c r="CA130" i="39"/>
  <c r="CA131" i="39"/>
  <c r="CA132" i="39"/>
  <c r="CA134" i="39"/>
  <c r="CI133" i="39"/>
  <c r="BJ134" i="39"/>
  <c r="AH137" i="39"/>
  <c r="AT137" i="39"/>
  <c r="BE137" i="39"/>
  <c r="BF139" i="39"/>
  <c r="BX137" i="39"/>
  <c r="CA139" i="39"/>
  <c r="AZ138" i="39"/>
  <c r="BD138" i="39"/>
  <c r="BM138" i="39" s="1"/>
  <c r="AV141" i="39"/>
  <c r="BU137" i="39"/>
  <c r="CC140" i="39"/>
  <c r="AB144" i="39"/>
  <c r="AT146" i="39"/>
  <c r="BY144" i="39"/>
  <c r="BZ144" i="39"/>
  <c r="BE145" i="39"/>
  <c r="BE147" i="39"/>
  <c r="CG145" i="39"/>
  <c r="BM145" i="39"/>
  <c r="CC145" i="39"/>
  <c r="CA144" i="39"/>
  <c r="BZ146" i="39"/>
  <c r="CF145" i="39"/>
  <c r="CF148" i="39"/>
  <c r="CN148" i="39"/>
  <c r="BD148" i="39"/>
  <c r="BE148" i="39" s="1"/>
  <c r="AJ148" i="39"/>
  <c r="BU144" i="39"/>
  <c r="AB154" i="39"/>
  <c r="BM132" i="39"/>
  <c r="BX131" i="39"/>
  <c r="BX132" i="39"/>
  <c r="CF133" i="39"/>
  <c r="BK134" i="39"/>
  <c r="CC138" i="39"/>
  <c r="CH138" i="39"/>
  <c r="BY137" i="39"/>
  <c r="CI138" i="39"/>
  <c r="CF140" i="39"/>
  <c r="J138" i="39"/>
  <c r="AH146" i="39"/>
  <c r="AS220" i="39"/>
  <c r="AT147" i="39"/>
  <c r="BF144" i="39"/>
  <c r="BL145" i="39"/>
  <c r="BI145" i="39"/>
  <c r="CC146" i="39"/>
  <c r="CG146" i="39"/>
  <c r="CF146" i="39"/>
  <c r="BL147" i="39"/>
  <c r="CH148" i="39"/>
  <c r="AH151" i="39"/>
  <c r="AH154" i="39"/>
  <c r="BX153" i="39"/>
  <c r="BF153" i="39"/>
  <c r="BU153" i="39"/>
  <c r="BY153" i="39"/>
  <c r="CA153" i="39"/>
  <c r="BE153" i="39"/>
  <c r="BY132" i="39"/>
  <c r="AB137" i="39"/>
  <c r="AN137" i="39"/>
  <c r="BU139" i="39"/>
  <c r="BZ139" i="39"/>
  <c r="CA137" i="39"/>
  <c r="BX139" i="39"/>
  <c r="CG140" i="39"/>
  <c r="CK141" i="39"/>
  <c r="BD141" i="39"/>
  <c r="BE141" i="39" s="1"/>
  <c r="BY145" i="39"/>
  <c r="BU145" i="39"/>
  <c r="CA145" i="39"/>
  <c r="BU147" i="39"/>
  <c r="BY147" i="39"/>
  <c r="BX147" i="39"/>
  <c r="CG144" i="39"/>
  <c r="CI144" i="39"/>
  <c r="BM147" i="39"/>
  <c r="BZ145" i="39"/>
  <c r="BZ147" i="39"/>
  <c r="CF144" i="39"/>
  <c r="CG148" i="39"/>
  <c r="X155" i="39"/>
  <c r="BF140" i="39"/>
  <c r="I141" i="39"/>
  <c r="CM141" i="39"/>
  <c r="CN141" i="39" s="1"/>
  <c r="AS141" i="39"/>
  <c r="AB146" i="39"/>
  <c r="AN146" i="39"/>
  <c r="CN146" i="39"/>
  <c r="BY148" i="39"/>
  <c r="AA152" i="39"/>
  <c r="AH153" i="39"/>
  <c r="BU152" i="39"/>
  <c r="BX152" i="39"/>
  <c r="BF152" i="39"/>
  <c r="BY152" i="39"/>
  <c r="BM151" i="39"/>
  <c r="E155" i="39"/>
  <c r="AH158" i="39"/>
  <c r="AT151" i="39"/>
  <c r="BX151" i="39"/>
  <c r="BF151" i="39"/>
  <c r="BU151" i="39"/>
  <c r="BY151" i="39"/>
  <c r="CC152" i="39"/>
  <c r="CG152" i="39"/>
  <c r="BM152" i="39"/>
  <c r="G162" i="39"/>
  <c r="I158" i="39"/>
  <c r="BK158" i="39"/>
  <c r="CC158" i="39" s="1"/>
  <c r="AH161" i="39"/>
  <c r="AN161" i="39"/>
  <c r="CI176" i="39"/>
  <c r="CF176" i="39"/>
  <c r="AT154" i="39"/>
  <c r="BE151" i="39"/>
  <c r="BX154" i="39"/>
  <c r="BF154" i="39"/>
  <c r="BY154" i="39"/>
  <c r="CF153" i="39"/>
  <c r="BM153" i="39"/>
  <c r="CG153" i="39"/>
  <c r="BM154" i="39"/>
  <c r="CA154" i="39"/>
  <c r="CI153" i="39"/>
  <c r="CF152" i="39"/>
  <c r="Z155" i="39"/>
  <c r="BU154" i="39"/>
  <c r="AB158" i="39"/>
  <c r="AT153" i="39"/>
  <c r="CG151" i="39"/>
  <c r="BF158" i="39"/>
  <c r="BF159" i="39"/>
  <c r="BF160" i="39"/>
  <c r="BF161" i="39"/>
  <c r="BL159" i="39"/>
  <c r="BM160" i="39"/>
  <c r="BX158" i="39"/>
  <c r="CG159" i="39"/>
  <c r="CG160" i="39"/>
  <c r="CG161" i="39"/>
  <c r="AR159" i="39"/>
  <c r="AR160" i="39"/>
  <c r="CI160" i="39" s="1"/>
  <c r="AR161" i="39"/>
  <c r="CI161" i="39" s="1"/>
  <c r="CA159" i="39"/>
  <c r="CA160" i="39"/>
  <c r="CA161" i="39"/>
  <c r="BU161" i="39"/>
  <c r="CC160" i="39"/>
  <c r="I169" i="39"/>
  <c r="J176" i="39" s="1"/>
  <c r="AB168" i="39"/>
  <c r="AH167" i="39"/>
  <c r="AN168" i="39"/>
  <c r="BX165" i="39"/>
  <c r="BF165" i="39"/>
  <c r="BI165" i="39"/>
  <c r="BE166" i="39"/>
  <c r="BM165" i="39"/>
  <c r="BL167" i="39"/>
  <c r="BY165" i="39"/>
  <c r="CF168" i="39"/>
  <c r="E169" i="39"/>
  <c r="AM169" i="39"/>
  <c r="BE169" i="39"/>
  <c r="BU165" i="39"/>
  <c r="AB172" i="39"/>
  <c r="AN172" i="39"/>
  <c r="BL172" i="39"/>
  <c r="BL173" i="39"/>
  <c r="BU175" i="39"/>
  <c r="BX175" i="39"/>
  <c r="BL175" i="39"/>
  <c r="BN172" i="39"/>
  <c r="CC174" i="39"/>
  <c r="CH174" i="39"/>
  <c r="BM175" i="39"/>
  <c r="BX173" i="39"/>
  <c r="BZ174" i="39"/>
  <c r="CG174" i="39"/>
  <c r="CI175" i="39"/>
  <c r="BD176" i="39"/>
  <c r="BM176" i="39" s="1"/>
  <c r="BE176" i="39"/>
  <c r="BU173" i="39"/>
  <c r="CC176" i="39"/>
  <c r="J180" i="39"/>
  <c r="AB180" i="39"/>
  <c r="AH179" i="39"/>
  <c r="AN180" i="39"/>
  <c r="BU181" i="39"/>
  <c r="BZ181" i="39"/>
  <c r="BF181" i="39"/>
  <c r="BF188" i="39"/>
  <c r="BI181" i="39"/>
  <c r="BE182" i="39"/>
  <c r="BN181" i="39"/>
  <c r="BY182" i="39"/>
  <c r="X183" i="39"/>
  <c r="AG183" i="39"/>
  <c r="AH183" i="39" s="1"/>
  <c r="BE183" i="39"/>
  <c r="AN190" i="39"/>
  <c r="CH161" i="39"/>
  <c r="CC161" i="39"/>
  <c r="AH165" i="39"/>
  <c r="BF168" i="39"/>
  <c r="CC166" i="39"/>
  <c r="CG166" i="39"/>
  <c r="CH168" i="39"/>
  <c r="J175" i="39"/>
  <c r="CC173" i="39"/>
  <c r="CH173" i="39"/>
  <c r="CG173" i="39"/>
  <c r="AB181" i="39"/>
  <c r="AH182" i="39"/>
  <c r="BY180" i="39"/>
  <c r="BF180" i="39"/>
  <c r="BF187" i="39"/>
  <c r="BU180" i="39"/>
  <c r="BZ180" i="39"/>
  <c r="BX180" i="39"/>
  <c r="AH190" i="39"/>
  <c r="BL161" i="39"/>
  <c r="BZ158" i="39"/>
  <c r="BY159" i="39"/>
  <c r="BY160" i="39"/>
  <c r="BY161" i="39"/>
  <c r="E162" i="39"/>
  <c r="BU159" i="39"/>
  <c r="AB167" i="39"/>
  <c r="AN167" i="39"/>
  <c r="BL166" i="39"/>
  <c r="BU167" i="39"/>
  <c r="BZ167" i="39"/>
  <c r="BF167" i="39"/>
  <c r="BE168" i="39"/>
  <c r="BM166" i="39"/>
  <c r="BL168" i="39"/>
  <c r="BX166" i="39"/>
  <c r="BX168" i="39"/>
  <c r="CF166" i="39"/>
  <c r="CI168" i="39"/>
  <c r="BX169" i="39"/>
  <c r="BK169" i="39"/>
  <c r="CC169" i="39" s="1"/>
  <c r="BU168" i="39"/>
  <c r="CC168" i="39"/>
  <c r="J173" i="39"/>
  <c r="AH172" i="39"/>
  <c r="BF174" i="39"/>
  <c r="BF175" i="39"/>
  <c r="BM173" i="39"/>
  <c r="CG172" i="39"/>
  <c r="CI173" i="39"/>
  <c r="CF175" i="39"/>
  <c r="X176" i="39"/>
  <c r="AJ176" i="39"/>
  <c r="CC172" i="39"/>
  <c r="J181" i="39"/>
  <c r="AH180" i="39"/>
  <c r="BX179" i="39"/>
  <c r="BF179" i="39"/>
  <c r="BF186" i="39"/>
  <c r="BY179" i="39"/>
  <c r="BI179" i="39"/>
  <c r="BE180" i="39"/>
  <c r="BN179" i="39"/>
  <c r="AB183" i="39"/>
  <c r="BF183" i="39"/>
  <c r="BU179" i="39"/>
  <c r="CF151" i="39"/>
  <c r="AB160" i="39"/>
  <c r="AH160" i="39"/>
  <c r="AM158" i="39"/>
  <c r="AN158" i="39" s="1"/>
  <c r="AM220" i="39"/>
  <c r="BE159" i="39"/>
  <c r="BE160" i="39"/>
  <c r="BI160" i="39"/>
  <c r="BE161" i="39"/>
  <c r="BM161" i="39"/>
  <c r="CF159" i="39"/>
  <c r="BZ160" i="39"/>
  <c r="J160" i="39"/>
  <c r="AN165" i="39"/>
  <c r="BY166" i="39"/>
  <c r="BF166" i="39"/>
  <c r="BI166" i="39"/>
  <c r="BE167" i="39"/>
  <c r="CG167" i="39"/>
  <c r="BM167" i="39"/>
  <c r="BM168" i="39"/>
  <c r="BZ166" i="39"/>
  <c r="BY168" i="39"/>
  <c r="CH166" i="39"/>
  <c r="CI167" i="39"/>
  <c r="AB174" i="39"/>
  <c r="AN174" i="39"/>
  <c r="BN173" i="39"/>
  <c r="CI172" i="39"/>
  <c r="CG175" i="39"/>
  <c r="CG176" i="39"/>
  <c r="AM176" i="39"/>
  <c r="AN176" i="39" s="1"/>
  <c r="CH176" i="39"/>
  <c r="CC175" i="39"/>
  <c r="J182" i="39"/>
  <c r="AH181" i="39"/>
  <c r="BF182" i="39"/>
  <c r="BF189" i="39"/>
  <c r="BU182" i="39"/>
  <c r="BX182" i="39"/>
  <c r="BI182" i="39"/>
  <c r="BN182" i="39"/>
  <c r="CC183" i="39"/>
  <c r="BK183" i="39"/>
  <c r="AN183" i="39"/>
  <c r="AB190" i="39"/>
  <c r="BY176" i="39"/>
  <c r="E176" i="39"/>
  <c r="AN181" i="39"/>
  <c r="BY183" i="39"/>
  <c r="CH179" i="39"/>
  <c r="CH180" i="39"/>
  <c r="CH181" i="39"/>
  <c r="CH182" i="39"/>
  <c r="CH183" i="39"/>
  <c r="E183" i="39"/>
  <c r="CC181" i="39"/>
  <c r="I190" i="39"/>
  <c r="J190" i="39" s="1"/>
  <c r="BM186" i="39"/>
  <c r="BM187" i="39"/>
  <c r="BM188" i="39"/>
  <c r="BM189" i="39"/>
  <c r="BZ190" i="39"/>
  <c r="CI186" i="39"/>
  <c r="CI187" i="39"/>
  <c r="CI188" i="39"/>
  <c r="CI189" i="39"/>
  <c r="AN186" i="39"/>
  <c r="BK190" i="39"/>
  <c r="CC186" i="39"/>
  <c r="BF193" i="39"/>
  <c r="BF194" i="39"/>
  <c r="BF196" i="39"/>
  <c r="CC193" i="39"/>
  <c r="CF193" i="39"/>
  <c r="CG193" i="39"/>
  <c r="CF194" i="39"/>
  <c r="CC194" i="39"/>
  <c r="CG194" i="39"/>
  <c r="CF195" i="39"/>
  <c r="CC195" i="39"/>
  <c r="CG195" i="39"/>
  <c r="CF196" i="39"/>
  <c r="CG196" i="39"/>
  <c r="BX193" i="39"/>
  <c r="BY194" i="39"/>
  <c r="BX196" i="39"/>
  <c r="CH193" i="39"/>
  <c r="CH195" i="39"/>
  <c r="BK197" i="39"/>
  <c r="CC197" i="39" s="1"/>
  <c r="BU197" i="39"/>
  <c r="J201" i="39"/>
  <c r="X190" i="39"/>
  <c r="BD190" i="39"/>
  <c r="CC187" i="39"/>
  <c r="J194" i="39"/>
  <c r="J196" i="39"/>
  <c r="AB193" i="39"/>
  <c r="AB195" i="39"/>
  <c r="AH193" i="39"/>
  <c r="AH195" i="39"/>
  <c r="BY193" i="39"/>
  <c r="AG197" i="39"/>
  <c r="AH197" i="39" s="1"/>
  <c r="CG197" i="39"/>
  <c r="BE197" i="39"/>
  <c r="AH201" i="39"/>
  <c r="CG186" i="39"/>
  <c r="CG187" i="39"/>
  <c r="CG188" i="39"/>
  <c r="CG189" i="39"/>
  <c r="E190" i="39"/>
  <c r="AD190" i="39"/>
  <c r="CC188" i="39"/>
  <c r="BU194" i="39"/>
  <c r="BF201" i="39"/>
  <c r="BF202" i="39"/>
  <c r="BU195" i="39"/>
  <c r="BZ195" i="39"/>
  <c r="BZ196" i="39"/>
  <c r="BU196" i="39"/>
  <c r="BM193" i="39"/>
  <c r="BM194" i="39"/>
  <c r="BM195" i="39"/>
  <c r="BM196" i="39"/>
  <c r="BZ193" i="39"/>
  <c r="BX195" i="39"/>
  <c r="CF197" i="39"/>
  <c r="AN197" i="39"/>
  <c r="BX183" i="39"/>
  <c r="CG180" i="39"/>
  <c r="BL186" i="39"/>
  <c r="BL187" i="39"/>
  <c r="BL188" i="39"/>
  <c r="BL189" i="39"/>
  <c r="BY190" i="39"/>
  <c r="CH189" i="39"/>
  <c r="AJ190" i="39"/>
  <c r="BU190" i="39"/>
  <c r="J193" i="39"/>
  <c r="AB194" i="39"/>
  <c r="AB196" i="39"/>
  <c r="AH196" i="39"/>
  <c r="AN194" i="39"/>
  <c r="AN196" i="39"/>
  <c r="BE193" i="39"/>
  <c r="BI193" i="39"/>
  <c r="BE194" i="39"/>
  <c r="BI194" i="39"/>
  <c r="BE195" i="39"/>
  <c r="BI195" i="39"/>
  <c r="BE196" i="39"/>
  <c r="BI196" i="39"/>
  <c r="BX194" i="39"/>
  <c r="BY195" i="39"/>
  <c r="AB197" i="39"/>
  <c r="BF197" i="39"/>
  <c r="BU193" i="39"/>
  <c r="BE200" i="39"/>
  <c r="BE201" i="39"/>
  <c r="BE202" i="39"/>
  <c r="BN201" i="39"/>
  <c r="BN202" i="39"/>
  <c r="BX201" i="39"/>
  <c r="BY202" i="39"/>
  <c r="CF200" i="39"/>
  <c r="CF201" i="39"/>
  <c r="CF202" i="39"/>
  <c r="J202" i="39"/>
  <c r="AN200" i="39"/>
  <c r="CC202" i="39"/>
  <c r="AJ209" i="39"/>
  <c r="J208" i="39"/>
  <c r="CG200" i="39"/>
  <c r="CG201" i="39"/>
  <c r="CG202" i="39"/>
  <c r="BU200" i="39"/>
  <c r="CC200" i="39"/>
  <c r="BM200" i="39"/>
  <c r="BM201" i="39"/>
  <c r="BM202" i="39"/>
  <c r="BX202" i="39"/>
  <c r="CI201" i="39"/>
  <c r="N27" i="21"/>
  <c r="AD42" i="21"/>
  <c r="U48" i="21"/>
  <c r="AK46" i="21"/>
  <c r="AD54" i="21"/>
  <c r="N61" i="21"/>
  <c r="U61" i="21"/>
  <c r="AB64" i="21"/>
  <c r="AK61" i="21"/>
  <c r="N76" i="21"/>
  <c r="U76" i="21"/>
  <c r="U77" i="21"/>
  <c r="AD95" i="21"/>
  <c r="AK88" i="21"/>
  <c r="AD97" i="21"/>
  <c r="N40" i="21"/>
  <c r="P40" i="21" s="1"/>
  <c r="U40" i="21"/>
  <c r="AB43" i="21"/>
  <c r="AK43" i="21" s="1"/>
  <c r="AD39" i="21"/>
  <c r="U41" i="21"/>
  <c r="U62" i="21"/>
  <c r="N83" i="21"/>
  <c r="U83" i="21"/>
  <c r="AB92" i="21"/>
  <c r="AK89" i="21"/>
  <c r="AD41" i="21"/>
  <c r="N41" i="21"/>
  <c r="N47" i="21"/>
  <c r="U47" i="21"/>
  <c r="AD46" i="21"/>
  <c r="AK56" i="21"/>
  <c r="AD67" i="21"/>
  <c r="AF67" i="21" s="1"/>
  <c r="H85" i="21"/>
  <c r="N90" i="21"/>
  <c r="U90" i="21"/>
  <c r="W90" i="21" s="1"/>
  <c r="P90" i="21"/>
  <c r="N20" i="21"/>
  <c r="N48" i="21"/>
  <c r="AD47" i="21"/>
  <c r="AK47" i="21"/>
  <c r="N54" i="21"/>
  <c r="U54" i="21"/>
  <c r="AD63" i="21"/>
  <c r="AF63" i="21" s="1"/>
  <c r="AD70" i="21"/>
  <c r="AK63" i="21"/>
  <c r="N69" i="21"/>
  <c r="U69" i="21"/>
  <c r="AD68" i="21"/>
  <c r="D71" i="21"/>
  <c r="H71" i="21" s="1"/>
  <c r="AM97" i="21"/>
  <c r="AT107" i="19"/>
  <c r="AQ104" i="19"/>
  <c r="AP104" i="19" s="1"/>
  <c r="AQ105" i="19"/>
  <c r="AP105" i="19" s="1"/>
  <c r="AQ112" i="19"/>
  <c r="AP112" i="19" s="1"/>
  <c r="AS121" i="19"/>
  <c r="AS128" i="19"/>
  <c r="AS135" i="19"/>
  <c r="AQ133" i="19"/>
  <c r="AP133" i="19" s="1"/>
  <c r="AQ140" i="19"/>
  <c r="AQ145" i="19"/>
  <c r="AQ148" i="19"/>
  <c r="AP148" i="19" s="1"/>
  <c r="AS156" i="19"/>
  <c r="AQ153" i="19"/>
  <c r="AP153" i="19" s="1"/>
  <c r="AQ155" i="19"/>
  <c r="AP155" i="19" s="1"/>
  <c r="AB28" i="21"/>
  <c r="AB36" i="21"/>
  <c r="D41" i="21"/>
  <c r="H41" i="21" s="1"/>
  <c r="P41" i="21" s="1"/>
  <c r="D48" i="21"/>
  <c r="H48" i="21" s="1"/>
  <c r="P48" i="21" s="1"/>
  <c r="AI48" i="21"/>
  <c r="AK48" i="21" s="1"/>
  <c r="D55" i="21"/>
  <c r="H55" i="21" s="1"/>
  <c r="AI55" i="21"/>
  <c r="AK55" i="21" s="1"/>
  <c r="D62" i="21"/>
  <c r="H62" i="21" s="1"/>
  <c r="AI62" i="21"/>
  <c r="AK62" i="21" s="1"/>
  <c r="D70" i="21"/>
  <c r="H70" i="21" s="1"/>
  <c r="AI70" i="21"/>
  <c r="AK70" i="21" s="1"/>
  <c r="D77" i="21"/>
  <c r="H77" i="21" s="1"/>
  <c r="AI77" i="21"/>
  <c r="D84" i="21"/>
  <c r="H84" i="21" s="1"/>
  <c r="AI84" i="21"/>
  <c r="D91" i="21"/>
  <c r="H91" i="21" s="1"/>
  <c r="AB98" i="21"/>
  <c r="AD98" i="21" s="1"/>
  <c r="AF98" i="21" s="1"/>
  <c r="AI95" i="21"/>
  <c r="D95" i="21"/>
  <c r="H95" i="21" s="1"/>
  <c r="S99" i="21"/>
  <c r="AI96" i="21"/>
  <c r="AB102" i="21"/>
  <c r="AK103" i="21"/>
  <c r="AI112" i="21"/>
  <c r="AK112" i="21" s="1"/>
  <c r="D112" i="21"/>
  <c r="H112" i="21" s="1"/>
  <c r="AD117" i="21"/>
  <c r="AK118" i="21"/>
  <c r="AD126" i="21"/>
  <c r="AD131" i="21"/>
  <c r="AK132" i="21"/>
  <c r="AD140" i="21"/>
  <c r="AK139" i="21"/>
  <c r="AD147" i="21"/>
  <c r="AK145" i="21"/>
  <c r="AD153" i="21"/>
  <c r="AK152" i="21"/>
  <c r="AD160" i="21"/>
  <c r="AK159" i="21"/>
  <c r="N203" i="21"/>
  <c r="U203" i="21"/>
  <c r="W203" i="21" s="1"/>
  <c r="N210" i="21"/>
  <c r="U210" i="21"/>
  <c r="W210" i="21" s="1"/>
  <c r="AD209" i="21"/>
  <c r="P210" i="21"/>
  <c r="AD218" i="21"/>
  <c r="N224" i="21"/>
  <c r="N231" i="21"/>
  <c r="AK237" i="21"/>
  <c r="AD244" i="21"/>
  <c r="AT135" i="19"/>
  <c r="AU135" i="19"/>
  <c r="AQ138" i="19"/>
  <c r="AQ141" i="19"/>
  <c r="AP141" i="19" s="1"/>
  <c r="AS149" i="19"/>
  <c r="AQ175" i="19"/>
  <c r="AQ188" i="19"/>
  <c r="AP188" i="19" s="1"/>
  <c r="AQ189" i="19"/>
  <c r="AP189" i="19" s="1"/>
  <c r="AQ190" i="19"/>
  <c r="AP190" i="19" s="1"/>
  <c r="BF189" i="19"/>
  <c r="AS198" i="19"/>
  <c r="L68" i="21"/>
  <c r="L75" i="21"/>
  <c r="L82" i="21"/>
  <c r="L89" i="21"/>
  <c r="AB96" i="21"/>
  <c r="AD96" i="21" s="1"/>
  <c r="AF96" i="21" s="1"/>
  <c r="AI105" i="21"/>
  <c r="D105" i="21"/>
  <c r="H105" i="21" s="1"/>
  <c r="AK104" i="21"/>
  <c r="AM104" i="21" s="1"/>
  <c r="AK119" i="21"/>
  <c r="AF124" i="21"/>
  <c r="AK124" i="21"/>
  <c r="AM124" i="21" s="1"/>
  <c r="AK133" i="21"/>
  <c r="AM133" i="21" s="1"/>
  <c r="AF153" i="21"/>
  <c r="AD161" i="21"/>
  <c r="AF160" i="21"/>
  <c r="AD165" i="21"/>
  <c r="AD210" i="21"/>
  <c r="AF210" i="21" s="1"/>
  <c r="AK210" i="21"/>
  <c r="AM210" i="21" s="1"/>
  <c r="AF216" i="21"/>
  <c r="AQ96" i="19"/>
  <c r="AQ154" i="19"/>
  <c r="AP154" i="19" s="1"/>
  <c r="N26" i="21"/>
  <c r="AD33" i="21"/>
  <c r="D39" i="21"/>
  <c r="H39" i="21" s="1"/>
  <c r="D43" i="21"/>
  <c r="H43" i="21" s="1"/>
  <c r="AI64" i="21"/>
  <c r="D68" i="21"/>
  <c r="H68" i="21" s="1"/>
  <c r="D97" i="21"/>
  <c r="H97" i="21" s="1"/>
  <c r="AK98" i="21"/>
  <c r="AD104" i="21"/>
  <c r="AF104" i="21" s="1"/>
  <c r="AD110" i="21"/>
  <c r="AF110" i="21" s="1"/>
  <c r="AD145" i="21"/>
  <c r="AM147" i="21"/>
  <c r="AK154" i="21"/>
  <c r="AM154" i="21" s="1"/>
  <c r="AK165" i="21"/>
  <c r="AD198" i="21"/>
  <c r="P195" i="21"/>
  <c r="AD211" i="21"/>
  <c r="AF211" i="21" s="1"/>
  <c r="AD225" i="21"/>
  <c r="AF225" i="21" s="1"/>
  <c r="AD232" i="21"/>
  <c r="AF232" i="21" s="1"/>
  <c r="AK225" i="21"/>
  <c r="AM225" i="21" s="1"/>
  <c r="AD243" i="21"/>
  <c r="AD236" i="21"/>
  <c r="AQ97" i="19"/>
  <c r="AP97" i="19" s="1"/>
  <c r="AS114" i="19"/>
  <c r="AQ111" i="19"/>
  <c r="AP111" i="19" s="1"/>
  <c r="AQ117" i="19"/>
  <c r="AP117" i="19" s="1"/>
  <c r="AQ126" i="19"/>
  <c r="AP126" i="19" s="1"/>
  <c r="AR135" i="19"/>
  <c r="AU142" i="19"/>
  <c r="AQ139" i="19"/>
  <c r="AT142" i="19"/>
  <c r="AR156" i="19"/>
  <c r="AQ160" i="19"/>
  <c r="AP160" i="19" s="1"/>
  <c r="AQ162" i="19"/>
  <c r="AP162" i="19" s="1"/>
  <c r="AQ168" i="19"/>
  <c r="AP168" i="19" s="1"/>
  <c r="AQ202" i="19"/>
  <c r="AP202" i="19" s="1"/>
  <c r="BF201" i="19"/>
  <c r="BF203" i="19"/>
  <c r="D47" i="21"/>
  <c r="H47" i="21" s="1"/>
  <c r="D54" i="21"/>
  <c r="H54" i="21" s="1"/>
  <c r="D61" i="21"/>
  <c r="H61" i="21" s="1"/>
  <c r="D69" i="21"/>
  <c r="H69" i="21" s="1"/>
  <c r="D76" i="21"/>
  <c r="H76" i="21" s="1"/>
  <c r="D83" i="21"/>
  <c r="H83" i="21" s="1"/>
  <c r="S92" i="21"/>
  <c r="D92" i="21" s="1"/>
  <c r="H92" i="21" s="1"/>
  <c r="U91" i="21"/>
  <c r="AI91" i="21"/>
  <c r="AK91" i="21" s="1"/>
  <c r="AB105" i="21"/>
  <c r="AB111" i="21"/>
  <c r="AD111" i="21" s="1"/>
  <c r="AF111" i="21" s="1"/>
  <c r="AD109" i="21"/>
  <c r="AK110" i="21"/>
  <c r="AM110" i="21" s="1"/>
  <c r="AF117" i="21"/>
  <c r="AD125" i="21"/>
  <c r="AF125" i="21" s="1"/>
  <c r="AM126" i="21"/>
  <c r="AF131" i="21"/>
  <c r="AM131" i="21"/>
  <c r="AD139" i="21"/>
  <c r="AF139" i="21" s="1"/>
  <c r="AF138" i="21"/>
  <c r="AK138" i="21"/>
  <c r="AM138" i="21" s="1"/>
  <c r="AD146" i="21"/>
  <c r="AF146" i="21" s="1"/>
  <c r="AF145" i="21"/>
  <c r="AD152" i="21"/>
  <c r="AF152" i="21" s="1"/>
  <c r="AD159" i="21"/>
  <c r="AF159" i="21" s="1"/>
  <c r="W196" i="21"/>
  <c r="AK204" i="21"/>
  <c r="AF209" i="21"/>
  <c r="D102" i="21"/>
  <c r="H102" i="21" s="1"/>
  <c r="AI102" i="21"/>
  <c r="D109" i="21"/>
  <c r="H109" i="21" s="1"/>
  <c r="AI109" i="21"/>
  <c r="D116" i="21"/>
  <c r="H116" i="21" s="1"/>
  <c r="AI116" i="21"/>
  <c r="D123" i="21"/>
  <c r="H123" i="21" s="1"/>
  <c r="AI123" i="21"/>
  <c r="D130" i="21"/>
  <c r="H130" i="21" s="1"/>
  <c r="AI130" i="21"/>
  <c r="D137" i="21"/>
  <c r="H137" i="21" s="1"/>
  <c r="AI137" i="21"/>
  <c r="D144" i="21"/>
  <c r="H144" i="21" s="1"/>
  <c r="AI144" i="21"/>
  <c r="D151" i="21"/>
  <c r="H151" i="21" s="1"/>
  <c r="AI151" i="21"/>
  <c r="AP158" i="21"/>
  <c r="D158" i="21"/>
  <c r="H158" i="21" s="1"/>
  <c r="AI158" i="21"/>
  <c r="AP166" i="21"/>
  <c r="D166" i="21"/>
  <c r="H166" i="21" s="1"/>
  <c r="AI166" i="21"/>
  <c r="AK166" i="21" s="1"/>
  <c r="AM166" i="21" s="1"/>
  <c r="D173" i="21"/>
  <c r="D196" i="21"/>
  <c r="H196" i="21" s="1"/>
  <c r="D201" i="21"/>
  <c r="H201" i="21" s="1"/>
  <c r="L202" i="21"/>
  <c r="N202" i="21" s="1"/>
  <c r="AI201" i="21"/>
  <c r="D208" i="21"/>
  <c r="H208" i="21" s="1"/>
  <c r="L209" i="21"/>
  <c r="N209" i="21" s="1"/>
  <c r="P209" i="21" s="1"/>
  <c r="AB212" i="21"/>
  <c r="AI208" i="21"/>
  <c r="AK208" i="21" s="1"/>
  <c r="D215" i="21"/>
  <c r="H215" i="21" s="1"/>
  <c r="D237" i="21"/>
  <c r="H237" i="21" s="1"/>
  <c r="AI239" i="21"/>
  <c r="D239" i="21"/>
  <c r="H239" i="21" s="1"/>
  <c r="N252" i="21"/>
  <c r="W252" i="21"/>
  <c r="U265" i="21"/>
  <c r="W265" i="21" s="1"/>
  <c r="AK266" i="21"/>
  <c r="AD273" i="21"/>
  <c r="AF280" i="21"/>
  <c r="AK285" i="21"/>
  <c r="AK301" i="21"/>
  <c r="AM301" i="21" s="1"/>
  <c r="AD306" i="21"/>
  <c r="AD309" i="21"/>
  <c r="AD314" i="21"/>
  <c r="AD327" i="21"/>
  <c r="AB331" i="21"/>
  <c r="AB120" i="21"/>
  <c r="AB127" i="21"/>
  <c r="AB134" i="21"/>
  <c r="AD134" i="21" s="1"/>
  <c r="AB141" i="21"/>
  <c r="AD141" i="21" s="1"/>
  <c r="AB148" i="21"/>
  <c r="AB155" i="21"/>
  <c r="AD155" i="21" s="1"/>
  <c r="AB162" i="21"/>
  <c r="AD162" i="21" s="1"/>
  <c r="S172" i="21"/>
  <c r="D207" i="39" s="1"/>
  <c r="AI195" i="21"/>
  <c r="D202" i="21"/>
  <c r="H202" i="21" s="1"/>
  <c r="AB201" i="21"/>
  <c r="AB205" i="21"/>
  <c r="AD205" i="21" s="1"/>
  <c r="AK209" i="21"/>
  <c r="AM209" i="21" s="1"/>
  <c r="L216" i="21"/>
  <c r="N216" i="21" s="1"/>
  <c r="P216" i="21" s="1"/>
  <c r="AD215" i="21"/>
  <c r="AI216" i="21"/>
  <c r="D223" i="21"/>
  <c r="H223" i="21" s="1"/>
  <c r="L223" i="21"/>
  <c r="N223" i="21" s="1"/>
  <c r="AD222" i="21"/>
  <c r="AF222" i="21" s="1"/>
  <c r="AI223" i="21"/>
  <c r="AB230" i="21"/>
  <c r="AD230" i="21" s="1"/>
  <c r="AB231" i="21"/>
  <c r="AD231" i="21" s="1"/>
  <c r="D230" i="21"/>
  <c r="H230" i="21" s="1"/>
  <c r="L230" i="21"/>
  <c r="U230" i="21" s="1"/>
  <c r="AD229" i="21"/>
  <c r="AF229" i="21" s="1"/>
  <c r="AI230" i="21"/>
  <c r="AI236" i="21"/>
  <c r="D236" i="21"/>
  <c r="H236" i="21" s="1"/>
  <c r="AB246" i="21"/>
  <c r="P252" i="21"/>
  <c r="AI257" i="21"/>
  <c r="D257" i="21"/>
  <c r="H257" i="21" s="1"/>
  <c r="U257" i="21"/>
  <c r="S261" i="21"/>
  <c r="AD299" i="21"/>
  <c r="AB303" i="21"/>
  <c r="BF293" i="21"/>
  <c r="D296" i="21"/>
  <c r="H296" i="21" s="1"/>
  <c r="BF292" i="21"/>
  <c r="AK302" i="21"/>
  <c r="AK307" i="21"/>
  <c r="S106" i="21"/>
  <c r="D106" i="21" s="1"/>
  <c r="H106" i="21" s="1"/>
  <c r="S113" i="21"/>
  <c r="D113" i="21" s="1"/>
  <c r="H113" i="21" s="1"/>
  <c r="S120" i="21"/>
  <c r="D120" i="21" s="1"/>
  <c r="H120" i="21" s="1"/>
  <c r="S127" i="21"/>
  <c r="S134" i="21"/>
  <c r="S141" i="21"/>
  <c r="S148" i="21"/>
  <c r="S155" i="21"/>
  <c r="S162" i="21"/>
  <c r="S173" i="21"/>
  <c r="D208" i="39" s="1"/>
  <c r="G208" i="39" s="1"/>
  <c r="U187" i="21"/>
  <c r="U195" i="21"/>
  <c r="W195" i="21" s="1"/>
  <c r="AI196" i="21"/>
  <c r="D203" i="21"/>
  <c r="H203" i="21" s="1"/>
  <c r="AI211" i="21"/>
  <c r="AK211" i="21" s="1"/>
  <c r="AM211" i="21" s="1"/>
  <c r="D218" i="21"/>
  <c r="H218" i="21" s="1"/>
  <c r="AI217" i="21"/>
  <c r="AK217" i="21" s="1"/>
  <c r="AM217" i="21" s="1"/>
  <c r="D217" i="21"/>
  <c r="H217" i="21" s="1"/>
  <c r="AB217" i="21"/>
  <c r="AD217" i="21" s="1"/>
  <c r="AI224" i="21"/>
  <c r="AK224" i="21" s="1"/>
  <c r="D224" i="21"/>
  <c r="H224" i="21" s="1"/>
  <c r="AB224" i="21"/>
  <c r="AI231" i="21"/>
  <c r="D231" i="21"/>
  <c r="H231" i="21" s="1"/>
  <c r="AB238" i="21"/>
  <c r="AD238" i="21" s="1"/>
  <c r="AF238" i="21" s="1"/>
  <c r="AB239" i="21"/>
  <c r="AD239" i="21" s="1"/>
  <c r="L238" i="21"/>
  <c r="AI243" i="21"/>
  <c r="D243" i="21"/>
  <c r="H243" i="21" s="1"/>
  <c r="S247" i="21"/>
  <c r="F247" i="21" s="1"/>
  <c r="BA107" i="19" s="1"/>
  <c r="AK246" i="21"/>
  <c r="AI250" i="21"/>
  <c r="D250" i="21"/>
  <c r="H250" i="21" s="1"/>
  <c r="S254" i="21"/>
  <c r="P259" i="21"/>
  <c r="U267" i="21"/>
  <c r="AF273" i="21"/>
  <c r="AM273" i="21"/>
  <c r="AK279" i="21"/>
  <c r="AD292" i="21"/>
  <c r="AF292" i="21" s="1"/>
  <c r="AB296" i="21"/>
  <c r="AK292" i="21"/>
  <c r="AF314" i="21"/>
  <c r="AF321" i="21"/>
  <c r="AK320" i="21"/>
  <c r="D119" i="21"/>
  <c r="H119" i="21" s="1"/>
  <c r="D126" i="21"/>
  <c r="H126" i="21" s="1"/>
  <c r="D133" i="21"/>
  <c r="H133" i="21" s="1"/>
  <c r="D140" i="21"/>
  <c r="H140" i="21" s="1"/>
  <c r="D147" i="21"/>
  <c r="H147" i="21" s="1"/>
  <c r="D154" i="21"/>
  <c r="H154" i="21" s="1"/>
  <c r="D161" i="21"/>
  <c r="H161" i="21" s="1"/>
  <c r="D165" i="21"/>
  <c r="H165" i="21" s="1"/>
  <c r="D204" i="21"/>
  <c r="H204" i="21" s="1"/>
  <c r="AI212" i="21"/>
  <c r="AK212" i="21" s="1"/>
  <c r="U217" i="21"/>
  <c r="W217" i="21" s="1"/>
  <c r="U224" i="21"/>
  <c r="AI232" i="21"/>
  <c r="AK232" i="21" s="1"/>
  <c r="AM232" i="21" s="1"/>
  <c r="U231" i="21"/>
  <c r="W231" i="21" s="1"/>
  <c r="AK229" i="21"/>
  <c r="N244" i="21"/>
  <c r="U244" i="21"/>
  <c r="W244" i="21" s="1"/>
  <c r="AI244" i="21"/>
  <c r="AK244" i="21" s="1"/>
  <c r="AM244" i="21" s="1"/>
  <c r="D244" i="21"/>
  <c r="H244" i="21" s="1"/>
  <c r="F254" i="21"/>
  <c r="L253" i="21"/>
  <c r="U251" i="21"/>
  <c r="W251" i="21" s="1"/>
  <c r="N258" i="21"/>
  <c r="N259" i="21"/>
  <c r="AF274" i="21"/>
  <c r="AK274" i="21"/>
  <c r="AM274" i="21" s="1"/>
  <c r="AF279" i="21"/>
  <c r="AK280" i="21"/>
  <c r="AM280" i="21" s="1"/>
  <c r="BF285" i="21"/>
  <c r="BF288" i="21"/>
  <c r="AD287" i="21"/>
  <c r="AK293" i="21"/>
  <c r="AK299" i="21"/>
  <c r="AD300" i="21"/>
  <c r="D251" i="21"/>
  <c r="H251" i="21" s="1"/>
  <c r="AI251" i="21"/>
  <c r="D258" i="21"/>
  <c r="H258" i="21" s="1"/>
  <c r="AI258" i="21"/>
  <c r="D265" i="21"/>
  <c r="H265" i="21" s="1"/>
  <c r="L266" i="21"/>
  <c r="AB264" i="21"/>
  <c r="AK264" i="21" s="1"/>
  <c r="AI265" i="21"/>
  <c r="AK265" i="21" s="1"/>
  <c r="D272" i="21"/>
  <c r="H272" i="21" s="1"/>
  <c r="AB271" i="21"/>
  <c r="AI272" i="21"/>
  <c r="AK272" i="21" s="1"/>
  <c r="AM272" i="21" s="1"/>
  <c r="AR279" i="21"/>
  <c r="D278" i="21"/>
  <c r="H278" i="21" s="1"/>
  <c r="AB281" i="21"/>
  <c r="AD281" i="21" s="1"/>
  <c r="AI278" i="21"/>
  <c r="AQ287" i="21"/>
  <c r="AY287" i="21" s="1"/>
  <c r="BC287" i="21" s="1"/>
  <c r="BF287" i="21"/>
  <c r="D287" i="21"/>
  <c r="H287" i="21" s="1"/>
  <c r="AB286" i="21"/>
  <c r="AD286" i="21" s="1"/>
  <c r="AI287" i="21"/>
  <c r="AK287" i="21" s="1"/>
  <c r="AR293" i="21"/>
  <c r="BF295" i="21"/>
  <c r="D295" i="21"/>
  <c r="H295" i="21" s="1"/>
  <c r="AI295" i="21"/>
  <c r="AK295" i="21" s="1"/>
  <c r="D300" i="21"/>
  <c r="H300" i="21" s="1"/>
  <c r="AI300" i="21"/>
  <c r="AK300" i="21" s="1"/>
  <c r="AM300" i="21" s="1"/>
  <c r="AQ307" i="21"/>
  <c r="AY307" i="21" s="1"/>
  <c r="AR308" i="21"/>
  <c r="AQ310" i="21"/>
  <c r="AY310" i="21" s="1"/>
  <c r="D306" i="21"/>
  <c r="H306" i="21" s="1"/>
  <c r="S310" i="21"/>
  <c r="AQ315" i="21"/>
  <c r="AY315" i="21" s="1"/>
  <c r="AI313" i="21"/>
  <c r="D313" i="21"/>
  <c r="H313" i="21" s="1"/>
  <c r="S317" i="21"/>
  <c r="AB313" i="21"/>
  <c r="AI314" i="21"/>
  <c r="AK314" i="21" s="1"/>
  <c r="AM314" i="21" s="1"/>
  <c r="AB322" i="21"/>
  <c r="AD322" i="21" s="1"/>
  <c r="AI323" i="21"/>
  <c r="AK323" i="21" s="1"/>
  <c r="D328" i="21"/>
  <c r="H328" i="21" s="1"/>
  <c r="AI335" i="21"/>
  <c r="AK335" i="21" s="1"/>
  <c r="D335" i="21"/>
  <c r="H335" i="21" s="1"/>
  <c r="AD399" i="21"/>
  <c r="AF399" i="21" s="1"/>
  <c r="AK399" i="21"/>
  <c r="AK406" i="21"/>
  <c r="U428" i="21"/>
  <c r="S268" i="21"/>
  <c r="D268" i="21" s="1"/>
  <c r="H268" i="21" s="1"/>
  <c r="S275" i="21"/>
  <c r="D275" i="21" s="1"/>
  <c r="H275" i="21" s="1"/>
  <c r="AB278" i="21"/>
  <c r="AQ286" i="21"/>
  <c r="AY286" i="21" s="1"/>
  <c r="BC286" i="21" s="1"/>
  <c r="AR287" i="21"/>
  <c r="AQ289" i="21"/>
  <c r="AY289" i="21" s="1"/>
  <c r="D288" i="21"/>
  <c r="H288" i="21" s="1"/>
  <c r="AQ292" i="21"/>
  <c r="AY292" i="21" s="1"/>
  <c r="AQ295" i="21"/>
  <c r="AY295" i="21" s="1"/>
  <c r="AI296" i="21"/>
  <c r="AQ301" i="21"/>
  <c r="AY301" i="21" s="1"/>
  <c r="BC301" i="21" s="1"/>
  <c r="D301" i="21"/>
  <c r="H301" i="21" s="1"/>
  <c r="S303" i="21"/>
  <c r="W162" i="39" s="1"/>
  <c r="AR307" i="21"/>
  <c r="D307" i="21"/>
  <c r="H307" i="21" s="1"/>
  <c r="AR315" i="21"/>
  <c r="D323" i="21"/>
  <c r="H323" i="21" s="1"/>
  <c r="AI322" i="21"/>
  <c r="D322" i="21"/>
  <c r="H322" i="21" s="1"/>
  <c r="AI324" i="21"/>
  <c r="AR329" i="21"/>
  <c r="D329" i="21"/>
  <c r="H329" i="21" s="1"/>
  <c r="AI330" i="21"/>
  <c r="AK330" i="21" s="1"/>
  <c r="AM330" i="21" s="1"/>
  <c r="AF343" i="21"/>
  <c r="AK336" i="21"/>
  <c r="AM336" i="21" s="1"/>
  <c r="AD343" i="21"/>
  <c r="AK343" i="21"/>
  <c r="U400" i="21"/>
  <c r="AD400" i="21"/>
  <c r="AK400" i="21"/>
  <c r="AF415" i="21"/>
  <c r="AD413" i="21"/>
  <c r="AQ280" i="21"/>
  <c r="AY280" i="21" s="1"/>
  <c r="BC280" i="21" s="1"/>
  <c r="S282" i="21"/>
  <c r="BF278" i="21" s="1"/>
  <c r="AR286" i="21"/>
  <c r="D285" i="21"/>
  <c r="H285" i="21" s="1"/>
  <c r="AB288" i="21"/>
  <c r="AD288" i="21" s="1"/>
  <c r="AI289" i="21"/>
  <c r="AQ294" i="21"/>
  <c r="AY294" i="21" s="1"/>
  <c r="D293" i="21"/>
  <c r="H293" i="21" s="1"/>
  <c r="AQ300" i="21"/>
  <c r="AY300" i="21" s="1"/>
  <c r="AR301" i="21"/>
  <c r="D302" i="21"/>
  <c r="H302" i="21" s="1"/>
  <c r="AQ316" i="21"/>
  <c r="AY316" i="21" s="1"/>
  <c r="D315" i="21"/>
  <c r="H315" i="21" s="1"/>
  <c r="AD315" i="21"/>
  <c r="AK316" i="21"/>
  <c r="D330" i="21"/>
  <c r="H330" i="21" s="1"/>
  <c r="AD337" i="21"/>
  <c r="AF337" i="21" s="1"/>
  <c r="AF336" i="21"/>
  <c r="AK337" i="21"/>
  <c r="N372" i="21"/>
  <c r="N379" i="21"/>
  <c r="AF386" i="21"/>
  <c r="P394" i="21"/>
  <c r="AF394" i="21"/>
  <c r="AF393" i="21"/>
  <c r="AK393" i="21"/>
  <c r="AD401" i="21"/>
  <c r="AF401" i="21" s="1"/>
  <c r="AD406" i="21"/>
  <c r="AF406" i="21" s="1"/>
  <c r="AF414" i="21"/>
  <c r="P414" i="21"/>
  <c r="P428" i="21"/>
  <c r="U434" i="21"/>
  <c r="AK444" i="21"/>
  <c r="D264" i="21"/>
  <c r="H264" i="21" s="1"/>
  <c r="D271" i="21"/>
  <c r="H271" i="21" s="1"/>
  <c r="D281" i="21"/>
  <c r="H281" i="21" s="1"/>
  <c r="BF286" i="21"/>
  <c r="D286" i="21"/>
  <c r="H286" i="21" s="1"/>
  <c r="BF294" i="21"/>
  <c r="D294" i="21"/>
  <c r="H294" i="21" s="1"/>
  <c r="BF299" i="21"/>
  <c r="D299" i="21"/>
  <c r="H299" i="21" s="1"/>
  <c r="AB308" i="21"/>
  <c r="AD308" i="21" s="1"/>
  <c r="AF308" i="21" s="1"/>
  <c r="AI309" i="21"/>
  <c r="AK309" i="21" s="1"/>
  <c r="AM309" i="21" s="1"/>
  <c r="D309" i="21"/>
  <c r="H309" i="21" s="1"/>
  <c r="BF309" i="21"/>
  <c r="AI306" i="21"/>
  <c r="AQ313" i="21"/>
  <c r="AY313" i="21" s="1"/>
  <c r="D316" i="21"/>
  <c r="H316" i="21" s="1"/>
  <c r="AR322" i="21"/>
  <c r="D320" i="21"/>
  <c r="H320" i="21" s="1"/>
  <c r="S324" i="21"/>
  <c r="AO334" i="21"/>
  <c r="AO327" i="21"/>
  <c r="AI327" i="21"/>
  <c r="D327" i="21"/>
  <c r="H327" i="21" s="1"/>
  <c r="S331" i="21"/>
  <c r="BF348" i="21" s="1"/>
  <c r="AI328" i="21"/>
  <c r="AK328" i="21" s="1"/>
  <c r="AM328" i="21" s="1"/>
  <c r="AB334" i="21"/>
  <c r="AO336" i="21"/>
  <c r="AI334" i="21"/>
  <c r="D334" i="21"/>
  <c r="H334" i="21" s="1"/>
  <c r="S338" i="21"/>
  <c r="AB341" i="21"/>
  <c r="AI348" i="21"/>
  <c r="N373" i="21"/>
  <c r="N387" i="21"/>
  <c r="U387" i="21"/>
  <c r="AK386" i="21"/>
  <c r="U394" i="21"/>
  <c r="N414" i="21"/>
  <c r="U407" i="21"/>
  <c r="W407" i="21" s="1"/>
  <c r="N407" i="21"/>
  <c r="P407" i="21" s="1"/>
  <c r="AD407" i="21"/>
  <c r="AF407" i="21" s="1"/>
  <c r="AK415" i="21"/>
  <c r="N422" i="21"/>
  <c r="P422" i="21" s="1"/>
  <c r="N436" i="21"/>
  <c r="AO342" i="21"/>
  <c r="D342" i="21"/>
  <c r="H342" i="21" s="1"/>
  <c r="AI342" i="21"/>
  <c r="AK342" i="21" s="1"/>
  <c r="AM342" i="21" s="1"/>
  <c r="D350" i="21"/>
  <c r="S350" i="21" s="1"/>
  <c r="W209" i="39" s="1"/>
  <c r="S349" i="21"/>
  <c r="W208" i="39" s="1"/>
  <c r="X208" i="39" s="1"/>
  <c r="AB382" i="21"/>
  <c r="AD382" i="21" s="1"/>
  <c r="D388" i="21"/>
  <c r="H388" i="21" s="1"/>
  <c r="AI388" i="21"/>
  <c r="AK388" i="21" s="1"/>
  <c r="D395" i="21"/>
  <c r="H395" i="21" s="1"/>
  <c r="AI392" i="21"/>
  <c r="AK392" i="21" s="1"/>
  <c r="AF400" i="21"/>
  <c r="AI408" i="21"/>
  <c r="AK408" i="21" s="1"/>
  <c r="AB417" i="21"/>
  <c r="AB420" i="21"/>
  <c r="AK420" i="21" s="1"/>
  <c r="D420" i="21"/>
  <c r="H420" i="21" s="1"/>
  <c r="AI421" i="21"/>
  <c r="AK421" i="21" s="1"/>
  <c r="D421" i="21"/>
  <c r="H421" i="21" s="1"/>
  <c r="AB421" i="21"/>
  <c r="AD421" i="21" s="1"/>
  <c r="L429" i="21"/>
  <c r="N429" i="21" s="1"/>
  <c r="AI429" i="21"/>
  <c r="D429" i="21"/>
  <c r="H429" i="21" s="1"/>
  <c r="U429" i="21"/>
  <c r="U437" i="21"/>
  <c r="AI437" i="21"/>
  <c r="N443" i="21"/>
  <c r="AB442" i="21"/>
  <c r="D444" i="21"/>
  <c r="H444" i="21" s="1"/>
  <c r="N441" i="21"/>
  <c r="U444" i="21"/>
  <c r="AD458" i="21"/>
  <c r="AF458" i="21" s="1"/>
  <c r="AK458" i="21"/>
  <c r="AD463" i="21"/>
  <c r="AK463" i="21"/>
  <c r="AK462" i="21"/>
  <c r="AD472" i="21"/>
  <c r="AD479" i="21"/>
  <c r="AK477" i="21"/>
  <c r="AD486" i="21"/>
  <c r="AF491" i="21"/>
  <c r="AD490" i="21"/>
  <c r="AK491" i="21"/>
  <c r="AK498" i="21"/>
  <c r="AM498" i="21" s="1"/>
  <c r="D351" i="21"/>
  <c r="U380" i="21"/>
  <c r="D385" i="21"/>
  <c r="H385" i="21" s="1"/>
  <c r="L386" i="21"/>
  <c r="L393" i="21"/>
  <c r="AI401" i="21"/>
  <c r="D408" i="21"/>
  <c r="H408" i="21" s="1"/>
  <c r="U408" i="21"/>
  <c r="AB409" i="21"/>
  <c r="AD416" i="21" s="1"/>
  <c r="AF416" i="21" s="1"/>
  <c r="AI413" i="21"/>
  <c r="D413" i="21"/>
  <c r="H413" i="21" s="1"/>
  <c r="S417" i="21"/>
  <c r="AI414" i="21"/>
  <c r="AK414" i="21" s="1"/>
  <c r="AM414" i="21" s="1"/>
  <c r="N421" i="21"/>
  <c r="U422" i="21"/>
  <c r="U421" i="21"/>
  <c r="W421" i="21" s="1"/>
  <c r="AB422" i="21"/>
  <c r="AD422" i="21" s="1"/>
  <c r="AF422" i="21" s="1"/>
  <c r="AF423" i="21"/>
  <c r="U430" i="21"/>
  <c r="S438" i="21"/>
  <c r="D438" i="21" s="1"/>
  <c r="S445" i="21"/>
  <c r="U441" i="21"/>
  <c r="AD451" i="21"/>
  <c r="AD450" i="21"/>
  <c r="AB455" i="21"/>
  <c r="AK456" i="21"/>
  <c r="D456" i="21"/>
  <c r="H456" i="21" s="1"/>
  <c r="AY466" i="21"/>
  <c r="AY462" i="21"/>
  <c r="AY465" i="21"/>
  <c r="AF465" i="21"/>
  <c r="AK465" i="21"/>
  <c r="AM465" i="21" s="1"/>
  <c r="AB473" i="21"/>
  <c r="AD469" i="21"/>
  <c r="AF484" i="21"/>
  <c r="AD483" i="21"/>
  <c r="AD505" i="21"/>
  <c r="AF505" i="21" s="1"/>
  <c r="AO348" i="21"/>
  <c r="AB385" i="21"/>
  <c r="AB389" i="21"/>
  <c r="L401" i="21"/>
  <c r="N401" i="21" s="1"/>
  <c r="P401" i="21" s="1"/>
  <c r="AB402" i="21"/>
  <c r="AI409" i="21"/>
  <c r="D409" i="21"/>
  <c r="H409" i="21" s="1"/>
  <c r="L435" i="21"/>
  <c r="N435" i="21" s="1"/>
  <c r="P435" i="21" s="1"/>
  <c r="N442" i="21"/>
  <c r="AI442" i="21"/>
  <c r="AI445" i="21" s="1"/>
  <c r="D442" i="21"/>
  <c r="H442" i="21" s="1"/>
  <c r="U442" i="21"/>
  <c r="AB448" i="21"/>
  <c r="D452" i="21"/>
  <c r="H452" i="21" s="1"/>
  <c r="AK448" i="21"/>
  <c r="AY458" i="21"/>
  <c r="AD456" i="21"/>
  <c r="AF457" i="21"/>
  <c r="AF472" i="21"/>
  <c r="AK470" i="21"/>
  <c r="AM470" i="21" s="1"/>
  <c r="AD477" i="21"/>
  <c r="AY487" i="21"/>
  <c r="AD484" i="21"/>
  <c r="AD498" i="21"/>
  <c r="AF506" i="21"/>
  <c r="AY504" i="21"/>
  <c r="BF341" i="21"/>
  <c r="D341" i="21"/>
  <c r="H341" i="21" s="1"/>
  <c r="AI341" i="21"/>
  <c r="D387" i="21"/>
  <c r="H387" i="21" s="1"/>
  <c r="AI387" i="21"/>
  <c r="AK387" i="21" s="1"/>
  <c r="AB394" i="21"/>
  <c r="AD394" i="21" s="1"/>
  <c r="AB395" i="21"/>
  <c r="AI396" i="21"/>
  <c r="AI402" i="21"/>
  <c r="D402" i="21"/>
  <c r="H402" i="21" s="1"/>
  <c r="L415" i="21"/>
  <c r="AK416" i="21"/>
  <c r="S424" i="21"/>
  <c r="D424" i="21" s="1"/>
  <c r="AI430" i="21"/>
  <c r="D437" i="21"/>
  <c r="H437" i="21" s="1"/>
  <c r="AI436" i="21"/>
  <c r="AI438" i="21" s="1"/>
  <c r="D436" i="21"/>
  <c r="H436" i="21" s="1"/>
  <c r="U436" i="21"/>
  <c r="W436" i="21" s="1"/>
  <c r="P441" i="21"/>
  <c r="U443" i="21"/>
  <c r="AI443" i="21"/>
  <c r="AK443" i="21" s="1"/>
  <c r="D443" i="21"/>
  <c r="H443" i="21" s="1"/>
  <c r="AB449" i="21"/>
  <c r="AF451" i="21"/>
  <c r="AI449" i="21"/>
  <c r="AK449" i="21" s="1"/>
  <c r="D449" i="21"/>
  <c r="H449" i="21" s="1"/>
  <c r="AK451" i="21"/>
  <c r="AM451" i="21" s="1"/>
  <c r="AB466" i="21"/>
  <c r="AD464" i="21"/>
  <c r="AF469" i="21"/>
  <c r="AM472" i="21"/>
  <c r="AM479" i="21"/>
  <c r="AK483" i="21"/>
  <c r="AP514" i="21"/>
  <c r="D450" i="21"/>
  <c r="H450" i="21" s="1"/>
  <c r="AI450" i="21"/>
  <c r="AK450" i="21" s="1"/>
  <c r="AR456" i="21"/>
  <c r="AT457" i="21"/>
  <c r="AR463" i="21"/>
  <c r="AT464" i="21"/>
  <c r="AY464" i="21" s="1"/>
  <c r="D464" i="21"/>
  <c r="H464" i="21" s="1"/>
  <c r="AI464" i="21"/>
  <c r="AK464" i="21" s="1"/>
  <c r="AM464" i="21" s="1"/>
  <c r="AR470" i="21"/>
  <c r="AT471" i="21"/>
  <c r="AY471" i="21" s="1"/>
  <c r="D471" i="21"/>
  <c r="H471" i="21" s="1"/>
  <c r="AI471" i="21"/>
  <c r="AK471" i="21" s="1"/>
  <c r="AM478" i="21" s="1"/>
  <c r="AY472" i="21"/>
  <c r="AQ477" i="21"/>
  <c r="AY477" i="21" s="1"/>
  <c r="D476" i="21"/>
  <c r="H476" i="21" s="1"/>
  <c r="AI476" i="21"/>
  <c r="AQ480" i="21"/>
  <c r="AU480" i="21"/>
  <c r="AQ484" i="21"/>
  <c r="AY484" i="21" s="1"/>
  <c r="AU484" i="21"/>
  <c r="D483" i="21"/>
  <c r="H483" i="21" s="1"/>
  <c r="S487" i="21"/>
  <c r="AI484" i="21"/>
  <c r="AY494" i="21"/>
  <c r="AT491" i="21"/>
  <c r="AY491" i="21" s="1"/>
  <c r="AR492" i="21"/>
  <c r="AB492" i="21"/>
  <c r="AD492" i="21" s="1"/>
  <c r="S494" i="21"/>
  <c r="D494" i="21" s="1"/>
  <c r="H494" i="21" s="1"/>
  <c r="AY501" i="21"/>
  <c r="AR499" i="21"/>
  <c r="AT501" i="21"/>
  <c r="AI500" i="21"/>
  <c r="AI501" i="21" s="1"/>
  <c r="D500" i="21"/>
  <c r="H500" i="21" s="1"/>
  <c r="D507" i="21"/>
  <c r="H507" i="21" s="1"/>
  <c r="AI507" i="21"/>
  <c r="AK507" i="21" s="1"/>
  <c r="D514" i="21"/>
  <c r="H514" i="21" s="1"/>
  <c r="AB508" i="21"/>
  <c r="U543" i="21"/>
  <c r="N557" i="21"/>
  <c r="AF565" i="21"/>
  <c r="N564" i="21"/>
  <c r="AK565" i="21"/>
  <c r="AD572" i="21"/>
  <c r="AF572" i="21" s="1"/>
  <c r="AK572" i="21"/>
  <c r="AD579" i="21"/>
  <c r="AD590" i="21"/>
  <c r="AF590" i="21" s="1"/>
  <c r="AK592" i="21"/>
  <c r="U598" i="21"/>
  <c r="N598" i="21"/>
  <c r="AI459" i="21"/>
  <c r="S459" i="21"/>
  <c r="D459" i="21" s="1"/>
  <c r="H459" i="21" s="1"/>
  <c r="AY469" i="21"/>
  <c r="AY473" i="21"/>
  <c r="AT478" i="21"/>
  <c r="AQ479" i="21"/>
  <c r="D477" i="21"/>
  <c r="H477" i="21" s="1"/>
  <c r="AB476" i="21"/>
  <c r="AT483" i="21"/>
  <c r="AY483" i="21" s="1"/>
  <c r="AT486" i="21"/>
  <c r="AY486" i="21" s="1"/>
  <c r="AB485" i="21"/>
  <c r="AD485" i="21" s="1"/>
  <c r="AR491" i="21"/>
  <c r="AU491" i="21"/>
  <c r="AF490" i="21"/>
  <c r="AI492" i="21"/>
  <c r="AT498" i="21"/>
  <c r="AU499" i="21"/>
  <c r="S501" i="21"/>
  <c r="AB497" i="21"/>
  <c r="AK497" i="21" s="1"/>
  <c r="AF498" i="21"/>
  <c r="AT506" i="21"/>
  <c r="AQ508" i="21"/>
  <c r="AY508" i="21" s="1"/>
  <c r="AI504" i="21"/>
  <c r="D504" i="21"/>
  <c r="H504" i="21" s="1"/>
  <c r="S508" i="21"/>
  <c r="AI505" i="21"/>
  <c r="AK505" i="21" s="1"/>
  <c r="AM505" i="21" s="1"/>
  <c r="AD513" i="21"/>
  <c r="AF513" i="21" s="1"/>
  <c r="AD520" i="21"/>
  <c r="AB552" i="21"/>
  <c r="U549" i="21"/>
  <c r="N585" i="21"/>
  <c r="AF586" i="21"/>
  <c r="U584" i="21"/>
  <c r="U591" i="21"/>
  <c r="AI452" i="21"/>
  <c r="AT456" i="21"/>
  <c r="AY456" i="21" s="1"/>
  <c r="AT463" i="21"/>
  <c r="AI466" i="21"/>
  <c r="AT470" i="21"/>
  <c r="AI473" i="21"/>
  <c r="AQ478" i="21"/>
  <c r="D478" i="21"/>
  <c r="H478" i="21" s="1"/>
  <c r="S480" i="21"/>
  <c r="AQ485" i="21"/>
  <c r="AY485" i="21" s="1"/>
  <c r="D486" i="21"/>
  <c r="H486" i="21" s="1"/>
  <c r="AI485" i="21"/>
  <c r="AK485" i="21" s="1"/>
  <c r="AM485" i="21" s="1"/>
  <c r="D485" i="21"/>
  <c r="H485" i="21" s="1"/>
  <c r="AQ490" i="21"/>
  <c r="AY490" i="21" s="1"/>
  <c r="D492" i="21"/>
  <c r="H492" i="21" s="1"/>
  <c r="AQ498" i="21"/>
  <c r="AT499" i="21"/>
  <c r="AY499" i="21" s="1"/>
  <c r="AK499" i="21"/>
  <c r="AQ505" i="21"/>
  <c r="AY505" i="21" s="1"/>
  <c r="AP506" i="21"/>
  <c r="AQ513" i="21" s="1"/>
  <c r="AY513" i="21" s="1"/>
  <c r="AU506" i="21"/>
  <c r="AK506" i="21"/>
  <c r="AM506" i="21" s="1"/>
  <c r="AD514" i="21"/>
  <c r="AD512" i="21"/>
  <c r="AD518" i="21"/>
  <c r="AK518" i="21"/>
  <c r="AI525" i="21"/>
  <c r="AK550" i="21"/>
  <c r="AF556" i="21"/>
  <c r="U556" i="21"/>
  <c r="N578" i="21"/>
  <c r="AF579" i="21"/>
  <c r="D463" i="21"/>
  <c r="H463" i="21" s="1"/>
  <c r="D470" i="21"/>
  <c r="H470" i="21" s="1"/>
  <c r="D479" i="21"/>
  <c r="H479" i="21" s="1"/>
  <c r="AT480" i="21"/>
  <c r="AR485" i="21"/>
  <c r="AI493" i="21"/>
  <c r="AK493" i="21" s="1"/>
  <c r="AM493" i="21" s="1"/>
  <c r="D493" i="21"/>
  <c r="H493" i="21" s="1"/>
  <c r="AQ497" i="21"/>
  <c r="AY497" i="21" s="1"/>
  <c r="AT500" i="21"/>
  <c r="AB500" i="21"/>
  <c r="AD500" i="21" s="1"/>
  <c r="AY515" i="21"/>
  <c r="AY511" i="21"/>
  <c r="AQ512" i="21"/>
  <c r="AY512" i="21" s="1"/>
  <c r="AR512" i="21"/>
  <c r="AB511" i="21"/>
  <c r="AI511" i="21"/>
  <c r="D511" i="21"/>
  <c r="H511" i="21" s="1"/>
  <c r="D518" i="21"/>
  <c r="H518" i="21" s="1"/>
  <c r="S515" i="21"/>
  <c r="AK514" i="21"/>
  <c r="AM514" i="21" s="1"/>
  <c r="AD519" i="21"/>
  <c r="AK519" i="21"/>
  <c r="P549" i="21"/>
  <c r="AF558" i="21"/>
  <c r="U563" i="21"/>
  <c r="W563" i="21" s="1"/>
  <c r="AM579" i="21"/>
  <c r="AK586" i="21"/>
  <c r="AM586" i="21" s="1"/>
  <c r="D512" i="21"/>
  <c r="H512" i="21" s="1"/>
  <c r="AI512" i="21"/>
  <c r="AK512" i="21" s="1"/>
  <c r="AM512" i="21" s="1"/>
  <c r="D520" i="21"/>
  <c r="H520" i="21" s="1"/>
  <c r="AI520" i="21"/>
  <c r="AK520" i="21" s="1"/>
  <c r="AM520" i="21" s="1"/>
  <c r="AY521" i="21"/>
  <c r="D526" i="21"/>
  <c r="AY527" i="21"/>
  <c r="D550" i="21"/>
  <c r="H550" i="21" s="1"/>
  <c r="U550" i="21"/>
  <c r="W550" i="21" s="1"/>
  <c r="D555" i="21"/>
  <c r="H555" i="21" s="1"/>
  <c r="AB591" i="21"/>
  <c r="AD591" i="21" s="1"/>
  <c r="D591" i="21"/>
  <c r="H591" i="21" s="1"/>
  <c r="AK591" i="21"/>
  <c r="AK597" i="21"/>
  <c r="U605" i="21"/>
  <c r="N605" i="21"/>
  <c r="AD625" i="21"/>
  <c r="AF625" i="21" s="1"/>
  <c r="AY518" i="21"/>
  <c r="AY522" i="21"/>
  <c r="AI548" i="21"/>
  <c r="AK548" i="21" s="1"/>
  <c r="AB555" i="21"/>
  <c r="AI556" i="21"/>
  <c r="D563" i="21"/>
  <c r="H563" i="21" s="1"/>
  <c r="L563" i="21"/>
  <c r="N563" i="21" s="1"/>
  <c r="AB562" i="21"/>
  <c r="AK562" i="21" s="1"/>
  <c r="AI563" i="21"/>
  <c r="D570" i="21"/>
  <c r="H570" i="21" s="1"/>
  <c r="L570" i="21"/>
  <c r="N570" i="21" s="1"/>
  <c r="AD569" i="21"/>
  <c r="AF569" i="21" s="1"/>
  <c r="AI570" i="21"/>
  <c r="D577" i="21"/>
  <c r="H577" i="21" s="1"/>
  <c r="L577" i="21"/>
  <c r="N577" i="21" s="1"/>
  <c r="AB576" i="21"/>
  <c r="AK576" i="21" s="1"/>
  <c r="AM583" i="21" s="1"/>
  <c r="AI577" i="21"/>
  <c r="D584" i="21"/>
  <c r="H584" i="21" s="1"/>
  <c r="L584" i="21"/>
  <c r="N584" i="21" s="1"/>
  <c r="AD583" i="21"/>
  <c r="AF583" i="21" s="1"/>
  <c r="AI584" i="21"/>
  <c r="L592" i="21"/>
  <c r="N592" i="21" s="1"/>
  <c r="P592" i="21" s="1"/>
  <c r="AD597" i="21"/>
  <c r="AF598" i="21"/>
  <c r="AK598" i="21"/>
  <c r="AD632" i="21"/>
  <c r="AF647" i="21"/>
  <c r="AY519" i="21"/>
  <c r="S526" i="21"/>
  <c r="AC208" i="39" s="1"/>
  <c r="AD208" i="39" s="1"/>
  <c r="AY525" i="21"/>
  <c r="AY529" i="21"/>
  <c r="U542" i="21"/>
  <c r="D548" i="21"/>
  <c r="H548" i="21" s="1"/>
  <c r="L549" i="21"/>
  <c r="N549" i="21" s="1"/>
  <c r="AI549" i="21"/>
  <c r="AK549" i="21" s="1"/>
  <c r="AI557" i="21"/>
  <c r="D557" i="21"/>
  <c r="H557" i="21" s="1"/>
  <c r="AB557" i="21"/>
  <c r="AD557" i="21" s="1"/>
  <c r="AI558" i="21"/>
  <c r="AK558" i="21" s="1"/>
  <c r="AM558" i="21" s="1"/>
  <c r="AI564" i="21"/>
  <c r="D564" i="21"/>
  <c r="H564" i="21" s="1"/>
  <c r="AB564" i="21"/>
  <c r="AD564" i="21" s="1"/>
  <c r="AI571" i="21"/>
  <c r="AK571" i="21" s="1"/>
  <c r="D571" i="21"/>
  <c r="H571" i="21" s="1"/>
  <c r="AB571" i="21"/>
  <c r="AI578" i="21"/>
  <c r="AK578" i="21" s="1"/>
  <c r="D578" i="21"/>
  <c r="H578" i="21" s="1"/>
  <c r="AB578" i="21"/>
  <c r="AD578" i="21" s="1"/>
  <c r="AI585" i="21"/>
  <c r="D585" i="21"/>
  <c r="H585" i="21" s="1"/>
  <c r="AB585" i="21"/>
  <c r="AD585" i="21" s="1"/>
  <c r="AB593" i="21"/>
  <c r="AD593" i="21" s="1"/>
  <c r="AI593" i="21"/>
  <c r="D593" i="21"/>
  <c r="H593" i="21" s="1"/>
  <c r="AD598" i="21"/>
  <c r="D599" i="21"/>
  <c r="H599" i="21" s="1"/>
  <c r="D519" i="21"/>
  <c r="H519" i="21" s="1"/>
  <c r="U557" i="21"/>
  <c r="U564" i="21"/>
  <c r="U571" i="21"/>
  <c r="U578" i="21"/>
  <c r="W578" i="21" s="1"/>
  <c r="U585" i="21"/>
  <c r="D597" i="21"/>
  <c r="H597" i="21" s="1"/>
  <c r="S594" i="21"/>
  <c r="AI590" i="21"/>
  <c r="L599" i="21"/>
  <c r="AB599" i="21"/>
  <c r="AD599" i="21" s="1"/>
  <c r="AB600" i="21"/>
  <c r="P598" i="21"/>
  <c r="P605" i="21"/>
  <c r="U612" i="21"/>
  <c r="W612" i="21" s="1"/>
  <c r="N612" i="21"/>
  <c r="P612" i="21"/>
  <c r="U619" i="21"/>
  <c r="W619" i="21" s="1"/>
  <c r="N619" i="21"/>
  <c r="P619" i="21" s="1"/>
  <c r="AF632" i="21"/>
  <c r="AK626" i="21"/>
  <c r="AM626" i="21" s="1"/>
  <c r="AK632" i="21"/>
  <c r="S601" i="21"/>
  <c r="D604" i="21"/>
  <c r="H604" i="21" s="1"/>
  <c r="S608" i="21"/>
  <c r="AI613" i="21"/>
  <c r="AB620" i="21"/>
  <c r="D620" i="21"/>
  <c r="H620" i="21" s="1"/>
  <c r="AB621" i="21"/>
  <c r="AI628" i="21"/>
  <c r="D628" i="21"/>
  <c r="H628" i="21" s="1"/>
  <c r="AI625" i="21"/>
  <c r="S636" i="21"/>
  <c r="AK633" i="21"/>
  <c r="AB640" i="21"/>
  <c r="AD640" i="21" s="1"/>
  <c r="AI642" i="21"/>
  <c r="AK642" i="21" s="1"/>
  <c r="D642" i="21"/>
  <c r="H642" i="21" s="1"/>
  <c r="AF640" i="21"/>
  <c r="AD655" i="21"/>
  <c r="AD662" i="21"/>
  <c r="AK668" i="21"/>
  <c r="AM675" i="21" s="1"/>
  <c r="AB671" i="21"/>
  <c r="AB678" i="21"/>
  <c r="AD678" i="21" s="1"/>
  <c r="AI599" i="21"/>
  <c r="AI606" i="21"/>
  <c r="D613" i="21"/>
  <c r="H613" i="21" s="1"/>
  <c r="L613" i="21"/>
  <c r="N613" i="21" s="1"/>
  <c r="AI621" i="21"/>
  <c r="AK621" i="21" s="1"/>
  <c r="D621" i="21"/>
  <c r="H621" i="21" s="1"/>
  <c r="U621" i="21"/>
  <c r="S629" i="21"/>
  <c r="AF626" i="21"/>
  <c r="AD633" i="21"/>
  <c r="AF633" i="21" s="1"/>
  <c r="AK639" i="21"/>
  <c r="AI648" i="21"/>
  <c r="AK648" i="21" s="1"/>
  <c r="D648" i="21"/>
  <c r="H648" i="21" s="1"/>
  <c r="AK646" i="21"/>
  <c r="AD656" i="21"/>
  <c r="AD682" i="21"/>
  <c r="AK682" i="21"/>
  <c r="AM682" i="21" s="1"/>
  <c r="U599" i="21"/>
  <c r="L606" i="21"/>
  <c r="N606" i="21" s="1"/>
  <c r="P606" i="21" s="1"/>
  <c r="AI614" i="21"/>
  <c r="D614" i="21"/>
  <c r="H614" i="21" s="1"/>
  <c r="S622" i="21"/>
  <c r="AB634" i="21"/>
  <c r="D634" i="21"/>
  <c r="H634" i="21" s="1"/>
  <c r="AK634" i="21"/>
  <c r="AD642" i="21"/>
  <c r="AK640" i="21"/>
  <c r="AD646" i="21"/>
  <c r="AF646" i="21" s="1"/>
  <c r="AB650" i="21"/>
  <c r="AD650" i="21" s="1"/>
  <c r="AD649" i="21"/>
  <c r="AD653" i="21"/>
  <c r="AB657" i="21"/>
  <c r="AF653" i="21"/>
  <c r="AF669" i="21"/>
  <c r="AI600" i="21"/>
  <c r="AK600" i="21" s="1"/>
  <c r="D600" i="21"/>
  <c r="H600" i="21" s="1"/>
  <c r="AI607" i="21"/>
  <c r="D607" i="21"/>
  <c r="H607" i="21" s="1"/>
  <c r="U607" i="21"/>
  <c r="U611" i="21"/>
  <c r="S615" i="21"/>
  <c r="AB627" i="21"/>
  <c r="AK627" i="21" s="1"/>
  <c r="AB628" i="21"/>
  <c r="AD628" i="21" s="1"/>
  <c r="AI635" i="21"/>
  <c r="AK635" i="21" s="1"/>
  <c r="D635" i="21"/>
  <c r="H635" i="21" s="1"/>
  <c r="AD639" i="21"/>
  <c r="AB643" i="21"/>
  <c r="H639" i="21"/>
  <c r="AI641" i="21"/>
  <c r="AK641" i="21" s="1"/>
  <c r="D641" i="21"/>
  <c r="H641" i="21" s="1"/>
  <c r="AD641" i="21"/>
  <c r="AI643" i="21"/>
  <c r="AB647" i="21"/>
  <c r="AD647" i="21" s="1"/>
  <c r="S650" i="21"/>
  <c r="AD654" i="21"/>
  <c r="AF654" i="21" s="1"/>
  <c r="D655" i="21"/>
  <c r="H655" i="21" s="1"/>
  <c r="D649" i="21"/>
  <c r="H649" i="21" s="1"/>
  <c r="AI649" i="21"/>
  <c r="AK649" i="21" s="1"/>
  <c r="AM649" i="21" s="1"/>
  <c r="D656" i="21"/>
  <c r="H656" i="21" s="1"/>
  <c r="AI654" i="21"/>
  <c r="AK654" i="21" s="1"/>
  <c r="AB661" i="21"/>
  <c r="AD661" i="21" s="1"/>
  <c r="AF661" i="21" s="1"/>
  <c r="AI663" i="21"/>
  <c r="D663" i="21"/>
  <c r="H663" i="21" s="1"/>
  <c r="AK660" i="21"/>
  <c r="AK669" i="21"/>
  <c r="AI674" i="21"/>
  <c r="D674" i="21"/>
  <c r="H674" i="21" s="1"/>
  <c r="S678" i="21"/>
  <c r="AD674" i="21"/>
  <c r="AB684" i="21"/>
  <c r="AD684" i="21" s="1"/>
  <c r="AK683" i="21"/>
  <c r="AF690" i="21"/>
  <c r="AD733" i="21"/>
  <c r="AF733" i="21" s="1"/>
  <c r="AK733" i="21"/>
  <c r="AD740" i="21"/>
  <c r="AF740" i="21" s="1"/>
  <c r="AI655" i="21"/>
  <c r="AK655" i="21" s="1"/>
  <c r="AM655" i="21" s="1"/>
  <c r="AK656" i="21"/>
  <c r="AD669" i="21"/>
  <c r="AD676" i="21"/>
  <c r="AF676" i="21" s="1"/>
  <c r="AF682" i="21"/>
  <c r="AI684" i="21"/>
  <c r="D684" i="21"/>
  <c r="H684" i="21" s="1"/>
  <c r="AD690" i="21"/>
  <c r="AK690" i="21"/>
  <c r="AM690" i="21" s="1"/>
  <c r="AD695" i="21"/>
  <c r="AI702" i="21"/>
  <c r="AK734" i="21"/>
  <c r="AM754" i="21"/>
  <c r="AD660" i="21"/>
  <c r="AF660" i="21" s="1"/>
  <c r="AB670" i="21"/>
  <c r="AI667" i="21"/>
  <c r="D667" i="21"/>
  <c r="H667" i="21" s="1"/>
  <c r="AD667" i="21"/>
  <c r="AB677" i="21"/>
  <c r="AD677" i="21" s="1"/>
  <c r="AD675" i="21"/>
  <c r="AK676" i="21"/>
  <c r="AM676" i="21" s="1"/>
  <c r="AI681" i="21"/>
  <c r="D681" i="21"/>
  <c r="H681" i="21" s="1"/>
  <c r="S685" i="21"/>
  <c r="AD681" i="21"/>
  <c r="AB691" i="21"/>
  <c r="AB692" i="21"/>
  <c r="AI704" i="21"/>
  <c r="N742" i="21"/>
  <c r="P742" i="21" s="1"/>
  <c r="AD742" i="21"/>
  <c r="AF742" i="21" s="1"/>
  <c r="S657" i="21"/>
  <c r="AI162" i="39" s="1"/>
  <c r="AI653" i="21"/>
  <c r="AI662" i="21"/>
  <c r="AK662" i="21" s="1"/>
  <c r="AM662" i="21" s="1"/>
  <c r="D662" i="21"/>
  <c r="H662" i="21" s="1"/>
  <c r="AB663" i="21"/>
  <c r="AD663" i="21" s="1"/>
  <c r="H668" i="21"/>
  <c r="H675" i="21"/>
  <c r="AI677" i="21"/>
  <c r="AK677" i="21" s="1"/>
  <c r="AB683" i="21"/>
  <c r="AD683" i="21" s="1"/>
  <c r="AF683" i="21" s="1"/>
  <c r="H689" i="21"/>
  <c r="AI688" i="21"/>
  <c r="D688" i="21"/>
  <c r="H688" i="21" s="1"/>
  <c r="S692" i="21"/>
  <c r="D692" i="21" s="1"/>
  <c r="H692" i="21" s="1"/>
  <c r="AD689" i="21"/>
  <c r="AD696" i="21"/>
  <c r="AK689" i="21"/>
  <c r="AM689" i="21" s="1"/>
  <c r="AD697" i="21"/>
  <c r="AF697" i="21" s="1"/>
  <c r="AK697" i="21"/>
  <c r="AK755" i="21"/>
  <c r="D696" i="21"/>
  <c r="H696" i="21" s="1"/>
  <c r="AI696" i="21"/>
  <c r="AK696" i="21" s="1"/>
  <c r="D703" i="21"/>
  <c r="S703" i="21" s="1"/>
  <c r="AI208" i="39" s="1"/>
  <c r="AJ208" i="39" s="1"/>
  <c r="L735" i="21"/>
  <c r="AB735" i="21"/>
  <c r="AD735" i="21" s="1"/>
  <c r="AF735" i="21" s="1"/>
  <c r="AK735" i="21"/>
  <c r="AM735" i="21" s="1"/>
  <c r="AK740" i="21"/>
  <c r="AB750" i="21"/>
  <c r="AK749" i="21"/>
  <c r="AK756" i="21"/>
  <c r="L764" i="21"/>
  <c r="AI765" i="21"/>
  <c r="AB779" i="21"/>
  <c r="AD789" i="21"/>
  <c r="AF789" i="21" s="1"/>
  <c r="AB793" i="21"/>
  <c r="AD793" i="21" s="1"/>
  <c r="AF793" i="21" s="1"/>
  <c r="AM790" i="21"/>
  <c r="S699" i="21"/>
  <c r="L728" i="21"/>
  <c r="N728" i="21" s="1"/>
  <c r="N741" i="21"/>
  <c r="P741" i="21" s="1"/>
  <c r="AD741" i="21"/>
  <c r="AF741" i="21" s="1"/>
  <c r="AK742" i="21"/>
  <c r="AM742" i="21" s="1"/>
  <c r="AK741" i="21"/>
  <c r="AM741" i="21" s="1"/>
  <c r="AD748" i="21"/>
  <c r="AF748" i="21" s="1"/>
  <c r="AB751" i="21"/>
  <c r="AD754" i="21"/>
  <c r="AF754" i="21" s="1"/>
  <c r="N770" i="21"/>
  <c r="P770" i="21" s="1"/>
  <c r="N769" i="21"/>
  <c r="P769" i="21" s="1"/>
  <c r="AK727" i="21"/>
  <c r="AI737" i="21"/>
  <c r="AB743" i="21"/>
  <c r="AB744" i="21" s="1"/>
  <c r="N748" i="21"/>
  <c r="P748" i="21" s="1"/>
  <c r="AI751" i="21"/>
  <c r="N756" i="21"/>
  <c r="P756" i="21" s="1"/>
  <c r="AD756" i="21"/>
  <c r="AF756" i="21" s="1"/>
  <c r="N755" i="21"/>
  <c r="P755" i="21" s="1"/>
  <c r="N777" i="21"/>
  <c r="P777" i="21" s="1"/>
  <c r="AD782" i="21"/>
  <c r="AF782" i="21" s="1"/>
  <c r="AB786" i="21"/>
  <c r="AK797" i="21"/>
  <c r="AM797" i="21" s="1"/>
  <c r="AD797" i="21"/>
  <c r="AF797" i="21" s="1"/>
  <c r="D691" i="21"/>
  <c r="H691" i="21" s="1"/>
  <c r="D695" i="21"/>
  <c r="H695" i="21" s="1"/>
  <c r="AI695" i="21"/>
  <c r="AB729" i="21"/>
  <c r="AK729" i="21" s="1"/>
  <c r="AM736" i="21" s="1"/>
  <c r="AD747" i="21"/>
  <c r="AF747" i="21" s="1"/>
  <c r="AK748" i="21"/>
  <c r="AM748" i="21" s="1"/>
  <c r="AB757" i="21"/>
  <c r="L763" i="21"/>
  <c r="N763" i="21" s="1"/>
  <c r="P763" i="21" s="1"/>
  <c r="AK785" i="21"/>
  <c r="AM785" i="21" s="1"/>
  <c r="AD792" i="21"/>
  <c r="AF792" i="21" s="1"/>
  <c r="AK775" i="21"/>
  <c r="AK782" i="21"/>
  <c r="AD804" i="21"/>
  <c r="AF804" i="21" s="1"/>
  <c r="AK804" i="21"/>
  <c r="AM804" i="21" s="1"/>
  <c r="AB837" i="21"/>
  <c r="L837" i="21"/>
  <c r="N840" i="21"/>
  <c r="L844" i="21"/>
  <c r="AK840" i="21"/>
  <c r="N847" i="21"/>
  <c r="AB858" i="21"/>
  <c r="AD861" i="21"/>
  <c r="AF861" i="21" s="1"/>
  <c r="AB865" i="21"/>
  <c r="AD868" i="21"/>
  <c r="AF868" i="21" s="1"/>
  <c r="AK868" i="21"/>
  <c r="AK776" i="21"/>
  <c r="AK783" i="21"/>
  <c r="AM783" i="21" s="1"/>
  <c r="AK798" i="21"/>
  <c r="AM798" i="21" s="1"/>
  <c r="AK805" i="21"/>
  <c r="N855" i="21"/>
  <c r="P855" i="21" s="1"/>
  <c r="AK869" i="21"/>
  <c r="AM869" i="21" s="1"/>
  <c r="N776" i="21"/>
  <c r="P776" i="21" s="1"/>
  <c r="AK777" i="21"/>
  <c r="AK784" i="21"/>
  <c r="AM784" i="21" s="1"/>
  <c r="AK789" i="21"/>
  <c r="AI793" i="21"/>
  <c r="AD799" i="21"/>
  <c r="AF799" i="21" s="1"/>
  <c r="AK799" i="21"/>
  <c r="AM799" i="21" s="1"/>
  <c r="AD805" i="21"/>
  <c r="AF805" i="21" s="1"/>
  <c r="N849" i="21"/>
  <c r="N856" i="21"/>
  <c r="P856" i="21" s="1"/>
  <c r="AK856" i="21"/>
  <c r="AD863" i="21"/>
  <c r="AF863" i="21" s="1"/>
  <c r="AK863" i="21"/>
  <c r="AM863" i="21" s="1"/>
  <c r="AB796" i="21"/>
  <c r="AI800" i="21"/>
  <c r="AD806" i="21"/>
  <c r="AF806" i="21" s="1"/>
  <c r="AD810" i="21"/>
  <c r="AF810" i="21" s="1"/>
  <c r="N843" i="21"/>
  <c r="AK857" i="21"/>
  <c r="AD864" i="21"/>
  <c r="AF864" i="21" s="1"/>
  <c r="AK864" i="21"/>
  <c r="AK796" i="21"/>
  <c r="AB803" i="21"/>
  <c r="AK810" i="21"/>
  <c r="AK854" i="21"/>
  <c r="AK861" i="21"/>
  <c r="AI844" i="21"/>
  <c r="AK855" i="21"/>
  <c r="AK862" i="21"/>
  <c r="AI872" i="21"/>
  <c r="H28" i="19"/>
  <c r="D34" i="19"/>
  <c r="H34" i="19" s="1"/>
  <c r="D44" i="19"/>
  <c r="H44" i="19" s="1"/>
  <c r="D51" i="19"/>
  <c r="H51" i="19" s="1"/>
  <c r="AK77" i="19"/>
  <c r="AI22" i="19"/>
  <c r="AI14" i="19"/>
  <c r="S23" i="19"/>
  <c r="D23" i="19" s="1"/>
  <c r="H23" i="19" s="1"/>
  <c r="AI29" i="19"/>
  <c r="AQ100" i="19"/>
  <c r="AW101" i="19" s="1"/>
  <c r="AP96" i="19"/>
  <c r="D22" i="19"/>
  <c r="H22" i="19" s="1"/>
  <c r="AI20" i="19"/>
  <c r="AI23" i="19"/>
  <c r="D29" i="19"/>
  <c r="H29" i="19" s="1"/>
  <c r="S30" i="19"/>
  <c r="D30" i="19" s="1"/>
  <c r="H30" i="19" s="1"/>
  <c r="S16" i="19"/>
  <c r="AI12" i="19"/>
  <c r="D26" i="19"/>
  <c r="H26" i="19" s="1"/>
  <c r="AI26" i="19"/>
  <c r="D36" i="19"/>
  <c r="H36" i="19" s="1"/>
  <c r="D43" i="19"/>
  <c r="H43" i="19" s="1"/>
  <c r="D49" i="19"/>
  <c r="H49" i="19" s="1"/>
  <c r="AI54" i="19"/>
  <c r="D61" i="19"/>
  <c r="H61" i="19" s="1"/>
  <c r="S65" i="19"/>
  <c r="D68" i="19"/>
  <c r="H68" i="19" s="1"/>
  <c r="S72" i="19"/>
  <c r="AI69" i="19"/>
  <c r="S79" i="19"/>
  <c r="D79" i="19" s="1"/>
  <c r="H79" i="19" s="1"/>
  <c r="AI82" i="19"/>
  <c r="D82" i="19"/>
  <c r="H82" i="19" s="1"/>
  <c r="S86" i="19"/>
  <c r="D86" i="19" s="1"/>
  <c r="H86" i="19" s="1"/>
  <c r="D99" i="19"/>
  <c r="H99" i="19" s="1"/>
  <c r="AI92" i="19"/>
  <c r="D92" i="19"/>
  <c r="H92" i="19" s="1"/>
  <c r="AU100" i="19"/>
  <c r="D100" i="19"/>
  <c r="H100" i="19" s="1"/>
  <c r="AI37" i="19"/>
  <c r="AI44" i="19"/>
  <c r="AI50" i="19"/>
  <c r="S58" i="19"/>
  <c r="D58" i="19" s="1"/>
  <c r="H58" i="19" s="1"/>
  <c r="AI71" i="19"/>
  <c r="AI76" i="19"/>
  <c r="AI79" i="19" s="1"/>
  <c r="D76" i="19"/>
  <c r="H76" i="19" s="1"/>
  <c r="D83" i="19"/>
  <c r="H83" i="19" s="1"/>
  <c r="D96" i="19"/>
  <c r="H96" i="19" s="1"/>
  <c r="S93" i="19"/>
  <c r="AR100" i="19"/>
  <c r="AR101" i="19" s="1"/>
  <c r="AV100" i="19"/>
  <c r="AT100" i="19"/>
  <c r="D47" i="19"/>
  <c r="H47" i="19" s="1"/>
  <c r="D64" i="19"/>
  <c r="H64" i="19" s="1"/>
  <c r="D63" i="19"/>
  <c r="H63" i="19" s="1"/>
  <c r="AI65" i="19"/>
  <c r="D71" i="19"/>
  <c r="H71" i="19" s="1"/>
  <c r="AI70" i="19"/>
  <c r="D70" i="19"/>
  <c r="H70" i="19" s="1"/>
  <c r="D84" i="19"/>
  <c r="H84" i="19" s="1"/>
  <c r="AI85" i="19"/>
  <c r="D90" i="19"/>
  <c r="H90" i="19" s="1"/>
  <c r="AI91" i="19"/>
  <c r="AS100" i="19"/>
  <c r="D35" i="19"/>
  <c r="H35" i="19" s="1"/>
  <c r="D42" i="19"/>
  <c r="H42" i="19" s="1"/>
  <c r="D98" i="19"/>
  <c r="H98" i="19" s="1"/>
  <c r="AI98" i="19"/>
  <c r="AQ103" i="19"/>
  <c r="D103" i="19"/>
  <c r="H103" i="19" s="1"/>
  <c r="AP110" i="19"/>
  <c r="AP113" i="19"/>
  <c r="D111" i="19"/>
  <c r="H111" i="19" s="1"/>
  <c r="AI111" i="19"/>
  <c r="AQ119" i="19"/>
  <c r="AP119" i="19" s="1"/>
  <c r="AI99" i="19"/>
  <c r="D104" i="19"/>
  <c r="H104" i="19" s="1"/>
  <c r="S107" i="19"/>
  <c r="AI103" i="19"/>
  <c r="AI113" i="19"/>
  <c r="D127" i="19"/>
  <c r="H127" i="19" s="1"/>
  <c r="AI120" i="19"/>
  <c r="D120" i="19"/>
  <c r="H120" i="19" s="1"/>
  <c r="AS107" i="19"/>
  <c r="AR114" i="19"/>
  <c r="AV114" i="19"/>
  <c r="AR121" i="19"/>
  <c r="AI117" i="19"/>
  <c r="S121" i="19"/>
  <c r="AI105" i="19"/>
  <c r="D110" i="19"/>
  <c r="H110" i="19" s="1"/>
  <c r="S114" i="19"/>
  <c r="AI110" i="19"/>
  <c r="AQ120" i="19"/>
  <c r="AP120" i="19" s="1"/>
  <c r="AR128" i="19"/>
  <c r="AQ124" i="19"/>
  <c r="AP139" i="19"/>
  <c r="AK140" i="19"/>
  <c r="D124" i="19"/>
  <c r="H124" i="19" s="1"/>
  <c r="AI124" i="19"/>
  <c r="AQ131" i="19"/>
  <c r="AQ135" i="19" s="1"/>
  <c r="AB134" i="19"/>
  <c r="AI135" i="19"/>
  <c r="S135" i="19"/>
  <c r="AB141" i="19"/>
  <c r="AP138" i="19"/>
  <c r="AT149" i="19"/>
  <c r="AQ146" i="19"/>
  <c r="AP146" i="19" s="1"/>
  <c r="AR149" i="19"/>
  <c r="AD146" i="19"/>
  <c r="AF153" i="19"/>
  <c r="AK153" i="19"/>
  <c r="AM153" i="19" s="1"/>
  <c r="AD160" i="19"/>
  <c r="BF167" i="19"/>
  <c r="AD169" i="19"/>
  <c r="AF169" i="19" s="1"/>
  <c r="D125" i="19"/>
  <c r="H125" i="19" s="1"/>
  <c r="H133" i="19"/>
  <c r="S142" i="19"/>
  <c r="AI138" i="19"/>
  <c r="AM146" i="19"/>
  <c r="AD154" i="19"/>
  <c r="AK154" i="19"/>
  <c r="AD161" i="19"/>
  <c r="D163" i="19"/>
  <c r="H163" i="19" s="1"/>
  <c r="AK159" i="19"/>
  <c r="BF175" i="19"/>
  <c r="AP175" i="19"/>
  <c r="S128" i="19"/>
  <c r="AI139" i="19"/>
  <c r="AK139" i="19" s="1"/>
  <c r="D139" i="19"/>
  <c r="H139" i="19" s="1"/>
  <c r="AD147" i="19"/>
  <c r="D146" i="19"/>
  <c r="H146" i="19" s="1"/>
  <c r="AK147" i="19"/>
  <c r="AB163" i="19"/>
  <c r="AK162" i="19"/>
  <c r="AF167" i="19"/>
  <c r="AM169" i="19"/>
  <c r="AB142" i="19"/>
  <c r="AS142" i="19"/>
  <c r="AW142" i="19"/>
  <c r="D141" i="19"/>
  <c r="H141" i="19" s="1"/>
  <c r="AP140" i="19"/>
  <c r="AB148" i="19"/>
  <c r="AD148" i="19" s="1"/>
  <c r="D156" i="19"/>
  <c r="H156" i="19" s="1"/>
  <c r="BF159" i="19"/>
  <c r="BF161" i="19"/>
  <c r="AD168" i="19"/>
  <c r="AK168" i="19"/>
  <c r="AM168" i="19" s="1"/>
  <c r="AP145" i="19"/>
  <c r="D148" i="19"/>
  <c r="H148" i="19" s="1"/>
  <c r="AI148" i="19"/>
  <c r="AK148" i="19" s="1"/>
  <c r="AP152" i="19"/>
  <c r="D155" i="19"/>
  <c r="H155" i="19" s="1"/>
  <c r="AI155" i="19"/>
  <c r="AI156" i="19" s="1"/>
  <c r="AP159" i="19"/>
  <c r="AP161" i="19"/>
  <c r="BF160" i="19"/>
  <c r="BF162" i="19"/>
  <c r="D161" i="19"/>
  <c r="H161" i="19" s="1"/>
  <c r="AI161" i="19"/>
  <c r="AK161" i="19" s="1"/>
  <c r="AP166" i="19"/>
  <c r="BF166" i="19"/>
  <c r="D166" i="19"/>
  <c r="H166" i="19" s="1"/>
  <c r="BF168" i="19"/>
  <c r="AQ173" i="19"/>
  <c r="BF173" i="19" s="1"/>
  <c r="AD176" i="19"/>
  <c r="AF176" i="19" s="1"/>
  <c r="AD174" i="19"/>
  <c r="AD183" i="19"/>
  <c r="AK183" i="19"/>
  <c r="AM183" i="19" s="1"/>
  <c r="AF183" i="19"/>
  <c r="AI149" i="19"/>
  <c r="D152" i="19"/>
  <c r="H152" i="19" s="1"/>
  <c r="AB155" i="19"/>
  <c r="AD155" i="19" s="1"/>
  <c r="D162" i="19"/>
  <c r="H162" i="19" s="1"/>
  <c r="S170" i="19"/>
  <c r="AI166" i="19"/>
  <c r="AK181" i="19"/>
  <c r="AM181" i="19" s="1"/>
  <c r="AD181" i="19"/>
  <c r="AB145" i="19"/>
  <c r="AB152" i="19"/>
  <c r="AD159" i="19" s="1"/>
  <c r="AR163" i="19"/>
  <c r="D159" i="19"/>
  <c r="H159" i="19" s="1"/>
  <c r="AI163" i="19"/>
  <c r="BF169" i="19"/>
  <c r="D174" i="19"/>
  <c r="H174" i="19" s="1"/>
  <c r="AI167" i="19"/>
  <c r="AK167" i="19" s="1"/>
  <c r="AM167" i="19" s="1"/>
  <c r="AP167" i="19"/>
  <c r="AB173" i="19"/>
  <c r="AM176" i="19"/>
  <c r="BF181" i="19"/>
  <c r="D147" i="19"/>
  <c r="H147" i="19" s="1"/>
  <c r="D154" i="19"/>
  <c r="H154" i="19" s="1"/>
  <c r="D160" i="19"/>
  <c r="H160" i="19" s="1"/>
  <c r="AB166" i="19"/>
  <c r="D175" i="19"/>
  <c r="H175" i="19" s="1"/>
  <c r="D168" i="19"/>
  <c r="H168" i="19" s="1"/>
  <c r="AQ174" i="19"/>
  <c r="AP174" i="19" s="1"/>
  <c r="AR177" i="19"/>
  <c r="AB175" i="19"/>
  <c r="AI177" i="19"/>
  <c r="BF183" i="19"/>
  <c r="AD182" i="19"/>
  <c r="AF182" i="19" s="1"/>
  <c r="AF181" i="19"/>
  <c r="AR170" i="19"/>
  <c r="AK173" i="19"/>
  <c r="AQ180" i="19"/>
  <c r="AQ182" i="19"/>
  <c r="AP182" i="19" s="1"/>
  <c r="AP194" i="19"/>
  <c r="AQ198" i="19"/>
  <c r="AP198" i="19" s="1"/>
  <c r="AK196" i="19"/>
  <c r="AD203" i="19"/>
  <c r="AK203" i="19"/>
  <c r="AP181" i="19"/>
  <c r="AP183" i="19"/>
  <c r="AR184" i="19"/>
  <c r="BF194" i="19"/>
  <c r="BF195" i="19"/>
  <c r="BF196" i="19"/>
  <c r="BF197" i="19"/>
  <c r="AK197" i="19"/>
  <c r="AF203" i="19"/>
  <c r="AB180" i="19"/>
  <c r="AQ187" i="19"/>
  <c r="AK201" i="19"/>
  <c r="AB187" i="19"/>
  <c r="D198" i="19"/>
  <c r="D191" i="19"/>
  <c r="AR199" i="19"/>
  <c r="BF202" i="19"/>
  <c r="AD202" i="19"/>
  <c r="AF202" i="19" s="1"/>
  <c r="AK202" i="19"/>
  <c r="AM202" i="19" s="1"/>
  <c r="AI191" i="19"/>
  <c r="AP201" i="19"/>
  <c r="BF198" i="19"/>
  <c r="AI198" i="19"/>
  <c r="F35" i="30"/>
  <c r="F17" i="30"/>
  <c r="K35" i="30"/>
  <c r="K17" i="30"/>
  <c r="U35" i="30"/>
  <c r="U17" i="30"/>
  <c r="Z35" i="30"/>
  <c r="Z17" i="30"/>
  <c r="AE35" i="30"/>
  <c r="AE17" i="30"/>
  <c r="AJ35" i="30"/>
  <c r="AJ17" i="30"/>
  <c r="AT35" i="30"/>
  <c r="AT17" i="30"/>
  <c r="BD35" i="30"/>
  <c r="BD17" i="30"/>
  <c r="BN35" i="30"/>
  <c r="BN17" i="30"/>
  <c r="C35" i="30"/>
  <c r="C17" i="30"/>
  <c r="H35" i="30"/>
  <c r="H17" i="30"/>
  <c r="M35" i="30"/>
  <c r="M17" i="30"/>
  <c r="R35" i="30"/>
  <c r="R17" i="30"/>
  <c r="D35" i="30"/>
  <c r="D17" i="30"/>
  <c r="E17" i="30"/>
  <c r="E35" i="30"/>
  <c r="AI44" i="30"/>
  <c r="BM44" i="30"/>
  <c r="BR44" i="30"/>
  <c r="E36" i="30"/>
  <c r="T46" i="30"/>
  <c r="T36" i="30"/>
  <c r="AD46" i="30"/>
  <c r="AI13" i="30"/>
  <c r="AN13" i="30"/>
  <c r="AS46" i="30"/>
  <c r="AS36" i="30"/>
  <c r="AX46" i="30"/>
  <c r="AX36" i="30"/>
  <c r="BC13" i="30"/>
  <c r="BH13" i="30"/>
  <c r="BM46" i="30"/>
  <c r="BM36" i="30"/>
  <c r="BR13" i="30"/>
  <c r="AY44" i="30"/>
  <c r="BS44" i="30"/>
  <c r="F36" i="30"/>
  <c r="K46" i="30"/>
  <c r="K36" i="30"/>
  <c r="P13" i="30"/>
  <c r="P46" i="30"/>
  <c r="P36" i="30"/>
  <c r="U46" i="30"/>
  <c r="U36" i="30"/>
  <c r="Z46" i="30"/>
  <c r="Z36" i="30"/>
  <c r="AE46" i="30"/>
  <c r="AE36" i="30"/>
  <c r="AJ36" i="30"/>
  <c r="AJ46" i="30"/>
  <c r="AO13" i="30"/>
  <c r="AO46" i="30"/>
  <c r="AO36" i="30"/>
  <c r="AT36" i="30"/>
  <c r="AT46" i="30"/>
  <c r="AY13" i="30"/>
  <c r="AY46" i="30"/>
  <c r="AY36" i="30"/>
  <c r="BD46" i="30"/>
  <c r="BD36" i="30"/>
  <c r="BI13" i="30"/>
  <c r="BI46" i="30"/>
  <c r="BI36" i="30"/>
  <c r="BN46" i="30"/>
  <c r="BN36" i="30"/>
  <c r="BS13" i="30"/>
  <c r="BS46" i="30"/>
  <c r="BS36" i="30"/>
  <c r="AD36" i="30"/>
  <c r="J46" i="30"/>
  <c r="O46" i="30"/>
  <c r="O36" i="30"/>
  <c r="Y46" i="30"/>
  <c r="Y36" i="30"/>
  <c r="AN46" i="30"/>
  <c r="AN36" i="30"/>
  <c r="U44" i="30"/>
  <c r="AE44" i="30"/>
  <c r="AT44" i="30"/>
  <c r="BD44" i="30"/>
  <c r="BN44" i="30"/>
  <c r="W44" i="30"/>
  <c r="AB44" i="30"/>
  <c r="AL44" i="30"/>
  <c r="AQ44" i="30"/>
  <c r="AV44" i="30"/>
  <c r="BA44" i="30"/>
  <c r="BF44" i="30"/>
  <c r="BK44" i="30"/>
  <c r="BP44" i="30"/>
  <c r="C36" i="30"/>
  <c r="H46" i="30"/>
  <c r="H36" i="30"/>
  <c r="M46" i="30"/>
  <c r="M36" i="30"/>
  <c r="R46" i="30"/>
  <c r="R36" i="30"/>
  <c r="W13" i="30"/>
  <c r="W46" i="30"/>
  <c r="W36" i="30"/>
  <c r="AB13" i="30"/>
  <c r="AB46" i="30"/>
  <c r="AB36" i="30"/>
  <c r="AG13" i="30"/>
  <c r="AG46" i="30"/>
  <c r="AG36" i="30"/>
  <c r="AL13" i="30"/>
  <c r="AL46" i="30"/>
  <c r="AL36" i="30"/>
  <c r="AQ13" i="30"/>
  <c r="AQ46" i="30"/>
  <c r="AQ36" i="30"/>
  <c r="AV13" i="30"/>
  <c r="AV46" i="30"/>
  <c r="AV36" i="30"/>
  <c r="BA13" i="30"/>
  <c r="BA46" i="30"/>
  <c r="BA36" i="30"/>
  <c r="BF13" i="30"/>
  <c r="BF46" i="30"/>
  <c r="BF36" i="30"/>
  <c r="BK13" i="30"/>
  <c r="BK46" i="30"/>
  <c r="BK36" i="30"/>
  <c r="BP13" i="30"/>
  <c r="BP46" i="30"/>
  <c r="BP36" i="30"/>
  <c r="J44" i="30"/>
  <c r="O44" i="30"/>
  <c r="AD44" i="30"/>
  <c r="AS44" i="30"/>
  <c r="AX44" i="30"/>
  <c r="J13" i="30"/>
  <c r="O13" i="30"/>
  <c r="T13" i="30"/>
  <c r="Y13" i="30"/>
  <c r="AD13" i="30"/>
  <c r="AI46" i="30"/>
  <c r="AI36" i="30"/>
  <c r="AS13" i="30"/>
  <c r="AX13" i="30"/>
  <c r="BC46" i="30"/>
  <c r="BC36" i="30"/>
  <c r="BH46" i="30"/>
  <c r="BH36" i="30"/>
  <c r="BM13" i="30"/>
  <c r="BR46" i="30"/>
  <c r="BR36" i="30"/>
  <c r="K44" i="30"/>
  <c r="Z44" i="30"/>
  <c r="AJ44" i="30"/>
  <c r="H44" i="30"/>
  <c r="R44" i="30"/>
  <c r="I44" i="30"/>
  <c r="N44" i="30"/>
  <c r="S44" i="30"/>
  <c r="X44" i="30"/>
  <c r="AC44" i="30"/>
  <c r="AH44" i="30"/>
  <c r="AM44" i="30"/>
  <c r="AR44" i="30"/>
  <c r="AW44" i="30"/>
  <c r="BB44" i="30"/>
  <c r="BG44" i="30"/>
  <c r="BL44" i="30"/>
  <c r="BQ44" i="30"/>
  <c r="D36" i="30"/>
  <c r="I13" i="30"/>
  <c r="I46" i="30"/>
  <c r="I36" i="30"/>
  <c r="N13" i="30"/>
  <c r="N46" i="30"/>
  <c r="N36" i="30"/>
  <c r="S13" i="30"/>
  <c r="S46" i="30"/>
  <c r="S36" i="30"/>
  <c r="X13" i="30"/>
  <c r="X46" i="30"/>
  <c r="X36" i="30"/>
  <c r="AC13" i="30"/>
  <c r="AC46" i="30"/>
  <c r="AC36" i="30"/>
  <c r="AH13" i="30"/>
  <c r="AH46" i="30"/>
  <c r="AH36" i="30"/>
  <c r="AM13" i="30"/>
  <c r="AM46" i="30"/>
  <c r="AM36" i="30"/>
  <c r="AR13" i="30"/>
  <c r="AR46" i="30"/>
  <c r="AR36" i="30"/>
  <c r="AW13" i="30"/>
  <c r="AW46" i="30"/>
  <c r="AW36" i="30"/>
  <c r="BB13" i="30"/>
  <c r="BB46" i="30"/>
  <c r="BB36" i="30"/>
  <c r="BG13" i="30"/>
  <c r="BG46" i="30"/>
  <c r="BG36" i="30"/>
  <c r="BL13" i="30"/>
  <c r="BL46" i="30"/>
  <c r="BL36" i="30"/>
  <c r="BQ13" i="30"/>
  <c r="BQ46" i="30"/>
  <c r="BQ36" i="30"/>
  <c r="J36" i="30"/>
  <c r="I21" i="88"/>
  <c r="E19" i="88"/>
  <c r="R157" i="8" l="1"/>
  <c r="L141" i="8"/>
  <c r="S158" i="8"/>
  <c r="P138" i="8"/>
  <c r="T311" i="14"/>
  <c r="AY470" i="21"/>
  <c r="AL19" i="8"/>
  <c r="AC24" i="8"/>
  <c r="BH56" i="32"/>
  <c r="AY500" i="21"/>
  <c r="AY478" i="21"/>
  <c r="AY480" i="21"/>
  <c r="AY463" i="21"/>
  <c r="AY479" i="21"/>
  <c r="AY457" i="21"/>
  <c r="AY498" i="21"/>
  <c r="BL11" i="32"/>
  <c r="BP41" i="3"/>
  <c r="BN40" i="3"/>
  <c r="BJ49" i="32"/>
  <c r="H64" i="32"/>
  <c r="L64" i="32"/>
  <c r="Y14" i="8"/>
  <c r="Y13" i="8" s="1"/>
  <c r="EF231" i="40"/>
  <c r="BP51" i="32"/>
  <c r="AH68" i="8"/>
  <c r="AG68" i="8"/>
  <c r="F13" i="99"/>
  <c r="BL9" i="32"/>
  <c r="E13" i="99"/>
  <c r="BJ9" i="32"/>
  <c r="AI207" i="39"/>
  <c r="AU208" i="19"/>
  <c r="W207" i="39"/>
  <c r="AS208" i="19"/>
  <c r="C13" i="99"/>
  <c r="AD24" i="8"/>
  <c r="BJ71" i="3"/>
  <c r="BJ36" i="3" s="1"/>
  <c r="BH31" i="32" s="1"/>
  <c r="BC205" i="19"/>
  <c r="AE113" i="39"/>
  <c r="P223" i="14" s="1"/>
  <c r="AV47" i="14" s="1"/>
  <c r="BB114" i="19"/>
  <c r="W236" i="14"/>
  <c r="D650" i="21"/>
  <c r="H650" i="21" s="1"/>
  <c r="AI155" i="39"/>
  <c r="AI664" i="21"/>
  <c r="W564" i="21"/>
  <c r="W549" i="21"/>
  <c r="D501" i="21"/>
  <c r="H501" i="21" s="1"/>
  <c r="W598" i="21"/>
  <c r="AM450" i="21"/>
  <c r="AI410" i="21"/>
  <c r="AM477" i="21"/>
  <c r="AM415" i="21"/>
  <c r="BF281" i="21"/>
  <c r="BA114" i="19"/>
  <c r="Y113" i="39"/>
  <c r="P181" i="14" s="1"/>
  <c r="AV43" i="14" s="1"/>
  <c r="D134" i="21"/>
  <c r="H134" i="21" s="1"/>
  <c r="AM119" i="21"/>
  <c r="Z208" i="39"/>
  <c r="AL208" i="39"/>
  <c r="AA162" i="39"/>
  <c r="BX16" i="35"/>
  <c r="L138" i="8"/>
  <c r="AJ169" i="39"/>
  <c r="N113" i="8"/>
  <c r="AM641" i="21"/>
  <c r="D622" i="21"/>
  <c r="H622" i="21" s="1"/>
  <c r="AM633" i="21"/>
  <c r="X162" i="39"/>
  <c r="W138" i="14"/>
  <c r="D155" i="21"/>
  <c r="H155" i="21" s="1"/>
  <c r="AM63" i="21"/>
  <c r="W47" i="21"/>
  <c r="AF208" i="39"/>
  <c r="AM162" i="39"/>
  <c r="P224" i="14"/>
  <c r="BX22" i="35"/>
  <c r="D209" i="39"/>
  <c r="AR210" i="19"/>
  <c r="D480" i="21"/>
  <c r="H480" i="21" s="1"/>
  <c r="AC162" i="39"/>
  <c r="BD162" i="39" s="1"/>
  <c r="AM393" i="21"/>
  <c r="Z209" i="39"/>
  <c r="X209" i="39"/>
  <c r="AM302" i="21"/>
  <c r="G207" i="39"/>
  <c r="E207" i="39"/>
  <c r="AM161" i="21"/>
  <c r="AJ162" i="39"/>
  <c r="BX28" i="35"/>
  <c r="P182" i="14"/>
  <c r="AV44" i="14" s="1"/>
  <c r="U236" i="14"/>
  <c r="AM148" i="39"/>
  <c r="AC209" i="39"/>
  <c r="AT210" i="19"/>
  <c r="N107" i="8"/>
  <c r="AC207" i="39"/>
  <c r="AT208" i="19"/>
  <c r="AP100" i="19"/>
  <c r="D685" i="21"/>
  <c r="H685" i="21" s="1"/>
  <c r="AM683" i="21"/>
  <c r="W571" i="21"/>
  <c r="AM457" i="21"/>
  <c r="W437" i="21"/>
  <c r="AM400" i="21"/>
  <c r="AI303" i="21"/>
  <c r="BD208" i="39"/>
  <c r="BF208" i="39" s="1"/>
  <c r="E208" i="39"/>
  <c r="X169" i="39"/>
  <c r="AN169" i="39"/>
  <c r="AW141" i="39"/>
  <c r="T319" i="14"/>
  <c r="AM146" i="21"/>
  <c r="N270" i="14"/>
  <c r="AT55" i="14"/>
  <c r="T12" i="14"/>
  <c r="T7" i="8"/>
  <c r="S85" i="60"/>
  <c r="V118" i="60"/>
  <c r="W82" i="60"/>
  <c r="V115" i="60"/>
  <c r="W79" i="60"/>
  <c r="V116" i="60"/>
  <c r="W80" i="60"/>
  <c r="K88" i="60"/>
  <c r="O86" i="60"/>
  <c r="L11" i="60"/>
  <c r="M8" i="60"/>
  <c r="O117" i="60"/>
  <c r="N83" i="60"/>
  <c r="V83" i="60"/>
  <c r="M118" i="60"/>
  <c r="N117" i="60"/>
  <c r="M84" i="60"/>
  <c r="M120" i="60" s="1"/>
  <c r="M83" i="60"/>
  <c r="M119" i="60" s="1"/>
  <c r="P84" i="60"/>
  <c r="P85" i="60"/>
  <c r="P121" i="60" s="1"/>
  <c r="K31" i="60"/>
  <c r="T74" i="60"/>
  <c r="T110" i="60" s="1"/>
  <c r="T147" i="60" s="1"/>
  <c r="U9" i="60"/>
  <c r="Q149" i="60"/>
  <c r="T119" i="60"/>
  <c r="Q74" i="60"/>
  <c r="Q110" i="60" s="1"/>
  <c r="Q147" i="60" s="1"/>
  <c r="P9" i="60"/>
  <c r="P119" i="60"/>
  <c r="V114" i="60"/>
  <c r="W78" i="60"/>
  <c r="V113" i="60"/>
  <c r="W77" i="60"/>
  <c r="B136" i="60"/>
  <c r="C136" i="60"/>
  <c r="T84" i="60"/>
  <c r="L86" i="60"/>
  <c r="S117" i="60"/>
  <c r="R83" i="60"/>
  <c r="L117" i="60"/>
  <c r="K117" i="60"/>
  <c r="J84" i="60"/>
  <c r="J83" i="60"/>
  <c r="U84" i="60"/>
  <c r="R117" i="60"/>
  <c r="Q118" i="60"/>
  <c r="Q83" i="60"/>
  <c r="Q119" i="60" s="1"/>
  <c r="J117" i="60"/>
  <c r="I118" i="60"/>
  <c r="I84" i="60"/>
  <c r="I83" i="60"/>
  <c r="I119" i="60" s="1"/>
  <c r="H84" i="60"/>
  <c r="V112" i="60"/>
  <c r="W76" i="60"/>
  <c r="V117" i="60"/>
  <c r="W81" i="60"/>
  <c r="AM160" i="21"/>
  <c r="AM167" i="21"/>
  <c r="AF156" i="40"/>
  <c r="AF152" i="40"/>
  <c r="AH149" i="40"/>
  <c r="AJ149" i="40"/>
  <c r="AM153" i="21"/>
  <c r="EG115" i="40"/>
  <c r="AM117" i="21"/>
  <c r="AM159" i="21"/>
  <c r="AM55" i="21"/>
  <c r="AB270" i="14"/>
  <c r="M228" i="14"/>
  <c r="S167" i="14"/>
  <c r="EF243" i="40"/>
  <c r="ED219" i="40"/>
  <c r="CP217" i="40"/>
  <c r="EF210" i="40"/>
  <c r="I163" i="40"/>
  <c r="DB163" i="40"/>
  <c r="DB177" i="40"/>
  <c r="I177" i="40"/>
  <c r="EF159" i="40"/>
  <c r="AC141" i="40"/>
  <c r="Y149" i="40"/>
  <c r="AA141" i="40"/>
  <c r="AR129" i="40"/>
  <c r="Z604" i="21"/>
  <c r="EE123" i="40"/>
  <c r="ED123" i="40"/>
  <c r="H141" i="40"/>
  <c r="CY138" i="40"/>
  <c r="N139" i="40"/>
  <c r="N132" i="40"/>
  <c r="N131" i="40"/>
  <c r="N137" i="40"/>
  <c r="N130" i="40"/>
  <c r="N138" i="40"/>
  <c r="N129" i="40"/>
  <c r="DO123" i="40"/>
  <c r="EG147" i="40"/>
  <c r="ED141" i="40"/>
  <c r="BF140" i="40"/>
  <c r="BF132" i="40"/>
  <c r="Z253" i="21"/>
  <c r="AY129" i="40"/>
  <c r="Z761" i="21"/>
  <c r="AB761" i="21" s="1"/>
  <c r="AY131" i="40"/>
  <c r="Z764" i="21"/>
  <c r="Z763" i="21"/>
  <c r="AB763" i="21" s="1"/>
  <c r="AD763" i="21" s="1"/>
  <c r="AF763" i="21" s="1"/>
  <c r="EF122" i="40"/>
  <c r="EG122" i="40" s="1"/>
  <c r="DC109" i="40"/>
  <c r="DD109" i="40"/>
  <c r="I77" i="40"/>
  <c r="DB77" i="40"/>
  <c r="H77" i="40"/>
  <c r="H13" i="40"/>
  <c r="CW13" i="40"/>
  <c r="CY137" i="40"/>
  <c r="BF133" i="40"/>
  <c r="P171" i="14"/>
  <c r="P169" i="14" s="1"/>
  <c r="EE133" i="40"/>
  <c r="EF129" i="40"/>
  <c r="CY131" i="40"/>
  <c r="AK131" i="40"/>
  <c r="Z429" i="21"/>
  <c r="AB429" i="21" s="1"/>
  <c r="AD429" i="21" s="1"/>
  <c r="AF429" i="21" s="1"/>
  <c r="E117" i="40"/>
  <c r="F117" i="40"/>
  <c r="CW117" i="40"/>
  <c r="CX125" i="40" s="1"/>
  <c r="DI97" i="40"/>
  <c r="DK97" i="40"/>
  <c r="CX97" i="40"/>
  <c r="DJ97" i="40"/>
  <c r="DL97" i="40"/>
  <c r="CY97" i="40"/>
  <c r="CY53" i="40"/>
  <c r="CX53" i="40"/>
  <c r="AB135" i="40"/>
  <c r="AB841" i="21"/>
  <c r="CH146" i="40"/>
  <c r="CH138" i="40"/>
  <c r="Z848" i="21"/>
  <c r="M86" i="14"/>
  <c r="M84" i="14" s="1"/>
  <c r="U110" i="40"/>
  <c r="M82" i="14"/>
  <c r="M80" i="14" s="1"/>
  <c r="DL108" i="40"/>
  <c r="DP108" i="40"/>
  <c r="DM108" i="40"/>
  <c r="DI108" i="40"/>
  <c r="CX108" i="40"/>
  <c r="DK108" i="40"/>
  <c r="DJ108" i="40"/>
  <c r="DQ108" i="40"/>
  <c r="CY108" i="40"/>
  <c r="DF97" i="40"/>
  <c r="CX98" i="40"/>
  <c r="N94" i="40"/>
  <c r="K85" i="14"/>
  <c r="K84" i="14" s="1"/>
  <c r="K81" i="14"/>
  <c r="K80" i="14" s="1"/>
  <c r="CX66" i="40"/>
  <c r="CY66" i="40"/>
  <c r="AP59" i="40"/>
  <c r="AP60" i="40"/>
  <c r="AP57" i="40"/>
  <c r="AP58" i="40"/>
  <c r="DB58" i="40" s="1"/>
  <c r="AB33" i="40"/>
  <c r="AD33" i="40" s="1"/>
  <c r="AB34" i="40"/>
  <c r="AD34" i="40" s="1"/>
  <c r="AB35" i="40"/>
  <c r="AD35" i="40" s="1"/>
  <c r="AB36" i="40"/>
  <c r="AD36" i="40" s="1"/>
  <c r="EF148" i="40"/>
  <c r="EG148" i="40" s="1"/>
  <c r="EF130" i="40"/>
  <c r="J119" i="40"/>
  <c r="EG114" i="40"/>
  <c r="M154" i="14"/>
  <c r="M158" i="14" s="1"/>
  <c r="DO109" i="40"/>
  <c r="AW102" i="40"/>
  <c r="L285" i="14"/>
  <c r="CY91" i="40"/>
  <c r="CX91" i="40"/>
  <c r="J77" i="19"/>
  <c r="U66" i="40"/>
  <c r="U65" i="40"/>
  <c r="U68" i="40"/>
  <c r="U67" i="40"/>
  <c r="AR76" i="40"/>
  <c r="AB59" i="40"/>
  <c r="AB60" i="40"/>
  <c r="AB57" i="40"/>
  <c r="AB58" i="40"/>
  <c r="AP52" i="40"/>
  <c r="AR52" i="40" s="1"/>
  <c r="AP49" i="40"/>
  <c r="AR49" i="40" s="1"/>
  <c r="AP50" i="40"/>
  <c r="AR50" i="40" s="1"/>
  <c r="AP51" i="40"/>
  <c r="AR51" i="40" s="1"/>
  <c r="N33" i="40"/>
  <c r="N34" i="40"/>
  <c r="N35" i="40"/>
  <c r="N36" i="40"/>
  <c r="EF107" i="40"/>
  <c r="EF100" i="40"/>
  <c r="EF73" i="40"/>
  <c r="EG73" i="40" s="1"/>
  <c r="EE77" i="40"/>
  <c r="F28" i="14"/>
  <c r="F38" i="14" s="1"/>
  <c r="CY41" i="40"/>
  <c r="CY45" i="40"/>
  <c r="CX45" i="40"/>
  <c r="AD167" i="21"/>
  <c r="AF167" i="21" s="1"/>
  <c r="CX92" i="40"/>
  <c r="AK409" i="21"/>
  <c r="AM140" i="21"/>
  <c r="AD103" i="21"/>
  <c r="AF103" i="21" s="1"/>
  <c r="O212" i="14"/>
  <c r="O228" i="14" s="1"/>
  <c r="M221" i="14"/>
  <c r="EE219" i="40"/>
  <c r="EF219" i="40" s="1"/>
  <c r="EF201" i="40"/>
  <c r="BV173" i="40"/>
  <c r="BV177" i="40"/>
  <c r="BX170" i="40"/>
  <c r="BV169" i="40"/>
  <c r="DD166" i="40"/>
  <c r="DD159" i="40"/>
  <c r="DO124" i="40"/>
  <c r="DL124" i="40"/>
  <c r="DK124" i="40"/>
  <c r="DQ124" i="40"/>
  <c r="DJ124" i="40"/>
  <c r="CY124" i="40"/>
  <c r="DM124" i="40"/>
  <c r="DI124" i="40"/>
  <c r="CX124" i="40"/>
  <c r="EG124" i="40" s="1"/>
  <c r="F133" i="40"/>
  <c r="E133" i="40"/>
  <c r="CW133" i="40"/>
  <c r="EE121" i="40"/>
  <c r="ED121" i="40"/>
  <c r="EF160" i="40"/>
  <c r="EF145" i="40"/>
  <c r="EG145" i="40" s="1"/>
  <c r="EE149" i="40"/>
  <c r="EF149" i="40" s="1"/>
  <c r="EG149" i="40" s="1"/>
  <c r="AR131" i="40"/>
  <c r="Z606" i="21"/>
  <c r="AB606" i="21" s="1"/>
  <c r="DD125" i="40"/>
  <c r="DC125" i="40"/>
  <c r="EF137" i="40"/>
  <c r="EG137" i="40" s="1"/>
  <c r="EE141" i="40"/>
  <c r="BF131" i="40"/>
  <c r="Z252" i="21"/>
  <c r="AY139" i="40"/>
  <c r="AY147" i="40"/>
  <c r="Z770" i="21"/>
  <c r="AY145" i="40"/>
  <c r="AY137" i="40"/>
  <c r="Z768" i="21"/>
  <c r="AB768" i="21" s="1"/>
  <c r="DP105" i="40"/>
  <c r="DK105" i="40"/>
  <c r="CX105" i="40"/>
  <c r="DQ105" i="40"/>
  <c r="DL105" i="40"/>
  <c r="CY105" i="40"/>
  <c r="DO105" i="40"/>
  <c r="DJ105" i="40"/>
  <c r="DI105" i="40"/>
  <c r="DM105" i="40"/>
  <c r="DI99" i="40"/>
  <c r="CX99" i="40"/>
  <c r="EG99" i="40" s="1"/>
  <c r="DL99" i="40"/>
  <c r="DK99" i="40"/>
  <c r="DJ99" i="40"/>
  <c r="CY99" i="40"/>
  <c r="J84" i="19"/>
  <c r="I85" i="40"/>
  <c r="DB85" i="40"/>
  <c r="DD85" i="40" s="1"/>
  <c r="H85" i="40"/>
  <c r="AK140" i="40"/>
  <c r="AK132" i="40"/>
  <c r="DO125" i="40"/>
  <c r="DJ125" i="40"/>
  <c r="DM125" i="40"/>
  <c r="DI125" i="40"/>
  <c r="K243" i="14"/>
  <c r="AP94" i="40"/>
  <c r="K245" i="14"/>
  <c r="CX89" i="40"/>
  <c r="CY89" i="40"/>
  <c r="CY44" i="40"/>
  <c r="CX44" i="40"/>
  <c r="CH147" i="40"/>
  <c r="CH139" i="40"/>
  <c r="Z849" i="21"/>
  <c r="AY133" i="40"/>
  <c r="P297" i="14"/>
  <c r="W139" i="40"/>
  <c r="W147" i="40"/>
  <c r="W145" i="40"/>
  <c r="W137" i="40"/>
  <c r="O141" i="40"/>
  <c r="K149" i="40"/>
  <c r="M141" i="40"/>
  <c r="AI59" i="40"/>
  <c r="AI60" i="40"/>
  <c r="DB60" i="40" s="1"/>
  <c r="AI57" i="40"/>
  <c r="AI58" i="40"/>
  <c r="CY43" i="40"/>
  <c r="CX43" i="40"/>
  <c r="CY28" i="40"/>
  <c r="CX28" i="40"/>
  <c r="DP124" i="40"/>
  <c r="H117" i="40"/>
  <c r="BC125" i="40"/>
  <c r="DP125" i="40" s="1"/>
  <c r="BC117" i="40"/>
  <c r="EG108" i="40"/>
  <c r="AP102" i="40"/>
  <c r="L243" i="14"/>
  <c r="L245" i="14"/>
  <c r="CX82" i="40"/>
  <c r="CY82" i="40"/>
  <c r="U86" i="40"/>
  <c r="J82" i="14"/>
  <c r="CY69" i="40"/>
  <c r="CX69" i="40"/>
  <c r="I60" i="40"/>
  <c r="AI51" i="40"/>
  <c r="DB51" i="40" s="1"/>
  <c r="AI50" i="40"/>
  <c r="AI49" i="40"/>
  <c r="AI52" i="40"/>
  <c r="CY50" i="40"/>
  <c r="CY42" i="40"/>
  <c r="CX42" i="40"/>
  <c r="CW29" i="40"/>
  <c r="F29" i="40"/>
  <c r="E29" i="40"/>
  <c r="ED117" i="40"/>
  <c r="ED109" i="40"/>
  <c r="EG91" i="40"/>
  <c r="ED77" i="40"/>
  <c r="E37" i="40"/>
  <c r="AD151" i="21"/>
  <c r="AF151" i="21" s="1"/>
  <c r="AK125" i="21"/>
  <c r="AM125" i="21" s="1"/>
  <c r="EG92" i="40"/>
  <c r="EF76" i="40"/>
  <c r="EG76" i="40" s="1"/>
  <c r="CX49" i="40"/>
  <c r="EF98" i="40"/>
  <c r="EG98" i="40" s="1"/>
  <c r="AM222" i="21"/>
  <c r="I219" i="40"/>
  <c r="I191" i="40"/>
  <c r="CI202" i="40"/>
  <c r="I184" i="40"/>
  <c r="EF180" i="40"/>
  <c r="I170" i="40"/>
  <c r="DD153" i="40"/>
  <c r="DE153" i="40"/>
  <c r="Z132" i="19"/>
  <c r="I149" i="40"/>
  <c r="H149" i="40"/>
  <c r="DB149" i="40"/>
  <c r="AT149" i="40"/>
  <c r="AV141" i="40"/>
  <c r="AM141" i="40"/>
  <c r="AP133" i="40"/>
  <c r="AO133" i="40"/>
  <c r="BC141" i="40"/>
  <c r="BA149" i="40"/>
  <c r="DL129" i="40"/>
  <c r="CY129" i="40"/>
  <c r="DK129" i="40"/>
  <c r="CX129" i="40"/>
  <c r="DN129" i="40"/>
  <c r="DJ129" i="40"/>
  <c r="DM129" i="40"/>
  <c r="DI129" i="40"/>
  <c r="AK141" i="40"/>
  <c r="AK133" i="40"/>
  <c r="P214" i="14"/>
  <c r="DN130" i="40"/>
  <c r="DJ130" i="40"/>
  <c r="DM130" i="40"/>
  <c r="DI130" i="40"/>
  <c r="CY130" i="40"/>
  <c r="DL130" i="40"/>
  <c r="CX130" i="40"/>
  <c r="DK130" i="40"/>
  <c r="DM123" i="40"/>
  <c r="DI123" i="40"/>
  <c r="DQ123" i="40"/>
  <c r="DL123" i="40"/>
  <c r="CY123" i="40"/>
  <c r="DP123" i="40"/>
  <c r="DK123" i="40"/>
  <c r="CX123" i="40"/>
  <c r="DJ123" i="40"/>
  <c r="BF130" i="40"/>
  <c r="Z251" i="21"/>
  <c r="AB251" i="21" s="1"/>
  <c r="AD251" i="21" s="1"/>
  <c r="AF251" i="21" s="1"/>
  <c r="AY130" i="40"/>
  <c r="Z762" i="21"/>
  <c r="AB762" i="21" s="1"/>
  <c r="AY140" i="40"/>
  <c r="AY132" i="40"/>
  <c r="DF121" i="40"/>
  <c r="AY181" i="40"/>
  <c r="AW182" i="40"/>
  <c r="Z811" i="21"/>
  <c r="EG131" i="40"/>
  <c r="AK129" i="40"/>
  <c r="Z427" i="21"/>
  <c r="AB427" i="21" s="1"/>
  <c r="AK427" i="21" s="1"/>
  <c r="AM427" i="21" s="1"/>
  <c r="DP121" i="40"/>
  <c r="AW110" i="40"/>
  <c r="M285" i="14"/>
  <c r="AI94" i="40"/>
  <c r="K203" i="14"/>
  <c r="K201" i="14"/>
  <c r="CX84" i="40"/>
  <c r="EG84" i="40" s="1"/>
  <c r="CY84" i="40"/>
  <c r="CY67" i="40"/>
  <c r="CX67" i="40"/>
  <c r="J56" i="19"/>
  <c r="V55" i="2" s="1"/>
  <c r="X55" i="2" s="1"/>
  <c r="CY25" i="40"/>
  <c r="CX25" i="40"/>
  <c r="EG138" i="40"/>
  <c r="CH145" i="40"/>
  <c r="CH137" i="40"/>
  <c r="Z847" i="21"/>
  <c r="Z843" i="21"/>
  <c r="AB843" i="21" s="1"/>
  <c r="Z842" i="21"/>
  <c r="AB842" i="21" s="1"/>
  <c r="AK842" i="21" s="1"/>
  <c r="AM842" i="21" s="1"/>
  <c r="W140" i="40"/>
  <c r="W132" i="40"/>
  <c r="CY90" i="40"/>
  <c r="CX90" i="40"/>
  <c r="J76" i="19"/>
  <c r="AB42" i="40"/>
  <c r="AD42" i="40" s="1"/>
  <c r="AB43" i="40"/>
  <c r="AD43" i="40" s="1"/>
  <c r="AB44" i="40"/>
  <c r="AB41" i="40"/>
  <c r="AD41" i="40" s="1"/>
  <c r="N26" i="40"/>
  <c r="N27" i="40"/>
  <c r="N28" i="40"/>
  <c r="N25" i="40"/>
  <c r="EG146" i="40"/>
  <c r="CH133" i="40"/>
  <c r="CH141" i="40"/>
  <c r="P338" i="14"/>
  <c r="DK113" i="40"/>
  <c r="CX113" i="40"/>
  <c r="DQ113" i="40"/>
  <c r="DL113" i="40"/>
  <c r="CY113" i="40"/>
  <c r="DI113" i="40"/>
  <c r="DM113" i="40"/>
  <c r="DJ113" i="40"/>
  <c r="DM115" i="40"/>
  <c r="DI115" i="40"/>
  <c r="DJ115" i="40"/>
  <c r="DP115" i="40"/>
  <c r="CX115" i="40"/>
  <c r="DL115" i="40"/>
  <c r="DK115" i="40"/>
  <c r="DQ115" i="40"/>
  <c r="CY115" i="40"/>
  <c r="DF113" i="40"/>
  <c r="EG106" i="40"/>
  <c r="J288" i="14"/>
  <c r="J291" i="14" s="1"/>
  <c r="J722" i="21"/>
  <c r="CY75" i="40"/>
  <c r="CY65" i="40"/>
  <c r="CX65" i="40"/>
  <c r="AB52" i="40"/>
  <c r="AB49" i="40"/>
  <c r="AB50" i="40"/>
  <c r="AB51" i="40"/>
  <c r="CY35" i="40"/>
  <c r="CX35" i="40"/>
  <c r="CY27" i="40"/>
  <c r="CX27" i="40"/>
  <c r="J21" i="19"/>
  <c r="V20" i="2" s="1"/>
  <c r="X20" i="2" s="1"/>
  <c r="EF113" i="40"/>
  <c r="EG113" i="40" s="1"/>
  <c r="EE117" i="40"/>
  <c r="EF117" i="40" s="1"/>
  <c r="EF105" i="40"/>
  <c r="EG105" i="40" s="1"/>
  <c r="EE109" i="40"/>
  <c r="EF109" i="40" s="1"/>
  <c r="EG109" i="40" s="1"/>
  <c r="EF75" i="40"/>
  <c r="EG75" i="40" s="1"/>
  <c r="CY73" i="40"/>
  <c r="CX68" i="40"/>
  <c r="F37" i="40"/>
  <c r="CX26" i="40"/>
  <c r="AD144" i="21"/>
  <c r="AF144" i="21" s="1"/>
  <c r="CX114" i="40"/>
  <c r="DD101" i="40"/>
  <c r="L31" i="14"/>
  <c r="DC101" i="40"/>
  <c r="DF99" i="40"/>
  <c r="CY74" i="40"/>
  <c r="CY77" i="40"/>
  <c r="AM147" i="19"/>
  <c r="AD141" i="19"/>
  <c r="AD865" i="21"/>
  <c r="AF865" i="21" s="1"/>
  <c r="AD600" i="21"/>
  <c r="P332" i="14"/>
  <c r="P333" i="14" s="1"/>
  <c r="U167" i="14"/>
  <c r="O167" i="14"/>
  <c r="O186" i="14" s="1"/>
  <c r="CI212" i="40"/>
  <c r="CI208" i="40"/>
  <c r="CI204" i="40"/>
  <c r="CM205" i="40"/>
  <c r="CM212" i="40" s="1"/>
  <c r="CM219" i="40" s="1"/>
  <c r="CM226" i="40" s="1"/>
  <c r="CM233" i="40" s="1"/>
  <c r="CM240" i="40" s="1"/>
  <c r="CM247" i="40" s="1"/>
  <c r="CM254" i="40" s="1"/>
  <c r="BO190" i="40"/>
  <c r="BH169" i="40"/>
  <c r="BH177" i="40"/>
  <c r="BJ170" i="40"/>
  <c r="BH173" i="40"/>
  <c r="EF194" i="40"/>
  <c r="V141" i="40"/>
  <c r="T141" i="40"/>
  <c r="I156" i="40"/>
  <c r="DB156" i="40"/>
  <c r="AH141" i="40"/>
  <c r="DJ141" i="40"/>
  <c r="DN132" i="40"/>
  <c r="DJ132" i="40"/>
  <c r="CX132" i="40"/>
  <c r="EG132" i="40" s="1"/>
  <c r="DM132" i="40"/>
  <c r="DI132" i="40"/>
  <c r="DL132" i="40"/>
  <c r="DK132" i="40"/>
  <c r="CY132" i="40"/>
  <c r="DK121" i="40"/>
  <c r="CX121" i="40"/>
  <c r="DJ121" i="40"/>
  <c r="DM121" i="40"/>
  <c r="DI121" i="40"/>
  <c r="DQ121" i="40"/>
  <c r="DL121" i="40"/>
  <c r="CY121" i="40"/>
  <c r="F141" i="40"/>
  <c r="CW141" i="40"/>
  <c r="E141" i="40"/>
  <c r="F149" i="40"/>
  <c r="DF141" i="40"/>
  <c r="AR140" i="40"/>
  <c r="AR132" i="40"/>
  <c r="Z607" i="21"/>
  <c r="AB607" i="21" s="1"/>
  <c r="AD607" i="21" s="1"/>
  <c r="BH168" i="40"/>
  <c r="AJ141" i="40"/>
  <c r="DL140" i="40"/>
  <c r="DK140" i="40"/>
  <c r="CY140" i="40"/>
  <c r="DN140" i="40"/>
  <c r="DJ140" i="40"/>
  <c r="CX140" i="40"/>
  <c r="EG140" i="40" s="1"/>
  <c r="DM140" i="40"/>
  <c r="DI140" i="40"/>
  <c r="DF130" i="40"/>
  <c r="R149" i="40"/>
  <c r="EF139" i="40"/>
  <c r="EG139" i="40" s="1"/>
  <c r="BF129" i="40"/>
  <c r="Z250" i="21"/>
  <c r="AB250" i="21" s="1"/>
  <c r="AY138" i="40"/>
  <c r="AY146" i="40"/>
  <c r="Z769" i="21"/>
  <c r="AB769" i="21" s="1"/>
  <c r="AB110" i="40"/>
  <c r="M153" i="14"/>
  <c r="DM107" i="40"/>
  <c r="DI107" i="40"/>
  <c r="DO107" i="40"/>
  <c r="DJ107" i="40"/>
  <c r="DQ107" i="40"/>
  <c r="CY107" i="40"/>
  <c r="DP107" i="40"/>
  <c r="CX107" i="40"/>
  <c r="DL107" i="40"/>
  <c r="DK107" i="40"/>
  <c r="EE101" i="40"/>
  <c r="EF101" i="40" s="1"/>
  <c r="EG101" i="40" s="1"/>
  <c r="EF97" i="40"/>
  <c r="EG97" i="40" s="1"/>
  <c r="CY85" i="40"/>
  <c r="CX85" i="40"/>
  <c r="CX61" i="40"/>
  <c r="CY61" i="40"/>
  <c r="ED133" i="40"/>
  <c r="AK130" i="40"/>
  <c r="Z428" i="21"/>
  <c r="DO116" i="40"/>
  <c r="DL116" i="40"/>
  <c r="DM116" i="40"/>
  <c r="DI116" i="40"/>
  <c r="CX116" i="40"/>
  <c r="DJ116" i="40"/>
  <c r="DQ116" i="40"/>
  <c r="CY116" i="40"/>
  <c r="DK116" i="40"/>
  <c r="M203" i="14"/>
  <c r="M201" i="14"/>
  <c r="AI110" i="40"/>
  <c r="AI86" i="40"/>
  <c r="J201" i="14"/>
  <c r="J203" i="14" s="1"/>
  <c r="J17" i="14" s="1"/>
  <c r="U70" i="40"/>
  <c r="H82" i="14"/>
  <c r="CY33" i="40"/>
  <c r="CX33" i="40"/>
  <c r="J26" i="19"/>
  <c r="V25" i="2" s="1"/>
  <c r="X25" i="2" s="1"/>
  <c r="Z32" i="2" s="1"/>
  <c r="W146" i="40"/>
  <c r="W138" i="40"/>
  <c r="N133" i="40"/>
  <c r="P112" i="14" s="1"/>
  <c r="CY83" i="40"/>
  <c r="CX83" i="40"/>
  <c r="EG83" i="40" s="1"/>
  <c r="U78" i="40"/>
  <c r="I82" i="14"/>
  <c r="AB65" i="40"/>
  <c r="AB66" i="40"/>
  <c r="AB67" i="40"/>
  <c r="AB68" i="40"/>
  <c r="CX36" i="40"/>
  <c r="CY36" i="40"/>
  <c r="CC149" i="40"/>
  <c r="CE141" i="40"/>
  <c r="DD117" i="40"/>
  <c r="EG116" i="40"/>
  <c r="T117" i="40"/>
  <c r="V117" i="40"/>
  <c r="L86" i="14"/>
  <c r="U102" i="40"/>
  <c r="L82" i="14"/>
  <c r="DD93" i="40"/>
  <c r="CY93" i="40"/>
  <c r="N42" i="40"/>
  <c r="N43" i="40"/>
  <c r="N44" i="40"/>
  <c r="N41" i="40"/>
  <c r="DF105" i="40"/>
  <c r="CX100" i="40"/>
  <c r="CX93" i="40"/>
  <c r="EF89" i="40"/>
  <c r="EG89" i="40" s="1"/>
  <c r="EE93" i="40"/>
  <c r="EF93" i="40" s="1"/>
  <c r="EG93" i="40" s="1"/>
  <c r="EF81" i="40"/>
  <c r="EG81" i="40" s="1"/>
  <c r="EE85" i="40"/>
  <c r="EF85" i="40" s="1"/>
  <c r="CY52" i="40"/>
  <c r="CX41" i="40"/>
  <c r="CY37" i="40"/>
  <c r="CX37" i="40"/>
  <c r="I58" i="40"/>
  <c r="CX106" i="40"/>
  <c r="I93" i="40"/>
  <c r="EG90" i="40"/>
  <c r="EG82" i="40"/>
  <c r="CX77" i="40"/>
  <c r="AD158" i="21"/>
  <c r="AB71" i="21"/>
  <c r="AK67" i="21"/>
  <c r="H81" i="14"/>
  <c r="D81" i="14"/>
  <c r="N55" i="21"/>
  <c r="U55" i="21"/>
  <c r="W55" i="21" s="1"/>
  <c r="AM61" i="21"/>
  <c r="E106" i="14"/>
  <c r="AD61" i="21"/>
  <c r="P47" i="21"/>
  <c r="W83" i="21"/>
  <c r="Z12" i="21"/>
  <c r="N62" i="21"/>
  <c r="AD48" i="21"/>
  <c r="AN200" i="2"/>
  <c r="AN201" i="2"/>
  <c r="AI202" i="2"/>
  <c r="AN188" i="2"/>
  <c r="AN190" i="2" s="1"/>
  <c r="AF173" i="2"/>
  <c r="AF180" i="2"/>
  <c r="AF167" i="2"/>
  <c r="AD174" i="2"/>
  <c r="AF172" i="2"/>
  <c r="AI169" i="2"/>
  <c r="R169" i="2"/>
  <c r="BW53" i="30" s="1"/>
  <c r="AN195" i="2"/>
  <c r="R189" i="2"/>
  <c r="AH189" i="2"/>
  <c r="AI189" i="2"/>
  <c r="AH179" i="2"/>
  <c r="J183" i="2"/>
  <c r="R183" i="2" s="1"/>
  <c r="CJ53" i="30" s="1"/>
  <c r="AF168" i="2"/>
  <c r="AI166" i="2"/>
  <c r="R153" i="2"/>
  <c r="AH153" i="2"/>
  <c r="AH137" i="2"/>
  <c r="R137" i="2"/>
  <c r="J141" i="2"/>
  <c r="L148" i="2"/>
  <c r="AH151" i="2"/>
  <c r="J155" i="2"/>
  <c r="R133" i="2"/>
  <c r="AN132" i="2"/>
  <c r="AN134" i="2" s="1"/>
  <c r="R126" i="2"/>
  <c r="AH126" i="2"/>
  <c r="AH89" i="2"/>
  <c r="R89" i="2"/>
  <c r="AF140" i="2"/>
  <c r="AI117" i="2"/>
  <c r="R103" i="2"/>
  <c r="AN96" i="2"/>
  <c r="AP96" i="2" s="1"/>
  <c r="AN95" i="2"/>
  <c r="AN88" i="2"/>
  <c r="AN89" i="2"/>
  <c r="AP89" i="2" s="1"/>
  <c r="AI140" i="2"/>
  <c r="L127" i="2"/>
  <c r="J120" i="2"/>
  <c r="R120" i="2" s="1"/>
  <c r="J113" i="2"/>
  <c r="AN118" i="2"/>
  <c r="AI111" i="2"/>
  <c r="L64" i="2"/>
  <c r="J57" i="2"/>
  <c r="AN111" i="2"/>
  <c r="J43" i="2"/>
  <c r="R43" i="2" s="1"/>
  <c r="R83" i="2"/>
  <c r="AH83" i="2"/>
  <c r="R57" i="2"/>
  <c r="J22" i="2"/>
  <c r="R18" i="2"/>
  <c r="AF42" i="2"/>
  <c r="AF200" i="2"/>
  <c r="AD207" i="2"/>
  <c r="R167" i="2"/>
  <c r="AH167" i="2"/>
  <c r="R160" i="2"/>
  <c r="AH160" i="2"/>
  <c r="AH152" i="2"/>
  <c r="R152" i="2"/>
  <c r="AN144" i="2"/>
  <c r="AN148" i="2" s="1"/>
  <c r="AN145" i="2"/>
  <c r="AI167" i="2"/>
  <c r="AI146" i="2"/>
  <c r="AH146" i="2"/>
  <c r="AI133" i="2"/>
  <c r="R117" i="2"/>
  <c r="AN104" i="2"/>
  <c r="J134" i="2"/>
  <c r="R113" i="2"/>
  <c r="AI113" i="2"/>
  <c r="J106" i="2"/>
  <c r="AF130" i="2"/>
  <c r="AN103" i="2"/>
  <c r="L92" i="2"/>
  <c r="AH84" i="2"/>
  <c r="AI84" i="2"/>
  <c r="AI71" i="2"/>
  <c r="R71" i="2"/>
  <c r="R50" i="2"/>
  <c r="AI97" i="2"/>
  <c r="R36" i="2"/>
  <c r="J50" i="2"/>
  <c r="L29" i="2"/>
  <c r="AI74" i="2"/>
  <c r="R22" i="2"/>
  <c r="AF201" i="2"/>
  <c r="AD208" i="2"/>
  <c r="AN194" i="2"/>
  <c r="AN193" i="2"/>
  <c r="AN197" i="2" s="1"/>
  <c r="R193" i="2"/>
  <c r="AH193" i="2"/>
  <c r="J197" i="2"/>
  <c r="AN180" i="2"/>
  <c r="AN179" i="2"/>
  <c r="R202" i="2"/>
  <c r="L190" i="2"/>
  <c r="R182" i="2"/>
  <c r="AH182" i="2"/>
  <c r="AN165" i="2"/>
  <c r="AN166" i="2"/>
  <c r="AI193" i="2"/>
  <c r="R181" i="2"/>
  <c r="AH181" i="2"/>
  <c r="AF145" i="2"/>
  <c r="AF152" i="2"/>
  <c r="AI141" i="2"/>
  <c r="R141" i="2"/>
  <c r="BR53" i="30" s="1"/>
  <c r="AF158" i="2"/>
  <c r="R155" i="2"/>
  <c r="AI155" i="2"/>
  <c r="AN138" i="2"/>
  <c r="AN137" i="2"/>
  <c r="AI160" i="2"/>
  <c r="R159" i="2"/>
  <c r="AH159" i="2"/>
  <c r="AI152" i="2"/>
  <c r="AI151" i="2"/>
  <c r="AI110" i="2"/>
  <c r="AH95" i="2"/>
  <c r="R95" i="2"/>
  <c r="J99" i="2"/>
  <c r="AI99" i="2" s="1"/>
  <c r="R127" i="2"/>
  <c r="AI127" i="2"/>
  <c r="AN120" i="2"/>
  <c r="AN113" i="2"/>
  <c r="R106" i="2"/>
  <c r="AI106" i="2"/>
  <c r="AI118" i="2"/>
  <c r="T81" i="2"/>
  <c r="R74" i="2"/>
  <c r="R64" i="2"/>
  <c r="AF83" i="2"/>
  <c r="AI82" i="2"/>
  <c r="R34" i="2"/>
  <c r="AF202" i="2"/>
  <c r="AD209" i="2"/>
  <c r="AI197" i="2"/>
  <c r="R197" i="2"/>
  <c r="CL53" i="30" s="1"/>
  <c r="R194" i="2"/>
  <c r="AH194" i="2"/>
  <c r="R201" i="2"/>
  <c r="AH201" i="2"/>
  <c r="AN173" i="2"/>
  <c r="AN172" i="2"/>
  <c r="R186" i="2"/>
  <c r="AH186" i="2"/>
  <c r="J190" i="2"/>
  <c r="R190" i="2" s="1"/>
  <c r="CK53" i="30" s="1"/>
  <c r="AI162" i="2"/>
  <c r="R162" i="2"/>
  <c r="AI194" i="2"/>
  <c r="AI181" i="2"/>
  <c r="AH172" i="2"/>
  <c r="J176" i="2"/>
  <c r="AI176" i="2" s="1"/>
  <c r="AF181" i="2"/>
  <c r="R172" i="2"/>
  <c r="R166" i="2"/>
  <c r="AH166" i="2"/>
  <c r="AI144" i="2"/>
  <c r="AH144" i="2"/>
  <c r="R144" i="2"/>
  <c r="R149" i="2" s="1"/>
  <c r="J148" i="2"/>
  <c r="R148" i="2" s="1"/>
  <c r="BS53" i="30" s="1"/>
  <c r="AI134" i="2"/>
  <c r="R134" i="2"/>
  <c r="AN158" i="2"/>
  <c r="AN162" i="2" s="1"/>
  <c r="AN159" i="2"/>
  <c r="J162" i="2"/>
  <c r="AH158" i="2"/>
  <c r="R158" i="2"/>
  <c r="AI172" i="2"/>
  <c r="R146" i="2"/>
  <c r="AI139" i="2"/>
  <c r="R139" i="2"/>
  <c r="AH139" i="2"/>
  <c r="R99" i="2"/>
  <c r="BK53" i="30" s="1"/>
  <c r="AH96" i="2"/>
  <c r="AI96" i="2"/>
  <c r="R124" i="2"/>
  <c r="AH124" i="2"/>
  <c r="AN125" i="2"/>
  <c r="AN127" i="2" s="1"/>
  <c r="R110" i="2"/>
  <c r="AI103" i="2"/>
  <c r="AI95" i="2"/>
  <c r="AI92" i="2"/>
  <c r="R92" i="2"/>
  <c r="J92" i="2"/>
  <c r="AH88" i="2"/>
  <c r="AI132" i="2"/>
  <c r="R132" i="2"/>
  <c r="AH132" i="2"/>
  <c r="AN106" i="2"/>
  <c r="AN97" i="2"/>
  <c r="AP97" i="2" s="1"/>
  <c r="AI78" i="2"/>
  <c r="R78" i="2"/>
  <c r="AI68" i="2"/>
  <c r="AN84" i="2"/>
  <c r="AP84" i="2" s="1"/>
  <c r="L50" i="2"/>
  <c r="AN83" i="2"/>
  <c r="AI70" i="2"/>
  <c r="R70" i="2"/>
  <c r="J85" i="2"/>
  <c r="R85" i="2" s="1"/>
  <c r="L71" i="2"/>
  <c r="BF40" i="35"/>
  <c r="BG34" i="35"/>
  <c r="BK34" i="35"/>
  <c r="CP41" i="35"/>
  <c r="CQ35" i="35"/>
  <c r="BJ41" i="35"/>
  <c r="BK35" i="35"/>
  <c r="CL41" i="35"/>
  <c r="CM35" i="35"/>
  <c r="CH41" i="35"/>
  <c r="CI35" i="35"/>
  <c r="CD41" i="35"/>
  <c r="CE35" i="35"/>
  <c r="BZ41" i="35"/>
  <c r="CA35" i="35"/>
  <c r="BV41" i="35"/>
  <c r="BW35" i="35"/>
  <c r="BN41" i="35"/>
  <c r="AL41" i="35"/>
  <c r="AM35" i="35"/>
  <c r="P6" i="31"/>
  <c r="AD7" i="35"/>
  <c r="BC36" i="35"/>
  <c r="BB42" i="35"/>
  <c r="BN43" i="35"/>
  <c r="BO37" i="35"/>
  <c r="CX41" i="35"/>
  <c r="CT41" i="35"/>
  <c r="CY35" i="35"/>
  <c r="CU35" i="35"/>
  <c r="AX41" i="35"/>
  <c r="AY35" i="35"/>
  <c r="R41" i="35"/>
  <c r="S35" i="35"/>
  <c r="BJ43" i="35"/>
  <c r="BK37" i="35"/>
  <c r="CH43" i="35"/>
  <c r="CI37" i="35"/>
  <c r="CD43" i="35"/>
  <c r="CE37" i="35"/>
  <c r="BZ43" i="35"/>
  <c r="CA37" i="35"/>
  <c r="BV43" i="35"/>
  <c r="BW37" i="35"/>
  <c r="BB41" i="35"/>
  <c r="BC35" i="35"/>
  <c r="BG36" i="35"/>
  <c r="R42" i="35"/>
  <c r="S36" i="35"/>
  <c r="BR41" i="35"/>
  <c r="BS35" i="35"/>
  <c r="BO35" i="35"/>
  <c r="AH41" i="35"/>
  <c r="AI35" i="35"/>
  <c r="AP64" i="31"/>
  <c r="BF64" i="31"/>
  <c r="AH56" i="31"/>
  <c r="BB51" i="31"/>
  <c r="AL57" i="31"/>
  <c r="AB51" i="31"/>
  <c r="P57" i="31"/>
  <c r="BD65" i="31"/>
  <c r="BD59" i="31"/>
  <c r="AX53" i="31"/>
  <c r="BD67" i="31"/>
  <c r="AT51" i="31"/>
  <c r="AH57" i="31"/>
  <c r="BD52" i="31"/>
  <c r="AR57" i="31"/>
  <c r="AJ51" i="31"/>
  <c r="N57" i="31"/>
  <c r="AD59" i="31"/>
  <c r="AJ59" i="31"/>
  <c r="T58" i="31"/>
  <c r="T61" i="31" s="1"/>
  <c r="R52" i="31"/>
  <c r="X52" i="31"/>
  <c r="T57" i="31"/>
  <c r="H58" i="31"/>
  <c r="F58" i="31"/>
  <c r="N58" i="31"/>
  <c r="P56" i="31"/>
  <c r="BB59" i="31"/>
  <c r="X51" i="31"/>
  <c r="AD56" i="31"/>
  <c r="AH50" i="31"/>
  <c r="Z50" i="31"/>
  <c r="Z56" i="31"/>
  <c r="Z61" i="31" s="1"/>
  <c r="BB67" i="31"/>
  <c r="BD56" i="31"/>
  <c r="V61" i="31"/>
  <c r="X61" i="31"/>
  <c r="R61" i="31"/>
  <c r="BD50" i="31"/>
  <c r="BB57" i="31"/>
  <c r="AL51" i="31"/>
  <c r="AB57" i="31"/>
  <c r="AB61" i="31" s="1"/>
  <c r="P51" i="31"/>
  <c r="AX59" i="31"/>
  <c r="AP56" i="31"/>
  <c r="AT57" i="31"/>
  <c r="AH51" i="31"/>
  <c r="L57" i="31"/>
  <c r="AR51" i="31"/>
  <c r="AJ57" i="31"/>
  <c r="BF56" i="31"/>
  <c r="T52" i="31"/>
  <c r="X58" i="31"/>
  <c r="J56" i="31"/>
  <c r="T51" i="31"/>
  <c r="P50" i="31"/>
  <c r="X57" i="31"/>
  <c r="L56" i="31"/>
  <c r="H56" i="31"/>
  <c r="J64" i="32"/>
  <c r="J66" i="32"/>
  <c r="I77" i="8"/>
  <c r="I78" i="8" s="1"/>
  <c r="R63" i="32"/>
  <c r="J77" i="8"/>
  <c r="J78" i="8" s="1"/>
  <c r="T63" i="32"/>
  <c r="R16" i="32"/>
  <c r="F66" i="32"/>
  <c r="AL80" i="32"/>
  <c r="AL38" i="32"/>
  <c r="AL63" i="32" s="1"/>
  <c r="AL66" i="32" s="1"/>
  <c r="V66" i="32"/>
  <c r="Z16" i="32"/>
  <c r="Z38" i="32"/>
  <c r="D66" i="32"/>
  <c r="N66" i="32"/>
  <c r="AB38" i="32"/>
  <c r="AB16" i="32"/>
  <c r="X38" i="32"/>
  <c r="X16" i="32"/>
  <c r="X62" i="32"/>
  <c r="X9" i="3"/>
  <c r="AP74" i="32"/>
  <c r="AN73" i="32"/>
  <c r="AN76" i="32" s="1"/>
  <c r="M82" i="3"/>
  <c r="M63" i="3"/>
  <c r="T82" i="3"/>
  <c r="T63" i="3"/>
  <c r="BL79" i="3"/>
  <c r="BL51" i="3"/>
  <c r="BJ50" i="32" s="1"/>
  <c r="P82" i="3"/>
  <c r="P63" i="3"/>
  <c r="BP39" i="3"/>
  <c r="BN45" i="32" s="1"/>
  <c r="BN43" i="3"/>
  <c r="R82" i="3"/>
  <c r="R63" i="3"/>
  <c r="AZ100" i="3"/>
  <c r="BN24" i="3"/>
  <c r="BJ76" i="3"/>
  <c r="BR78" i="3"/>
  <c r="AP96" i="3"/>
  <c r="AN98" i="3"/>
  <c r="BD99" i="3"/>
  <c r="BB100" i="3"/>
  <c r="BF37" i="3"/>
  <c r="BF45" i="3" s="1"/>
  <c r="BF58" i="3" s="1"/>
  <c r="BH33" i="3"/>
  <c r="M179" i="14"/>
  <c r="K121" i="14"/>
  <c r="K158" i="8"/>
  <c r="Q158" i="8"/>
  <c r="W14" i="8"/>
  <c r="W13" i="8" s="1"/>
  <c r="O295" i="14"/>
  <c r="AX59" i="14"/>
  <c r="S344" i="14"/>
  <c r="S345" i="14" s="1"/>
  <c r="O303" i="14"/>
  <c r="K304" i="14"/>
  <c r="AA262" i="14"/>
  <c r="U212" i="14"/>
  <c r="V212" i="14"/>
  <c r="AK211" i="14"/>
  <c r="J212" i="14"/>
  <c r="K228" i="14"/>
  <c r="N228" i="14"/>
  <c r="AT51" i="14"/>
  <c r="U228" i="14"/>
  <c r="G186" i="14"/>
  <c r="X167" i="14"/>
  <c r="AK166" i="14"/>
  <c r="J167" i="14"/>
  <c r="E179" i="14"/>
  <c r="W178" i="14"/>
  <c r="W179" i="14" s="1"/>
  <c r="O178" i="14"/>
  <c r="G178" i="14"/>
  <c r="T186" i="14"/>
  <c r="AX44" i="14"/>
  <c r="N178" i="14"/>
  <c r="N179" i="14" s="1"/>
  <c r="X105" i="14"/>
  <c r="AK110" i="14"/>
  <c r="X111" i="14"/>
  <c r="I105" i="14"/>
  <c r="J106" i="14" s="1"/>
  <c r="J130" i="14" s="1"/>
  <c r="H105" i="14"/>
  <c r="H111" i="14"/>
  <c r="H33" i="14"/>
  <c r="Z21" i="21"/>
  <c r="E120" i="14"/>
  <c r="F121" i="14" s="1"/>
  <c r="E130" i="14"/>
  <c r="AY40" i="14"/>
  <c r="AT40" i="14"/>
  <c r="Y38" i="14"/>
  <c r="Y39" i="14" s="1"/>
  <c r="AU17" i="14"/>
  <c r="AX17" i="14"/>
  <c r="C115" i="14"/>
  <c r="C116" i="14" s="1"/>
  <c r="D76" i="14"/>
  <c r="C21" i="14"/>
  <c r="D14" i="14"/>
  <c r="D19" i="14" s="1"/>
  <c r="AV17" i="14"/>
  <c r="AD35" i="21"/>
  <c r="AT59" i="14"/>
  <c r="V303" i="14"/>
  <c r="V295" i="14"/>
  <c r="AX55" i="14"/>
  <c r="AK262" i="14"/>
  <c r="AX51" i="14"/>
  <c r="N220" i="14"/>
  <c r="N221" i="14" s="1"/>
  <c r="T212" i="14"/>
  <c r="T228" i="14" s="1"/>
  <c r="M167" i="14"/>
  <c r="M186" i="14" s="1"/>
  <c r="F178" i="14"/>
  <c r="F179" i="14" s="1"/>
  <c r="F167" i="14"/>
  <c r="F186" i="14" s="1"/>
  <c r="U105" i="14"/>
  <c r="V106" i="14" s="1"/>
  <c r="V130" i="14" s="1"/>
  <c r="T111" i="14"/>
  <c r="T105" i="14"/>
  <c r="O106" i="14"/>
  <c r="O130" i="14" s="1"/>
  <c r="W121" i="14"/>
  <c r="G120" i="14"/>
  <c r="G121" i="14" s="1"/>
  <c r="AX40" i="14"/>
  <c r="AT17" i="14"/>
  <c r="AY17" i="14"/>
  <c r="AU32" i="14"/>
  <c r="AU9" i="14"/>
  <c r="D276" i="14"/>
  <c r="D234" i="14"/>
  <c r="D192" i="14"/>
  <c r="D136" i="14"/>
  <c r="D63" i="14"/>
  <c r="E5" i="14"/>
  <c r="AU31" i="14"/>
  <c r="AM70" i="21"/>
  <c r="K288" i="14"/>
  <c r="L284" i="14"/>
  <c r="J729" i="21"/>
  <c r="Q341" i="14"/>
  <c r="Q329" i="14"/>
  <c r="R325" i="14"/>
  <c r="R328" i="14" s="1"/>
  <c r="DI60" i="30"/>
  <c r="J850" i="21"/>
  <c r="N303" i="14"/>
  <c r="N304" i="14" s="1"/>
  <c r="N295" i="14"/>
  <c r="N311" i="14" s="1"/>
  <c r="S270" i="14"/>
  <c r="AY55" i="14"/>
  <c r="AW59" i="14"/>
  <c r="U254" i="14"/>
  <c r="T254" i="14"/>
  <c r="T270" i="14" s="1"/>
  <c r="I270" i="14"/>
  <c r="AB262" i="14"/>
  <c r="T262" i="14"/>
  <c r="T263" i="14" s="1"/>
  <c r="L270" i="14"/>
  <c r="H262" i="14"/>
  <c r="H263" i="14" s="1"/>
  <c r="M254" i="14"/>
  <c r="M270" i="14" s="1"/>
  <c r="J228" i="14"/>
  <c r="V228" i="14"/>
  <c r="I220" i="14"/>
  <c r="L212" i="14"/>
  <c r="L228" i="14" s="1"/>
  <c r="L167" i="14"/>
  <c r="S186" i="14"/>
  <c r="AY44" i="14"/>
  <c r="AK178" i="14"/>
  <c r="U186" i="14"/>
  <c r="K178" i="14"/>
  <c r="I178" i="14"/>
  <c r="I179" i="14" s="1"/>
  <c r="I167" i="14"/>
  <c r="I186" i="14" s="1"/>
  <c r="J186" i="14"/>
  <c r="K106" i="14"/>
  <c r="K130" i="14" s="1"/>
  <c r="I78" i="14"/>
  <c r="I94" i="14" s="1"/>
  <c r="H97" i="14"/>
  <c r="AW40" i="14"/>
  <c r="B95" i="14"/>
  <c r="C76" i="14"/>
  <c r="C95" i="14" s="1"/>
  <c r="C100" i="14" s="1"/>
  <c r="AV40" i="14"/>
  <c r="D120" i="14"/>
  <c r="N120" i="14"/>
  <c r="F130" i="14"/>
  <c r="AY32" i="14"/>
  <c r="AY9" i="14"/>
  <c r="AB594" i="21"/>
  <c r="AD402" i="21"/>
  <c r="AF402" i="21" s="1"/>
  <c r="X14" i="8"/>
  <c r="X13" i="8" s="1"/>
  <c r="V311" i="14"/>
  <c r="R303" i="14"/>
  <c r="S352" i="14"/>
  <c r="AV59" i="14"/>
  <c r="O311" i="14"/>
  <c r="AU59" i="14"/>
  <c r="K295" i="14"/>
  <c r="K311" i="14" s="1"/>
  <c r="O270" i="14"/>
  <c r="AU55" i="14"/>
  <c r="U311" i="14"/>
  <c r="AK253" i="14"/>
  <c r="X254" i="14"/>
  <c r="F242" i="14"/>
  <c r="F246" i="14" s="1"/>
  <c r="E247" i="14"/>
  <c r="E250" i="14" s="1"/>
  <c r="O262" i="14"/>
  <c r="O263" i="14" s="1"/>
  <c r="N263" i="14"/>
  <c r="I263" i="14"/>
  <c r="L262" i="14"/>
  <c r="L263" i="14" s="1"/>
  <c r="S228" i="14"/>
  <c r="AY51" i="14"/>
  <c r="S220" i="14"/>
  <c r="S221" i="14" s="1"/>
  <c r="K220" i="14"/>
  <c r="K221" i="14" s="1"/>
  <c r="J221" i="14"/>
  <c r="F205" i="14"/>
  <c r="G200" i="14"/>
  <c r="G204" i="14" s="1"/>
  <c r="U220" i="14"/>
  <c r="U221" i="14" s="1"/>
  <c r="AB221" i="14"/>
  <c r="AV51" i="14"/>
  <c r="H167" i="14"/>
  <c r="H186" i="14" s="1"/>
  <c r="C175" i="14"/>
  <c r="C160" i="14"/>
  <c r="C163" i="14" s="1"/>
  <c r="D144" i="14"/>
  <c r="D156" i="14" s="1"/>
  <c r="L186" i="14"/>
  <c r="T178" i="14"/>
  <c r="K186" i="14"/>
  <c r="N186" i="14"/>
  <c r="AT44" i="14"/>
  <c r="J178" i="14"/>
  <c r="AB111" i="14"/>
  <c r="AB105" i="14"/>
  <c r="L111" i="14"/>
  <c r="M105" i="14"/>
  <c r="L105" i="14"/>
  <c r="L33" i="14"/>
  <c r="Z49" i="21"/>
  <c r="W106" i="14"/>
  <c r="W130" i="14" s="1"/>
  <c r="O120" i="14"/>
  <c r="H118" i="14"/>
  <c r="M111" i="14"/>
  <c r="H103" i="14"/>
  <c r="H123" i="14"/>
  <c r="D130" i="14"/>
  <c r="AU30" i="14"/>
  <c r="AV9" i="14"/>
  <c r="O317" i="14"/>
  <c r="O276" i="14"/>
  <c r="O234" i="14"/>
  <c r="O192" i="14"/>
  <c r="O136" i="14"/>
  <c r="O63" i="14"/>
  <c r="P5" i="14"/>
  <c r="AU5" i="14"/>
  <c r="D96" i="14"/>
  <c r="E77" i="14"/>
  <c r="E93" i="14" s="1"/>
  <c r="D102" i="14"/>
  <c r="D92" i="14"/>
  <c r="AU34" i="14"/>
  <c r="AY31" i="14"/>
  <c r="N146" i="8"/>
  <c r="G147" i="8"/>
  <c r="G150" i="8" s="1"/>
  <c r="G144" i="8"/>
  <c r="P147" i="8"/>
  <c r="P150" i="8" s="1"/>
  <c r="P144" i="8"/>
  <c r="U161" i="8"/>
  <c r="U162" i="8" s="1"/>
  <c r="M146" i="8"/>
  <c r="M141" i="8"/>
  <c r="X161" i="8"/>
  <c r="X162" i="8" s="1"/>
  <c r="N162" i="8"/>
  <c r="N166" i="8"/>
  <c r="N171" i="8" s="1"/>
  <c r="N170" i="8"/>
  <c r="F37" i="8"/>
  <c r="F29" i="8"/>
  <c r="F151" i="8" s="1"/>
  <c r="D29" i="8"/>
  <c r="D151" i="8" s="1"/>
  <c r="D37" i="8"/>
  <c r="AA14" i="8"/>
  <c r="AA13" i="8" s="1"/>
  <c r="W148" i="8"/>
  <c r="W75" i="8"/>
  <c r="AJ28" i="8"/>
  <c r="W37" i="8"/>
  <c r="W29" i="8"/>
  <c r="K148" i="8"/>
  <c r="K75" i="8"/>
  <c r="K37" i="8"/>
  <c r="K29" i="8"/>
  <c r="K151" i="8" s="1"/>
  <c r="G148" i="8"/>
  <c r="G37" i="8"/>
  <c r="G29" i="8"/>
  <c r="G151" i="8" s="1"/>
  <c r="L147" i="8"/>
  <c r="L150" i="8" s="1"/>
  <c r="L144" i="8"/>
  <c r="AB161" i="8"/>
  <c r="AB162" i="8" s="1"/>
  <c r="I146" i="8"/>
  <c r="V161" i="8"/>
  <c r="V162" i="8" s="1"/>
  <c r="S161" i="8"/>
  <c r="S162" i="8" s="1"/>
  <c r="S143" i="8"/>
  <c r="U148" i="8"/>
  <c r="U37" i="8"/>
  <c r="U29" i="8"/>
  <c r="U151" i="8" s="1"/>
  <c r="Z148" i="8"/>
  <c r="Z37" i="8"/>
  <c r="Z29" i="8"/>
  <c r="Z151" i="8" s="1"/>
  <c r="V148" i="8"/>
  <c r="V37" i="8"/>
  <c r="V29" i="8"/>
  <c r="V151" i="8" s="1"/>
  <c r="R148" i="8"/>
  <c r="R37" i="8"/>
  <c r="R29" i="8"/>
  <c r="R151" i="8" s="1"/>
  <c r="N148" i="8"/>
  <c r="N37" i="8"/>
  <c r="N29" i="8"/>
  <c r="N151" i="8" s="1"/>
  <c r="J148" i="8"/>
  <c r="J37" i="8"/>
  <c r="J29" i="8"/>
  <c r="J151" i="8" s="1"/>
  <c r="T26" i="8"/>
  <c r="U25" i="8"/>
  <c r="S148" i="8"/>
  <c r="S37" i="8"/>
  <c r="S29" i="8"/>
  <c r="S151" i="8" s="1"/>
  <c r="AB44" i="8"/>
  <c r="AB38" i="8"/>
  <c r="AB41" i="8"/>
  <c r="X44" i="8"/>
  <c r="X38" i="8"/>
  <c r="X41" i="8"/>
  <c r="L44" i="8"/>
  <c r="L38" i="8"/>
  <c r="O147" i="8"/>
  <c r="O150" i="8" s="1"/>
  <c r="O144" i="8"/>
  <c r="H147" i="8"/>
  <c r="H150" i="8" s="1"/>
  <c r="H144" i="8"/>
  <c r="R161" i="8"/>
  <c r="R162" i="8" s="1"/>
  <c r="R143" i="8"/>
  <c r="R158" i="8"/>
  <c r="Y161" i="8"/>
  <c r="Y162" i="8" s="1"/>
  <c r="Q161" i="8"/>
  <c r="Q162" i="8" s="1"/>
  <c r="Q143" i="8"/>
  <c r="O158" i="8"/>
  <c r="Z161" i="8"/>
  <c r="Z162" i="8" s="1"/>
  <c r="J147" i="8"/>
  <c r="J150" i="8" s="1"/>
  <c r="J144" i="8"/>
  <c r="R75" i="8"/>
  <c r="AG73" i="8"/>
  <c r="AB14" i="8"/>
  <c r="AB13" i="8" s="1"/>
  <c r="M148" i="8"/>
  <c r="M37" i="8"/>
  <c r="M29" i="8"/>
  <c r="M151" i="8" s="1"/>
  <c r="B37" i="8"/>
  <c r="B29" i="8"/>
  <c r="B151" i="8" s="1"/>
  <c r="Q148" i="8"/>
  <c r="Q37" i="8"/>
  <c r="Q29" i="8"/>
  <c r="Q151" i="8" s="1"/>
  <c r="AF34" i="8"/>
  <c r="S14" i="8"/>
  <c r="S13" i="8" s="1"/>
  <c r="I101" i="8"/>
  <c r="J5" i="8"/>
  <c r="K147" i="8"/>
  <c r="K150" i="8" s="1"/>
  <c r="K144" i="8"/>
  <c r="T161" i="8"/>
  <c r="T162" i="8" s="1"/>
  <c r="I150" i="8"/>
  <c r="N147" i="8"/>
  <c r="N150" i="8" s="1"/>
  <c r="N144" i="8"/>
  <c r="J162" i="8"/>
  <c r="AA161" i="8"/>
  <c r="AA162" i="8" s="1"/>
  <c r="U75" i="8"/>
  <c r="E37" i="8"/>
  <c r="E29" i="8"/>
  <c r="E151" i="8" s="1"/>
  <c r="I148" i="8"/>
  <c r="I37" i="8"/>
  <c r="I29" i="8"/>
  <c r="I151" i="8" s="1"/>
  <c r="H148" i="8"/>
  <c r="H37" i="8"/>
  <c r="H29" i="8"/>
  <c r="H151" i="8" s="1"/>
  <c r="AA148" i="8"/>
  <c r="AA37" i="8"/>
  <c r="AA29" i="8"/>
  <c r="AA151" i="8" s="1"/>
  <c r="O148" i="8"/>
  <c r="O37" i="8"/>
  <c r="O29" i="8"/>
  <c r="O151" i="8" s="1"/>
  <c r="C37" i="8"/>
  <c r="C29" i="8"/>
  <c r="C151" i="8" s="1"/>
  <c r="Y41" i="8"/>
  <c r="Y44" i="8"/>
  <c r="Y38" i="8"/>
  <c r="P44" i="8"/>
  <c r="P38" i="8"/>
  <c r="BR179" i="36"/>
  <c r="BR149" i="36"/>
  <c r="BW122" i="36"/>
  <c r="W95" i="36"/>
  <c r="DG55" i="36"/>
  <c r="CR54" i="36"/>
  <c r="CQ54" i="36"/>
  <c r="BS16" i="30"/>
  <c r="AM97" i="36"/>
  <c r="AM116" i="36"/>
  <c r="P65" i="36"/>
  <c r="K65" i="36"/>
  <c r="AM160" i="19"/>
  <c r="CU269" i="36"/>
  <c r="CQ269" i="36"/>
  <c r="CU30" i="30"/>
  <c r="CP30" i="30"/>
  <c r="CK30" i="30"/>
  <c r="CF30" i="30"/>
  <c r="CA30" i="30"/>
  <c r="BV30" i="30"/>
  <c r="BQ30" i="30"/>
  <c r="BS236" i="36"/>
  <c r="BO236" i="36"/>
  <c r="CM234" i="36"/>
  <c r="DK213" i="36"/>
  <c r="DN236" i="36"/>
  <c r="DO236" i="36" s="1"/>
  <c r="AP279" i="36"/>
  <c r="DK203" i="36"/>
  <c r="CU114" i="36"/>
  <c r="CU97" i="36"/>
  <c r="AN97" i="36"/>
  <c r="AI97" i="36"/>
  <c r="DK96" i="36"/>
  <c r="DD66" i="36"/>
  <c r="CY66" i="36"/>
  <c r="CT177" i="36"/>
  <c r="CT147" i="36"/>
  <c r="CT125" i="36"/>
  <c r="CY120" i="36"/>
  <c r="CP180" i="36"/>
  <c r="CP150" i="36"/>
  <c r="CU123" i="36"/>
  <c r="CM98" i="36"/>
  <c r="CR98" i="36"/>
  <c r="BO65" i="36"/>
  <c r="BH120" i="39"/>
  <c r="AX177" i="36"/>
  <c r="AX130" i="36"/>
  <c r="BC130" i="36" s="1"/>
  <c r="AX147" i="36"/>
  <c r="AX125" i="36"/>
  <c r="BC120" i="36"/>
  <c r="AR66" i="36"/>
  <c r="AM66" i="36"/>
  <c r="AN65" i="36"/>
  <c r="AI65" i="36"/>
  <c r="BH64" i="39"/>
  <c r="BI64" i="39" s="1"/>
  <c r="DG96" i="36"/>
  <c r="DL96" i="36"/>
  <c r="CY67" i="36"/>
  <c r="DD67" i="36"/>
  <c r="CQ65" i="36"/>
  <c r="CV65" i="36"/>
  <c r="BH169" i="39"/>
  <c r="CQ95" i="36"/>
  <c r="CV95" i="36"/>
  <c r="CE66" i="36"/>
  <c r="CD178" i="36"/>
  <c r="CD148" i="36"/>
  <c r="BW189" i="36"/>
  <c r="AX178" i="36"/>
  <c r="AX148" i="36"/>
  <c r="AX131" i="36"/>
  <c r="BC131" i="36" s="1"/>
  <c r="BC121" i="36"/>
  <c r="AP150" i="36"/>
  <c r="AP133" i="36"/>
  <c r="AU133" i="36" s="1"/>
  <c r="AP180" i="36"/>
  <c r="AU123" i="36"/>
  <c r="S110" i="36"/>
  <c r="R120" i="36"/>
  <c r="R96" i="36"/>
  <c r="S96" i="36" s="1"/>
  <c r="R95" i="36"/>
  <c r="S95" i="36" s="1"/>
  <c r="R97" i="36"/>
  <c r="S97" i="36" s="1"/>
  <c r="S91" i="36"/>
  <c r="AJ77" i="36"/>
  <c r="AE77" i="36"/>
  <c r="DG66" i="36"/>
  <c r="DL66" i="36"/>
  <c r="DF178" i="36"/>
  <c r="DF148" i="36"/>
  <c r="DF257" i="36" s="1"/>
  <c r="DK121" i="36"/>
  <c r="DH95" i="36"/>
  <c r="DC95" i="36"/>
  <c r="DG115" i="36"/>
  <c r="CT180" i="36"/>
  <c r="CY123" i="36"/>
  <c r="CT150" i="36"/>
  <c r="BC65" i="36"/>
  <c r="BH99" i="39"/>
  <c r="BI99" i="39" s="1"/>
  <c r="BC94" i="36"/>
  <c r="BC113" i="36"/>
  <c r="BB123" i="36"/>
  <c r="AL123" i="36"/>
  <c r="AM94" i="36"/>
  <c r="AM113" i="36"/>
  <c r="AR94" i="36"/>
  <c r="AJ66" i="36"/>
  <c r="AE66" i="36"/>
  <c r="Z131" i="36"/>
  <c r="AE131" i="36" s="1"/>
  <c r="Z148" i="36"/>
  <c r="Z178" i="36"/>
  <c r="K67" i="36"/>
  <c r="P67" i="36"/>
  <c r="CP55" i="36"/>
  <c r="AV76" i="36"/>
  <c r="AQ76" i="36"/>
  <c r="AF76" i="36"/>
  <c r="AA76" i="36"/>
  <c r="AB77" i="36"/>
  <c r="W77" i="36"/>
  <c r="BZ179" i="36"/>
  <c r="BZ149" i="36"/>
  <c r="CE122" i="36"/>
  <c r="AE65" i="36"/>
  <c r="AJ65" i="36"/>
  <c r="BH57" i="39"/>
  <c r="N121" i="36"/>
  <c r="O111" i="36"/>
  <c r="O92" i="36"/>
  <c r="DL55" i="36"/>
  <c r="DP55" i="36"/>
  <c r="BW46" i="36"/>
  <c r="BX46" i="36"/>
  <c r="BO35" i="36"/>
  <c r="BP35" i="36"/>
  <c r="BS36" i="36"/>
  <c r="BT36" i="36"/>
  <c r="BG37" i="36"/>
  <c r="BH37" i="36"/>
  <c r="AR77" i="36"/>
  <c r="AM77" i="36"/>
  <c r="CV97" i="36"/>
  <c r="CL178" i="36"/>
  <c r="CQ121" i="36"/>
  <c r="CL148" i="36"/>
  <c r="BD94" i="36"/>
  <c r="AH121" i="36"/>
  <c r="AI111" i="36"/>
  <c r="AI92" i="36"/>
  <c r="AN92" i="36"/>
  <c r="AF66" i="36"/>
  <c r="AA66" i="36"/>
  <c r="AA67" i="36"/>
  <c r="AF67" i="36"/>
  <c r="J179" i="36"/>
  <c r="J132" i="36"/>
  <c r="O132" i="36" s="1"/>
  <c r="J149" i="36"/>
  <c r="O122" i="36"/>
  <c r="CZ53" i="36"/>
  <c r="DD53" i="36"/>
  <c r="CY53" i="36"/>
  <c r="CF53" i="36"/>
  <c r="CE53" i="36"/>
  <c r="BC16" i="30"/>
  <c r="BP36" i="36"/>
  <c r="BO36" i="36"/>
  <c r="AN77" i="36"/>
  <c r="AI77" i="36"/>
  <c r="AY93" i="36"/>
  <c r="AY112" i="36"/>
  <c r="AX122" i="36"/>
  <c r="AN94" i="36"/>
  <c r="AA64" i="36"/>
  <c r="Z94" i="36"/>
  <c r="AF64" i="36"/>
  <c r="BH49" i="39"/>
  <c r="F122" i="36"/>
  <c r="G112" i="36"/>
  <c r="G93" i="36"/>
  <c r="DP53" i="36"/>
  <c r="DL53" i="36"/>
  <c r="DK53" i="36"/>
  <c r="CX54" i="36"/>
  <c r="BL36" i="36"/>
  <c r="BK36" i="36"/>
  <c r="CE93" i="36"/>
  <c r="CE112" i="36"/>
  <c r="CD122" i="36"/>
  <c r="BJ122" i="36"/>
  <c r="BK112" i="36"/>
  <c r="BP93" i="36"/>
  <c r="BK93" i="36"/>
  <c r="AR76" i="36"/>
  <c r="AM76" i="36"/>
  <c r="BS87" i="36"/>
  <c r="BS47" i="36"/>
  <c r="BS27" i="36"/>
  <c r="BS16" i="36"/>
  <c r="BL16" i="36"/>
  <c r="BW15" i="36"/>
  <c r="BW26" i="36"/>
  <c r="AJ76" i="36"/>
  <c r="AE76" i="36"/>
  <c r="P75" i="36"/>
  <c r="K75" i="36"/>
  <c r="CI25" i="36"/>
  <c r="CJ25" i="36" s="1"/>
  <c r="CI14" i="36"/>
  <c r="BB155" i="39"/>
  <c r="CH93" i="36"/>
  <c r="CI63" i="36"/>
  <c r="CN63" i="36"/>
  <c r="BH153" i="39"/>
  <c r="BH25" i="36"/>
  <c r="BS46" i="36"/>
  <c r="BS26" i="36"/>
  <c r="BS15" i="36"/>
  <c r="BG27" i="36"/>
  <c r="AB67" i="36"/>
  <c r="CM15" i="36"/>
  <c r="CM26" i="36"/>
  <c r="CQ15" i="36"/>
  <c r="CF24" i="36"/>
  <c r="CB24" i="36"/>
  <c r="BZ94" i="36"/>
  <c r="CF64" i="36"/>
  <c r="CB64" i="36"/>
  <c r="CA64" i="36"/>
  <c r="BH140" i="39"/>
  <c r="CH94" i="36"/>
  <c r="CJ64" i="36"/>
  <c r="CI64" i="36"/>
  <c r="CN64" i="36"/>
  <c r="BH154" i="39"/>
  <c r="BL21" i="36"/>
  <c r="CK9" i="30"/>
  <c r="CF11" i="30"/>
  <c r="CA14" i="30"/>
  <c r="CU14" i="30"/>
  <c r="CK16" i="30"/>
  <c r="CC19" i="30"/>
  <c r="CW19" i="30"/>
  <c r="CL23" i="30"/>
  <c r="CA28" i="30"/>
  <c r="CK28" i="30"/>
  <c r="CQ9" i="30"/>
  <c r="CL11" i="30"/>
  <c r="CG14" i="30"/>
  <c r="BW16" i="30"/>
  <c r="CQ16" i="30"/>
  <c r="CE19" i="30"/>
  <c r="BX23" i="30"/>
  <c r="BW28" i="30"/>
  <c r="CG28" i="30"/>
  <c r="CQ28" i="30"/>
  <c r="CG9" i="30"/>
  <c r="CM9" i="30"/>
  <c r="CM11" i="30"/>
  <c r="CM14" i="30"/>
  <c r="CC16" i="30"/>
  <c r="CW16" i="30"/>
  <c r="CK19" i="30"/>
  <c r="BZ23" i="30"/>
  <c r="BX28" i="30"/>
  <c r="CH28" i="30"/>
  <c r="BV9" i="30"/>
  <c r="BZ9" i="30"/>
  <c r="BU11" i="30"/>
  <c r="CO11" i="30"/>
  <c r="CJ14" i="30"/>
  <c r="BZ16" i="30"/>
  <c r="CT16" i="30"/>
  <c r="CL19" i="30"/>
  <c r="CA23" i="30"/>
  <c r="BU28" i="30"/>
  <c r="CE28" i="30"/>
  <c r="CO28" i="30"/>
  <c r="B22" i="88" s="1"/>
  <c r="H22" i="88" s="1"/>
  <c r="CB21" i="36"/>
  <c r="CA15" i="36"/>
  <c r="CP273" i="36"/>
  <c r="CE236" i="36"/>
  <c r="CA236" i="36"/>
  <c r="CI235" i="36"/>
  <c r="DN235" i="36"/>
  <c r="DO235" i="36" s="1"/>
  <c r="W236" i="36"/>
  <c r="BZ234" i="36"/>
  <c r="CE234" i="36" s="1"/>
  <c r="DH97" i="36"/>
  <c r="DC97" i="36"/>
  <c r="DC116" i="36"/>
  <c r="DK97" i="36"/>
  <c r="DJ177" i="36"/>
  <c r="DJ125" i="36"/>
  <c r="DJ126" i="36"/>
  <c r="DH67" i="36"/>
  <c r="DC67" i="36"/>
  <c r="CZ65" i="36"/>
  <c r="CU65" i="36"/>
  <c r="BH176" i="39"/>
  <c r="CU96" i="36"/>
  <c r="CZ96" i="36"/>
  <c r="CE95" i="36"/>
  <c r="BV179" i="36"/>
  <c r="CA179" i="36" s="1"/>
  <c r="BV149" i="36"/>
  <c r="CA122" i="36"/>
  <c r="BN177" i="36"/>
  <c r="BN147" i="36"/>
  <c r="BC66" i="36"/>
  <c r="BD65" i="36"/>
  <c r="AY65" i="36"/>
  <c r="BH92" i="39"/>
  <c r="AY96" i="36"/>
  <c r="BD96" i="36"/>
  <c r="AI95" i="36"/>
  <c r="AD180" i="36"/>
  <c r="AD133" i="36"/>
  <c r="AI133" i="36" s="1"/>
  <c r="AD150" i="36"/>
  <c r="AI123" i="36"/>
  <c r="AV77" i="36"/>
  <c r="AQ77" i="36"/>
  <c r="DK66" i="36"/>
  <c r="DG95" i="36"/>
  <c r="AY66" i="36"/>
  <c r="BD66" i="36"/>
  <c r="AU65" i="36"/>
  <c r="AZ65" i="36"/>
  <c r="BH85" i="39"/>
  <c r="BI85" i="39" s="1"/>
  <c r="AT130" i="36"/>
  <c r="AY130" i="36" s="1"/>
  <c r="AT177" i="36"/>
  <c r="AT147" i="36"/>
  <c r="AY120" i="36"/>
  <c r="AM67" i="36"/>
  <c r="AR67" i="36"/>
  <c r="AI96" i="36"/>
  <c r="AN96" i="36"/>
  <c r="T77" i="36"/>
  <c r="O77" i="36"/>
  <c r="DC65" i="36"/>
  <c r="DH65" i="36"/>
  <c r="BH190" i="39"/>
  <c r="BI190" i="39" s="1"/>
  <c r="DC114" i="36"/>
  <c r="CZ93" i="36"/>
  <c r="CT122" i="36"/>
  <c r="CT126" i="36" s="1"/>
  <c r="CU93" i="36"/>
  <c r="CU112" i="36"/>
  <c r="CT98" i="36"/>
  <c r="DF122" i="36"/>
  <c r="DL93" i="36"/>
  <c r="DG93" i="36"/>
  <c r="DG112" i="36"/>
  <c r="DF98" i="36"/>
  <c r="DB178" i="36"/>
  <c r="DG178" i="36" s="1"/>
  <c r="DG121" i="36"/>
  <c r="DB148" i="36"/>
  <c r="CX177" i="36"/>
  <c r="DC120" i="36"/>
  <c r="CX147" i="36"/>
  <c r="CX125" i="36"/>
  <c r="V147" i="36"/>
  <c r="V177" i="36"/>
  <c r="V130" i="36"/>
  <c r="AA130" i="36" s="1"/>
  <c r="J178" i="36"/>
  <c r="J131" i="36"/>
  <c r="O131" i="36" s="1"/>
  <c r="J148" i="36"/>
  <c r="O121" i="36"/>
  <c r="CV98" i="36"/>
  <c r="CQ98" i="36"/>
  <c r="CP179" i="36"/>
  <c r="CU122" i="36"/>
  <c r="CP149" i="36"/>
  <c r="CD180" i="36"/>
  <c r="CD150" i="36"/>
  <c r="X67" i="36"/>
  <c r="S67" i="36"/>
  <c r="P66" i="36"/>
  <c r="K66" i="36"/>
  <c r="L65" i="36"/>
  <c r="G65" i="36"/>
  <c r="DC54" i="36"/>
  <c r="DD54" i="36"/>
  <c r="DH98" i="36"/>
  <c r="DC98" i="36"/>
  <c r="DH93" i="36"/>
  <c r="BC96" i="36"/>
  <c r="BB177" i="36"/>
  <c r="BB130" i="36"/>
  <c r="BB147" i="36"/>
  <c r="BB125" i="36"/>
  <c r="AT179" i="36"/>
  <c r="AT132" i="36"/>
  <c r="AY132" i="36" s="1"/>
  <c r="AT149" i="36"/>
  <c r="AY122" i="36"/>
  <c r="AQ110" i="36"/>
  <c r="AQ91" i="36"/>
  <c r="AP120" i="36"/>
  <c r="AP97" i="36"/>
  <c r="AR97" i="36" s="1"/>
  <c r="AV91" i="36"/>
  <c r="AP96" i="36"/>
  <c r="AP95" i="36"/>
  <c r="AJ67" i="36"/>
  <c r="AE67" i="36"/>
  <c r="V122" i="36"/>
  <c r="W112" i="36"/>
  <c r="W93" i="36"/>
  <c r="AB93" i="36"/>
  <c r="F178" i="36"/>
  <c r="K178" i="36" s="1"/>
  <c r="F148" i="36"/>
  <c r="F131" i="36"/>
  <c r="K131" i="36" s="1"/>
  <c r="K121" i="36"/>
  <c r="BZ178" i="36"/>
  <c r="CE178" i="36" s="1"/>
  <c r="BZ148" i="36"/>
  <c r="CE121" i="36"/>
  <c r="AL95" i="36"/>
  <c r="AI66" i="36"/>
  <c r="AN66" i="36"/>
  <c r="N120" i="36"/>
  <c r="O110" i="36"/>
  <c r="N97" i="36"/>
  <c r="O97" i="36" s="1"/>
  <c r="O91" i="36"/>
  <c r="N96" i="36"/>
  <c r="O96" i="36" s="1"/>
  <c r="DB55" i="36"/>
  <c r="CV53" i="36"/>
  <c r="CU53" i="36"/>
  <c r="CB53" i="36"/>
  <c r="CA53" i="36"/>
  <c r="AX16" i="30"/>
  <c r="BX47" i="36"/>
  <c r="BW47" i="36"/>
  <c r="BL35" i="36"/>
  <c r="BK35" i="36"/>
  <c r="CD54" i="36"/>
  <c r="BO56" i="36"/>
  <c r="BO26" i="36"/>
  <c r="DS24" i="36"/>
  <c r="DR24" i="36"/>
  <c r="AV16" i="36"/>
  <c r="BO25" i="36"/>
  <c r="BP25" i="36" s="1"/>
  <c r="BV67" i="36"/>
  <c r="BV91" i="36"/>
  <c r="BW61" i="36"/>
  <c r="BV65" i="36"/>
  <c r="CB61" i="36"/>
  <c r="BV66" i="36"/>
  <c r="BH130" i="39"/>
  <c r="DS22" i="36"/>
  <c r="DR22" i="36"/>
  <c r="BJ91" i="36"/>
  <c r="BK61" i="36"/>
  <c r="BJ65" i="36"/>
  <c r="BJ67" i="36"/>
  <c r="BP61" i="36"/>
  <c r="BJ66" i="36"/>
  <c r="BH109" i="39"/>
  <c r="CI47" i="36"/>
  <c r="CI27" i="36"/>
  <c r="CI16" i="36"/>
  <c r="CJ15" i="36"/>
  <c r="CJ18" i="36" s="1"/>
  <c r="CN61" i="36"/>
  <c r="CH66" i="36"/>
  <c r="CJ66" i="36" s="1"/>
  <c r="CH67" i="36"/>
  <c r="CJ61" i="36"/>
  <c r="CH91" i="36"/>
  <c r="CI61" i="36"/>
  <c r="CH65" i="36"/>
  <c r="BH151" i="39"/>
  <c r="L75" i="36"/>
  <c r="G75" i="36"/>
  <c r="CI45" i="36"/>
  <c r="DS35" i="36"/>
  <c r="BF121" i="36"/>
  <c r="BG111" i="36"/>
  <c r="BL92" i="36"/>
  <c r="BG92" i="36"/>
  <c r="CH92" i="36"/>
  <c r="CN62" i="36"/>
  <c r="CJ62" i="36"/>
  <c r="CI62" i="36"/>
  <c r="BH152" i="39"/>
  <c r="CP9" i="30"/>
  <c r="CK11" i="30"/>
  <c r="CF14" i="30"/>
  <c r="BV16" i="30"/>
  <c r="CP16" i="30"/>
  <c r="CH19" i="30"/>
  <c r="BW23" i="30"/>
  <c r="CQ23" i="30"/>
  <c r="CA29" i="30"/>
  <c r="CK29" i="30"/>
  <c r="BW11" i="30"/>
  <c r="CQ11" i="30"/>
  <c r="CL14" i="30"/>
  <c r="CB16" i="30"/>
  <c r="CV16" i="30"/>
  <c r="CJ19" i="30"/>
  <c r="CC23" i="30"/>
  <c r="BW29" i="30"/>
  <c r="CG29" i="30"/>
  <c r="CQ29" i="30"/>
  <c r="BX9" i="30"/>
  <c r="BX11" i="30"/>
  <c r="BX14" i="30"/>
  <c r="CR14" i="30"/>
  <c r="CH16" i="30"/>
  <c r="BV19" i="30"/>
  <c r="CP19" i="30"/>
  <c r="CE23" i="30"/>
  <c r="BX29" i="30"/>
  <c r="CH29" i="30"/>
  <c r="BW9" i="30"/>
  <c r="CE9" i="30"/>
  <c r="BZ11" i="30"/>
  <c r="BU14" i="30"/>
  <c r="CO14" i="30"/>
  <c r="CE16" i="30"/>
  <c r="BW19" i="30"/>
  <c r="CQ19" i="30"/>
  <c r="CF23" i="30"/>
  <c r="BU29" i="30"/>
  <c r="CE29" i="30"/>
  <c r="CO29" i="30"/>
  <c r="BP18" i="36"/>
  <c r="BW16" i="36"/>
  <c r="BL190" i="39"/>
  <c r="CL279" i="36"/>
  <c r="BI29" i="30"/>
  <c r="AA234" i="36"/>
  <c r="CI236" i="36"/>
  <c r="W96" i="36"/>
  <c r="CU95" i="36"/>
  <c r="CL179" i="36"/>
  <c r="CQ179" i="36" s="1"/>
  <c r="CL149" i="36"/>
  <c r="CQ122" i="36"/>
  <c r="CD177" i="36"/>
  <c r="CD147" i="36"/>
  <c r="CD125" i="36"/>
  <c r="CD124" i="36"/>
  <c r="CD126" i="36"/>
  <c r="BR178" i="36"/>
  <c r="BR148" i="36"/>
  <c r="BJ180" i="36"/>
  <c r="BJ150" i="36"/>
  <c r="BO123" i="36"/>
  <c r="AT180" i="36"/>
  <c r="AT133" i="36"/>
  <c r="AY133" i="36" s="1"/>
  <c r="AT150" i="36"/>
  <c r="AY123" i="36"/>
  <c r="AP179" i="36"/>
  <c r="AU179" i="36" s="1"/>
  <c r="AP132" i="36"/>
  <c r="AU132" i="36" s="1"/>
  <c r="AP149" i="36"/>
  <c r="AU122" i="36"/>
  <c r="AL178" i="36"/>
  <c r="AQ178" i="36" s="1"/>
  <c r="D48" i="30" s="1"/>
  <c r="AL131" i="36"/>
  <c r="AQ131" i="36" s="1"/>
  <c r="AL148" i="36"/>
  <c r="AQ121" i="36"/>
  <c r="AH177" i="36"/>
  <c r="AH130" i="36"/>
  <c r="AM130" i="36" s="1"/>
  <c r="AH147" i="36"/>
  <c r="AH125" i="36"/>
  <c r="AM120" i="36"/>
  <c r="CX122" i="36"/>
  <c r="CX126" i="36" s="1"/>
  <c r="DC126" i="36" s="1"/>
  <c r="DD93" i="36"/>
  <c r="CY93" i="36"/>
  <c r="CY112" i="36"/>
  <c r="CX98" i="36"/>
  <c r="AL122" i="36"/>
  <c r="AM112" i="36"/>
  <c r="AM93" i="36"/>
  <c r="AR93" i="36"/>
  <c r="AF77" i="36"/>
  <c r="AA77" i="36"/>
  <c r="P77" i="36"/>
  <c r="K77" i="36"/>
  <c r="DJ178" i="36"/>
  <c r="DL97" i="36"/>
  <c r="DG97" i="36"/>
  <c r="DB180" i="36"/>
  <c r="DG123" i="36"/>
  <c r="DB150" i="36"/>
  <c r="CU66" i="36"/>
  <c r="CZ66" i="36"/>
  <c r="CP177" i="36"/>
  <c r="CU120" i="36"/>
  <c r="CP147" i="36"/>
  <c r="CP126" i="36"/>
  <c r="CP124" i="36"/>
  <c r="CP125" i="36"/>
  <c r="CU125" i="36" s="1"/>
  <c r="CL180" i="36"/>
  <c r="CQ180" i="36" s="1"/>
  <c r="CQ123" i="36"/>
  <c r="CL150" i="36"/>
  <c r="CX97" i="36"/>
  <c r="DK67" i="36"/>
  <c r="DB177" i="36"/>
  <c r="DG120" i="36"/>
  <c r="DB147" i="36"/>
  <c r="DB125" i="36"/>
  <c r="DB126" i="36"/>
  <c r="DB124" i="36"/>
  <c r="CU67" i="36"/>
  <c r="CZ67" i="36"/>
  <c r="CP178" i="36"/>
  <c r="CP148" i="36"/>
  <c r="CU121" i="36"/>
  <c r="G77" i="36"/>
  <c r="L77" i="36"/>
  <c r="DD65" i="36"/>
  <c r="CY65" i="36"/>
  <c r="BH183" i="39"/>
  <c r="BI183" i="39" s="1"/>
  <c r="CY96" i="36"/>
  <c r="DD96" i="36"/>
  <c r="AR65" i="36"/>
  <c r="AM65" i="36"/>
  <c r="BH71" i="39"/>
  <c r="BI71" i="39" s="1"/>
  <c r="W97" i="36"/>
  <c r="N179" i="36"/>
  <c r="N149" i="36"/>
  <c r="N132" i="36"/>
  <c r="S132" i="36" s="1"/>
  <c r="AU66" i="36"/>
  <c r="AZ66" i="36"/>
  <c r="AP178" i="36"/>
  <c r="AP148" i="36"/>
  <c r="AP131" i="36"/>
  <c r="AU131" i="36" s="1"/>
  <c r="AU121" i="36"/>
  <c r="AD121" i="36"/>
  <c r="AE111" i="36"/>
  <c r="AJ92" i="36"/>
  <c r="AE92" i="36"/>
  <c r="AF92" i="36"/>
  <c r="BX54" i="36"/>
  <c r="BW54" i="36"/>
  <c r="AT16" i="30"/>
  <c r="CV55" i="36"/>
  <c r="CU55" i="36"/>
  <c r="DB179" i="36"/>
  <c r="DG122" i="36"/>
  <c r="DB149" i="36"/>
  <c r="AV66" i="36"/>
  <c r="AQ66" i="36"/>
  <c r="AH122" i="36"/>
  <c r="AH126" i="36" s="1"/>
  <c r="AM126" i="36" s="1"/>
  <c r="AI112" i="36"/>
  <c r="AN93" i="36"/>
  <c r="AI93" i="36"/>
  <c r="AD120" i="36"/>
  <c r="AE110" i="36"/>
  <c r="AE91" i="36"/>
  <c r="AJ91" i="36"/>
  <c r="AD97" i="36"/>
  <c r="AD95" i="36"/>
  <c r="AD96" i="36"/>
  <c r="G67" i="36"/>
  <c r="L67" i="36"/>
  <c r="X77" i="36"/>
  <c r="S77" i="36"/>
  <c r="CE97" i="36"/>
  <c r="AX180" i="36"/>
  <c r="AX150" i="36"/>
  <c r="AX133" i="36"/>
  <c r="BC133" i="36" s="1"/>
  <c r="BC123" i="36"/>
  <c r="AU92" i="36"/>
  <c r="AT121" i="36"/>
  <c r="AT126" i="36" s="1"/>
  <c r="AU111" i="36"/>
  <c r="AZ92" i="36"/>
  <c r="AD149" i="36"/>
  <c r="AD179" i="36"/>
  <c r="AD132" i="36"/>
  <c r="AI132" i="36" s="1"/>
  <c r="AI122" i="36"/>
  <c r="Z120" i="36"/>
  <c r="AA110" i="36"/>
  <c r="Z97" i="36"/>
  <c r="AB97" i="36" s="1"/>
  <c r="AF91" i="36"/>
  <c r="Z95" i="36"/>
  <c r="AA91" i="36"/>
  <c r="Z96" i="36"/>
  <c r="AB96" i="36" s="1"/>
  <c r="T66" i="36"/>
  <c r="O66" i="36"/>
  <c r="DH54" i="36"/>
  <c r="DG54" i="36"/>
  <c r="DL54" i="36"/>
  <c r="CR53" i="36"/>
  <c r="CQ53" i="36"/>
  <c r="BR16" i="30"/>
  <c r="BT37" i="36"/>
  <c r="BS37" i="36"/>
  <c r="AT97" i="36"/>
  <c r="AH133" i="36"/>
  <c r="AM133" i="36" s="1"/>
  <c r="AH150" i="36"/>
  <c r="AH180" i="36"/>
  <c r="AM123" i="36"/>
  <c r="BX53" i="36"/>
  <c r="BW53" i="36"/>
  <c r="AS16" i="30"/>
  <c r="CV54" i="36"/>
  <c r="CU54" i="36"/>
  <c r="CF35" i="36"/>
  <c r="CE35" i="36"/>
  <c r="CJ35" i="36"/>
  <c r="BD35" i="36"/>
  <c r="BC35" i="36"/>
  <c r="CE67" i="36"/>
  <c r="CJ67" i="36"/>
  <c r="BB93" i="36"/>
  <c r="BC63" i="36"/>
  <c r="DZ63" i="36"/>
  <c r="DZ64" i="36" s="1"/>
  <c r="BB67" i="36"/>
  <c r="BH63" i="36"/>
  <c r="BH97" i="39"/>
  <c r="BF93" i="36"/>
  <c r="EA63" i="36"/>
  <c r="EA64" i="36" s="1"/>
  <c r="BL63" i="36"/>
  <c r="BG63" i="36"/>
  <c r="BH104" i="39"/>
  <c r="BV57" i="36"/>
  <c r="BW57" i="36" s="1"/>
  <c r="BG56" i="36"/>
  <c r="BG26" i="36"/>
  <c r="BN92" i="36"/>
  <c r="BO62" i="36"/>
  <c r="BN66" i="36"/>
  <c r="BN67" i="36"/>
  <c r="BT62" i="36"/>
  <c r="BH117" i="39"/>
  <c r="O65" i="36"/>
  <c r="T65" i="36"/>
  <c r="BF94" i="36"/>
  <c r="BG64" i="36"/>
  <c r="BL64" i="36"/>
  <c r="BH105" i="39"/>
  <c r="DR21" i="36"/>
  <c r="DS21" i="36"/>
  <c r="BC211" i="39"/>
  <c r="CM47" i="36"/>
  <c r="CM27" i="36"/>
  <c r="CN16" i="36"/>
  <c r="CM16" i="36"/>
  <c r="BZ91" i="36"/>
  <c r="CA61" i="36"/>
  <c r="BZ65" i="36"/>
  <c r="CF61" i="36"/>
  <c r="BZ66" i="36"/>
  <c r="BZ67" i="36"/>
  <c r="BH137" i="39"/>
  <c r="CM37" i="36"/>
  <c r="BL37" i="36"/>
  <c r="BT35" i="36"/>
  <c r="CI46" i="36"/>
  <c r="CI15" i="36"/>
  <c r="CI26" i="36"/>
  <c r="BV92" i="36"/>
  <c r="CB62" i="36"/>
  <c r="BX62" i="36"/>
  <c r="BW62" i="36"/>
  <c r="BH131" i="39"/>
  <c r="BR91" i="36"/>
  <c r="BX61" i="36"/>
  <c r="BR66" i="36"/>
  <c r="BR67" i="36"/>
  <c r="BT61" i="36"/>
  <c r="BR65" i="36"/>
  <c r="BS61" i="36"/>
  <c r="BH123" i="39"/>
  <c r="CB11" i="30"/>
  <c r="BW14" i="30"/>
  <c r="CQ14" i="30"/>
  <c r="CG16" i="30"/>
  <c r="BU19" i="30"/>
  <c r="CO19" i="30"/>
  <c r="CH23" i="30"/>
  <c r="CB28" i="30"/>
  <c r="CL28" i="30"/>
  <c r="CC9" i="30"/>
  <c r="CC11" i="30"/>
  <c r="CC14" i="30"/>
  <c r="CW14" i="30"/>
  <c r="CM16" i="30"/>
  <c r="CA19" i="30"/>
  <c r="CU19" i="30"/>
  <c r="CJ23" i="30"/>
  <c r="C17" i="88" s="1"/>
  <c r="CC28" i="30"/>
  <c r="CM28" i="30"/>
  <c r="CL9" i="30"/>
  <c r="CJ9" i="30"/>
  <c r="CE11" i="30"/>
  <c r="BZ14" i="30"/>
  <c r="CT14" i="30"/>
  <c r="CJ16" i="30"/>
  <c r="CB19" i="30"/>
  <c r="CV19" i="30"/>
  <c r="CK23" i="30"/>
  <c r="BZ28" i="30"/>
  <c r="CJ28" i="30"/>
  <c r="C22" i="88" s="1"/>
  <c r="G22" i="88" s="1"/>
  <c r="BH18" i="36"/>
  <c r="AM161" i="19"/>
  <c r="CU270" i="36"/>
  <c r="CT281" i="36"/>
  <c r="CT271" i="36"/>
  <c r="CT272" i="36" s="1"/>
  <c r="DK234" i="36"/>
  <c r="W234" i="36"/>
  <c r="BW236" i="36"/>
  <c r="S234" i="36"/>
  <c r="BS234" i="36"/>
  <c r="BO234" i="36"/>
  <c r="DS234" i="36"/>
  <c r="DN234" i="36"/>
  <c r="DO234" i="36" s="1"/>
  <c r="BS235" i="36"/>
  <c r="DK204" i="36"/>
  <c r="AI116" i="36"/>
  <c r="CY116" i="36"/>
  <c r="CY115" i="36"/>
  <c r="DF180" i="36"/>
  <c r="DF150" i="36"/>
  <c r="DF259" i="36" s="1"/>
  <c r="CX178" i="36"/>
  <c r="DC178" i="36" s="1"/>
  <c r="DC121" i="36"/>
  <c r="CX148" i="36"/>
  <c r="CJ65" i="36"/>
  <c r="CE65" i="36"/>
  <c r="BH148" i="39"/>
  <c r="CE115" i="36"/>
  <c r="CE96" i="36"/>
  <c r="BB178" i="36"/>
  <c r="BB131" i="36"/>
  <c r="BB148" i="36"/>
  <c r="BG121" i="36"/>
  <c r="AY95" i="36"/>
  <c r="Z179" i="36"/>
  <c r="AE179" i="36" s="1"/>
  <c r="Z132" i="36"/>
  <c r="AE132" i="36" s="1"/>
  <c r="Z149" i="36"/>
  <c r="AE122" i="36"/>
  <c r="DG65" i="36"/>
  <c r="BH197" i="39"/>
  <c r="DF177" i="36"/>
  <c r="DK120" i="36"/>
  <c r="DF147" i="36"/>
  <c r="DF126" i="36"/>
  <c r="DK126" i="36" s="1"/>
  <c r="DF124" i="36"/>
  <c r="DF125" i="36"/>
  <c r="DK125" i="36" s="1"/>
  <c r="CT178" i="36"/>
  <c r="CY121" i="36"/>
  <c r="CT148" i="36"/>
  <c r="CQ96" i="36"/>
  <c r="CV96" i="36"/>
  <c r="BV180" i="36"/>
  <c r="BV150" i="36"/>
  <c r="AT25" i="30"/>
  <c r="AT95" i="36"/>
  <c r="V121" i="36"/>
  <c r="W111" i="36"/>
  <c r="AB92" i="36"/>
  <c r="W92" i="36"/>
  <c r="AZ77" i="36"/>
  <c r="AU77" i="36"/>
  <c r="DJ179" i="36"/>
  <c r="DC96" i="36"/>
  <c r="DH96" i="36"/>
  <c r="CX180" i="36"/>
  <c r="DC180" i="36" s="1"/>
  <c r="DC123" i="36"/>
  <c r="CX150" i="36"/>
  <c r="CQ66" i="36"/>
  <c r="CV66" i="36"/>
  <c r="AT96" i="36"/>
  <c r="DL67" i="36"/>
  <c r="DG67" i="36"/>
  <c r="DH66" i="36"/>
  <c r="DC66" i="36"/>
  <c r="CX95" i="36"/>
  <c r="CV67" i="36"/>
  <c r="CQ67" i="36"/>
  <c r="AZ67" i="36"/>
  <c r="AU67" i="36"/>
  <c r="AB65" i="36"/>
  <c r="X65" i="36"/>
  <c r="W65" i="36"/>
  <c r="BH43" i="39"/>
  <c r="AB91" i="36"/>
  <c r="R180" i="36"/>
  <c r="R133" i="36"/>
  <c r="W133" i="36" s="1"/>
  <c r="R150" i="36"/>
  <c r="W123" i="36"/>
  <c r="W113" i="36"/>
  <c r="V123" i="36"/>
  <c r="AB94" i="36"/>
  <c r="W94" i="36"/>
  <c r="R121" i="36"/>
  <c r="S111" i="36"/>
  <c r="S92" i="36"/>
  <c r="K110" i="36"/>
  <c r="J120" i="36"/>
  <c r="J96" i="36"/>
  <c r="K96" i="36" s="1"/>
  <c r="J97" i="36"/>
  <c r="K97" i="36" s="1"/>
  <c r="K91" i="36"/>
  <c r="AY77" i="36"/>
  <c r="AV67" i="36"/>
  <c r="AQ67" i="36"/>
  <c r="CA47" i="36"/>
  <c r="CF47" i="36"/>
  <c r="CB47" i="36"/>
  <c r="BW36" i="36"/>
  <c r="BX36" i="36"/>
  <c r="BN180" i="36"/>
  <c r="BN150" i="36"/>
  <c r="AY97" i="36"/>
  <c r="AR96" i="36"/>
  <c r="AM96" i="36"/>
  <c r="AL177" i="36"/>
  <c r="AL147" i="36"/>
  <c r="AL130" i="36"/>
  <c r="AQ130" i="36" s="1"/>
  <c r="AL126" i="36"/>
  <c r="AL124" i="36"/>
  <c r="AQ120" i="36"/>
  <c r="AL125" i="36"/>
  <c r="AF65" i="36"/>
  <c r="AA65" i="36"/>
  <c r="BH50" i="39"/>
  <c r="T67" i="36"/>
  <c r="O67" i="36"/>
  <c r="F120" i="36"/>
  <c r="G110" i="36"/>
  <c r="F97" i="36"/>
  <c r="G97" i="36" s="1"/>
  <c r="G91" i="36"/>
  <c r="F96" i="36"/>
  <c r="G96" i="36" s="1"/>
  <c r="CJ53" i="36"/>
  <c r="CN53" i="36"/>
  <c r="CI53" i="36"/>
  <c r="BH16" i="30"/>
  <c r="BX37" i="36"/>
  <c r="BW37" i="36"/>
  <c r="BO93" i="36"/>
  <c r="BN122" i="36"/>
  <c r="BO112" i="36"/>
  <c r="BT93" i="36"/>
  <c r="AB66" i="36"/>
  <c r="R122" i="36"/>
  <c r="S112" i="36"/>
  <c r="S93" i="36"/>
  <c r="CP57" i="36"/>
  <c r="CQ57" i="36" s="1"/>
  <c r="CH54" i="36"/>
  <c r="BZ54" i="36"/>
  <c r="CB45" i="36"/>
  <c r="CA45" i="36"/>
  <c r="DP35" i="36"/>
  <c r="BP37" i="36"/>
  <c r="BO37" i="36"/>
  <c r="AN67" i="36"/>
  <c r="BK92" i="36"/>
  <c r="BJ121" i="36"/>
  <c r="BK111" i="36"/>
  <c r="BP92" i="36"/>
  <c r="CR21" i="36"/>
  <c r="CN21" i="36"/>
  <c r="CQ16" i="36"/>
  <c r="BX15" i="36"/>
  <c r="N94" i="36"/>
  <c r="N95" i="36" s="1"/>
  <c r="O95" i="36" s="1"/>
  <c r="O64" i="36"/>
  <c r="T64" i="36"/>
  <c r="BR132" i="36"/>
  <c r="BR190" i="36" s="1"/>
  <c r="BW190" i="36" s="1"/>
  <c r="BS94" i="36"/>
  <c r="BS113" i="36"/>
  <c r="BR123" i="36" s="1"/>
  <c r="BX94" i="36"/>
  <c r="J94" i="36"/>
  <c r="J95" i="36" s="1"/>
  <c r="K95" i="36" s="1"/>
  <c r="K64" i="36"/>
  <c r="P64" i="36"/>
  <c r="BF67" i="36"/>
  <c r="BH61" i="36"/>
  <c r="BG61" i="36"/>
  <c r="BF91" i="36"/>
  <c r="BL61" i="36"/>
  <c r="BF66" i="36"/>
  <c r="BH66" i="36" s="1"/>
  <c r="BF65" i="36"/>
  <c r="BH102" i="39"/>
  <c r="BB76" i="36"/>
  <c r="AB76" i="36"/>
  <c r="F94" i="36"/>
  <c r="F95" i="36" s="1"/>
  <c r="G95" i="36" s="1"/>
  <c r="L64" i="36"/>
  <c r="G64" i="36"/>
  <c r="CN18" i="36"/>
  <c r="CZ25" i="36"/>
  <c r="BS55" i="36"/>
  <c r="BS14" i="36"/>
  <c r="BS25" i="36"/>
  <c r="BT25" i="36" s="1"/>
  <c r="BB127" i="39"/>
  <c r="CB18" i="36"/>
  <c r="CF18" i="36"/>
  <c r="CI35" i="36"/>
  <c r="DD25" i="36"/>
  <c r="AZ76" i="36"/>
  <c r="AU76" i="36"/>
  <c r="DX75" i="36"/>
  <c r="DX76" i="36" s="1"/>
  <c r="BL22" i="36"/>
  <c r="CB22" i="36"/>
  <c r="BX22" i="36"/>
  <c r="CM55" i="36"/>
  <c r="CQ14" i="36"/>
  <c r="BB162" i="39"/>
  <c r="CM25" i="36"/>
  <c r="CN25" i="36" s="1"/>
  <c r="CM14" i="36"/>
  <c r="CL91" i="36"/>
  <c r="CL67" i="36"/>
  <c r="CM61" i="36"/>
  <c r="CL65" i="36"/>
  <c r="CR61" i="36"/>
  <c r="CL66" i="36"/>
  <c r="BH158" i="39"/>
  <c r="BI158" i="39" s="1"/>
  <c r="BT15" i="36"/>
  <c r="BT18" i="36" s="1"/>
  <c r="CF9" i="30"/>
  <c r="CA11" i="30"/>
  <c r="CA13" i="30" s="1"/>
  <c r="CA35" i="30" s="1"/>
  <c r="BV14" i="30"/>
  <c r="CP14" i="30"/>
  <c r="CF16" i="30"/>
  <c r="BX19" i="30"/>
  <c r="CR19" i="30"/>
  <c r="CG23" i="30"/>
  <c r="BV29" i="30"/>
  <c r="CF29" i="30"/>
  <c r="CP29" i="30"/>
  <c r="CB9" i="30"/>
  <c r="CG11" i="30"/>
  <c r="CB14" i="30"/>
  <c r="CV14" i="30"/>
  <c r="CL16" i="30"/>
  <c r="BZ19" i="30"/>
  <c r="CT19" i="30"/>
  <c r="CM23" i="30"/>
  <c r="CB29" i="30"/>
  <c r="CL29" i="30"/>
  <c r="CH9" i="30"/>
  <c r="CH11" i="30"/>
  <c r="CH14" i="30"/>
  <c r="BX16" i="30"/>
  <c r="CR16" i="30"/>
  <c r="CF19" i="30"/>
  <c r="BU23" i="30"/>
  <c r="CO23" i="30"/>
  <c r="B17" i="88" s="1"/>
  <c r="CC29" i="30"/>
  <c r="CM29" i="30"/>
  <c r="BU9" i="30"/>
  <c r="CO9" i="30"/>
  <c r="CJ11" i="30"/>
  <c r="CE14" i="30"/>
  <c r="BU16" i="30"/>
  <c r="CO16" i="30"/>
  <c r="CG19" i="30"/>
  <c r="BV23" i="30"/>
  <c r="CP23" i="30"/>
  <c r="BZ29" i="30"/>
  <c r="CJ29" i="30"/>
  <c r="CB25" i="36"/>
  <c r="BM183" i="39"/>
  <c r="CF183" i="39"/>
  <c r="CI183" i="39"/>
  <c r="J165" i="39"/>
  <c r="J158" i="39"/>
  <c r="BM148" i="39"/>
  <c r="AZ141" i="39"/>
  <c r="CF134" i="39"/>
  <c r="CN113" i="39"/>
  <c r="BG126" i="39"/>
  <c r="BF134" i="39"/>
  <c r="BX127" i="39"/>
  <c r="BG127" i="39" s="1"/>
  <c r="BF127" i="39"/>
  <c r="BE127" i="39"/>
  <c r="BZ127" i="39"/>
  <c r="BZ106" i="39"/>
  <c r="CG85" i="39"/>
  <c r="AP134" i="39"/>
  <c r="AP127" i="39"/>
  <c r="CA127" i="39"/>
  <c r="BG118" i="39"/>
  <c r="BE113" i="39"/>
  <c r="BF64" i="39"/>
  <c r="BF190" i="39"/>
  <c r="BE190" i="39"/>
  <c r="BX190" i="39"/>
  <c r="CH190" i="39"/>
  <c r="BM190" i="39"/>
  <c r="CG190" i="39"/>
  <c r="CF190" i="39"/>
  <c r="CI190" i="39"/>
  <c r="J197" i="39"/>
  <c r="CG183" i="39"/>
  <c r="CI159" i="39"/>
  <c r="AR162" i="39"/>
  <c r="BK155" i="39"/>
  <c r="CF155" i="39" s="1"/>
  <c r="AA155" i="39"/>
  <c r="AB159" i="39"/>
  <c r="AB152" i="39"/>
  <c r="BU141" i="39"/>
  <c r="CG127" i="39"/>
  <c r="BM127" i="39"/>
  <c r="CH127" i="39"/>
  <c r="BZ141" i="39"/>
  <c r="BM120" i="39"/>
  <c r="CF120" i="39"/>
  <c r="CI120" i="39"/>
  <c r="CG120" i="39"/>
  <c r="CH120" i="39"/>
  <c r="BG117" i="39"/>
  <c r="BF106" i="39"/>
  <c r="BX106" i="39"/>
  <c r="BG106" i="39" s="1"/>
  <c r="BE106" i="39"/>
  <c r="CA106" i="39"/>
  <c r="BY106" i="39"/>
  <c r="BM106" i="39"/>
  <c r="CI106" i="39"/>
  <c r="CC106" i="39"/>
  <c r="CA50" i="39"/>
  <c r="BF50" i="39"/>
  <c r="BY50" i="39"/>
  <c r="BE50" i="39"/>
  <c r="BX57" i="39"/>
  <c r="BZ50" i="39"/>
  <c r="BM169" i="39"/>
  <c r="CF169" i="39"/>
  <c r="CI169" i="39"/>
  <c r="CH169" i="39"/>
  <c r="BL183" i="39"/>
  <c r="CG169" i="39"/>
  <c r="BK162" i="39"/>
  <c r="I162" i="39"/>
  <c r="BF141" i="39"/>
  <c r="BY141" i="39"/>
  <c r="BX141" i="39"/>
  <c r="CG134" i="39"/>
  <c r="BM134" i="39"/>
  <c r="BZ148" i="39"/>
  <c r="BU148" i="39"/>
  <c r="BF148" i="39"/>
  <c r="CA148" i="39"/>
  <c r="BU138" i="39"/>
  <c r="BZ138" i="39"/>
  <c r="BE138" i="39"/>
  <c r="CA138" i="39"/>
  <c r="BY138" i="39"/>
  <c r="BX138" i="39"/>
  <c r="BF138" i="39"/>
  <c r="CC139" i="39"/>
  <c r="CH139" i="39"/>
  <c r="CF139" i="39"/>
  <c r="BM139" i="39"/>
  <c r="CI139" i="39"/>
  <c r="BL139" i="39"/>
  <c r="CA141" i="39"/>
  <c r="CI127" i="39"/>
  <c r="CI134" i="39"/>
  <c r="CI85" i="39"/>
  <c r="BM85" i="39"/>
  <c r="CF85" i="39"/>
  <c r="CH85" i="39"/>
  <c r="BY123" i="39"/>
  <c r="BX123" i="39"/>
  <c r="BF123" i="39"/>
  <c r="BU123" i="39"/>
  <c r="BF130" i="39"/>
  <c r="BM123" i="39"/>
  <c r="BZ123" i="39"/>
  <c r="CC85" i="39"/>
  <c r="BX148" i="39"/>
  <c r="BL71" i="39"/>
  <c r="BM197" i="39"/>
  <c r="CI197" i="39"/>
  <c r="CH197" i="39"/>
  <c r="CC190" i="39"/>
  <c r="BX176" i="39"/>
  <c r="BF176" i="39"/>
  <c r="BU176" i="39"/>
  <c r="BZ176" i="39"/>
  <c r="J169" i="39"/>
  <c r="CF158" i="39"/>
  <c r="CI158" i="39"/>
  <c r="BM158" i="39"/>
  <c r="CH158" i="39"/>
  <c r="BL158" i="39"/>
  <c r="CG158" i="39"/>
  <c r="CC134" i="39"/>
  <c r="BF145" i="39"/>
  <c r="AA141" i="39"/>
  <c r="BK141" i="39"/>
  <c r="CF141" i="39" s="1"/>
  <c r="CH134" i="39"/>
  <c r="BG119" i="39"/>
  <c r="BF113" i="39"/>
  <c r="BX113" i="39"/>
  <c r="CA113" i="39"/>
  <c r="BZ113" i="39"/>
  <c r="BY113" i="39"/>
  <c r="CC127" i="39"/>
  <c r="CN99" i="39"/>
  <c r="BG125" i="39"/>
  <c r="BG124" i="39"/>
  <c r="CA123" i="39"/>
  <c r="CA120" i="39"/>
  <c r="BU120" i="39"/>
  <c r="BF120" i="39"/>
  <c r="BZ120" i="39"/>
  <c r="BY120" i="39"/>
  <c r="BX120" i="39"/>
  <c r="BU113" i="39"/>
  <c r="CG106" i="39"/>
  <c r="CH99" i="39"/>
  <c r="BM99" i="39"/>
  <c r="CG99" i="39"/>
  <c r="CI99" i="39"/>
  <c r="CF99" i="39"/>
  <c r="CA57" i="39"/>
  <c r="BF57" i="39"/>
  <c r="BZ57" i="39"/>
  <c r="BE57" i="39"/>
  <c r="BY57" i="39"/>
  <c r="BL99" i="39"/>
  <c r="BU50" i="39"/>
  <c r="AM569" i="21"/>
  <c r="AM497" i="21"/>
  <c r="W237" i="21"/>
  <c r="BF182" i="19"/>
  <c r="AQ149" i="19"/>
  <c r="AP149" i="19" s="1"/>
  <c r="AS101" i="19"/>
  <c r="AV101" i="19"/>
  <c r="AU101" i="19"/>
  <c r="AD803" i="21"/>
  <c r="AF803" i="21" s="1"/>
  <c r="AB807" i="21"/>
  <c r="AD807" i="21" s="1"/>
  <c r="AF807" i="21" s="1"/>
  <c r="AB800" i="21"/>
  <c r="AD800" i="21" s="1"/>
  <c r="AF800" i="21" s="1"/>
  <c r="AD796" i="21"/>
  <c r="AF796" i="21" s="1"/>
  <c r="AK793" i="21"/>
  <c r="AM789" i="21"/>
  <c r="AM782" i="21"/>
  <c r="AK786" i="21"/>
  <c r="AD757" i="21"/>
  <c r="AF757" i="21" s="1"/>
  <c r="AF691" i="21"/>
  <c r="AM792" i="21"/>
  <c r="AK757" i="21"/>
  <c r="AD736" i="21"/>
  <c r="AF736" i="21" s="1"/>
  <c r="AM791" i="21"/>
  <c r="AM740" i="21"/>
  <c r="S705" i="21"/>
  <c r="AI210" i="39" s="1"/>
  <c r="AI698" i="21"/>
  <c r="AU204" i="19"/>
  <c r="AU205" i="19" s="1"/>
  <c r="AM755" i="21"/>
  <c r="AD691" i="21"/>
  <c r="AI685" i="21"/>
  <c r="AK681" i="21"/>
  <c r="AF667" i="21"/>
  <c r="AK758" i="21"/>
  <c r="AM734" i="21"/>
  <c r="AK684" i="21"/>
  <c r="AM684" i="21" s="1"/>
  <c r="AB737" i="21"/>
  <c r="AB730" i="21"/>
  <c r="AK730" i="21" s="1"/>
  <c r="AI678" i="21"/>
  <c r="AK674" i="21"/>
  <c r="AF656" i="21"/>
  <c r="AF650" i="21"/>
  <c r="F615" i="21"/>
  <c r="D615" i="21"/>
  <c r="AF600" i="21"/>
  <c r="AM634" i="21"/>
  <c r="AM648" i="21"/>
  <c r="AI636" i="21"/>
  <c r="D629" i="21"/>
  <c r="H629" i="21" s="1"/>
  <c r="AK599" i="21"/>
  <c r="AM599" i="21" s="1"/>
  <c r="AI601" i="21"/>
  <c r="AD668" i="21"/>
  <c r="AM642" i="21"/>
  <c r="AK628" i="21"/>
  <c r="AM628" i="21" s="1"/>
  <c r="D608" i="21"/>
  <c r="F608" i="21"/>
  <c r="AK636" i="21"/>
  <c r="AF597" i="21"/>
  <c r="AF519" i="21"/>
  <c r="U606" i="21"/>
  <c r="W606" i="21" s="1"/>
  <c r="P571" i="21"/>
  <c r="AK564" i="21"/>
  <c r="AK557" i="21"/>
  <c r="AM557" i="21" s="1"/>
  <c r="AM598" i="21"/>
  <c r="U592" i="21"/>
  <c r="W592" i="21" s="1"/>
  <c r="W605" i="21"/>
  <c r="AB515" i="21"/>
  <c r="AD515" i="21" s="1"/>
  <c r="AD511" i="21"/>
  <c r="AD592" i="21"/>
  <c r="AF592" i="21" s="1"/>
  <c r="U570" i="21"/>
  <c r="W570" i="21" s="1"/>
  <c r="W556" i="21"/>
  <c r="AF492" i="21"/>
  <c r="AF485" i="21"/>
  <c r="AB587" i="21"/>
  <c r="AD476" i="21"/>
  <c r="AF476" i="21" s="1"/>
  <c r="AB480" i="21"/>
  <c r="AD480" i="21" s="1"/>
  <c r="AM572" i="21"/>
  <c r="AK500" i="21"/>
  <c r="AM500" i="21" s="1"/>
  <c r="AF483" i="21"/>
  <c r="AF449" i="21"/>
  <c r="AD449" i="21"/>
  <c r="W443" i="21"/>
  <c r="P437" i="21"/>
  <c r="AK402" i="21"/>
  <c r="AK442" i="21"/>
  <c r="AD389" i="21"/>
  <c r="AK389" i="21"/>
  <c r="AB487" i="21"/>
  <c r="AD487" i="21" s="1"/>
  <c r="D445" i="21"/>
  <c r="H445" i="21" s="1"/>
  <c r="AI417" i="21"/>
  <c r="AK413" i="21"/>
  <c r="AM458" i="21"/>
  <c r="P444" i="21"/>
  <c r="P429" i="21"/>
  <c r="F424" i="21"/>
  <c r="BB107" i="19" s="1"/>
  <c r="BF349" i="21"/>
  <c r="AI349" i="21"/>
  <c r="AS209" i="19"/>
  <c r="BF342" i="21"/>
  <c r="D431" i="21"/>
  <c r="H431" i="21" s="1"/>
  <c r="W394" i="21"/>
  <c r="AI338" i="21"/>
  <c r="AK334" i="21"/>
  <c r="AI331" i="21"/>
  <c r="AK327" i="21"/>
  <c r="D324" i="21"/>
  <c r="H324" i="21" s="1"/>
  <c r="BF323" i="21"/>
  <c r="BF321" i="21"/>
  <c r="BF320" i="21"/>
  <c r="AF299" i="21"/>
  <c r="AF286" i="21"/>
  <c r="W414" i="21"/>
  <c r="AM316" i="21"/>
  <c r="AF302" i="21"/>
  <c r="BF280" i="21"/>
  <c r="BF279" i="21"/>
  <c r="D282" i="21"/>
  <c r="H282" i="21" s="1"/>
  <c r="AB396" i="21"/>
  <c r="AD396" i="21" s="1"/>
  <c r="AF396" i="21" s="1"/>
  <c r="BF322" i="21"/>
  <c r="AF323" i="21"/>
  <c r="D303" i="21"/>
  <c r="H303" i="21" s="1"/>
  <c r="BF302" i="21"/>
  <c r="BF301" i="21"/>
  <c r="AF288" i="21"/>
  <c r="AD278" i="21"/>
  <c r="AB282" i="21"/>
  <c r="AD282" i="21" s="1"/>
  <c r="F438" i="21"/>
  <c r="AM323" i="21"/>
  <c r="AB317" i="21"/>
  <c r="AD313" i="21"/>
  <c r="AI317" i="21"/>
  <c r="AK313" i="21"/>
  <c r="AF306" i="21"/>
  <c r="AM287" i="21"/>
  <c r="AF278" i="21"/>
  <c r="AD271" i="21"/>
  <c r="AF271" i="21" s="1"/>
  <c r="AB275" i="21"/>
  <c r="AB268" i="21"/>
  <c r="P258" i="21"/>
  <c r="AM294" i="21"/>
  <c r="AD285" i="21"/>
  <c r="AK238" i="21"/>
  <c r="W224" i="21"/>
  <c r="AF147" i="21"/>
  <c r="AF119" i="21"/>
  <c r="D254" i="21"/>
  <c r="H254" i="21" s="1"/>
  <c r="AF243" i="21"/>
  <c r="AD224" i="21"/>
  <c r="AF217" i="21"/>
  <c r="P217" i="21"/>
  <c r="D148" i="21"/>
  <c r="H148" i="21" s="1"/>
  <c r="D127" i="21"/>
  <c r="H127" i="21" s="1"/>
  <c r="AD295" i="21"/>
  <c r="AD303" i="21"/>
  <c r="AK281" i="21"/>
  <c r="AM281" i="21" s="1"/>
  <c r="AI275" i="21"/>
  <c r="D261" i="21"/>
  <c r="AD246" i="21"/>
  <c r="AF246" i="21" s="1"/>
  <c r="AF230" i="21"/>
  <c r="AI172" i="21"/>
  <c r="S208" i="19"/>
  <c r="DN10" i="36" s="1"/>
  <c r="AR208" i="19"/>
  <c r="AD148" i="21"/>
  <c r="AD127" i="21"/>
  <c r="AK286" i="21"/>
  <c r="AM286" i="21" s="1"/>
  <c r="N237" i="21"/>
  <c r="AD212" i="21"/>
  <c r="AF166" i="21"/>
  <c r="AF158" i="21"/>
  <c r="AF130" i="21"/>
  <c r="AK116" i="21"/>
  <c r="AI120" i="21"/>
  <c r="AF109" i="21"/>
  <c r="U209" i="21"/>
  <c r="AI92" i="21"/>
  <c r="AF61" i="21"/>
  <c r="P61" i="21"/>
  <c r="AQ156" i="19"/>
  <c r="U202" i="21"/>
  <c r="W202" i="21" s="1"/>
  <c r="N75" i="21"/>
  <c r="P75" i="21" s="1"/>
  <c r="U75" i="21"/>
  <c r="BF190" i="19"/>
  <c r="AQ163" i="19"/>
  <c r="AB226" i="21"/>
  <c r="AM152" i="21"/>
  <c r="AM139" i="21"/>
  <c r="AF95" i="21"/>
  <c r="AM62" i="21"/>
  <c r="W54" i="21"/>
  <c r="AI78" i="21"/>
  <c r="AD71" i="21"/>
  <c r="AM69" i="21"/>
  <c r="AK92" i="21"/>
  <c r="W76" i="21"/>
  <c r="AK64" i="21"/>
  <c r="AM54" i="21"/>
  <c r="AK36" i="21"/>
  <c r="AM796" i="21"/>
  <c r="AK800" i="21"/>
  <c r="AM800" i="21" s="1"/>
  <c r="AM840" i="21"/>
  <c r="AK779" i="21"/>
  <c r="AK743" i="21"/>
  <c r="AM743" i="21" s="1"/>
  <c r="AD743" i="21"/>
  <c r="AF743" i="21" s="1"/>
  <c r="AM749" i="21"/>
  <c r="AI703" i="21"/>
  <c r="AU209" i="19"/>
  <c r="AF689" i="21"/>
  <c r="AF662" i="21"/>
  <c r="AK653" i="21"/>
  <c r="AI657" i="21"/>
  <c r="AK667" i="21"/>
  <c r="AF663" i="21"/>
  <c r="AF607" i="21"/>
  <c r="AM646" i="21"/>
  <c r="AM639" i="21"/>
  <c r="AK643" i="21"/>
  <c r="AM643" i="21" s="1"/>
  <c r="AB664" i="21"/>
  <c r="AD664" i="21" s="1"/>
  <c r="D636" i="21"/>
  <c r="H636" i="21" s="1"/>
  <c r="D643" i="21"/>
  <c r="H643" i="21" s="1"/>
  <c r="AI629" i="21"/>
  <c r="AK625" i="21"/>
  <c r="D601" i="21"/>
  <c r="F601" i="21"/>
  <c r="BC107" i="19" s="1"/>
  <c r="AD635" i="21"/>
  <c r="AI594" i="21"/>
  <c r="AK590" i="21"/>
  <c r="AB622" i="21"/>
  <c r="AF578" i="21"/>
  <c r="P578" i="21"/>
  <c r="AM571" i="21"/>
  <c r="P584" i="21"/>
  <c r="AF584" i="21"/>
  <c r="P577" i="21"/>
  <c r="AF577" i="21"/>
  <c r="P570" i="21"/>
  <c r="AF570" i="21"/>
  <c r="P563" i="21"/>
  <c r="AF563" i="21"/>
  <c r="AB629" i="21"/>
  <c r="AD629" i="21" s="1"/>
  <c r="AM597" i="21"/>
  <c r="AK601" i="21"/>
  <c r="AF512" i="21"/>
  <c r="AF518" i="21"/>
  <c r="AF479" i="21"/>
  <c r="AI508" i="21"/>
  <c r="AK504" i="21"/>
  <c r="AD497" i="21"/>
  <c r="AF497" i="21" s="1"/>
  <c r="AB501" i="21"/>
  <c r="AD594" i="21"/>
  <c r="AF514" i="21"/>
  <c r="AF471" i="21"/>
  <c r="AF450" i="21"/>
  <c r="AM449" i="21"/>
  <c r="AK452" i="21"/>
  <c r="AM448" i="21"/>
  <c r="AD385" i="21"/>
  <c r="AF385" i="21" s="1"/>
  <c r="AK385" i="21"/>
  <c r="AM392" i="21" s="1"/>
  <c r="AF456" i="21"/>
  <c r="AD455" i="21"/>
  <c r="AF455" i="21" s="1"/>
  <c r="AB459" i="21"/>
  <c r="H438" i="21"/>
  <c r="AF408" i="21"/>
  <c r="U393" i="21"/>
  <c r="N393" i="21"/>
  <c r="P393" i="21" s="1"/>
  <c r="AD504" i="21"/>
  <c r="AF504" i="21" s="1"/>
  <c r="AB494" i="21"/>
  <c r="AD494" i="21" s="1"/>
  <c r="AK466" i="21"/>
  <c r="AF388" i="21"/>
  <c r="D338" i="21"/>
  <c r="H338" i="21" s="1"/>
  <c r="S354" i="21"/>
  <c r="U354" i="21" s="1"/>
  <c r="S355" i="21" s="1"/>
  <c r="BF343" i="21"/>
  <c r="D331" i="21"/>
  <c r="H331" i="21" s="1"/>
  <c r="BF329" i="21"/>
  <c r="BF337" i="21"/>
  <c r="BF328" i="21"/>
  <c r="BF336" i="21"/>
  <c r="AF309" i="21"/>
  <c r="AF285" i="21"/>
  <c r="AD392" i="21"/>
  <c r="AF392" i="21" s="1"/>
  <c r="AI350" i="21"/>
  <c r="BF350" i="21"/>
  <c r="AS210" i="19"/>
  <c r="AQ210" i="19" s="1"/>
  <c r="S210" i="19"/>
  <c r="DN12" i="36" s="1"/>
  <c r="AF322" i="21"/>
  <c r="AF307" i="21"/>
  <c r="AF301" i="21"/>
  <c r="W428" i="21"/>
  <c r="N408" i="21"/>
  <c r="P408" i="21" s="1"/>
  <c r="AB403" i="21"/>
  <c r="AD403" i="21" s="1"/>
  <c r="BF335" i="21"/>
  <c r="D317" i="21"/>
  <c r="H317" i="21" s="1"/>
  <c r="BF315" i="21"/>
  <c r="BF314" i="21"/>
  <c r="BF316" i="21"/>
  <c r="AF295" i="21"/>
  <c r="AK278" i="21"/>
  <c r="AI282" i="21"/>
  <c r="N266" i="21"/>
  <c r="P266" i="21" s="1"/>
  <c r="U266" i="21"/>
  <c r="W266" i="21" s="1"/>
  <c r="AM299" i="21"/>
  <c r="AK303" i="21"/>
  <c r="AD293" i="21"/>
  <c r="AF293" i="21" s="1"/>
  <c r="AB289" i="21"/>
  <c r="AD289" i="21" s="1"/>
  <c r="U253" i="21"/>
  <c r="AM229" i="21"/>
  <c r="AF165" i="21"/>
  <c r="AF140" i="21"/>
  <c r="AI247" i="21"/>
  <c r="AK243" i="21"/>
  <c r="AF224" i="21"/>
  <c r="P224" i="21"/>
  <c r="AF155" i="21"/>
  <c r="BA295" i="21"/>
  <c r="BC295" i="21" s="1"/>
  <c r="AF236" i="21"/>
  <c r="AK230" i="21"/>
  <c r="AI233" i="21"/>
  <c r="P237" i="21"/>
  <c r="AK201" i="21"/>
  <c r="AK144" i="21"/>
  <c r="AI148" i="21"/>
  <c r="AF137" i="21"/>
  <c r="AK123" i="21"/>
  <c r="AI127" i="21"/>
  <c r="AI106" i="21"/>
  <c r="AK102" i="21"/>
  <c r="P83" i="21"/>
  <c r="AF54" i="21"/>
  <c r="P54" i="21"/>
  <c r="AM218" i="21"/>
  <c r="N68" i="21"/>
  <c r="U68" i="21"/>
  <c r="W68" i="21" s="1"/>
  <c r="AM237" i="21"/>
  <c r="U223" i="21"/>
  <c r="W230" i="21" s="1"/>
  <c r="AB219" i="21"/>
  <c r="AD219" i="21" s="1"/>
  <c r="AF219" i="21" s="1"/>
  <c r="AM145" i="21"/>
  <c r="AD102" i="21"/>
  <c r="AB106" i="21"/>
  <c r="AI99" i="21"/>
  <c r="AK95" i="21"/>
  <c r="AF62" i="21"/>
  <c r="P62" i="21"/>
  <c r="AF71" i="21"/>
  <c r="AM67" i="21"/>
  <c r="AK71" i="21"/>
  <c r="AM71" i="21" s="1"/>
  <c r="AM868" i="21"/>
  <c r="AM861" i="21"/>
  <c r="AK865" i="21"/>
  <c r="AM806" i="21"/>
  <c r="AI699" i="21"/>
  <c r="AK695" i="21"/>
  <c r="AD751" i="21"/>
  <c r="AF751" i="21" s="1"/>
  <c r="D699" i="21"/>
  <c r="H699" i="21" s="1"/>
  <c r="AM756" i="21"/>
  <c r="AD750" i="21"/>
  <c r="AF750" i="21" s="1"/>
  <c r="AK750" i="21"/>
  <c r="AF696" i="21"/>
  <c r="AF688" i="21"/>
  <c r="AF675" i="21"/>
  <c r="AK661" i="21"/>
  <c r="AM661" i="21" s="1"/>
  <c r="AK663" i="21"/>
  <c r="AM663" i="21" s="1"/>
  <c r="AF655" i="21"/>
  <c r="AF639" i="21"/>
  <c r="AD627" i="21"/>
  <c r="AF627" i="21" s="1"/>
  <c r="AK607" i="21"/>
  <c r="AM607" i="21" s="1"/>
  <c r="AB685" i="21"/>
  <c r="AD685" i="21" s="1"/>
  <c r="AF685" i="21" s="1"/>
  <c r="P613" i="21"/>
  <c r="AD671" i="21"/>
  <c r="AI622" i="21"/>
  <c r="AI615" i="21"/>
  <c r="W585" i="21"/>
  <c r="AF593" i="21"/>
  <c r="AF585" i="21"/>
  <c r="P585" i="21"/>
  <c r="AM578" i="21"/>
  <c r="AK584" i="21"/>
  <c r="AI587" i="21"/>
  <c r="AK577" i="21"/>
  <c r="AM577" i="21" s="1"/>
  <c r="AI580" i="21"/>
  <c r="AK570" i="21"/>
  <c r="AI573" i="21"/>
  <c r="AK563" i="21"/>
  <c r="AM563" i="21" s="1"/>
  <c r="AI566" i="21"/>
  <c r="AK556" i="21"/>
  <c r="AM556" i="21" s="1"/>
  <c r="AI559" i="21"/>
  <c r="AM591" i="21"/>
  <c r="AF511" i="21"/>
  <c r="AF493" i="21"/>
  <c r="AF470" i="21"/>
  <c r="AM576" i="21"/>
  <c r="AK580" i="21"/>
  <c r="AF486" i="21"/>
  <c r="AF480" i="21"/>
  <c r="N591" i="21"/>
  <c r="AK492" i="21"/>
  <c r="AM499" i="21" s="1"/>
  <c r="AI494" i="21"/>
  <c r="AF477" i="21"/>
  <c r="AM565" i="21"/>
  <c r="AM507" i="21"/>
  <c r="AK484" i="21"/>
  <c r="AM484" i="21" s="1"/>
  <c r="AI487" i="21"/>
  <c r="AK476" i="21"/>
  <c r="AI480" i="21"/>
  <c r="AF464" i="21"/>
  <c r="D466" i="21"/>
  <c r="H466" i="21" s="1"/>
  <c r="P443" i="21"/>
  <c r="P436" i="21"/>
  <c r="U415" i="21"/>
  <c r="W415" i="21" s="1"/>
  <c r="N415" i="21"/>
  <c r="P415" i="21" s="1"/>
  <c r="AK396" i="21"/>
  <c r="AM396" i="21" s="1"/>
  <c r="AF387" i="21"/>
  <c r="P387" i="21"/>
  <c r="AM469" i="21"/>
  <c r="AB452" i="21"/>
  <c r="AD448" i="21"/>
  <c r="AF448" i="21" s="1"/>
  <c r="AM456" i="21"/>
  <c r="AK401" i="21"/>
  <c r="AM408" i="21" s="1"/>
  <c r="AI403" i="21"/>
  <c r="N386" i="21"/>
  <c r="P386" i="21" s="1"/>
  <c r="U386" i="21"/>
  <c r="W386" i="21" s="1"/>
  <c r="AD507" i="21"/>
  <c r="AF507" i="21" s="1"/>
  <c r="AD499" i="21"/>
  <c r="AF499" i="21" s="1"/>
  <c r="AM463" i="21"/>
  <c r="W444" i="21"/>
  <c r="AI431" i="21"/>
  <c r="AF421" i="21"/>
  <c r="P421" i="21"/>
  <c r="AB424" i="21"/>
  <c r="AD424" i="21" s="1"/>
  <c r="AD420" i="21"/>
  <c r="AF420" i="21" s="1"/>
  <c r="W387" i="21"/>
  <c r="BF334" i="21"/>
  <c r="AB338" i="21"/>
  <c r="AD338" i="21" s="1"/>
  <c r="AD334" i="21"/>
  <c r="BF327" i="21"/>
  <c r="AK306" i="21"/>
  <c r="AI310" i="21"/>
  <c r="AF294" i="21"/>
  <c r="AF281" i="21"/>
  <c r="AK422" i="21"/>
  <c r="AM422" i="21" s="1"/>
  <c r="AM407" i="21"/>
  <c r="U401" i="21"/>
  <c r="W401" i="21" s="1"/>
  <c r="N400" i="21"/>
  <c r="P400" i="21" s="1"/>
  <c r="AM343" i="21"/>
  <c r="AD329" i="21"/>
  <c r="AF329" i="21" s="1"/>
  <c r="AK322" i="21"/>
  <c r="AK324" i="21" s="1"/>
  <c r="AM423" i="21"/>
  <c r="AM406" i="21"/>
  <c r="AM399" i="21"/>
  <c r="AF335" i="21"/>
  <c r="BF313" i="21"/>
  <c r="BA316" i="21" s="1"/>
  <c r="BC316" i="21" s="1"/>
  <c r="D310" i="21"/>
  <c r="H310" i="21" s="1"/>
  <c r="BF307" i="21"/>
  <c r="BF306" i="21"/>
  <c r="AF300" i="21"/>
  <c r="AF287" i="21"/>
  <c r="AF272" i="21"/>
  <c r="P265" i="21"/>
  <c r="P251" i="21"/>
  <c r="AK268" i="21"/>
  <c r="AF244" i="21"/>
  <c r="P244" i="21"/>
  <c r="AB233" i="21"/>
  <c r="AD233" i="21" s="1"/>
  <c r="AF161" i="21"/>
  <c r="AF133" i="21"/>
  <c r="AM320" i="21"/>
  <c r="BF308" i="21"/>
  <c r="AM292" i="21"/>
  <c r="AK296" i="21"/>
  <c r="AD245" i="21"/>
  <c r="AF245" i="21" s="1"/>
  <c r="AF231" i="21"/>
  <c r="P231" i="21"/>
  <c r="AM224" i="21"/>
  <c r="AF218" i="21"/>
  <c r="P203" i="21"/>
  <c r="AI173" i="21"/>
  <c r="S209" i="19"/>
  <c r="DN11" i="36" s="1"/>
  <c r="AR209" i="19"/>
  <c r="AF134" i="21"/>
  <c r="AB324" i="21"/>
  <c r="AD324" i="21" s="1"/>
  <c r="AK288" i="21"/>
  <c r="AM288" i="21" s="1"/>
  <c r="AI240" i="21"/>
  <c r="AK236" i="21"/>
  <c r="P223" i="21"/>
  <c r="AF223" i="21"/>
  <c r="P202" i="21"/>
  <c r="AF239" i="21"/>
  <c r="AF215" i="21"/>
  <c r="AK158" i="21"/>
  <c r="AI162" i="21"/>
  <c r="AK151" i="21"/>
  <c r="AI155" i="21"/>
  <c r="AK130" i="21"/>
  <c r="AI134" i="21"/>
  <c r="AF116" i="21"/>
  <c r="AF102" i="21"/>
  <c r="AD105" i="21"/>
  <c r="AF105" i="21" s="1"/>
  <c r="AD112" i="21"/>
  <c r="AF112" i="21" s="1"/>
  <c r="P76" i="21"/>
  <c r="AF97" i="21"/>
  <c r="AD118" i="21"/>
  <c r="AF118" i="21" s="1"/>
  <c r="N89" i="21"/>
  <c r="P89" i="21" s="1"/>
  <c r="U89" i="21"/>
  <c r="BF188" i="19"/>
  <c r="AQ114" i="19"/>
  <c r="AD237" i="21"/>
  <c r="AF237" i="21" s="1"/>
  <c r="U216" i="21"/>
  <c r="W216" i="21" s="1"/>
  <c r="AK111" i="21"/>
  <c r="AM111" i="21" s="1"/>
  <c r="AK96" i="21"/>
  <c r="AM96" i="21" s="1"/>
  <c r="AQ170" i="19"/>
  <c r="AB99" i="21"/>
  <c r="AD99" i="21" s="1"/>
  <c r="AI71" i="21"/>
  <c r="W61" i="21"/>
  <c r="W48" i="21"/>
  <c r="BF174" i="19"/>
  <c r="AM862" i="21"/>
  <c r="AK858" i="21"/>
  <c r="AK803" i="21"/>
  <c r="AM864" i="21"/>
  <c r="AM805" i="21"/>
  <c r="N844" i="21"/>
  <c r="P844" i="21" s="1"/>
  <c r="AF695" i="21"/>
  <c r="AD786" i="21"/>
  <c r="AF786" i="21" s="1"/>
  <c r="AB758" i="21"/>
  <c r="AD758" i="21" s="1"/>
  <c r="AF758" i="21" s="1"/>
  <c r="N735" i="21"/>
  <c r="P735" i="21" s="1"/>
  <c r="AM696" i="21"/>
  <c r="AM697" i="21"/>
  <c r="AK688" i="21"/>
  <c r="AI692" i="21"/>
  <c r="AF668" i="21"/>
  <c r="D664" i="21"/>
  <c r="H664" i="21" s="1"/>
  <c r="D657" i="21"/>
  <c r="H657" i="21" s="1"/>
  <c r="AK691" i="21"/>
  <c r="AM691" i="21" s="1"/>
  <c r="AF681" i="21"/>
  <c r="AD670" i="21"/>
  <c r="AM747" i="21"/>
  <c r="AF684" i="21"/>
  <c r="AM656" i="21"/>
  <c r="AM733" i="21"/>
  <c r="AK737" i="21"/>
  <c r="AM737" i="21" s="1"/>
  <c r="AF674" i="21"/>
  <c r="AM669" i="21"/>
  <c r="AF649" i="21"/>
  <c r="AI650" i="21"/>
  <c r="AF641" i="21"/>
  <c r="AD643" i="21"/>
  <c r="AF635" i="21"/>
  <c r="AK620" i="21"/>
  <c r="AM627" i="21" s="1"/>
  <c r="AD657" i="21"/>
  <c r="AK647" i="21"/>
  <c r="AM647" i="21" s="1"/>
  <c r="AM640" i="21"/>
  <c r="AD634" i="21"/>
  <c r="AF634" i="21" s="1"/>
  <c r="AD606" i="21"/>
  <c r="AF606" i="21" s="1"/>
  <c r="AF648" i="21"/>
  <c r="AK606" i="21"/>
  <c r="AM606" i="21" s="1"/>
  <c r="AI608" i="21"/>
  <c r="AM668" i="21"/>
  <c r="AF642" i="21"/>
  <c r="AF628" i="21"/>
  <c r="N599" i="21"/>
  <c r="W557" i="21"/>
  <c r="U613" i="21"/>
  <c r="P599" i="21"/>
  <c r="AF599" i="21"/>
  <c r="AK593" i="21"/>
  <c r="AM593" i="21" s="1"/>
  <c r="AK585" i="21"/>
  <c r="AM585" i="21" s="1"/>
  <c r="AD571" i="21"/>
  <c r="AF571" i="21" s="1"/>
  <c r="AF564" i="21"/>
  <c r="P564" i="21"/>
  <c r="AF557" i="21"/>
  <c r="P557" i="21"/>
  <c r="AI526" i="21"/>
  <c r="AT209" i="19"/>
  <c r="AB636" i="21"/>
  <c r="AD636" i="21" s="1"/>
  <c r="AB601" i="21"/>
  <c r="AD601" i="21" s="1"/>
  <c r="AD576" i="21"/>
  <c r="AF576" i="21" s="1"/>
  <c r="AB580" i="21"/>
  <c r="AD562" i="21"/>
  <c r="AF562" i="21" s="1"/>
  <c r="AB566" i="21"/>
  <c r="AD555" i="21"/>
  <c r="AF555" i="21" s="1"/>
  <c r="AB559" i="21"/>
  <c r="AD559" i="21" s="1"/>
  <c r="N620" i="21"/>
  <c r="P620" i="21" s="1"/>
  <c r="AF591" i="21"/>
  <c r="P591" i="21"/>
  <c r="AF520" i="21"/>
  <c r="N556" i="21"/>
  <c r="P556" i="21" s="1"/>
  <c r="AM519" i="21"/>
  <c r="D515" i="21"/>
  <c r="H515" i="21" s="1"/>
  <c r="S531" i="21"/>
  <c r="U531" i="21" s="1"/>
  <c r="S532" i="21" s="1"/>
  <c r="AI515" i="21"/>
  <c r="AK511" i="21"/>
  <c r="AM518" i="21" s="1"/>
  <c r="AF463" i="21"/>
  <c r="U577" i="21"/>
  <c r="W577" i="21" s="1"/>
  <c r="AB573" i="21"/>
  <c r="AK555" i="21"/>
  <c r="AM555" i="21" s="1"/>
  <c r="AM513" i="21"/>
  <c r="AP507" i="21"/>
  <c r="AQ507" i="21" s="1"/>
  <c r="AY507" i="21" s="1"/>
  <c r="AR506" i="21"/>
  <c r="AQ506" i="21"/>
  <c r="AY506" i="21" s="1"/>
  <c r="AF478" i="21"/>
  <c r="W591" i="21"/>
  <c r="D508" i="21"/>
  <c r="H508" i="21" s="1"/>
  <c r="AD508" i="21"/>
  <c r="AF500" i="21"/>
  <c r="AF494" i="21"/>
  <c r="D487" i="21"/>
  <c r="H487" i="21" s="1"/>
  <c r="AM471" i="21"/>
  <c r="AR513" i="21"/>
  <c r="AM490" i="21"/>
  <c r="AD462" i="21"/>
  <c r="AF462" i="21" s="1"/>
  <c r="AB445" i="21"/>
  <c r="AD395" i="21"/>
  <c r="AK395" i="21"/>
  <c r="AM395" i="21" s="1"/>
  <c r="AK341" i="21"/>
  <c r="AK473" i="21"/>
  <c r="AM473" i="21" s="1"/>
  <c r="P442" i="21"/>
  <c r="U435" i="21"/>
  <c r="W435" i="21" s="1"/>
  <c r="AK394" i="21"/>
  <c r="AM394" i="21" s="1"/>
  <c r="AD473" i="21"/>
  <c r="AF473" i="21" s="1"/>
  <c r="U445" i="21"/>
  <c r="W441" i="21"/>
  <c r="W422" i="21"/>
  <c r="AF413" i="21"/>
  <c r="AD409" i="21"/>
  <c r="AF409" i="21" s="1"/>
  <c r="AK455" i="21"/>
  <c r="W429" i="21"/>
  <c r="AM421" i="21"/>
  <c r="AF395" i="21"/>
  <c r="AF342" i="21"/>
  <c r="AD341" i="21"/>
  <c r="AF341" i="21" s="1"/>
  <c r="AF334" i="21"/>
  <c r="AF327" i="21"/>
  <c r="BF330" i="21"/>
  <c r="AF316" i="21"/>
  <c r="L438" i="21"/>
  <c r="AB410" i="21"/>
  <c r="AM337" i="21"/>
  <c r="AF330" i="21"/>
  <c r="AF315" i="21"/>
  <c r="W400" i="21"/>
  <c r="AK308" i="21"/>
  <c r="AI424" i="21"/>
  <c r="AM335" i="21"/>
  <c r="AF328" i="21"/>
  <c r="AF313" i="21"/>
  <c r="BF300" i="21"/>
  <c r="AM293" i="21"/>
  <c r="D289" i="21"/>
  <c r="H289" i="21" s="1"/>
  <c r="AI268" i="21"/>
  <c r="AF154" i="21"/>
  <c r="AF126" i="21"/>
  <c r="AM321" i="21"/>
  <c r="AD296" i="21"/>
  <c r="AF296" i="21" s="1"/>
  <c r="AM279" i="21"/>
  <c r="W258" i="21"/>
  <c r="AI254" i="21"/>
  <c r="AK250" i="21"/>
  <c r="N245" i="21"/>
  <c r="P245" i="21" s="1"/>
  <c r="U238" i="21"/>
  <c r="N238" i="21"/>
  <c r="P238" i="21" s="1"/>
  <c r="AK231" i="21"/>
  <c r="AM231" i="21" s="1"/>
  <c r="S178" i="21"/>
  <c r="U178" i="21" s="1"/>
  <c r="S179" i="21" s="1"/>
  <c r="D162" i="21"/>
  <c r="H162" i="21" s="1"/>
  <c r="D141" i="21"/>
  <c r="H141" i="21" s="1"/>
  <c r="AD320" i="21"/>
  <c r="AF320" i="21" s="1"/>
  <c r="AM307" i="21"/>
  <c r="AK271" i="21"/>
  <c r="AI261" i="21"/>
  <c r="AD250" i="21"/>
  <c r="AF250" i="21" s="1"/>
  <c r="N230" i="21"/>
  <c r="P230" i="21" s="1"/>
  <c r="AK223" i="21"/>
  <c r="AI226" i="21"/>
  <c r="AK216" i="21"/>
  <c r="AI219" i="21"/>
  <c r="AD208" i="21"/>
  <c r="AF208" i="21" s="1"/>
  <c r="AB310" i="21"/>
  <c r="AD310" i="21" s="1"/>
  <c r="AK289" i="21"/>
  <c r="AM285" i="21"/>
  <c r="F261" i="21"/>
  <c r="AB247" i="21"/>
  <c r="AK239" i="21"/>
  <c r="AM239" i="21" s="1"/>
  <c r="AM208" i="21"/>
  <c r="P196" i="21"/>
  <c r="AK137" i="21"/>
  <c r="AI141" i="21"/>
  <c r="AF123" i="21"/>
  <c r="AI113" i="21"/>
  <c r="AK109" i="21"/>
  <c r="AF69" i="21"/>
  <c r="P69" i="21"/>
  <c r="AS115" i="19"/>
  <c r="AB240" i="21"/>
  <c r="AM165" i="21"/>
  <c r="AM98" i="21"/>
  <c r="P68" i="21"/>
  <c r="AF68" i="21"/>
  <c r="AM215" i="21"/>
  <c r="AK105" i="21"/>
  <c r="AM105" i="21" s="1"/>
  <c r="N82" i="21"/>
  <c r="P82" i="21" s="1"/>
  <c r="U82" i="21"/>
  <c r="W82" i="21" s="1"/>
  <c r="AQ142" i="19"/>
  <c r="AU136" i="19" s="1"/>
  <c r="D99" i="21"/>
  <c r="H99" i="21" s="1"/>
  <c r="AF70" i="21"/>
  <c r="AF55" i="21"/>
  <c r="P55" i="21"/>
  <c r="AI85" i="21"/>
  <c r="W69" i="21"/>
  <c r="AM68" i="21"/>
  <c r="AM43" i="21"/>
  <c r="AD43" i="21"/>
  <c r="AF43" i="21" s="1"/>
  <c r="AB113" i="21"/>
  <c r="AD187" i="19"/>
  <c r="AF187" i="19" s="1"/>
  <c r="AU199" i="19"/>
  <c r="AM203" i="19"/>
  <c r="AF168" i="19"/>
  <c r="AB170" i="19"/>
  <c r="AD170" i="19" s="1"/>
  <c r="AD166" i="19"/>
  <c r="AF174" i="19"/>
  <c r="AF159" i="19"/>
  <c r="AD145" i="19"/>
  <c r="AF145" i="19" s="1"/>
  <c r="AB149" i="19"/>
  <c r="AD149" i="19" s="1"/>
  <c r="AF166" i="19"/>
  <c r="AF141" i="19"/>
  <c r="AF146" i="19"/>
  <c r="AK138" i="19"/>
  <c r="AI142" i="19"/>
  <c r="AP135" i="19"/>
  <c r="D135" i="19"/>
  <c r="H135" i="19" s="1"/>
  <c r="AK134" i="19"/>
  <c r="AI121" i="19"/>
  <c r="AK141" i="19"/>
  <c r="AM141" i="19" s="1"/>
  <c r="AI72" i="19"/>
  <c r="AT101" i="19"/>
  <c r="BF99" i="19" s="1"/>
  <c r="D93" i="19"/>
  <c r="H93" i="19" s="1"/>
  <c r="D72" i="19"/>
  <c r="H72" i="19" s="1"/>
  <c r="D37" i="19"/>
  <c r="H37" i="19" s="1"/>
  <c r="AQ191" i="19"/>
  <c r="AP187" i="19"/>
  <c r="F198" i="19"/>
  <c r="AP180" i="19"/>
  <c r="AQ184" i="19"/>
  <c r="BF184" i="19" s="1"/>
  <c r="AD175" i="19"/>
  <c r="AK175" i="19"/>
  <c r="AF160" i="19"/>
  <c r="AD173" i="19"/>
  <c r="AF173" i="19" s="1"/>
  <c r="AB177" i="19"/>
  <c r="BF163" i="19"/>
  <c r="AR164" i="19"/>
  <c r="AK166" i="19"/>
  <c r="AI170" i="19"/>
  <c r="AP173" i="19"/>
  <c r="AF155" i="19"/>
  <c r="AF148" i="19"/>
  <c r="AK152" i="19"/>
  <c r="AM162" i="19"/>
  <c r="AK163" i="19"/>
  <c r="AM159" i="19"/>
  <c r="D149" i="19"/>
  <c r="H149" i="19" s="1"/>
  <c r="D142" i="19"/>
  <c r="H142" i="19" s="1"/>
  <c r="AI100" i="19"/>
  <c r="AI86" i="19"/>
  <c r="AI30" i="19"/>
  <c r="AI51" i="19"/>
  <c r="AK187" i="19"/>
  <c r="AD180" i="19"/>
  <c r="AF180" i="19" s="1"/>
  <c r="AK180" i="19"/>
  <c r="AB184" i="19"/>
  <c r="AD184" i="19" s="1"/>
  <c r="AF184" i="19" s="1"/>
  <c r="AT199" i="19"/>
  <c r="AM173" i="19"/>
  <c r="AK177" i="19"/>
  <c r="AF175" i="19"/>
  <c r="AF154" i="19"/>
  <c r="AD152" i="19"/>
  <c r="AF152" i="19" s="1"/>
  <c r="AB156" i="19"/>
  <c r="AD156" i="19" s="1"/>
  <c r="AF156" i="19" s="1"/>
  <c r="AS199" i="19"/>
  <c r="D170" i="19"/>
  <c r="H170" i="19" s="1"/>
  <c r="AP170" i="19"/>
  <c r="D177" i="19"/>
  <c r="H177" i="19" s="1"/>
  <c r="BF180" i="19"/>
  <c r="AF161" i="19"/>
  <c r="AD163" i="19"/>
  <c r="AP131" i="19"/>
  <c r="AI128" i="19"/>
  <c r="AQ128" i="19"/>
  <c r="AP124" i="19"/>
  <c r="AI114" i="19"/>
  <c r="D121" i="19"/>
  <c r="H121" i="19" s="1"/>
  <c r="AI107" i="19"/>
  <c r="BF97" i="19"/>
  <c r="AI58" i="19"/>
  <c r="BF170" i="19"/>
  <c r="AR171" i="19"/>
  <c r="AF147" i="19"/>
  <c r="BF187" i="19"/>
  <c r="AK155" i="19"/>
  <c r="AM155" i="19" s="1"/>
  <c r="AM148" i="19"/>
  <c r="AM174" i="19"/>
  <c r="AD162" i="19"/>
  <c r="AF162" i="19" s="1"/>
  <c r="AP128" i="19"/>
  <c r="D128" i="19"/>
  <c r="AF163" i="19"/>
  <c r="AM154" i="19"/>
  <c r="AK145" i="19"/>
  <c r="D114" i="19"/>
  <c r="H114" i="19" s="1"/>
  <c r="AP114" i="19"/>
  <c r="AQ121" i="19"/>
  <c r="AQ136" i="19" s="1"/>
  <c r="F128" i="19"/>
  <c r="BG128" i="19" s="1"/>
  <c r="D107" i="19"/>
  <c r="H107" i="19" s="1"/>
  <c r="AP103" i="19"/>
  <c r="AQ107" i="19"/>
  <c r="AP107" i="19" s="1"/>
  <c r="D65" i="19"/>
  <c r="H65" i="19" s="1"/>
  <c r="AI16" i="19"/>
  <c r="AI93" i="19"/>
  <c r="BG35" i="30"/>
  <c r="BG17" i="30"/>
  <c r="AM35" i="30"/>
  <c r="AM17" i="30"/>
  <c r="S35" i="30"/>
  <c r="S17" i="30"/>
  <c r="BM35" i="30"/>
  <c r="BM17" i="30"/>
  <c r="O35" i="30"/>
  <c r="O17" i="30"/>
  <c r="AO35" i="30"/>
  <c r="AO17" i="30"/>
  <c r="AT47" i="30" s="1"/>
  <c r="BH35" i="30"/>
  <c r="BH17" i="30"/>
  <c r="E32" i="30"/>
  <c r="E41" i="30" s="1"/>
  <c r="E21" i="30"/>
  <c r="E37" i="30"/>
  <c r="BD37" i="30"/>
  <c r="BD21" i="30"/>
  <c r="AJ47" i="30"/>
  <c r="AJ32" i="30"/>
  <c r="AJ37" i="30"/>
  <c r="AJ21" i="30"/>
  <c r="K47" i="30"/>
  <c r="K32" i="30"/>
  <c r="K37" i="30"/>
  <c r="K21" i="30"/>
  <c r="BL35" i="30"/>
  <c r="BL17" i="30"/>
  <c r="AR35" i="30"/>
  <c r="AR17" i="30"/>
  <c r="X35" i="30"/>
  <c r="X17" i="30"/>
  <c r="AX35" i="30"/>
  <c r="AX17" i="30"/>
  <c r="AD35" i="30"/>
  <c r="AD17" i="30"/>
  <c r="J35" i="30"/>
  <c r="J17" i="30"/>
  <c r="BA35" i="30"/>
  <c r="BA17" i="30"/>
  <c r="AG35" i="30"/>
  <c r="AG17" i="30"/>
  <c r="BS17" i="30"/>
  <c r="BS35" i="30"/>
  <c r="BR35" i="30"/>
  <c r="BR17" i="30"/>
  <c r="BC17" i="30"/>
  <c r="BC35" i="30"/>
  <c r="R47" i="30"/>
  <c r="R37" i="30"/>
  <c r="R21" i="30"/>
  <c r="R32" i="30"/>
  <c r="H47" i="30"/>
  <c r="H37" i="30"/>
  <c r="H32" i="30"/>
  <c r="H21" i="30"/>
  <c r="BP35" i="30"/>
  <c r="BP17" i="30"/>
  <c r="AV35" i="30"/>
  <c r="AV17" i="30"/>
  <c r="BQ35" i="30"/>
  <c r="BQ17" i="30"/>
  <c r="AC35" i="30"/>
  <c r="AC17" i="30"/>
  <c r="I35" i="30"/>
  <c r="I17" i="30"/>
  <c r="AS35" i="30"/>
  <c r="AS17" i="30"/>
  <c r="AL17" i="30"/>
  <c r="AL35" i="30"/>
  <c r="BI35" i="30"/>
  <c r="BI17" i="30"/>
  <c r="AN35" i="30"/>
  <c r="AN17" i="30"/>
  <c r="BN32" i="30"/>
  <c r="BN37" i="30"/>
  <c r="BN21" i="30"/>
  <c r="AT32" i="30"/>
  <c r="AT37" i="30"/>
  <c r="AT21" i="30"/>
  <c r="AE32" i="30"/>
  <c r="AE47" i="30"/>
  <c r="AE37" i="30"/>
  <c r="AE21" i="30"/>
  <c r="U47" i="30"/>
  <c r="U32" i="30"/>
  <c r="U37" i="30"/>
  <c r="U21" i="30"/>
  <c r="F32" i="30"/>
  <c r="F41" i="30" s="1"/>
  <c r="F37" i="30"/>
  <c r="F21" i="30"/>
  <c r="AB35" i="30"/>
  <c r="AB17" i="30"/>
  <c r="Z47" i="30"/>
  <c r="Z32" i="30"/>
  <c r="Z37" i="30"/>
  <c r="Z21" i="30"/>
  <c r="AW35" i="30"/>
  <c r="AW17" i="30"/>
  <c r="Y17" i="30"/>
  <c r="Y35" i="30"/>
  <c r="BF17" i="30"/>
  <c r="BF35" i="30"/>
  <c r="BB35" i="30"/>
  <c r="BB17" i="30"/>
  <c r="AH35" i="30"/>
  <c r="AH17" i="30"/>
  <c r="N35" i="30"/>
  <c r="N17" i="30"/>
  <c r="T35" i="30"/>
  <c r="T17" i="30"/>
  <c r="BK35" i="30"/>
  <c r="BK17" i="30"/>
  <c r="AQ35" i="30"/>
  <c r="AQ17" i="30"/>
  <c r="W35" i="30"/>
  <c r="W17" i="30"/>
  <c r="AY35" i="30"/>
  <c r="AY17" i="30"/>
  <c r="BD47" i="30" s="1"/>
  <c r="P35" i="30"/>
  <c r="P17" i="30"/>
  <c r="AI35" i="30"/>
  <c r="AI17" i="30"/>
  <c r="D37" i="30"/>
  <c r="D32" i="30"/>
  <c r="D41" i="30" s="1"/>
  <c r="D21" i="30"/>
  <c r="M47" i="30"/>
  <c r="M37" i="30"/>
  <c r="M32" i="30"/>
  <c r="M21" i="30"/>
  <c r="C37" i="30"/>
  <c r="C32" i="30"/>
  <c r="C41" i="30" s="1"/>
  <c r="C21" i="30"/>
  <c r="E22" i="88"/>
  <c r="I22" i="88" s="1"/>
  <c r="I19" i="88"/>
  <c r="E15" i="88"/>
  <c r="BJ56" i="32" l="1"/>
  <c r="BR41" i="3"/>
  <c r="BP11" i="32" s="1"/>
  <c r="BN11" i="32"/>
  <c r="BP40" i="3"/>
  <c r="BL49" i="32"/>
  <c r="G13" i="99"/>
  <c r="BN9" i="32"/>
  <c r="CA17" i="30"/>
  <c r="CA37" i="30" s="1"/>
  <c r="BD207" i="39"/>
  <c r="BU207" i="39" s="1"/>
  <c r="CV46" i="30"/>
  <c r="AL207" i="39"/>
  <c r="AJ207" i="39"/>
  <c r="Z207" i="39"/>
  <c r="X207" i="39"/>
  <c r="CT46" i="30"/>
  <c r="BU208" i="39"/>
  <c r="BX208" i="39"/>
  <c r="BZ208" i="39"/>
  <c r="S706" i="21"/>
  <c r="AC265" i="14"/>
  <c r="AK217" i="39"/>
  <c r="CW46" i="30"/>
  <c r="BJ21" i="3"/>
  <c r="BL21" i="3" s="1"/>
  <c r="BN21" i="3" s="1"/>
  <c r="BP21" i="3" s="1"/>
  <c r="BH20" i="3"/>
  <c r="BJ20" i="3" s="1"/>
  <c r="BL20" i="3" s="1"/>
  <c r="BN20" i="3" s="1"/>
  <c r="BP20" i="3" s="1"/>
  <c r="CA162" i="39"/>
  <c r="BF169" i="39"/>
  <c r="BU162" i="39"/>
  <c r="BX162" i="39"/>
  <c r="BZ162" i="39"/>
  <c r="AR185" i="19"/>
  <c r="D209" i="2"/>
  <c r="L209" i="2" s="1"/>
  <c r="DO12" i="36"/>
  <c r="BB209" i="39"/>
  <c r="DO43" i="36"/>
  <c r="DO33" i="36"/>
  <c r="DN23" i="36"/>
  <c r="F209" i="2" s="1"/>
  <c r="DO83" i="36"/>
  <c r="DO53" i="36"/>
  <c r="BB121" i="19"/>
  <c r="Q223" i="14"/>
  <c r="AE120" i="39"/>
  <c r="BC121" i="19"/>
  <c r="Q265" i="14"/>
  <c r="AK120" i="39"/>
  <c r="BE162" i="39"/>
  <c r="O121" i="14"/>
  <c r="AP69" i="3"/>
  <c r="T35" i="8"/>
  <c r="T21" i="8"/>
  <c r="U8" i="8"/>
  <c r="T23" i="8"/>
  <c r="T8" i="8"/>
  <c r="T28" i="8"/>
  <c r="T122" i="8"/>
  <c r="T15" i="8"/>
  <c r="T17" i="8"/>
  <c r="T74" i="8"/>
  <c r="T12" i="8"/>
  <c r="T14" i="8" s="1"/>
  <c r="T13" i="8" s="1"/>
  <c r="BY207" i="39"/>
  <c r="AD207" i="39"/>
  <c r="AF207" i="39"/>
  <c r="AM564" i="21"/>
  <c r="AJ210" i="39"/>
  <c r="AL210" i="39"/>
  <c r="J179" i="14"/>
  <c r="AM409" i="21"/>
  <c r="V237" i="14"/>
  <c r="V266" i="14" s="1"/>
  <c r="V270" i="14" s="1"/>
  <c r="U112" i="8"/>
  <c r="U237" i="14"/>
  <c r="U266" i="14" s="1"/>
  <c r="U270" i="14" s="1"/>
  <c r="U262" i="14"/>
  <c r="BY208" i="39"/>
  <c r="U8" i="14"/>
  <c r="AM155" i="39"/>
  <c r="V236" i="14"/>
  <c r="AJ155" i="39"/>
  <c r="BD155" i="39"/>
  <c r="D208" i="2"/>
  <c r="L208" i="2" s="1"/>
  <c r="BB208" i="39"/>
  <c r="BE208" i="39" s="1"/>
  <c r="DO82" i="36"/>
  <c r="DO42" i="36"/>
  <c r="DO52" i="36"/>
  <c r="DO32" i="36"/>
  <c r="DN22" i="36"/>
  <c r="DO11" i="36"/>
  <c r="D207" i="2"/>
  <c r="L207" i="2" s="1"/>
  <c r="DO10" i="36"/>
  <c r="BB207" i="39"/>
  <c r="DN15" i="36"/>
  <c r="DN21" i="36"/>
  <c r="DO31" i="36"/>
  <c r="DO51" i="36"/>
  <c r="DN16" i="36"/>
  <c r="DO41" i="36"/>
  <c r="DO81" i="36"/>
  <c r="T118" i="8"/>
  <c r="T320" i="14"/>
  <c r="T348" i="14" s="1"/>
  <c r="AI211" i="39"/>
  <c r="W8" i="14"/>
  <c r="W106" i="8"/>
  <c r="X139" i="14"/>
  <c r="X182" i="14" s="1"/>
  <c r="X186" i="14" s="1"/>
  <c r="W139" i="14"/>
  <c r="W182" i="14" s="1"/>
  <c r="W186" i="14" s="1"/>
  <c r="BG198" i="19"/>
  <c r="BG197" i="39"/>
  <c r="BF98" i="19"/>
  <c r="BA121" i="19"/>
  <c r="Q181" i="14"/>
  <c r="Y120" i="39"/>
  <c r="BC114" i="19"/>
  <c r="AK113" i="39"/>
  <c r="P265" i="14" s="1"/>
  <c r="AB263" i="14"/>
  <c r="O179" i="14"/>
  <c r="E203" i="39"/>
  <c r="G204" i="39"/>
  <c r="D204" i="39"/>
  <c r="AI204" i="39"/>
  <c r="AJ203" i="39"/>
  <c r="AL204" i="39"/>
  <c r="AF209" i="39"/>
  <c r="AD209" i="39"/>
  <c r="AD169" i="39"/>
  <c r="W194" i="14"/>
  <c r="AG162" i="39"/>
  <c r="AH169" i="39" s="1"/>
  <c r="AD162" i="39"/>
  <c r="BY162" i="39"/>
  <c r="G209" i="39"/>
  <c r="E209" i="39"/>
  <c r="BD209" i="39"/>
  <c r="AB169" i="39"/>
  <c r="AS65" i="14"/>
  <c r="AT65" i="14" s="1"/>
  <c r="W112" i="8"/>
  <c r="W237" i="14"/>
  <c r="W266" i="14" s="1"/>
  <c r="W270" i="14" s="1"/>
  <c r="X237" i="14"/>
  <c r="X266" i="14" s="1"/>
  <c r="X270" i="14" s="1"/>
  <c r="W262" i="14"/>
  <c r="W112" i="60"/>
  <c r="X76" i="60"/>
  <c r="H120" i="60"/>
  <c r="I87" i="60"/>
  <c r="I85" i="60"/>
  <c r="I86" i="60"/>
  <c r="V84" i="60"/>
  <c r="U85" i="60"/>
  <c r="J120" i="60"/>
  <c r="K119" i="60"/>
  <c r="J85" i="60"/>
  <c r="S118" i="60"/>
  <c r="T85" i="60"/>
  <c r="W114" i="60"/>
  <c r="X78" i="60"/>
  <c r="P120" i="60"/>
  <c r="P86" i="60"/>
  <c r="M85" i="60"/>
  <c r="V119" i="60"/>
  <c r="W83" i="60"/>
  <c r="N119" i="60"/>
  <c r="O118" i="60"/>
  <c r="L87" i="60"/>
  <c r="M11" i="60"/>
  <c r="N8" i="60"/>
  <c r="W115" i="60"/>
  <c r="X79" i="60"/>
  <c r="W118" i="60"/>
  <c r="X82" i="60"/>
  <c r="O87" i="60"/>
  <c r="J118" i="60"/>
  <c r="R118" i="60"/>
  <c r="T120" i="60"/>
  <c r="B137" i="60"/>
  <c r="C137" i="60"/>
  <c r="P74" i="60"/>
  <c r="P110" i="60" s="1"/>
  <c r="P147" i="60" s="1"/>
  <c r="O9" i="60"/>
  <c r="U74" i="60"/>
  <c r="U110" i="60" s="1"/>
  <c r="U147" i="60" s="1"/>
  <c r="V9" i="60"/>
  <c r="M86" i="60"/>
  <c r="M122" i="60" s="1"/>
  <c r="U119" i="60"/>
  <c r="N84" i="60"/>
  <c r="L31" i="60"/>
  <c r="L88" i="60"/>
  <c r="W117" i="60"/>
  <c r="X81" i="60"/>
  <c r="I88" i="60"/>
  <c r="Q84" i="60"/>
  <c r="Q120" i="60" s="1"/>
  <c r="U86" i="60"/>
  <c r="J119" i="60"/>
  <c r="L118" i="60"/>
  <c r="K118" i="60"/>
  <c r="R84" i="60"/>
  <c r="W113" i="60"/>
  <c r="X77" i="60"/>
  <c r="R149" i="60"/>
  <c r="H86" i="60"/>
  <c r="H122" i="60" s="1"/>
  <c r="M87" i="60"/>
  <c r="M123" i="60" s="1"/>
  <c r="N85" i="60"/>
  <c r="N118" i="60"/>
  <c r="T86" i="60"/>
  <c r="W116" i="60"/>
  <c r="X80" i="60"/>
  <c r="K89" i="60"/>
  <c r="Q85" i="60"/>
  <c r="Q121" i="60" s="1"/>
  <c r="T87" i="60"/>
  <c r="H85" i="60"/>
  <c r="L89" i="60"/>
  <c r="L119" i="60"/>
  <c r="S86" i="60"/>
  <c r="O88" i="60"/>
  <c r="BO191" i="40"/>
  <c r="AR141" i="40"/>
  <c r="AR133" i="40"/>
  <c r="P256" i="14"/>
  <c r="AB770" i="21"/>
  <c r="AB771" i="21"/>
  <c r="AB772" i="21" s="1"/>
  <c r="BX173" i="40"/>
  <c r="BV174" i="40"/>
  <c r="P35" i="40"/>
  <c r="G35" i="40"/>
  <c r="AD57" i="40"/>
  <c r="Z187" i="21"/>
  <c r="DB57" i="40"/>
  <c r="EF133" i="40"/>
  <c r="EG133" i="40" s="1"/>
  <c r="P146" i="40"/>
  <c r="G138" i="40"/>
  <c r="P138" i="40"/>
  <c r="AD573" i="21"/>
  <c r="AF573" i="21" s="1"/>
  <c r="AK410" i="21"/>
  <c r="AM416" i="21"/>
  <c r="L287" i="14"/>
  <c r="G42" i="40"/>
  <c r="P42" i="40"/>
  <c r="P50" i="40"/>
  <c r="CC156" i="40"/>
  <c r="CC152" i="40"/>
  <c r="CE149" i="40"/>
  <c r="AD75" i="40"/>
  <c r="AD67" i="40"/>
  <c r="Z196" i="21"/>
  <c r="DN141" i="40"/>
  <c r="CY141" i="40"/>
  <c r="DC141" i="40"/>
  <c r="BJ177" i="40"/>
  <c r="BH180" i="40"/>
  <c r="BH176" i="40"/>
  <c r="BL177" i="40"/>
  <c r="BH184" i="40"/>
  <c r="CI209" i="40"/>
  <c r="DD66" i="30"/>
  <c r="Z85" i="19"/>
  <c r="AD49" i="40"/>
  <c r="DB49" i="40"/>
  <c r="P28" i="40"/>
  <c r="G28" i="40"/>
  <c r="AD44" i="40"/>
  <c r="AM149" i="40"/>
  <c r="AQ141" i="40"/>
  <c r="AO141" i="40"/>
  <c r="DK141" i="40"/>
  <c r="DD149" i="40"/>
  <c r="AB131" i="2"/>
  <c r="AD131" i="2" s="1"/>
  <c r="AB132" i="19"/>
  <c r="AR66" i="30"/>
  <c r="AB133" i="19"/>
  <c r="AK429" i="21"/>
  <c r="CY29" i="40"/>
  <c r="CX29" i="40"/>
  <c r="DM117" i="40"/>
  <c r="Q294" i="14"/>
  <c r="P294" i="14"/>
  <c r="Q298" i="14"/>
  <c r="P298" i="14"/>
  <c r="CY125" i="40"/>
  <c r="AK768" i="21"/>
  <c r="AD775" i="21"/>
  <c r="AF775" i="21" s="1"/>
  <c r="AD768" i="21"/>
  <c r="AF768" i="21" s="1"/>
  <c r="EF141" i="40"/>
  <c r="EG141" i="40" s="1"/>
  <c r="BW169" i="40"/>
  <c r="BX169" i="40"/>
  <c r="EG100" i="40"/>
  <c r="P34" i="40"/>
  <c r="G34" i="40"/>
  <c r="AD60" i="40"/>
  <c r="W75" i="40"/>
  <c r="G67" i="40"/>
  <c r="V76" i="2"/>
  <c r="X76" i="2" s="1"/>
  <c r="E67" i="30"/>
  <c r="L77" i="19"/>
  <c r="U77" i="19" s="1"/>
  <c r="AR57" i="40"/>
  <c r="Z541" i="21"/>
  <c r="AR65" i="40"/>
  <c r="Q166" i="14"/>
  <c r="P173" i="14"/>
  <c r="Q173" i="14"/>
  <c r="P166" i="14"/>
  <c r="AB764" i="21"/>
  <c r="AB253" i="21"/>
  <c r="P130" i="40"/>
  <c r="G130" i="40"/>
  <c r="P147" i="40"/>
  <c r="G139" i="40"/>
  <c r="P139" i="40"/>
  <c r="EF123" i="40"/>
  <c r="EG123" i="40" s="1"/>
  <c r="CP218" i="40"/>
  <c r="AH152" i="40"/>
  <c r="AF153" i="40"/>
  <c r="J448" i="21"/>
  <c r="AD76" i="40"/>
  <c r="AD68" i="40"/>
  <c r="AK769" i="21"/>
  <c r="AD769" i="21"/>
  <c r="AF769" i="21" s="1"/>
  <c r="AD776" i="21"/>
  <c r="AF776" i="21" s="1"/>
  <c r="P25" i="40"/>
  <c r="G25" i="40"/>
  <c r="AY182" i="40"/>
  <c r="Z812" i="21"/>
  <c r="CI203" i="40"/>
  <c r="V83" i="2"/>
  <c r="X83" i="2" s="1"/>
  <c r="Z83" i="2" s="1"/>
  <c r="J67" i="30"/>
  <c r="L85" i="19"/>
  <c r="U85" i="19" s="1"/>
  <c r="AR58" i="40"/>
  <c r="Z542" i="21"/>
  <c r="AR66" i="40"/>
  <c r="M17" i="14"/>
  <c r="P140" i="40"/>
  <c r="P132" i="40"/>
  <c r="G132" i="40"/>
  <c r="AB137" i="40"/>
  <c r="Z257" i="21" s="1"/>
  <c r="AB257" i="21" s="1"/>
  <c r="AB138" i="40"/>
  <c r="Z258" i="21" s="1"/>
  <c r="AB139" i="40"/>
  <c r="Z259" i="21" s="1"/>
  <c r="AD240" i="21"/>
  <c r="AD410" i="21"/>
  <c r="AK763" i="21"/>
  <c r="AM763" i="21" s="1"/>
  <c r="AB765" i="21"/>
  <c r="P41" i="40"/>
  <c r="G41" i="40"/>
  <c r="P49" i="40"/>
  <c r="DC117" i="40"/>
  <c r="AD66" i="40"/>
  <c r="AD74" i="40"/>
  <c r="Z195" i="21"/>
  <c r="AB428" i="21"/>
  <c r="M152" i="14"/>
  <c r="M156" i="14" s="1"/>
  <c r="M157" i="14"/>
  <c r="R156" i="40"/>
  <c r="R152" i="40"/>
  <c r="T149" i="40"/>
  <c r="V149" i="40"/>
  <c r="DD156" i="40"/>
  <c r="S31" i="14"/>
  <c r="BJ169" i="40"/>
  <c r="BI169" i="40"/>
  <c r="DZ169" i="40" s="1"/>
  <c r="CI211" i="40"/>
  <c r="CL212" i="40"/>
  <c r="CN212" i="40" s="1"/>
  <c r="CI215" i="40"/>
  <c r="DB52" i="40"/>
  <c r="AD52" i="40"/>
  <c r="L722" i="21"/>
  <c r="L723" i="21" s="1"/>
  <c r="L726" i="21"/>
  <c r="P27" i="40"/>
  <c r="G27" i="40"/>
  <c r="AK843" i="21"/>
  <c r="AM843" i="21" s="1"/>
  <c r="AD843" i="21"/>
  <c r="AF843" i="21" s="1"/>
  <c r="AK762" i="21"/>
  <c r="AM762" i="21" s="1"/>
  <c r="AD762" i="21"/>
  <c r="AF762" i="21" s="1"/>
  <c r="BA156" i="40"/>
  <c r="BA152" i="40"/>
  <c r="BC149" i="40"/>
  <c r="DM149" i="40"/>
  <c r="DP117" i="40"/>
  <c r="ED125" i="40"/>
  <c r="EG107" i="40"/>
  <c r="P33" i="40"/>
  <c r="G33" i="40"/>
  <c r="AD59" i="40"/>
  <c r="Z189" i="21"/>
  <c r="DB59" i="40"/>
  <c r="W76" i="40"/>
  <c r="G68" i="40"/>
  <c r="EG130" i="40"/>
  <c r="AR60" i="40"/>
  <c r="K17" i="14"/>
  <c r="AB844" i="21"/>
  <c r="AD844" i="21" s="1"/>
  <c r="AF844" i="21" s="1"/>
  <c r="AK841" i="21"/>
  <c r="P137" i="40"/>
  <c r="P145" i="40"/>
  <c r="G137" i="40"/>
  <c r="DI141" i="40"/>
  <c r="DD163" i="40"/>
  <c r="T31" i="14"/>
  <c r="DD170" i="40"/>
  <c r="AJ156" i="40"/>
  <c r="AF155" i="40"/>
  <c r="AF163" i="40"/>
  <c r="AF159" i="40"/>
  <c r="AH156" i="40"/>
  <c r="P43" i="40"/>
  <c r="G43" i="40"/>
  <c r="P51" i="40"/>
  <c r="P133" i="40"/>
  <c r="P141" i="40"/>
  <c r="G133" i="40"/>
  <c r="AI138" i="40"/>
  <c r="AI139" i="40"/>
  <c r="AI137" i="40"/>
  <c r="AD50" i="40"/>
  <c r="DB50" i="40"/>
  <c r="V75" i="2"/>
  <c r="X75" i="2" s="1"/>
  <c r="D67" i="30"/>
  <c r="AT156" i="40"/>
  <c r="AT152" i="40"/>
  <c r="AV149" i="40"/>
  <c r="CY133" i="40"/>
  <c r="DN133" i="40"/>
  <c r="DJ133" i="40"/>
  <c r="DL133" i="40"/>
  <c r="DM133" i="40"/>
  <c r="DI133" i="40"/>
  <c r="W74" i="40"/>
  <c r="G66" i="40"/>
  <c r="CX117" i="40"/>
  <c r="EG117" i="40" s="1"/>
  <c r="CY117" i="40"/>
  <c r="DO117" i="40"/>
  <c r="DJ117" i="40"/>
  <c r="DI117" i="40"/>
  <c r="DQ117" i="40"/>
  <c r="DK117" i="40"/>
  <c r="DL117" i="40"/>
  <c r="CY13" i="40"/>
  <c r="CX13" i="40"/>
  <c r="AD113" i="21"/>
  <c r="AF113" i="21" s="1"/>
  <c r="AB254" i="21"/>
  <c r="AM750" i="21"/>
  <c r="AD427" i="21"/>
  <c r="AF427" i="21" s="1"/>
  <c r="CR46" i="30"/>
  <c r="X179" i="14"/>
  <c r="EG85" i="40"/>
  <c r="P44" i="40"/>
  <c r="G44" i="40"/>
  <c r="P52" i="40"/>
  <c r="AD65" i="40"/>
  <c r="AD73" i="40"/>
  <c r="Z194" i="21"/>
  <c r="AB194" i="21" s="1"/>
  <c r="BH174" i="40"/>
  <c r="BJ173" i="40"/>
  <c r="CJ204" i="40"/>
  <c r="AD51" i="40"/>
  <c r="Q335" i="14"/>
  <c r="P335" i="14"/>
  <c r="P344" i="14" s="1"/>
  <c r="P345" i="14" s="1"/>
  <c r="P339" i="14"/>
  <c r="P341" i="14"/>
  <c r="P342" i="14" s="1"/>
  <c r="Q339" i="14"/>
  <c r="Q350" i="14"/>
  <c r="G26" i="40"/>
  <c r="P26" i="40"/>
  <c r="AB847" i="21"/>
  <c r="AB812" i="21"/>
  <c r="AD812" i="21" s="1"/>
  <c r="AF812" i="21" s="1"/>
  <c r="AB811" i="21"/>
  <c r="P211" i="14"/>
  <c r="Z430" i="21"/>
  <c r="AB430" i="21" s="1"/>
  <c r="Q211" i="14"/>
  <c r="P215" i="14"/>
  <c r="Q215" i="14"/>
  <c r="DM141" i="40"/>
  <c r="DK133" i="40"/>
  <c r="DL141" i="40"/>
  <c r="AK251" i="21"/>
  <c r="AM251" i="21" s="1"/>
  <c r="K156" i="40"/>
  <c r="K152" i="40"/>
  <c r="M149" i="40"/>
  <c r="O149" i="40"/>
  <c r="AB849" i="21"/>
  <c r="AB850" i="21"/>
  <c r="AB252" i="21"/>
  <c r="EF121" i="40"/>
  <c r="EG121" i="40" s="1"/>
  <c r="EE125" i="40"/>
  <c r="EF125" i="40" s="1"/>
  <c r="EG125" i="40" s="1"/>
  <c r="DF133" i="40"/>
  <c r="BV176" i="40"/>
  <c r="BX177" i="40"/>
  <c r="BV180" i="40"/>
  <c r="BV184" i="40"/>
  <c r="EF77" i="40"/>
  <c r="EG77" i="40" s="1"/>
  <c r="P36" i="40"/>
  <c r="G36" i="40"/>
  <c r="AD58" i="40"/>
  <c r="Z188" i="21"/>
  <c r="AB188" i="21" s="1"/>
  <c r="AR68" i="40"/>
  <c r="W73" i="40"/>
  <c r="G65" i="40"/>
  <c r="N146" i="14"/>
  <c r="N158" i="14" s="1"/>
  <c r="DE59" i="30"/>
  <c r="AR59" i="40"/>
  <c r="Z543" i="21"/>
  <c r="AR67" i="40"/>
  <c r="AB848" i="21"/>
  <c r="AD143" i="40"/>
  <c r="AD135" i="40"/>
  <c r="DF117" i="40"/>
  <c r="EG129" i="40"/>
  <c r="AK761" i="21"/>
  <c r="AM761" i="21" s="1"/>
  <c r="AD761" i="21"/>
  <c r="AF761" i="21" s="1"/>
  <c r="P129" i="40"/>
  <c r="G129" i="40"/>
  <c r="P131" i="40"/>
  <c r="G131" i="40"/>
  <c r="AB605" i="21"/>
  <c r="AB604" i="21"/>
  <c r="Y156" i="40"/>
  <c r="Y152" i="40"/>
  <c r="AA149" i="40"/>
  <c r="DI149" i="40"/>
  <c r="AC149" i="40"/>
  <c r="CW149" i="40"/>
  <c r="DD184" i="40"/>
  <c r="DD177" i="40"/>
  <c r="V31" i="14"/>
  <c r="AM132" i="21"/>
  <c r="P107" i="14"/>
  <c r="Q107" i="14"/>
  <c r="P110" i="14"/>
  <c r="Z76" i="21"/>
  <c r="AB76" i="21" s="1"/>
  <c r="Z74" i="21"/>
  <c r="AB74" i="21" s="1"/>
  <c r="Z75" i="21"/>
  <c r="Z77" i="21"/>
  <c r="AB77" i="21" s="1"/>
  <c r="W62" i="21"/>
  <c r="Z82" i="21"/>
  <c r="AB12" i="21"/>
  <c r="AB13" i="21"/>
  <c r="Z83" i="21"/>
  <c r="AP83" i="2"/>
  <c r="AN85" i="2"/>
  <c r="AP85" i="2" s="1"/>
  <c r="AI85" i="2"/>
  <c r="AN169" i="2"/>
  <c r="AI120" i="2"/>
  <c r="AN99" i="2"/>
  <c r="AP99" i="2" s="1"/>
  <c r="AP95" i="2"/>
  <c r="AI148" i="2"/>
  <c r="AI183" i="2"/>
  <c r="AI190" i="2"/>
  <c r="R176" i="2"/>
  <c r="AN176" i="2"/>
  <c r="AN141" i="2"/>
  <c r="AN183" i="2"/>
  <c r="AN92" i="2"/>
  <c r="AP92" i="2" s="1"/>
  <c r="AP88" i="2"/>
  <c r="R6" i="31"/>
  <c r="AH7" i="35"/>
  <c r="L77" i="8"/>
  <c r="L78" i="8" s="1"/>
  <c r="X63" i="32"/>
  <c r="X66" i="32" s="1"/>
  <c r="R64" i="32"/>
  <c r="R66" i="32"/>
  <c r="X92" i="3"/>
  <c r="X93" i="3" s="1"/>
  <c r="X15" i="3"/>
  <c r="X27" i="3" s="1"/>
  <c r="N77" i="8"/>
  <c r="N78" i="8" s="1"/>
  <c r="AB63" i="32"/>
  <c r="AB66" i="32" s="1"/>
  <c r="X64" i="32"/>
  <c r="T66" i="32"/>
  <c r="T64" i="32"/>
  <c r="AR74" i="32"/>
  <c r="AR73" i="32" s="1"/>
  <c r="AR76" i="32" s="1"/>
  <c r="AP73" i="32"/>
  <c r="AP76" i="32" s="1"/>
  <c r="M77" i="8"/>
  <c r="M78" i="8" s="1"/>
  <c r="Z63" i="32"/>
  <c r="Z66" i="32" s="1"/>
  <c r="BF99" i="3"/>
  <c r="BD100" i="3"/>
  <c r="BR39" i="3"/>
  <c r="BP43" i="3"/>
  <c r="BN79" i="3"/>
  <c r="BN51" i="3"/>
  <c r="BL50" i="32" s="1"/>
  <c r="AP98" i="3"/>
  <c r="AR96" i="3"/>
  <c r="BL76" i="3"/>
  <c r="BJ33" i="3"/>
  <c r="BP24" i="3"/>
  <c r="AK751" i="21"/>
  <c r="AD737" i="21"/>
  <c r="AF737" i="21" s="1"/>
  <c r="D95" i="14"/>
  <c r="E76" i="14"/>
  <c r="D115" i="14"/>
  <c r="D116" i="14" s="1"/>
  <c r="M106" i="14"/>
  <c r="M130" i="14" s="1"/>
  <c r="M120" i="14"/>
  <c r="L221" i="14"/>
  <c r="Q330" i="14"/>
  <c r="Q332" i="14"/>
  <c r="Q333" i="14" s="1"/>
  <c r="K289" i="14"/>
  <c r="K291" i="14"/>
  <c r="K292" i="14" s="1"/>
  <c r="N106" i="14"/>
  <c r="N130" i="14" s="1"/>
  <c r="G179" i="14"/>
  <c r="H179" i="14"/>
  <c r="AD580" i="21"/>
  <c r="P317" i="14"/>
  <c r="P276" i="14"/>
  <c r="P234" i="14"/>
  <c r="P192" i="14"/>
  <c r="P136" i="14"/>
  <c r="P63" i="14"/>
  <c r="Q5" i="14"/>
  <c r="AV5" i="14"/>
  <c r="AB49" i="21"/>
  <c r="AB53" i="21"/>
  <c r="AB106" i="14"/>
  <c r="AB130" i="14" s="1"/>
  <c r="AB120" i="14"/>
  <c r="AB121" i="14" s="1"/>
  <c r="V221" i="14"/>
  <c r="G242" i="14"/>
  <c r="G246" i="14" s="1"/>
  <c r="F247" i="14"/>
  <c r="F259" i="14"/>
  <c r="I97" i="14"/>
  <c r="J78" i="14"/>
  <c r="J94" i="14" s="1"/>
  <c r="I103" i="14"/>
  <c r="I118" i="14"/>
  <c r="K179" i="14"/>
  <c r="L850" i="21"/>
  <c r="L854" i="21"/>
  <c r="AB25" i="21"/>
  <c r="AB22" i="21"/>
  <c r="AD22" i="21" s="1"/>
  <c r="AB29" i="21"/>
  <c r="X106" i="14"/>
  <c r="X130" i="14" s="1"/>
  <c r="X120" i="14"/>
  <c r="E102" i="14"/>
  <c r="E96" i="14"/>
  <c r="F77" i="14"/>
  <c r="F93" i="14" s="1"/>
  <c r="E92" i="14"/>
  <c r="E117" i="14"/>
  <c r="G217" i="14"/>
  <c r="G218" i="14" s="1"/>
  <c r="G205" i="14"/>
  <c r="G206" i="14" s="1"/>
  <c r="H200" i="14"/>
  <c r="H204" i="14" s="1"/>
  <c r="J367" i="21"/>
  <c r="G226" i="14"/>
  <c r="N121" i="14"/>
  <c r="AK220" i="14"/>
  <c r="S304" i="14"/>
  <c r="L733" i="21"/>
  <c r="L729" i="21"/>
  <c r="E276" i="14"/>
  <c r="E234" i="14"/>
  <c r="E192" i="14"/>
  <c r="E136" i="14"/>
  <c r="E63" i="14"/>
  <c r="F5" i="14"/>
  <c r="O221" i="14"/>
  <c r="M263" i="14"/>
  <c r="D21" i="14"/>
  <c r="E14" i="14"/>
  <c r="E19" i="14" s="1"/>
  <c r="H106" i="14"/>
  <c r="H120" i="14"/>
  <c r="H121" i="14" s="1"/>
  <c r="L179" i="14"/>
  <c r="L106" i="14"/>
  <c r="L130" i="14" s="1"/>
  <c r="L120" i="14"/>
  <c r="L121" i="14" s="1"/>
  <c r="T179" i="14"/>
  <c r="U179" i="14"/>
  <c r="D160" i="14"/>
  <c r="E144" i="14"/>
  <c r="E156" i="14" s="1"/>
  <c r="D175" i="14"/>
  <c r="D176" i="14" s="1"/>
  <c r="D184" i="14"/>
  <c r="R329" i="14"/>
  <c r="S325" i="14"/>
  <c r="S328" i="14" s="1"/>
  <c r="DJ60" i="30"/>
  <c r="R341" i="14"/>
  <c r="R342" i="14" s="1"/>
  <c r="R350" i="14"/>
  <c r="M284" i="14"/>
  <c r="M287" i="14" s="1"/>
  <c r="L309" i="14"/>
  <c r="L288" i="14"/>
  <c r="J736" i="21"/>
  <c r="L300" i="14"/>
  <c r="L301" i="14" s="1"/>
  <c r="T120" i="14"/>
  <c r="U106" i="14"/>
  <c r="U130" i="14" s="1"/>
  <c r="U120" i="14"/>
  <c r="T221" i="14"/>
  <c r="U263" i="14"/>
  <c r="V304" i="14"/>
  <c r="AO303" i="14"/>
  <c r="C22" i="14"/>
  <c r="C25" i="14"/>
  <c r="C26" i="14" s="1"/>
  <c r="I106" i="14"/>
  <c r="I130" i="14" s="1"/>
  <c r="I120" i="14"/>
  <c r="O304" i="14"/>
  <c r="I44" i="8"/>
  <c r="I41" i="8"/>
  <c r="I38" i="8"/>
  <c r="E44" i="8"/>
  <c r="E41" i="8"/>
  <c r="E38" i="8"/>
  <c r="Q44" i="8"/>
  <c r="Q41" i="8"/>
  <c r="Q38" i="8"/>
  <c r="AH73" i="8"/>
  <c r="BP9" i="32" s="1"/>
  <c r="X50" i="8"/>
  <c r="X45" i="8"/>
  <c r="AB50" i="8"/>
  <c r="AB45" i="8"/>
  <c r="V44" i="8"/>
  <c r="V38" i="8"/>
  <c r="V41" i="8"/>
  <c r="U41" i="8"/>
  <c r="U57" i="8" s="1"/>
  <c r="U44" i="8"/>
  <c r="U38" i="8"/>
  <c r="K44" i="8"/>
  <c r="K38" i="8"/>
  <c r="K41" i="8"/>
  <c r="AJ37" i="8"/>
  <c r="W44" i="8"/>
  <c r="W38" i="8"/>
  <c r="W41" i="8"/>
  <c r="Y45" i="8"/>
  <c r="Y50" i="8"/>
  <c r="C44" i="8"/>
  <c r="C38" i="8"/>
  <c r="C41" i="8"/>
  <c r="H44" i="8"/>
  <c r="H38" i="8"/>
  <c r="H41" i="8"/>
  <c r="AG34" i="8"/>
  <c r="L50" i="8"/>
  <c r="L45" i="8"/>
  <c r="U26" i="8"/>
  <c r="V25" i="8"/>
  <c r="R41" i="8"/>
  <c r="R57" i="8" s="1"/>
  <c r="R38" i="8"/>
  <c r="R44" i="8"/>
  <c r="G44" i="8"/>
  <c r="G38" i="8"/>
  <c r="G41" i="8"/>
  <c r="F44" i="8"/>
  <c r="F38" i="8"/>
  <c r="F41" i="8"/>
  <c r="AA44" i="8"/>
  <c r="AA38" i="8"/>
  <c r="AA41" i="8"/>
  <c r="J101" i="8"/>
  <c r="K5" i="8"/>
  <c r="M41" i="8"/>
  <c r="M25" i="8" s="1"/>
  <c r="M26" i="8" s="1"/>
  <c r="M44" i="8"/>
  <c r="M38" i="8"/>
  <c r="Q147" i="8"/>
  <c r="Q150" i="8" s="1"/>
  <c r="Q144" i="8"/>
  <c r="R147" i="8"/>
  <c r="R150" i="8" s="1"/>
  <c r="R144" i="8"/>
  <c r="N41" i="8"/>
  <c r="N25" i="8" s="1"/>
  <c r="N26" i="8" s="1"/>
  <c r="N44" i="8"/>
  <c r="N38" i="8"/>
  <c r="S144" i="8"/>
  <c r="S147" i="8"/>
  <c r="S150" i="8" s="1"/>
  <c r="D44" i="8"/>
  <c r="D38" i="8"/>
  <c r="D41" i="8"/>
  <c r="N172" i="8"/>
  <c r="P50" i="8"/>
  <c r="P45" i="8"/>
  <c r="O44" i="8"/>
  <c r="O38" i="8"/>
  <c r="O41" i="8"/>
  <c r="O25" i="8" s="1"/>
  <c r="O26" i="8" s="1"/>
  <c r="B44" i="8"/>
  <c r="B38" i="8"/>
  <c r="B41" i="8"/>
  <c r="S47" i="8"/>
  <c r="S48" i="8" s="1"/>
  <c r="S41" i="8"/>
  <c r="S57" i="8" s="1"/>
  <c r="S38" i="8"/>
  <c r="J44" i="8"/>
  <c r="J38" i="8"/>
  <c r="J41" i="8"/>
  <c r="Z44" i="8"/>
  <c r="Z38" i="8"/>
  <c r="Z41" i="8"/>
  <c r="W151" i="8"/>
  <c r="AJ29" i="8"/>
  <c r="BR180" i="36"/>
  <c r="BW180" i="36" s="1"/>
  <c r="BR150" i="36"/>
  <c r="BW123" i="36"/>
  <c r="BS123" i="36"/>
  <c r="CY126" i="36"/>
  <c r="CO13" i="30"/>
  <c r="CO44" i="30"/>
  <c r="B33" i="88" s="1"/>
  <c r="CH44" i="30"/>
  <c r="CH13" i="30"/>
  <c r="BV36" i="30"/>
  <c r="BV46" i="30"/>
  <c r="BL67" i="36"/>
  <c r="BG67" i="36"/>
  <c r="BX18" i="36"/>
  <c r="CJ54" i="36"/>
  <c r="CI54" i="36"/>
  <c r="BI16" i="30"/>
  <c r="CN54" i="36"/>
  <c r="R179" i="36"/>
  <c r="W179" i="36" s="1"/>
  <c r="R132" i="36"/>
  <c r="W132" i="36" s="1"/>
  <c r="R149" i="36"/>
  <c r="W122" i="36"/>
  <c r="BN179" i="36"/>
  <c r="BS179" i="36" s="1"/>
  <c r="BN149" i="36"/>
  <c r="BS122" i="36"/>
  <c r="AL208" i="36"/>
  <c r="AL198" i="36"/>
  <c r="AL152" i="36"/>
  <c r="BS180" i="36"/>
  <c r="R211" i="36"/>
  <c r="R201" i="36"/>
  <c r="CY95" i="36"/>
  <c r="DD95" i="36"/>
  <c r="CX259" i="36"/>
  <c r="CX211" i="36"/>
  <c r="CX201" i="36"/>
  <c r="DC150" i="36"/>
  <c r="V178" i="36"/>
  <c r="AA178" i="36" s="1"/>
  <c r="V131" i="36"/>
  <c r="AA131" i="36" s="1"/>
  <c r="V148" i="36"/>
  <c r="AA121" i="36"/>
  <c r="BV259" i="36"/>
  <c r="BV211" i="36"/>
  <c r="BV201" i="36"/>
  <c r="CT257" i="36"/>
  <c r="CT209" i="36"/>
  <c r="CT199" i="36"/>
  <c r="CY148" i="36"/>
  <c r="DF181" i="36"/>
  <c r="DF182" i="36"/>
  <c r="DK177" i="36"/>
  <c r="CJ13" i="30"/>
  <c r="CJ44" i="30"/>
  <c r="C33" i="88" s="1"/>
  <c r="CC44" i="30"/>
  <c r="CC13" i="30"/>
  <c r="CQ46" i="30"/>
  <c r="CQ36" i="30"/>
  <c r="BX66" i="36"/>
  <c r="BS66" i="36"/>
  <c r="CA66" i="36"/>
  <c r="CF66" i="36"/>
  <c r="BZ129" i="36"/>
  <c r="BZ120" i="36"/>
  <c r="CA110" i="36"/>
  <c r="BZ95" i="36"/>
  <c r="CA91" i="36"/>
  <c r="BZ97" i="36"/>
  <c r="CF91" i="36"/>
  <c r="BZ96" i="36"/>
  <c r="BF123" i="36"/>
  <c r="BG113" i="36"/>
  <c r="BG94" i="36"/>
  <c r="BL94" i="36"/>
  <c r="BN121" i="36"/>
  <c r="BO111" i="36"/>
  <c r="BO92" i="36"/>
  <c r="BT92" i="36"/>
  <c r="BN97" i="36"/>
  <c r="BN96" i="36"/>
  <c r="BN95" i="36"/>
  <c r="BI104" i="39"/>
  <c r="BL104" i="39"/>
  <c r="BL93" i="36"/>
  <c r="BF122" i="36"/>
  <c r="BG112" i="36"/>
  <c r="BG93" i="36"/>
  <c r="AF95" i="36"/>
  <c r="AA95" i="36"/>
  <c r="AA114" i="36"/>
  <c r="Z177" i="36"/>
  <c r="Z130" i="36"/>
  <c r="AE130" i="36" s="1"/>
  <c r="Z147" i="36"/>
  <c r="Z125" i="36"/>
  <c r="AE120" i="36"/>
  <c r="Z124" i="36"/>
  <c r="Z126" i="36"/>
  <c r="AD210" i="36"/>
  <c r="AD200" i="36"/>
  <c r="AE95" i="36"/>
  <c r="AJ95" i="36"/>
  <c r="AE114" i="36"/>
  <c r="DB258" i="36"/>
  <c r="DB210" i="36"/>
  <c r="DG210" i="36" s="1"/>
  <c r="DB200" i="36"/>
  <c r="DG200" i="36" s="1"/>
  <c r="AD178" i="36"/>
  <c r="AD131" i="36"/>
  <c r="AI131" i="36" s="1"/>
  <c r="AD148" i="36"/>
  <c r="AI121" i="36"/>
  <c r="CP257" i="36"/>
  <c r="CP209" i="36"/>
  <c r="CU209" i="36" s="1"/>
  <c r="CP199" i="36"/>
  <c r="CU199" i="36" s="1"/>
  <c r="CU148" i="36"/>
  <c r="DB181" i="36"/>
  <c r="DG181" i="36" s="1"/>
  <c r="DG124" i="36"/>
  <c r="DD97" i="36"/>
  <c r="CY97" i="36"/>
  <c r="DB259" i="36"/>
  <c r="DB211" i="36"/>
  <c r="DG211" i="36" s="1"/>
  <c r="DB201" i="36"/>
  <c r="DG201" i="36" s="1"/>
  <c r="DG150" i="36"/>
  <c r="AH208" i="36"/>
  <c r="AH198" i="36"/>
  <c r="AM147" i="36"/>
  <c r="AH151" i="36"/>
  <c r="AL209" i="36"/>
  <c r="AL199" i="36"/>
  <c r="AQ148" i="36"/>
  <c r="AP210" i="36"/>
  <c r="AU210" i="36" s="1"/>
  <c r="AP200" i="36"/>
  <c r="AU149" i="36"/>
  <c r="AT211" i="36"/>
  <c r="AT201" i="36"/>
  <c r="AY150" i="36"/>
  <c r="BJ259" i="36"/>
  <c r="BJ211" i="36"/>
  <c r="BJ201" i="36"/>
  <c r="BO150" i="36"/>
  <c r="CL258" i="36"/>
  <c r="CL210" i="36"/>
  <c r="CL200" i="36"/>
  <c r="CQ149" i="36"/>
  <c r="CL280" i="36"/>
  <c r="BK29" i="30"/>
  <c r="CO46" i="30"/>
  <c r="B35" i="88" s="1"/>
  <c r="CO36" i="30"/>
  <c r="B26" i="88" s="1"/>
  <c r="BW44" i="30"/>
  <c r="BW13" i="30"/>
  <c r="CP13" i="30"/>
  <c r="CP44" i="30"/>
  <c r="CJ16" i="36"/>
  <c r="BF178" i="36"/>
  <c r="BF148" i="36"/>
  <c r="BK121" i="36"/>
  <c r="CH129" i="36"/>
  <c r="CH120" i="36"/>
  <c r="CH97" i="36"/>
  <c r="CI110" i="36"/>
  <c r="CN91" i="36"/>
  <c r="CH96" i="36"/>
  <c r="CI91" i="36"/>
  <c r="CH95" i="36"/>
  <c r="CJ91" i="36"/>
  <c r="BP67" i="36"/>
  <c r="BK67" i="36"/>
  <c r="CB67" i="36"/>
  <c r="BW67" i="36"/>
  <c r="BZ257" i="36"/>
  <c r="BZ209" i="36"/>
  <c r="BZ199" i="36"/>
  <c r="CE199" i="36" s="1"/>
  <c r="CE148" i="36"/>
  <c r="F209" i="36"/>
  <c r="K209" i="36" s="1"/>
  <c r="F199" i="36"/>
  <c r="K148" i="36"/>
  <c r="AQ95" i="36"/>
  <c r="AV95" i="36"/>
  <c r="AQ114" i="36"/>
  <c r="AP177" i="36"/>
  <c r="AP130" i="36"/>
  <c r="AU130" i="36" s="1"/>
  <c r="AP147" i="36"/>
  <c r="AQ147" i="36" s="1"/>
  <c r="AP125" i="36"/>
  <c r="AP126" i="36"/>
  <c r="AU126" i="36" s="1"/>
  <c r="AU120" i="36"/>
  <c r="AP124" i="36"/>
  <c r="AT210" i="36"/>
  <c r="AT200" i="36"/>
  <c r="CD259" i="36"/>
  <c r="CD211" i="36"/>
  <c r="CD201" i="36"/>
  <c r="J209" i="36"/>
  <c r="J199" i="36"/>
  <c r="AA120" i="36"/>
  <c r="V182" i="36"/>
  <c r="AA177" i="36"/>
  <c r="DB257" i="36"/>
  <c r="DB209" i="36"/>
  <c r="DG209" i="36" s="1"/>
  <c r="DB199" i="36"/>
  <c r="DG199" i="36" s="1"/>
  <c r="DG148" i="36"/>
  <c r="CZ98" i="36"/>
  <c r="CU98" i="36"/>
  <c r="AT182" i="36"/>
  <c r="AY182" i="36" s="1"/>
  <c r="AY177" i="36"/>
  <c r="AI180" i="36"/>
  <c r="DJ183" i="36"/>
  <c r="DJ182" i="36"/>
  <c r="BL85" i="39"/>
  <c r="BX16" i="36"/>
  <c r="BZ44" i="30"/>
  <c r="BZ13" i="30"/>
  <c r="CG44" i="30"/>
  <c r="CG13" i="30"/>
  <c r="CG46" i="30"/>
  <c r="CG36" i="30"/>
  <c r="BI140" i="39"/>
  <c r="BL140" i="39"/>
  <c r="BZ132" i="36"/>
  <c r="BZ123" i="36"/>
  <c r="CF94" i="36"/>
  <c r="CA113" i="36"/>
  <c r="CA94" i="36"/>
  <c r="CB94" i="36"/>
  <c r="BJ179" i="36"/>
  <c r="BO179" i="36" s="1"/>
  <c r="BJ149" i="36"/>
  <c r="BO122" i="36"/>
  <c r="Z123" i="36"/>
  <c r="AA113" i="36"/>
  <c r="AA94" i="36"/>
  <c r="AF94" i="36"/>
  <c r="AX179" i="36"/>
  <c r="AX132" i="36"/>
  <c r="BC132" i="36" s="1"/>
  <c r="AX149" i="36"/>
  <c r="O179" i="36"/>
  <c r="AH131" i="36"/>
  <c r="AM131" i="36" s="1"/>
  <c r="AH148" i="36"/>
  <c r="AH152" i="36" s="1"/>
  <c r="AM152" i="36" s="1"/>
  <c r="AH178" i="36"/>
  <c r="AM178" i="36" s="1"/>
  <c r="AM121" i="36"/>
  <c r="CQ178" i="36"/>
  <c r="Z209" i="36"/>
  <c r="AE209" i="36" s="1"/>
  <c r="Z199" i="36"/>
  <c r="AE199" i="36" s="1"/>
  <c r="AE148" i="36"/>
  <c r="BH94" i="36"/>
  <c r="R177" i="36"/>
  <c r="R130" i="36"/>
  <c r="W130" i="36" s="1"/>
  <c r="R147" i="36"/>
  <c r="R125" i="36"/>
  <c r="R126" i="36"/>
  <c r="W120" i="36"/>
  <c r="R124" i="36"/>
  <c r="AX209" i="36"/>
  <c r="AX199" i="36"/>
  <c r="BC148" i="36"/>
  <c r="CD257" i="36"/>
  <c r="CD209" i="36"/>
  <c r="CD199" i="36"/>
  <c r="AX124" i="36"/>
  <c r="AX183" i="36"/>
  <c r="BC177" i="36"/>
  <c r="AX182" i="36"/>
  <c r="CU180" i="36"/>
  <c r="CY125" i="36"/>
  <c r="AP283" i="36"/>
  <c r="C29" i="30"/>
  <c r="AB95" i="36"/>
  <c r="BU44" i="30"/>
  <c r="BU13" i="30"/>
  <c r="CB36" i="30"/>
  <c r="CB46" i="30"/>
  <c r="CR66" i="36"/>
  <c r="CM66" i="36"/>
  <c r="CR67" i="36"/>
  <c r="CM67" i="36"/>
  <c r="BC76" i="36"/>
  <c r="DZ75" i="36"/>
  <c r="DZ76" i="36" s="1"/>
  <c r="BB77" i="36"/>
  <c r="BD76" i="36"/>
  <c r="BI102" i="39"/>
  <c r="BL102" i="39"/>
  <c r="BG110" i="36"/>
  <c r="BG91" i="36"/>
  <c r="BF120" i="36"/>
  <c r="BF97" i="36"/>
  <c r="BL91" i="36"/>
  <c r="BF96" i="36"/>
  <c r="BF95" i="36"/>
  <c r="BH91" i="36"/>
  <c r="F177" i="36"/>
  <c r="F126" i="36"/>
  <c r="K126" i="36" s="1"/>
  <c r="F147" i="36"/>
  <c r="F130" i="36"/>
  <c r="K130" i="36" s="1"/>
  <c r="F125" i="36"/>
  <c r="K120" i="36"/>
  <c r="AQ124" i="36"/>
  <c r="AL181" i="36"/>
  <c r="AL182" i="36"/>
  <c r="AQ177" i="36"/>
  <c r="C48" i="30" s="1"/>
  <c r="V180" i="36"/>
  <c r="V133" i="36"/>
  <c r="AA133" i="36" s="1"/>
  <c r="V150" i="36"/>
  <c r="AA123" i="36"/>
  <c r="AU96" i="36"/>
  <c r="AZ96" i="36"/>
  <c r="AU115" i="36"/>
  <c r="AU95" i="36"/>
  <c r="AZ95" i="36"/>
  <c r="AU114" i="36"/>
  <c r="BL197" i="39"/>
  <c r="BI197" i="39"/>
  <c r="Z210" i="36"/>
  <c r="AE210" i="36" s="1"/>
  <c r="Z200" i="36"/>
  <c r="AE200" i="36" s="1"/>
  <c r="AE149" i="36"/>
  <c r="BG178" i="36"/>
  <c r="CX257" i="36"/>
  <c r="CX209" i="36"/>
  <c r="DC209" i="36" s="1"/>
  <c r="CX199" i="36"/>
  <c r="DC148" i="36"/>
  <c r="CL13" i="30"/>
  <c r="CL44" i="30"/>
  <c r="BW46" i="30"/>
  <c r="BW36" i="30"/>
  <c r="BX65" i="36"/>
  <c r="BS65" i="36"/>
  <c r="BH127" i="39"/>
  <c r="BL105" i="39"/>
  <c r="BI105" i="39"/>
  <c r="BO67" i="36"/>
  <c r="BT67" i="36"/>
  <c r="BL97" i="39"/>
  <c r="BI97" i="39"/>
  <c r="AH211" i="36"/>
  <c r="AH201" i="36"/>
  <c r="AE116" i="36"/>
  <c r="AJ97" i="36"/>
  <c r="AE97" i="36"/>
  <c r="AD147" i="36"/>
  <c r="AD130" i="36"/>
  <c r="AI130" i="36" s="1"/>
  <c r="AD177" i="36"/>
  <c r="AD126" i="36"/>
  <c r="AI126" i="36" s="1"/>
  <c r="AD124" i="36"/>
  <c r="AI120" i="36"/>
  <c r="AD125" i="36"/>
  <c r="AI125" i="36" s="1"/>
  <c r="AH179" i="36"/>
  <c r="AH132" i="36"/>
  <c r="AM132" i="36" s="1"/>
  <c r="AH149" i="36"/>
  <c r="AM122" i="36"/>
  <c r="N210" i="36"/>
  <c r="N200" i="36"/>
  <c r="S149" i="36"/>
  <c r="CU178" i="36"/>
  <c r="DG126" i="36"/>
  <c r="DB183" i="36"/>
  <c r="DG177" i="36"/>
  <c r="DB182" i="36"/>
  <c r="DG182" i="36" s="1"/>
  <c r="CL259" i="36"/>
  <c r="CL211" i="36"/>
  <c r="CQ211" i="36" s="1"/>
  <c r="CL201" i="36"/>
  <c r="CQ150" i="36"/>
  <c r="CP181" i="36"/>
  <c r="CU124" i="36"/>
  <c r="CP182" i="36"/>
  <c r="CU177" i="36"/>
  <c r="CP183" i="36"/>
  <c r="AH124" i="36"/>
  <c r="BO180" i="36"/>
  <c r="CD256" i="36"/>
  <c r="CD208" i="36"/>
  <c r="CD198" i="36"/>
  <c r="CD152" i="36"/>
  <c r="BU46" i="30"/>
  <c r="BU36" i="30"/>
  <c r="BX36" i="30"/>
  <c r="BX46" i="30"/>
  <c r="BL151" i="39"/>
  <c r="BI151" i="39"/>
  <c r="BI109" i="39"/>
  <c r="BL109" i="39"/>
  <c r="BK65" i="36"/>
  <c r="BP65" i="36"/>
  <c r="BH113" i="39"/>
  <c r="BW65" i="36"/>
  <c r="CB65" i="36"/>
  <c r="BH134" i="39"/>
  <c r="DC55" i="36"/>
  <c r="V179" i="36"/>
  <c r="AA179" i="36" s="1"/>
  <c r="V149" i="36"/>
  <c r="V132" i="36"/>
  <c r="AA132" i="36" s="1"/>
  <c r="AA122" i="36"/>
  <c r="AQ115" i="36"/>
  <c r="AV96" i="36"/>
  <c r="AQ96" i="36"/>
  <c r="BB182" i="36"/>
  <c r="V124" i="36"/>
  <c r="V208" i="36"/>
  <c r="V198" i="36"/>
  <c r="AA147" i="36"/>
  <c r="V152" i="36"/>
  <c r="CX256" i="36"/>
  <c r="CX208" i="36"/>
  <c r="CX198" i="36"/>
  <c r="CX153" i="36"/>
  <c r="DC147" i="36"/>
  <c r="CX152" i="36"/>
  <c r="AT124" i="36"/>
  <c r="BI92" i="39"/>
  <c r="BL92" i="39"/>
  <c r="BV258" i="36"/>
  <c r="BV210" i="36"/>
  <c r="CA210" i="36" s="1"/>
  <c r="BV200" i="36"/>
  <c r="CA149" i="36"/>
  <c r="CJ46" i="30"/>
  <c r="C35" i="88" s="1"/>
  <c r="CJ36" i="30"/>
  <c r="C26" i="88" s="1"/>
  <c r="BV44" i="30"/>
  <c r="CA44" i="30"/>
  <c r="BV13" i="30"/>
  <c r="CM46" i="30"/>
  <c r="CM36" i="30"/>
  <c r="CK13" i="30"/>
  <c r="CK44" i="30"/>
  <c r="CK36" i="30"/>
  <c r="CH131" i="36"/>
  <c r="CH122" i="36"/>
  <c r="CI112" i="36"/>
  <c r="CN93" i="36"/>
  <c r="CI93" i="36"/>
  <c r="CR25" i="36"/>
  <c r="CJ93" i="36"/>
  <c r="F179" i="36"/>
  <c r="K179" i="36" s="1"/>
  <c r="F132" i="36"/>
  <c r="K132" i="36" s="1"/>
  <c r="F149" i="36"/>
  <c r="K122" i="36"/>
  <c r="N178" i="36"/>
  <c r="N131" i="36"/>
  <c r="S131" i="36" s="1"/>
  <c r="N148" i="36"/>
  <c r="S121" i="36"/>
  <c r="BB180" i="36"/>
  <c r="BC180" i="36" s="1"/>
  <c r="BB133" i="36"/>
  <c r="BB150" i="36"/>
  <c r="BG123" i="36"/>
  <c r="CY180" i="36"/>
  <c r="AP211" i="36"/>
  <c r="AU211" i="36" s="1"/>
  <c r="AP201" i="36"/>
  <c r="AU150" i="36"/>
  <c r="BC178" i="36"/>
  <c r="BC125" i="36"/>
  <c r="BI120" i="39"/>
  <c r="BL120" i="39"/>
  <c r="CT124" i="36"/>
  <c r="CT256" i="36"/>
  <c r="CT208" i="36"/>
  <c r="CT198" i="36"/>
  <c r="CY147" i="36"/>
  <c r="CT152" i="36"/>
  <c r="CY152" i="36" s="1"/>
  <c r="CE36" i="30"/>
  <c r="CE46" i="30"/>
  <c r="CH36" i="30"/>
  <c r="CH46" i="30"/>
  <c r="CF13" i="30"/>
  <c r="CF44" i="30"/>
  <c r="CM91" i="36"/>
  <c r="CL95" i="36"/>
  <c r="CL110" i="36"/>
  <c r="CL97" i="36"/>
  <c r="CL96" i="36"/>
  <c r="CR91" i="36"/>
  <c r="BG65" i="36"/>
  <c r="BL65" i="36"/>
  <c r="BH106" i="39"/>
  <c r="BJ178" i="36"/>
  <c r="BJ148" i="36"/>
  <c r="BO121" i="36"/>
  <c r="J177" i="36"/>
  <c r="J130" i="36"/>
  <c r="O130" i="36" s="1"/>
  <c r="J147" i="36"/>
  <c r="J125" i="36"/>
  <c r="J126" i="36"/>
  <c r="O120" i="36"/>
  <c r="R131" i="36"/>
  <c r="W131" i="36" s="1"/>
  <c r="R178" i="36"/>
  <c r="W178" i="36" s="1"/>
  <c r="R148" i="36"/>
  <c r="W121" i="36"/>
  <c r="W180" i="36"/>
  <c r="AT40" i="30"/>
  <c r="AT27" i="30"/>
  <c r="CY178" i="36"/>
  <c r="DF256" i="36"/>
  <c r="DF152" i="36"/>
  <c r="BL148" i="39"/>
  <c r="BI148" i="39"/>
  <c r="BZ36" i="30"/>
  <c r="BZ46" i="30"/>
  <c r="CC46" i="30"/>
  <c r="CC36" i="30"/>
  <c r="BR129" i="36"/>
  <c r="BR97" i="36"/>
  <c r="BX91" i="36"/>
  <c r="BR96" i="36"/>
  <c r="BR95" i="36"/>
  <c r="BS91" i="36"/>
  <c r="BT91" i="36"/>
  <c r="BS110" i="36"/>
  <c r="BR120" i="36" s="1"/>
  <c r="BI137" i="39"/>
  <c r="BL137" i="39"/>
  <c r="CA65" i="36"/>
  <c r="CF65" i="36"/>
  <c r="BH141" i="39"/>
  <c r="BI141" i="39" s="1"/>
  <c r="BO66" i="36"/>
  <c r="BT66" i="36"/>
  <c r="BB122" i="36"/>
  <c r="BC112" i="36"/>
  <c r="BC93" i="36"/>
  <c r="BH93" i="36"/>
  <c r="BB97" i="36"/>
  <c r="BB95" i="36"/>
  <c r="AF96" i="36"/>
  <c r="AA96" i="36"/>
  <c r="AA115" i="36"/>
  <c r="AF97" i="36"/>
  <c r="AA97" i="36"/>
  <c r="AA116" i="36"/>
  <c r="DG125" i="36"/>
  <c r="CU126" i="36"/>
  <c r="DG180" i="36"/>
  <c r="AQ122" i="36"/>
  <c r="AL149" i="36"/>
  <c r="AL151" i="36" s="1"/>
  <c r="AL132" i="36"/>
  <c r="AQ132" i="36" s="1"/>
  <c r="AL179" i="36"/>
  <c r="AQ179" i="36" s="1"/>
  <c r="E48" i="30" s="1"/>
  <c r="AH183" i="36"/>
  <c r="AM177" i="36"/>
  <c r="AH182" i="36"/>
  <c r="AM182" i="36" s="1"/>
  <c r="AY180" i="36"/>
  <c r="CD183" i="36"/>
  <c r="CD182" i="36"/>
  <c r="CZ95" i="36"/>
  <c r="CK46" i="30"/>
  <c r="CF46" i="30"/>
  <c r="CF36" i="30"/>
  <c r="BI152" i="39"/>
  <c r="BL152" i="39"/>
  <c r="CH130" i="36"/>
  <c r="CN92" i="36"/>
  <c r="CH121" i="36"/>
  <c r="CI92" i="36"/>
  <c r="CJ92" i="36"/>
  <c r="CI111" i="36"/>
  <c r="CN65" i="36"/>
  <c r="CI65" i="36"/>
  <c r="BH155" i="39"/>
  <c r="BI155" i="39" s="1"/>
  <c r="CI67" i="36"/>
  <c r="CN67" i="36"/>
  <c r="BK66" i="36"/>
  <c r="BP66" i="36"/>
  <c r="BX25" i="36"/>
  <c r="BI130" i="39"/>
  <c r="BL130" i="39"/>
  <c r="AR95" i="36"/>
  <c r="AM95" i="36"/>
  <c r="AM114" i="36"/>
  <c r="AY179" i="36"/>
  <c r="CP258" i="36"/>
  <c r="CP210" i="36"/>
  <c r="CP200" i="36"/>
  <c r="O178" i="36"/>
  <c r="V126" i="36"/>
  <c r="AA126" i="36" s="1"/>
  <c r="DC125" i="36"/>
  <c r="AD211" i="36"/>
  <c r="AI211" i="36" s="1"/>
  <c r="AD201" i="36"/>
  <c r="AI201" i="36" s="1"/>
  <c r="AI150" i="36"/>
  <c r="AN95" i="36"/>
  <c r="BN256" i="36"/>
  <c r="BN208" i="36"/>
  <c r="BN198" i="36"/>
  <c r="CQ13" i="30"/>
  <c r="CQ44" i="30"/>
  <c r="CU46" i="30"/>
  <c r="BI153" i="39"/>
  <c r="BL153" i="39"/>
  <c r="CD179" i="36"/>
  <c r="CD149" i="36"/>
  <c r="CI122" i="36"/>
  <c r="J210" i="36"/>
  <c r="O210" i="36" s="1"/>
  <c r="J200" i="36"/>
  <c r="O149" i="36"/>
  <c r="CL257" i="36"/>
  <c r="CL209" i="36"/>
  <c r="CQ209" i="36" s="1"/>
  <c r="CL199" i="36"/>
  <c r="CQ199" i="36" s="1"/>
  <c r="CQ148" i="36"/>
  <c r="BZ258" i="36"/>
  <c r="BZ210" i="36"/>
  <c r="BZ200" i="36"/>
  <c r="CE149" i="36"/>
  <c r="CR55" i="36"/>
  <c r="CQ55" i="36"/>
  <c r="AE121" i="36"/>
  <c r="BH65" i="36"/>
  <c r="BI169" i="39"/>
  <c r="BL169" i="39"/>
  <c r="AX208" i="36"/>
  <c r="AX198" i="36"/>
  <c r="BC147" i="36"/>
  <c r="AX152" i="36"/>
  <c r="AX153" i="36"/>
  <c r="AX151" i="36"/>
  <c r="CY177" i="36"/>
  <c r="CT182" i="36"/>
  <c r="CZ97" i="36"/>
  <c r="DH55" i="36"/>
  <c r="BR258" i="36"/>
  <c r="BR210" i="36"/>
  <c r="BR200" i="36"/>
  <c r="BW200" i="36" s="1"/>
  <c r="BW149" i="36"/>
  <c r="CB44" i="30"/>
  <c r="CB13" i="30"/>
  <c r="CP46" i="30"/>
  <c r="CP36" i="30"/>
  <c r="CM65" i="36"/>
  <c r="CR65" i="36"/>
  <c r="BH162" i="39"/>
  <c r="BI162" i="39" s="1"/>
  <c r="F123" i="36"/>
  <c r="F124" i="36" s="1"/>
  <c r="G94" i="36"/>
  <c r="G113" i="36"/>
  <c r="BL66" i="36"/>
  <c r="BG66" i="36"/>
  <c r="J123" i="36"/>
  <c r="K94" i="36"/>
  <c r="K113" i="36"/>
  <c r="N123" i="36"/>
  <c r="O94" i="36"/>
  <c r="O113" i="36"/>
  <c r="CB54" i="36"/>
  <c r="CA54" i="36"/>
  <c r="AY16" i="30"/>
  <c r="AQ125" i="36"/>
  <c r="BN259" i="36"/>
  <c r="BN211" i="36"/>
  <c r="BN201" i="36"/>
  <c r="BS150" i="36"/>
  <c r="BB209" i="36"/>
  <c r="BB199" i="36"/>
  <c r="BG148" i="36"/>
  <c r="CT282" i="36"/>
  <c r="CT283" i="36" s="1"/>
  <c r="CX268" i="36"/>
  <c r="CU271" i="36"/>
  <c r="BI123" i="39"/>
  <c r="BL123" i="39"/>
  <c r="BS67" i="36"/>
  <c r="BX67" i="36"/>
  <c r="BL131" i="39"/>
  <c r="BI131" i="39"/>
  <c r="BV130" i="36"/>
  <c r="BV188" i="36" s="1"/>
  <c r="BW188" i="36" s="1"/>
  <c r="BV121" i="36"/>
  <c r="CB92" i="36"/>
  <c r="BW92" i="36"/>
  <c r="BX92" i="36"/>
  <c r="BW111" i="36"/>
  <c r="CF67" i="36"/>
  <c r="CA67" i="36"/>
  <c r="BL117" i="39"/>
  <c r="BI117" i="39"/>
  <c r="BC67" i="36"/>
  <c r="BH67" i="36"/>
  <c r="BD67" i="36"/>
  <c r="AZ97" i="36"/>
  <c r="AU97" i="36"/>
  <c r="AU116" i="36"/>
  <c r="AI179" i="36"/>
  <c r="AT178" i="36"/>
  <c r="AY178" i="36" s="1"/>
  <c r="AT131" i="36"/>
  <c r="AY131" i="36" s="1"/>
  <c r="AT148" i="36"/>
  <c r="AY121" i="36"/>
  <c r="AX211" i="36"/>
  <c r="AX201" i="36"/>
  <c r="BC150" i="36"/>
  <c r="AJ96" i="36"/>
  <c r="AE96" i="36"/>
  <c r="AE115" i="36"/>
  <c r="AP209" i="36"/>
  <c r="AP199" i="36"/>
  <c r="AU148" i="36"/>
  <c r="S122" i="36"/>
  <c r="DB256" i="36"/>
  <c r="DB208" i="36"/>
  <c r="DB198" i="36"/>
  <c r="DG147" i="36"/>
  <c r="DB152" i="36"/>
  <c r="DG152" i="36" s="1"/>
  <c r="DB153" i="36"/>
  <c r="DB151" i="36"/>
  <c r="CP256" i="36"/>
  <c r="CP208" i="36"/>
  <c r="CP198" i="36"/>
  <c r="CP153" i="36"/>
  <c r="CP151" i="36"/>
  <c r="CU147" i="36"/>
  <c r="CP152" i="36"/>
  <c r="CU152" i="36" s="1"/>
  <c r="DD98" i="36"/>
  <c r="CY98" i="36"/>
  <c r="CX179" i="36"/>
  <c r="DC179" i="36" s="1"/>
  <c r="DC122" i="36"/>
  <c r="CX149" i="36"/>
  <c r="AM125" i="36"/>
  <c r="BR257" i="36"/>
  <c r="BR209" i="36"/>
  <c r="BR199" i="36"/>
  <c r="CD181" i="36"/>
  <c r="CY114" i="36"/>
  <c r="CE44" i="30"/>
  <c r="CE13" i="30"/>
  <c r="BX44" i="30"/>
  <c r="BX13" i="30"/>
  <c r="CL46" i="30"/>
  <c r="CL36" i="30"/>
  <c r="CN66" i="36"/>
  <c r="CI66" i="36"/>
  <c r="BJ120" i="36"/>
  <c r="BK110" i="36"/>
  <c r="BJ95" i="36"/>
  <c r="BK91" i="36"/>
  <c r="BJ97" i="36"/>
  <c r="BP91" i="36"/>
  <c r="BJ96" i="36"/>
  <c r="CB66" i="36"/>
  <c r="BW66" i="36"/>
  <c r="BV129" i="36"/>
  <c r="BW91" i="36"/>
  <c r="BV97" i="36"/>
  <c r="CB91" i="36"/>
  <c r="BV96" i="36"/>
  <c r="BV95" i="36"/>
  <c r="BW110" i="36"/>
  <c r="BV120" i="36" s="1"/>
  <c r="CF54" i="36"/>
  <c r="CE54" i="36"/>
  <c r="BD16" i="30"/>
  <c r="BD32" i="30" s="1"/>
  <c r="N177" i="36"/>
  <c r="N147" i="36"/>
  <c r="N130" i="36"/>
  <c r="S130" i="36" s="1"/>
  <c r="N126" i="36"/>
  <c r="S126" i="36" s="1"/>
  <c r="N124" i="36"/>
  <c r="S120" i="36"/>
  <c r="N125" i="36"/>
  <c r="AV97" i="36"/>
  <c r="AQ97" i="36"/>
  <c r="AQ116" i="36"/>
  <c r="BB208" i="36"/>
  <c r="BB198" i="36"/>
  <c r="BB152" i="36"/>
  <c r="V125" i="36"/>
  <c r="AA125" i="36" s="1"/>
  <c r="CX124" i="36"/>
  <c r="CX182" i="36"/>
  <c r="DC182" i="36" s="1"/>
  <c r="CX183" i="36"/>
  <c r="DC183" i="36" s="1"/>
  <c r="DC177" i="36"/>
  <c r="DG98" i="36"/>
  <c r="DF179" i="36"/>
  <c r="DK179" i="36" s="1"/>
  <c r="DK122" i="36"/>
  <c r="DF149" i="36"/>
  <c r="DF258" i="36" s="1"/>
  <c r="CT179" i="36"/>
  <c r="CY122" i="36"/>
  <c r="CT149" i="36"/>
  <c r="AT125" i="36"/>
  <c r="AY125" i="36" s="1"/>
  <c r="AT208" i="36"/>
  <c r="AT198" i="36"/>
  <c r="AT153" i="36"/>
  <c r="AY153" i="36" s="1"/>
  <c r="AT151" i="36"/>
  <c r="AY147" i="36"/>
  <c r="AT152" i="36"/>
  <c r="AY152" i="36" s="1"/>
  <c r="BL176" i="39"/>
  <c r="BI176" i="39"/>
  <c r="CM44" i="30"/>
  <c r="CM13" i="30"/>
  <c r="CA46" i="30"/>
  <c r="CA36" i="30"/>
  <c r="BL154" i="39"/>
  <c r="BI154" i="39"/>
  <c r="CH132" i="36"/>
  <c r="CH113" i="36"/>
  <c r="CI94" i="36"/>
  <c r="CN94" i="36"/>
  <c r="CJ94" i="36"/>
  <c r="BT16" i="36"/>
  <c r="CZ54" i="36"/>
  <c r="CY54" i="36"/>
  <c r="CX55" i="36"/>
  <c r="BD93" i="36"/>
  <c r="CE179" i="36"/>
  <c r="AE178" i="36"/>
  <c r="AL180" i="36"/>
  <c r="AQ180" i="36" s="1"/>
  <c r="F48" i="30" s="1"/>
  <c r="AL133" i="36"/>
  <c r="AQ133" i="36" s="1"/>
  <c r="AQ123" i="36"/>
  <c r="AL150" i="36"/>
  <c r="AM150" i="36" s="1"/>
  <c r="CT259" i="36"/>
  <c r="CT211" i="36"/>
  <c r="CY211" i="36" s="1"/>
  <c r="CT201" i="36"/>
  <c r="CY201" i="36" s="1"/>
  <c r="CY150" i="36"/>
  <c r="DK178" i="36"/>
  <c r="AU180" i="36"/>
  <c r="AX126" i="36"/>
  <c r="BT65" i="36"/>
  <c r="CP259" i="36"/>
  <c r="CP211" i="36"/>
  <c r="CU211" i="36" s="1"/>
  <c r="CP201" i="36"/>
  <c r="CU201" i="36" s="1"/>
  <c r="CU150" i="36"/>
  <c r="CA234" i="36"/>
  <c r="BW179" i="36"/>
  <c r="BM162" i="39"/>
  <c r="BL162" i="39"/>
  <c r="CF162" i="39"/>
  <c r="CG162" i="39"/>
  <c r="CH162" i="39"/>
  <c r="BG113" i="39"/>
  <c r="BG123" i="39"/>
  <c r="BG120" i="39"/>
  <c r="AM204" i="39"/>
  <c r="AN204" i="39" s="1"/>
  <c r="CC155" i="39"/>
  <c r="CI155" i="39"/>
  <c r="CG155" i="39"/>
  <c r="CH155" i="39"/>
  <c r="BM155" i="39"/>
  <c r="BL155" i="39"/>
  <c r="AP142" i="19"/>
  <c r="CI141" i="39"/>
  <c r="CC141" i="39"/>
  <c r="CH141" i="39"/>
  <c r="BM141" i="39"/>
  <c r="BL141" i="39"/>
  <c r="CG141" i="39"/>
  <c r="CC162" i="39"/>
  <c r="CI162" i="39"/>
  <c r="I204" i="39"/>
  <c r="J204" i="39" s="1"/>
  <c r="BF96" i="19"/>
  <c r="H198" i="19"/>
  <c r="AD247" i="21"/>
  <c r="AD254" i="21"/>
  <c r="AF254" i="21" s="1"/>
  <c r="AF289" i="21"/>
  <c r="AM308" i="21"/>
  <c r="AM315" i="21"/>
  <c r="N445" i="21"/>
  <c r="AM455" i="21"/>
  <c r="AK459" i="21"/>
  <c r="AM459" i="21" s="1"/>
  <c r="AF487" i="21"/>
  <c r="AK515" i="21"/>
  <c r="AM511" i="21"/>
  <c r="AD566" i="21"/>
  <c r="W613" i="21"/>
  <c r="W620" i="21"/>
  <c r="D706" i="21"/>
  <c r="F706" i="21"/>
  <c r="AF664" i="21"/>
  <c r="AD765" i="21"/>
  <c r="AF765" i="21" s="1"/>
  <c r="AM803" i="21"/>
  <c r="AK807" i="21"/>
  <c r="AM807" i="21" s="1"/>
  <c r="AS136" i="19"/>
  <c r="W442" i="21"/>
  <c r="AM654" i="21"/>
  <c r="AM865" i="21"/>
  <c r="AM123" i="21"/>
  <c r="AK127" i="21"/>
  <c r="AM144" i="21"/>
  <c r="AK148" i="21"/>
  <c r="AM230" i="21"/>
  <c r="AK233" i="21"/>
  <c r="AM278" i="21"/>
  <c r="AK282" i="21"/>
  <c r="AP210" i="19"/>
  <c r="BF210" i="19"/>
  <c r="F210" i="19"/>
  <c r="W393" i="21"/>
  <c r="AF636" i="21"/>
  <c r="AK650" i="21"/>
  <c r="AM650" i="21" s="1"/>
  <c r="W75" i="21"/>
  <c r="AD275" i="21"/>
  <c r="AF275" i="21" s="1"/>
  <c r="AM313" i="21"/>
  <c r="AK317" i="21"/>
  <c r="W408" i="21"/>
  <c r="H615" i="21"/>
  <c r="AI705" i="21"/>
  <c r="AU211" i="19"/>
  <c r="AM757" i="21"/>
  <c r="AK501" i="21"/>
  <c r="AF99" i="21"/>
  <c r="AM109" i="21"/>
  <c r="AK113" i="21"/>
  <c r="AM289" i="21"/>
  <c r="AM216" i="21"/>
  <c r="AK219" i="21"/>
  <c r="AM219" i="21" s="1"/>
  <c r="AF162" i="21"/>
  <c r="AF508" i="21"/>
  <c r="AM688" i="21"/>
  <c r="AK692" i="21"/>
  <c r="AU115" i="19"/>
  <c r="AW115" i="19"/>
  <c r="AT115" i="19"/>
  <c r="AM130" i="21"/>
  <c r="AK134" i="21"/>
  <c r="AM134" i="21" s="1"/>
  <c r="AM151" i="21"/>
  <c r="AK155" i="21"/>
  <c r="AQ209" i="19"/>
  <c r="AP209" i="19" s="1"/>
  <c r="BA309" i="21"/>
  <c r="BC309" i="21" s="1"/>
  <c r="AM695" i="21"/>
  <c r="AD106" i="21"/>
  <c r="AF106" i="21" s="1"/>
  <c r="AM102" i="21"/>
  <c r="AK106" i="21"/>
  <c r="AK247" i="21"/>
  <c r="AM243" i="21"/>
  <c r="AM303" i="21"/>
  <c r="U438" i="21"/>
  <c r="AF338" i="21"/>
  <c r="AM429" i="21"/>
  <c r="AD459" i="21"/>
  <c r="AF459" i="21" s="1"/>
  <c r="AK487" i="21"/>
  <c r="AM504" i="21"/>
  <c r="AK508" i="21"/>
  <c r="AM508" i="21" s="1"/>
  <c r="AK629" i="21"/>
  <c r="AM625" i="21"/>
  <c r="AM653" i="21"/>
  <c r="AK657" i="21"/>
  <c r="AM657" i="21" s="1"/>
  <c r="AU212" i="19"/>
  <c r="AT157" i="19"/>
  <c r="AP156" i="19"/>
  <c r="AR157" i="19"/>
  <c r="AS157" i="19"/>
  <c r="AU157" i="19"/>
  <c r="H261" i="21"/>
  <c r="AM238" i="21"/>
  <c r="AM245" i="21"/>
  <c r="AM295" i="21"/>
  <c r="AF303" i="21"/>
  <c r="AM334" i="21"/>
  <c r="AK338" i="21"/>
  <c r="AM491" i="21"/>
  <c r="AK417" i="21"/>
  <c r="AM417" i="21" s="1"/>
  <c r="AM413" i="21"/>
  <c r="AK445" i="21"/>
  <c r="AM452" i="21" s="1"/>
  <c r="AM402" i="21"/>
  <c r="AF629" i="21"/>
  <c r="AK664" i="21"/>
  <c r="AM758" i="21"/>
  <c r="AK566" i="21"/>
  <c r="AQ143" i="19"/>
  <c r="AT136" i="19"/>
  <c r="AR136" i="19"/>
  <c r="AV136" i="19"/>
  <c r="AM250" i="21"/>
  <c r="AK622" i="21"/>
  <c r="W89" i="21"/>
  <c r="AM236" i="21"/>
  <c r="AK240" i="21"/>
  <c r="AM240" i="21" s="1"/>
  <c r="AI209" i="19"/>
  <c r="D209" i="19"/>
  <c r="AM324" i="21"/>
  <c r="AM322" i="21"/>
  <c r="AM329" i="21"/>
  <c r="AM306" i="21"/>
  <c r="AK310" i="21"/>
  <c r="AM310" i="21" s="1"/>
  <c r="AM401" i="21"/>
  <c r="AD452" i="21"/>
  <c r="AF452" i="21" s="1"/>
  <c r="AM476" i="21"/>
  <c r="AK480" i="21"/>
  <c r="AM480" i="21" s="1"/>
  <c r="AK559" i="21"/>
  <c r="AR115" i="19"/>
  <c r="W223" i="21"/>
  <c r="AD331" i="21"/>
  <c r="AF331" i="21"/>
  <c r="AM462" i="21"/>
  <c r="AM483" i="21"/>
  <c r="AM590" i="21"/>
  <c r="AK594" i="21"/>
  <c r="H601" i="21"/>
  <c r="AM600" i="21"/>
  <c r="AV115" i="19"/>
  <c r="AD226" i="21"/>
  <c r="AQ208" i="19"/>
  <c r="AF127" i="21"/>
  <c r="AF282" i="21"/>
  <c r="AF324" i="21"/>
  <c r="H424" i="21"/>
  <c r="AM636" i="21"/>
  <c r="H608" i="21"/>
  <c r="AM635" i="21"/>
  <c r="AM660" i="21"/>
  <c r="AK685" i="21"/>
  <c r="AM681" i="21"/>
  <c r="AK744" i="21"/>
  <c r="AM744" i="21" s="1"/>
  <c r="AM420" i="21"/>
  <c r="AM562" i="21"/>
  <c r="AP121" i="19"/>
  <c r="AM137" i="21"/>
  <c r="AK141" i="21"/>
  <c r="AM141" i="21" s="1"/>
  <c r="AM223" i="21"/>
  <c r="AK226" i="21"/>
  <c r="AM226" i="21" s="1"/>
  <c r="AM271" i="21"/>
  <c r="AK275" i="21"/>
  <c r="AM275" i="21" s="1"/>
  <c r="AF141" i="21"/>
  <c r="W245" i="21"/>
  <c r="W238" i="21"/>
  <c r="AD417" i="21"/>
  <c r="AM341" i="21"/>
  <c r="AF515" i="21"/>
  <c r="AF657" i="21"/>
  <c r="AU171" i="19"/>
  <c r="AS171" i="19"/>
  <c r="AT171" i="19"/>
  <c r="AM158" i="21"/>
  <c r="AK162" i="21"/>
  <c r="AM162" i="21" s="1"/>
  <c r="AM296" i="21"/>
  <c r="AF310" i="21"/>
  <c r="AK403" i="21"/>
  <c r="AM403" i="21" s="1"/>
  <c r="AM592" i="21"/>
  <c r="AM492" i="21"/>
  <c r="AK494" i="21"/>
  <c r="AM494" i="21" s="1"/>
  <c r="AM570" i="21"/>
  <c r="AK573" i="21"/>
  <c r="AM573" i="21" s="1"/>
  <c r="AM584" i="21"/>
  <c r="AK587" i="21"/>
  <c r="AM587" i="21" s="1"/>
  <c r="AD692" i="21"/>
  <c r="AF692" i="21" s="1"/>
  <c r="AM810" i="21"/>
  <c r="AW136" i="19"/>
  <c r="AM95" i="21"/>
  <c r="AK99" i="21"/>
  <c r="AM99" i="21" s="1"/>
  <c r="AM112" i="21"/>
  <c r="AD120" i="21"/>
  <c r="AF120" i="21" s="1"/>
  <c r="AM246" i="21"/>
  <c r="AI210" i="19"/>
  <c r="D210" i="19"/>
  <c r="H210" i="19" s="1"/>
  <c r="AM466" i="21"/>
  <c r="AQ514" i="21"/>
  <c r="AY514" i="21" s="1"/>
  <c r="AD501" i="21"/>
  <c r="AF501" i="21" s="1"/>
  <c r="W584" i="21"/>
  <c r="AF643" i="21"/>
  <c r="AM667" i="21"/>
  <c r="AM103" i="21"/>
  <c r="AM118" i="21"/>
  <c r="AT164" i="19"/>
  <c r="AP163" i="19"/>
  <c r="AU164" i="19"/>
  <c r="AS164" i="19"/>
  <c r="W209" i="21"/>
  <c r="AM116" i="21"/>
  <c r="AK120" i="21"/>
  <c r="AM120" i="21" s="1"/>
  <c r="AI208" i="19"/>
  <c r="D208" i="19"/>
  <c r="AF148" i="21"/>
  <c r="AD317" i="21"/>
  <c r="AF317" i="21" s="1"/>
  <c r="AM327" i="21"/>
  <c r="AK331" i="21"/>
  <c r="AM331" i="21" s="1"/>
  <c r="P445" i="21"/>
  <c r="AD466" i="21"/>
  <c r="AF466" i="21" s="1"/>
  <c r="AD587" i="21"/>
  <c r="AM632" i="21"/>
  <c r="W599" i="21"/>
  <c r="AM674" i="21"/>
  <c r="AK678" i="21"/>
  <c r="AM786" i="21"/>
  <c r="AM793" i="21"/>
  <c r="AK424" i="21"/>
  <c r="AM424" i="21" s="1"/>
  <c r="AD744" i="21"/>
  <c r="AF744" i="21" s="1"/>
  <c r="AM180" i="19"/>
  <c r="AK184" i="19"/>
  <c r="AM184" i="19" s="1"/>
  <c r="AP191" i="19"/>
  <c r="F191" i="19"/>
  <c r="BG190" i="39" s="1"/>
  <c r="BF191" i="19"/>
  <c r="AT192" i="19"/>
  <c r="AS192" i="19"/>
  <c r="AR192" i="19"/>
  <c r="AU192" i="19"/>
  <c r="AW108" i="19"/>
  <c r="AR108" i="19"/>
  <c r="AV108" i="19"/>
  <c r="AT108" i="19"/>
  <c r="AU108" i="19"/>
  <c r="H128" i="19"/>
  <c r="AF149" i="19"/>
  <c r="AD177" i="19"/>
  <c r="AM175" i="19"/>
  <c r="AM182" i="19"/>
  <c r="AK142" i="19"/>
  <c r="AF170" i="19"/>
  <c r="AM145" i="19"/>
  <c r="AK149" i="19"/>
  <c r="AF177" i="19"/>
  <c r="AM187" i="19"/>
  <c r="AM152" i="19"/>
  <c r="AK156" i="19"/>
  <c r="AM156" i="19" s="1"/>
  <c r="AK170" i="19"/>
  <c r="AM170" i="19" s="1"/>
  <c r="AM166" i="19"/>
  <c r="AS108" i="19"/>
  <c r="AP184" i="19"/>
  <c r="AS185" i="19"/>
  <c r="AT185" i="19"/>
  <c r="AU185" i="19"/>
  <c r="BF47" i="30"/>
  <c r="BF37" i="30"/>
  <c r="BF21" i="30"/>
  <c r="BF32" i="30"/>
  <c r="U38" i="30"/>
  <c r="U25" i="30"/>
  <c r="U39" i="30"/>
  <c r="AT38" i="30"/>
  <c r="AT39" i="30"/>
  <c r="BN38" i="30"/>
  <c r="BN25" i="30"/>
  <c r="BN39" i="30"/>
  <c r="AN47" i="30"/>
  <c r="AN37" i="30"/>
  <c r="AN32" i="30"/>
  <c r="AN21" i="30"/>
  <c r="I47" i="30"/>
  <c r="I37" i="30"/>
  <c r="I32" i="30"/>
  <c r="I21" i="30"/>
  <c r="BQ47" i="30"/>
  <c r="BQ37" i="30"/>
  <c r="BQ32" i="30"/>
  <c r="BQ21" i="30"/>
  <c r="BP47" i="30"/>
  <c r="BP32" i="30"/>
  <c r="BP37" i="30"/>
  <c r="BP21" i="30"/>
  <c r="H38" i="30"/>
  <c r="H25" i="30"/>
  <c r="H39" i="30"/>
  <c r="R49" i="30"/>
  <c r="R41" i="30"/>
  <c r="BH47" i="30"/>
  <c r="BH37" i="30"/>
  <c r="BH32" i="30"/>
  <c r="BH21" i="30"/>
  <c r="O47" i="30"/>
  <c r="O37" i="30"/>
  <c r="O32" i="30"/>
  <c r="O21" i="30"/>
  <c r="S47" i="30"/>
  <c r="S37" i="30"/>
  <c r="S32" i="30"/>
  <c r="S21" i="30"/>
  <c r="BG47" i="30"/>
  <c r="BG37" i="30"/>
  <c r="BG32" i="30"/>
  <c r="BG21" i="30"/>
  <c r="G17" i="88"/>
  <c r="C38" i="30"/>
  <c r="C25" i="30"/>
  <c r="C39" i="30"/>
  <c r="M49" i="30"/>
  <c r="M41" i="30"/>
  <c r="P47" i="30"/>
  <c r="P32" i="30"/>
  <c r="P37" i="30"/>
  <c r="P21" i="30"/>
  <c r="AQ47" i="30"/>
  <c r="AQ37" i="30"/>
  <c r="AQ32" i="30"/>
  <c r="AQ21" i="30"/>
  <c r="N47" i="30"/>
  <c r="N37" i="30"/>
  <c r="N32" i="30"/>
  <c r="N21" i="30"/>
  <c r="BB47" i="30"/>
  <c r="BB37" i="30"/>
  <c r="BB32" i="30"/>
  <c r="BB21" i="30"/>
  <c r="Z38" i="30"/>
  <c r="Z25" i="30"/>
  <c r="Z39" i="30"/>
  <c r="F38" i="30"/>
  <c r="F25" i="30"/>
  <c r="F39" i="30"/>
  <c r="H49" i="30"/>
  <c r="H41" i="30"/>
  <c r="R38" i="30"/>
  <c r="R25" i="30"/>
  <c r="R39" i="30"/>
  <c r="BC47" i="30"/>
  <c r="BC37" i="30"/>
  <c r="BC32" i="30"/>
  <c r="BC21" i="30"/>
  <c r="BA47" i="30"/>
  <c r="BA37" i="30"/>
  <c r="BA32" i="30"/>
  <c r="BA21" i="30"/>
  <c r="AD47" i="30"/>
  <c r="AD32" i="30"/>
  <c r="AD21" i="30"/>
  <c r="AD37" i="30"/>
  <c r="AR47" i="30"/>
  <c r="AR37" i="30"/>
  <c r="AR32" i="30"/>
  <c r="AR21" i="30"/>
  <c r="K38" i="30"/>
  <c r="K25" i="30"/>
  <c r="K39" i="30"/>
  <c r="AJ38" i="30"/>
  <c r="AJ25" i="30"/>
  <c r="AJ39" i="30"/>
  <c r="BD38" i="30"/>
  <c r="BD25" i="30"/>
  <c r="BD39" i="30"/>
  <c r="M38" i="30"/>
  <c r="M25" i="30"/>
  <c r="M39" i="30"/>
  <c r="D38" i="30"/>
  <c r="D25" i="30"/>
  <c r="D39" i="30"/>
  <c r="Y47" i="30"/>
  <c r="Y32" i="30"/>
  <c r="Y21" i="30"/>
  <c r="Y37" i="30"/>
  <c r="U49" i="30"/>
  <c r="U41" i="30"/>
  <c r="AT41" i="30"/>
  <c r="BN41" i="30"/>
  <c r="BI32" i="30"/>
  <c r="BN49" i="30" s="1"/>
  <c r="BI47" i="30"/>
  <c r="BI37" i="30"/>
  <c r="BI21" i="30"/>
  <c r="AS47" i="30"/>
  <c r="AS32" i="30"/>
  <c r="AS37" i="30"/>
  <c r="AS21" i="30"/>
  <c r="AC47" i="30"/>
  <c r="AC37" i="30"/>
  <c r="AC32" i="30"/>
  <c r="AC21" i="30"/>
  <c r="AV47" i="30"/>
  <c r="AV32" i="30"/>
  <c r="AV21" i="30"/>
  <c r="AV37" i="30"/>
  <c r="BR47" i="30"/>
  <c r="BR32" i="30"/>
  <c r="BR37" i="30"/>
  <c r="BR21" i="30"/>
  <c r="BD41" i="30"/>
  <c r="E38" i="30"/>
  <c r="E25" i="30"/>
  <c r="E39" i="30"/>
  <c r="AO47" i="30"/>
  <c r="AO32" i="30"/>
  <c r="AO37" i="30"/>
  <c r="AO21" i="30"/>
  <c r="BM47" i="30"/>
  <c r="BM32" i="30"/>
  <c r="BM21" i="30"/>
  <c r="BM37" i="30"/>
  <c r="AM47" i="30"/>
  <c r="AM37" i="30"/>
  <c r="AM32" i="30"/>
  <c r="AM21" i="30"/>
  <c r="AE38" i="30"/>
  <c r="AE25" i="30"/>
  <c r="AE39" i="30"/>
  <c r="AI47" i="30"/>
  <c r="AI32" i="30"/>
  <c r="AI21" i="30"/>
  <c r="AI37" i="30"/>
  <c r="AY32" i="30"/>
  <c r="BD49" i="30" s="1"/>
  <c r="AY37" i="30"/>
  <c r="AY47" i="30"/>
  <c r="AY21" i="30"/>
  <c r="W47" i="30"/>
  <c r="W37" i="30"/>
  <c r="W32" i="30"/>
  <c r="W21" i="30"/>
  <c r="BK47" i="30"/>
  <c r="BK37" i="30"/>
  <c r="BK32" i="30"/>
  <c r="BK21" i="30"/>
  <c r="T32" i="30"/>
  <c r="T37" i="30"/>
  <c r="T21" i="30"/>
  <c r="AH47" i="30"/>
  <c r="AH37" i="30"/>
  <c r="AH32" i="30"/>
  <c r="AH21" i="30"/>
  <c r="AW47" i="30"/>
  <c r="AW37" i="30"/>
  <c r="AW32" i="30"/>
  <c r="AW21" i="30"/>
  <c r="Z49" i="30"/>
  <c r="Z41" i="30"/>
  <c r="AB47" i="30"/>
  <c r="AB37" i="30"/>
  <c r="AB32" i="30"/>
  <c r="AB21" i="30"/>
  <c r="CA21" i="30"/>
  <c r="AE49" i="30"/>
  <c r="AE41" i="30"/>
  <c r="BN47" i="30"/>
  <c r="AL47" i="30"/>
  <c r="AL37" i="30"/>
  <c r="AL21" i="30"/>
  <c r="AL32" i="30"/>
  <c r="BS32" i="30"/>
  <c r="BS47" i="30"/>
  <c r="BS37" i="30"/>
  <c r="BS21" i="30"/>
  <c r="AG47" i="30"/>
  <c r="AG37" i="30"/>
  <c r="AG32" i="30"/>
  <c r="AG21" i="30"/>
  <c r="J47" i="30"/>
  <c r="J32" i="30"/>
  <c r="J21" i="30"/>
  <c r="J37" i="30"/>
  <c r="AX47" i="30"/>
  <c r="AX32" i="30"/>
  <c r="AX37" i="30"/>
  <c r="AX21" i="30"/>
  <c r="X47" i="30"/>
  <c r="X37" i="30"/>
  <c r="X32" i="30"/>
  <c r="X21" i="30"/>
  <c r="BL47" i="30"/>
  <c r="BL37" i="30"/>
  <c r="BL32" i="30"/>
  <c r="BL21" i="30"/>
  <c r="K49" i="30"/>
  <c r="K41" i="30"/>
  <c r="AJ49" i="30"/>
  <c r="AJ41" i="30"/>
  <c r="I15" i="88"/>
  <c r="E17" i="88"/>
  <c r="H17" i="88"/>
  <c r="C13" i="88"/>
  <c r="B13" i="88"/>
  <c r="H13" i="88" s="1"/>
  <c r="E11" i="88"/>
  <c r="BL56" i="32" l="1"/>
  <c r="BR40" i="3"/>
  <c r="BP49" i="32" s="1"/>
  <c r="BN49" i="32"/>
  <c r="BP45" i="32"/>
  <c r="AL72" i="3"/>
  <c r="AL85" i="3"/>
  <c r="CA32" i="30"/>
  <c r="BR20" i="3"/>
  <c r="BR21" i="3"/>
  <c r="BE207" i="39"/>
  <c r="BF207" i="39"/>
  <c r="BX207" i="39"/>
  <c r="BZ207" i="39"/>
  <c r="AL211" i="39"/>
  <c r="AM211" i="39" s="1"/>
  <c r="AN211" i="39" s="1"/>
  <c r="DN63" i="36"/>
  <c r="BH209" i="39" s="1"/>
  <c r="BG210" i="19"/>
  <c r="BG209" i="39"/>
  <c r="DP12" i="36"/>
  <c r="BC212" i="19"/>
  <c r="AK211" i="39"/>
  <c r="AD265" i="14" s="1"/>
  <c r="W134" i="8"/>
  <c r="X113" i="8"/>
  <c r="W195" i="14"/>
  <c r="W224" i="14" s="1"/>
  <c r="W228" i="14" s="1"/>
  <c r="W109" i="8"/>
  <c r="W220" i="14"/>
  <c r="X195" i="14"/>
  <c r="X224" i="14" s="1"/>
  <c r="X228" i="14" s="1"/>
  <c r="AV54" i="14"/>
  <c r="P266" i="14"/>
  <c r="AV55" i="14" s="1"/>
  <c r="AD236" i="14"/>
  <c r="AJ211" i="39"/>
  <c r="V262" i="14"/>
  <c r="V112" i="8"/>
  <c r="W113" i="8" s="1"/>
  <c r="V8" i="14"/>
  <c r="V6" i="14" s="1"/>
  <c r="AP76" i="3"/>
  <c r="AP74" i="3"/>
  <c r="AP77" i="3"/>
  <c r="AP75" i="3"/>
  <c r="AW54" i="14"/>
  <c r="Q266" i="14"/>
  <c r="AW55" i="14" s="1"/>
  <c r="W263" i="14"/>
  <c r="X263" i="14"/>
  <c r="BF209" i="39"/>
  <c r="BZ209" i="39"/>
  <c r="BX209" i="39"/>
  <c r="BY209" i="39"/>
  <c r="F207" i="2"/>
  <c r="DN26" i="36"/>
  <c r="U134" i="8"/>
  <c r="U123" i="8"/>
  <c r="U113" i="8"/>
  <c r="DP63" i="36"/>
  <c r="DO63" i="36"/>
  <c r="BU209" i="39"/>
  <c r="AC236" i="14"/>
  <c r="AJ204" i="39"/>
  <c r="W128" i="8"/>
  <c r="W161" i="8" s="1"/>
  <c r="W162" i="8" s="1"/>
  <c r="W160" i="8"/>
  <c r="W107" i="8"/>
  <c r="X107" i="8"/>
  <c r="T140" i="8"/>
  <c r="T156" i="8"/>
  <c r="T121" i="8"/>
  <c r="T145" i="8" s="1"/>
  <c r="T123" i="8"/>
  <c r="T119" i="8"/>
  <c r="DO87" i="36"/>
  <c r="DO47" i="36"/>
  <c r="DO16" i="36"/>
  <c r="DO86" i="36"/>
  <c r="DO36" i="36"/>
  <c r="DO46" i="36"/>
  <c r="DO15" i="36"/>
  <c r="BU155" i="39"/>
  <c r="BY155" i="39"/>
  <c r="BF155" i="39"/>
  <c r="BE155" i="39"/>
  <c r="CA155" i="39"/>
  <c r="BX155" i="39"/>
  <c r="BZ155" i="39"/>
  <c r="DN61" i="36"/>
  <c r="T29" i="8"/>
  <c r="T151" i="8" s="1"/>
  <c r="T75" i="8"/>
  <c r="T37" i="8"/>
  <c r="T148" i="8"/>
  <c r="BF162" i="39"/>
  <c r="AC65" i="14"/>
  <c r="E204" i="39"/>
  <c r="AW43" i="14"/>
  <c r="Q182" i="14"/>
  <c r="AW44" i="14" s="1"/>
  <c r="DN62" i="36"/>
  <c r="F208" i="2"/>
  <c r="V263" i="14"/>
  <c r="AW47" i="14"/>
  <c r="Q224" i="14"/>
  <c r="AW51" i="14" s="1"/>
  <c r="BE209" i="39"/>
  <c r="H121" i="60"/>
  <c r="H87" i="60"/>
  <c r="L90" i="60"/>
  <c r="X113" i="60"/>
  <c r="Y77" i="60"/>
  <c r="U122" i="60"/>
  <c r="V86" i="60"/>
  <c r="X117" i="60"/>
  <c r="Y81" i="60"/>
  <c r="O90" i="60"/>
  <c r="N11" i="60"/>
  <c r="O8" i="60"/>
  <c r="T121" i="60"/>
  <c r="U120" i="60"/>
  <c r="I121" i="60"/>
  <c r="S88" i="60"/>
  <c r="S87" i="60"/>
  <c r="T123" i="60"/>
  <c r="O89" i="60"/>
  <c r="O92" i="60" s="1"/>
  <c r="K90" i="60"/>
  <c r="N121" i="60"/>
  <c r="O120" i="60"/>
  <c r="S149" i="60"/>
  <c r="R120" i="60"/>
  <c r="S119" i="60"/>
  <c r="R85" i="60"/>
  <c r="R87" i="60"/>
  <c r="R86" i="60"/>
  <c r="I89" i="60"/>
  <c r="X118" i="60"/>
  <c r="Y82" i="60"/>
  <c r="M31" i="60"/>
  <c r="P122" i="60"/>
  <c r="P87" i="60"/>
  <c r="R119" i="60"/>
  <c r="U87" i="60"/>
  <c r="Q86" i="60"/>
  <c r="X112" i="60"/>
  <c r="Y76" i="60"/>
  <c r="K91" i="60"/>
  <c r="K92" i="60" s="1"/>
  <c r="X116" i="60"/>
  <c r="Y80" i="60"/>
  <c r="T122" i="60"/>
  <c r="B138" i="60"/>
  <c r="C138" i="60"/>
  <c r="I120" i="60"/>
  <c r="O91" i="60"/>
  <c r="M121" i="60"/>
  <c r="M88" i="60"/>
  <c r="X114" i="60"/>
  <c r="Y78" i="60"/>
  <c r="J121" i="60"/>
  <c r="K120" i="60"/>
  <c r="L120" i="60"/>
  <c r="J86" i="60"/>
  <c r="T88" i="60"/>
  <c r="N86" i="60"/>
  <c r="N120" i="60"/>
  <c r="O119" i="60"/>
  <c r="V74" i="60"/>
  <c r="V110" i="60" s="1"/>
  <c r="V147" i="60" s="1"/>
  <c r="W9" i="60"/>
  <c r="N9" i="60"/>
  <c r="O74" i="60"/>
  <c r="O110" i="60" s="1"/>
  <c r="O147" i="60" s="1"/>
  <c r="X115" i="60"/>
  <c r="Y79" i="60"/>
  <c r="W119" i="60"/>
  <c r="X83" i="60"/>
  <c r="R88" i="60"/>
  <c r="U121" i="60"/>
  <c r="V85" i="60"/>
  <c r="V120" i="60"/>
  <c r="W84" i="60"/>
  <c r="I122" i="60"/>
  <c r="AD779" i="21"/>
  <c r="AF779" i="21" s="1"/>
  <c r="AD772" i="21"/>
  <c r="AF772" i="21" s="1"/>
  <c r="AK605" i="21"/>
  <c r="AM605" i="21" s="1"/>
  <c r="AD605" i="21"/>
  <c r="AF605" i="21" s="1"/>
  <c r="O146" i="14"/>
  <c r="O158" i="14" s="1"/>
  <c r="DF59" i="30"/>
  <c r="P212" i="14"/>
  <c r="P228" i="14" s="1"/>
  <c r="P220" i="14"/>
  <c r="P221" i="14" s="1"/>
  <c r="I66" i="40"/>
  <c r="DB66" i="40"/>
  <c r="I74" i="40"/>
  <c r="AK145" i="40"/>
  <c r="AK137" i="40"/>
  <c r="Z434" i="21"/>
  <c r="AB434" i="21" s="1"/>
  <c r="T28" i="14"/>
  <c r="T38" i="14" s="1"/>
  <c r="DL61" i="30"/>
  <c r="T32" i="14"/>
  <c r="U28" i="14"/>
  <c r="U32" i="14"/>
  <c r="I137" i="40"/>
  <c r="I145" i="40"/>
  <c r="I68" i="40"/>
  <c r="DB68" i="40"/>
  <c r="I76" i="40"/>
  <c r="DB27" i="40"/>
  <c r="I27" i="40"/>
  <c r="N145" i="14"/>
  <c r="N157" i="14" s="1"/>
  <c r="DE55" i="30"/>
  <c r="I41" i="40"/>
  <c r="DB41" i="40"/>
  <c r="I49" i="40"/>
  <c r="AB259" i="21"/>
  <c r="AB260" i="21"/>
  <c r="AM776" i="21"/>
  <c r="AM769" i="21"/>
  <c r="L448" i="21"/>
  <c r="I130" i="40"/>
  <c r="DB130" i="40"/>
  <c r="DD130" i="40" s="1"/>
  <c r="P167" i="14"/>
  <c r="P186" i="14" s="1"/>
  <c r="P178" i="14"/>
  <c r="P179" i="14" s="1"/>
  <c r="Q295" i="14"/>
  <c r="Q311" i="14" s="1"/>
  <c r="Q303" i="14"/>
  <c r="R295" i="14"/>
  <c r="R311" i="14" s="1"/>
  <c r="AK294" i="14"/>
  <c r="AF131" i="2"/>
  <c r="AF138" i="2"/>
  <c r="DB28" i="40"/>
  <c r="I28" i="40"/>
  <c r="AB85" i="19"/>
  <c r="AK85" i="19" s="1"/>
  <c r="AB84" i="2"/>
  <c r="AD84" i="2" s="1"/>
  <c r="K66" i="30"/>
  <c r="BH187" i="40"/>
  <c r="BJ184" i="40"/>
  <c r="BH183" i="40"/>
  <c r="BL184" i="40"/>
  <c r="I138" i="40"/>
  <c r="I146" i="40"/>
  <c r="BX174" i="40"/>
  <c r="BV175" i="40"/>
  <c r="BX175" i="40" s="1"/>
  <c r="Q253" i="14"/>
  <c r="Q257" i="14"/>
  <c r="P257" i="14"/>
  <c r="P253" i="14"/>
  <c r="V32" i="14"/>
  <c r="V28" i="14"/>
  <c r="W28" i="14"/>
  <c r="DN61" i="30"/>
  <c r="W32" i="14"/>
  <c r="CY149" i="40"/>
  <c r="DF149" i="40"/>
  <c r="DJ149" i="40"/>
  <c r="Y153" i="40"/>
  <c r="AA152" i="40"/>
  <c r="J271" i="21"/>
  <c r="L271" i="21" s="1"/>
  <c r="I131" i="40"/>
  <c r="DB131" i="40"/>
  <c r="DD131" i="40" s="1"/>
  <c r="I65" i="40"/>
  <c r="DB65" i="40"/>
  <c r="I73" i="40"/>
  <c r="BX176" i="40"/>
  <c r="AD252" i="21"/>
  <c r="AF252" i="21" s="1"/>
  <c r="AK252" i="21"/>
  <c r="AD811" i="21"/>
  <c r="AF811" i="21" s="1"/>
  <c r="DB26" i="40"/>
  <c r="I26" i="40"/>
  <c r="BH175" i="40"/>
  <c r="BJ174" i="40"/>
  <c r="Q342" i="14"/>
  <c r="DL149" i="40"/>
  <c r="AK147" i="40"/>
  <c r="AK139" i="40"/>
  <c r="Z436" i="21"/>
  <c r="AH155" i="40"/>
  <c r="AG155" i="40"/>
  <c r="DV155" i="40" s="1"/>
  <c r="J451" i="21"/>
  <c r="DB33" i="40"/>
  <c r="I33" i="40"/>
  <c r="DK61" i="30"/>
  <c r="DK66" i="30" s="1"/>
  <c r="AK31" i="14"/>
  <c r="M184" i="14"/>
  <c r="M160" i="14"/>
  <c r="M163" i="14" s="1"/>
  <c r="M175" i="14"/>
  <c r="J232" i="21"/>
  <c r="N144" i="14"/>
  <c r="N156" i="14" s="1"/>
  <c r="AB258" i="21"/>
  <c r="AF154" i="40"/>
  <c r="AH153" i="40"/>
  <c r="J449" i="21"/>
  <c r="I34" i="40"/>
  <c r="DB34" i="40"/>
  <c r="AD133" i="19"/>
  <c r="AF133" i="19" s="1"/>
  <c r="AK133" i="19"/>
  <c r="AD140" i="19"/>
  <c r="AF140" i="19" s="1"/>
  <c r="AP139" i="40"/>
  <c r="AP137" i="40"/>
  <c r="DB137" i="40" s="1"/>
  <c r="AP138" i="40"/>
  <c r="BO194" i="40"/>
  <c r="BO198" i="40"/>
  <c r="BS191" i="40"/>
  <c r="BS198" i="40" s="1"/>
  <c r="Y155" i="40"/>
  <c r="Y163" i="40"/>
  <c r="Y159" i="40"/>
  <c r="AA156" i="40"/>
  <c r="AC156" i="40"/>
  <c r="DB36" i="40"/>
  <c r="I36" i="40"/>
  <c r="BV191" i="40"/>
  <c r="BV187" i="40"/>
  <c r="BX184" i="40"/>
  <c r="BV183" i="40"/>
  <c r="AD857" i="21"/>
  <c r="AF857" i="21" s="1"/>
  <c r="AK850" i="21"/>
  <c r="AD850" i="21"/>
  <c r="AF850" i="21" s="1"/>
  <c r="M152" i="40"/>
  <c r="K153" i="40"/>
  <c r="D152" i="40"/>
  <c r="Q212" i="14"/>
  <c r="Q228" i="14" s="1"/>
  <c r="Q220" i="14"/>
  <c r="R212" i="14"/>
  <c r="R228" i="14" s="1"/>
  <c r="AK194" i="21"/>
  <c r="AM201" i="21" s="1"/>
  <c r="AD201" i="21"/>
  <c r="AF201" i="21" s="1"/>
  <c r="DB44" i="40"/>
  <c r="I44" i="40"/>
  <c r="I52" i="40"/>
  <c r="AT153" i="40"/>
  <c r="AV152" i="40"/>
  <c r="J782" i="21"/>
  <c r="L782" i="21" s="1"/>
  <c r="AK138" i="40"/>
  <c r="AK146" i="40"/>
  <c r="Z435" i="21"/>
  <c r="AB435" i="21" s="1"/>
  <c r="AF160" i="40"/>
  <c r="AH159" i="40"/>
  <c r="J455" i="21"/>
  <c r="BA153" i="40"/>
  <c r="BC152" i="40"/>
  <c r="CI216" i="40"/>
  <c r="R153" i="40"/>
  <c r="T152" i="40"/>
  <c r="AD428" i="21"/>
  <c r="AF428" i="21" s="1"/>
  <c r="AK428" i="21"/>
  <c r="AB431" i="21"/>
  <c r="AD431" i="21" s="1"/>
  <c r="AF431" i="21" s="1"/>
  <c r="AD257" i="21"/>
  <c r="AF257" i="21" s="1"/>
  <c r="AK257" i="21"/>
  <c r="AD264" i="21"/>
  <c r="AF264" i="21" s="1"/>
  <c r="CP219" i="40"/>
  <c r="DB139" i="40"/>
  <c r="I139" i="40"/>
  <c r="I147" i="40"/>
  <c r="AK253" i="21"/>
  <c r="AM253" i="21" s="1"/>
  <c r="AD253" i="21"/>
  <c r="AF253" i="21" s="1"/>
  <c r="DB67" i="40"/>
  <c r="I67" i="40"/>
  <c r="I75" i="40"/>
  <c r="DC149" i="40"/>
  <c r="AM152" i="40"/>
  <c r="AQ149" i="40"/>
  <c r="DK149" i="40"/>
  <c r="AM156" i="40"/>
  <c r="AO149" i="40"/>
  <c r="CI210" i="40"/>
  <c r="BJ176" i="40"/>
  <c r="BI176" i="40"/>
  <c r="DZ176" i="40" s="1"/>
  <c r="AB196" i="21"/>
  <c r="AB197" i="21"/>
  <c r="CE152" i="40"/>
  <c r="CC153" i="40"/>
  <c r="J861" i="21"/>
  <c r="L861" i="21" s="1"/>
  <c r="DB42" i="40"/>
  <c r="I42" i="40"/>
  <c r="I50" i="40"/>
  <c r="DB35" i="40"/>
  <c r="I35" i="40"/>
  <c r="AK771" i="21"/>
  <c r="AD778" i="21"/>
  <c r="AF778" i="21" s="1"/>
  <c r="AD771" i="21"/>
  <c r="AF771" i="21" s="1"/>
  <c r="AM149" i="19"/>
  <c r="Z81" i="21"/>
  <c r="AB81" i="21" s="1"/>
  <c r="AD604" i="21"/>
  <c r="AF604" i="21" s="1"/>
  <c r="AK604" i="21"/>
  <c r="AB608" i="21"/>
  <c r="AD608" i="21" s="1"/>
  <c r="I129" i="40"/>
  <c r="DB129" i="40"/>
  <c r="DD129" i="40" s="1"/>
  <c r="AK848" i="21"/>
  <c r="AD855" i="21"/>
  <c r="AF855" i="21" s="1"/>
  <c r="BV181" i="40"/>
  <c r="BX180" i="40"/>
  <c r="AD856" i="21"/>
  <c r="AF856" i="21" s="1"/>
  <c r="AK849" i="21"/>
  <c r="K163" i="40"/>
  <c r="K159" i="40"/>
  <c r="M156" i="40"/>
  <c r="K155" i="40"/>
  <c r="O156" i="40"/>
  <c r="AD430" i="21"/>
  <c r="AF430" i="21" s="1"/>
  <c r="AK430" i="21"/>
  <c r="AM430" i="21" s="1"/>
  <c r="AD854" i="21"/>
  <c r="AF854" i="21" s="1"/>
  <c r="AB851" i="21"/>
  <c r="AK847" i="21"/>
  <c r="Q336" i="14"/>
  <c r="Q352" i="14" s="1"/>
  <c r="Q344" i="14"/>
  <c r="R336" i="14"/>
  <c r="R352" i="14" s="1"/>
  <c r="AV156" i="40"/>
  <c r="AT163" i="40"/>
  <c r="AT159" i="40"/>
  <c r="AT155" i="40"/>
  <c r="I133" i="40"/>
  <c r="I141" i="40"/>
  <c r="H133" i="40"/>
  <c r="DB133" i="40"/>
  <c r="DB43" i="40"/>
  <c r="I43" i="40"/>
  <c r="I51" i="40"/>
  <c r="AF166" i="40"/>
  <c r="AH163" i="40"/>
  <c r="AF170" i="40"/>
  <c r="AJ163" i="40"/>
  <c r="AF162" i="40"/>
  <c r="AM841" i="21"/>
  <c r="AK844" i="21"/>
  <c r="AM844" i="21" s="1"/>
  <c r="AB189" i="21"/>
  <c r="AB190" i="21"/>
  <c r="BA155" i="40"/>
  <c r="BA163" i="40"/>
  <c r="BA159" i="40"/>
  <c r="BC156" i="40"/>
  <c r="BE156" i="40"/>
  <c r="T156" i="40"/>
  <c r="R163" i="40"/>
  <c r="R159" i="40"/>
  <c r="R155" i="40"/>
  <c r="V156" i="40"/>
  <c r="AB195" i="21"/>
  <c r="DB132" i="40"/>
  <c r="I132" i="40"/>
  <c r="I140" i="40"/>
  <c r="DB25" i="40"/>
  <c r="I25" i="40"/>
  <c r="AK764" i="21"/>
  <c r="AD764" i="21"/>
  <c r="AF764" i="21" s="1"/>
  <c r="Q178" i="14"/>
  <c r="R167" i="14"/>
  <c r="R186" i="14" s="1"/>
  <c r="Q167" i="14"/>
  <c r="Q186" i="14" s="1"/>
  <c r="AM768" i="21"/>
  <c r="AM775" i="21"/>
  <c r="P303" i="14"/>
  <c r="P304" i="14" s="1"/>
  <c r="P295" i="14"/>
  <c r="P311" i="14" s="1"/>
  <c r="AD132" i="19"/>
  <c r="AF132" i="19" s="1"/>
  <c r="AK132" i="19"/>
  <c r="AD139" i="19"/>
  <c r="AF139" i="19" s="1"/>
  <c r="BH181" i="40"/>
  <c r="BJ180" i="40"/>
  <c r="CC155" i="40"/>
  <c r="CC163" i="40"/>
  <c r="CC159" i="40"/>
  <c r="CE156" i="40"/>
  <c r="AD777" i="21"/>
  <c r="AF777" i="21" s="1"/>
  <c r="AK770" i="21"/>
  <c r="AK772" i="21" s="1"/>
  <c r="AD770" i="21"/>
  <c r="AF770" i="21" s="1"/>
  <c r="AB83" i="21"/>
  <c r="AB84" i="21"/>
  <c r="Q111" i="14"/>
  <c r="P111" i="14"/>
  <c r="Q105" i="14"/>
  <c r="P105" i="14"/>
  <c r="P33" i="14"/>
  <c r="AB75" i="21"/>
  <c r="Z19" i="21"/>
  <c r="AK81" i="21"/>
  <c r="AD88" i="21"/>
  <c r="AF88" i="21" s="1"/>
  <c r="AD81" i="21"/>
  <c r="AF81" i="21" s="1"/>
  <c r="AB82" i="21"/>
  <c r="Z18" i="21"/>
  <c r="AB18" i="21" s="1"/>
  <c r="AD77" i="21"/>
  <c r="AF77" i="21" s="1"/>
  <c r="AK77" i="21"/>
  <c r="AM77" i="21" s="1"/>
  <c r="AK74" i="21"/>
  <c r="AB78" i="21"/>
  <c r="AD78" i="21" s="1"/>
  <c r="AF78" i="21" s="1"/>
  <c r="AD74" i="21"/>
  <c r="AF74" i="21" s="1"/>
  <c r="AD76" i="21"/>
  <c r="AF76" i="21" s="1"/>
  <c r="AK76" i="21"/>
  <c r="AM76" i="21" s="1"/>
  <c r="CE53" i="30"/>
  <c r="BX53" i="30"/>
  <c r="T6" i="31"/>
  <c r="AL7" i="35"/>
  <c r="X83" i="3"/>
  <c r="X87" i="3" s="1"/>
  <c r="X63" i="3"/>
  <c r="X64" i="3" s="1"/>
  <c r="X82" i="3"/>
  <c r="Z62" i="32"/>
  <c r="Z64" i="32" s="1"/>
  <c r="Z9" i="3"/>
  <c r="BN76" i="3"/>
  <c r="BP51" i="3"/>
  <c r="BN50" i="32" s="1"/>
  <c r="BP79" i="3"/>
  <c r="BH99" i="3"/>
  <c r="BF100" i="3"/>
  <c r="BL33" i="3"/>
  <c r="BR24" i="3"/>
  <c r="AR98" i="3"/>
  <c r="AT96" i="3"/>
  <c r="L289" i="14"/>
  <c r="L291" i="14"/>
  <c r="L292" i="14" s="1"/>
  <c r="E160" i="14"/>
  <c r="F144" i="14"/>
  <c r="F156" i="14" s="1"/>
  <c r="E175" i="14"/>
  <c r="E176" i="14" s="1"/>
  <c r="E184" i="14"/>
  <c r="E95" i="14"/>
  <c r="F76" i="14"/>
  <c r="E128" i="14"/>
  <c r="E115" i="14"/>
  <c r="E116" i="14" s="1"/>
  <c r="AD29" i="21"/>
  <c r="AD36" i="21"/>
  <c r="D163" i="14"/>
  <c r="D164" i="14" s="1"/>
  <c r="D161" i="14"/>
  <c r="E21" i="14"/>
  <c r="F14" i="14"/>
  <c r="F19" i="14" s="1"/>
  <c r="E35" i="14"/>
  <c r="N729" i="21"/>
  <c r="L730" i="21"/>
  <c r="N730" i="21" s="1"/>
  <c r="P730" i="21" s="1"/>
  <c r="L367" i="21"/>
  <c r="L368" i="21"/>
  <c r="L371" i="21"/>
  <c r="F92" i="14"/>
  <c r="F117" i="14"/>
  <c r="F102" i="14"/>
  <c r="F96" i="14"/>
  <c r="G77" i="14"/>
  <c r="G93" i="14" s="1"/>
  <c r="X121" i="14"/>
  <c r="N854" i="21"/>
  <c r="P854" i="21" s="1"/>
  <c r="N861" i="21"/>
  <c r="P861" i="21" s="1"/>
  <c r="L858" i="21"/>
  <c r="F248" i="14"/>
  <c r="F250" i="14"/>
  <c r="M121" i="14"/>
  <c r="I121" i="14"/>
  <c r="J121" i="14"/>
  <c r="U121" i="14"/>
  <c r="V121" i="14"/>
  <c r="M288" i="14"/>
  <c r="N284" i="14"/>
  <c r="N287" i="14" s="1"/>
  <c r="DE58" i="30"/>
  <c r="J743" i="21"/>
  <c r="M309" i="14"/>
  <c r="M300" i="14"/>
  <c r="M301" i="14" s="1"/>
  <c r="S329" i="14"/>
  <c r="T325" i="14"/>
  <c r="T328" i="14" s="1"/>
  <c r="DK60" i="30"/>
  <c r="S341" i="14"/>
  <c r="S342" i="14" s="1"/>
  <c r="S350" i="14"/>
  <c r="T350" i="14" s="1"/>
  <c r="D22" i="14"/>
  <c r="D25" i="14"/>
  <c r="D26" i="14" s="1"/>
  <c r="N733" i="21"/>
  <c r="P733" i="21" s="1"/>
  <c r="H205" i="14"/>
  <c r="H206" i="14" s="1"/>
  <c r="I200" i="14"/>
  <c r="I204" i="14" s="1"/>
  <c r="J374" i="21"/>
  <c r="H217" i="14"/>
  <c r="H218" i="14" s="1"/>
  <c r="H226" i="14"/>
  <c r="N850" i="21"/>
  <c r="L851" i="21"/>
  <c r="N851" i="21" s="1"/>
  <c r="P851" i="21" s="1"/>
  <c r="N857" i="21"/>
  <c r="P857" i="21" s="1"/>
  <c r="K78" i="14"/>
  <c r="K94" i="14" s="1"/>
  <c r="J118" i="14"/>
  <c r="J97" i="14"/>
  <c r="J103" i="14"/>
  <c r="G247" i="14"/>
  <c r="H242" i="14"/>
  <c r="H246" i="14" s="1"/>
  <c r="J544" i="21"/>
  <c r="G268" i="14"/>
  <c r="G259" i="14"/>
  <c r="G260" i="14" s="1"/>
  <c r="AB57" i="21"/>
  <c r="AD53" i="21"/>
  <c r="AF53" i="21" s="1"/>
  <c r="AK53" i="21"/>
  <c r="AD60" i="21"/>
  <c r="AF60" i="21" s="1"/>
  <c r="Q317" i="14"/>
  <c r="Q276" i="14"/>
  <c r="Q234" i="14"/>
  <c r="Q192" i="14"/>
  <c r="Q136" i="14"/>
  <c r="Q63" i="14"/>
  <c r="AW5" i="14"/>
  <c r="R5" i="14"/>
  <c r="D98" i="14"/>
  <c r="D100" i="14"/>
  <c r="D101" i="14" s="1"/>
  <c r="V57" i="8"/>
  <c r="V58" i="8" s="1"/>
  <c r="L736" i="21"/>
  <c r="N736" i="21" s="1"/>
  <c r="P736" i="21" s="1"/>
  <c r="L740" i="21"/>
  <c r="R332" i="14"/>
  <c r="R333" i="14" s="1"/>
  <c r="R330" i="14"/>
  <c r="F234" i="14"/>
  <c r="F276" i="14"/>
  <c r="F192" i="14"/>
  <c r="F136" i="14"/>
  <c r="F63" i="14"/>
  <c r="G5" i="14"/>
  <c r="AD32" i="21"/>
  <c r="AD25" i="21"/>
  <c r="AK49" i="21"/>
  <c r="AM56" i="21" s="1"/>
  <c r="AB50" i="21"/>
  <c r="AD50" i="21" s="1"/>
  <c r="AD49" i="21"/>
  <c r="AD56" i="21"/>
  <c r="AF56" i="21" s="1"/>
  <c r="G45" i="8"/>
  <c r="G50" i="8"/>
  <c r="E50" i="8"/>
  <c r="E45" i="8"/>
  <c r="S58" i="8"/>
  <c r="D50" i="8"/>
  <c r="D45" i="8"/>
  <c r="N50" i="8"/>
  <c r="N45" i="8"/>
  <c r="M50" i="8"/>
  <c r="M45" i="8"/>
  <c r="F50" i="8"/>
  <c r="F51" i="8" s="1"/>
  <c r="F45" i="8"/>
  <c r="C45" i="8"/>
  <c r="C50" i="8"/>
  <c r="C51" i="8" s="1"/>
  <c r="AJ44" i="8"/>
  <c r="BH85" i="3" s="1"/>
  <c r="W45" i="8"/>
  <c r="W50" i="8"/>
  <c r="X51" i="8"/>
  <c r="Q50" i="8"/>
  <c r="Q45" i="8"/>
  <c r="B50" i="8"/>
  <c r="B45" i="8"/>
  <c r="P57" i="8"/>
  <c r="AA45" i="8"/>
  <c r="AA53" i="8"/>
  <c r="AA50" i="8"/>
  <c r="L57" i="8"/>
  <c r="AH34" i="8"/>
  <c r="H50" i="8"/>
  <c r="H51" i="8" s="1"/>
  <c r="H45" i="8"/>
  <c r="Y51" i="8"/>
  <c r="K45" i="8"/>
  <c r="K50" i="8"/>
  <c r="U45" i="8"/>
  <c r="U50" i="8"/>
  <c r="AB53" i="8"/>
  <c r="Z50" i="8"/>
  <c r="Z51" i="8" s="1"/>
  <c r="Z47" i="8"/>
  <c r="Z45" i="8"/>
  <c r="J50" i="8"/>
  <c r="J45" i="8"/>
  <c r="O45" i="8"/>
  <c r="O50" i="8"/>
  <c r="K101" i="8"/>
  <c r="L5" i="8"/>
  <c r="R50" i="8"/>
  <c r="R45" i="8"/>
  <c r="V26" i="8"/>
  <c r="W25" i="8"/>
  <c r="V50" i="8"/>
  <c r="V45" i="8"/>
  <c r="I45" i="8"/>
  <c r="I50" i="8"/>
  <c r="AL212" i="36"/>
  <c r="AL202" i="36"/>
  <c r="BR177" i="36"/>
  <c r="BR147" i="36"/>
  <c r="BR126" i="36"/>
  <c r="BW126" i="36" s="1"/>
  <c r="BR124" i="36"/>
  <c r="BW120" i="36"/>
  <c r="BR125" i="36"/>
  <c r="BS120" i="36"/>
  <c r="F181" i="36"/>
  <c r="BV177" i="36"/>
  <c r="BV147" i="36"/>
  <c r="BV125" i="36"/>
  <c r="CA120" i="36"/>
  <c r="BV124" i="36"/>
  <c r="BV126" i="36"/>
  <c r="CZ55" i="36"/>
  <c r="CY55" i="36"/>
  <c r="CI113" i="36"/>
  <c r="BI23" i="30"/>
  <c r="CH114" i="36"/>
  <c r="CI114" i="36" s="1"/>
  <c r="CT258" i="36"/>
  <c r="CT210" i="36"/>
  <c r="CT200" i="36"/>
  <c r="CY149" i="36"/>
  <c r="N208" i="36"/>
  <c r="N198" i="36"/>
  <c r="N153" i="36"/>
  <c r="S147" i="36"/>
  <c r="N152" i="36"/>
  <c r="BV187" i="36"/>
  <c r="BV133" i="36"/>
  <c r="BV191" i="36" s="1"/>
  <c r="BK116" i="36"/>
  <c r="BP97" i="36"/>
  <c r="BK97" i="36"/>
  <c r="BJ177" i="36"/>
  <c r="BJ147" i="36"/>
  <c r="BJ126" i="36"/>
  <c r="BJ124" i="36"/>
  <c r="BO120" i="36"/>
  <c r="BJ125" i="36"/>
  <c r="BO125" i="36" s="1"/>
  <c r="CP204" i="36"/>
  <c r="CU198" i="36"/>
  <c r="CP203" i="36"/>
  <c r="DG208" i="36"/>
  <c r="DB214" i="36"/>
  <c r="DG214" i="36" s="1"/>
  <c r="DB213" i="36"/>
  <c r="DG213" i="36" s="1"/>
  <c r="AU199" i="36"/>
  <c r="CX279" i="36"/>
  <c r="CX269" i="36"/>
  <c r="CY268" i="36"/>
  <c r="AX212" i="36"/>
  <c r="AX202" i="36"/>
  <c r="BC198" i="36"/>
  <c r="AX203" i="36"/>
  <c r="CD258" i="36"/>
  <c r="CD210" i="36"/>
  <c r="CD200" i="36"/>
  <c r="CU210" i="36"/>
  <c r="BS97" i="36"/>
  <c r="BX97" i="36"/>
  <c r="BS116" i="36"/>
  <c r="J208" i="36"/>
  <c r="J198" i="36"/>
  <c r="O147" i="36"/>
  <c r="J152" i="36"/>
  <c r="O152" i="36" s="1"/>
  <c r="J153" i="36"/>
  <c r="O153" i="36" s="1"/>
  <c r="CL114" i="36"/>
  <c r="CM114" i="36" s="1"/>
  <c r="CM110" i="36"/>
  <c r="CL72" i="36" s="1"/>
  <c r="CL76" i="36" s="1"/>
  <c r="CL116" i="36"/>
  <c r="CM116" i="36" s="1"/>
  <c r="CL115" i="36"/>
  <c r="CM115" i="36" s="1"/>
  <c r="BK23" i="30"/>
  <c r="CT153" i="36"/>
  <c r="CY153" i="36" s="1"/>
  <c r="CY208" i="36"/>
  <c r="CT213" i="36"/>
  <c r="CT214" i="36"/>
  <c r="BV35" i="30"/>
  <c r="BV17" i="30"/>
  <c r="AT181" i="36"/>
  <c r="AY124" i="36"/>
  <c r="DC153" i="36"/>
  <c r="V204" i="36"/>
  <c r="V210" i="36"/>
  <c r="AA210" i="36" s="1"/>
  <c r="V200" i="36"/>
  <c r="AA200" i="36" s="1"/>
  <c r="AA149" i="36"/>
  <c r="BI134" i="39"/>
  <c r="BL134" i="39"/>
  <c r="BL113" i="39"/>
  <c r="BI113" i="39"/>
  <c r="CD151" i="36"/>
  <c r="CD203" i="36"/>
  <c r="AH181" i="36"/>
  <c r="AM181" i="36" s="1"/>
  <c r="AM124" i="36"/>
  <c r="S200" i="36"/>
  <c r="AD181" i="36"/>
  <c r="AI181" i="36" s="1"/>
  <c r="AI124" i="36"/>
  <c r="AD208" i="36"/>
  <c r="AD198" i="36"/>
  <c r="AD153" i="36"/>
  <c r="AD151" i="36"/>
  <c r="AI147" i="36"/>
  <c r="AD152" i="36"/>
  <c r="AI152" i="36" s="1"/>
  <c r="V211" i="36"/>
  <c r="V201" i="36"/>
  <c r="BG95" i="36"/>
  <c r="BL95" i="36"/>
  <c r="BG114" i="36"/>
  <c r="BF177" i="36"/>
  <c r="BF147" i="36"/>
  <c r="BF125" i="36"/>
  <c r="BF126" i="36"/>
  <c r="BK126" i="36" s="1"/>
  <c r="BK120" i="36"/>
  <c r="BF124" i="36"/>
  <c r="BG120" i="36"/>
  <c r="BC209" i="36"/>
  <c r="W125" i="36"/>
  <c r="CG17" i="30"/>
  <c r="CG35" i="30"/>
  <c r="AP183" i="36"/>
  <c r="AU183" i="36" s="1"/>
  <c r="AU177" i="36"/>
  <c r="AP182" i="36"/>
  <c r="AU182" i="36" s="1"/>
  <c r="CI95" i="36"/>
  <c r="CN95" i="36"/>
  <c r="CJ95" i="36"/>
  <c r="H26" i="88"/>
  <c r="G26" i="88"/>
  <c r="CL281" i="36"/>
  <c r="BL29" i="30"/>
  <c r="BO201" i="36"/>
  <c r="AY201" i="36"/>
  <c r="AH212" i="36"/>
  <c r="AM212" i="36" s="1"/>
  <c r="AH202" i="36"/>
  <c r="AM202" i="36" s="1"/>
  <c r="AM151" i="36"/>
  <c r="AM198" i="36"/>
  <c r="AD209" i="36"/>
  <c r="AD199" i="36"/>
  <c r="AI148" i="36"/>
  <c r="Z183" i="36"/>
  <c r="AE177" i="36"/>
  <c r="Z182" i="36"/>
  <c r="AE182" i="36" s="1"/>
  <c r="AM180" i="36"/>
  <c r="BO96" i="36"/>
  <c r="BT96" i="36"/>
  <c r="BO115" i="36"/>
  <c r="CF97" i="36"/>
  <c r="CA97" i="36"/>
  <c r="CA116" i="36"/>
  <c r="BZ177" i="36"/>
  <c r="BZ147" i="36"/>
  <c r="BZ126" i="36"/>
  <c r="CE126" i="36" s="1"/>
  <c r="BZ124" i="36"/>
  <c r="CE120" i="36"/>
  <c r="BZ125" i="36"/>
  <c r="CE125" i="36" s="1"/>
  <c r="CC35" i="30"/>
  <c r="CC17" i="30"/>
  <c r="CY209" i="36"/>
  <c r="DC211" i="36"/>
  <c r="W150" i="36"/>
  <c r="AQ152" i="36"/>
  <c r="AL203" i="36"/>
  <c r="AU209" i="36"/>
  <c r="AT209" i="36"/>
  <c r="AY209" i="36" s="1"/>
  <c r="AT199" i="36"/>
  <c r="AY199" i="36" s="1"/>
  <c r="AY148" i="36"/>
  <c r="CB17" i="30"/>
  <c r="CB35" i="30"/>
  <c r="BW210" i="36"/>
  <c r="CY182" i="36"/>
  <c r="AX213" i="36"/>
  <c r="BC208" i="36"/>
  <c r="CE200" i="36"/>
  <c r="O200" i="36"/>
  <c r="CI179" i="36"/>
  <c r="S179" i="36"/>
  <c r="BC114" i="36"/>
  <c r="BH95" i="36"/>
  <c r="BC95" i="36"/>
  <c r="BD95" i="36"/>
  <c r="BX95" i="36"/>
  <c r="BS95" i="36"/>
  <c r="BS114" i="36"/>
  <c r="R209" i="36"/>
  <c r="R199" i="36"/>
  <c r="W199" i="36" s="1"/>
  <c r="W148" i="36"/>
  <c r="O126" i="36"/>
  <c r="BJ257" i="36"/>
  <c r="BJ209" i="36"/>
  <c r="BJ199" i="36"/>
  <c r="BO148" i="36"/>
  <c r="CM95" i="36"/>
  <c r="CR95" i="36"/>
  <c r="AU201" i="36"/>
  <c r="BB211" i="36"/>
  <c r="BB201" i="36"/>
  <c r="BG150" i="36"/>
  <c r="N209" i="36"/>
  <c r="N199" i="36"/>
  <c r="S148" i="36"/>
  <c r="F210" i="36"/>
  <c r="K210" i="36" s="1"/>
  <c r="F200" i="36"/>
  <c r="K200" i="36" s="1"/>
  <c r="K149" i="36"/>
  <c r="CH179" i="36"/>
  <c r="CM179" i="36" s="1"/>
  <c r="CM122" i="36"/>
  <c r="CH149" i="36"/>
  <c r="CK17" i="30"/>
  <c r="CK35" i="30"/>
  <c r="DC152" i="36"/>
  <c r="DC198" i="36"/>
  <c r="CX203" i="36"/>
  <c r="V214" i="36"/>
  <c r="CD153" i="36"/>
  <c r="CD214" i="36"/>
  <c r="CD213" i="36"/>
  <c r="AM179" i="36"/>
  <c r="CL35" i="30"/>
  <c r="CL17" i="30"/>
  <c r="AQ182" i="36"/>
  <c r="K125" i="36"/>
  <c r="BL96" i="36"/>
  <c r="BG96" i="36"/>
  <c r="BG115" i="36"/>
  <c r="BH96" i="36"/>
  <c r="AX181" i="36"/>
  <c r="R181" i="36"/>
  <c r="W124" i="36"/>
  <c r="R208" i="36"/>
  <c r="R198" i="36"/>
  <c r="W147" i="36"/>
  <c r="R152" i="36"/>
  <c r="W152" i="36" s="1"/>
  <c r="R153" i="36"/>
  <c r="W153" i="36" s="1"/>
  <c r="R151" i="36"/>
  <c r="Z133" i="36"/>
  <c r="AE133" i="36" s="1"/>
  <c r="Z180" i="36"/>
  <c r="AE180" i="36" s="1"/>
  <c r="Z150" i="36"/>
  <c r="AA150" i="36" s="1"/>
  <c r="AE123" i="36"/>
  <c r="O209" i="36"/>
  <c r="AU125" i="36"/>
  <c r="K199" i="36"/>
  <c r="CE209" i="36"/>
  <c r="CN97" i="36"/>
  <c r="CI97" i="36"/>
  <c r="CI116" i="36"/>
  <c r="CJ97" i="36"/>
  <c r="BF209" i="36"/>
  <c r="BG209" i="36" s="1"/>
  <c r="BF199" i="36"/>
  <c r="BK199" i="36" s="1"/>
  <c r="BK148" i="36"/>
  <c r="CP35" i="30"/>
  <c r="CP17" i="30"/>
  <c r="BO211" i="36"/>
  <c r="AY211" i="36"/>
  <c r="AH153" i="36"/>
  <c r="AM208" i="36"/>
  <c r="AE125" i="36"/>
  <c r="BO97" i="36"/>
  <c r="BT97" i="36"/>
  <c r="BO116" i="36"/>
  <c r="BN178" i="36"/>
  <c r="BN148" i="36"/>
  <c r="BS121" i="36"/>
  <c r="BN124" i="36"/>
  <c r="BN126" i="36"/>
  <c r="BS126" i="36" s="1"/>
  <c r="BN125" i="36"/>
  <c r="BS125" i="36" s="1"/>
  <c r="BZ187" i="36"/>
  <c r="BZ133" i="36"/>
  <c r="AN8" i="32" s="1"/>
  <c r="AN15" i="32" s="1"/>
  <c r="W201" i="36"/>
  <c r="AL213" i="36"/>
  <c r="CO35" i="30"/>
  <c r="B25" i="88" s="1"/>
  <c r="CO17" i="30"/>
  <c r="AY198" i="36"/>
  <c r="AT204" i="36"/>
  <c r="N182" i="36"/>
  <c r="S177" i="36"/>
  <c r="N183" i="36"/>
  <c r="CB97" i="36"/>
  <c r="BW97" i="36"/>
  <c r="BW116" i="36"/>
  <c r="CE35" i="30"/>
  <c r="CE17" i="30"/>
  <c r="CU208" i="36"/>
  <c r="CP214" i="36"/>
  <c r="CP213" i="36"/>
  <c r="CU213" i="36" s="1"/>
  <c r="BC126" i="36"/>
  <c r="CH123" i="36"/>
  <c r="CM35" i="30"/>
  <c r="CM17" i="30"/>
  <c r="AT213" i="36"/>
  <c r="AY213" i="36" s="1"/>
  <c r="AT214" i="36"/>
  <c r="AY208" i="36"/>
  <c r="CY179" i="36"/>
  <c r="BB213" i="36"/>
  <c r="BW95" i="36"/>
  <c r="CB95" i="36"/>
  <c r="BW114" i="36"/>
  <c r="BK96" i="36"/>
  <c r="BP96" i="36"/>
  <c r="BK115" i="36"/>
  <c r="BK95" i="36"/>
  <c r="BP95" i="36"/>
  <c r="BK114" i="36"/>
  <c r="CP260" i="36"/>
  <c r="CP212" i="36"/>
  <c r="CP202" i="36"/>
  <c r="BC201" i="36"/>
  <c r="J133" i="36"/>
  <c r="O133" i="36" s="1"/>
  <c r="J150" i="36"/>
  <c r="J180" i="36"/>
  <c r="O123" i="36"/>
  <c r="BC152" i="36"/>
  <c r="CE210" i="36"/>
  <c r="CQ35" i="30"/>
  <c r="CQ17" i="30"/>
  <c r="CU149" i="36"/>
  <c r="DG179" i="36"/>
  <c r="BC97" i="36"/>
  <c r="BH97" i="36"/>
  <c r="BC116" i="36"/>
  <c r="BD97" i="36"/>
  <c r="BB179" i="36"/>
  <c r="BB132" i="36"/>
  <c r="BB149" i="36"/>
  <c r="BG122" i="36"/>
  <c r="BB126" i="36"/>
  <c r="BG126" i="36" s="1"/>
  <c r="BB124" i="36"/>
  <c r="BX96" i="36"/>
  <c r="BS96" i="36"/>
  <c r="BS115" i="36"/>
  <c r="BR187" i="36"/>
  <c r="BW187" i="36" s="1"/>
  <c r="BR133" i="36"/>
  <c r="BR191" i="36" s="1"/>
  <c r="BW191" i="36" s="1"/>
  <c r="DF151" i="36"/>
  <c r="DF260" i="36" s="1"/>
  <c r="J124" i="36"/>
  <c r="J183" i="36"/>
  <c r="O183" i="36" s="1"/>
  <c r="O177" i="36"/>
  <c r="J182" i="36"/>
  <c r="O182" i="36" s="1"/>
  <c r="BO178" i="36"/>
  <c r="CM96" i="36"/>
  <c r="CR96" i="36"/>
  <c r="CL120" i="36"/>
  <c r="CF35" i="30"/>
  <c r="CF17" i="30"/>
  <c r="CT181" i="36"/>
  <c r="CY124" i="36"/>
  <c r="DC208" i="36"/>
  <c r="CX213" i="36"/>
  <c r="DC213" i="36" s="1"/>
  <c r="V151" i="36"/>
  <c r="V181" i="36"/>
  <c r="AA124" i="36"/>
  <c r="AD182" i="36"/>
  <c r="AI182" i="36" s="1"/>
  <c r="AI177" i="36"/>
  <c r="AD183" i="36"/>
  <c r="AI183" i="36" s="1"/>
  <c r="F182" i="36"/>
  <c r="K182" i="36" s="1"/>
  <c r="F183" i="36"/>
  <c r="K177" i="36"/>
  <c r="BC77" i="36"/>
  <c r="BD77" i="36"/>
  <c r="BC182" i="36"/>
  <c r="BC122" i="36"/>
  <c r="BZ180" i="36"/>
  <c r="BZ150" i="36"/>
  <c r="CE123" i="36"/>
  <c r="CA123" i="36"/>
  <c r="BZ35" i="30"/>
  <c r="BZ17" i="30"/>
  <c r="AT183" i="36"/>
  <c r="AY183" i="36" s="1"/>
  <c r="CU179" i="36"/>
  <c r="AP181" i="36"/>
  <c r="AU181" i="36" s="1"/>
  <c r="AU124" i="36"/>
  <c r="AP208" i="36"/>
  <c r="AP198" i="36"/>
  <c r="AU147" i="36"/>
  <c r="AP152" i="36"/>
  <c r="AU152" i="36" s="1"/>
  <c r="AP153" i="36"/>
  <c r="AU153" i="36" s="1"/>
  <c r="AP151" i="36"/>
  <c r="CN96" i="36"/>
  <c r="CI96" i="36"/>
  <c r="CI115" i="36"/>
  <c r="CJ96" i="36"/>
  <c r="CH177" i="36"/>
  <c r="CM120" i="36"/>
  <c r="CH147" i="36"/>
  <c r="CH126" i="36"/>
  <c r="CH124" i="36"/>
  <c r="CH125" i="36"/>
  <c r="CI120" i="36"/>
  <c r="BK178" i="36"/>
  <c r="BW35" i="30"/>
  <c r="BW17" i="30"/>
  <c r="CQ200" i="36"/>
  <c r="AQ199" i="36"/>
  <c r="AU178" i="36"/>
  <c r="AI178" i="36"/>
  <c r="AE126" i="36"/>
  <c r="Z208" i="36"/>
  <c r="Z198" i="36"/>
  <c r="AA198" i="36" s="1"/>
  <c r="AE147" i="36"/>
  <c r="Z152" i="36"/>
  <c r="AE152" i="36" s="1"/>
  <c r="Z153" i="36"/>
  <c r="AE153" i="36" s="1"/>
  <c r="Z151" i="36"/>
  <c r="BF180" i="36"/>
  <c r="BK180" i="36" s="1"/>
  <c r="BF150" i="36"/>
  <c r="BK123" i="36"/>
  <c r="CA96" i="36"/>
  <c r="CA115" i="36"/>
  <c r="CF96" i="36"/>
  <c r="CA95" i="36"/>
  <c r="CF95" i="36"/>
  <c r="CA114" i="36"/>
  <c r="DF183" i="36"/>
  <c r="DK183" i="36" s="1"/>
  <c r="W211" i="36"/>
  <c r="R210" i="36"/>
  <c r="W210" i="36" s="1"/>
  <c r="R200" i="36"/>
  <c r="W200" i="36" s="1"/>
  <c r="W149" i="36"/>
  <c r="CH35" i="30"/>
  <c r="CH17" i="30"/>
  <c r="BR259" i="36"/>
  <c r="BR211" i="36"/>
  <c r="BW211" i="36" s="1"/>
  <c r="BR201" i="36"/>
  <c r="BW201" i="36" s="1"/>
  <c r="BW150" i="36"/>
  <c r="AL211" i="36"/>
  <c r="AQ211" i="36" s="1"/>
  <c r="AL201" i="36"/>
  <c r="AQ201" i="36" s="1"/>
  <c r="AQ150" i="36"/>
  <c r="BB203" i="36"/>
  <c r="N181" i="36"/>
  <c r="S181" i="36" s="1"/>
  <c r="S124" i="36"/>
  <c r="AT212" i="36"/>
  <c r="AT202" i="36"/>
  <c r="AY202" i="36" s="1"/>
  <c r="AY151" i="36"/>
  <c r="CX181" i="36"/>
  <c r="DC181" i="36" s="1"/>
  <c r="DC124" i="36"/>
  <c r="S125" i="36"/>
  <c r="CB96" i="36"/>
  <c r="BW96" i="36"/>
  <c r="BW115" i="36"/>
  <c r="BX17" i="30"/>
  <c r="BX35" i="30"/>
  <c r="CX258" i="36"/>
  <c r="CX200" i="36"/>
  <c r="DC200" i="36" s="1"/>
  <c r="CX210" i="36"/>
  <c r="DC210" i="36" s="1"/>
  <c r="DC149" i="36"/>
  <c r="CU153" i="36"/>
  <c r="DB260" i="36"/>
  <c r="DB212" i="36"/>
  <c r="DG212" i="36" s="1"/>
  <c r="DB202" i="36"/>
  <c r="DG202" i="36" s="1"/>
  <c r="DG151" i="36"/>
  <c r="DB204" i="36"/>
  <c r="DG204" i="36" s="1"/>
  <c r="DG198" i="36"/>
  <c r="DB203" i="36"/>
  <c r="DG203" i="36" s="1"/>
  <c r="BC211" i="36"/>
  <c r="BV178" i="36"/>
  <c r="BV148" i="36"/>
  <c r="CA121" i="36"/>
  <c r="BW121" i="36"/>
  <c r="BG199" i="36"/>
  <c r="N180" i="36"/>
  <c r="S180" i="36" s="1"/>
  <c r="N133" i="36"/>
  <c r="S133" i="36" s="1"/>
  <c r="N150" i="36"/>
  <c r="N151" i="36" s="1"/>
  <c r="S123" i="36"/>
  <c r="F180" i="36"/>
  <c r="K180" i="36" s="1"/>
  <c r="F133" i="36"/>
  <c r="K133" i="36" s="1"/>
  <c r="F150" i="36"/>
  <c r="K123" i="36"/>
  <c r="CT183" i="36"/>
  <c r="CY183" i="36" s="1"/>
  <c r="CU200" i="36"/>
  <c r="CH178" i="36"/>
  <c r="CH148" i="36"/>
  <c r="CM121" i="36"/>
  <c r="CI121" i="36"/>
  <c r="AL210" i="36"/>
  <c r="AQ210" i="36" s="1"/>
  <c r="AL200" i="36"/>
  <c r="AQ200" i="36" s="1"/>
  <c r="AQ149" i="36"/>
  <c r="DF153" i="36"/>
  <c r="DG153" i="36" s="1"/>
  <c r="O125" i="36"/>
  <c r="AQ126" i="36"/>
  <c r="BI106" i="39"/>
  <c r="BL106" i="39"/>
  <c r="CR97" i="36"/>
  <c r="CM97" i="36"/>
  <c r="CT151" i="36"/>
  <c r="CY198" i="36"/>
  <c r="CT203" i="36"/>
  <c r="CY203" i="36" s="1"/>
  <c r="CT204" i="36"/>
  <c r="BG180" i="36"/>
  <c r="S178" i="36"/>
  <c r="CA200" i="36"/>
  <c r="CX151" i="36"/>
  <c r="V153" i="36"/>
  <c r="AA153" i="36" s="1"/>
  <c r="DD55" i="36"/>
  <c r="CU182" i="36"/>
  <c r="CQ201" i="36"/>
  <c r="AH210" i="36"/>
  <c r="AM210" i="36" s="1"/>
  <c r="AH200" i="36"/>
  <c r="AM200" i="36" s="1"/>
  <c r="AM149" i="36"/>
  <c r="BI127" i="39"/>
  <c r="BL127" i="39"/>
  <c r="DC199" i="36"/>
  <c r="AL183" i="36"/>
  <c r="AM183" i="36" s="1"/>
  <c r="F208" i="36"/>
  <c r="F198" i="36"/>
  <c r="F152" i="36"/>
  <c r="K152" i="36" s="1"/>
  <c r="K147" i="36"/>
  <c r="F153" i="36"/>
  <c r="K153" i="36" s="1"/>
  <c r="BL97" i="36"/>
  <c r="BG97" i="36"/>
  <c r="BG116" i="36"/>
  <c r="BW2" i="30"/>
  <c r="BU35" i="30"/>
  <c r="BU17" i="30"/>
  <c r="BC199" i="36"/>
  <c r="W126" i="36"/>
  <c r="R183" i="36"/>
  <c r="W177" i="36"/>
  <c r="R182" i="36"/>
  <c r="W182" i="36" s="1"/>
  <c r="AH209" i="36"/>
  <c r="AM209" i="36" s="1"/>
  <c r="AH199" i="36"/>
  <c r="AM199" i="36" s="1"/>
  <c r="AM148" i="36"/>
  <c r="AX210" i="36"/>
  <c r="AX200" i="36"/>
  <c r="AX204" i="36" s="1"/>
  <c r="BJ258" i="36"/>
  <c r="BJ210" i="36"/>
  <c r="BJ200" i="36"/>
  <c r="BO149" i="36"/>
  <c r="V183" i="36"/>
  <c r="AA183" i="36" s="1"/>
  <c r="O148" i="36"/>
  <c r="AY149" i="36"/>
  <c r="CH133" i="36"/>
  <c r="CQ210" i="36"/>
  <c r="AU200" i="36"/>
  <c r="AQ209" i="36"/>
  <c r="DG149" i="36"/>
  <c r="AI149" i="36"/>
  <c r="Z181" i="36"/>
  <c r="AE181" i="36" s="1"/>
  <c r="AE124" i="36"/>
  <c r="BF179" i="36"/>
  <c r="BK179" i="36" s="1"/>
  <c r="BF149" i="36"/>
  <c r="BK122" i="36"/>
  <c r="BT95" i="36"/>
  <c r="BO95" i="36"/>
  <c r="BO114" i="36"/>
  <c r="CJ17" i="30"/>
  <c r="C11" i="88" s="1"/>
  <c r="E36" i="88" s="1"/>
  <c r="CJ35" i="30"/>
  <c r="C25" i="88" s="1"/>
  <c r="DK182" i="36"/>
  <c r="CY199" i="36"/>
  <c r="V209" i="36"/>
  <c r="AA209" i="36" s="1"/>
  <c r="V199" i="36"/>
  <c r="AA199" i="36" s="1"/>
  <c r="AA148" i="36"/>
  <c r="DC201" i="36"/>
  <c r="AL153" i="36"/>
  <c r="BN258" i="36"/>
  <c r="BN210" i="36"/>
  <c r="BS210" i="36" s="1"/>
  <c r="BN200" i="36"/>
  <c r="BS200" i="36" s="1"/>
  <c r="BS149" i="36"/>
  <c r="AY126" i="36"/>
  <c r="AM685" i="21"/>
  <c r="AP208" i="19"/>
  <c r="F208" i="19"/>
  <c r="BF208" i="19"/>
  <c r="AM594" i="21"/>
  <c r="W445" i="21"/>
  <c r="AM664" i="21"/>
  <c r="AM487" i="21"/>
  <c r="AM580" i="21"/>
  <c r="BF209" i="19"/>
  <c r="AM155" i="21"/>
  <c r="AM692" i="21"/>
  <c r="AM113" i="21"/>
  <c r="AM127" i="21"/>
  <c r="H706" i="21"/>
  <c r="AM338" i="21"/>
  <c r="AM601" i="21"/>
  <c r="AM247" i="21"/>
  <c r="AM751" i="21"/>
  <c r="AM410" i="21"/>
  <c r="F209" i="19"/>
  <c r="H209" i="19" s="1"/>
  <c r="AM501" i="21"/>
  <c r="AI706" i="21"/>
  <c r="AM233" i="21"/>
  <c r="AM566" i="21"/>
  <c r="AM106" i="21"/>
  <c r="AM148" i="21"/>
  <c r="AM515" i="21"/>
  <c r="AF608" i="21"/>
  <c r="AF424" i="21"/>
  <c r="AF601" i="21"/>
  <c r="AM629" i="21"/>
  <c r="AM317" i="21"/>
  <c r="AM282" i="21"/>
  <c r="AM163" i="19"/>
  <c r="AM177" i="19"/>
  <c r="BG191" i="19"/>
  <c r="H191" i="19"/>
  <c r="AG38" i="30"/>
  <c r="AG25" i="30"/>
  <c r="AG39" i="30"/>
  <c r="T49" i="30"/>
  <c r="T41" i="30"/>
  <c r="AO49" i="30"/>
  <c r="AO41" i="30"/>
  <c r="D40" i="30"/>
  <c r="D27" i="30"/>
  <c r="AR49" i="30"/>
  <c r="AR41" i="30"/>
  <c r="AD25" i="30"/>
  <c r="AD38" i="30"/>
  <c r="AD39" i="30"/>
  <c r="BA49" i="30"/>
  <c r="BA41" i="30"/>
  <c r="BC49" i="30"/>
  <c r="BC41" i="30"/>
  <c r="Z40" i="30"/>
  <c r="Z27" i="30"/>
  <c r="C40" i="30"/>
  <c r="C27" i="30"/>
  <c r="BG49" i="30"/>
  <c r="BG41" i="30"/>
  <c r="S49" i="30"/>
  <c r="S41" i="30"/>
  <c r="O49" i="30"/>
  <c r="O41" i="30"/>
  <c r="BQ49" i="30"/>
  <c r="BQ41" i="30"/>
  <c r="I49" i="30"/>
  <c r="I41" i="30"/>
  <c r="AN49" i="30"/>
  <c r="AN41" i="30"/>
  <c r="U40" i="30"/>
  <c r="U27" i="30"/>
  <c r="BL38" i="30"/>
  <c r="BL25" i="30"/>
  <c r="BL39" i="30"/>
  <c r="X38" i="30"/>
  <c r="X25" i="30"/>
  <c r="X39" i="30"/>
  <c r="J25" i="30"/>
  <c r="J38" i="30"/>
  <c r="J39" i="30"/>
  <c r="AG49" i="30"/>
  <c r="AG41" i="30"/>
  <c r="AL49" i="30"/>
  <c r="AL41" i="30"/>
  <c r="CA41" i="30"/>
  <c r="AB49" i="30"/>
  <c r="AB41" i="30"/>
  <c r="BK38" i="30"/>
  <c r="BK25" i="30"/>
  <c r="BK39" i="30"/>
  <c r="W38" i="30"/>
  <c r="W25" i="30"/>
  <c r="W39" i="30"/>
  <c r="AI49" i="30"/>
  <c r="AI41" i="30"/>
  <c r="BR25" i="30"/>
  <c r="BR38" i="30"/>
  <c r="BR39" i="30"/>
  <c r="AV49" i="30"/>
  <c r="AV41" i="30"/>
  <c r="AS49" i="30"/>
  <c r="AS41" i="30"/>
  <c r="K40" i="30"/>
  <c r="K27" i="30"/>
  <c r="AD49" i="30"/>
  <c r="AD41" i="30"/>
  <c r="F40" i="30"/>
  <c r="F27" i="30"/>
  <c r="AQ38" i="30"/>
  <c r="AQ25" i="30"/>
  <c r="AQ39" i="30"/>
  <c r="P49" i="30"/>
  <c r="P41" i="30"/>
  <c r="H40" i="30"/>
  <c r="H27" i="30"/>
  <c r="BP49" i="30"/>
  <c r="BP41" i="30"/>
  <c r="AX25" i="30"/>
  <c r="AX38" i="30"/>
  <c r="AX39" i="30"/>
  <c r="CA38" i="30"/>
  <c r="CA25" i="30"/>
  <c r="CA39" i="30"/>
  <c r="AI25" i="30"/>
  <c r="AI38" i="30"/>
  <c r="AI39" i="30"/>
  <c r="AC49" i="30"/>
  <c r="AC41" i="30"/>
  <c r="X49" i="30"/>
  <c r="X41" i="30"/>
  <c r="AX49" i="30"/>
  <c r="AX41" i="30"/>
  <c r="AL38" i="30"/>
  <c r="AL25" i="30"/>
  <c r="AL39" i="30"/>
  <c r="T25" i="30"/>
  <c r="T38" i="30"/>
  <c r="T39" i="30"/>
  <c r="W49" i="30"/>
  <c r="W41" i="30"/>
  <c r="AM38" i="30"/>
  <c r="AM25" i="30"/>
  <c r="AM39" i="30"/>
  <c r="AO38" i="30"/>
  <c r="AO25" i="30"/>
  <c r="AO39" i="30"/>
  <c r="BI49" i="30"/>
  <c r="BI41" i="30"/>
  <c r="AT49" i="30"/>
  <c r="Y38" i="30"/>
  <c r="Y25" i="30"/>
  <c r="Y39" i="30"/>
  <c r="AJ27" i="30"/>
  <c r="AJ40" i="30"/>
  <c r="BB38" i="30"/>
  <c r="BB25" i="30"/>
  <c r="BB39" i="30"/>
  <c r="N25" i="30"/>
  <c r="N38" i="30"/>
  <c r="N39" i="30"/>
  <c r="AQ49" i="30"/>
  <c r="AQ41" i="30"/>
  <c r="BH38" i="30"/>
  <c r="BH25" i="30"/>
  <c r="BH39" i="30"/>
  <c r="BF49" i="30"/>
  <c r="BF41" i="30"/>
  <c r="BS38" i="30"/>
  <c r="BS25" i="30"/>
  <c r="BS39" i="30"/>
  <c r="AB38" i="30"/>
  <c r="AB25" i="30"/>
  <c r="AB39" i="30"/>
  <c r="BM49" i="30"/>
  <c r="BM41" i="30"/>
  <c r="AV38" i="30"/>
  <c r="AV25" i="30"/>
  <c r="AV39" i="30"/>
  <c r="BL49" i="30"/>
  <c r="BL41" i="30"/>
  <c r="J49" i="30"/>
  <c r="J41" i="30"/>
  <c r="AW38" i="30"/>
  <c r="AW25" i="30"/>
  <c r="AW39" i="30"/>
  <c r="AH38" i="30"/>
  <c r="AH25" i="30"/>
  <c r="AH39" i="30"/>
  <c r="BK49" i="30"/>
  <c r="BK41" i="30"/>
  <c r="AY41" i="30"/>
  <c r="AY49" i="30"/>
  <c r="BS49" i="30"/>
  <c r="BS41" i="30"/>
  <c r="AW49" i="30"/>
  <c r="AW41" i="30"/>
  <c r="AH49" i="30"/>
  <c r="AH41" i="30"/>
  <c r="AY38" i="30"/>
  <c r="AY25" i="30"/>
  <c r="AY39" i="30"/>
  <c r="AE40" i="30"/>
  <c r="AE27" i="30"/>
  <c r="AE48" i="30" s="1"/>
  <c r="AM49" i="30"/>
  <c r="AM41" i="30"/>
  <c r="BM38" i="30"/>
  <c r="BM25" i="30"/>
  <c r="BM39" i="30"/>
  <c r="E40" i="30"/>
  <c r="E27" i="30"/>
  <c r="BR49" i="30"/>
  <c r="BR41" i="30"/>
  <c r="AC38" i="30"/>
  <c r="AC25" i="30"/>
  <c r="AC39" i="30"/>
  <c r="AS38" i="30"/>
  <c r="AS25" i="30"/>
  <c r="AS39" i="30"/>
  <c r="BI38" i="30"/>
  <c r="BI25" i="30"/>
  <c r="BI39" i="30"/>
  <c r="Y49" i="30"/>
  <c r="Y41" i="30"/>
  <c r="M40" i="30"/>
  <c r="M27" i="30"/>
  <c r="M48" i="30" s="1"/>
  <c r="BD27" i="30"/>
  <c r="BD40" i="30"/>
  <c r="AR38" i="30"/>
  <c r="AR25" i="30"/>
  <c r="AR39" i="30"/>
  <c r="BA38" i="30"/>
  <c r="BA25" i="30"/>
  <c r="BA39" i="30"/>
  <c r="BC38" i="30"/>
  <c r="BC25" i="30"/>
  <c r="BC39" i="30"/>
  <c r="R40" i="30"/>
  <c r="R27" i="30"/>
  <c r="R48" i="30" s="1"/>
  <c r="BB49" i="30"/>
  <c r="BB41" i="30"/>
  <c r="N49" i="30"/>
  <c r="N41" i="30"/>
  <c r="P38" i="30"/>
  <c r="P25" i="30"/>
  <c r="P39" i="30"/>
  <c r="BG38" i="30"/>
  <c r="BG25" i="30"/>
  <c r="BG39" i="30"/>
  <c r="S38" i="30"/>
  <c r="S25" i="30"/>
  <c r="S39" i="30"/>
  <c r="O38" i="30"/>
  <c r="O25" i="30"/>
  <c r="BH49" i="30"/>
  <c r="BH41" i="30"/>
  <c r="BP38" i="30"/>
  <c r="BP25" i="30"/>
  <c r="BP39" i="30"/>
  <c r="BQ38" i="30"/>
  <c r="BQ25" i="30"/>
  <c r="BQ39" i="30"/>
  <c r="I38" i="30"/>
  <c r="I25" i="30"/>
  <c r="I39" i="30"/>
  <c r="AN38" i="30"/>
  <c r="AN25" i="30"/>
  <c r="AN39" i="30"/>
  <c r="BN40" i="30"/>
  <c r="BN27" i="30"/>
  <c r="BF38" i="30"/>
  <c r="BF25" i="30"/>
  <c r="BF39" i="30"/>
  <c r="I11" i="88"/>
  <c r="E13" i="88"/>
  <c r="I13" i="88" s="1"/>
  <c r="E29" i="88"/>
  <c r="I29" i="88" s="1"/>
  <c r="I17" i="88"/>
  <c r="G13" i="88"/>
  <c r="E8" i="88"/>
  <c r="BN56" i="32" l="1"/>
  <c r="BR43" i="3"/>
  <c r="DN93" i="36"/>
  <c r="DO93" i="36" s="1"/>
  <c r="DN66" i="36"/>
  <c r="BH207" i="39"/>
  <c r="DN67" i="36"/>
  <c r="DP61" i="36"/>
  <c r="DN91" i="36"/>
  <c r="DO61" i="36"/>
  <c r="DO62" i="36"/>
  <c r="BH208" i="39"/>
  <c r="DN92" i="36"/>
  <c r="DP62" i="36"/>
  <c r="AC66" i="14"/>
  <c r="AC103" i="8"/>
  <c r="AM65" i="14"/>
  <c r="T38" i="8"/>
  <c r="T41" i="8"/>
  <c r="T57" i="8" s="1"/>
  <c r="T44" i="8"/>
  <c r="AC237" i="14"/>
  <c r="AC266" i="14" s="1"/>
  <c r="AC112" i="8"/>
  <c r="AM236" i="14"/>
  <c r="DO56" i="36"/>
  <c r="DO26" i="36"/>
  <c r="DP10" i="36"/>
  <c r="BG207" i="39"/>
  <c r="AN80" i="32"/>
  <c r="AN38" i="32"/>
  <c r="AN63" i="32" s="1"/>
  <c r="AN66" i="32" s="1"/>
  <c r="BJ209" i="39"/>
  <c r="BK209" i="39" s="1"/>
  <c r="BI209" i="39"/>
  <c r="AD112" i="8"/>
  <c r="AD237" i="14"/>
  <c r="AD266" i="14" s="1"/>
  <c r="W221" i="14"/>
  <c r="X221" i="14"/>
  <c r="BG209" i="19"/>
  <c r="BG208" i="39"/>
  <c r="DP11" i="36"/>
  <c r="T157" i="8"/>
  <c r="T158" i="8" s="1"/>
  <c r="T143" i="8"/>
  <c r="V134" i="8"/>
  <c r="V123" i="8"/>
  <c r="V113" i="8"/>
  <c r="W131" i="8"/>
  <c r="X110" i="8"/>
  <c r="W110" i="8"/>
  <c r="O93" i="60"/>
  <c r="M89" i="60"/>
  <c r="W74" i="60"/>
  <c r="W110" i="60" s="1"/>
  <c r="W147" i="60" s="1"/>
  <c r="X9" i="60"/>
  <c r="Y114" i="60"/>
  <c r="Z78" i="60"/>
  <c r="Y116" i="60"/>
  <c r="Z80" i="60"/>
  <c r="O94" i="60"/>
  <c r="S121" i="60"/>
  <c r="R121" i="60"/>
  <c r="S120" i="60"/>
  <c r="S123" i="60"/>
  <c r="T90" i="60"/>
  <c r="W120" i="60"/>
  <c r="X84" i="60"/>
  <c r="T124" i="60"/>
  <c r="T89" i="60"/>
  <c r="U123" i="60"/>
  <c r="V87" i="60"/>
  <c r="U88" i="60"/>
  <c r="S89" i="60"/>
  <c r="P8" i="60"/>
  <c r="O11" i="60"/>
  <c r="N87" i="60"/>
  <c r="N88" i="60" s="1"/>
  <c r="I90" i="60"/>
  <c r="X119" i="60"/>
  <c r="Y83" i="60"/>
  <c r="Y115" i="60"/>
  <c r="Z79" i="60"/>
  <c r="C139" i="60"/>
  <c r="B139" i="60"/>
  <c r="Y112" i="60"/>
  <c r="Z76" i="60"/>
  <c r="Q122" i="60"/>
  <c r="Q87" i="60"/>
  <c r="P123" i="60"/>
  <c r="P88" i="60"/>
  <c r="P90" i="60" s="1"/>
  <c r="P89" i="60"/>
  <c r="P125" i="60" s="1"/>
  <c r="Y118" i="60"/>
  <c r="Z82" i="60"/>
  <c r="T149" i="60"/>
  <c r="U149" i="60" s="1"/>
  <c r="V149" i="60" s="1"/>
  <c r="W149" i="60" s="1"/>
  <c r="X149" i="60" s="1"/>
  <c r="Y149" i="60" s="1"/>
  <c r="Z149" i="60" s="1"/>
  <c r="AA149" i="60" s="1"/>
  <c r="AB149" i="60" s="1"/>
  <c r="N31" i="60"/>
  <c r="Y117" i="60"/>
  <c r="Z81" i="60"/>
  <c r="V122" i="60"/>
  <c r="W86" i="60"/>
  <c r="Y113" i="60"/>
  <c r="Z77" i="60"/>
  <c r="V121" i="60"/>
  <c r="W85" i="60"/>
  <c r="N74" i="60"/>
  <c r="N110" i="60" s="1"/>
  <c r="N147" i="60" s="1"/>
  <c r="M9" i="60"/>
  <c r="N122" i="60"/>
  <c r="O121" i="60"/>
  <c r="J122" i="60"/>
  <c r="K121" i="60"/>
  <c r="L121" i="60"/>
  <c r="J87" i="60"/>
  <c r="M124" i="60"/>
  <c r="T91" i="60"/>
  <c r="R89" i="60"/>
  <c r="K93" i="60"/>
  <c r="S122" i="60"/>
  <c r="M90" i="60"/>
  <c r="M126" i="60" s="1"/>
  <c r="H123" i="60"/>
  <c r="H88" i="60"/>
  <c r="L91" i="60"/>
  <c r="AM779" i="21"/>
  <c r="DD137" i="40"/>
  <c r="DD145" i="40"/>
  <c r="CC160" i="40"/>
  <c r="CE159" i="40"/>
  <c r="J868" i="21"/>
  <c r="R179" i="14"/>
  <c r="Q179" i="14"/>
  <c r="DD132" i="40"/>
  <c r="DD140" i="40"/>
  <c r="R160" i="40"/>
  <c r="T159" i="40"/>
  <c r="BC155" i="40"/>
  <c r="AF169" i="40"/>
  <c r="AF177" i="40"/>
  <c r="AH170" i="40"/>
  <c r="AF173" i="40"/>
  <c r="AJ170" i="40"/>
  <c r="AT160" i="40"/>
  <c r="AV159" i="40"/>
  <c r="J789" i="21"/>
  <c r="Q345" i="14"/>
  <c r="R345" i="14"/>
  <c r="M155" i="40"/>
  <c r="D155" i="40"/>
  <c r="AM856" i="21"/>
  <c r="AM849" i="21"/>
  <c r="AD197" i="21"/>
  <c r="AF197" i="21" s="1"/>
  <c r="AK197" i="21"/>
  <c r="AM204" i="21" s="1"/>
  <c r="AD204" i="21"/>
  <c r="AF204" i="21" s="1"/>
  <c r="AM163" i="40"/>
  <c r="AM159" i="40"/>
  <c r="AO156" i="40"/>
  <c r="AM155" i="40"/>
  <c r="AQ156" i="40"/>
  <c r="DD139" i="40"/>
  <c r="DD147" i="40"/>
  <c r="AM264" i="21"/>
  <c r="AM257" i="21"/>
  <c r="AM428" i="21"/>
  <c r="AK431" i="21"/>
  <c r="AM431" i="21" s="1"/>
  <c r="CI217" i="40"/>
  <c r="AF161" i="40"/>
  <c r="AH160" i="40"/>
  <c r="J456" i="21"/>
  <c r="L456" i="21" s="1"/>
  <c r="DF152" i="40"/>
  <c r="CW152" i="40"/>
  <c r="F152" i="40"/>
  <c r="AM850" i="21"/>
  <c r="AM857" i="21"/>
  <c r="Y170" i="40"/>
  <c r="Y166" i="40"/>
  <c r="AA163" i="40"/>
  <c r="Y162" i="40"/>
  <c r="AC163" i="40"/>
  <c r="BO195" i="40"/>
  <c r="AH154" i="40"/>
  <c r="J450" i="21"/>
  <c r="L451" i="21"/>
  <c r="AB437" i="21"/>
  <c r="AB436" i="21"/>
  <c r="AM252" i="21"/>
  <c r="AK254" i="21"/>
  <c r="AM254" i="21" s="1"/>
  <c r="R254" i="14"/>
  <c r="R270" i="14" s="1"/>
  <c r="Q262" i="14"/>
  <c r="Q254" i="14"/>
  <c r="Q270" i="14" s="1"/>
  <c r="BJ183" i="40"/>
  <c r="Q304" i="14"/>
  <c r="R304" i="14"/>
  <c r="AK303" i="14"/>
  <c r="O145" i="14"/>
  <c r="O157" i="14" s="1"/>
  <c r="DF55" i="30"/>
  <c r="DL62" i="30"/>
  <c r="DM62" i="30"/>
  <c r="DL66" i="30"/>
  <c r="AM777" i="21"/>
  <c r="AM770" i="21"/>
  <c r="CC162" i="40"/>
  <c r="CF163" i="40"/>
  <c r="CE163" i="40"/>
  <c r="BH182" i="40"/>
  <c r="BI183" i="40" s="1"/>
  <c r="DZ183" i="40" s="1"/>
  <c r="BJ181" i="40"/>
  <c r="AD202" i="21"/>
  <c r="AF202" i="21" s="1"/>
  <c r="AD195" i="21"/>
  <c r="AF195" i="21" s="1"/>
  <c r="AK195" i="21"/>
  <c r="AM202" i="21" s="1"/>
  <c r="V163" i="40"/>
  <c r="R162" i="40"/>
  <c r="R166" i="40"/>
  <c r="R170" i="40"/>
  <c r="T163" i="40"/>
  <c r="BA160" i="40"/>
  <c r="BC159" i="40"/>
  <c r="AH162" i="40"/>
  <c r="AG162" i="40"/>
  <c r="DV162" i="40" s="1"/>
  <c r="J458" i="21"/>
  <c r="AT162" i="40"/>
  <c r="AT166" i="40"/>
  <c r="AT170" i="40"/>
  <c r="AV163" i="40"/>
  <c r="AM848" i="21"/>
  <c r="AM855" i="21"/>
  <c r="AM604" i="21"/>
  <c r="AK608" i="21"/>
  <c r="AM608" i="21" s="1"/>
  <c r="AD196" i="21"/>
  <c r="AF196" i="21" s="1"/>
  <c r="AD203" i="21"/>
  <c r="AF203" i="21" s="1"/>
  <c r="AK196" i="21"/>
  <c r="AM203" i="21" s="1"/>
  <c r="L455" i="21"/>
  <c r="AD435" i="21"/>
  <c r="AF435" i="21" s="1"/>
  <c r="AK435" i="21"/>
  <c r="AD442" i="21"/>
  <c r="AF442" i="21" s="1"/>
  <c r="M153" i="40"/>
  <c r="K154" i="40"/>
  <c r="D153" i="40"/>
  <c r="BX187" i="40"/>
  <c r="BV188" i="40"/>
  <c r="AR138" i="40"/>
  <c r="AR146" i="40"/>
  <c r="Z612" i="21"/>
  <c r="AM133" i="19"/>
  <c r="AM140" i="19"/>
  <c r="L450" i="21"/>
  <c r="AD265" i="21"/>
  <c r="AF265" i="21" s="1"/>
  <c r="AD258" i="21"/>
  <c r="AF258" i="21" s="1"/>
  <c r="AK258" i="21"/>
  <c r="U271" i="21"/>
  <c r="DN62" i="30"/>
  <c r="DN66" i="30"/>
  <c r="DO62" i="30"/>
  <c r="P254" i="14"/>
  <c r="P270" i="14" s="1"/>
  <c r="P262" i="14"/>
  <c r="P263" i="14" s="1"/>
  <c r="DB138" i="40"/>
  <c r="CE155" i="40"/>
  <c r="J864" i="21"/>
  <c r="AM764" i="21"/>
  <c r="AK765" i="21"/>
  <c r="AM765" i="21" s="1"/>
  <c r="BA170" i="40"/>
  <c r="BA166" i="40"/>
  <c r="BC163" i="40"/>
  <c r="BA162" i="40"/>
  <c r="BE163" i="40"/>
  <c r="BY167" i="40" s="1"/>
  <c r="BY168" i="40" s="1"/>
  <c r="BY169" i="40" s="1"/>
  <c r="BY170" i="40" s="1"/>
  <c r="AF167" i="40"/>
  <c r="AH166" i="40"/>
  <c r="J462" i="21"/>
  <c r="DD133" i="40"/>
  <c r="DC133" i="40"/>
  <c r="DD141" i="40"/>
  <c r="AM854" i="21"/>
  <c r="AM847" i="21"/>
  <c r="AK851" i="21"/>
  <c r="D159" i="40"/>
  <c r="M159" i="40"/>
  <c r="K160" i="40"/>
  <c r="CC154" i="40"/>
  <c r="CD155" i="40" s="1"/>
  <c r="EB155" i="40" s="1"/>
  <c r="CE153" i="40"/>
  <c r="J862" i="21"/>
  <c r="L862" i="21" s="1"/>
  <c r="N862" i="21" s="1"/>
  <c r="P862" i="21" s="1"/>
  <c r="CP222" i="40"/>
  <c r="CQ219" i="40"/>
  <c r="AB261" i="21"/>
  <c r="Q221" i="14"/>
  <c r="R221" i="14"/>
  <c r="BW183" i="40"/>
  <c r="BX183" i="40"/>
  <c r="BV194" i="40"/>
  <c r="BV198" i="40"/>
  <c r="BV190" i="40"/>
  <c r="BX191" i="40"/>
  <c r="AA155" i="40"/>
  <c r="J274" i="21"/>
  <c r="BO197" i="40"/>
  <c r="BO205" i="40"/>
  <c r="BR198" i="40"/>
  <c r="BO201" i="40"/>
  <c r="AR145" i="40"/>
  <c r="AR137" i="40"/>
  <c r="Z611" i="21"/>
  <c r="AB611" i="21" s="1"/>
  <c r="J239" i="21"/>
  <c r="N184" i="14"/>
  <c r="N160" i="14"/>
  <c r="N175" i="14"/>
  <c r="N176" i="14" s="1"/>
  <c r="O144" i="14"/>
  <c r="O156" i="14" s="1"/>
  <c r="W29" i="14"/>
  <c r="W46" i="14" s="1"/>
  <c r="W38" i="14"/>
  <c r="X29" i="14"/>
  <c r="X46" i="14" s="1"/>
  <c r="BJ187" i="40"/>
  <c r="BH188" i="40"/>
  <c r="U448" i="21"/>
  <c r="N448" i="21"/>
  <c r="P448" i="21" s="1"/>
  <c r="AD267" i="21"/>
  <c r="AF267" i="21" s="1"/>
  <c r="AD260" i="21"/>
  <c r="AF260" i="21" s="1"/>
  <c r="AK260" i="21"/>
  <c r="U29" i="14"/>
  <c r="U46" i="14" s="1"/>
  <c r="U38" i="14"/>
  <c r="U39" i="14" s="1"/>
  <c r="AD434" i="21"/>
  <c r="AF434" i="21" s="1"/>
  <c r="AK434" i="21"/>
  <c r="AB438" i="21"/>
  <c r="AD441" i="21"/>
  <c r="AF441" i="21" s="1"/>
  <c r="AB19" i="21"/>
  <c r="AD26" i="21" s="1"/>
  <c r="AM132" i="19"/>
  <c r="AM139" i="19"/>
  <c r="S155" i="40"/>
  <c r="DT155" i="40" s="1"/>
  <c r="T155" i="40"/>
  <c r="AV155" i="40"/>
  <c r="J785" i="21"/>
  <c r="AD851" i="21"/>
  <c r="AF851" i="21" s="1"/>
  <c r="AD858" i="21"/>
  <c r="AF858" i="21" s="1"/>
  <c r="K166" i="40"/>
  <c r="K162" i="40"/>
  <c r="K170" i="40"/>
  <c r="M163" i="40"/>
  <c r="O163" i="40"/>
  <c r="BV182" i="40"/>
  <c r="BX182" i="40" s="1"/>
  <c r="BX181" i="40"/>
  <c r="AM778" i="21"/>
  <c r="AM771" i="21"/>
  <c r="AM153" i="40"/>
  <c r="DK152" i="40"/>
  <c r="J625" i="21"/>
  <c r="L625" i="21" s="1"/>
  <c r="T153" i="40"/>
  <c r="R154" i="40"/>
  <c r="T154" i="40" s="1"/>
  <c r="BA154" i="40"/>
  <c r="BC153" i="40"/>
  <c r="AV153" i="40"/>
  <c r="AT154" i="40"/>
  <c r="AU155" i="40" s="1"/>
  <c r="DX155" i="40" s="1"/>
  <c r="J783" i="21"/>
  <c r="L783" i="21" s="1"/>
  <c r="Y160" i="40"/>
  <c r="AA159" i="40"/>
  <c r="J278" i="21"/>
  <c r="L278" i="21" s="1"/>
  <c r="AR139" i="40"/>
  <c r="AR147" i="40"/>
  <c r="Z613" i="21"/>
  <c r="L232" i="21"/>
  <c r="U232" i="21" s="1"/>
  <c r="L236" i="21"/>
  <c r="BJ175" i="40"/>
  <c r="BW176" i="40"/>
  <c r="AA153" i="40"/>
  <c r="Y154" i="40"/>
  <c r="J272" i="21"/>
  <c r="L272" i="21" s="1"/>
  <c r="V38" i="14"/>
  <c r="V29" i="14"/>
  <c r="V46" i="14" s="1"/>
  <c r="L449" i="21"/>
  <c r="AK259" i="21"/>
  <c r="AD259" i="21"/>
  <c r="AF259" i="21" s="1"/>
  <c r="AD266" i="21"/>
  <c r="AF266" i="21" s="1"/>
  <c r="P146" i="14"/>
  <c r="P158" i="14" s="1"/>
  <c r="DG59" i="30"/>
  <c r="AD82" i="21"/>
  <c r="AF82" i="21" s="1"/>
  <c r="AD89" i="21"/>
  <c r="AF89" i="21" s="1"/>
  <c r="AK82" i="21"/>
  <c r="AD83" i="21"/>
  <c r="AF83" i="21" s="1"/>
  <c r="AK83" i="21"/>
  <c r="AD90" i="21"/>
  <c r="AF90" i="21" s="1"/>
  <c r="AD75" i="21"/>
  <c r="AF75" i="21" s="1"/>
  <c r="AK75" i="21"/>
  <c r="AM75" i="21" s="1"/>
  <c r="P106" i="14"/>
  <c r="P130" i="14" s="1"/>
  <c r="P120" i="14"/>
  <c r="P121" i="14" s="1"/>
  <c r="AB85" i="21"/>
  <c r="AK78" i="21"/>
  <c r="AM78" i="21" s="1"/>
  <c r="AM74" i="21"/>
  <c r="Q106" i="14"/>
  <c r="Q130" i="14" s="1"/>
  <c r="Q120" i="14"/>
  <c r="AM81" i="21"/>
  <c r="AM88" i="21"/>
  <c r="AD91" i="21"/>
  <c r="AF91" i="21" s="1"/>
  <c r="AD84" i="21"/>
  <c r="AF84" i="21" s="1"/>
  <c r="AK84" i="21"/>
  <c r="V6" i="31"/>
  <c r="AP7" i="35"/>
  <c r="Z92" i="3"/>
  <c r="Z93" i="3" s="1"/>
  <c r="Z15" i="3"/>
  <c r="Z27" i="3" s="1"/>
  <c r="AB62" i="32"/>
  <c r="AB64" i="32" s="1"/>
  <c r="AB9" i="3"/>
  <c r="BN33" i="3"/>
  <c r="BR79" i="3"/>
  <c r="BP76" i="3"/>
  <c r="BR51" i="3"/>
  <c r="BP50" i="32" s="1"/>
  <c r="BP56" i="32" s="1"/>
  <c r="AT98" i="3"/>
  <c r="AV96" i="3"/>
  <c r="BJ99" i="3"/>
  <c r="BH100" i="3"/>
  <c r="N740" i="21"/>
  <c r="P740" i="21" s="1"/>
  <c r="AM53" i="21"/>
  <c r="AM60" i="21"/>
  <c r="N288" i="14"/>
  <c r="O284" i="14"/>
  <c r="O287" i="14" s="1"/>
  <c r="DF58" i="30"/>
  <c r="J750" i="21"/>
  <c r="N309" i="14"/>
  <c r="N300" i="14"/>
  <c r="N301" i="14" s="1"/>
  <c r="G102" i="14"/>
  <c r="G117" i="14"/>
  <c r="G96" i="14"/>
  <c r="G92" i="14"/>
  <c r="H77" i="14"/>
  <c r="H93" i="14" s="1"/>
  <c r="F95" i="14"/>
  <c r="G76" i="14"/>
  <c r="F115" i="14"/>
  <c r="F116" i="14" s="1"/>
  <c r="F128" i="14"/>
  <c r="E22" i="14"/>
  <c r="E25" i="14"/>
  <c r="E26" i="14" s="1"/>
  <c r="G276" i="14"/>
  <c r="G234" i="14"/>
  <c r="G192" i="14"/>
  <c r="G136" i="14"/>
  <c r="G63" i="14"/>
  <c r="H5" i="14"/>
  <c r="L545" i="21"/>
  <c r="L548" i="21"/>
  <c r="L544" i="21"/>
  <c r="U544" i="21" s="1"/>
  <c r="L374" i="21"/>
  <c r="N374" i="21" s="1"/>
  <c r="L375" i="21"/>
  <c r="N375" i="21" s="1"/>
  <c r="L378" i="21"/>
  <c r="L737" i="21"/>
  <c r="N737" i="21" s="1"/>
  <c r="P737" i="21" s="1"/>
  <c r="M289" i="14"/>
  <c r="M291" i="14"/>
  <c r="M292" i="14" s="1"/>
  <c r="N858" i="21"/>
  <c r="P858" i="21" s="1"/>
  <c r="F160" i="14"/>
  <c r="G144" i="14"/>
  <c r="G156" i="14" s="1"/>
  <c r="F184" i="14"/>
  <c r="F175" i="14"/>
  <c r="F176" i="14" s="1"/>
  <c r="AA51" i="8"/>
  <c r="AD57" i="21"/>
  <c r="AD64" i="21"/>
  <c r="H247" i="14"/>
  <c r="I242" i="14"/>
  <c r="I246" i="14" s="1"/>
  <c r="J551" i="21"/>
  <c r="H259" i="14"/>
  <c r="H260" i="14" s="1"/>
  <c r="H268" i="14"/>
  <c r="I205" i="14"/>
  <c r="J200" i="14"/>
  <c r="J204" i="14" s="1"/>
  <c r="J381" i="21"/>
  <c r="I226" i="14"/>
  <c r="I217" i="14"/>
  <c r="I218" i="14" s="1"/>
  <c r="T329" i="14"/>
  <c r="U325" i="14"/>
  <c r="U328" i="14" s="1"/>
  <c r="L747" i="21"/>
  <c r="L743" i="21"/>
  <c r="N743" i="21" s="1"/>
  <c r="P743" i="21" s="1"/>
  <c r="E163" i="14"/>
  <c r="E164" i="14" s="1"/>
  <c r="E161" i="14"/>
  <c r="R317" i="14"/>
  <c r="R276" i="14"/>
  <c r="R234" i="14"/>
  <c r="R192" i="14"/>
  <c r="R136" i="14"/>
  <c r="R63" i="14"/>
  <c r="AX5" i="14"/>
  <c r="S5" i="14"/>
  <c r="G250" i="14"/>
  <c r="G248" i="14"/>
  <c r="K118" i="14"/>
  <c r="K97" i="14"/>
  <c r="L78" i="14"/>
  <c r="L94" i="14" s="1"/>
  <c r="S330" i="14"/>
  <c r="S332" i="14"/>
  <c r="S333" i="14" s="1"/>
  <c r="F21" i="14"/>
  <c r="G14" i="14"/>
  <c r="F44" i="14"/>
  <c r="F35" i="14"/>
  <c r="F36" i="14" s="1"/>
  <c r="E98" i="14"/>
  <c r="E100" i="14"/>
  <c r="E101" i="14" s="1"/>
  <c r="AB51" i="8"/>
  <c r="J57" i="8"/>
  <c r="J51" i="8"/>
  <c r="L58" i="8"/>
  <c r="P58" i="8"/>
  <c r="Q57" i="8"/>
  <c r="Q51" i="8"/>
  <c r="E51" i="8"/>
  <c r="O57" i="8"/>
  <c r="O51" i="8"/>
  <c r="M57" i="8"/>
  <c r="M58" i="8" s="1"/>
  <c r="M51" i="8"/>
  <c r="D51" i="8"/>
  <c r="I57" i="8"/>
  <c r="I51" i="8"/>
  <c r="I58" i="8" s="1"/>
  <c r="V51" i="8"/>
  <c r="R51" i="8"/>
  <c r="S51" i="8"/>
  <c r="W51" i="8"/>
  <c r="AJ50" i="8"/>
  <c r="W26" i="8"/>
  <c r="X25" i="8"/>
  <c r="AJ25" i="8"/>
  <c r="W57" i="8"/>
  <c r="W58" i="8" s="1"/>
  <c r="L101" i="8"/>
  <c r="M5" i="8"/>
  <c r="K57" i="8"/>
  <c r="K58" i="8" s="1"/>
  <c r="K51" i="8"/>
  <c r="L51" i="8"/>
  <c r="P51" i="8"/>
  <c r="N57" i="8"/>
  <c r="N51" i="8"/>
  <c r="G51" i="8"/>
  <c r="N212" i="36"/>
  <c r="N202" i="36"/>
  <c r="S151" i="36"/>
  <c r="BO200" i="36"/>
  <c r="CH21" i="30"/>
  <c r="CH32" i="30"/>
  <c r="CH41" i="30" s="1"/>
  <c r="CH37" i="30"/>
  <c r="CH181" i="36"/>
  <c r="CI124" i="36"/>
  <c r="CY181" i="36"/>
  <c r="BB210" i="36"/>
  <c r="BB200" i="36"/>
  <c r="BG149" i="36"/>
  <c r="BB151" i="36"/>
  <c r="BB153" i="36"/>
  <c r="AQ213" i="36"/>
  <c r="AH204" i="36"/>
  <c r="CI200" i="36"/>
  <c r="CX270" i="36"/>
  <c r="CY269" i="36"/>
  <c r="CX280" i="36"/>
  <c r="BJ256" i="36"/>
  <c r="BJ208" i="36"/>
  <c r="BJ198" i="36"/>
  <c r="BJ153" i="36"/>
  <c r="BJ151" i="36"/>
  <c r="BO147" i="36"/>
  <c r="BJ152" i="36"/>
  <c r="BO152" i="36" s="1"/>
  <c r="N214" i="36"/>
  <c r="S208" i="36"/>
  <c r="N213" i="36"/>
  <c r="BV181" i="36"/>
  <c r="CA124" i="36"/>
  <c r="BV183" i="36"/>
  <c r="CA177" i="36"/>
  <c r="BV182" i="36"/>
  <c r="BR182" i="36"/>
  <c r="BR183" i="36"/>
  <c r="BW183" i="36" s="1"/>
  <c r="BW177" i="36"/>
  <c r="BS177" i="36"/>
  <c r="BF210" i="36"/>
  <c r="BK210" i="36" s="1"/>
  <c r="BF200" i="36"/>
  <c r="BK200" i="36" s="1"/>
  <c r="BK149" i="36"/>
  <c r="BO210" i="36"/>
  <c r="BC210" i="36"/>
  <c r="F204" i="36"/>
  <c r="F203" i="36"/>
  <c r="K198" i="36"/>
  <c r="CT260" i="36"/>
  <c r="CT212" i="36"/>
  <c r="CY212" i="36" s="1"/>
  <c r="CT202" i="36"/>
  <c r="CY151" i="36"/>
  <c r="CH257" i="36"/>
  <c r="CH209" i="36"/>
  <c r="CH199" i="36"/>
  <c r="CM148" i="36"/>
  <c r="CI148" i="36"/>
  <c r="BS211" i="36"/>
  <c r="BV257" i="36"/>
  <c r="BV209" i="36"/>
  <c r="BV199" i="36"/>
  <c r="CA148" i="36"/>
  <c r="BW148" i="36"/>
  <c r="Z213" i="36"/>
  <c r="AE213" i="36" s="1"/>
  <c r="Z214" i="36"/>
  <c r="AE208" i="36"/>
  <c r="CI126" i="36"/>
  <c r="AP212" i="36"/>
  <c r="AU212" i="36" s="1"/>
  <c r="AP202" i="36"/>
  <c r="AU202" i="36" s="1"/>
  <c r="AU151" i="36"/>
  <c r="AU198" i="36"/>
  <c r="AP203" i="36"/>
  <c r="AP204" i="36"/>
  <c r="AU204" i="36" s="1"/>
  <c r="CE180" i="36"/>
  <c r="CA180" i="36"/>
  <c r="AQ181" i="36"/>
  <c r="CX214" i="36"/>
  <c r="DC214" i="36" s="1"/>
  <c r="CF21" i="30"/>
  <c r="CF37" i="30"/>
  <c r="CF47" i="30"/>
  <c r="CF32" i="30"/>
  <c r="BB181" i="36"/>
  <c r="BG124" i="36"/>
  <c r="CQ47" i="30"/>
  <c r="CQ37" i="30"/>
  <c r="CQ32" i="30"/>
  <c r="CQ21" i="30"/>
  <c r="J211" i="36"/>
  <c r="O211" i="36" s="1"/>
  <c r="J201" i="36"/>
  <c r="O201" i="36" s="1"/>
  <c r="O150" i="36"/>
  <c r="CU151" i="36"/>
  <c r="CM37" i="30"/>
  <c r="CM21" i="30"/>
  <c r="CM47" i="30"/>
  <c r="CM32" i="30"/>
  <c r="S183" i="36"/>
  <c r="AT203" i="36"/>
  <c r="AY203" i="36" s="1"/>
  <c r="G25" i="88"/>
  <c r="H25" i="88"/>
  <c r="BN257" i="36"/>
  <c r="BN209" i="36"/>
  <c r="BN199" i="36"/>
  <c r="BS148" i="36"/>
  <c r="BN152" i="36"/>
  <c r="BN153" i="36"/>
  <c r="BS153" i="36" s="1"/>
  <c r="BN151" i="36"/>
  <c r="AH213" i="36"/>
  <c r="AM213" i="36" s="1"/>
  <c r="AA182" i="36"/>
  <c r="AM201" i="36"/>
  <c r="CU183" i="36"/>
  <c r="CI153" i="36"/>
  <c r="DC203" i="36"/>
  <c r="BG201" i="36"/>
  <c r="W209" i="36"/>
  <c r="AL204" i="36"/>
  <c r="CH47" i="30"/>
  <c r="CC32" i="30"/>
  <c r="CC37" i="30"/>
  <c r="CC21" i="30"/>
  <c r="CC47" i="30"/>
  <c r="BZ181" i="36"/>
  <c r="CE181" i="36" s="1"/>
  <c r="CE124" i="36"/>
  <c r="AI199" i="36"/>
  <c r="AY200" i="36"/>
  <c r="BF183" i="36"/>
  <c r="BK183" i="36" s="1"/>
  <c r="BK177" i="36"/>
  <c r="BF182" i="36"/>
  <c r="BG177" i="36"/>
  <c r="AD214" i="36"/>
  <c r="AI208" i="36"/>
  <c r="AD213" i="36"/>
  <c r="AI213" i="36" s="1"/>
  <c r="DG183" i="36"/>
  <c r="CD204" i="36"/>
  <c r="AY181" i="36"/>
  <c r="CY213" i="36"/>
  <c r="J151" i="36"/>
  <c r="O198" i="36"/>
  <c r="J203" i="36"/>
  <c r="J204" i="36"/>
  <c r="O204" i="36" s="1"/>
  <c r="CX273" i="36"/>
  <c r="CU203" i="36"/>
  <c r="BJ182" i="36"/>
  <c r="BO182" i="36" s="1"/>
  <c r="BJ183" i="36"/>
  <c r="BO177" i="36"/>
  <c r="BR181" i="36"/>
  <c r="BW124" i="36"/>
  <c r="AQ151" i="36"/>
  <c r="CJ37" i="30"/>
  <c r="C27" i="88" s="1"/>
  <c r="CJ32" i="30"/>
  <c r="CJ41" i="30" s="1"/>
  <c r="CJ21" i="30"/>
  <c r="Z212" i="36"/>
  <c r="Z202" i="36"/>
  <c r="AE202" i="36" s="1"/>
  <c r="AE151" i="36"/>
  <c r="CH182" i="36"/>
  <c r="CH183" i="36"/>
  <c r="CI177" i="36"/>
  <c r="BZ37" i="30"/>
  <c r="BZ32" i="30"/>
  <c r="BZ21" i="30"/>
  <c r="BZ47" i="30"/>
  <c r="O180" i="36"/>
  <c r="CJ47" i="30"/>
  <c r="C36" i="88" s="1"/>
  <c r="CE47" i="30"/>
  <c r="CE32" i="30"/>
  <c r="CE37" i="30"/>
  <c r="CE21" i="30"/>
  <c r="R213" i="36"/>
  <c r="R214" i="36"/>
  <c r="W214" i="36" s="1"/>
  <c r="W208" i="36"/>
  <c r="AA214" i="36"/>
  <c r="CL282" i="36"/>
  <c r="BN29" i="30" s="1"/>
  <c r="BM29" i="30"/>
  <c r="CL129" i="36"/>
  <c r="CL133" i="36" s="1"/>
  <c r="CL283" i="36"/>
  <c r="F214" i="36"/>
  <c r="F213" i="36"/>
  <c r="K213" i="36" s="1"/>
  <c r="K208" i="36"/>
  <c r="CX260" i="36"/>
  <c r="CX212" i="36"/>
  <c r="DC212" i="36" s="1"/>
  <c r="CX202" i="36"/>
  <c r="DC202" i="36" s="1"/>
  <c r="DC151" i="36"/>
  <c r="CM178" i="36"/>
  <c r="CI178" i="36"/>
  <c r="F211" i="36"/>
  <c r="K211" i="36" s="1"/>
  <c r="F201" i="36"/>
  <c r="K150" i="36"/>
  <c r="N211" i="36"/>
  <c r="S211" i="36" s="1"/>
  <c r="N201" i="36"/>
  <c r="S201" i="36" s="1"/>
  <c r="S150" i="36"/>
  <c r="CA178" i="36"/>
  <c r="BW178" i="36"/>
  <c r="BX21" i="30"/>
  <c r="BX37" i="30"/>
  <c r="BX47" i="30"/>
  <c r="BX32" i="30"/>
  <c r="BF211" i="36"/>
  <c r="BK211" i="36" s="1"/>
  <c r="BF201" i="36"/>
  <c r="BK201" i="36" s="1"/>
  <c r="BK150" i="36"/>
  <c r="CH256" i="36"/>
  <c r="CH208" i="36"/>
  <c r="CH198" i="36"/>
  <c r="CH153" i="36"/>
  <c r="CH151" i="36"/>
  <c r="CH152" i="36"/>
  <c r="CI147" i="36"/>
  <c r="AP214" i="36"/>
  <c r="AU214" i="36" s="1"/>
  <c r="AP213" i="36"/>
  <c r="AU213" i="36" s="1"/>
  <c r="AU208" i="36"/>
  <c r="AA180" i="36"/>
  <c r="AA181" i="36"/>
  <c r="J181" i="36"/>
  <c r="O181" i="36" s="1"/>
  <c r="O124" i="36"/>
  <c r="BG179" i="36"/>
  <c r="BB183" i="36"/>
  <c r="CU202" i="36"/>
  <c r="CU214" i="36"/>
  <c r="AY204" i="36"/>
  <c r="AQ208" i="36"/>
  <c r="BS178" i="36"/>
  <c r="BN182" i="36"/>
  <c r="BS182" i="36" s="1"/>
  <c r="BN183" i="36"/>
  <c r="AH214" i="36"/>
  <c r="AM214" i="36" s="1"/>
  <c r="CP21" i="30"/>
  <c r="CP47" i="30"/>
  <c r="CP37" i="30"/>
  <c r="CP32" i="30"/>
  <c r="BK209" i="36"/>
  <c r="AY210" i="36"/>
  <c r="BC179" i="36"/>
  <c r="W181" i="36"/>
  <c r="V213" i="36"/>
  <c r="AA213" i="36" s="1"/>
  <c r="CK47" i="30"/>
  <c r="CK37" i="30"/>
  <c r="CK32" i="30"/>
  <c r="CK21" i="30"/>
  <c r="S199" i="36"/>
  <c r="BG211" i="36"/>
  <c r="BC213" i="36"/>
  <c r="AQ198" i="36"/>
  <c r="AE183" i="36"/>
  <c r="AI209" i="36"/>
  <c r="CG21" i="30"/>
  <c r="CG37" i="30"/>
  <c r="CG47" i="30"/>
  <c r="CG32" i="30"/>
  <c r="AD212" i="36"/>
  <c r="AI212" i="36" s="1"/>
  <c r="AD202" i="36"/>
  <c r="AI202" i="36" s="1"/>
  <c r="AI151" i="36"/>
  <c r="AA152" i="36"/>
  <c r="BV47" i="30"/>
  <c r="BV37" i="30"/>
  <c r="BV21" i="30"/>
  <c r="BV32" i="30"/>
  <c r="CA47" i="30"/>
  <c r="J213" i="36"/>
  <c r="O213" i="36" s="1"/>
  <c r="O208" i="36"/>
  <c r="J214" i="36"/>
  <c r="O214" i="36" s="1"/>
  <c r="CX274" i="36"/>
  <c r="BJ181" i="36"/>
  <c r="BO181" i="36" s="1"/>
  <c r="BO124" i="36"/>
  <c r="S153" i="36"/>
  <c r="CY200" i="36"/>
  <c r="CA125" i="36"/>
  <c r="K124" i="36"/>
  <c r="AQ202" i="36"/>
  <c r="Z204" i="36"/>
  <c r="AA204" i="36" s="1"/>
  <c r="AE198" i="36"/>
  <c r="Z203" i="36"/>
  <c r="AE203" i="36" s="1"/>
  <c r="BZ259" i="36"/>
  <c r="BZ211" i="36"/>
  <c r="BZ201" i="36"/>
  <c r="CE150" i="36"/>
  <c r="CA150" i="36"/>
  <c r="CO37" i="30"/>
  <c r="B27" i="88" s="1"/>
  <c r="CO32" i="30"/>
  <c r="CO21" i="30"/>
  <c r="CO47" i="30"/>
  <c r="B36" i="88" s="1"/>
  <c r="BC181" i="36"/>
  <c r="CU181" i="36"/>
  <c r="CB47" i="30"/>
  <c r="CB32" i="30"/>
  <c r="CB37" i="30"/>
  <c r="CB21" i="30"/>
  <c r="BZ182" i="36"/>
  <c r="CE182" i="36" s="1"/>
  <c r="BZ183" i="36"/>
  <c r="CE183" i="36" s="1"/>
  <c r="CE177" i="36"/>
  <c r="BF181" i="36"/>
  <c r="BK124" i="36"/>
  <c r="BF208" i="36"/>
  <c r="BF198" i="36"/>
  <c r="BK147" i="36"/>
  <c r="BF152" i="36"/>
  <c r="BF153" i="36"/>
  <c r="BK153" i="36" s="1"/>
  <c r="BF151" i="36"/>
  <c r="BG147" i="36"/>
  <c r="AI198" i="36"/>
  <c r="AD203" i="36"/>
  <c r="AD204" i="36"/>
  <c r="AI204" i="36" s="1"/>
  <c r="CY214" i="36"/>
  <c r="B11" i="88"/>
  <c r="H11" i="88" s="1"/>
  <c r="AQ153" i="36"/>
  <c r="BC149" i="36"/>
  <c r="W183" i="36"/>
  <c r="BU21" i="30"/>
  <c r="BU47" i="30"/>
  <c r="BU37" i="30"/>
  <c r="BU32" i="30"/>
  <c r="F151" i="36"/>
  <c r="AQ183" i="36"/>
  <c r="AY212" i="36"/>
  <c r="BW21" i="30"/>
  <c r="BW47" i="30"/>
  <c r="BW37" i="30"/>
  <c r="BW32" i="30"/>
  <c r="CI125" i="36"/>
  <c r="K183" i="36"/>
  <c r="AM211" i="36"/>
  <c r="V212" i="36"/>
  <c r="AA212" i="36" s="1"/>
  <c r="V202" i="36"/>
  <c r="AA202" i="36" s="1"/>
  <c r="AA151" i="36"/>
  <c r="CL177" i="36"/>
  <c r="CL147" i="36"/>
  <c r="CL125" i="36"/>
  <c r="CQ125" i="36" s="1"/>
  <c r="CL124" i="36"/>
  <c r="CQ120" i="36"/>
  <c r="CL126" i="36"/>
  <c r="CQ126" i="36" s="1"/>
  <c r="BS201" i="36"/>
  <c r="AY214" i="36"/>
  <c r="CH180" i="36"/>
  <c r="CH150" i="36"/>
  <c r="CM123" i="36"/>
  <c r="CI123" i="36"/>
  <c r="S182" i="36"/>
  <c r="AL214" i="36"/>
  <c r="BN181" i="36"/>
  <c r="BS181" i="36" s="1"/>
  <c r="BS124" i="36"/>
  <c r="AI210" i="36"/>
  <c r="AM153" i="36"/>
  <c r="Z211" i="36"/>
  <c r="AE211" i="36" s="1"/>
  <c r="Z201" i="36"/>
  <c r="AE201" i="36" s="1"/>
  <c r="AE150" i="36"/>
  <c r="R212" i="36"/>
  <c r="W212" i="36" s="1"/>
  <c r="R202" i="36"/>
  <c r="W151" i="36"/>
  <c r="W198" i="36"/>
  <c r="R203" i="36"/>
  <c r="R204" i="36"/>
  <c r="W204" i="36" s="1"/>
  <c r="BC124" i="36"/>
  <c r="CL37" i="30"/>
  <c r="CL21" i="30"/>
  <c r="CL47" i="30"/>
  <c r="CL32" i="30"/>
  <c r="S210" i="36"/>
  <c r="AA208" i="36"/>
  <c r="CX204" i="36"/>
  <c r="DC204" i="36" s="1"/>
  <c r="CH258" i="36"/>
  <c r="CH210" i="36"/>
  <c r="CM210" i="36" s="1"/>
  <c r="CH200" i="36"/>
  <c r="CM200" i="36" s="1"/>
  <c r="CM149" i="36"/>
  <c r="S209" i="36"/>
  <c r="BO199" i="36"/>
  <c r="AX214" i="36"/>
  <c r="AQ203" i="36"/>
  <c r="BZ256" i="36"/>
  <c r="BZ208" i="36"/>
  <c r="BZ198" i="36"/>
  <c r="BZ153" i="36"/>
  <c r="CE153" i="36" s="1"/>
  <c r="BZ151" i="36"/>
  <c r="CE147" i="36"/>
  <c r="BZ152" i="36"/>
  <c r="CE152" i="36" s="1"/>
  <c r="AI200" i="36"/>
  <c r="AH203" i="36"/>
  <c r="AM203" i="36" s="1"/>
  <c r="O199" i="36"/>
  <c r="BK125" i="36"/>
  <c r="BG125" i="36"/>
  <c r="AA211" i="36"/>
  <c r="AI153" i="36"/>
  <c r="CD260" i="36"/>
  <c r="CD212" i="36"/>
  <c r="CD202" i="36"/>
  <c r="V203" i="36"/>
  <c r="CI149" i="36"/>
  <c r="BC203" i="36"/>
  <c r="CU204" i="36"/>
  <c r="BO126" i="36"/>
  <c r="S152" i="36"/>
  <c r="S198" i="36"/>
  <c r="N204" i="36"/>
  <c r="S204" i="36" s="1"/>
  <c r="N203" i="36"/>
  <c r="S203" i="36" s="1"/>
  <c r="CY210" i="36"/>
  <c r="CA126" i="36"/>
  <c r="BV256" i="36"/>
  <c r="BV208" i="36"/>
  <c r="BV198" i="36"/>
  <c r="CA147" i="36"/>
  <c r="BV152" i="36"/>
  <c r="BV153" i="36"/>
  <c r="BV151" i="36"/>
  <c r="K181" i="36"/>
  <c r="BW125" i="36"/>
  <c r="BR256" i="36"/>
  <c r="BR208" i="36"/>
  <c r="BR198" i="36"/>
  <c r="BR153" i="36"/>
  <c r="BR151" i="36"/>
  <c r="BW147" i="36"/>
  <c r="BR152" i="36"/>
  <c r="BW152" i="36" s="1"/>
  <c r="BS147" i="36"/>
  <c r="AQ212" i="36"/>
  <c r="BG208" i="19"/>
  <c r="H208" i="19"/>
  <c r="AB40" i="30"/>
  <c r="AB27" i="30"/>
  <c r="BB40" i="30"/>
  <c r="BB27" i="30"/>
  <c r="Y27" i="30"/>
  <c r="Y40" i="30"/>
  <c r="AL40" i="30"/>
  <c r="AL27" i="30"/>
  <c r="CA40" i="30"/>
  <c r="CA27" i="30"/>
  <c r="BL40" i="30"/>
  <c r="BL27" i="30"/>
  <c r="AN27" i="30"/>
  <c r="AN40" i="30"/>
  <c r="BQ40" i="30"/>
  <c r="BQ27" i="30"/>
  <c r="BQ48" i="30" s="1"/>
  <c r="BG40" i="30"/>
  <c r="BG27" i="30"/>
  <c r="BI40" i="30"/>
  <c r="BI27" i="30"/>
  <c r="BI48" i="30" s="1"/>
  <c r="AC40" i="30"/>
  <c r="AC27" i="30"/>
  <c r="AW40" i="30"/>
  <c r="AW27" i="30"/>
  <c r="AW48" i="30" s="1"/>
  <c r="AM40" i="30"/>
  <c r="AM27" i="30"/>
  <c r="AM48" i="30" s="1"/>
  <c r="H48" i="30"/>
  <c r="BK40" i="30"/>
  <c r="BK27" i="30"/>
  <c r="BK48" i="30" s="1"/>
  <c r="X40" i="30"/>
  <c r="X27" i="30"/>
  <c r="Z48" i="30"/>
  <c r="BP40" i="30"/>
  <c r="BP27" i="30"/>
  <c r="BA40" i="30"/>
  <c r="BA27" i="30"/>
  <c r="AV40" i="30"/>
  <c r="AV27" i="30"/>
  <c r="I40" i="30"/>
  <c r="I27" i="30"/>
  <c r="I48" i="30" s="1"/>
  <c r="S40" i="30"/>
  <c r="S27" i="30"/>
  <c r="P40" i="30"/>
  <c r="P27" i="30"/>
  <c r="P48" i="30" s="1"/>
  <c r="AR40" i="30"/>
  <c r="AR27" i="30"/>
  <c r="AS40" i="30"/>
  <c r="AS27" i="30"/>
  <c r="AY40" i="30"/>
  <c r="AY27" i="30"/>
  <c r="AY48" i="30" s="1"/>
  <c r="BH27" i="30"/>
  <c r="BH48" i="30" s="1"/>
  <c r="BH40" i="30"/>
  <c r="N40" i="30"/>
  <c r="N27" i="30"/>
  <c r="AO40" i="30"/>
  <c r="AO27" i="30"/>
  <c r="AI40" i="30"/>
  <c r="AI27" i="30"/>
  <c r="AX40" i="30"/>
  <c r="AX27" i="30"/>
  <c r="AX48" i="30" s="1"/>
  <c r="AQ40" i="30"/>
  <c r="AQ27" i="30"/>
  <c r="W40" i="30"/>
  <c r="W27" i="30"/>
  <c r="W48" i="30" s="1"/>
  <c r="AD27" i="30"/>
  <c r="AD48" i="30" s="1"/>
  <c r="AD40" i="30"/>
  <c r="AG40" i="30"/>
  <c r="AG27" i="30"/>
  <c r="BF40" i="30"/>
  <c r="BF27" i="30"/>
  <c r="O40" i="30"/>
  <c r="O27" i="30"/>
  <c r="BC40" i="30"/>
  <c r="BC27" i="30"/>
  <c r="BM40" i="30"/>
  <c r="BM27" i="30"/>
  <c r="AH40" i="30"/>
  <c r="AH27" i="30"/>
  <c r="BS40" i="30"/>
  <c r="BS27" i="30"/>
  <c r="BS48" i="30" s="1"/>
  <c r="AJ48" i="30"/>
  <c r="T27" i="30"/>
  <c r="T48" i="30" s="1"/>
  <c r="T40" i="30"/>
  <c r="K48" i="30"/>
  <c r="BR40" i="30"/>
  <c r="BR27" i="30"/>
  <c r="J27" i="30"/>
  <c r="J48" i="30" s="1"/>
  <c r="J40" i="30"/>
  <c r="E9" i="88"/>
  <c r="I9" i="88" s="1"/>
  <c r="C15" i="88"/>
  <c r="C19" i="88" s="1"/>
  <c r="C21" i="88" s="1"/>
  <c r="E37" i="88" s="1"/>
  <c r="I8" i="88"/>
  <c r="C9" i="88"/>
  <c r="B9" i="88"/>
  <c r="H9" i="88" s="1"/>
  <c r="C8" i="88"/>
  <c r="B8" i="88"/>
  <c r="C6" i="88"/>
  <c r="B6" i="88"/>
  <c r="H6" i="88" s="1"/>
  <c r="E4" i="88"/>
  <c r="BL48" i="30" l="1"/>
  <c r="BR48" i="30"/>
  <c r="BF48" i="30"/>
  <c r="AV48" i="30"/>
  <c r="BG48" i="30"/>
  <c r="DN112" i="36"/>
  <c r="DN122" i="36" s="1"/>
  <c r="DO122" i="36" s="1"/>
  <c r="DP93" i="36"/>
  <c r="B15" i="88"/>
  <c r="B19" i="88" s="1"/>
  <c r="T58" i="8"/>
  <c r="U58" i="8"/>
  <c r="T144" i="8"/>
  <c r="T147" i="8"/>
  <c r="T150" i="8" s="1"/>
  <c r="AD134" i="8"/>
  <c r="AD113" i="8"/>
  <c r="AC125" i="8"/>
  <c r="AC104" i="8"/>
  <c r="BI208" i="39"/>
  <c r="BJ208" i="39"/>
  <c r="BK208" i="39" s="1"/>
  <c r="BN208" i="39" s="1"/>
  <c r="CA183" i="36"/>
  <c r="AC134" i="8"/>
  <c r="AC113" i="8"/>
  <c r="DP67" i="36"/>
  <c r="DO67" i="36"/>
  <c r="BL209" i="39"/>
  <c r="BM209" i="39"/>
  <c r="BN209" i="39"/>
  <c r="CF209" i="39"/>
  <c r="CH209" i="39"/>
  <c r="CI209" i="39"/>
  <c r="CC209" i="39"/>
  <c r="CG209" i="39"/>
  <c r="BI207" i="39"/>
  <c r="BJ207" i="39"/>
  <c r="BK207" i="39" s="1"/>
  <c r="CH207" i="39" s="1"/>
  <c r="CA153" i="36"/>
  <c r="AK261" i="21"/>
  <c r="AM268" i="21" s="1"/>
  <c r="DP15" i="36"/>
  <c r="DP16" i="36" s="1"/>
  <c r="AP85" i="3"/>
  <c r="AP72" i="3"/>
  <c r="T50" i="8"/>
  <c r="T45" i="8"/>
  <c r="DN111" i="36"/>
  <c r="DN121" i="36" s="1"/>
  <c r="DO121" i="36" s="1"/>
  <c r="DP92" i="36"/>
  <c r="DO92" i="36"/>
  <c r="DN96" i="36"/>
  <c r="DP91" i="36"/>
  <c r="DN97" i="36"/>
  <c r="DN110" i="36"/>
  <c r="DO91" i="36"/>
  <c r="DO66" i="36"/>
  <c r="DP66" i="36"/>
  <c r="P126" i="60"/>
  <c r="P91" i="60"/>
  <c r="P127" i="60" s="1"/>
  <c r="N124" i="60"/>
  <c r="O123" i="60"/>
  <c r="M91" i="60"/>
  <c r="W121" i="60"/>
  <c r="X85" i="60"/>
  <c r="C140" i="60"/>
  <c r="B140" i="60"/>
  <c r="O31" i="60"/>
  <c r="T92" i="60"/>
  <c r="R90" i="60"/>
  <c r="R122" i="60"/>
  <c r="I91" i="60"/>
  <c r="I93" i="60" s="1"/>
  <c r="M125" i="60"/>
  <c r="M74" i="60"/>
  <c r="M110" i="60" s="1"/>
  <c r="M147" i="60" s="1"/>
  <c r="L9" i="60"/>
  <c r="Z113" i="60"/>
  <c r="AA77" i="60"/>
  <c r="Z117" i="60"/>
  <c r="AA81" i="60"/>
  <c r="P92" i="60"/>
  <c r="Z112" i="60"/>
  <c r="AA76" i="60"/>
  <c r="Z115" i="60"/>
  <c r="AA79" i="60"/>
  <c r="P11" i="60"/>
  <c r="Q8" i="60"/>
  <c r="S90" i="60"/>
  <c r="V123" i="60"/>
  <c r="W87" i="60"/>
  <c r="Z116" i="60"/>
  <c r="AA80" i="60"/>
  <c r="Z114" i="60"/>
  <c r="AA78" i="60"/>
  <c r="X74" i="60"/>
  <c r="X110" i="60" s="1"/>
  <c r="X147" i="60" s="1"/>
  <c r="Y9" i="60"/>
  <c r="L92" i="60"/>
  <c r="H124" i="60"/>
  <c r="I123" i="60"/>
  <c r="J123" i="60"/>
  <c r="K122" i="60"/>
  <c r="L122" i="60"/>
  <c r="Z118" i="60"/>
  <c r="AA82" i="60"/>
  <c r="N123" i="60"/>
  <c r="O122" i="60"/>
  <c r="N89" i="60"/>
  <c r="S124" i="60"/>
  <c r="U124" i="60"/>
  <c r="V88" i="60"/>
  <c r="X120" i="60"/>
  <c r="Y84" i="60"/>
  <c r="H89" i="60"/>
  <c r="J88" i="60"/>
  <c r="W122" i="60"/>
  <c r="X86" i="60"/>
  <c r="P124" i="60"/>
  <c r="Q123" i="60"/>
  <c r="Q88" i="60"/>
  <c r="N91" i="60"/>
  <c r="Y119" i="60"/>
  <c r="Z83" i="60"/>
  <c r="N90" i="60"/>
  <c r="I92" i="60"/>
  <c r="U89" i="60"/>
  <c r="M92" i="60"/>
  <c r="K94" i="60"/>
  <c r="O95" i="60"/>
  <c r="AM261" i="21"/>
  <c r="N456" i="21"/>
  <c r="P456" i="21" s="1"/>
  <c r="U456" i="21"/>
  <c r="AK85" i="21"/>
  <c r="AM85" i="21" s="1"/>
  <c r="V39" i="14"/>
  <c r="U236" i="21"/>
  <c r="Y161" i="40"/>
  <c r="AA160" i="40"/>
  <c r="J279" i="21"/>
  <c r="AM154" i="40"/>
  <c r="AO153" i="40"/>
  <c r="J626" i="21"/>
  <c r="L626" i="21" s="1"/>
  <c r="M162" i="40"/>
  <c r="D162" i="40"/>
  <c r="W448" i="21"/>
  <c r="AK611" i="21"/>
  <c r="AD618" i="21"/>
  <c r="AF618" i="21" s="1"/>
  <c r="AD611" i="21"/>
  <c r="AF611" i="21" s="1"/>
  <c r="BX194" i="40"/>
  <c r="BV195" i="40"/>
  <c r="CP223" i="40"/>
  <c r="CW159" i="40"/>
  <c r="DF159" i="40"/>
  <c r="F159" i="40"/>
  <c r="BA177" i="40"/>
  <c r="BA169" i="40"/>
  <c r="BA173" i="40"/>
  <c r="BC170" i="40"/>
  <c r="BE170" i="40"/>
  <c r="AB612" i="21"/>
  <c r="AT167" i="40"/>
  <c r="AV166" i="40"/>
  <c r="J796" i="21"/>
  <c r="BA161" i="40"/>
  <c r="BC160" i="40"/>
  <c r="T162" i="40"/>
  <c r="BO196" i="40"/>
  <c r="AH161" i="40"/>
  <c r="J457" i="21"/>
  <c r="AN155" i="40"/>
  <c r="DW155" i="40" s="1"/>
  <c r="AO155" i="40"/>
  <c r="J628" i="21"/>
  <c r="AF174" i="40"/>
  <c r="AH173" i="40"/>
  <c r="J469" i="21"/>
  <c r="R161" i="40"/>
  <c r="T161" i="40" s="1"/>
  <c r="T160" i="40"/>
  <c r="AM259" i="21"/>
  <c r="AM266" i="21"/>
  <c r="N272" i="21"/>
  <c r="P272" i="21" s="1"/>
  <c r="U272" i="21"/>
  <c r="W272" i="21" s="1"/>
  <c r="U278" i="21"/>
  <c r="N278" i="21"/>
  <c r="P278" i="21" s="1"/>
  <c r="N783" i="21"/>
  <c r="P783" i="21" s="1"/>
  <c r="K167" i="40"/>
  <c r="M166" i="40"/>
  <c r="D166" i="40"/>
  <c r="W39" i="14"/>
  <c r="X39" i="14"/>
  <c r="N161" i="14"/>
  <c r="N163" i="14"/>
  <c r="N164" i="14" s="1"/>
  <c r="BT205" i="40"/>
  <c r="Y172" i="14"/>
  <c r="AD261" i="21"/>
  <c r="AF261" i="21" s="1"/>
  <c r="AD268" i="21"/>
  <c r="AF268" i="21" s="1"/>
  <c r="CP233" i="40"/>
  <c r="CP229" i="40"/>
  <c r="CS226" i="40"/>
  <c r="CS229" i="40" s="1"/>
  <c r="CS230" i="40" s="1"/>
  <c r="CS231" i="40" s="1"/>
  <c r="CS232" i="40" s="1"/>
  <c r="CE154" i="40"/>
  <c r="J863" i="21"/>
  <c r="L863" i="21" s="1"/>
  <c r="N863" i="21" s="1"/>
  <c r="P863" i="21" s="1"/>
  <c r="AM858" i="21"/>
  <c r="AM851" i="21"/>
  <c r="BB162" i="40"/>
  <c r="DY162" i="40" s="1"/>
  <c r="BC162" i="40"/>
  <c r="N450" i="21"/>
  <c r="P450" i="21" s="1"/>
  <c r="U450" i="21"/>
  <c r="W450" i="21" s="1"/>
  <c r="CW153" i="40"/>
  <c r="DF153" i="40" s="1"/>
  <c r="F153" i="40"/>
  <c r="AM435" i="21"/>
  <c r="AM442" i="21"/>
  <c r="AV162" i="40"/>
  <c r="J792" i="21"/>
  <c r="CH163" i="40"/>
  <c r="T338" i="14"/>
  <c r="P145" i="14"/>
  <c r="P157" i="14" s="1"/>
  <c r="DG55" i="30"/>
  <c r="R263" i="14"/>
  <c r="Q263" i="14"/>
  <c r="AK436" i="21"/>
  <c r="AD443" i="21"/>
  <c r="AF443" i="21" s="1"/>
  <c r="AD436" i="21"/>
  <c r="AF436" i="21" s="1"/>
  <c r="Y167" i="40"/>
  <c r="AA166" i="40"/>
  <c r="J285" i="21"/>
  <c r="L457" i="21"/>
  <c r="D156" i="40"/>
  <c r="CW155" i="40"/>
  <c r="DF155" i="40" s="1"/>
  <c r="F155" i="40"/>
  <c r="AT161" i="40"/>
  <c r="AV160" i="40"/>
  <c r="J790" i="21"/>
  <c r="L790" i="21" s="1"/>
  <c r="N790" i="21" s="1"/>
  <c r="P790" i="21" s="1"/>
  <c r="L868" i="21"/>
  <c r="Q146" i="14"/>
  <c r="Q158" i="14" s="1"/>
  <c r="DH59" i="30"/>
  <c r="N449" i="21"/>
  <c r="P449" i="21" s="1"/>
  <c r="U449" i="21"/>
  <c r="W449" i="21" s="1"/>
  <c r="AA154" i="40"/>
  <c r="J273" i="21"/>
  <c r="AB613" i="21"/>
  <c r="AB614" i="21"/>
  <c r="AV154" i="40"/>
  <c r="J784" i="21"/>
  <c r="L784" i="21" s="1"/>
  <c r="N784" i="21" s="1"/>
  <c r="P784" i="21" s="1"/>
  <c r="BC154" i="40"/>
  <c r="U625" i="21"/>
  <c r="AD445" i="21"/>
  <c r="AF445" i="21" s="1"/>
  <c r="AD438" i="21"/>
  <c r="AF438" i="21" s="1"/>
  <c r="L452" i="21"/>
  <c r="N452" i="21" s="1"/>
  <c r="P452" i="21" s="1"/>
  <c r="BH189" i="40"/>
  <c r="BJ188" i="40"/>
  <c r="BO212" i="40"/>
  <c r="BO208" i="40"/>
  <c r="BO204" i="40"/>
  <c r="BS205" i="40"/>
  <c r="BS212" i="40" s="1"/>
  <c r="BS219" i="40" s="1"/>
  <c r="BS226" i="40" s="1"/>
  <c r="BS233" i="40" s="1"/>
  <c r="BS240" i="40" s="1"/>
  <c r="BS247" i="40" s="1"/>
  <c r="BS254" i="40" s="1"/>
  <c r="Z155" i="40"/>
  <c r="DU155" i="40" s="1"/>
  <c r="BX190" i="40"/>
  <c r="M160" i="40"/>
  <c r="D160" i="40"/>
  <c r="K161" i="40"/>
  <c r="L162" i="40" s="1"/>
  <c r="AF168" i="40"/>
  <c r="AH167" i="40"/>
  <c r="J463" i="21"/>
  <c r="DD138" i="40"/>
  <c r="DD146" i="40"/>
  <c r="AM258" i="21"/>
  <c r="AM265" i="21"/>
  <c r="M154" i="40"/>
  <c r="D154" i="40"/>
  <c r="L458" i="21"/>
  <c r="T170" i="40"/>
  <c r="V170" i="40"/>
  <c r="R173" i="40"/>
  <c r="R177" i="40"/>
  <c r="R169" i="40"/>
  <c r="CF162" i="40"/>
  <c r="CE162" i="40"/>
  <c r="J871" i="21"/>
  <c r="AD444" i="21"/>
  <c r="AF444" i="21" s="1"/>
  <c r="AD437" i="21"/>
  <c r="AF437" i="21" s="1"/>
  <c r="AK437" i="21"/>
  <c r="Y177" i="40"/>
  <c r="Y169" i="40"/>
  <c r="Y173" i="40"/>
  <c r="AA170" i="40"/>
  <c r="AC170" i="40"/>
  <c r="CX152" i="40"/>
  <c r="EG152" i="40" s="1"/>
  <c r="CY152" i="40"/>
  <c r="DJ152" i="40"/>
  <c r="DL152" i="40"/>
  <c r="DI152" i="40"/>
  <c r="DM152" i="40"/>
  <c r="CI218" i="40"/>
  <c r="DK159" i="40"/>
  <c r="AO159" i="40"/>
  <c r="AM160" i="40"/>
  <c r="J632" i="21"/>
  <c r="L632" i="21" s="1"/>
  <c r="L789" i="21"/>
  <c r="AH177" i="40"/>
  <c r="AF180" i="40"/>
  <c r="AF176" i="40"/>
  <c r="AJ177" i="40"/>
  <c r="AF184" i="40"/>
  <c r="BB155" i="40"/>
  <c r="DY155" i="40" s="1"/>
  <c r="AM772" i="21"/>
  <c r="K177" i="40"/>
  <c r="K173" i="40"/>
  <c r="M170" i="40"/>
  <c r="O170" i="40"/>
  <c r="K169" i="40"/>
  <c r="AM441" i="21"/>
  <c r="AM434" i="21"/>
  <c r="AK438" i="21"/>
  <c r="AM260" i="21"/>
  <c r="AM267" i="21"/>
  <c r="O184" i="14"/>
  <c r="P144" i="14"/>
  <c r="P156" i="14" s="1"/>
  <c r="O175" i="14"/>
  <c r="O176" i="14" s="1"/>
  <c r="O160" i="14"/>
  <c r="J246" i="21"/>
  <c r="L243" i="21"/>
  <c r="L239" i="21"/>
  <c r="BO202" i="40"/>
  <c r="BV197" i="40"/>
  <c r="BV205" i="40"/>
  <c r="BX198" i="40"/>
  <c r="BV201" i="40"/>
  <c r="L463" i="21"/>
  <c r="L462" i="21"/>
  <c r="BZ170" i="40"/>
  <c r="BZ177" i="40" s="1"/>
  <c r="BY173" i="40"/>
  <c r="BA167" i="40"/>
  <c r="BC166" i="40"/>
  <c r="L864" i="21"/>
  <c r="N864" i="21" s="1"/>
  <c r="P864" i="21" s="1"/>
  <c r="BV189" i="40"/>
  <c r="BX189" i="40" s="1"/>
  <c r="BX188" i="40"/>
  <c r="U455" i="21"/>
  <c r="L459" i="21"/>
  <c r="N459" i="21" s="1"/>
  <c r="P459" i="21" s="1"/>
  <c r="N455" i="21"/>
  <c r="P455" i="21" s="1"/>
  <c r="AV170" i="40"/>
  <c r="AT173" i="40"/>
  <c r="AT177" i="40"/>
  <c r="AT169" i="40"/>
  <c r="R167" i="40"/>
  <c r="T166" i="40"/>
  <c r="BJ182" i="40"/>
  <c r="N451" i="21"/>
  <c r="P451" i="21" s="1"/>
  <c r="U451" i="21"/>
  <c r="W451" i="21" s="1"/>
  <c r="AA162" i="40"/>
  <c r="Z162" i="40"/>
  <c r="DU162" i="40" s="1"/>
  <c r="J281" i="21"/>
  <c r="AM166" i="40"/>
  <c r="AM162" i="40"/>
  <c r="AM170" i="40"/>
  <c r="AO163" i="40"/>
  <c r="AQ163" i="40"/>
  <c r="L155" i="40"/>
  <c r="AH169" i="40"/>
  <c r="AG169" i="40"/>
  <c r="DV169" i="40" s="1"/>
  <c r="J465" i="21"/>
  <c r="CC161" i="40"/>
  <c r="CE160" i="40"/>
  <c r="J869" i="21"/>
  <c r="L869" i="21" s="1"/>
  <c r="N869" i="21" s="1"/>
  <c r="P869" i="21" s="1"/>
  <c r="AM92" i="21"/>
  <c r="Q121" i="14"/>
  <c r="AD92" i="21"/>
  <c r="AF92" i="21" s="1"/>
  <c r="AD85" i="21"/>
  <c r="AF85" i="21" s="1"/>
  <c r="AM82" i="21"/>
  <c r="AM89" i="21"/>
  <c r="AM84" i="21"/>
  <c r="AM91" i="21"/>
  <c r="AM90" i="21"/>
  <c r="AM83" i="21"/>
  <c r="X6" i="31"/>
  <c r="AT7" i="35"/>
  <c r="AB92" i="3"/>
  <c r="AB93" i="3" s="1"/>
  <c r="AB15" i="3"/>
  <c r="AB27" i="3" s="1"/>
  <c r="Z83" i="3"/>
  <c r="Z87" i="3" s="1"/>
  <c r="Z63" i="3"/>
  <c r="Z64" i="3" s="1"/>
  <c r="Z82" i="3"/>
  <c r="AD62" i="32"/>
  <c r="AD64" i="32" s="1"/>
  <c r="AD9" i="3"/>
  <c r="BR76" i="3"/>
  <c r="BP33" i="3"/>
  <c r="BL99" i="3"/>
  <c r="BJ100" i="3"/>
  <c r="AX96" i="3"/>
  <c r="AV98" i="3"/>
  <c r="U341" i="14"/>
  <c r="U329" i="14"/>
  <c r="V325" i="14"/>
  <c r="V328" i="14" s="1"/>
  <c r="I206" i="14"/>
  <c r="I208" i="14"/>
  <c r="H276" i="14"/>
  <c r="H234" i="14"/>
  <c r="H192" i="14"/>
  <c r="H136" i="14"/>
  <c r="H63" i="14"/>
  <c r="I5" i="14"/>
  <c r="J205" i="14"/>
  <c r="K200" i="14"/>
  <c r="K204" i="14" s="1"/>
  <c r="J388" i="21"/>
  <c r="J217" i="14"/>
  <c r="J218" i="14" s="1"/>
  <c r="J226" i="14"/>
  <c r="H248" i="14"/>
  <c r="H250" i="14"/>
  <c r="H251" i="14" s="1"/>
  <c r="G95" i="14"/>
  <c r="G98" i="14" s="1"/>
  <c r="H76" i="14"/>
  <c r="J14" i="21"/>
  <c r="G115" i="14"/>
  <c r="G116" i="14" s="1"/>
  <c r="G128" i="14"/>
  <c r="L754" i="21"/>
  <c r="L750" i="21"/>
  <c r="N750" i="21" s="1"/>
  <c r="P750" i="21" s="1"/>
  <c r="N548" i="21"/>
  <c r="P548" i="21" s="1"/>
  <c r="U548" i="21"/>
  <c r="W548" i="21" s="1"/>
  <c r="G100" i="14"/>
  <c r="F22" i="14"/>
  <c r="F25" i="14"/>
  <c r="F26" i="14" s="1"/>
  <c r="L97" i="14"/>
  <c r="M78" i="14"/>
  <c r="M94" i="14" s="1"/>
  <c r="L118" i="14"/>
  <c r="T330" i="14"/>
  <c r="T332" i="14"/>
  <c r="T333" i="14" s="1"/>
  <c r="L552" i="21"/>
  <c r="N552" i="21" s="1"/>
  <c r="L555" i="21"/>
  <c r="L551" i="21"/>
  <c r="H144" i="14"/>
  <c r="H156" i="14" s="1"/>
  <c r="G160" i="14"/>
  <c r="J190" i="21"/>
  <c r="G184" i="14"/>
  <c r="G175" i="14"/>
  <c r="G176" i="14" s="1"/>
  <c r="F98" i="14"/>
  <c r="F100" i="14"/>
  <c r="F101" i="14" s="1"/>
  <c r="P284" i="14"/>
  <c r="P287" i="14" s="1"/>
  <c r="O300" i="14"/>
  <c r="O301" i="14" s="1"/>
  <c r="O288" i="14"/>
  <c r="DG58" i="30"/>
  <c r="J757" i="21"/>
  <c r="O309" i="14"/>
  <c r="L744" i="21"/>
  <c r="N744" i="21" s="1"/>
  <c r="P744" i="21" s="1"/>
  <c r="S317" i="14"/>
  <c r="S276" i="14"/>
  <c r="S234" i="14"/>
  <c r="S192" i="14"/>
  <c r="S136" i="14"/>
  <c r="S63" i="14"/>
  <c r="T5" i="14"/>
  <c r="AY5" i="14"/>
  <c r="N747" i="21"/>
  <c r="P747" i="21" s="1"/>
  <c r="L381" i="21"/>
  <c r="L385" i="21"/>
  <c r="L382" i="21"/>
  <c r="N382" i="21" s="1"/>
  <c r="I247" i="14"/>
  <c r="I259" i="14"/>
  <c r="I260" i="14" s="1"/>
  <c r="J242" i="14"/>
  <c r="J246" i="14" s="1"/>
  <c r="J558" i="21"/>
  <c r="I268" i="14"/>
  <c r="F163" i="14"/>
  <c r="F164" i="14" s="1"/>
  <c r="F161" i="14"/>
  <c r="N378" i="21"/>
  <c r="U378" i="21"/>
  <c r="H102" i="14"/>
  <c r="I77" i="14"/>
  <c r="I93" i="14" s="1"/>
  <c r="H96" i="14"/>
  <c r="H92" i="14"/>
  <c r="H117" i="14"/>
  <c r="N289" i="14"/>
  <c r="N291" i="14"/>
  <c r="N292" i="14" s="1"/>
  <c r="N58" i="8"/>
  <c r="Q58" i="8"/>
  <c r="R58" i="8"/>
  <c r="M101" i="8"/>
  <c r="N5" i="8"/>
  <c r="X26" i="8"/>
  <c r="Y25" i="8"/>
  <c r="X57" i="8"/>
  <c r="X58" i="8" s="1"/>
  <c r="O58" i="8"/>
  <c r="J58" i="8"/>
  <c r="BR260" i="36"/>
  <c r="BR212" i="36"/>
  <c r="BR202" i="36"/>
  <c r="BW151" i="36"/>
  <c r="BZ260" i="36"/>
  <c r="BZ212" i="36"/>
  <c r="CE212" i="36" s="1"/>
  <c r="BZ202" i="36"/>
  <c r="CE202" i="36" s="1"/>
  <c r="CE151" i="36"/>
  <c r="CL183" i="36"/>
  <c r="CQ183" i="36" s="1"/>
  <c r="CQ177" i="36"/>
  <c r="CL182" i="36"/>
  <c r="CQ182" i="36" s="1"/>
  <c r="BW41" i="30"/>
  <c r="BW49" i="30"/>
  <c r="BV39" i="30"/>
  <c r="BV38" i="30"/>
  <c r="BV25" i="30"/>
  <c r="CJ49" i="30"/>
  <c r="CE49" i="30"/>
  <c r="CE41" i="30"/>
  <c r="CJ38" i="30"/>
  <c r="C28" i="88" s="1"/>
  <c r="CJ39" i="30"/>
  <c r="C29" i="88" s="1"/>
  <c r="CJ25" i="30"/>
  <c r="CI204" i="36"/>
  <c r="AG48" i="30"/>
  <c r="X48" i="30"/>
  <c r="BW153" i="36"/>
  <c r="CA152" i="36"/>
  <c r="CI212" i="36"/>
  <c r="W202" i="36"/>
  <c r="CU212" i="36"/>
  <c r="CL181" i="36"/>
  <c r="CQ181" i="36" s="1"/>
  <c r="CQ124" i="36"/>
  <c r="BK181" i="36"/>
  <c r="CB25" i="30"/>
  <c r="CB38" i="30"/>
  <c r="CB39" i="30"/>
  <c r="CO49" i="30"/>
  <c r="CO41" i="30"/>
  <c r="CE201" i="36"/>
  <c r="CA201" i="36"/>
  <c r="BS183" i="36"/>
  <c r="K214" i="36"/>
  <c r="W213" i="36"/>
  <c r="BW181" i="36"/>
  <c r="O203" i="36"/>
  <c r="BS152" i="36"/>
  <c r="AU203" i="36"/>
  <c r="AE214" i="36"/>
  <c r="CA199" i="36"/>
  <c r="BW199" i="36"/>
  <c r="BW182" i="36"/>
  <c r="S214" i="36"/>
  <c r="BO153" i="36"/>
  <c r="AM204" i="36"/>
  <c r="BG153" i="36"/>
  <c r="BC153" i="36"/>
  <c r="BG210" i="36"/>
  <c r="BB214" i="36"/>
  <c r="BG214" i="36" s="1"/>
  <c r="S202" i="36"/>
  <c r="BV214" i="36"/>
  <c r="CA208" i="36"/>
  <c r="BV213" i="36"/>
  <c r="CL41" i="30"/>
  <c r="CL49" i="30"/>
  <c r="BU49" i="30"/>
  <c r="BU41" i="30"/>
  <c r="BK152" i="36"/>
  <c r="BG152" i="36"/>
  <c r="CO25" i="30"/>
  <c r="CO39" i="30"/>
  <c r="B29" i="88" s="1"/>
  <c r="CO38" i="30"/>
  <c r="B28" i="88" s="1"/>
  <c r="CP49" i="30"/>
  <c r="CP41" i="30"/>
  <c r="BG183" i="36"/>
  <c r="BC183" i="36"/>
  <c r="CH260" i="36"/>
  <c r="CH212" i="36"/>
  <c r="CH202" i="36"/>
  <c r="AI214" i="36"/>
  <c r="CH49" i="30"/>
  <c r="CC49" i="30"/>
  <c r="CC41" i="30"/>
  <c r="BS209" i="36"/>
  <c r="BN213" i="36"/>
  <c r="BN214" i="36"/>
  <c r="BS214" i="36" s="1"/>
  <c r="CM39" i="30"/>
  <c r="CM25" i="30"/>
  <c r="CM38" i="30"/>
  <c r="CF41" i="30"/>
  <c r="CF49" i="30"/>
  <c r="BG200" i="36"/>
  <c r="BB204" i="36"/>
  <c r="G11" i="88"/>
  <c r="BR204" i="36"/>
  <c r="BW204" i="36" s="1"/>
  <c r="BW198" i="36"/>
  <c r="BR203" i="36"/>
  <c r="BS198" i="36"/>
  <c r="AA203" i="36"/>
  <c r="CL25" i="30"/>
  <c r="CL39" i="30"/>
  <c r="CL38" i="30"/>
  <c r="W203" i="36"/>
  <c r="CH259" i="36"/>
  <c r="CH211" i="36"/>
  <c r="CH201" i="36"/>
  <c r="CM150" i="36"/>
  <c r="CI150" i="36"/>
  <c r="BF212" i="36"/>
  <c r="BF202" i="36"/>
  <c r="BK202" i="36" s="1"/>
  <c r="BK151" i="36"/>
  <c r="BK198" i="36"/>
  <c r="BF204" i="36"/>
  <c r="BF203" i="36"/>
  <c r="BG198" i="36"/>
  <c r="H27" i="88"/>
  <c r="G27" i="88"/>
  <c r="CE211" i="36"/>
  <c r="CA211" i="36"/>
  <c r="AE204" i="36"/>
  <c r="CK25" i="30"/>
  <c r="CK39" i="30"/>
  <c r="CK38" i="30"/>
  <c r="CI152" i="36"/>
  <c r="CH203" i="36"/>
  <c r="CH204" i="36"/>
  <c r="CI198" i="36"/>
  <c r="K201" i="36"/>
  <c r="CY204" i="36"/>
  <c r="CE38" i="30"/>
  <c r="CE25" i="30"/>
  <c r="CE39" i="30"/>
  <c r="BZ39" i="30"/>
  <c r="BZ25" i="30"/>
  <c r="BZ38" i="30"/>
  <c r="CM183" i="36"/>
  <c r="CI183" i="36"/>
  <c r="BK182" i="36"/>
  <c r="BG182" i="36"/>
  <c r="CC38" i="30"/>
  <c r="CC25" i="30"/>
  <c r="CC39" i="30"/>
  <c r="AQ204" i="36"/>
  <c r="CM41" i="30"/>
  <c r="CM49" i="30"/>
  <c r="CQ38" i="30"/>
  <c r="CQ39" i="30"/>
  <c r="CQ25" i="30"/>
  <c r="CA209" i="36"/>
  <c r="BW209" i="36"/>
  <c r="CA182" i="36"/>
  <c r="CA181" i="36"/>
  <c r="BJ204" i="36"/>
  <c r="BO198" i="36"/>
  <c r="BJ203" i="36"/>
  <c r="BO209" i="36"/>
  <c r="BB212" i="36"/>
  <c r="BB202" i="36"/>
  <c r="BG151" i="36"/>
  <c r="BC151" i="36"/>
  <c r="CM124" i="36"/>
  <c r="CH25" i="30"/>
  <c r="CH39" i="30"/>
  <c r="CH38" i="30"/>
  <c r="S212" i="36"/>
  <c r="CG49" i="30"/>
  <c r="CG41" i="30"/>
  <c r="BX49" i="30"/>
  <c r="BX41" i="30"/>
  <c r="CM182" i="36"/>
  <c r="CI182" i="36"/>
  <c r="CM209" i="36"/>
  <c r="CI209" i="36"/>
  <c r="K204" i="36"/>
  <c r="BJ260" i="36"/>
  <c r="BJ212" i="36"/>
  <c r="BJ202" i="36"/>
  <c r="BO151" i="36"/>
  <c r="CE198" i="36"/>
  <c r="BZ203" i="36"/>
  <c r="CE203" i="36" s="1"/>
  <c r="BZ204" i="36"/>
  <c r="CE204" i="36" s="1"/>
  <c r="BC214" i="36"/>
  <c r="AQ214" i="36"/>
  <c r="BC48" i="30"/>
  <c r="AQ48" i="30"/>
  <c r="BD48" i="30"/>
  <c r="BW208" i="36"/>
  <c r="BR214" i="36"/>
  <c r="BW214" i="36" s="1"/>
  <c r="BR213" i="36"/>
  <c r="BS208" i="36"/>
  <c r="BV260" i="36"/>
  <c r="BV212" i="36"/>
  <c r="CA212" i="36" s="1"/>
  <c r="BV202" i="36"/>
  <c r="CA151" i="36"/>
  <c r="CA198" i="36"/>
  <c r="BV203" i="36"/>
  <c r="CA203" i="36" s="1"/>
  <c r="BV204" i="36"/>
  <c r="CA204" i="36" s="1"/>
  <c r="CI151" i="36"/>
  <c r="CE208" i="36"/>
  <c r="BZ213" i="36"/>
  <c r="CE213" i="36" s="1"/>
  <c r="BZ214" i="36"/>
  <c r="CE214" i="36" s="1"/>
  <c r="CM180" i="36"/>
  <c r="CI180" i="36"/>
  <c r="CL256" i="36"/>
  <c r="CL208" i="36"/>
  <c r="CL198" i="36"/>
  <c r="CQ147" i="36"/>
  <c r="CL152" i="36"/>
  <c r="CQ152" i="36" s="1"/>
  <c r="CL153" i="36"/>
  <c r="CQ153" i="36" s="1"/>
  <c r="CL151" i="36"/>
  <c r="CM125" i="36"/>
  <c r="BW38" i="30"/>
  <c r="BW39" i="30"/>
  <c r="BW25" i="30"/>
  <c r="F212" i="36"/>
  <c r="F202" i="36"/>
  <c r="K202" i="36" s="1"/>
  <c r="K151" i="36"/>
  <c r="BU39" i="30"/>
  <c r="BU38" i="30"/>
  <c r="BU25" i="30"/>
  <c r="AI203" i="36"/>
  <c r="BF214" i="36"/>
  <c r="BF213" i="36"/>
  <c r="BK208" i="36"/>
  <c r="BG208" i="36"/>
  <c r="CB41" i="30"/>
  <c r="CB49" i="30"/>
  <c r="BC200" i="36"/>
  <c r="CA49" i="30"/>
  <c r="BV41" i="30"/>
  <c r="BV49" i="30"/>
  <c r="AA201" i="36"/>
  <c r="CG38" i="30"/>
  <c r="CG39" i="30"/>
  <c r="CG25" i="30"/>
  <c r="CK41" i="30"/>
  <c r="CK49" i="30"/>
  <c r="CP38" i="30"/>
  <c r="CP25" i="30"/>
  <c r="CP39" i="30"/>
  <c r="CM147" i="36"/>
  <c r="CM208" i="36"/>
  <c r="CH213" i="36"/>
  <c r="CH214" i="36"/>
  <c r="CI208" i="36"/>
  <c r="BX38" i="30"/>
  <c r="BX25" i="30"/>
  <c r="BX39" i="30"/>
  <c r="BZ49" i="30"/>
  <c r="BZ41" i="30"/>
  <c r="CM177" i="36"/>
  <c r="AE212" i="36"/>
  <c r="BO183" i="36"/>
  <c r="CI210" i="36"/>
  <c r="J212" i="36"/>
  <c r="O212" i="36" s="1"/>
  <c r="J202" i="36"/>
  <c r="O202" i="36" s="1"/>
  <c r="O151" i="36"/>
  <c r="BN260" i="36"/>
  <c r="BN212" i="36"/>
  <c r="BS212" i="36" s="1"/>
  <c r="BN202" i="36"/>
  <c r="BS202" i="36" s="1"/>
  <c r="BS151" i="36"/>
  <c r="BS199" i="36"/>
  <c r="BN204" i="36"/>
  <c r="BS204" i="36" s="1"/>
  <c r="BN203" i="36"/>
  <c r="BS203" i="36" s="1"/>
  <c r="CQ49" i="30"/>
  <c r="CQ41" i="30"/>
  <c r="BG181" i="36"/>
  <c r="CF25" i="30"/>
  <c r="CF39" i="30"/>
  <c r="CF38" i="30"/>
  <c r="CM126" i="36"/>
  <c r="CM199" i="36"/>
  <c r="CI199" i="36"/>
  <c r="CY202" i="36"/>
  <c r="K203" i="36"/>
  <c r="S213" i="36"/>
  <c r="BJ213" i="36"/>
  <c r="BO213" i="36" s="1"/>
  <c r="BJ214" i="36"/>
  <c r="BO208" i="36"/>
  <c r="CX271" i="36"/>
  <c r="CY270" i="36"/>
  <c r="CX281" i="36"/>
  <c r="CI181" i="36"/>
  <c r="AC48" i="30"/>
  <c r="AH48" i="30"/>
  <c r="BM48" i="30"/>
  <c r="N48" i="30"/>
  <c r="AS48" i="30"/>
  <c r="S48" i="30"/>
  <c r="BN48" i="30"/>
  <c r="AB48" i="30"/>
  <c r="Y48" i="30"/>
  <c r="G6" i="88"/>
  <c r="G8" i="88"/>
  <c r="H8" i="88"/>
  <c r="O48" i="30"/>
  <c r="AI48" i="30"/>
  <c r="AO48" i="30"/>
  <c r="AT48" i="30"/>
  <c r="AR48" i="30"/>
  <c r="BA48" i="30"/>
  <c r="BP48" i="30"/>
  <c r="U48" i="30"/>
  <c r="AN48" i="30"/>
  <c r="AL48" i="30"/>
  <c r="BB48" i="30"/>
  <c r="E30" i="88"/>
  <c r="I30" i="88" s="1"/>
  <c r="E28" i="88"/>
  <c r="I28" i="88" s="1"/>
  <c r="E27" i="88"/>
  <c r="I27" i="88" s="1"/>
  <c r="E6" i="88"/>
  <c r="I6" i="88" s="1"/>
  <c r="E25" i="88"/>
  <c r="I25" i="88" s="1"/>
  <c r="G15" i="88"/>
  <c r="E35" i="88"/>
  <c r="E26" i="88"/>
  <c r="I26" i="88" s="1"/>
  <c r="G9" i="88"/>
  <c r="C4" i="88"/>
  <c r="E33" i="88" s="1"/>
  <c r="B4" i="88"/>
  <c r="I4" i="88"/>
  <c r="I3" i="88"/>
  <c r="H3" i="88"/>
  <c r="G3" i="88"/>
  <c r="CG207" i="39" l="1"/>
  <c r="H15" i="88"/>
  <c r="CC207" i="39"/>
  <c r="BN207" i="39"/>
  <c r="BM207" i="39"/>
  <c r="CI207" i="39"/>
  <c r="BL207" i="39"/>
  <c r="CF207" i="39"/>
  <c r="BL208" i="39"/>
  <c r="DN116" i="36"/>
  <c r="DO116" i="36" s="1"/>
  <c r="DN115" i="36"/>
  <c r="DO115" i="36" s="1"/>
  <c r="DN120" i="36"/>
  <c r="DO97" i="36"/>
  <c r="DP97" i="36"/>
  <c r="T51" i="8"/>
  <c r="U51" i="8"/>
  <c r="CF208" i="39"/>
  <c r="CI208" i="39"/>
  <c r="CH208" i="39"/>
  <c r="CG208" i="39"/>
  <c r="BM208" i="39"/>
  <c r="CC208" i="39"/>
  <c r="CA213" i="36"/>
  <c r="DP96" i="36"/>
  <c r="DO96" i="36"/>
  <c r="I94" i="60"/>
  <c r="Z119" i="60"/>
  <c r="AA83" i="60"/>
  <c r="H125" i="60"/>
  <c r="I124" i="60"/>
  <c r="N125" i="60"/>
  <c r="O124" i="60"/>
  <c r="W123" i="60"/>
  <c r="X87" i="60"/>
  <c r="S125" i="60"/>
  <c r="AA115" i="60"/>
  <c r="AB79" i="60"/>
  <c r="AB115" i="60" s="1"/>
  <c r="P128" i="60"/>
  <c r="P93" i="60"/>
  <c r="AA113" i="60"/>
  <c r="AB77" i="60"/>
  <c r="AB113" i="60" s="1"/>
  <c r="X121" i="60"/>
  <c r="Y85" i="60"/>
  <c r="K95" i="60"/>
  <c r="Y120" i="60"/>
  <c r="Z84" i="60"/>
  <c r="I95" i="60"/>
  <c r="J90" i="60"/>
  <c r="J91" i="60" s="1"/>
  <c r="H90" i="60"/>
  <c r="L93" i="60"/>
  <c r="AA116" i="60"/>
  <c r="AB80" i="60"/>
  <c r="AB116" i="60" s="1"/>
  <c r="Q11" i="60"/>
  <c r="R8" i="60"/>
  <c r="J89" i="60"/>
  <c r="N92" i="60"/>
  <c r="M127" i="60"/>
  <c r="U125" i="60"/>
  <c r="V89" i="60"/>
  <c r="N126" i="60"/>
  <c r="O125" i="60"/>
  <c r="Q124" i="60"/>
  <c r="R123" i="60"/>
  <c r="Q89" i="60"/>
  <c r="AA118" i="60"/>
  <c r="AB82" i="60"/>
  <c r="P31" i="60"/>
  <c r="AA117" i="60"/>
  <c r="AB81" i="60"/>
  <c r="AB117" i="60" s="1"/>
  <c r="L74" i="60"/>
  <c r="L110" i="60" s="1"/>
  <c r="L147" i="60" s="1"/>
  <c r="K9" i="60"/>
  <c r="U90" i="60"/>
  <c r="O96" i="60"/>
  <c r="M128" i="60"/>
  <c r="M93" i="60"/>
  <c r="N127" i="60"/>
  <c r="O126" i="60"/>
  <c r="X122" i="60"/>
  <c r="Y86" i="60"/>
  <c r="J124" i="60"/>
  <c r="K123" i="60"/>
  <c r="L123" i="60"/>
  <c r="V124" i="60"/>
  <c r="W88" i="60"/>
  <c r="Y74" i="60"/>
  <c r="Y110" i="60" s="1"/>
  <c r="Y147" i="60" s="1"/>
  <c r="Z9" i="60"/>
  <c r="AA114" i="60"/>
  <c r="AB78" i="60"/>
  <c r="AB114" i="60" s="1"/>
  <c r="S91" i="60"/>
  <c r="AA112" i="60"/>
  <c r="AB76" i="60"/>
  <c r="AB112" i="60" s="1"/>
  <c r="N93" i="60"/>
  <c r="I96" i="60"/>
  <c r="R91" i="60"/>
  <c r="T93" i="60"/>
  <c r="T125" i="60"/>
  <c r="B141" i="60"/>
  <c r="C141" i="60"/>
  <c r="DS162" i="40"/>
  <c r="CE161" i="40"/>
  <c r="CF161" i="40"/>
  <c r="J870" i="21"/>
  <c r="L870" i="21" s="1"/>
  <c r="N870" i="21" s="1"/>
  <c r="AM177" i="40"/>
  <c r="AM173" i="40"/>
  <c r="AO170" i="40"/>
  <c r="AQ170" i="40"/>
  <c r="AM169" i="40"/>
  <c r="AT174" i="40"/>
  <c r="AV173" i="40"/>
  <c r="J803" i="21"/>
  <c r="BY174" i="40"/>
  <c r="CA173" i="40"/>
  <c r="BX197" i="40"/>
  <c r="U239" i="21"/>
  <c r="N239" i="21"/>
  <c r="P239" i="21" s="1"/>
  <c r="D169" i="40"/>
  <c r="M169" i="40"/>
  <c r="K184" i="40"/>
  <c r="M177" i="40"/>
  <c r="K176" i="40"/>
  <c r="K180" i="40"/>
  <c r="O177" i="40"/>
  <c r="AF187" i="40"/>
  <c r="AF183" i="40"/>
  <c r="AH184" i="40"/>
  <c r="AJ184" i="40"/>
  <c r="Y174" i="40"/>
  <c r="AA173" i="40"/>
  <c r="J292" i="21"/>
  <c r="AM437" i="21"/>
  <c r="AM444" i="21"/>
  <c r="CD162" i="40"/>
  <c r="EB162" i="40" s="1"/>
  <c r="R184" i="40"/>
  <c r="R180" i="40"/>
  <c r="R176" i="40"/>
  <c r="T177" i="40"/>
  <c r="V177" i="40"/>
  <c r="U458" i="21"/>
  <c r="W458" i="21" s="1"/>
  <c r="N458" i="21"/>
  <c r="P458" i="21" s="1"/>
  <c r="DF160" i="40"/>
  <c r="F160" i="40"/>
  <c r="CW160" i="40"/>
  <c r="BO209" i="40"/>
  <c r="BH190" i="40"/>
  <c r="BJ189" i="40"/>
  <c r="AK613" i="21"/>
  <c r="AD620" i="21"/>
  <c r="AF620" i="21" s="1"/>
  <c r="AD613" i="21"/>
  <c r="AF613" i="21" s="1"/>
  <c r="N868" i="21"/>
  <c r="P868" i="21" s="1"/>
  <c r="AV161" i="40"/>
  <c r="J791" i="21"/>
  <c r="L791" i="21" s="1"/>
  <c r="N791" i="21" s="1"/>
  <c r="P791" i="21" s="1"/>
  <c r="Y168" i="40"/>
  <c r="AA167" i="40"/>
  <c r="J286" i="21"/>
  <c r="AM436" i="21"/>
  <c r="AM443" i="21"/>
  <c r="Q145" i="14"/>
  <c r="Q157" i="14" s="1"/>
  <c r="DH55" i="30"/>
  <c r="AU162" i="40"/>
  <c r="DX162" i="40" s="1"/>
  <c r="L469" i="21"/>
  <c r="BC169" i="40"/>
  <c r="CX159" i="40"/>
  <c r="EG159" i="40" s="1"/>
  <c r="DN159" i="40"/>
  <c r="CY159" i="40"/>
  <c r="DJ159" i="40"/>
  <c r="DL159" i="40"/>
  <c r="DM159" i="40"/>
  <c r="DI159" i="40"/>
  <c r="U452" i="21"/>
  <c r="W452" i="21" s="1"/>
  <c r="E155" i="40"/>
  <c r="DS155" i="40"/>
  <c r="AO162" i="40"/>
  <c r="J635" i="21"/>
  <c r="R168" i="40"/>
  <c r="T168" i="40" s="1"/>
  <c r="T167" i="40"/>
  <c r="W455" i="21"/>
  <c r="BZ184" i="40"/>
  <c r="BY177" i="40"/>
  <c r="BV202" i="40"/>
  <c r="BX201" i="40"/>
  <c r="N243" i="21"/>
  <c r="P243" i="21" s="1"/>
  <c r="U243" i="21"/>
  <c r="P160" i="14"/>
  <c r="Q144" i="14"/>
  <c r="Q156" i="14" s="1"/>
  <c r="P175" i="14"/>
  <c r="P176" i="14" s="1"/>
  <c r="P184" i="14"/>
  <c r="AM438" i="21"/>
  <c r="AM445" i="21"/>
  <c r="N789" i="21"/>
  <c r="P789" i="21" s="1"/>
  <c r="T173" i="40"/>
  <c r="R174" i="40"/>
  <c r="CW154" i="40"/>
  <c r="F154" i="40"/>
  <c r="AH168" i="40"/>
  <c r="J464" i="21"/>
  <c r="L465" i="21" s="1"/>
  <c r="BO211" i="40"/>
  <c r="BO215" i="40"/>
  <c r="BR212" i="40"/>
  <c r="L274" i="21"/>
  <c r="L273" i="21"/>
  <c r="U457" i="21"/>
  <c r="W457" i="21" s="1"/>
  <c r="N457" i="21"/>
  <c r="P457" i="21" s="1"/>
  <c r="U335" i="14"/>
  <c r="T335" i="14"/>
  <c r="U339" i="14"/>
  <c r="T339" i="14"/>
  <c r="T33" i="14"/>
  <c r="T341" i="14"/>
  <c r="T342" i="14" s="1"/>
  <c r="K168" i="40"/>
  <c r="D167" i="40"/>
  <c r="M167" i="40"/>
  <c r="W278" i="21"/>
  <c r="S162" i="40"/>
  <c r="DT162" i="40" s="1"/>
  <c r="BC161" i="40"/>
  <c r="AT168" i="40"/>
  <c r="AU169" i="40" s="1"/>
  <c r="DX169" i="40" s="1"/>
  <c r="AV167" i="40"/>
  <c r="J797" i="21"/>
  <c r="L797" i="21" s="1"/>
  <c r="N797" i="21" s="1"/>
  <c r="P797" i="21" s="1"/>
  <c r="BA184" i="40"/>
  <c r="BE177" i="40"/>
  <c r="BA176" i="40"/>
  <c r="BA180" i="40"/>
  <c r="BC177" i="40"/>
  <c r="DK154" i="40"/>
  <c r="AO154" i="40"/>
  <c r="J627" i="21"/>
  <c r="L627" i="21" s="1"/>
  <c r="AA161" i="40"/>
  <c r="J280" i="21"/>
  <c r="L281" i="21" s="1"/>
  <c r="AM167" i="40"/>
  <c r="AO166" i="40"/>
  <c r="J639" i="21"/>
  <c r="L639" i="21" s="1"/>
  <c r="AV169" i="40"/>
  <c r="J799" i="21"/>
  <c r="BA168" i="40"/>
  <c r="BC167" i="40"/>
  <c r="N462" i="21"/>
  <c r="P462" i="21" s="1"/>
  <c r="U462" i="21"/>
  <c r="L250" i="21"/>
  <c r="L246" i="21"/>
  <c r="L247" i="21" s="1"/>
  <c r="N247" i="21" s="1"/>
  <c r="AH176" i="40"/>
  <c r="J472" i="21"/>
  <c r="N632" i="21"/>
  <c r="P632" i="21" s="1"/>
  <c r="U632" i="21"/>
  <c r="CI219" i="40"/>
  <c r="Z169" i="40"/>
  <c r="DU169" i="40" s="1"/>
  <c r="AA169" i="40"/>
  <c r="J288" i="21"/>
  <c r="CH162" i="40"/>
  <c r="Z871" i="21"/>
  <c r="CY155" i="40"/>
  <c r="CX155" i="40"/>
  <c r="DJ155" i="40"/>
  <c r="DL155" i="40"/>
  <c r="DI155" i="40"/>
  <c r="DM155" i="40"/>
  <c r="L286" i="21"/>
  <c r="L285" i="21"/>
  <c r="CP240" i="40"/>
  <c r="CP236" i="40"/>
  <c r="CP232" i="40"/>
  <c r="CS233" i="40"/>
  <c r="CS236" i="40" s="1"/>
  <c r="CS237" i="40" s="1"/>
  <c r="CS238" i="40" s="1"/>
  <c r="CS239" i="40" s="1"/>
  <c r="DK155" i="40"/>
  <c r="L796" i="21"/>
  <c r="L865" i="21"/>
  <c r="N865" i="21" s="1"/>
  <c r="P865" i="21" s="1"/>
  <c r="BC173" i="40"/>
  <c r="BA174" i="40"/>
  <c r="CP224" i="40"/>
  <c r="L785" i="21"/>
  <c r="N785" i="21" s="1"/>
  <c r="P785" i="21" s="1"/>
  <c r="U626" i="21"/>
  <c r="W626" i="21" s="1"/>
  <c r="N626" i="21"/>
  <c r="P626" i="21" s="1"/>
  <c r="L280" i="21"/>
  <c r="L279" i="21"/>
  <c r="W456" i="21"/>
  <c r="AT184" i="40"/>
  <c r="AT180" i="40"/>
  <c r="AT176" i="40"/>
  <c r="AV177" i="40"/>
  <c r="N463" i="21"/>
  <c r="P463" i="21" s="1"/>
  <c r="U463" i="21"/>
  <c r="W463" i="21" s="1"/>
  <c r="BV212" i="40"/>
  <c r="BV208" i="40"/>
  <c r="BX205" i="40"/>
  <c r="BV204" i="40"/>
  <c r="BO203" i="40"/>
  <c r="O163" i="14"/>
  <c r="O164" i="14" s="1"/>
  <c r="O161" i="14"/>
  <c r="M173" i="40"/>
  <c r="K174" i="40"/>
  <c r="D173" i="40"/>
  <c r="AH180" i="40"/>
  <c r="AF181" i="40"/>
  <c r="J476" i="21"/>
  <c r="AO160" i="40"/>
  <c r="AM161" i="40"/>
  <c r="DK160" i="40"/>
  <c r="J633" i="21"/>
  <c r="L633" i="21" s="1"/>
  <c r="Y184" i="40"/>
  <c r="Y180" i="40"/>
  <c r="AC177" i="40"/>
  <c r="Y176" i="40"/>
  <c r="AA177" i="40"/>
  <c r="L871" i="21"/>
  <c r="N871" i="21" s="1"/>
  <c r="T169" i="40"/>
  <c r="S169" i="40"/>
  <c r="DT169" i="40" s="1"/>
  <c r="L464" i="21"/>
  <c r="M161" i="40"/>
  <c r="D161" i="40"/>
  <c r="BW190" i="40"/>
  <c r="BP204" i="40"/>
  <c r="EA204" i="40" s="1"/>
  <c r="AB615" i="21"/>
  <c r="AD621" i="21"/>
  <c r="AF621" i="21" s="1"/>
  <c r="AK614" i="21"/>
  <c r="AD614" i="21"/>
  <c r="AF614" i="21" s="1"/>
  <c r="R146" i="14"/>
  <c r="R158" i="14" s="1"/>
  <c r="DI59" i="30"/>
  <c r="CW156" i="40"/>
  <c r="F156" i="40"/>
  <c r="DF156" i="40"/>
  <c r="E156" i="40"/>
  <c r="H156" i="40"/>
  <c r="L792" i="21"/>
  <c r="N792" i="21" s="1"/>
  <c r="P792" i="21" s="1"/>
  <c r="CY153" i="40"/>
  <c r="CX153" i="40"/>
  <c r="EG153" i="40" s="1"/>
  <c r="DJ153" i="40"/>
  <c r="DM153" i="40"/>
  <c r="DL153" i="40"/>
  <c r="DI153" i="40"/>
  <c r="CP230" i="40"/>
  <c r="DF166" i="40"/>
  <c r="F166" i="40"/>
  <c r="CW166" i="40"/>
  <c r="AF175" i="40"/>
  <c r="AG176" i="40" s="1"/>
  <c r="DV176" i="40" s="1"/>
  <c r="AH174" i="40"/>
  <c r="J470" i="21"/>
  <c r="AD612" i="21"/>
  <c r="AF612" i="21" s="1"/>
  <c r="AD619" i="21"/>
  <c r="AF619" i="21" s="1"/>
  <c r="AK612" i="21"/>
  <c r="BV196" i="40"/>
  <c r="BX196" i="40" s="1"/>
  <c r="BX195" i="40"/>
  <c r="AM611" i="21"/>
  <c r="AM618" i="21"/>
  <c r="DF162" i="40"/>
  <c r="CW162" i="40"/>
  <c r="D163" i="40"/>
  <c r="F162" i="40"/>
  <c r="DK153" i="40"/>
  <c r="L240" i="21"/>
  <c r="L786" i="21"/>
  <c r="Z6" i="31"/>
  <c r="AX7" i="35"/>
  <c r="AD92" i="3"/>
  <c r="AD93" i="3" s="1"/>
  <c r="AD15" i="3"/>
  <c r="AD27" i="3" s="1"/>
  <c r="AF62" i="32"/>
  <c r="AF64" i="32" s="1"/>
  <c r="AF9" i="3"/>
  <c r="AB83" i="3"/>
  <c r="AB87" i="3" s="1"/>
  <c r="AB82" i="3"/>
  <c r="AB63" i="3"/>
  <c r="AB64" i="3" s="1"/>
  <c r="BR33" i="3"/>
  <c r="BN99" i="3"/>
  <c r="BL100" i="3"/>
  <c r="AX98" i="3"/>
  <c r="AZ96" i="3"/>
  <c r="I76" i="14"/>
  <c r="H95" i="14"/>
  <c r="J21" i="21"/>
  <c r="H128" i="14"/>
  <c r="H115" i="14"/>
  <c r="H116" i="14" s="1"/>
  <c r="L558" i="21"/>
  <c r="L562" i="21"/>
  <c r="L559" i="21"/>
  <c r="N559" i="21" s="1"/>
  <c r="T317" i="14"/>
  <c r="T276" i="14"/>
  <c r="T234" i="14"/>
  <c r="T192" i="14"/>
  <c r="T136" i="14"/>
  <c r="T63" i="14"/>
  <c r="U5" i="14"/>
  <c r="H160" i="14"/>
  <c r="I144" i="14"/>
  <c r="I156" i="14" s="1"/>
  <c r="J197" i="21"/>
  <c r="H184" i="14"/>
  <c r="H175" i="14"/>
  <c r="H176" i="14" s="1"/>
  <c r="K242" i="14"/>
  <c r="K246" i="14" s="1"/>
  <c r="J268" i="14"/>
  <c r="J247" i="14"/>
  <c r="J565" i="21"/>
  <c r="J259" i="14"/>
  <c r="J260" i="14" s="1"/>
  <c r="L751" i="21"/>
  <c r="N751" i="21" s="1"/>
  <c r="P751" i="21" s="1"/>
  <c r="O291" i="14"/>
  <c r="O292" i="14" s="1"/>
  <c r="O289" i="14"/>
  <c r="N754" i="21"/>
  <c r="P754" i="21" s="1"/>
  <c r="J206" i="14"/>
  <c r="J208" i="14"/>
  <c r="J209" i="14" s="1"/>
  <c r="L18" i="21"/>
  <c r="L14" i="21"/>
  <c r="L15" i="21" s="1"/>
  <c r="U330" i="14"/>
  <c r="I96" i="14"/>
  <c r="I92" i="14"/>
  <c r="J77" i="14"/>
  <c r="J93" i="14" s="1"/>
  <c r="I102" i="14"/>
  <c r="I117" i="14"/>
  <c r="N385" i="21"/>
  <c r="P385" i="21" s="1"/>
  <c r="U385" i="21"/>
  <c r="W385" i="21" s="1"/>
  <c r="L190" i="21"/>
  <c r="U190" i="21" s="1"/>
  <c r="L194" i="21"/>
  <c r="L191" i="21"/>
  <c r="U555" i="21"/>
  <c r="W555" i="21" s="1"/>
  <c r="N555" i="21"/>
  <c r="P555" i="21" s="1"/>
  <c r="K205" i="14"/>
  <c r="L200" i="14"/>
  <c r="L204" i="14" s="1"/>
  <c r="K217" i="14"/>
  <c r="K218" i="14" s="1"/>
  <c r="J395" i="21"/>
  <c r="K226" i="14"/>
  <c r="I248" i="14"/>
  <c r="I250" i="14"/>
  <c r="I251" i="14" s="1"/>
  <c r="U381" i="21"/>
  <c r="N381" i="21"/>
  <c r="L761" i="21"/>
  <c r="L757" i="21"/>
  <c r="Q284" i="14"/>
  <c r="Q287" i="14" s="1"/>
  <c r="P300" i="14"/>
  <c r="P301" i="14" s="1"/>
  <c r="P288" i="14"/>
  <c r="DH58" i="30"/>
  <c r="P309" i="14"/>
  <c r="G161" i="14"/>
  <c r="G163" i="14"/>
  <c r="G164" i="14" s="1"/>
  <c r="N551" i="21"/>
  <c r="P551" i="21" s="1"/>
  <c r="U551" i="21"/>
  <c r="W551" i="21" s="1"/>
  <c r="M97" i="14"/>
  <c r="N78" i="14"/>
  <c r="N94" i="14" s="1"/>
  <c r="M118" i="14"/>
  <c r="G101" i="14"/>
  <c r="L389" i="21"/>
  <c r="L392" i="21"/>
  <c r="L388" i="21"/>
  <c r="I276" i="14"/>
  <c r="I234" i="14"/>
  <c r="I192" i="14"/>
  <c r="I136" i="14"/>
  <c r="I63" i="14"/>
  <c r="J5" i="14"/>
  <c r="V329" i="14"/>
  <c r="W325" i="14"/>
  <c r="W328" i="14" s="1"/>
  <c r="V341" i="14"/>
  <c r="Y26" i="8"/>
  <c r="Z25" i="8"/>
  <c r="Y57" i="8"/>
  <c r="Y58" i="8" s="1"/>
  <c r="N101" i="8"/>
  <c r="O5" i="8"/>
  <c r="DB268" i="36"/>
  <c r="CX282" i="36"/>
  <c r="CY271" i="36"/>
  <c r="CX272" i="36"/>
  <c r="CF27" i="30"/>
  <c r="CF48" i="30" s="1"/>
  <c r="CF40" i="30"/>
  <c r="CI214" i="36"/>
  <c r="CQ208" i="36"/>
  <c r="CL213" i="36"/>
  <c r="CQ213" i="36" s="1"/>
  <c r="CL214" i="36"/>
  <c r="CQ214" i="36" s="1"/>
  <c r="CA202" i="36"/>
  <c r="BW213" i="36"/>
  <c r="BO202" i="36"/>
  <c r="BO203" i="36"/>
  <c r="CE40" i="30"/>
  <c r="CE27" i="30"/>
  <c r="CK27" i="30"/>
  <c r="CK40" i="30"/>
  <c r="BK204" i="36"/>
  <c r="BK212" i="36"/>
  <c r="CM211" i="36"/>
  <c r="CI211" i="36"/>
  <c r="BW203" i="36"/>
  <c r="BG204" i="36"/>
  <c r="BC204" i="36"/>
  <c r="BS213" i="36"/>
  <c r="CO40" i="30"/>
  <c r="B30" i="88" s="1"/>
  <c r="CO27" i="30"/>
  <c r="CM153" i="36"/>
  <c r="CB27" i="30"/>
  <c r="CB40" i="30"/>
  <c r="CJ40" i="30"/>
  <c r="C30" i="88" s="1"/>
  <c r="CJ27" i="30"/>
  <c r="BW202" i="36"/>
  <c r="BW40" i="30"/>
  <c r="BW27" i="30"/>
  <c r="BW48" i="30" s="1"/>
  <c r="CQ198" i="36"/>
  <c r="CL204" i="36"/>
  <c r="CQ204" i="36" s="1"/>
  <c r="CL203" i="36"/>
  <c r="CQ203" i="36" s="1"/>
  <c r="CH40" i="30"/>
  <c r="CH27" i="30"/>
  <c r="CQ40" i="30"/>
  <c r="CQ27" i="30"/>
  <c r="CM198" i="36"/>
  <c r="CM181" i="36"/>
  <c r="BX27" i="30"/>
  <c r="BX48" i="30" s="1"/>
  <c r="BX40" i="30"/>
  <c r="CM213" i="36"/>
  <c r="CI213" i="36"/>
  <c r="CP40" i="30"/>
  <c r="CP27" i="30"/>
  <c r="CG27" i="30"/>
  <c r="CG40" i="30"/>
  <c r="BK213" i="36"/>
  <c r="BG213" i="36"/>
  <c r="BU27" i="30"/>
  <c r="BU48" i="30" s="1"/>
  <c r="BU40" i="30"/>
  <c r="BO212" i="36"/>
  <c r="BG202" i="36"/>
  <c r="BC202" i="36"/>
  <c r="BZ40" i="30"/>
  <c r="BZ27" i="30"/>
  <c r="CM204" i="36"/>
  <c r="CM152" i="36"/>
  <c r="CL27" i="30"/>
  <c r="CL40" i="30"/>
  <c r="CM40" i="30"/>
  <c r="CM27" i="30"/>
  <c r="CA214" i="36"/>
  <c r="BW212" i="36"/>
  <c r="CL260" i="36"/>
  <c r="CL212" i="36"/>
  <c r="CQ212" i="36" s="1"/>
  <c r="CL202" i="36"/>
  <c r="CQ202" i="36" s="1"/>
  <c r="CQ151" i="36"/>
  <c r="BK203" i="36"/>
  <c r="BG203" i="36"/>
  <c r="CM201" i="36"/>
  <c r="CI201" i="36"/>
  <c r="H29" i="88"/>
  <c r="G29" i="88"/>
  <c r="H43" i="88"/>
  <c r="H41" i="88"/>
  <c r="H42" i="88"/>
  <c r="H44" i="88"/>
  <c r="CX283" i="36"/>
  <c r="BO214" i="36"/>
  <c r="BK214" i="36"/>
  <c r="K212" i="36"/>
  <c r="BG212" i="36"/>
  <c r="BC212" i="36"/>
  <c r="BO204" i="36"/>
  <c r="CC27" i="30"/>
  <c r="CC40" i="30"/>
  <c r="CM203" i="36"/>
  <c r="CI203" i="36"/>
  <c r="CM151" i="36"/>
  <c r="G28" i="88"/>
  <c r="H28" i="88"/>
  <c r="BV40" i="30"/>
  <c r="BV27" i="30"/>
  <c r="CI202" i="36"/>
  <c r="G4" i="88"/>
  <c r="H4" i="88"/>
  <c r="H40" i="88" s="1"/>
  <c r="B21" i="88"/>
  <c r="H19" i="88"/>
  <c r="G19" i="88"/>
  <c r="U342" i="14" l="1"/>
  <c r="CG48" i="30"/>
  <c r="CP48" i="30"/>
  <c r="CE48" i="30"/>
  <c r="CC48" i="30"/>
  <c r="CM48" i="30"/>
  <c r="BZ48" i="30"/>
  <c r="DO120" i="36"/>
  <c r="DN126" i="36"/>
  <c r="DO126" i="36" s="1"/>
  <c r="DN125" i="36"/>
  <c r="DO125" i="36" s="1"/>
  <c r="CQ48" i="30"/>
  <c r="J127" i="60"/>
  <c r="K126" i="60"/>
  <c r="L126" i="60"/>
  <c r="J92" i="60"/>
  <c r="R92" i="60"/>
  <c r="O128" i="60"/>
  <c r="S127" i="60"/>
  <c r="S92" i="60"/>
  <c r="T126" i="60"/>
  <c r="AA9" i="60"/>
  <c r="Z74" i="60"/>
  <c r="Z110" i="60" s="1"/>
  <c r="Z147" i="60" s="1"/>
  <c r="W124" i="60"/>
  <c r="X88" i="60"/>
  <c r="U126" i="60"/>
  <c r="V90" i="60"/>
  <c r="N94" i="60"/>
  <c r="V125" i="60"/>
  <c r="W89" i="60"/>
  <c r="J125" i="60"/>
  <c r="K124" i="60"/>
  <c r="L124" i="60"/>
  <c r="H126" i="60"/>
  <c r="I125" i="60"/>
  <c r="H91" i="60"/>
  <c r="Y121" i="60"/>
  <c r="Z85" i="60"/>
  <c r="Q125" i="60"/>
  <c r="R124" i="60"/>
  <c r="Q90" i="60"/>
  <c r="R11" i="60"/>
  <c r="S8" i="60"/>
  <c r="T94" i="60"/>
  <c r="I97" i="60"/>
  <c r="Y122" i="60"/>
  <c r="Z86" i="60"/>
  <c r="M129" i="60"/>
  <c r="M94" i="60"/>
  <c r="N129" i="60" s="1"/>
  <c r="O97" i="60"/>
  <c r="AB118" i="60"/>
  <c r="Q31" i="60"/>
  <c r="J126" i="60"/>
  <c r="L125" i="60"/>
  <c r="K125" i="60"/>
  <c r="P129" i="60"/>
  <c r="P94" i="60"/>
  <c r="P130" i="60" s="1"/>
  <c r="P95" i="60"/>
  <c r="X123" i="60"/>
  <c r="Y87" i="60"/>
  <c r="U91" i="60"/>
  <c r="K74" i="60"/>
  <c r="K110" i="60" s="1"/>
  <c r="K147" i="60" s="1"/>
  <c r="J9" i="60"/>
  <c r="S126" i="60"/>
  <c r="N128" i="60"/>
  <c r="O127" i="60"/>
  <c r="L94" i="60"/>
  <c r="Z120" i="60"/>
  <c r="AA84" i="60"/>
  <c r="K96" i="60"/>
  <c r="AA119" i="60"/>
  <c r="AB83" i="60"/>
  <c r="AB119" i="60" s="1"/>
  <c r="N465" i="21"/>
  <c r="P465" i="21" s="1"/>
  <c r="U465" i="21"/>
  <c r="W465" i="21" s="1"/>
  <c r="DN162" i="40"/>
  <c r="CY162" i="40"/>
  <c r="DJ162" i="40"/>
  <c r="DI162" i="40"/>
  <c r="DL162" i="40"/>
  <c r="DM162" i="40"/>
  <c r="CP231" i="40"/>
  <c r="M174" i="40"/>
  <c r="K175" i="40"/>
  <c r="L176" i="40" s="1"/>
  <c r="D174" i="40"/>
  <c r="AV180" i="40"/>
  <c r="AT181" i="40"/>
  <c r="J810" i="21"/>
  <c r="L282" i="21"/>
  <c r="N279" i="21"/>
  <c r="P279" i="21" s="1"/>
  <c r="U279" i="21"/>
  <c r="BA175" i="40"/>
  <c r="BC174" i="40"/>
  <c r="U286" i="21"/>
  <c r="N286" i="21"/>
  <c r="P286" i="21" s="1"/>
  <c r="W632" i="21"/>
  <c r="W462" i="21"/>
  <c r="CW167" i="40"/>
  <c r="DF167" i="40" s="1"/>
  <c r="F167" i="40"/>
  <c r="P161" i="14"/>
  <c r="P163" i="14"/>
  <c r="P164" i="14" s="1"/>
  <c r="EE155" i="40"/>
  <c r="ED155" i="40"/>
  <c r="ED156" i="40" s="1"/>
  <c r="N469" i="21"/>
  <c r="P469" i="21" s="1"/>
  <c r="U469" i="21"/>
  <c r="BO210" i="40"/>
  <c r="BP211" i="40" s="1"/>
  <c r="EA211" i="40" s="1"/>
  <c r="T176" i="40"/>
  <c r="K181" i="40"/>
  <c r="D180" i="40"/>
  <c r="M180" i="40"/>
  <c r="W239" i="21"/>
  <c r="U240" i="21"/>
  <c r="CA174" i="40"/>
  <c r="BY175" i="40"/>
  <c r="CH161" i="40"/>
  <c r="Z870" i="21"/>
  <c r="AB870" i="21" s="1"/>
  <c r="L471" i="21"/>
  <c r="CY166" i="40"/>
  <c r="CX166" i="40"/>
  <c r="EG166" i="40" s="1"/>
  <c r="DN166" i="40"/>
  <c r="DJ166" i="40"/>
  <c r="DL166" i="40"/>
  <c r="DM166" i="40"/>
  <c r="DI166" i="40"/>
  <c r="CY156" i="40"/>
  <c r="DC156" i="40"/>
  <c r="DJ156" i="40"/>
  <c r="DM156" i="40"/>
  <c r="DL156" i="40"/>
  <c r="DI156" i="40"/>
  <c r="DK156" i="40"/>
  <c r="AM621" i="21"/>
  <c r="AM614" i="21"/>
  <c r="N464" i="21"/>
  <c r="P464" i="21" s="1"/>
  <c r="U464" i="21"/>
  <c r="W464" i="21" s="1"/>
  <c r="Y181" i="40"/>
  <c r="AA180" i="40"/>
  <c r="J299" i="21"/>
  <c r="AO161" i="40"/>
  <c r="J634" i="21"/>
  <c r="AF182" i="40"/>
  <c r="AH181" i="40"/>
  <c r="J477" i="21"/>
  <c r="L477" i="21" s="1"/>
  <c r="BX208" i="40"/>
  <c r="BV209" i="40"/>
  <c r="AT183" i="40"/>
  <c r="AT191" i="40"/>
  <c r="AT187" i="40"/>
  <c r="AW184" i="40"/>
  <c r="AV184" i="40"/>
  <c r="U280" i="21"/>
  <c r="N280" i="21"/>
  <c r="P280" i="21" s="1"/>
  <c r="CP237" i="40"/>
  <c r="L288" i="21"/>
  <c r="L466" i="21"/>
  <c r="N466" i="21" s="1"/>
  <c r="P466" i="21" s="1"/>
  <c r="BC168" i="40"/>
  <c r="AM168" i="40"/>
  <c r="AN169" i="40" s="1"/>
  <c r="DW169" i="40" s="1"/>
  <c r="DK167" i="40"/>
  <c r="AO167" i="40"/>
  <c r="J640" i="21"/>
  <c r="L640" i="21" s="1"/>
  <c r="N627" i="21"/>
  <c r="P627" i="21" s="1"/>
  <c r="U627" i="21"/>
  <c r="W627" i="21" s="1"/>
  <c r="BC180" i="40"/>
  <c r="BA181" i="40"/>
  <c r="BA187" i="40"/>
  <c r="BA183" i="40"/>
  <c r="BC184" i="40"/>
  <c r="BE184" i="40"/>
  <c r="AV168" i="40"/>
  <c r="J798" i="21"/>
  <c r="L798" i="21" s="1"/>
  <c r="N798" i="21" s="1"/>
  <c r="P798" i="21" s="1"/>
  <c r="D168" i="40"/>
  <c r="M168" i="40"/>
  <c r="CX154" i="40"/>
  <c r="EG154" i="40" s="1"/>
  <c r="CY154" i="40"/>
  <c r="DJ154" i="40"/>
  <c r="DI154" i="40"/>
  <c r="DM154" i="40"/>
  <c r="DL154" i="40"/>
  <c r="BV203" i="40"/>
  <c r="BX203" i="40" s="1"/>
  <c r="BX202" i="40"/>
  <c r="U459" i="21"/>
  <c r="W459" i="21" s="1"/>
  <c r="DK162" i="40"/>
  <c r="L470" i="21"/>
  <c r="L473" i="21" s="1"/>
  <c r="N473" i="21" s="1"/>
  <c r="P473" i="21" s="1"/>
  <c r="R145" i="14"/>
  <c r="R157" i="14" s="1"/>
  <c r="DI55" i="30"/>
  <c r="CY160" i="40"/>
  <c r="CX160" i="40"/>
  <c r="EG160" i="40" s="1"/>
  <c r="DN160" i="40"/>
  <c r="DJ160" i="40"/>
  <c r="DL160" i="40"/>
  <c r="DI160" i="40"/>
  <c r="DM160" i="40"/>
  <c r="R181" i="40"/>
  <c r="T180" i="40"/>
  <c r="Y175" i="40"/>
  <c r="Z176" i="40" s="1"/>
  <c r="DU176" i="40" s="1"/>
  <c r="AA174" i="40"/>
  <c r="J293" i="21"/>
  <c r="L293" i="21" s="1"/>
  <c r="AG183" i="40"/>
  <c r="DV183" i="40" s="1"/>
  <c r="AH183" i="40"/>
  <c r="J479" i="21"/>
  <c r="M176" i="40"/>
  <c r="D176" i="40"/>
  <c r="DF169" i="40"/>
  <c r="D170" i="40"/>
  <c r="CW169" i="40"/>
  <c r="F169" i="40"/>
  <c r="BW197" i="40"/>
  <c r="L803" i="21"/>
  <c r="DK169" i="40"/>
  <c r="AO169" i="40"/>
  <c r="J642" i="21"/>
  <c r="AO173" i="40"/>
  <c r="AM174" i="40"/>
  <c r="J646" i="21"/>
  <c r="L646" i="21" s="1"/>
  <c r="AM612" i="21"/>
  <c r="AM619" i="21"/>
  <c r="AA176" i="40"/>
  <c r="J295" i="21"/>
  <c r="Y183" i="40"/>
  <c r="Y187" i="40"/>
  <c r="AA184" i="40"/>
  <c r="AC184" i="40"/>
  <c r="BX204" i="40"/>
  <c r="BV219" i="40"/>
  <c r="BV211" i="40"/>
  <c r="BV215" i="40"/>
  <c r="BX212" i="40"/>
  <c r="CP247" i="40"/>
  <c r="CP243" i="40"/>
  <c r="CP239" i="40"/>
  <c r="CS240" i="40"/>
  <c r="CS243" i="40" s="1"/>
  <c r="CS244" i="40" s="1"/>
  <c r="CS245" i="40" s="1"/>
  <c r="CS246" i="40" s="1"/>
  <c r="CI222" i="40"/>
  <c r="CJ219" i="40"/>
  <c r="L476" i="21"/>
  <c r="L472" i="21"/>
  <c r="N246" i="21"/>
  <c r="P246" i="21" s="1"/>
  <c r="U246" i="21"/>
  <c r="U247" i="21" s="1"/>
  <c r="W247" i="21" s="1"/>
  <c r="N253" i="21"/>
  <c r="P253" i="21" s="1"/>
  <c r="L799" i="21"/>
  <c r="N799" i="21" s="1"/>
  <c r="P799" i="21" s="1"/>
  <c r="N639" i="21"/>
  <c r="P639" i="21" s="1"/>
  <c r="U639" i="21"/>
  <c r="N281" i="21"/>
  <c r="P281" i="21" s="1"/>
  <c r="U281" i="21"/>
  <c r="T344" i="14"/>
  <c r="T345" i="14" s="1"/>
  <c r="T336" i="14"/>
  <c r="T352" i="14" s="1"/>
  <c r="U273" i="21"/>
  <c r="N273" i="21"/>
  <c r="P273" i="21" s="1"/>
  <c r="L275" i="21"/>
  <c r="BT212" i="40"/>
  <c r="AA172" i="14"/>
  <c r="DF154" i="40"/>
  <c r="L793" i="21"/>
  <c r="N793" i="21" s="1"/>
  <c r="P793" i="21" s="1"/>
  <c r="W243" i="21"/>
  <c r="BY180" i="40"/>
  <c r="CA177" i="40"/>
  <c r="BJ190" i="40"/>
  <c r="BH191" i="40"/>
  <c r="R187" i="40"/>
  <c r="T184" i="40"/>
  <c r="R183" i="40"/>
  <c r="V184" i="40"/>
  <c r="L292" i="21"/>
  <c r="AF188" i="40"/>
  <c r="AH187" i="40"/>
  <c r="J483" i="21"/>
  <c r="L483" i="21" s="1"/>
  <c r="L169" i="40"/>
  <c r="AM180" i="40"/>
  <c r="AO177" i="40"/>
  <c r="AM176" i="40"/>
  <c r="AM184" i="40"/>
  <c r="AQ177" i="40"/>
  <c r="CW163" i="40"/>
  <c r="DF163" i="40" s="1"/>
  <c r="E163" i="40"/>
  <c r="CX163" i="40" s="1"/>
  <c r="F163" i="40"/>
  <c r="H163" i="40"/>
  <c r="AH175" i="40"/>
  <c r="J471" i="21"/>
  <c r="S146" i="14"/>
  <c r="S158" i="14" s="1"/>
  <c r="DJ59" i="30"/>
  <c r="AD615" i="21"/>
  <c r="AF615" i="21" s="1"/>
  <c r="AD622" i="21"/>
  <c r="AF622" i="21" s="1"/>
  <c r="F161" i="40"/>
  <c r="CW161" i="40"/>
  <c r="CX162" i="40" s="1"/>
  <c r="U633" i="21"/>
  <c r="W633" i="21" s="1"/>
  <c r="N633" i="21"/>
  <c r="P633" i="21" s="1"/>
  <c r="F173" i="40"/>
  <c r="CW173" i="40"/>
  <c r="DF173" i="40" s="1"/>
  <c r="AV176" i="40"/>
  <c r="J806" i="21"/>
  <c r="L800" i="21"/>
  <c r="N800" i="21" s="1"/>
  <c r="P800" i="21" s="1"/>
  <c r="N796" i="21"/>
  <c r="P796" i="21" s="1"/>
  <c r="N285" i="21"/>
  <c r="P285" i="21" s="1"/>
  <c r="U285" i="21"/>
  <c r="AB871" i="21"/>
  <c r="L254" i="21"/>
  <c r="N254" i="21" s="1"/>
  <c r="P254" i="21" s="1"/>
  <c r="U250" i="21"/>
  <c r="N250" i="21"/>
  <c r="P250" i="21" s="1"/>
  <c r="N257" i="21"/>
  <c r="P257" i="21" s="1"/>
  <c r="DK166" i="40"/>
  <c r="BB176" i="40"/>
  <c r="DY176" i="40" s="1"/>
  <c r="BC176" i="40"/>
  <c r="U336" i="14"/>
  <c r="U348" i="14" s="1"/>
  <c r="U320" i="14" s="1"/>
  <c r="U319" i="14" s="1"/>
  <c r="V336" i="14"/>
  <c r="V348" i="14" s="1"/>
  <c r="V320" i="14" s="1"/>
  <c r="N274" i="21"/>
  <c r="P274" i="21" s="1"/>
  <c r="U274" i="21"/>
  <c r="W274" i="21" s="1"/>
  <c r="BO216" i="40"/>
  <c r="T174" i="40"/>
  <c r="R175" i="40"/>
  <c r="T175" i="40" s="1"/>
  <c r="Q160" i="14"/>
  <c r="Q175" i="14"/>
  <c r="Q176" i="14" s="1"/>
  <c r="R144" i="14"/>
  <c r="R156" i="14" s="1"/>
  <c r="J260" i="21"/>
  <c r="Q184" i="14"/>
  <c r="BZ191" i="40"/>
  <c r="BY184" i="40"/>
  <c r="AN162" i="40"/>
  <c r="DW162" i="40" s="1"/>
  <c r="ED162" i="40" s="1"/>
  <c r="ED163" i="40" s="1"/>
  <c r="BB169" i="40"/>
  <c r="DY169" i="40" s="1"/>
  <c r="L628" i="21"/>
  <c r="L629" i="21" s="1"/>
  <c r="AA168" i="40"/>
  <c r="J287" i="21"/>
  <c r="L287" i="21" s="1"/>
  <c r="L872" i="21"/>
  <c r="N872" i="21" s="1"/>
  <c r="P872" i="21" s="1"/>
  <c r="AK615" i="21"/>
  <c r="AM620" i="21"/>
  <c r="AM613" i="21"/>
  <c r="M184" i="40"/>
  <c r="K191" i="40"/>
  <c r="K187" i="40"/>
  <c r="K183" i="40"/>
  <c r="O184" i="40"/>
  <c r="AV174" i="40"/>
  <c r="AT175" i="40"/>
  <c r="J804" i="21"/>
  <c r="L804" i="21" s="1"/>
  <c r="N804" i="21" s="1"/>
  <c r="P804" i="21" s="1"/>
  <c r="E162" i="40"/>
  <c r="AB6" i="31"/>
  <c r="BB7" i="35"/>
  <c r="AF92" i="3"/>
  <c r="AF93" i="3" s="1"/>
  <c r="AF15" i="3"/>
  <c r="AF27" i="3" s="1"/>
  <c r="AH62" i="32"/>
  <c r="AH64" i="32" s="1"/>
  <c r="AH9" i="3"/>
  <c r="AD83" i="3"/>
  <c r="AD87" i="3" s="1"/>
  <c r="AD63" i="3"/>
  <c r="AD64" i="3" s="1"/>
  <c r="AD82" i="3"/>
  <c r="AZ98" i="3"/>
  <c r="BB96" i="3"/>
  <c r="BP99" i="3"/>
  <c r="BN100" i="3"/>
  <c r="N757" i="21"/>
  <c r="P757" i="21" s="1"/>
  <c r="N764" i="21"/>
  <c r="P764" i="21" s="1"/>
  <c r="J317" i="14"/>
  <c r="J276" i="14"/>
  <c r="J234" i="14"/>
  <c r="J192" i="14"/>
  <c r="J136" i="14"/>
  <c r="J63" i="14"/>
  <c r="K5" i="14"/>
  <c r="U389" i="21"/>
  <c r="N389" i="21"/>
  <c r="N118" i="14"/>
  <c r="O78" i="14"/>
  <c r="O94" i="14" s="1"/>
  <c r="N97" i="14"/>
  <c r="P289" i="14"/>
  <c r="P291" i="14"/>
  <c r="P292" i="14" s="1"/>
  <c r="N768" i="21"/>
  <c r="P768" i="21" s="1"/>
  <c r="N761" i="21"/>
  <c r="P761" i="21" s="1"/>
  <c r="L765" i="21"/>
  <c r="L758" i="21"/>
  <c r="N758" i="21" s="1"/>
  <c r="P758" i="21" s="1"/>
  <c r="K247" i="14"/>
  <c r="L242" i="14"/>
  <c r="L246" i="14" s="1"/>
  <c r="J572" i="21"/>
  <c r="K259" i="14"/>
  <c r="K260" i="14" s="1"/>
  <c r="K268" i="14"/>
  <c r="U276" i="14"/>
  <c r="U317" i="14"/>
  <c r="U234" i="14"/>
  <c r="U192" i="14"/>
  <c r="U136" i="14"/>
  <c r="U63" i="14"/>
  <c r="V5" i="14"/>
  <c r="N562" i="21"/>
  <c r="P562" i="21" s="1"/>
  <c r="U562" i="21"/>
  <c r="W562" i="21" s="1"/>
  <c r="L21" i="21"/>
  <c r="N21" i="21" s="1"/>
  <c r="L25" i="21"/>
  <c r="V330" i="14"/>
  <c r="L22" i="21"/>
  <c r="N22" i="21" s="1"/>
  <c r="N18" i="21"/>
  <c r="H161" i="14"/>
  <c r="H163" i="14"/>
  <c r="H164" i="14" s="1"/>
  <c r="L205" i="14"/>
  <c r="M200" i="14"/>
  <c r="M204" i="14" s="1"/>
  <c r="J402" i="21"/>
  <c r="L226" i="14"/>
  <c r="L217" i="14"/>
  <c r="L218" i="14" s="1"/>
  <c r="J117" i="14"/>
  <c r="J102" i="14"/>
  <c r="J96" i="14"/>
  <c r="J92" i="14"/>
  <c r="K77" i="14"/>
  <c r="K93" i="14" s="1"/>
  <c r="L565" i="21"/>
  <c r="L569" i="21"/>
  <c r="L566" i="21"/>
  <c r="L201" i="21"/>
  <c r="L197" i="21"/>
  <c r="L198" i="21"/>
  <c r="N198" i="21" s="1"/>
  <c r="U558" i="21"/>
  <c r="W558" i="21" s="1"/>
  <c r="N558" i="21"/>
  <c r="P558" i="21" s="1"/>
  <c r="H98" i="14"/>
  <c r="H100" i="14"/>
  <c r="H101" i="14" s="1"/>
  <c r="N392" i="21"/>
  <c r="P392" i="21" s="1"/>
  <c r="U392" i="21"/>
  <c r="W392" i="21" s="1"/>
  <c r="L395" i="21"/>
  <c r="L399" i="21"/>
  <c r="W329" i="14"/>
  <c r="X325" i="14"/>
  <c r="X328" i="14" s="1"/>
  <c r="W341" i="14"/>
  <c r="N388" i="21"/>
  <c r="P388" i="21" s="1"/>
  <c r="U388" i="21"/>
  <c r="W388" i="21" s="1"/>
  <c r="Q288" i="14"/>
  <c r="R284" i="14"/>
  <c r="R287" i="14" s="1"/>
  <c r="J771" i="21"/>
  <c r="DI58" i="30"/>
  <c r="Q300" i="14"/>
  <c r="Q301" i="14" s="1"/>
  <c r="Q309" i="14"/>
  <c r="K206" i="14"/>
  <c r="K208" i="14"/>
  <c r="K209" i="14" s="1"/>
  <c r="N194" i="21"/>
  <c r="P194" i="21" s="1"/>
  <c r="U194" i="21"/>
  <c r="W194" i="21" s="1"/>
  <c r="I95" i="14"/>
  <c r="J76" i="14"/>
  <c r="J28" i="21"/>
  <c r="I128" i="14"/>
  <c r="I115" i="14"/>
  <c r="I116" i="14" s="1"/>
  <c r="J248" i="14"/>
  <c r="J250" i="14"/>
  <c r="J251" i="14" s="1"/>
  <c r="I160" i="14"/>
  <c r="J144" i="14"/>
  <c r="J156" i="14" s="1"/>
  <c r="J204" i="21"/>
  <c r="I184" i="14"/>
  <c r="I175" i="14"/>
  <c r="I176" i="14" s="1"/>
  <c r="O101" i="8"/>
  <c r="P5" i="8"/>
  <c r="AL25" i="8"/>
  <c r="Z26" i="8"/>
  <c r="AA25" i="8"/>
  <c r="Z57" i="8"/>
  <c r="Z58" i="8" s="1"/>
  <c r="CB48" i="30"/>
  <c r="CM212" i="36"/>
  <c r="BV48" i="30"/>
  <c r="CA48" i="30"/>
  <c r="CL48" i="30"/>
  <c r="CM214" i="36"/>
  <c r="H30" i="88"/>
  <c r="G30" i="88"/>
  <c r="DC268" i="36"/>
  <c r="DB279" i="36"/>
  <c r="DB273" i="36"/>
  <c r="DB269" i="36"/>
  <c r="CM202" i="36"/>
  <c r="CH48" i="30"/>
  <c r="CJ48" i="30"/>
  <c r="C37" i="88" s="1"/>
  <c r="CO48" i="30"/>
  <c r="B37" i="88" s="1"/>
  <c r="CK48" i="30"/>
  <c r="H46" i="88"/>
  <c r="G21" i="88"/>
  <c r="H21" i="88"/>
  <c r="U466" i="21" l="1"/>
  <c r="I98" i="60"/>
  <c r="R31" i="60"/>
  <c r="H127" i="60"/>
  <c r="H92" i="60"/>
  <c r="I126" i="60"/>
  <c r="AA74" i="60"/>
  <c r="AA110" i="60" s="1"/>
  <c r="AA147" i="60" s="1"/>
  <c r="AB9" i="60"/>
  <c r="AB74" i="60" s="1"/>
  <c r="AB110" i="60" s="1"/>
  <c r="AB147" i="60" s="1"/>
  <c r="J128" i="60"/>
  <c r="K127" i="60"/>
  <c r="L127" i="60"/>
  <c r="J93" i="60"/>
  <c r="AA120" i="60"/>
  <c r="AB84" i="60"/>
  <c r="O98" i="60"/>
  <c r="Z122" i="60"/>
  <c r="AA86" i="60"/>
  <c r="Q126" i="60"/>
  <c r="Q91" i="60"/>
  <c r="R125" i="60"/>
  <c r="Z121" i="60"/>
  <c r="AA85" i="60"/>
  <c r="O129" i="60"/>
  <c r="N95" i="60"/>
  <c r="X124" i="60"/>
  <c r="Y88" i="60"/>
  <c r="R93" i="60"/>
  <c r="J74" i="60"/>
  <c r="J110" i="60" s="1"/>
  <c r="J147" i="60" s="1"/>
  <c r="I9" i="60"/>
  <c r="U127" i="60"/>
  <c r="V91" i="60"/>
  <c r="U92" i="60"/>
  <c r="P131" i="60"/>
  <c r="P96" i="60"/>
  <c r="T95" i="60"/>
  <c r="T8" i="60"/>
  <c r="S11" i="60"/>
  <c r="S128" i="60"/>
  <c r="S93" i="60"/>
  <c r="T127" i="60"/>
  <c r="K97" i="60"/>
  <c r="L95" i="60"/>
  <c r="Y123" i="60"/>
  <c r="Z87" i="60"/>
  <c r="M130" i="60"/>
  <c r="M95" i="60"/>
  <c r="N130" i="60" s="1"/>
  <c r="W125" i="60"/>
  <c r="X89" i="60"/>
  <c r="V126" i="60"/>
  <c r="W90" i="60"/>
  <c r="DS176" i="40"/>
  <c r="D183" i="40"/>
  <c r="M183" i="40"/>
  <c r="N287" i="21"/>
  <c r="P287" i="21" s="1"/>
  <c r="U287" i="21"/>
  <c r="W287" i="21" s="1"/>
  <c r="Q161" i="14"/>
  <c r="Q163" i="14"/>
  <c r="Q164" i="14" s="1"/>
  <c r="BO217" i="40"/>
  <c r="U344" i="14"/>
  <c r="U345" i="14" s="1"/>
  <c r="V319" i="14"/>
  <c r="U118" i="8"/>
  <c r="U332" i="14"/>
  <c r="U333" i="14" s="1"/>
  <c r="L289" i="21"/>
  <c r="N289" i="21" s="1"/>
  <c r="P289" i="21" s="1"/>
  <c r="L806" i="21"/>
  <c r="N806" i="21" s="1"/>
  <c r="P806" i="21" s="1"/>
  <c r="EE162" i="40"/>
  <c r="AO176" i="40"/>
  <c r="J649" i="21"/>
  <c r="DS169" i="40"/>
  <c r="E169" i="40"/>
  <c r="AH188" i="40"/>
  <c r="AF189" i="40"/>
  <c r="J484" i="21"/>
  <c r="L484" i="21" s="1"/>
  <c r="W639" i="21"/>
  <c r="U476" i="21"/>
  <c r="N476" i="21"/>
  <c r="P476" i="21" s="1"/>
  <c r="CI223" i="40"/>
  <c r="CP244" i="40"/>
  <c r="BV216" i="40"/>
  <c r="BX215" i="40"/>
  <c r="BW204" i="40"/>
  <c r="CY169" i="40"/>
  <c r="DN169" i="40"/>
  <c r="DJ169" i="40"/>
  <c r="DL169" i="40"/>
  <c r="DI169" i="40"/>
  <c r="DM169" i="40"/>
  <c r="DJ55" i="30"/>
  <c r="S145" i="14"/>
  <c r="S157" i="14" s="1"/>
  <c r="BC183" i="40"/>
  <c r="U640" i="21"/>
  <c r="W640" i="21" s="1"/>
  <c r="N640" i="21"/>
  <c r="P640" i="21" s="1"/>
  <c r="AT190" i="40"/>
  <c r="AT194" i="40"/>
  <c r="AW191" i="40"/>
  <c r="AT198" i="40"/>
  <c r="AH182" i="40"/>
  <c r="J478" i="21"/>
  <c r="L299" i="21"/>
  <c r="S176" i="40"/>
  <c r="DT176" i="40" s="1"/>
  <c r="EF155" i="40"/>
  <c r="EG155" i="40" s="1"/>
  <c r="EE156" i="40"/>
  <c r="EF156" i="40" s="1"/>
  <c r="EG156" i="40" s="1"/>
  <c r="AV181" i="40"/>
  <c r="AT182" i="40"/>
  <c r="J811" i="21"/>
  <c r="L811" i="21" s="1"/>
  <c r="N811" i="21" s="1"/>
  <c r="AV175" i="40"/>
  <c r="J805" i="21"/>
  <c r="L805" i="21" s="1"/>
  <c r="N805" i="21" s="1"/>
  <c r="P805" i="21" s="1"/>
  <c r="K188" i="40"/>
  <c r="D187" i="40"/>
  <c r="M187" i="40"/>
  <c r="L264" i="21"/>
  <c r="L260" i="21"/>
  <c r="CX173" i="40"/>
  <c r="EG173" i="40" s="1"/>
  <c r="CY173" i="40"/>
  <c r="DN173" i="40"/>
  <c r="DJ173" i="40"/>
  <c r="DI173" i="40"/>
  <c r="DM173" i="40"/>
  <c r="DL173" i="40"/>
  <c r="DN161" i="40"/>
  <c r="CY161" i="40"/>
  <c r="CX161" i="40"/>
  <c r="EG161" i="40" s="1"/>
  <c r="DJ161" i="40"/>
  <c r="DI161" i="40"/>
  <c r="DM161" i="40"/>
  <c r="DL161" i="40"/>
  <c r="U483" i="21"/>
  <c r="N483" i="21"/>
  <c r="P483" i="21" s="1"/>
  <c r="N292" i="21"/>
  <c r="P292" i="21" s="1"/>
  <c r="U292" i="21"/>
  <c r="R188" i="40"/>
  <c r="T187" i="40"/>
  <c r="W246" i="21"/>
  <c r="W253" i="21"/>
  <c r="CP254" i="40"/>
  <c r="CP250" i="40"/>
  <c r="CP246" i="40"/>
  <c r="CS247" i="40"/>
  <c r="CS250" i="40" s="1"/>
  <c r="CS251" i="40" s="1"/>
  <c r="CS252" i="40" s="1"/>
  <c r="CS253" i="40" s="1"/>
  <c r="Y188" i="40"/>
  <c r="AA187" i="40"/>
  <c r="J306" i="21"/>
  <c r="N646" i="21"/>
  <c r="P646" i="21" s="1"/>
  <c r="U646" i="21"/>
  <c r="L807" i="21"/>
  <c r="N807" i="21" s="1"/>
  <c r="P807" i="21" s="1"/>
  <c r="N803" i="21"/>
  <c r="P803" i="21" s="1"/>
  <c r="F170" i="40"/>
  <c r="E170" i="40"/>
  <c r="CX170" i="40" s="1"/>
  <c r="DF170" i="40"/>
  <c r="CW170" i="40"/>
  <c r="H170" i="40"/>
  <c r="AA175" i="40"/>
  <c r="J294" i="21"/>
  <c r="L294" i="21" s="1"/>
  <c r="N470" i="21"/>
  <c r="P470" i="21" s="1"/>
  <c r="U470" i="21"/>
  <c r="W470" i="21" s="1"/>
  <c r="CW168" i="40"/>
  <c r="DF168" i="40" s="1"/>
  <c r="F168" i="40"/>
  <c r="BC187" i="40"/>
  <c r="BA188" i="40"/>
  <c r="CP238" i="40"/>
  <c r="AU183" i="40"/>
  <c r="AV183" i="40"/>
  <c r="J813" i="21"/>
  <c r="N477" i="21"/>
  <c r="P477" i="21" s="1"/>
  <c r="U477" i="21"/>
  <c r="W477" i="21" s="1"/>
  <c r="L635" i="21"/>
  <c r="L634" i="21"/>
  <c r="BY176" i="40"/>
  <c r="CA176" i="40" s="1"/>
  <c r="CA175" i="40"/>
  <c r="W469" i="21"/>
  <c r="N282" i="21"/>
  <c r="P282" i="21" s="1"/>
  <c r="K194" i="40"/>
  <c r="M191" i="40"/>
  <c r="O191" i="40"/>
  <c r="O198" i="40" s="1"/>
  <c r="K198" i="40"/>
  <c r="AM622" i="21"/>
  <c r="AM615" i="21"/>
  <c r="BY187" i="40"/>
  <c r="CA184" i="40"/>
  <c r="R160" i="14"/>
  <c r="S144" i="14"/>
  <c r="S156" i="14" s="1"/>
  <c r="R175" i="14"/>
  <c r="R176" i="14" s="1"/>
  <c r="R184" i="14"/>
  <c r="AD871" i="21"/>
  <c r="AF871" i="21" s="1"/>
  <c r="AK871" i="21"/>
  <c r="AM871" i="21" s="1"/>
  <c r="AU176" i="40"/>
  <c r="DX176" i="40" s="1"/>
  <c r="DF161" i="40"/>
  <c r="AM181" i="40"/>
  <c r="DK180" i="40"/>
  <c r="AO180" i="40"/>
  <c r="J653" i="21"/>
  <c r="L653" i="21" s="1"/>
  <c r="BH198" i="40"/>
  <c r="BH194" i="40"/>
  <c r="BJ191" i="40"/>
  <c r="BL191" i="40"/>
  <c r="BL198" i="40" s="1"/>
  <c r="CA180" i="40"/>
  <c r="BY181" i="40"/>
  <c r="W281" i="21"/>
  <c r="BX211" i="40"/>
  <c r="AA183" i="40"/>
  <c r="J302" i="21"/>
  <c r="AO174" i="40"/>
  <c r="AM175" i="40"/>
  <c r="J647" i="21"/>
  <c r="N293" i="21"/>
  <c r="P293" i="21" s="1"/>
  <c r="U293" i="21"/>
  <c r="W293" i="21" s="1"/>
  <c r="AW187" i="40"/>
  <c r="AW188" i="40" s="1"/>
  <c r="AW189" i="40" s="1"/>
  <c r="AY184" i="40"/>
  <c r="W297" i="14"/>
  <c r="BV210" i="40"/>
  <c r="BX210" i="40" s="1"/>
  <c r="BX209" i="40"/>
  <c r="N471" i="21"/>
  <c r="P471" i="21" s="1"/>
  <c r="U471" i="21"/>
  <c r="W471" i="21" s="1"/>
  <c r="DF180" i="40"/>
  <c r="CW180" i="40"/>
  <c r="F180" i="40"/>
  <c r="W466" i="21"/>
  <c r="W286" i="21"/>
  <c r="BC175" i="40"/>
  <c r="L810" i="21"/>
  <c r="F174" i="40"/>
  <c r="CW174" i="40"/>
  <c r="N628" i="21"/>
  <c r="P628" i="21" s="1"/>
  <c r="U628" i="21"/>
  <c r="W628" i="21" s="1"/>
  <c r="BZ198" i="40"/>
  <c r="BY191" i="40"/>
  <c r="W250" i="21"/>
  <c r="U254" i="21"/>
  <c r="W254" i="21" s="1"/>
  <c r="W257" i="21"/>
  <c r="W285" i="21"/>
  <c r="T146" i="14"/>
  <c r="T158" i="14" s="1"/>
  <c r="DK59" i="30"/>
  <c r="DN163" i="40"/>
  <c r="CY163" i="40"/>
  <c r="DC163" i="40"/>
  <c r="DJ163" i="40"/>
  <c r="DI163" i="40"/>
  <c r="DL163" i="40"/>
  <c r="DM163" i="40"/>
  <c r="DK163" i="40"/>
  <c r="AM191" i="40"/>
  <c r="AM187" i="40"/>
  <c r="AO184" i="40"/>
  <c r="AQ184" i="40"/>
  <c r="AM183" i="40"/>
  <c r="T183" i="40"/>
  <c r="S183" i="40"/>
  <c r="DT183" i="40" s="1"/>
  <c r="W273" i="21"/>
  <c r="U275" i="21"/>
  <c r="N472" i="21"/>
  <c r="P472" i="21" s="1"/>
  <c r="U472" i="21"/>
  <c r="W472" i="21" s="1"/>
  <c r="CI233" i="40"/>
  <c r="CI229" i="40"/>
  <c r="CL226" i="40"/>
  <c r="CL229" i="40" s="1"/>
  <c r="CL230" i="40" s="1"/>
  <c r="CL231" i="40" s="1"/>
  <c r="BV226" i="40"/>
  <c r="BV222" i="40"/>
  <c r="BX219" i="40"/>
  <c r="BV218" i="40"/>
  <c r="L295" i="21"/>
  <c r="DK173" i="40"/>
  <c r="CW176" i="40"/>
  <c r="DF176" i="40" s="1"/>
  <c r="D177" i="40"/>
  <c r="F176" i="40"/>
  <c r="R182" i="40"/>
  <c r="T182" i="40" s="1"/>
  <c r="T181" i="40"/>
  <c r="BA182" i="40"/>
  <c r="BC181" i="40"/>
  <c r="AO168" i="40"/>
  <c r="DK168" i="40"/>
  <c r="J641" i="21"/>
  <c r="N288" i="21"/>
  <c r="P288" i="21" s="1"/>
  <c r="U288" i="21"/>
  <c r="W288" i="21" s="1"/>
  <c r="W280" i="21"/>
  <c r="AT188" i="40"/>
  <c r="DK161" i="40"/>
  <c r="Y182" i="40"/>
  <c r="AA181" i="40"/>
  <c r="J300" i="21"/>
  <c r="L300" i="21" s="1"/>
  <c r="AB872" i="21"/>
  <c r="AD872" i="21" s="1"/>
  <c r="AF872" i="21" s="1"/>
  <c r="AD870" i="21"/>
  <c r="AF870" i="21" s="1"/>
  <c r="AK870" i="21"/>
  <c r="K182" i="40"/>
  <c r="L183" i="40" s="1"/>
  <c r="M181" i="40"/>
  <c r="D181" i="40"/>
  <c r="CY167" i="40"/>
  <c r="CX167" i="40"/>
  <c r="EG167" i="40" s="1"/>
  <c r="DN167" i="40"/>
  <c r="DJ167" i="40"/>
  <c r="DL167" i="40"/>
  <c r="DM167" i="40"/>
  <c r="DI167" i="40"/>
  <c r="W279" i="21"/>
  <c r="U282" i="21"/>
  <c r="D175" i="40"/>
  <c r="M175" i="40"/>
  <c r="AD6" i="31"/>
  <c r="BF7" i="35"/>
  <c r="AH92" i="3"/>
  <c r="AH93" i="3" s="1"/>
  <c r="AH15" i="3"/>
  <c r="AH27" i="3" s="1"/>
  <c r="AJ62" i="32"/>
  <c r="AJ64" i="32" s="1"/>
  <c r="AJ9" i="3"/>
  <c r="AF83" i="3"/>
  <c r="AF87" i="3" s="1"/>
  <c r="AF82" i="3"/>
  <c r="AF63" i="3"/>
  <c r="AF64" i="3" s="1"/>
  <c r="BR99" i="3"/>
  <c r="BR100" i="3" s="1"/>
  <c r="BP100" i="3"/>
  <c r="BB98" i="3"/>
  <c r="BD96" i="3"/>
  <c r="R288" i="14"/>
  <c r="S284" i="14"/>
  <c r="S287" i="14" s="1"/>
  <c r="DJ58" i="30"/>
  <c r="R309" i="14"/>
  <c r="S309" i="14" s="1"/>
  <c r="R300" i="14"/>
  <c r="R301" i="14" s="1"/>
  <c r="U399" i="21"/>
  <c r="W399" i="21" s="1"/>
  <c r="N399" i="21"/>
  <c r="P399" i="21" s="1"/>
  <c r="N566" i="21"/>
  <c r="U566" i="21"/>
  <c r="L77" i="14"/>
  <c r="K96" i="14"/>
  <c r="K92" i="14"/>
  <c r="K117" i="14"/>
  <c r="L206" i="14"/>
  <c r="L208" i="14"/>
  <c r="L209" i="14" s="1"/>
  <c r="L572" i="21"/>
  <c r="L573" i="21" s="1"/>
  <c r="L576" i="21"/>
  <c r="L208" i="21"/>
  <c r="L204" i="21"/>
  <c r="L205" i="21"/>
  <c r="N205" i="21" s="1"/>
  <c r="L28" i="21"/>
  <c r="N28" i="21" s="1"/>
  <c r="L32" i="21"/>
  <c r="Q289" i="14"/>
  <c r="Q291" i="14"/>
  <c r="Q292" i="14" s="1"/>
  <c r="X329" i="14"/>
  <c r="Y325" i="14"/>
  <c r="Y328" i="14" s="1"/>
  <c r="X341" i="14"/>
  <c r="U395" i="21"/>
  <c r="W395" i="21" s="1"/>
  <c r="N395" i="21"/>
  <c r="P395" i="21" s="1"/>
  <c r="U569" i="21"/>
  <c r="W569" i="21" s="1"/>
  <c r="N569" i="21"/>
  <c r="P569" i="21" s="1"/>
  <c r="J95" i="14"/>
  <c r="K76" i="14"/>
  <c r="J35" i="21"/>
  <c r="J115" i="14"/>
  <c r="J116" i="14" s="1"/>
  <c r="J128" i="14"/>
  <c r="L247" i="14"/>
  <c r="M242" i="14"/>
  <c r="M246" i="14" s="1"/>
  <c r="J579" i="21"/>
  <c r="L268" i="14"/>
  <c r="L259" i="14"/>
  <c r="L260" i="14" s="1"/>
  <c r="N765" i="21"/>
  <c r="P765" i="21" s="1"/>
  <c r="I163" i="14"/>
  <c r="I164" i="14" s="1"/>
  <c r="I161" i="14"/>
  <c r="I98" i="14"/>
  <c r="I100" i="14"/>
  <c r="I101" i="14" s="1"/>
  <c r="L771" i="21"/>
  <c r="L775" i="21"/>
  <c r="U201" i="21"/>
  <c r="W201" i="21" s="1"/>
  <c r="N201" i="21"/>
  <c r="P201" i="21" s="1"/>
  <c r="M205" i="14"/>
  <c r="N200" i="14"/>
  <c r="N204" i="14" s="1"/>
  <c r="DE56" i="30"/>
  <c r="J409" i="21"/>
  <c r="M217" i="14"/>
  <c r="M218" i="14" s="1"/>
  <c r="M226" i="14"/>
  <c r="N25" i="21"/>
  <c r="V276" i="14"/>
  <c r="V317" i="14"/>
  <c r="V234" i="14"/>
  <c r="V192" i="14"/>
  <c r="V136" i="14"/>
  <c r="V63" i="14"/>
  <c r="W5" i="14"/>
  <c r="O97" i="14"/>
  <c r="P78" i="14"/>
  <c r="P94" i="14" s="1"/>
  <c r="O118" i="14"/>
  <c r="J160" i="14"/>
  <c r="K144" i="14"/>
  <c r="K156" i="14" s="1"/>
  <c r="J211" i="21"/>
  <c r="J175" i="14"/>
  <c r="J176" i="14" s="1"/>
  <c r="J184" i="14"/>
  <c r="W330" i="14"/>
  <c r="L396" i="21"/>
  <c r="N197" i="21"/>
  <c r="P197" i="21" s="1"/>
  <c r="U197" i="21"/>
  <c r="W197" i="21" s="1"/>
  <c r="U565" i="21"/>
  <c r="W565" i="21" s="1"/>
  <c r="N565" i="21"/>
  <c r="P565" i="21" s="1"/>
  <c r="L406" i="21"/>
  <c r="L402" i="21"/>
  <c r="K248" i="14"/>
  <c r="K250" i="14"/>
  <c r="K251" i="14" s="1"/>
  <c r="K317" i="14"/>
  <c r="K276" i="14"/>
  <c r="K234" i="14"/>
  <c r="K192" i="14"/>
  <c r="K136" i="14"/>
  <c r="K63" i="14"/>
  <c r="P101" i="8"/>
  <c r="Q5" i="8"/>
  <c r="AA26" i="8"/>
  <c r="AB25" i="8"/>
  <c r="AA57" i="8"/>
  <c r="AA58" i="8" s="1"/>
  <c r="DC269" i="36"/>
  <c r="DB280" i="36"/>
  <c r="DB270" i="36"/>
  <c r="H45" i="88"/>
  <c r="H47" i="88" s="1"/>
  <c r="W282" i="21" l="1"/>
  <c r="S31" i="60"/>
  <c r="T11" i="60"/>
  <c r="U8" i="60"/>
  <c r="V127" i="60"/>
  <c r="W91" i="60"/>
  <c r="Y124" i="60"/>
  <c r="Z88" i="60"/>
  <c r="J129" i="60"/>
  <c r="K128" i="60"/>
  <c r="J94" i="60"/>
  <c r="L128" i="60"/>
  <c r="I99" i="60"/>
  <c r="W126" i="60"/>
  <c r="X90" i="60"/>
  <c r="M131" i="60"/>
  <c r="M96" i="60"/>
  <c r="L96" i="60"/>
  <c r="P132" i="60"/>
  <c r="P97" i="60"/>
  <c r="R94" i="60"/>
  <c r="AA122" i="60"/>
  <c r="AB86" i="60"/>
  <c r="S129" i="60"/>
  <c r="T128" i="60"/>
  <c r="S94" i="60"/>
  <c r="I74" i="60"/>
  <c r="I110" i="60" s="1"/>
  <c r="I147" i="60" s="1"/>
  <c r="H9" i="60"/>
  <c r="H74" i="60" s="1"/>
  <c r="H110" i="60" s="1"/>
  <c r="H147" i="60" s="1"/>
  <c r="C155" i="60" s="1" a="1"/>
  <c r="N131" i="60"/>
  <c r="N96" i="60"/>
  <c r="O130" i="60"/>
  <c r="AA121" i="60"/>
  <c r="AB85" i="60"/>
  <c r="AB121" i="60" s="1"/>
  <c r="AB120" i="60"/>
  <c r="X125" i="60"/>
  <c r="Y89" i="60"/>
  <c r="Z123" i="60"/>
  <c r="AA87" i="60"/>
  <c r="K98" i="60"/>
  <c r="T96" i="60"/>
  <c r="U128" i="60"/>
  <c r="V92" i="60"/>
  <c r="U93" i="60"/>
  <c r="Q127" i="60"/>
  <c r="Q92" i="60"/>
  <c r="R126" i="60"/>
  <c r="O99" i="60"/>
  <c r="H128" i="60"/>
  <c r="H93" i="60"/>
  <c r="I127" i="60"/>
  <c r="E183" i="40"/>
  <c r="DS183" i="40"/>
  <c r="L29" i="21"/>
  <c r="N29" i="21" s="1"/>
  <c r="AK872" i="21"/>
  <c r="AM872" i="21" s="1"/>
  <c r="AM870" i="21"/>
  <c r="AT189" i="40"/>
  <c r="BX218" i="40"/>
  <c r="CI230" i="40"/>
  <c r="AO183" i="40"/>
  <c r="J656" i="21"/>
  <c r="AM188" i="40"/>
  <c r="AO187" i="40"/>
  <c r="J660" i="21"/>
  <c r="L660" i="21" s="1"/>
  <c r="U289" i="21"/>
  <c r="W289" i="21" s="1"/>
  <c r="CX180" i="40"/>
  <c r="EG180" i="40" s="1"/>
  <c r="CY180" i="40"/>
  <c r="DO180" i="40"/>
  <c r="DN180" i="40"/>
  <c r="DJ180" i="40"/>
  <c r="DL180" i="40"/>
  <c r="DM180" i="40"/>
  <c r="DI180" i="40"/>
  <c r="AO175" i="40"/>
  <c r="J648" i="21"/>
  <c r="L649" i="21" s="1"/>
  <c r="BH201" i="40"/>
  <c r="BK198" i="40"/>
  <c r="BJ198" i="40"/>
  <c r="BH197" i="40"/>
  <c r="BH205" i="40"/>
  <c r="AO181" i="40"/>
  <c r="AM182" i="40"/>
  <c r="AN183" i="40" s="1"/>
  <c r="DW183" i="40" s="1"/>
  <c r="J654" i="21"/>
  <c r="R161" i="14"/>
  <c r="R163" i="14"/>
  <c r="R164" i="14" s="1"/>
  <c r="K195" i="40"/>
  <c r="M194" i="40"/>
  <c r="U635" i="21"/>
  <c r="W635" i="21" s="1"/>
  <c r="N635" i="21"/>
  <c r="P635" i="21" s="1"/>
  <c r="W646" i="21"/>
  <c r="Y189" i="40"/>
  <c r="AA188" i="40"/>
  <c r="J307" i="21"/>
  <c r="W292" i="21"/>
  <c r="W483" i="21"/>
  <c r="U264" i="21"/>
  <c r="N264" i="21"/>
  <c r="P264" i="21" s="1"/>
  <c r="N271" i="21"/>
  <c r="P271" i="21" s="1"/>
  <c r="L268" i="21"/>
  <c r="AV182" i="40"/>
  <c r="J812" i="21"/>
  <c r="L812" i="21" s="1"/>
  <c r="N812" i="21" s="1"/>
  <c r="AT195" i="40"/>
  <c r="T145" i="14"/>
  <c r="T157" i="14" s="1"/>
  <c r="DK55" i="30"/>
  <c r="N484" i="21"/>
  <c r="P484" i="21" s="1"/>
  <c r="U484" i="21"/>
  <c r="W484" i="21" s="1"/>
  <c r="AN176" i="40"/>
  <c r="DW176" i="40" s="1"/>
  <c r="D184" i="40"/>
  <c r="CW183" i="40"/>
  <c r="DF183" i="40" s="1"/>
  <c r="F183" i="40"/>
  <c r="F181" i="40"/>
  <c r="CW181" i="40"/>
  <c r="DF181" i="40"/>
  <c r="L642" i="21"/>
  <c r="L641" i="21"/>
  <c r="CI236" i="40"/>
  <c r="CI240" i="40"/>
  <c r="CL233" i="40"/>
  <c r="CL236" i="40" s="1"/>
  <c r="CL237" i="40" s="1"/>
  <c r="CL238" i="40" s="1"/>
  <c r="CL239" i="40" s="1"/>
  <c r="CI232" i="40"/>
  <c r="AM194" i="40"/>
  <c r="AO191" i="40"/>
  <c r="AQ191" i="40"/>
  <c r="AQ198" i="40" s="1"/>
  <c r="AM198" i="40"/>
  <c r="CA191" i="40"/>
  <c r="BY194" i="40"/>
  <c r="N810" i="21"/>
  <c r="P810" i="21" s="1"/>
  <c r="U653" i="21"/>
  <c r="N653" i="21"/>
  <c r="P653" i="21" s="1"/>
  <c r="K205" i="40"/>
  <c r="K201" i="40"/>
  <c r="N198" i="40"/>
  <c r="K197" i="40"/>
  <c r="M198" i="40"/>
  <c r="BA189" i="40"/>
  <c r="BC188" i="40"/>
  <c r="N294" i="21"/>
  <c r="P294" i="21" s="1"/>
  <c r="U294" i="21"/>
  <c r="W294" i="21" s="1"/>
  <c r="CY170" i="40"/>
  <c r="DC170" i="40"/>
  <c r="DN170" i="40"/>
  <c r="DJ170" i="40"/>
  <c r="DM170" i="40"/>
  <c r="DI170" i="40"/>
  <c r="DL170" i="40"/>
  <c r="DK170" i="40"/>
  <c r="CP251" i="40"/>
  <c r="CP245" i="40"/>
  <c r="W476" i="21"/>
  <c r="EE169" i="40"/>
  <c r="ED169" i="40"/>
  <c r="ED170" i="40" s="1"/>
  <c r="DF175" i="40"/>
  <c r="CW175" i="40"/>
  <c r="F175" i="40"/>
  <c r="AA182" i="40"/>
  <c r="J301" i="21"/>
  <c r="BC182" i="40"/>
  <c r="F177" i="40"/>
  <c r="CW177" i="40"/>
  <c r="DF177" i="40" s="1"/>
  <c r="E177" i="40"/>
  <c r="CX177" i="40" s="1"/>
  <c r="H177" i="40"/>
  <c r="N295" i="21"/>
  <c r="P295" i="21" s="1"/>
  <c r="U295" i="21"/>
  <c r="W295" i="21" s="1"/>
  <c r="BV223" i="40"/>
  <c r="BX222" i="40"/>
  <c r="BZ205" i="40"/>
  <c r="BY198" i="40"/>
  <c r="CY174" i="40"/>
  <c r="CX174" i="40"/>
  <c r="EG174" i="40" s="1"/>
  <c r="DN174" i="40"/>
  <c r="DJ174" i="40"/>
  <c r="DM174" i="40"/>
  <c r="DI174" i="40"/>
  <c r="DL174" i="40"/>
  <c r="W33" i="14"/>
  <c r="W294" i="14"/>
  <c r="W295" i="14" s="1"/>
  <c r="W307" i="14" s="1"/>
  <c r="W279" i="14" s="1"/>
  <c r="W278" i="14" s="1"/>
  <c r="W298" i="14"/>
  <c r="DK174" i="40"/>
  <c r="Z183" i="40"/>
  <c r="DU183" i="40" s="1"/>
  <c r="CA181" i="40"/>
  <c r="BY182" i="40"/>
  <c r="CA187" i="40"/>
  <c r="BY188" i="40"/>
  <c r="U629" i="21"/>
  <c r="DX183" i="40"/>
  <c r="AW183" i="40"/>
  <c r="CX168" i="40"/>
  <c r="EG168" i="40" s="1"/>
  <c r="CY168" i="40"/>
  <c r="DN168" i="40"/>
  <c r="DJ168" i="40"/>
  <c r="DI168" i="40"/>
  <c r="DM168" i="40"/>
  <c r="DL168" i="40"/>
  <c r="L306" i="21"/>
  <c r="CP253" i="40"/>
  <c r="CS254" i="40"/>
  <c r="R189" i="40"/>
  <c r="T188" i="40"/>
  <c r="DF187" i="40"/>
  <c r="CW187" i="40"/>
  <c r="F187" i="40"/>
  <c r="N299" i="21"/>
  <c r="P299" i="21" s="1"/>
  <c r="U299" i="21"/>
  <c r="AT197" i="40"/>
  <c r="AT201" i="40"/>
  <c r="AW198" i="40"/>
  <c r="AT205" i="40"/>
  <c r="AU190" i="40"/>
  <c r="DX190" i="40" s="1"/>
  <c r="AF190" i="40"/>
  <c r="AH189" i="40"/>
  <c r="J485" i="21"/>
  <c r="L485" i="21" s="1"/>
  <c r="EF162" i="40"/>
  <c r="EG162" i="40" s="1"/>
  <c r="EE163" i="40"/>
  <c r="EF163" i="40" s="1"/>
  <c r="EG163" i="40" s="1"/>
  <c r="U121" i="8"/>
  <c r="U145" i="8" s="1"/>
  <c r="U140" i="8"/>
  <c r="U119" i="8"/>
  <c r="U156" i="8"/>
  <c r="BO218" i="40"/>
  <c r="ED176" i="40"/>
  <c r="ED177" i="40" s="1"/>
  <c r="EE176" i="40"/>
  <c r="D182" i="40"/>
  <c r="M182" i="40"/>
  <c r="N300" i="21"/>
  <c r="P300" i="21" s="1"/>
  <c r="U300" i="21"/>
  <c r="W300" i="21" s="1"/>
  <c r="CY176" i="40"/>
  <c r="CX176" i="40"/>
  <c r="DN176" i="40"/>
  <c r="DJ176" i="40"/>
  <c r="DM176" i="40"/>
  <c r="DI176" i="40"/>
  <c r="DL176" i="40"/>
  <c r="BV233" i="40"/>
  <c r="BV229" i="40"/>
  <c r="BV225" i="40"/>
  <c r="BX226" i="40"/>
  <c r="U146" i="14"/>
  <c r="U158" i="14" s="1"/>
  <c r="DL59" i="30"/>
  <c r="DF174" i="40"/>
  <c r="L648" i="21"/>
  <c r="L647" i="21"/>
  <c r="BW211" i="40"/>
  <c r="BJ194" i="40"/>
  <c r="BH195" i="40"/>
  <c r="S175" i="14"/>
  <c r="S176" i="14" s="1"/>
  <c r="T144" i="14"/>
  <c r="T156" i="14" s="1"/>
  <c r="S160" i="14"/>
  <c r="S184" i="14"/>
  <c r="U473" i="21"/>
  <c r="W473" i="21" s="1"/>
  <c r="N634" i="21"/>
  <c r="P634" i="21" s="1"/>
  <c r="U634" i="21"/>
  <c r="L636" i="21"/>
  <c r="N636" i="21" s="1"/>
  <c r="P636" i="21" s="1"/>
  <c r="L813" i="21"/>
  <c r="N813" i="21" s="1"/>
  <c r="L296" i="21"/>
  <c r="N296" i="21" s="1"/>
  <c r="P296" i="21" s="1"/>
  <c r="U260" i="21"/>
  <c r="L261" i="21"/>
  <c r="N261" i="21" s="1"/>
  <c r="P261" i="21" s="1"/>
  <c r="N267" i="21"/>
  <c r="P267" i="21" s="1"/>
  <c r="N260" i="21"/>
  <c r="P260" i="21" s="1"/>
  <c r="K189" i="40"/>
  <c r="M188" i="40"/>
  <c r="D188" i="40"/>
  <c r="L479" i="21"/>
  <c r="L478" i="21"/>
  <c r="AW194" i="40"/>
  <c r="AW195" i="40" s="1"/>
  <c r="AW196" i="40" s="1"/>
  <c r="X297" i="14"/>
  <c r="X294" i="14" s="1"/>
  <c r="X295" i="14" s="1"/>
  <c r="X307" i="14" s="1"/>
  <c r="X279" i="14" s="1"/>
  <c r="BB183" i="40"/>
  <c r="DY183" i="40" s="1"/>
  <c r="CX169" i="40"/>
  <c r="BX216" i="40"/>
  <c r="BV217" i="40"/>
  <c r="BX217" i="40" s="1"/>
  <c r="CI224" i="40"/>
  <c r="DK176" i="40"/>
  <c r="W319" i="14"/>
  <c r="V118" i="8"/>
  <c r="V332" i="14"/>
  <c r="V333" i="14" s="1"/>
  <c r="E176" i="40"/>
  <c r="AF6" i="31"/>
  <c r="BJ7" i="35"/>
  <c r="AJ92" i="3"/>
  <c r="AJ93" i="3" s="1"/>
  <c r="AJ15" i="3"/>
  <c r="AJ27" i="3" s="1"/>
  <c r="AL62" i="32"/>
  <c r="AL64" i="32" s="1"/>
  <c r="AL9" i="3"/>
  <c r="AH83" i="3"/>
  <c r="AH87" i="3" s="1"/>
  <c r="AH82" i="3"/>
  <c r="AH63" i="3"/>
  <c r="AH64" i="3" s="1"/>
  <c r="BF96" i="3"/>
  <c r="BD98" i="3"/>
  <c r="N573" i="21"/>
  <c r="P573" i="21" s="1"/>
  <c r="U573" i="21"/>
  <c r="W573" i="21" s="1"/>
  <c r="W317" i="14"/>
  <c r="W276" i="14"/>
  <c r="W234" i="14"/>
  <c r="W192" i="14"/>
  <c r="W136" i="14"/>
  <c r="W63" i="14"/>
  <c r="X5" i="14"/>
  <c r="L579" i="21"/>
  <c r="L583" i="21"/>
  <c r="S288" i="14"/>
  <c r="T284" i="14"/>
  <c r="T287" i="14" s="1"/>
  <c r="DK58" i="30"/>
  <c r="S300" i="14"/>
  <c r="S301" i="14" s="1"/>
  <c r="N396" i="21"/>
  <c r="P396" i="21" s="1"/>
  <c r="U396" i="21"/>
  <c r="W396" i="21" s="1"/>
  <c r="N205" i="14"/>
  <c r="O200" i="14"/>
  <c r="O204" i="14" s="1"/>
  <c r="J416" i="21"/>
  <c r="DF56" i="30"/>
  <c r="N226" i="14"/>
  <c r="N217" i="14"/>
  <c r="N218" i="14" s="1"/>
  <c r="N775" i="21"/>
  <c r="P775" i="21" s="1"/>
  <c r="N782" i="21"/>
  <c r="P782" i="21" s="1"/>
  <c r="L779" i="21"/>
  <c r="M247" i="14"/>
  <c r="N242" i="14"/>
  <c r="N246" i="14" s="1"/>
  <c r="M259" i="14"/>
  <c r="M260" i="14" s="1"/>
  <c r="J586" i="21"/>
  <c r="DE57" i="30"/>
  <c r="M268" i="14"/>
  <c r="J98" i="14"/>
  <c r="J100" i="14"/>
  <c r="J101" i="14" s="1"/>
  <c r="K115" i="14"/>
  <c r="K116" i="14" s="1"/>
  <c r="K95" i="14"/>
  <c r="L76" i="14"/>
  <c r="J42" i="21"/>
  <c r="K128" i="14"/>
  <c r="R289" i="14"/>
  <c r="R291" i="14"/>
  <c r="R292" i="14" s="1"/>
  <c r="N402" i="21"/>
  <c r="P402" i="21" s="1"/>
  <c r="U402" i="21"/>
  <c r="W402" i="21" s="1"/>
  <c r="N572" i="21"/>
  <c r="P572" i="21" s="1"/>
  <c r="L212" i="21"/>
  <c r="L211" i="21"/>
  <c r="L215" i="21"/>
  <c r="Q78" i="14"/>
  <c r="Q94" i="14" s="1"/>
  <c r="P97" i="14"/>
  <c r="P118" i="14"/>
  <c r="M206" i="14"/>
  <c r="M208" i="14"/>
  <c r="M209" i="14" s="1"/>
  <c r="L772" i="21"/>
  <c r="N772" i="21" s="1"/>
  <c r="P772" i="21" s="1"/>
  <c r="N778" i="21"/>
  <c r="N771" i="21"/>
  <c r="P771" i="21" s="1"/>
  <c r="L248" i="14"/>
  <c r="L250" i="14"/>
  <c r="L251" i="14" s="1"/>
  <c r="Y341" i="14"/>
  <c r="Y329" i="14"/>
  <c r="Z325" i="14"/>
  <c r="Z328" i="14" s="1"/>
  <c r="U204" i="21"/>
  <c r="W204" i="21" s="1"/>
  <c r="N204" i="21"/>
  <c r="P204" i="21" s="1"/>
  <c r="J161" i="14"/>
  <c r="J163" i="14"/>
  <c r="J164" i="14" s="1"/>
  <c r="N32" i="21"/>
  <c r="P32" i="21" s="1"/>
  <c r="N579" i="21"/>
  <c r="P579" i="21" s="1"/>
  <c r="U572" i="21"/>
  <c r="W572" i="21" s="1"/>
  <c r="N406" i="21"/>
  <c r="P406" i="21" s="1"/>
  <c r="U406" i="21"/>
  <c r="K160" i="14"/>
  <c r="L144" i="14"/>
  <c r="L156" i="14" s="1"/>
  <c r="J218" i="21"/>
  <c r="K184" i="14"/>
  <c r="K175" i="14"/>
  <c r="K176" i="14" s="1"/>
  <c r="L413" i="21"/>
  <c r="L409" i="21"/>
  <c r="L410" i="21" s="1"/>
  <c r="N410" i="21" s="1"/>
  <c r="L35" i="21"/>
  <c r="N35" i="21" s="1"/>
  <c r="P35" i="21" s="1"/>
  <c r="L39" i="21"/>
  <c r="X330" i="14"/>
  <c r="U208" i="21"/>
  <c r="W208" i="21" s="1"/>
  <c r="N208" i="21"/>
  <c r="P208" i="21" s="1"/>
  <c r="N576" i="21"/>
  <c r="P576" i="21" s="1"/>
  <c r="U576" i="21"/>
  <c r="W576" i="21" s="1"/>
  <c r="L580" i="21"/>
  <c r="N580" i="21" s="1"/>
  <c r="L403" i="21"/>
  <c r="N403" i="21" s="1"/>
  <c r="AB26" i="8"/>
  <c r="AC25" i="8"/>
  <c r="AB57" i="8"/>
  <c r="AB58" i="8" s="1"/>
  <c r="Q101" i="8"/>
  <c r="R5" i="8"/>
  <c r="DC270" i="36"/>
  <c r="DB281" i="36"/>
  <c r="DB271" i="36"/>
  <c r="DB274" i="36"/>
  <c r="Q128" i="60" l="1"/>
  <c r="Q93" i="60"/>
  <c r="R127" i="60"/>
  <c r="O100" i="60"/>
  <c r="T97" i="60"/>
  <c r="AA123" i="60"/>
  <c r="AB87" i="60"/>
  <c r="J130" i="60"/>
  <c r="K129" i="60"/>
  <c r="J95" i="60"/>
  <c r="L129" i="60"/>
  <c r="T31" i="60"/>
  <c r="U129" i="60"/>
  <c r="V93" i="60"/>
  <c r="U94" i="60"/>
  <c r="N97" i="60"/>
  <c r="O131" i="60"/>
  <c r="S130" i="60"/>
  <c r="S95" i="60"/>
  <c r="T129" i="60"/>
  <c r="AB122" i="60"/>
  <c r="P133" i="60"/>
  <c r="P98" i="60"/>
  <c r="M132" i="60"/>
  <c r="M97" i="60"/>
  <c r="N132" i="60" s="1"/>
  <c r="I100" i="60"/>
  <c r="W127" i="60"/>
  <c r="X91" i="60"/>
  <c r="H129" i="60"/>
  <c r="H94" i="60"/>
  <c r="I128" i="60"/>
  <c r="V128" i="60"/>
  <c r="W92" i="60"/>
  <c r="K99" i="60"/>
  <c r="Y125" i="60"/>
  <c r="Z89" i="60"/>
  <c r="C167" i="60"/>
  <c r="C163" i="60"/>
  <c r="C159" i="60"/>
  <c r="C155" i="60"/>
  <c r="C166" i="60"/>
  <c r="C162" i="60"/>
  <c r="C158" i="60"/>
  <c r="C169" i="60"/>
  <c r="C165" i="60"/>
  <c r="C161" i="60"/>
  <c r="C157" i="60"/>
  <c r="C168" i="60"/>
  <c r="C164" i="60"/>
  <c r="C160" i="60"/>
  <c r="C156" i="60"/>
  <c r="R95" i="60"/>
  <c r="L97" i="60"/>
  <c r="X126" i="60"/>
  <c r="Y90" i="60"/>
  <c r="Z124" i="60"/>
  <c r="AA88" i="60"/>
  <c r="U11" i="60"/>
  <c r="V8" i="60"/>
  <c r="L480" i="21"/>
  <c r="N480" i="21" s="1"/>
  <c r="P480" i="21" s="1"/>
  <c r="N478" i="21"/>
  <c r="P478" i="21" s="1"/>
  <c r="U478" i="21"/>
  <c r="M189" i="40"/>
  <c r="D189" i="40"/>
  <c r="K190" i="40"/>
  <c r="W260" i="21"/>
  <c r="W267" i="21"/>
  <c r="U261" i="21"/>
  <c r="W261" i="21" s="1"/>
  <c r="BH196" i="40"/>
  <c r="BJ195" i="40"/>
  <c r="U647" i="21"/>
  <c r="N647" i="21"/>
  <c r="P647" i="21" s="1"/>
  <c r="L650" i="21"/>
  <c r="V146" i="14"/>
  <c r="V158" i="14" s="1"/>
  <c r="DM59" i="30"/>
  <c r="CW182" i="40"/>
  <c r="F182" i="40"/>
  <c r="BO219" i="40"/>
  <c r="ED190" i="40"/>
  <c r="ED191" i="40" s="1"/>
  <c r="EE190" i="40"/>
  <c r="CA188" i="40"/>
  <c r="BY189" i="40"/>
  <c r="L302" i="21"/>
  <c r="L301" i="21"/>
  <c r="CX175" i="40"/>
  <c r="EG175" i="40" s="1"/>
  <c r="CY175" i="40"/>
  <c r="DN175" i="40"/>
  <c r="DJ175" i="40"/>
  <c r="DI175" i="40"/>
  <c r="DM175" i="40"/>
  <c r="DL175" i="40"/>
  <c r="CP252" i="40"/>
  <c r="M197" i="40"/>
  <c r="L814" i="21"/>
  <c r="N814" i="21" s="1"/>
  <c r="P814" i="21" s="1"/>
  <c r="CI237" i="40"/>
  <c r="CY181" i="40"/>
  <c r="CX181" i="40"/>
  <c r="EG181" i="40" s="1"/>
  <c r="DO181" i="40"/>
  <c r="DN181" i="40"/>
  <c r="DJ181" i="40"/>
  <c r="DL181" i="40"/>
  <c r="DM181" i="40"/>
  <c r="DI181" i="40"/>
  <c r="F184" i="40"/>
  <c r="E184" i="40"/>
  <c r="CX184" i="40" s="1"/>
  <c r="CW184" i="40"/>
  <c r="H184" i="40"/>
  <c r="N268" i="21"/>
  <c r="P268" i="21" s="1"/>
  <c r="N275" i="21"/>
  <c r="P275" i="21" s="1"/>
  <c r="AA189" i="40"/>
  <c r="Y190" i="40"/>
  <c r="J308" i="21"/>
  <c r="DK181" i="40"/>
  <c r="BJ197" i="40"/>
  <c r="N649" i="21"/>
  <c r="P649" i="21" s="1"/>
  <c r="U649" i="21"/>
  <c r="AO188" i="40"/>
  <c r="AM189" i="40"/>
  <c r="J661" i="21"/>
  <c r="L661" i="21" s="1"/>
  <c r="V121" i="8"/>
  <c r="V145" i="8" s="1"/>
  <c r="V119" i="8"/>
  <c r="V156" i="8"/>
  <c r="V140" i="8"/>
  <c r="U479" i="21"/>
  <c r="W479" i="21" s="1"/>
  <c r="N479" i="21"/>
  <c r="P479" i="21" s="1"/>
  <c r="W634" i="21"/>
  <c r="U636" i="21"/>
  <c r="W636" i="21" s="1"/>
  <c r="S161" i="14"/>
  <c r="S163" i="14"/>
  <c r="S164" i="14" s="1"/>
  <c r="U648" i="21"/>
  <c r="N648" i="21"/>
  <c r="P648" i="21" s="1"/>
  <c r="BV240" i="40"/>
  <c r="BV236" i="40"/>
  <c r="BV232" i="40"/>
  <c r="BX233" i="40"/>
  <c r="EF176" i="40"/>
  <c r="EG176" i="40" s="1"/>
  <c r="EE177" i="40"/>
  <c r="EF177" i="40" s="1"/>
  <c r="EG177" i="40" s="1"/>
  <c r="AH190" i="40"/>
  <c r="AF191" i="40"/>
  <c r="J486" i="21"/>
  <c r="L486" i="21" s="1"/>
  <c r="AT212" i="40"/>
  <c r="AT208" i="40"/>
  <c r="AT204" i="40"/>
  <c r="AW205" i="40"/>
  <c r="T189" i="40"/>
  <c r="R190" i="40"/>
  <c r="U306" i="21"/>
  <c r="N306" i="21"/>
  <c r="P306" i="21" s="1"/>
  <c r="AY183" i="40"/>
  <c r="Z813" i="21"/>
  <c r="AB813" i="21" s="1"/>
  <c r="BY201" i="40"/>
  <c r="CA198" i="40"/>
  <c r="P198" i="40"/>
  <c r="P205" i="40"/>
  <c r="CA194" i="40"/>
  <c r="BY195" i="40"/>
  <c r="U641" i="21"/>
  <c r="N641" i="21"/>
  <c r="P641" i="21" s="1"/>
  <c r="L643" i="21"/>
  <c r="N643" i="21" s="1"/>
  <c r="P643" i="21" s="1"/>
  <c r="L308" i="21"/>
  <c r="U308" i="21" s="1"/>
  <c r="L307" i="21"/>
  <c r="U660" i="21"/>
  <c r="N660" i="21"/>
  <c r="P660" i="21" s="1"/>
  <c r="X319" i="14"/>
  <c r="W118" i="8"/>
  <c r="W332" i="14"/>
  <c r="W333" i="14" s="1"/>
  <c r="X33" i="14"/>
  <c r="DF188" i="40"/>
  <c r="CW188" i="40"/>
  <c r="F188" i="40"/>
  <c r="U144" i="14"/>
  <c r="U156" i="14" s="1"/>
  <c r="T184" i="14"/>
  <c r="T175" i="14"/>
  <c r="T176" i="14" s="1"/>
  <c r="T160" i="14"/>
  <c r="BX225" i="40"/>
  <c r="AW201" i="40"/>
  <c r="AW202" i="40" s="1"/>
  <c r="AW203" i="40" s="1"/>
  <c r="Y297" i="14"/>
  <c r="Y294" i="14" s="1"/>
  <c r="DQ187" i="40"/>
  <c r="DP187" i="40"/>
  <c r="CY187" i="40"/>
  <c r="CX187" i="40"/>
  <c r="DO187" i="40"/>
  <c r="DN187" i="40"/>
  <c r="DJ187" i="40"/>
  <c r="DM187" i="40"/>
  <c r="DI187" i="40"/>
  <c r="DL187" i="40"/>
  <c r="CA182" i="40"/>
  <c r="BY183" i="40"/>
  <c r="CA183" i="40" s="1"/>
  <c r="BZ212" i="40"/>
  <c r="BY205" i="40"/>
  <c r="BV224" i="40"/>
  <c r="BX224" i="40" s="1"/>
  <c r="BX223" i="40"/>
  <c r="BA190" i="40"/>
  <c r="BC189" i="40"/>
  <c r="M201" i="40"/>
  <c r="K202" i="40"/>
  <c r="W653" i="21"/>
  <c r="U642" i="21"/>
  <c r="W642" i="21" s="1"/>
  <c r="N642" i="21"/>
  <c r="P642" i="21" s="1"/>
  <c r="U145" i="14"/>
  <c r="U157" i="14" s="1"/>
  <c r="DL55" i="30"/>
  <c r="U296" i="21"/>
  <c r="W296" i="21" s="1"/>
  <c r="L654" i="21"/>
  <c r="BH212" i="40"/>
  <c r="BH208" i="40"/>
  <c r="BH204" i="40"/>
  <c r="BJ205" i="40"/>
  <c r="BL205" i="40"/>
  <c r="BL212" i="40" s="1"/>
  <c r="BL219" i="40" s="1"/>
  <c r="BL226" i="40" s="1"/>
  <c r="BL233" i="40" s="1"/>
  <c r="BL240" i="40" s="1"/>
  <c r="BL247" i="40" s="1"/>
  <c r="BL254" i="40" s="1"/>
  <c r="BM198" i="40"/>
  <c r="BM205" i="40"/>
  <c r="DK175" i="40"/>
  <c r="DK187" i="40"/>
  <c r="CI231" i="40"/>
  <c r="CJ232" i="40" s="1"/>
  <c r="CL232" i="40" s="1"/>
  <c r="EE183" i="40"/>
  <c r="ED183" i="40"/>
  <c r="ED184" i="40" s="1"/>
  <c r="BX229" i="40"/>
  <c r="BV230" i="40"/>
  <c r="U143" i="8"/>
  <c r="U157" i="8"/>
  <c r="U158" i="8" s="1"/>
  <c r="U485" i="21"/>
  <c r="N485" i="21"/>
  <c r="P485" i="21" s="1"/>
  <c r="L487" i="21"/>
  <c r="N487" i="21" s="1"/>
  <c r="P487" i="21" s="1"/>
  <c r="AT202" i="40"/>
  <c r="W299" i="21"/>
  <c r="X278" i="14"/>
  <c r="W115" i="8"/>
  <c r="W303" i="14"/>
  <c r="W304" i="14" s="1"/>
  <c r="CY177" i="40"/>
  <c r="DC177" i="40"/>
  <c r="DN177" i="40"/>
  <c r="DJ177" i="40"/>
  <c r="DM177" i="40"/>
  <c r="DL177" i="40"/>
  <c r="DI177" i="40"/>
  <c r="DK177" i="40"/>
  <c r="EF169" i="40"/>
  <c r="EG169" i="40" s="1"/>
  <c r="EE170" i="40"/>
  <c r="EF170" i="40" s="1"/>
  <c r="EG170" i="40" s="1"/>
  <c r="K212" i="40"/>
  <c r="K208" i="40"/>
  <c r="K204" i="40"/>
  <c r="O205" i="40"/>
  <c r="M205" i="40"/>
  <c r="AM205" i="40"/>
  <c r="AM201" i="40"/>
  <c r="AM197" i="40"/>
  <c r="AP198" i="40"/>
  <c r="AO198" i="40"/>
  <c r="AO194" i="40"/>
  <c r="AM195" i="40"/>
  <c r="J667" i="21"/>
  <c r="CI247" i="40"/>
  <c r="CI243" i="40"/>
  <c r="CI239" i="40"/>
  <c r="CL240" i="40"/>
  <c r="CL243" i="40" s="1"/>
  <c r="CL244" i="40" s="1"/>
  <c r="CL245" i="40" s="1"/>
  <c r="CL246" i="40" s="1"/>
  <c r="CY183" i="40"/>
  <c r="DO183" i="40"/>
  <c r="CX183" i="40"/>
  <c r="DN183" i="40"/>
  <c r="DJ183" i="40"/>
  <c r="DM183" i="40"/>
  <c r="DI183" i="40"/>
  <c r="DL183" i="40"/>
  <c r="AT196" i="40"/>
  <c r="W271" i="21"/>
  <c r="U268" i="21"/>
  <c r="W264" i="21"/>
  <c r="M195" i="40"/>
  <c r="K196" i="40"/>
  <c r="AO182" i="40"/>
  <c r="DK182" i="40"/>
  <c r="J655" i="21"/>
  <c r="L656" i="21" s="1"/>
  <c r="BJ201" i="40"/>
  <c r="BH202" i="40"/>
  <c r="AW190" i="40"/>
  <c r="DK183" i="40"/>
  <c r="BW218" i="40"/>
  <c r="L36" i="21"/>
  <c r="N36" i="21" s="1"/>
  <c r="AH6" i="31"/>
  <c r="BN7" i="35"/>
  <c r="AL92" i="3"/>
  <c r="AL93" i="3" s="1"/>
  <c r="AL15" i="3"/>
  <c r="AL27" i="3" s="1"/>
  <c r="AN62" i="32"/>
  <c r="AN64" i="32" s="1"/>
  <c r="AN9" i="3"/>
  <c r="AJ83" i="3"/>
  <c r="AJ87" i="3" s="1"/>
  <c r="AJ82" i="3"/>
  <c r="AJ63" i="3"/>
  <c r="AJ64" i="3" s="1"/>
  <c r="BF98" i="3"/>
  <c r="BH96" i="3"/>
  <c r="N413" i="21"/>
  <c r="P413" i="21" s="1"/>
  <c r="U413" i="21"/>
  <c r="L160" i="14"/>
  <c r="J225" i="21"/>
  <c r="L175" i="14"/>
  <c r="L184" i="14"/>
  <c r="U211" i="21"/>
  <c r="W211" i="21" s="1"/>
  <c r="N211" i="21"/>
  <c r="P211" i="21" s="1"/>
  <c r="L42" i="21"/>
  <c r="L43" i="21" s="1"/>
  <c r="L46" i="21"/>
  <c r="M248" i="14"/>
  <c r="M250" i="14"/>
  <c r="M251" i="14" s="1"/>
  <c r="N779" i="21"/>
  <c r="P779" i="21" s="1"/>
  <c r="N786" i="21"/>
  <c r="P786" i="21" s="1"/>
  <c r="N206" i="14"/>
  <c r="N208" i="14"/>
  <c r="N209" i="14" s="1"/>
  <c r="S289" i="14"/>
  <c r="S291" i="14"/>
  <c r="S292" i="14" s="1"/>
  <c r="U579" i="21"/>
  <c r="W579" i="21" s="1"/>
  <c r="N39" i="21"/>
  <c r="P39" i="21" s="1"/>
  <c r="U39" i="21"/>
  <c r="K161" i="14"/>
  <c r="K163" i="14"/>
  <c r="K164" i="14" s="1"/>
  <c r="U212" i="21"/>
  <c r="N212" i="21"/>
  <c r="L586" i="21"/>
  <c r="U586" i="21" s="1"/>
  <c r="L590" i="21"/>
  <c r="W406" i="21"/>
  <c r="Z329" i="14"/>
  <c r="AA325" i="14"/>
  <c r="AA328" i="14" s="1"/>
  <c r="Z341" i="14"/>
  <c r="Q97" i="14"/>
  <c r="R78" i="14"/>
  <c r="R94" i="14" s="1"/>
  <c r="Q118" i="14"/>
  <c r="K100" i="14"/>
  <c r="K101" i="14" s="1"/>
  <c r="K98" i="14"/>
  <c r="L416" i="21"/>
  <c r="L420" i="21"/>
  <c r="U409" i="21"/>
  <c r="W409" i="21" s="1"/>
  <c r="N409" i="21"/>
  <c r="P409" i="21" s="1"/>
  <c r="L218" i="21"/>
  <c r="L222" i="21"/>
  <c r="U36" i="21"/>
  <c r="Y330" i="14"/>
  <c r="N215" i="21"/>
  <c r="P215" i="21" s="1"/>
  <c r="U215" i="21"/>
  <c r="W215" i="21" s="1"/>
  <c r="L219" i="21"/>
  <c r="N247" i="14"/>
  <c r="O242" i="14"/>
  <c r="O246" i="14" s="1"/>
  <c r="DF57" i="30"/>
  <c r="J593" i="21"/>
  <c r="N259" i="14"/>
  <c r="N260" i="14" s="1"/>
  <c r="N268" i="14"/>
  <c r="O217" i="14"/>
  <c r="O218" i="14" s="1"/>
  <c r="O205" i="14"/>
  <c r="P200" i="14"/>
  <c r="P204" i="14" s="1"/>
  <c r="J423" i="21"/>
  <c r="DG56" i="30"/>
  <c r="O226" i="14"/>
  <c r="U284" i="14"/>
  <c r="U287" i="14" s="1"/>
  <c r="T309" i="14"/>
  <c r="T300" i="14"/>
  <c r="T301" i="14" s="1"/>
  <c r="T288" i="14"/>
  <c r="DL58" i="30"/>
  <c r="U583" i="21"/>
  <c r="N583" i="21"/>
  <c r="P583" i="21" s="1"/>
  <c r="L587" i="21"/>
  <c r="N587" i="21" s="1"/>
  <c r="X317" i="14"/>
  <c r="X276" i="14"/>
  <c r="X234" i="14"/>
  <c r="X192" i="14"/>
  <c r="X136" i="14"/>
  <c r="X63" i="14"/>
  <c r="Y5" i="14"/>
  <c r="AD25" i="8"/>
  <c r="R101" i="8"/>
  <c r="S5" i="8"/>
  <c r="DB283" i="36"/>
  <c r="DB282" i="36"/>
  <c r="DF268" i="36"/>
  <c r="DC271" i="36"/>
  <c r="DB272" i="36"/>
  <c r="U172" i="87"/>
  <c r="T172" i="87"/>
  <c r="S172" i="87"/>
  <c r="R172" i="87"/>
  <c r="Q172" i="87"/>
  <c r="P172" i="87"/>
  <c r="U170" i="87"/>
  <c r="T170" i="87"/>
  <c r="S170" i="87"/>
  <c r="R170" i="87"/>
  <c r="Q170" i="87"/>
  <c r="P170" i="87"/>
  <c r="U125" i="87"/>
  <c r="T125" i="87"/>
  <c r="S125" i="87"/>
  <c r="R125" i="87"/>
  <c r="Q125" i="87"/>
  <c r="P125" i="87"/>
  <c r="O125" i="87"/>
  <c r="N125" i="87"/>
  <c r="M125" i="87"/>
  <c r="L125" i="87"/>
  <c r="K125" i="87"/>
  <c r="J125" i="87"/>
  <c r="I125" i="87"/>
  <c r="H125" i="87"/>
  <c r="G125" i="87"/>
  <c r="F125" i="87"/>
  <c r="E125" i="87"/>
  <c r="D125" i="87"/>
  <c r="C125" i="87"/>
  <c r="T124" i="87"/>
  <c r="S124" i="87"/>
  <c r="R124" i="87"/>
  <c r="Q124" i="87"/>
  <c r="P124" i="87"/>
  <c r="O124" i="87"/>
  <c r="N124" i="87"/>
  <c r="M124" i="87"/>
  <c r="L124" i="87"/>
  <c r="K124" i="87"/>
  <c r="J124" i="87"/>
  <c r="I124" i="87"/>
  <c r="H124" i="87"/>
  <c r="G124" i="87"/>
  <c r="F124" i="87"/>
  <c r="E124" i="87"/>
  <c r="D124" i="87"/>
  <c r="C124" i="87"/>
  <c r="A92" i="87"/>
  <c r="U83" i="87"/>
  <c r="U124" i="87" s="1"/>
  <c r="T83" i="87"/>
  <c r="K75" i="87"/>
  <c r="U42" i="87"/>
  <c r="T42" i="87"/>
  <c r="C36" i="87"/>
  <c r="O36" i="87"/>
  <c r="O75" i="87" s="1"/>
  <c r="O170" i="87" s="1"/>
  <c r="N36" i="87"/>
  <c r="M36" i="87"/>
  <c r="L36" i="87"/>
  <c r="L171" i="87" s="1"/>
  <c r="L169" i="87" s="1"/>
  <c r="K36" i="87"/>
  <c r="J36" i="87"/>
  <c r="I36" i="87"/>
  <c r="H36" i="87"/>
  <c r="H169" i="87" s="1"/>
  <c r="G36" i="87"/>
  <c r="G75" i="87" s="1"/>
  <c r="F36" i="87"/>
  <c r="E36" i="87"/>
  <c r="O24" i="87"/>
  <c r="L24" i="87"/>
  <c r="K24" i="87"/>
  <c r="J24" i="87"/>
  <c r="I24" i="87"/>
  <c r="H24" i="87"/>
  <c r="G24" i="87"/>
  <c r="F24" i="87"/>
  <c r="E24" i="87"/>
  <c r="D24" i="87"/>
  <c r="C24" i="87"/>
  <c r="U19" i="87"/>
  <c r="T19" i="87"/>
  <c r="S19" i="87"/>
  <c r="R19" i="87"/>
  <c r="Q19" i="87"/>
  <c r="P19" i="87"/>
  <c r="O19" i="87"/>
  <c r="N19" i="87"/>
  <c r="M19" i="87"/>
  <c r="L19" i="87"/>
  <c r="K19" i="87"/>
  <c r="J19" i="87"/>
  <c r="I19" i="87"/>
  <c r="H19" i="87"/>
  <c r="G19" i="87"/>
  <c r="E19" i="87"/>
  <c r="D19" i="87"/>
  <c r="C19" i="87"/>
  <c r="U12" i="87"/>
  <c r="O12" i="87"/>
  <c r="N12" i="87"/>
  <c r="M12" i="87"/>
  <c r="L12" i="87"/>
  <c r="K12" i="87"/>
  <c r="J12" i="87"/>
  <c r="I12" i="87"/>
  <c r="H12" i="87"/>
  <c r="G12" i="87"/>
  <c r="F12" i="87"/>
  <c r="E12" i="87"/>
  <c r="D12" i="87"/>
  <c r="C12" i="87"/>
  <c r="W485" i="21" l="1"/>
  <c r="K100" i="60"/>
  <c r="N133" i="60"/>
  <c r="N98" i="60"/>
  <c r="O132" i="60"/>
  <c r="V129" i="60"/>
  <c r="W93" i="60"/>
  <c r="Y126" i="60"/>
  <c r="Z90" i="60"/>
  <c r="R96" i="60"/>
  <c r="H130" i="60"/>
  <c r="H95" i="60"/>
  <c r="I129" i="60"/>
  <c r="I101" i="60"/>
  <c r="P134" i="60"/>
  <c r="P99" i="60"/>
  <c r="S131" i="60"/>
  <c r="S96" i="60"/>
  <c r="T130" i="60"/>
  <c r="T98" i="60"/>
  <c r="V11" i="60"/>
  <c r="W8" i="60"/>
  <c r="Z125" i="60"/>
  <c r="AA89" i="60"/>
  <c r="W128" i="60"/>
  <c r="X92" i="60"/>
  <c r="J131" i="60"/>
  <c r="K130" i="60"/>
  <c r="J96" i="60"/>
  <c r="L130" i="60"/>
  <c r="Q129" i="60"/>
  <c r="R128" i="60"/>
  <c r="Q94" i="60"/>
  <c r="U31" i="60"/>
  <c r="AA124" i="60"/>
  <c r="AB88" i="60"/>
  <c r="L98" i="60"/>
  <c r="X127" i="60"/>
  <c r="Y91" i="60"/>
  <c r="M133" i="60"/>
  <c r="M98" i="60"/>
  <c r="U130" i="60"/>
  <c r="V94" i="60"/>
  <c r="U95" i="60"/>
  <c r="AB123" i="60"/>
  <c r="O101" i="60"/>
  <c r="W586" i="21"/>
  <c r="BH203" i="40"/>
  <c r="BJ202" i="40"/>
  <c r="CI244" i="40"/>
  <c r="AR198" i="40"/>
  <c r="Y256" i="14"/>
  <c r="AR205" i="40"/>
  <c r="K215" i="40"/>
  <c r="M212" i="40"/>
  <c r="K211" i="40"/>
  <c r="O212" i="40"/>
  <c r="O219" i="40" s="1"/>
  <c r="O226" i="40" s="1"/>
  <c r="O233" i="40" s="1"/>
  <c r="O240" i="40" s="1"/>
  <c r="O247" i="40" s="1"/>
  <c r="O254" i="40" s="1"/>
  <c r="U147" i="8"/>
  <c r="U150" i="8" s="1"/>
  <c r="U144" i="8"/>
  <c r="BH209" i="40"/>
  <c r="BJ208" i="40"/>
  <c r="BA191" i="40"/>
  <c r="BC190" i="40"/>
  <c r="BZ219" i="40"/>
  <c r="BY212" i="40"/>
  <c r="BW225" i="40"/>
  <c r="V144" i="14"/>
  <c r="V156" i="14" s="1"/>
  <c r="U175" i="14"/>
  <c r="U176" i="14" s="1"/>
  <c r="U184" i="14"/>
  <c r="U160" i="14"/>
  <c r="Y319" i="14"/>
  <c r="X118" i="8"/>
  <c r="X332" i="14"/>
  <c r="X333" i="14" s="1"/>
  <c r="W660" i="21"/>
  <c r="CA201" i="40"/>
  <c r="BY202" i="40"/>
  <c r="W306" i="21"/>
  <c r="N486" i="21"/>
  <c r="P486" i="21" s="1"/>
  <c r="U486" i="21"/>
  <c r="W486" i="21" s="1"/>
  <c r="BX232" i="40"/>
  <c r="W648" i="21"/>
  <c r="V143" i="8"/>
  <c r="V157" i="8"/>
  <c r="V158" i="8" s="1"/>
  <c r="U661" i="21"/>
  <c r="W649" i="21"/>
  <c r="N308" i="21"/>
  <c r="P308" i="21" s="1"/>
  <c r="N301" i="21"/>
  <c r="P301" i="21" s="1"/>
  <c r="U301" i="21"/>
  <c r="L303" i="21"/>
  <c r="N303" i="21" s="1"/>
  <c r="P303" i="21" s="1"/>
  <c r="EF190" i="40"/>
  <c r="EE191" i="40"/>
  <c r="EF191" i="40" s="1"/>
  <c r="W146" i="14"/>
  <c r="W158" i="14" s="1"/>
  <c r="DN59" i="30"/>
  <c r="U410" i="21"/>
  <c r="M196" i="40"/>
  <c r="W268" i="21"/>
  <c r="W275" i="21"/>
  <c r="CI254" i="40"/>
  <c r="CI250" i="40"/>
  <c r="CI246" i="40"/>
  <c r="CL247" i="40"/>
  <c r="CL250" i="40" s="1"/>
  <c r="CL251" i="40" s="1"/>
  <c r="CL252" i="40" s="1"/>
  <c r="CL253" i="40" s="1"/>
  <c r="J670" i="21"/>
  <c r="W121" i="8"/>
  <c r="W145" i="8" s="1"/>
  <c r="W156" i="8"/>
  <c r="W123" i="8"/>
  <c r="W137" i="8"/>
  <c r="BV231" i="40"/>
  <c r="BX231" i="40" s="1"/>
  <c r="BX230" i="40"/>
  <c r="EF183" i="40"/>
  <c r="EG183" i="40" s="1"/>
  <c r="EE184" i="40"/>
  <c r="EF184" i="40" s="1"/>
  <c r="EG184" i="40" s="1"/>
  <c r="BJ212" i="40"/>
  <c r="BH215" i="40"/>
  <c r="BH211" i="40"/>
  <c r="BK212" i="40"/>
  <c r="EG187" i="40"/>
  <c r="T161" i="14"/>
  <c r="T163" i="14"/>
  <c r="T164" i="14" s="1"/>
  <c r="U307" i="21"/>
  <c r="W307" i="21" s="1"/>
  <c r="N307" i="21"/>
  <c r="P307" i="21" s="1"/>
  <c r="W641" i="21"/>
  <c r="U643" i="21"/>
  <c r="W643" i="21" s="1"/>
  <c r="AD813" i="21"/>
  <c r="AF813" i="21" s="1"/>
  <c r="AB814" i="21"/>
  <c r="AD814" i="21" s="1"/>
  <c r="AF814" i="21" s="1"/>
  <c r="AU197" i="40"/>
  <c r="AF194" i="40"/>
  <c r="AH191" i="40"/>
  <c r="AJ191" i="40"/>
  <c r="AJ198" i="40" s="1"/>
  <c r="AF198" i="40"/>
  <c r="BV237" i="40"/>
  <c r="BX236" i="40"/>
  <c r="AM190" i="40"/>
  <c r="AO197" i="40" s="1"/>
  <c r="AO189" i="40"/>
  <c r="J662" i="21"/>
  <c r="U487" i="21"/>
  <c r="DC184" i="40"/>
  <c r="CY184" i="40"/>
  <c r="DO184" i="40"/>
  <c r="DN184" i="40"/>
  <c r="DJ184" i="40"/>
  <c r="DM184" i="40"/>
  <c r="DL184" i="40"/>
  <c r="DI184" i="40"/>
  <c r="DK184" i="40"/>
  <c r="CI238" i="40"/>
  <c r="N302" i="21"/>
  <c r="P302" i="21" s="1"/>
  <c r="U302" i="21"/>
  <c r="W302" i="21" s="1"/>
  <c r="DO182" i="40"/>
  <c r="CY182" i="40"/>
  <c r="CX182" i="40"/>
  <c r="EG182" i="40" s="1"/>
  <c r="DN182" i="40"/>
  <c r="DJ182" i="40"/>
  <c r="DL182" i="40"/>
  <c r="DM182" i="40"/>
  <c r="DI182" i="40"/>
  <c r="N650" i="21"/>
  <c r="P650" i="21" s="1"/>
  <c r="W478" i="21"/>
  <c r="U480" i="21"/>
  <c r="W480" i="21" s="1"/>
  <c r="U656" i="21"/>
  <c r="W656" i="21" s="1"/>
  <c r="N656" i="21"/>
  <c r="P656" i="21" s="1"/>
  <c r="AO201" i="40"/>
  <c r="AM202" i="40"/>
  <c r="J674" i="21"/>
  <c r="M204" i="40"/>
  <c r="Y278" i="14"/>
  <c r="X115" i="8"/>
  <c r="AT203" i="40"/>
  <c r="N661" i="21"/>
  <c r="P661" i="21" s="1"/>
  <c r="N654" i="21"/>
  <c r="P654" i="21" s="1"/>
  <c r="U654" i="21"/>
  <c r="DM55" i="30"/>
  <c r="V145" i="14"/>
  <c r="V157" i="14" s="1"/>
  <c r="DP188" i="40"/>
  <c r="DQ188" i="40"/>
  <c r="CX188" i="40"/>
  <c r="EG188" i="40" s="1"/>
  <c r="CY188" i="40"/>
  <c r="DO188" i="40"/>
  <c r="DN188" i="40"/>
  <c r="DJ188" i="40"/>
  <c r="DL188" i="40"/>
  <c r="DI188" i="40"/>
  <c r="DM188" i="40"/>
  <c r="W308" i="21"/>
  <c r="CA195" i="40"/>
  <c r="BY196" i="40"/>
  <c r="AT209" i="40"/>
  <c r="BV247" i="40"/>
  <c r="BV243" i="40"/>
  <c r="BX240" i="40"/>
  <c r="BV239" i="40"/>
  <c r="DK188" i="40"/>
  <c r="BY190" i="40"/>
  <c r="CA190" i="40" s="1"/>
  <c r="CA189" i="40"/>
  <c r="BO222" i="40"/>
  <c r="BP219" i="40"/>
  <c r="AB155" i="14" s="1"/>
  <c r="AB159" i="14" s="1"/>
  <c r="AC147" i="14" s="1"/>
  <c r="AC159" i="14" s="1"/>
  <c r="AD147" i="14" s="1"/>
  <c r="AD159" i="14" s="1"/>
  <c r="AE147" i="14" s="1"/>
  <c r="AE159" i="14" s="1"/>
  <c r="AF147" i="14" s="1"/>
  <c r="AF159" i="14" s="1"/>
  <c r="AG147" i="14" s="1"/>
  <c r="AG159" i="14" s="1"/>
  <c r="AH147" i="14" s="1"/>
  <c r="AH159" i="14" s="1"/>
  <c r="DF182" i="40"/>
  <c r="BJ196" i="40"/>
  <c r="D190" i="40"/>
  <c r="M190" i="40"/>
  <c r="AO195" i="40"/>
  <c r="AM196" i="40"/>
  <c r="J668" i="21"/>
  <c r="L668" i="21" s="1"/>
  <c r="U668" i="21" s="1"/>
  <c r="W668" i="21" s="1"/>
  <c r="AM212" i="40"/>
  <c r="AM208" i="40"/>
  <c r="AM204" i="40"/>
  <c r="AO205" i="40"/>
  <c r="AQ205" i="40"/>
  <c r="K209" i="40"/>
  <c r="M208" i="40"/>
  <c r="BI204" i="40"/>
  <c r="DZ204" i="40" s="1"/>
  <c r="BJ204" i="40"/>
  <c r="L655" i="21"/>
  <c r="L657" i="21" s="1"/>
  <c r="N657" i="21" s="1"/>
  <c r="P657" i="21" s="1"/>
  <c r="M202" i="40"/>
  <c r="K203" i="40"/>
  <c r="BY208" i="40"/>
  <c r="CA205" i="40"/>
  <c r="W119" i="8"/>
  <c r="W140" i="8"/>
  <c r="R191" i="40"/>
  <c r="T190" i="40"/>
  <c r="AW208" i="40"/>
  <c r="AW209" i="40" s="1"/>
  <c r="Z297" i="14"/>
  <c r="DB205" i="40"/>
  <c r="AT260" i="40"/>
  <c r="AU260" i="40" s="1"/>
  <c r="AW212" i="40"/>
  <c r="AT215" i="40"/>
  <c r="AT211" i="40"/>
  <c r="Y191" i="40"/>
  <c r="AA190" i="40"/>
  <c r="J309" i="21"/>
  <c r="L309" i="21" s="1"/>
  <c r="DF184" i="40"/>
  <c r="W647" i="21"/>
  <c r="U650" i="21"/>
  <c r="W650" i="21" s="1"/>
  <c r="CW189" i="40"/>
  <c r="DF189" i="40"/>
  <c r="F189" i="40"/>
  <c r="AJ6" i="31"/>
  <c r="BR7" i="35"/>
  <c r="BV7" i="35" s="1"/>
  <c r="BZ7" i="35" s="1"/>
  <c r="CD7" i="35" s="1"/>
  <c r="CH7" i="35" s="1"/>
  <c r="CL7" i="35" s="1"/>
  <c r="CP7" i="35" s="1"/>
  <c r="CT7" i="35" s="1"/>
  <c r="CX7" i="35" s="1"/>
  <c r="DB7" i="35" s="1"/>
  <c r="AL83" i="3"/>
  <c r="AL87" i="3" s="1"/>
  <c r="AL82" i="3"/>
  <c r="AL63" i="3"/>
  <c r="AP62" i="32"/>
  <c r="AP64" i="32" s="1"/>
  <c r="AP9" i="3"/>
  <c r="AN92" i="3"/>
  <c r="AN93" i="3" s="1"/>
  <c r="AN15" i="3"/>
  <c r="AN27" i="3" s="1"/>
  <c r="BH98" i="3"/>
  <c r="BJ96" i="3"/>
  <c r="U587" i="21"/>
  <c r="W583" i="21"/>
  <c r="L427" i="21"/>
  <c r="L423" i="21"/>
  <c r="L424" i="21" s="1"/>
  <c r="O247" i="14"/>
  <c r="P242" i="14"/>
  <c r="P246" i="14" s="1"/>
  <c r="J600" i="21"/>
  <c r="DG57" i="30"/>
  <c r="O259" i="14"/>
  <c r="O260" i="14" s="1"/>
  <c r="O268" i="14"/>
  <c r="AA329" i="14"/>
  <c r="AB325" i="14"/>
  <c r="AB328" i="14" s="1"/>
  <c r="AA341" i="14"/>
  <c r="N590" i="21"/>
  <c r="P590" i="21" s="1"/>
  <c r="U590" i="21"/>
  <c r="L594" i="21"/>
  <c r="N594" i="21" s="1"/>
  <c r="N46" i="21"/>
  <c r="P46" i="21" s="1"/>
  <c r="U46" i="21"/>
  <c r="L225" i="21"/>
  <c r="L229" i="21"/>
  <c r="Y317" i="14"/>
  <c r="Y276" i="14"/>
  <c r="Y234" i="14"/>
  <c r="Z234" i="14" s="1"/>
  <c r="AA234" i="14" s="1"/>
  <c r="Y192" i="14"/>
  <c r="Z192" i="14" s="1"/>
  <c r="AA192" i="14" s="1"/>
  <c r="Y136" i="14"/>
  <c r="Z136" i="14" s="1"/>
  <c r="AA136" i="14" s="1"/>
  <c r="Y63" i="14"/>
  <c r="Z63" i="14" s="1"/>
  <c r="AA63" i="14" s="1"/>
  <c r="Z5" i="14"/>
  <c r="W413" i="21"/>
  <c r="L75" i="87"/>
  <c r="L170" i="87" s="1"/>
  <c r="V284" i="14"/>
  <c r="V287" i="14" s="1"/>
  <c r="U288" i="14"/>
  <c r="DM58" i="30"/>
  <c r="U309" i="14"/>
  <c r="U300" i="14"/>
  <c r="U301" i="14" s="1"/>
  <c r="P205" i="14"/>
  <c r="Q200" i="14"/>
  <c r="Q204" i="14" s="1"/>
  <c r="DH56" i="30"/>
  <c r="P217" i="14"/>
  <c r="P218" i="14" s="1"/>
  <c r="P226" i="14"/>
  <c r="N248" i="14"/>
  <c r="N250" i="14"/>
  <c r="N251" i="14" s="1"/>
  <c r="U222" i="21"/>
  <c r="W222" i="21" s="1"/>
  <c r="N222" i="21"/>
  <c r="P222" i="21" s="1"/>
  <c r="L226" i="21"/>
  <c r="N226" i="21" s="1"/>
  <c r="N420" i="21"/>
  <c r="P420" i="21" s="1"/>
  <c r="U420" i="21"/>
  <c r="S78" i="14"/>
  <c r="S94" i="14" s="1"/>
  <c r="R118" i="14"/>
  <c r="R97" i="14"/>
  <c r="Z330" i="14"/>
  <c r="N43" i="21"/>
  <c r="P43" i="21" s="1"/>
  <c r="U43" i="21"/>
  <c r="W43" i="21" s="1"/>
  <c r="N586" i="21"/>
  <c r="P586" i="21" s="1"/>
  <c r="U42" i="21"/>
  <c r="N42" i="21"/>
  <c r="P42" i="21" s="1"/>
  <c r="L161" i="14"/>
  <c r="L163" i="14"/>
  <c r="M161" i="14"/>
  <c r="H75" i="87"/>
  <c r="L176" i="14"/>
  <c r="M176" i="14"/>
  <c r="T289" i="14"/>
  <c r="T291" i="14"/>
  <c r="T292" i="14" s="1"/>
  <c r="O206" i="14"/>
  <c r="O208" i="14"/>
  <c r="O209" i="14" s="1"/>
  <c r="L597" i="21"/>
  <c r="L593" i="21"/>
  <c r="N219" i="21"/>
  <c r="P219" i="21" s="1"/>
  <c r="U219" i="21"/>
  <c r="W219" i="21" s="1"/>
  <c r="N225" i="21"/>
  <c r="P225" i="21" s="1"/>
  <c r="U218" i="21"/>
  <c r="W218" i="21" s="1"/>
  <c r="N218" i="21"/>
  <c r="P218" i="21" s="1"/>
  <c r="N416" i="21"/>
  <c r="P416" i="21" s="1"/>
  <c r="U416" i="21"/>
  <c r="W416" i="21" s="1"/>
  <c r="L417" i="21"/>
  <c r="N417" i="21" s="1"/>
  <c r="S101" i="8"/>
  <c r="T5" i="8"/>
  <c r="AE25" i="8"/>
  <c r="DF273" i="36"/>
  <c r="DF269" i="36"/>
  <c r="DF279" i="36"/>
  <c r="DG268" i="36"/>
  <c r="E92" i="87"/>
  <c r="E133" i="87"/>
  <c r="E51" i="87"/>
  <c r="I133" i="87"/>
  <c r="I92" i="87"/>
  <c r="I51" i="87"/>
  <c r="H140" i="87"/>
  <c r="H99" i="87"/>
  <c r="H58" i="87"/>
  <c r="T140" i="87"/>
  <c r="T99" i="87"/>
  <c r="T58" i="87"/>
  <c r="E145" i="87"/>
  <c r="E63" i="87"/>
  <c r="E104" i="87" s="1"/>
  <c r="I145" i="87"/>
  <c r="I63" i="87"/>
  <c r="I104" i="87" s="1"/>
  <c r="E140" i="87"/>
  <c r="E99" i="87"/>
  <c r="E58" i="87"/>
  <c r="M140" i="87"/>
  <c r="M99" i="87"/>
  <c r="M58" i="87"/>
  <c r="Q140" i="87"/>
  <c r="Q99" i="87"/>
  <c r="Q58" i="87"/>
  <c r="U140" i="87"/>
  <c r="U99" i="87"/>
  <c r="U58" i="87"/>
  <c r="C133" i="87"/>
  <c r="C92" i="87"/>
  <c r="C51" i="87"/>
  <c r="G133" i="87"/>
  <c r="G92" i="87"/>
  <c r="G51" i="87"/>
  <c r="K133" i="87"/>
  <c r="K51" i="87"/>
  <c r="K92" i="87"/>
  <c r="O133" i="87"/>
  <c r="O92" i="87"/>
  <c r="O51" i="87"/>
  <c r="J140" i="87"/>
  <c r="J99" i="87"/>
  <c r="J58" i="87"/>
  <c r="N140" i="87"/>
  <c r="N99" i="87"/>
  <c r="N58" i="87"/>
  <c r="R140" i="87"/>
  <c r="R99" i="87"/>
  <c r="R58" i="87"/>
  <c r="C145" i="87"/>
  <c r="C63" i="87"/>
  <c r="C104" i="87" s="1"/>
  <c r="G145" i="87"/>
  <c r="G63" i="87"/>
  <c r="G104" i="87" s="1"/>
  <c r="K145" i="87"/>
  <c r="K63" i="87"/>
  <c r="K104" i="87" s="1"/>
  <c r="O147" i="87"/>
  <c r="O145" i="87" s="1"/>
  <c r="O63" i="87"/>
  <c r="E169" i="87"/>
  <c r="E116" i="87"/>
  <c r="E75" i="87"/>
  <c r="I169" i="87"/>
  <c r="I75" i="87"/>
  <c r="I116" i="87"/>
  <c r="M171" i="87"/>
  <c r="M169" i="87" s="1"/>
  <c r="M116" i="87"/>
  <c r="M172" i="87" s="1"/>
  <c r="M75" i="87"/>
  <c r="M170" i="87" s="1"/>
  <c r="L133" i="87"/>
  <c r="L92" i="87"/>
  <c r="L51" i="87"/>
  <c r="D145" i="87"/>
  <c r="D63" i="87"/>
  <c r="D104" i="87" s="1"/>
  <c r="H145" i="87"/>
  <c r="H63" i="87"/>
  <c r="H104" i="87" s="1"/>
  <c r="L147" i="87"/>
  <c r="L145" i="87" s="1"/>
  <c r="L63" i="87"/>
  <c r="D133" i="87"/>
  <c r="D92" i="87"/>
  <c r="D51" i="87"/>
  <c r="M133" i="87"/>
  <c r="M92" i="87"/>
  <c r="M51" i="87"/>
  <c r="L140" i="87"/>
  <c r="L99" i="87"/>
  <c r="L58" i="87"/>
  <c r="H133" i="87"/>
  <c r="H92" i="87"/>
  <c r="H51" i="87"/>
  <c r="U92" i="87"/>
  <c r="U133" i="87"/>
  <c r="U51" i="87"/>
  <c r="D140" i="87"/>
  <c r="D99" i="87"/>
  <c r="D58" i="87"/>
  <c r="P140" i="87"/>
  <c r="I140" i="87"/>
  <c r="I99" i="87"/>
  <c r="I58" i="87"/>
  <c r="F133" i="87"/>
  <c r="F51" i="87"/>
  <c r="J133" i="87"/>
  <c r="J92" i="87"/>
  <c r="J51" i="87"/>
  <c r="N133" i="87"/>
  <c r="N92" i="87"/>
  <c r="N51" i="87"/>
  <c r="C140" i="87"/>
  <c r="C99" i="87"/>
  <c r="C58" i="87"/>
  <c r="G140" i="87"/>
  <c r="G99" i="87"/>
  <c r="G58" i="87"/>
  <c r="K99" i="87"/>
  <c r="K140" i="87"/>
  <c r="K58" i="87"/>
  <c r="O140" i="87"/>
  <c r="O99" i="87"/>
  <c r="O58" i="87"/>
  <c r="S140" i="87"/>
  <c r="S99" i="87"/>
  <c r="S58" i="87"/>
  <c r="F145" i="87"/>
  <c r="F63" i="87"/>
  <c r="F104" i="87" s="1"/>
  <c r="J145" i="87"/>
  <c r="J63" i="87"/>
  <c r="J104" i="87" s="1"/>
  <c r="G169" i="87"/>
  <c r="G116" i="87"/>
  <c r="K169" i="87"/>
  <c r="K116" i="87"/>
  <c r="O171" i="87"/>
  <c r="O169" i="87" s="1"/>
  <c r="O116" i="87"/>
  <c r="O172" i="87" s="1"/>
  <c r="C169" i="87"/>
  <c r="C116" i="87"/>
  <c r="F92" i="87"/>
  <c r="F169" i="87"/>
  <c r="F116" i="87"/>
  <c r="F75" i="87"/>
  <c r="J169" i="87"/>
  <c r="J116" i="87"/>
  <c r="J75" i="87"/>
  <c r="N171" i="87"/>
  <c r="N169" i="87" s="1"/>
  <c r="N116" i="87"/>
  <c r="N172" i="87" s="1"/>
  <c r="N75" i="87"/>
  <c r="N170" i="87" s="1"/>
  <c r="C75" i="87"/>
  <c r="H116" i="87"/>
  <c r="L116" i="87"/>
  <c r="L172" i="87" s="1"/>
  <c r="Q130" i="60" l="1"/>
  <c r="Q95" i="60"/>
  <c r="R129" i="60"/>
  <c r="J132" i="60"/>
  <c r="J97" i="60"/>
  <c r="K131" i="60"/>
  <c r="L131" i="60"/>
  <c r="H131" i="60"/>
  <c r="H33" i="60"/>
  <c r="H96" i="60"/>
  <c r="I130" i="60"/>
  <c r="Z126" i="60"/>
  <c r="AA90" i="60"/>
  <c r="M134" i="60"/>
  <c r="M99" i="60"/>
  <c r="L99" i="60"/>
  <c r="AA125" i="60"/>
  <c r="AB89" i="60"/>
  <c r="X8" i="60"/>
  <c r="W11" i="60"/>
  <c r="S97" i="60"/>
  <c r="T131" i="60"/>
  <c r="I102" i="60"/>
  <c r="N134" i="60"/>
  <c r="N99" i="60"/>
  <c r="O133" i="60"/>
  <c r="U131" i="60"/>
  <c r="V95" i="60"/>
  <c r="U96" i="60"/>
  <c r="T99" i="60"/>
  <c r="R97" i="60"/>
  <c r="S132" i="60" s="1"/>
  <c r="W129" i="60"/>
  <c r="X93" i="60"/>
  <c r="V31" i="60"/>
  <c r="O102" i="60"/>
  <c r="V130" i="60"/>
  <c r="W94" i="60"/>
  <c r="Y127" i="60"/>
  <c r="Z91" i="60"/>
  <c r="AB124" i="60"/>
  <c r="X128" i="60"/>
  <c r="Y92" i="60"/>
  <c r="P135" i="60"/>
  <c r="P100" i="60"/>
  <c r="K101" i="60"/>
  <c r="Z294" i="14"/>
  <c r="Z33" i="14"/>
  <c r="M203" i="40"/>
  <c r="AO212" i="40"/>
  <c r="AM215" i="40"/>
  <c r="AM211" i="40"/>
  <c r="AQ212" i="40"/>
  <c r="AQ219" i="40" s="1"/>
  <c r="AQ226" i="40" s="1"/>
  <c r="AQ233" i="40" s="1"/>
  <c r="AQ240" i="40" s="1"/>
  <c r="AQ247" i="40" s="1"/>
  <c r="AQ254" i="40" s="1"/>
  <c r="AT210" i="40"/>
  <c r="W145" i="14"/>
  <c r="W157" i="14" s="1"/>
  <c r="DN55" i="30"/>
  <c r="X123" i="8"/>
  <c r="X137" i="8"/>
  <c r="X156" i="8"/>
  <c r="X121" i="8"/>
  <c r="X145" i="8" s="1"/>
  <c r="L204" i="40"/>
  <c r="L662" i="21"/>
  <c r="BH216" i="40"/>
  <c r="BJ215" i="40"/>
  <c r="CI251" i="40"/>
  <c r="X146" i="14"/>
  <c r="X158" i="14" s="1"/>
  <c r="DO59" i="30"/>
  <c r="W301" i="21"/>
  <c r="U303" i="21"/>
  <c r="W303" i="21" s="1"/>
  <c r="V147" i="8"/>
  <c r="V150" i="8" s="1"/>
  <c r="V144" i="8"/>
  <c r="CA202" i="40"/>
  <c r="BY203" i="40"/>
  <c r="CA212" i="40"/>
  <c r="BY215" i="40"/>
  <c r="BA198" i="40"/>
  <c r="BA194" i="40"/>
  <c r="BC191" i="40"/>
  <c r="BE191" i="40"/>
  <c r="BE198" i="40" s="1"/>
  <c r="Y194" i="40"/>
  <c r="AA191" i="40"/>
  <c r="Y198" i="40"/>
  <c r="AC191" i="40"/>
  <c r="AC198" i="40" s="1"/>
  <c r="AW215" i="40"/>
  <c r="AW216" i="40" s="1"/>
  <c r="AW217" i="40" s="1"/>
  <c r="AW218" i="40" s="1"/>
  <c r="AW219" i="40" s="1"/>
  <c r="AA297" i="14"/>
  <c r="AA294" i="14" s="1"/>
  <c r="AO294" i="14" s="1"/>
  <c r="AW210" i="40"/>
  <c r="DB209" i="40"/>
  <c r="K210" i="40"/>
  <c r="M209" i="40"/>
  <c r="BO229" i="40"/>
  <c r="BR226" i="40"/>
  <c r="BO233" i="40"/>
  <c r="BV244" i="40"/>
  <c r="BX243" i="40"/>
  <c r="BY197" i="40"/>
  <c r="CA197" i="40" s="1"/>
  <c r="CA196" i="40"/>
  <c r="Z278" i="14"/>
  <c r="Y115" i="8"/>
  <c r="BX237" i="40"/>
  <c r="BV238" i="40"/>
  <c r="BX238" i="40" s="1"/>
  <c r="DX197" i="40"/>
  <c r="AW197" i="40"/>
  <c r="CI253" i="40"/>
  <c r="CL254" i="40"/>
  <c r="W661" i="21"/>
  <c r="X119" i="8"/>
  <c r="X140" i="8"/>
  <c r="BZ226" i="40"/>
  <c r="BY219" i="40"/>
  <c r="M215" i="40"/>
  <c r="K216" i="40"/>
  <c r="CX189" i="40"/>
  <c r="EG189" i="40" s="1"/>
  <c r="DP189" i="40"/>
  <c r="CY189" i="40"/>
  <c r="DQ189" i="40"/>
  <c r="DO189" i="40"/>
  <c r="DN189" i="40"/>
  <c r="DJ189" i="40"/>
  <c r="DI189" i="40"/>
  <c r="DM189" i="40"/>
  <c r="DL189" i="40"/>
  <c r="N309" i="21"/>
  <c r="P309" i="21" s="1"/>
  <c r="U309" i="21"/>
  <c r="W309" i="21" s="1"/>
  <c r="AU211" i="40"/>
  <c r="DX211" i="40" s="1"/>
  <c r="AO204" i="40"/>
  <c r="J677" i="21"/>
  <c r="AO196" i="40"/>
  <c r="J669" i="21"/>
  <c r="BO223" i="40"/>
  <c r="BX239" i="40"/>
  <c r="BV254" i="40"/>
  <c r="BV250" i="40"/>
  <c r="BX247" i="40"/>
  <c r="BV246" i="40"/>
  <c r="AM203" i="40"/>
  <c r="AN204" i="40" s="1"/>
  <c r="DW204" i="40" s="1"/>
  <c r="AO202" i="40"/>
  <c r="J675" i="21"/>
  <c r="L675" i="21" s="1"/>
  <c r="AO190" i="40"/>
  <c r="J663" i="21"/>
  <c r="L667" i="21" s="1"/>
  <c r="AH198" i="40"/>
  <c r="AF201" i="40"/>
  <c r="AI198" i="40"/>
  <c r="AF197" i="40"/>
  <c r="AF205" i="40"/>
  <c r="AH194" i="40"/>
  <c r="AF195" i="40"/>
  <c r="J490" i="21"/>
  <c r="L490" i="21" s="1"/>
  <c r="L310" i="21"/>
  <c r="N310" i="21" s="1"/>
  <c r="P310" i="21" s="1"/>
  <c r="BM212" i="40"/>
  <c r="BM219" i="40"/>
  <c r="W157" i="8"/>
  <c r="W158" i="8" s="1"/>
  <c r="W143" i="8"/>
  <c r="L674" i="21"/>
  <c r="N668" i="21"/>
  <c r="P668" i="21" s="1"/>
  <c r="U310" i="21"/>
  <c r="W310" i="21" s="1"/>
  <c r="Z319" i="14"/>
  <c r="Y118" i="8"/>
  <c r="Y332" i="14"/>
  <c r="Y333" i="14" s="1"/>
  <c r="V184" i="14"/>
  <c r="V175" i="14"/>
  <c r="V176" i="14" s="1"/>
  <c r="W144" i="14"/>
  <c r="W156" i="14" s="1"/>
  <c r="V160" i="14"/>
  <c r="CI245" i="40"/>
  <c r="BJ203" i="40"/>
  <c r="AT216" i="40"/>
  <c r="DD205" i="40"/>
  <c r="Z31" i="14"/>
  <c r="R198" i="40"/>
  <c r="R194" i="40"/>
  <c r="T191" i="40"/>
  <c r="V191" i="40"/>
  <c r="V198" i="40" s="1"/>
  <c r="CA208" i="40"/>
  <c r="BY209" i="40"/>
  <c r="U655" i="21"/>
  <c r="W655" i="21" s="1"/>
  <c r="N655" i="21"/>
  <c r="P655" i="21" s="1"/>
  <c r="AM209" i="40"/>
  <c r="AO208" i="40"/>
  <c r="J681" i="21"/>
  <c r="D191" i="40"/>
  <c r="F190" i="40"/>
  <c r="CW190" i="40"/>
  <c r="DF190" i="40" s="1"/>
  <c r="W654" i="21"/>
  <c r="W487" i="21"/>
  <c r="DK189" i="40"/>
  <c r="AU204" i="40"/>
  <c r="BJ211" i="40"/>
  <c r="BI211" i="40"/>
  <c r="DZ211" i="40" s="1"/>
  <c r="BW232" i="40"/>
  <c r="U163" i="14"/>
  <c r="U164" i="14" s="1"/>
  <c r="U161" i="14"/>
  <c r="BH210" i="40"/>
  <c r="BJ209" i="40"/>
  <c r="L211" i="40"/>
  <c r="M211" i="40"/>
  <c r="Y257" i="14"/>
  <c r="Z253" i="14"/>
  <c r="Y253" i="14"/>
  <c r="Z257" i="14"/>
  <c r="AR62" i="32"/>
  <c r="AR64" i="32" s="1"/>
  <c r="AR9" i="3"/>
  <c r="AN83" i="3"/>
  <c r="AN87" i="3" s="1"/>
  <c r="AN82" i="3"/>
  <c r="AN63" i="3"/>
  <c r="AP92" i="3"/>
  <c r="AP93" i="3" s="1"/>
  <c r="AP15" i="3"/>
  <c r="AP27" i="3" s="1"/>
  <c r="BJ98" i="3"/>
  <c r="BL96" i="3"/>
  <c r="W46" i="21"/>
  <c r="N424" i="21"/>
  <c r="P424" i="21" s="1"/>
  <c r="N229" i="21"/>
  <c r="P229" i="21" s="1"/>
  <c r="U229" i="21"/>
  <c r="L233" i="21"/>
  <c r="N236" i="21"/>
  <c r="P236" i="21" s="1"/>
  <c r="W590" i="21"/>
  <c r="AA330" i="14"/>
  <c r="O248" i="14"/>
  <c r="O250" i="14"/>
  <c r="O251" i="14" s="1"/>
  <c r="AB329" i="14"/>
  <c r="AC325" i="14"/>
  <c r="AC328" i="14" s="1"/>
  <c r="AB341" i="14"/>
  <c r="P247" i="14"/>
  <c r="Q242" i="14"/>
  <c r="Q246" i="14" s="1"/>
  <c r="DH57" i="30"/>
  <c r="P268" i="14"/>
  <c r="P259" i="14"/>
  <c r="P260" i="14" s="1"/>
  <c r="S118" i="14"/>
  <c r="S97" i="14"/>
  <c r="T78" i="14"/>
  <c r="T94" i="14" s="1"/>
  <c r="W420" i="21"/>
  <c r="Q205" i="14"/>
  <c r="R200" i="14"/>
  <c r="R204" i="14" s="1"/>
  <c r="DI56" i="30"/>
  <c r="Q217" i="14"/>
  <c r="Q218" i="14" s="1"/>
  <c r="Q226" i="14"/>
  <c r="U417" i="21"/>
  <c r="W417" i="21" s="1"/>
  <c r="Z317" i="14"/>
  <c r="Z276" i="14"/>
  <c r="AA5" i="14"/>
  <c r="N232" i="21"/>
  <c r="P232" i="21" s="1"/>
  <c r="U225" i="21"/>
  <c r="N430" i="21"/>
  <c r="P430" i="21" s="1"/>
  <c r="N423" i="21"/>
  <c r="P423" i="21" s="1"/>
  <c r="U423" i="21"/>
  <c r="U424" i="21" s="1"/>
  <c r="W424" i="21" s="1"/>
  <c r="U597" i="21"/>
  <c r="N597" i="21"/>
  <c r="P597" i="21" s="1"/>
  <c r="V288" i="14"/>
  <c r="AK287" i="14"/>
  <c r="W284" i="14"/>
  <c r="W287" i="14" s="1"/>
  <c r="DN58" i="30"/>
  <c r="V309" i="14"/>
  <c r="V300" i="14"/>
  <c r="V301" i="14" s="1"/>
  <c r="N593" i="21"/>
  <c r="P593" i="21" s="1"/>
  <c r="U593" i="21"/>
  <c r="W593" i="21" s="1"/>
  <c r="L164" i="14"/>
  <c r="M164" i="14"/>
  <c r="P206" i="14"/>
  <c r="P208" i="14"/>
  <c r="P209" i="14" s="1"/>
  <c r="U289" i="14"/>
  <c r="U291" i="14"/>
  <c r="U292" i="14" s="1"/>
  <c r="L604" i="21"/>
  <c r="L600" i="21"/>
  <c r="L601" i="21" s="1"/>
  <c r="N601" i="21" s="1"/>
  <c r="P601" i="21" s="1"/>
  <c r="N427" i="21"/>
  <c r="P427" i="21" s="1"/>
  <c r="L431" i="21"/>
  <c r="U427" i="21"/>
  <c r="N434" i="21"/>
  <c r="P434" i="21" s="1"/>
  <c r="AF25" i="8"/>
  <c r="AN25" i="8"/>
  <c r="T101" i="8"/>
  <c r="U5" i="8"/>
  <c r="DF280" i="36"/>
  <c r="DG269" i="36"/>
  <c r="DF270" i="36"/>
  <c r="L146" i="87"/>
  <c r="L104" i="87"/>
  <c r="L148" i="87" s="1"/>
  <c r="O146" i="87"/>
  <c r="O104" i="87"/>
  <c r="O148" i="87" s="1"/>
  <c r="X157" i="8" l="1"/>
  <c r="X158" i="8" s="1"/>
  <c r="H132" i="60"/>
  <c r="H97" i="60"/>
  <c r="I131" i="60"/>
  <c r="Z127" i="60"/>
  <c r="AA91" i="60"/>
  <c r="O103" i="60"/>
  <c r="V131" i="60"/>
  <c r="W95" i="60"/>
  <c r="V68" i="60"/>
  <c r="V66" i="60" s="1"/>
  <c r="V67" i="60" s="1"/>
  <c r="S98" i="60"/>
  <c r="T132" i="60"/>
  <c r="K102" i="60"/>
  <c r="Y128" i="60"/>
  <c r="Z92" i="60"/>
  <c r="X129" i="60"/>
  <c r="Y93" i="60"/>
  <c r="T100" i="60"/>
  <c r="I103" i="60"/>
  <c r="AB125" i="60"/>
  <c r="M135" i="60"/>
  <c r="M100" i="60"/>
  <c r="Q131" i="60"/>
  <c r="Q96" i="60"/>
  <c r="R130" i="60"/>
  <c r="W130" i="60"/>
  <c r="X94" i="60"/>
  <c r="W31" i="60"/>
  <c r="P136" i="60"/>
  <c r="P101" i="60"/>
  <c r="R98" i="60"/>
  <c r="U132" i="60"/>
  <c r="V96" i="60"/>
  <c r="U97" i="60"/>
  <c r="N135" i="60"/>
  <c r="N100" i="60"/>
  <c r="O134" i="60"/>
  <c r="X11" i="60"/>
  <c r="Y8" i="60"/>
  <c r="L100" i="60"/>
  <c r="AA126" i="60"/>
  <c r="AB90" i="60"/>
  <c r="AB126" i="60" s="1"/>
  <c r="H24" i="60"/>
  <c r="H30" i="60"/>
  <c r="H15" i="60" s="1"/>
  <c r="I29" i="60"/>
  <c r="H29" i="60"/>
  <c r="J133" i="60"/>
  <c r="J98" i="60"/>
  <c r="K132" i="60"/>
  <c r="L132" i="60"/>
  <c r="AM210" i="40"/>
  <c r="AO209" i="40"/>
  <c r="J682" i="21"/>
  <c r="L682" i="21" s="1"/>
  <c r="T198" i="40"/>
  <c r="R201" i="40"/>
  <c r="R205" i="40"/>
  <c r="U198" i="40"/>
  <c r="R197" i="40"/>
  <c r="Z118" i="8"/>
  <c r="AA319" i="14"/>
  <c r="Z332" i="14"/>
  <c r="Z333" i="14" s="1"/>
  <c r="U674" i="21"/>
  <c r="N674" i="21"/>
  <c r="P674" i="21" s="1"/>
  <c r="AH197" i="40"/>
  <c r="J493" i="21"/>
  <c r="L493" i="21" s="1"/>
  <c r="U667" i="21"/>
  <c r="N667" i="21"/>
  <c r="P667" i="21" s="1"/>
  <c r="BX246" i="40"/>
  <c r="BW239" i="40"/>
  <c r="L670" i="21"/>
  <c r="L669" i="21"/>
  <c r="L671" i="21" s="1"/>
  <c r="N671" i="21" s="1"/>
  <c r="BY222" i="40"/>
  <c r="CA219" i="40"/>
  <c r="BO230" i="40"/>
  <c r="DD216" i="40"/>
  <c r="DD209" i="40"/>
  <c r="Z188" i="19"/>
  <c r="AW222" i="40"/>
  <c r="AW223" i="40" s="1"/>
  <c r="AW224" i="40" s="1"/>
  <c r="AB297" i="14"/>
  <c r="Y195" i="40"/>
  <c r="AA194" i="40"/>
  <c r="J313" i="21"/>
  <c r="L313" i="21" s="1"/>
  <c r="BA195" i="40"/>
  <c r="BC194" i="40"/>
  <c r="Y146" i="14"/>
  <c r="Y158" i="14" s="1"/>
  <c r="DP59" i="30"/>
  <c r="L663" i="21"/>
  <c r="X143" i="8"/>
  <c r="AO211" i="40"/>
  <c r="AN211" i="40"/>
  <c r="DW211" i="40" s="1"/>
  <c r="J684" i="21"/>
  <c r="CY190" i="40"/>
  <c r="DQ190" i="40"/>
  <c r="CX190" i="40"/>
  <c r="DP190" i="40"/>
  <c r="DO190" i="40"/>
  <c r="DN190" i="40"/>
  <c r="DL190" i="40"/>
  <c r="DJ190" i="40"/>
  <c r="DM190" i="40"/>
  <c r="DI190" i="40"/>
  <c r="Z32" i="14"/>
  <c r="Z28" i="14"/>
  <c r="DR61" i="30"/>
  <c r="AT217" i="40"/>
  <c r="W144" i="8"/>
  <c r="W147" i="8"/>
  <c r="W150" i="8" s="1"/>
  <c r="AK198" i="40"/>
  <c r="Y214" i="14"/>
  <c r="AK205" i="40"/>
  <c r="DK190" i="40"/>
  <c r="AO203" i="40"/>
  <c r="J676" i="21"/>
  <c r="L676" i="21" s="1"/>
  <c r="K217" i="40"/>
  <c r="M216" i="40"/>
  <c r="BZ233" i="40"/>
  <c r="BY226" i="40"/>
  <c r="AW211" i="40"/>
  <c r="DB211" i="40" s="1"/>
  <c r="DB210" i="40"/>
  <c r="BA205" i="40"/>
  <c r="BA201" i="40"/>
  <c r="BD198" i="40"/>
  <c r="BA197" i="40"/>
  <c r="BC198" i="40"/>
  <c r="BY204" i="40"/>
  <c r="CA204" i="40" s="1"/>
  <c r="CA203" i="40"/>
  <c r="BJ216" i="40"/>
  <c r="BH217" i="40"/>
  <c r="DS204" i="40"/>
  <c r="AM216" i="40"/>
  <c r="AO215" i="40"/>
  <c r="J688" i="21"/>
  <c r="Z254" i="14"/>
  <c r="Z270" i="14" s="1"/>
  <c r="Y262" i="14"/>
  <c r="Y263" i="14" s="1"/>
  <c r="Y254" i="14"/>
  <c r="Y270" i="14" s="1"/>
  <c r="BJ210" i="40"/>
  <c r="V163" i="14"/>
  <c r="V164" i="14" s="1"/>
  <c r="V161" i="14"/>
  <c r="U490" i="21"/>
  <c r="N490" i="21"/>
  <c r="P490" i="21" s="1"/>
  <c r="AF202" i="40"/>
  <c r="AH201" i="40"/>
  <c r="J497" i="21"/>
  <c r="L497" i="21" s="1"/>
  <c r="BV251" i="40"/>
  <c r="BX250" i="40"/>
  <c r="EE197" i="40"/>
  <c r="ED197" i="40"/>
  <c r="ED198" i="40" s="1"/>
  <c r="Y123" i="8"/>
  <c r="Y156" i="8"/>
  <c r="Y137" i="8"/>
  <c r="Y121" i="8"/>
  <c r="Y145" i="8" s="1"/>
  <c r="BO240" i="40"/>
  <c r="BO236" i="40"/>
  <c r="BR233" i="40"/>
  <c r="BO232" i="40"/>
  <c r="Y201" i="40"/>
  <c r="AB198" i="40"/>
  <c r="Y205" i="40"/>
  <c r="AA198" i="40"/>
  <c r="Y197" i="40"/>
  <c r="CI252" i="40"/>
  <c r="Z262" i="14"/>
  <c r="AA254" i="14"/>
  <c r="AA270" i="14" s="1"/>
  <c r="DS211" i="40"/>
  <c r="DX204" i="40"/>
  <c r="AW204" i="40"/>
  <c r="U657" i="21"/>
  <c r="W657" i="21" s="1"/>
  <c r="DF191" i="40"/>
  <c r="F191" i="40"/>
  <c r="E191" i="40"/>
  <c r="CW191" i="40"/>
  <c r="H191" i="40"/>
  <c r="CA209" i="40"/>
  <c r="BY210" i="40"/>
  <c r="R195" i="40"/>
  <c r="T194" i="40"/>
  <c r="D194" i="40"/>
  <c r="W175" i="14"/>
  <c r="W176" i="14" s="1"/>
  <c r="X144" i="14"/>
  <c r="X156" i="14" s="1"/>
  <c r="W160" i="14"/>
  <c r="W184" i="14"/>
  <c r="Y140" i="8"/>
  <c r="Y119" i="8"/>
  <c r="AF196" i="40"/>
  <c r="AH195" i="40"/>
  <c r="J491" i="21"/>
  <c r="L491" i="21" s="1"/>
  <c r="AF212" i="40"/>
  <c r="AF208" i="40"/>
  <c r="AH205" i="40"/>
  <c r="AF204" i="40"/>
  <c r="AJ205" i="40"/>
  <c r="N675" i="21"/>
  <c r="P675" i="21" s="1"/>
  <c r="U675" i="21"/>
  <c r="W675" i="21" s="1"/>
  <c r="BV253" i="40"/>
  <c r="BX254" i="40"/>
  <c r="BO224" i="40"/>
  <c r="L681" i="21"/>
  <c r="L677" i="21"/>
  <c r="Z115" i="8"/>
  <c r="AA278" i="14"/>
  <c r="BV245" i="40"/>
  <c r="BX245" i="40" s="1"/>
  <c r="BX244" i="40"/>
  <c r="BR229" i="40"/>
  <c r="BR230" i="40" s="1"/>
  <c r="BR231" i="40" s="1"/>
  <c r="AC172" i="14"/>
  <c r="M210" i="40"/>
  <c r="AO297" i="14"/>
  <c r="AB294" i="14"/>
  <c r="CA215" i="40"/>
  <c r="BY216" i="40"/>
  <c r="U662" i="21"/>
  <c r="N662" i="21"/>
  <c r="P662" i="21" s="1"/>
  <c r="L664" i="21"/>
  <c r="N664" i="21" s="1"/>
  <c r="P664" i="21" s="1"/>
  <c r="X145" i="14"/>
  <c r="X157" i="14" s="1"/>
  <c r="DO55" i="30"/>
  <c r="AP83" i="3"/>
  <c r="AP87" i="3" s="1"/>
  <c r="AP82" i="3"/>
  <c r="AP63" i="3"/>
  <c r="AR92" i="3"/>
  <c r="AR93" i="3" s="1"/>
  <c r="AR15" i="3"/>
  <c r="AR27" i="3" s="1"/>
  <c r="AT62" i="32"/>
  <c r="AT64" i="32" s="1"/>
  <c r="AT9" i="3"/>
  <c r="BN96" i="3"/>
  <c r="BL98" i="3"/>
  <c r="P248" i="14"/>
  <c r="P250" i="14"/>
  <c r="P251" i="14" s="1"/>
  <c r="W288" i="14"/>
  <c r="X284" i="14"/>
  <c r="X287" i="14" s="1"/>
  <c r="DO58" i="30"/>
  <c r="W309" i="14"/>
  <c r="W225" i="21"/>
  <c r="W232" i="21"/>
  <c r="U594" i="21"/>
  <c r="W594" i="21" s="1"/>
  <c r="W423" i="21"/>
  <c r="W430" i="21"/>
  <c r="W229" i="21"/>
  <c r="U233" i="21"/>
  <c r="W240" i="21" s="1"/>
  <c r="W236" i="21"/>
  <c r="N600" i="21"/>
  <c r="P600" i="21" s="1"/>
  <c r="U600" i="21"/>
  <c r="N607" i="21"/>
  <c r="P607" i="21" s="1"/>
  <c r="W434" i="21"/>
  <c r="W427" i="21"/>
  <c r="U431" i="21"/>
  <c r="N604" i="21"/>
  <c r="P604" i="21" s="1"/>
  <c r="N611" i="21"/>
  <c r="P611" i="21" s="1"/>
  <c r="U604" i="21"/>
  <c r="L608" i="21"/>
  <c r="N608" i="21" s="1"/>
  <c r="P608" i="21" s="1"/>
  <c r="U601" i="21"/>
  <c r="W601" i="21" s="1"/>
  <c r="W597" i="21"/>
  <c r="R205" i="14"/>
  <c r="S200" i="14"/>
  <c r="S204" i="14" s="1"/>
  <c r="DJ56" i="30"/>
  <c r="R217" i="14"/>
  <c r="R218" i="14" s="1"/>
  <c r="R226" i="14"/>
  <c r="T97" i="14"/>
  <c r="U78" i="14"/>
  <c r="U94" i="14" s="1"/>
  <c r="T118" i="14"/>
  <c r="AC341" i="14"/>
  <c r="AC329" i="14"/>
  <c r="AD325" i="14"/>
  <c r="AD328" i="14" s="1"/>
  <c r="N438" i="21"/>
  <c r="P438" i="21" s="1"/>
  <c r="N431" i="21"/>
  <c r="P431" i="21" s="1"/>
  <c r="V289" i="14"/>
  <c r="V291" i="14"/>
  <c r="V292" i="14" s="1"/>
  <c r="AA317" i="14"/>
  <c r="AA276" i="14"/>
  <c r="AB5" i="14"/>
  <c r="Q206" i="14"/>
  <c r="Q208" i="14"/>
  <c r="Q209" i="14" s="1"/>
  <c r="Q247" i="14"/>
  <c r="Q259" i="14"/>
  <c r="Q260" i="14" s="1"/>
  <c r="R242" i="14"/>
  <c r="R246" i="14" s="1"/>
  <c r="J614" i="21"/>
  <c r="DI57" i="30"/>
  <c r="Q268" i="14"/>
  <c r="AB330" i="14"/>
  <c r="N233" i="21"/>
  <c r="N240" i="21"/>
  <c r="U101" i="8"/>
  <c r="V5" i="8"/>
  <c r="AG25" i="8"/>
  <c r="DF281" i="36"/>
  <c r="DG270" i="36"/>
  <c r="DF271" i="36"/>
  <c r="DF272" i="36" s="1"/>
  <c r="DF274" i="36"/>
  <c r="R99" i="60" l="1"/>
  <c r="H153" i="60"/>
  <c r="H154" i="60"/>
  <c r="I21" i="60"/>
  <c r="V132" i="60"/>
  <c r="W96" i="60"/>
  <c r="P137" i="60"/>
  <c r="P102" i="60"/>
  <c r="Q132" i="60"/>
  <c r="Q97" i="60"/>
  <c r="R131" i="60"/>
  <c r="S134" i="60"/>
  <c r="S99" i="60"/>
  <c r="T133" i="60"/>
  <c r="Y11" i="60"/>
  <c r="Z8" i="60"/>
  <c r="N136" i="60"/>
  <c r="N101" i="60"/>
  <c r="O135" i="60"/>
  <c r="X130" i="60"/>
  <c r="Y94" i="60"/>
  <c r="I104" i="60"/>
  <c r="Y129" i="60"/>
  <c r="Z93" i="60"/>
  <c r="K103" i="60"/>
  <c r="S133" i="60"/>
  <c r="O104" i="60"/>
  <c r="M136" i="60"/>
  <c r="M101" i="60"/>
  <c r="H133" i="60"/>
  <c r="H98" i="60"/>
  <c r="I132" i="60"/>
  <c r="X31" i="60"/>
  <c r="J134" i="60"/>
  <c r="J99" i="60"/>
  <c r="K133" i="60"/>
  <c r="L133" i="60"/>
  <c r="L101" i="60"/>
  <c r="U133" i="60"/>
  <c r="V97" i="60"/>
  <c r="U98" i="60"/>
  <c r="T101" i="60"/>
  <c r="Z128" i="60"/>
  <c r="AA92" i="60"/>
  <c r="W131" i="60"/>
  <c r="X95" i="60"/>
  <c r="W68" i="60"/>
  <c r="W66" i="60" s="1"/>
  <c r="W67" i="60" s="1"/>
  <c r="AA127" i="60"/>
  <c r="AB91" i="60"/>
  <c r="AB127" i="60" s="1"/>
  <c r="EA225" i="40"/>
  <c r="DP55" i="30"/>
  <c r="Y145" i="14"/>
  <c r="Y157" i="14" s="1"/>
  <c r="CA216" i="40"/>
  <c r="BY217" i="40"/>
  <c r="N677" i="21"/>
  <c r="U677" i="21"/>
  <c r="BY211" i="40"/>
  <c r="CA211" i="40" s="1"/>
  <c r="CA210" i="40"/>
  <c r="AD198" i="40"/>
  <c r="AD205" i="40"/>
  <c r="Y170" i="14"/>
  <c r="BR236" i="40"/>
  <c r="BR237" i="40" s="1"/>
  <c r="BR238" i="40" s="1"/>
  <c r="AD172" i="14"/>
  <c r="Y157" i="8"/>
  <c r="Y158" i="8" s="1"/>
  <c r="Y143" i="8"/>
  <c r="EF197" i="40"/>
  <c r="EE198" i="40"/>
  <c r="EF198" i="40" s="1"/>
  <c r="AO216" i="40"/>
  <c r="AM217" i="40"/>
  <c r="J689" i="21"/>
  <c r="L689" i="21" s="1"/>
  <c r="BF198" i="40"/>
  <c r="Y171" i="14"/>
  <c r="BF205" i="40"/>
  <c r="DD211" i="40"/>
  <c r="DD218" i="40"/>
  <c r="Z190" i="19"/>
  <c r="BZ240" i="40"/>
  <c r="BY233" i="40"/>
  <c r="U676" i="21"/>
  <c r="N676" i="21"/>
  <c r="P676" i="21" s="1"/>
  <c r="DR66" i="30"/>
  <c r="DR62" i="30"/>
  <c r="Z146" i="14"/>
  <c r="Z158" i="14" s="1"/>
  <c r="DQ59" i="30"/>
  <c r="U313" i="21"/>
  <c r="N313" i="21"/>
  <c r="P313" i="21" s="1"/>
  <c r="AB33" i="14"/>
  <c r="W198" i="40"/>
  <c r="W205" i="40"/>
  <c r="Y113" i="14"/>
  <c r="G198" i="40"/>
  <c r="N682" i="21"/>
  <c r="P682" i="21" s="1"/>
  <c r="U682" i="21"/>
  <c r="W682" i="21" s="1"/>
  <c r="U681" i="21"/>
  <c r="N681" i="21"/>
  <c r="P681" i="21" s="1"/>
  <c r="AH208" i="40"/>
  <c r="AF209" i="40"/>
  <c r="J504" i="21"/>
  <c r="AH196" i="40"/>
  <c r="J492" i="21"/>
  <c r="L492" i="21" s="1"/>
  <c r="DF194" i="40"/>
  <c r="CW194" i="40"/>
  <c r="F194" i="40"/>
  <c r="Z263" i="14"/>
  <c r="AA263" i="14"/>
  <c r="AA197" i="40"/>
  <c r="J316" i="21"/>
  <c r="AA201" i="40"/>
  <c r="Y202" i="40"/>
  <c r="J320" i="21"/>
  <c r="L320" i="21" s="1"/>
  <c r="BO237" i="40"/>
  <c r="W490" i="21"/>
  <c r="BJ217" i="40"/>
  <c r="BH218" i="40"/>
  <c r="BA202" i="40"/>
  <c r="BC201" i="40"/>
  <c r="Z211" i="14"/>
  <c r="Y211" i="14"/>
  <c r="Y215" i="14"/>
  <c r="Z215" i="14"/>
  <c r="Z38" i="14"/>
  <c r="Z39" i="14" s="1"/>
  <c r="Z29" i="14"/>
  <c r="Z46" i="14" s="1"/>
  <c r="L688" i="21"/>
  <c r="X147" i="8"/>
  <c r="X150" i="8" s="1"/>
  <c r="X144" i="8"/>
  <c r="BO231" i="40"/>
  <c r="BP232" i="40" s="1"/>
  <c r="BY223" i="40"/>
  <c r="CA222" i="40"/>
  <c r="W667" i="21"/>
  <c r="AB319" i="14"/>
  <c r="AA118" i="8"/>
  <c r="AA332" i="14"/>
  <c r="AA333" i="14" s="1"/>
  <c r="R212" i="40"/>
  <c r="R208" i="40"/>
  <c r="R204" i="40"/>
  <c r="T205" i="40"/>
  <c r="V205" i="40"/>
  <c r="AA115" i="8"/>
  <c r="AO278" i="14"/>
  <c r="AB278" i="14"/>
  <c r="BX253" i="40"/>
  <c r="AF211" i="40"/>
  <c r="AF215" i="40"/>
  <c r="AH212" i="40"/>
  <c r="AJ212" i="40"/>
  <c r="AJ219" i="40" s="1"/>
  <c r="AJ226" i="40" s="1"/>
  <c r="AJ233" i="40" s="1"/>
  <c r="AJ240" i="40" s="1"/>
  <c r="AJ247" i="40" s="1"/>
  <c r="AJ254" i="40" s="1"/>
  <c r="W161" i="14"/>
  <c r="W163" i="14"/>
  <c r="W164" i="14" s="1"/>
  <c r="BO247" i="40"/>
  <c r="BO243" i="40"/>
  <c r="BO239" i="40"/>
  <c r="BR240" i="40"/>
  <c r="BV252" i="40"/>
  <c r="BX252" i="40" s="1"/>
  <c r="BX251" i="40"/>
  <c r="AH202" i="40"/>
  <c r="AF203" i="40"/>
  <c r="J498" i="21"/>
  <c r="L498" i="21" s="1"/>
  <c r="BA204" i="40"/>
  <c r="BA212" i="40"/>
  <c r="BA208" i="40"/>
  <c r="BC205" i="40"/>
  <c r="BE205" i="40"/>
  <c r="BE212" i="40" s="1"/>
  <c r="BE219" i="40" s="1"/>
  <c r="BE226" i="40" s="1"/>
  <c r="BE233" i="40" s="1"/>
  <c r="BE240" i="40" s="1"/>
  <c r="BE247" i="40" s="1"/>
  <c r="BE254" i="40" s="1"/>
  <c r="EG190" i="40"/>
  <c r="CX191" i="40"/>
  <c r="EG191" i="40" s="1"/>
  <c r="U663" i="21"/>
  <c r="W663" i="21" s="1"/>
  <c r="N663" i="21"/>
  <c r="P663" i="21" s="1"/>
  <c r="AB187" i="2"/>
  <c r="AD187" i="2" s="1"/>
  <c r="AB188" i="19"/>
  <c r="U669" i="21"/>
  <c r="W669" i="21" s="1"/>
  <c r="N669" i="21"/>
  <c r="P669" i="21" s="1"/>
  <c r="BW246" i="40"/>
  <c r="U493" i="21"/>
  <c r="W493" i="21" s="1"/>
  <c r="N493" i="21"/>
  <c r="P493" i="21" s="1"/>
  <c r="U678" i="21"/>
  <c r="W674" i="21"/>
  <c r="Z121" i="8"/>
  <c r="Z145" i="8" s="1"/>
  <c r="Z119" i="8"/>
  <c r="Z140" i="8"/>
  <c r="R202" i="40"/>
  <c r="T201" i="40"/>
  <c r="D201" i="40"/>
  <c r="W662" i="21"/>
  <c r="Z137" i="8"/>
  <c r="Z123" i="8"/>
  <c r="Z156" i="8"/>
  <c r="AH204" i="40"/>
  <c r="AG204" i="40"/>
  <c r="DV204" i="40" s="1"/>
  <c r="J500" i="21"/>
  <c r="L500" i="21" s="1"/>
  <c r="U491" i="21"/>
  <c r="W491" i="21" s="1"/>
  <c r="N491" i="21"/>
  <c r="P491" i="21" s="1"/>
  <c r="X160" i="14"/>
  <c r="X184" i="14"/>
  <c r="AK156" i="14"/>
  <c r="Y144" i="14"/>
  <c r="Y156" i="14" s="1"/>
  <c r="X175" i="14"/>
  <c r="X176" i="14" s="1"/>
  <c r="T195" i="40"/>
  <c r="R196" i="40"/>
  <c r="D195" i="40"/>
  <c r="DQ191" i="40"/>
  <c r="DP191" i="40"/>
  <c r="CY191" i="40"/>
  <c r="DC191" i="40"/>
  <c r="DO191" i="40"/>
  <c r="DL191" i="40"/>
  <c r="DN191" i="40"/>
  <c r="DK191" i="40"/>
  <c r="DJ191" i="40"/>
  <c r="DM191" i="40"/>
  <c r="DI191" i="40"/>
  <c r="Y212" i="40"/>
  <c r="Y208" i="40"/>
  <c r="AA205" i="40"/>
  <c r="AC205" i="40"/>
  <c r="Y204" i="40"/>
  <c r="U497" i="21"/>
  <c r="N497" i="21"/>
  <c r="P497" i="21" s="1"/>
  <c r="BC197" i="40"/>
  <c r="DD217" i="40"/>
  <c r="DD210" i="40"/>
  <c r="Z189" i="19"/>
  <c r="BY229" i="40"/>
  <c r="CA226" i="40"/>
  <c r="M217" i="40"/>
  <c r="K218" i="40"/>
  <c r="AT218" i="40"/>
  <c r="BA196" i="40"/>
  <c r="BC195" i="40"/>
  <c r="AA195" i="40"/>
  <c r="Y196" i="40"/>
  <c r="J314" i="21"/>
  <c r="L314" i="21" s="1"/>
  <c r="N670" i="21"/>
  <c r="H670" i="21" s="1"/>
  <c r="L678" i="21"/>
  <c r="N678" i="21" s="1"/>
  <c r="T197" i="40"/>
  <c r="D197" i="40"/>
  <c r="AO210" i="40"/>
  <c r="J683" i="21"/>
  <c r="L683" i="21" s="1"/>
  <c r="AT92" i="3"/>
  <c r="AT93" i="3" s="1"/>
  <c r="AT15" i="3"/>
  <c r="AT27" i="3" s="1"/>
  <c r="AV62" i="32"/>
  <c r="AV64" i="32" s="1"/>
  <c r="AV9" i="3"/>
  <c r="AR83" i="3"/>
  <c r="AR87" i="3" s="1"/>
  <c r="AR82" i="3"/>
  <c r="AR63" i="3"/>
  <c r="BN98" i="3"/>
  <c r="BP96" i="3"/>
  <c r="AD329" i="14"/>
  <c r="AE325" i="14"/>
  <c r="AE328" i="14" s="1"/>
  <c r="AD341" i="14"/>
  <c r="S205" i="14"/>
  <c r="T200" i="14"/>
  <c r="T204" i="14" s="1"/>
  <c r="S217" i="14"/>
  <c r="S218" i="14" s="1"/>
  <c r="DK56" i="30"/>
  <c r="S226" i="14"/>
  <c r="Y284" i="14"/>
  <c r="Y287" i="14" s="1"/>
  <c r="X288" i="14"/>
  <c r="X289" i="14" s="1"/>
  <c r="DP58" i="30"/>
  <c r="Q248" i="14"/>
  <c r="Q250" i="14"/>
  <c r="Q251" i="14" s="1"/>
  <c r="AC330" i="14"/>
  <c r="R206" i="14"/>
  <c r="R208" i="14"/>
  <c r="R209" i="14" s="1"/>
  <c r="W431" i="21"/>
  <c r="W438" i="21"/>
  <c r="W600" i="21"/>
  <c r="W607" i="21"/>
  <c r="W289" i="14"/>
  <c r="W291" i="14"/>
  <c r="W292" i="14" s="1"/>
  <c r="L614" i="21"/>
  <c r="L618" i="21"/>
  <c r="U608" i="21"/>
  <c r="W608" i="21" s="1"/>
  <c r="W604" i="21"/>
  <c r="W611" i="21"/>
  <c r="AB317" i="14"/>
  <c r="AB276" i="14"/>
  <c r="AB234" i="14"/>
  <c r="AB192" i="14"/>
  <c r="AB136" i="14"/>
  <c r="AB63" i="14"/>
  <c r="AC5" i="14"/>
  <c r="S242" i="14"/>
  <c r="S246" i="14" s="1"/>
  <c r="R268" i="14"/>
  <c r="R247" i="14"/>
  <c r="DJ57" i="30"/>
  <c r="R259" i="14"/>
  <c r="R260" i="14" s="1"/>
  <c r="U97" i="14"/>
  <c r="V78" i="14"/>
  <c r="V94" i="14" s="1"/>
  <c r="U118" i="14"/>
  <c r="AH25" i="8"/>
  <c r="V101" i="8"/>
  <c r="W5" i="8"/>
  <c r="DJ268" i="36"/>
  <c r="DF282" i="36"/>
  <c r="DG271" i="36"/>
  <c r="DF283" i="36"/>
  <c r="EA232" i="40" l="1"/>
  <c r="BR232" i="40"/>
  <c r="U664" i="21"/>
  <c r="W664" i="21" s="1"/>
  <c r="AA128" i="60"/>
  <c r="AB92" i="60"/>
  <c r="U134" i="60"/>
  <c r="V98" i="60"/>
  <c r="U99" i="60"/>
  <c r="K104" i="60"/>
  <c r="I105" i="60"/>
  <c r="Z11" i="60"/>
  <c r="AA8" i="60"/>
  <c r="P138" i="60"/>
  <c r="P103" i="60"/>
  <c r="V133" i="60"/>
  <c r="W97" i="60"/>
  <c r="H134" i="60"/>
  <c r="H99" i="60"/>
  <c r="I133" i="60"/>
  <c r="O105" i="60"/>
  <c r="N102" i="60"/>
  <c r="O136" i="60"/>
  <c r="Y31" i="60"/>
  <c r="H171" i="60"/>
  <c r="H23" i="60" s="1"/>
  <c r="H12" i="60" s="1"/>
  <c r="H13" i="60" s="1"/>
  <c r="H16" i="60" s="1"/>
  <c r="I154" i="60"/>
  <c r="X131" i="60"/>
  <c r="Y95" i="60"/>
  <c r="X68" i="60"/>
  <c r="X66" i="60" s="1"/>
  <c r="X67" i="60" s="1"/>
  <c r="T102" i="60"/>
  <c r="Z129" i="60"/>
  <c r="AA93" i="60"/>
  <c r="Y130" i="60"/>
  <c r="Z94" i="60"/>
  <c r="Q133" i="60"/>
  <c r="Q98" i="60"/>
  <c r="R132" i="60"/>
  <c r="W132" i="60"/>
  <c r="X96" i="60"/>
  <c r="L102" i="60"/>
  <c r="J135" i="60"/>
  <c r="J100" i="60"/>
  <c r="K134" i="60"/>
  <c r="L134" i="60"/>
  <c r="M137" i="60"/>
  <c r="M102" i="60"/>
  <c r="S100" i="60"/>
  <c r="T134" i="60"/>
  <c r="R100" i="60"/>
  <c r="U683" i="21"/>
  <c r="W683" i="21" s="1"/>
  <c r="N683" i="21"/>
  <c r="P683" i="21" s="1"/>
  <c r="AA196" i="40"/>
  <c r="J315" i="21"/>
  <c r="L315" i="21" s="1"/>
  <c r="CA229" i="40"/>
  <c r="BY230" i="40"/>
  <c r="Y215" i="40"/>
  <c r="Y211" i="40"/>
  <c r="AA212" i="40"/>
  <c r="AC212" i="40"/>
  <c r="AC219" i="40" s="1"/>
  <c r="AC226" i="40" s="1"/>
  <c r="AC233" i="40" s="1"/>
  <c r="AC240" i="40" s="1"/>
  <c r="AC247" i="40" s="1"/>
  <c r="AC254" i="40" s="1"/>
  <c r="U500" i="21"/>
  <c r="W500" i="21" s="1"/>
  <c r="N500" i="21"/>
  <c r="P500" i="21" s="1"/>
  <c r="AD188" i="19"/>
  <c r="AF188" i="19" s="1"/>
  <c r="AK188" i="19"/>
  <c r="AD195" i="19"/>
  <c r="AF195" i="19" s="1"/>
  <c r="N498" i="21"/>
  <c r="P498" i="21" s="1"/>
  <c r="U498" i="21"/>
  <c r="W498" i="21" s="1"/>
  <c r="AH211" i="40"/>
  <c r="J507" i="21"/>
  <c r="T204" i="40"/>
  <c r="D204" i="40"/>
  <c r="AA140" i="8"/>
  <c r="AA119" i="8"/>
  <c r="U688" i="21"/>
  <c r="N688" i="21"/>
  <c r="P688" i="21" s="1"/>
  <c r="BA203" i="40"/>
  <c r="BC202" i="40"/>
  <c r="BO238" i="40"/>
  <c r="BP239" i="40" s="1"/>
  <c r="L504" i="21"/>
  <c r="CA233" i="40"/>
  <c r="BY236" i="40"/>
  <c r="U689" i="21"/>
  <c r="W689" i="21" s="1"/>
  <c r="N689" i="21"/>
  <c r="P689" i="21" s="1"/>
  <c r="BC196" i="40"/>
  <c r="K219" i="40"/>
  <c r="M218" i="40"/>
  <c r="AB189" i="19"/>
  <c r="AB191" i="19" s="1"/>
  <c r="AD191" i="19" s="1"/>
  <c r="AF191" i="19" s="1"/>
  <c r="AB188" i="2"/>
  <c r="AD188" i="2" s="1"/>
  <c r="W497" i="21"/>
  <c r="X161" i="14"/>
  <c r="X163" i="14"/>
  <c r="X164" i="14" s="1"/>
  <c r="R203" i="40"/>
  <c r="T202" i="40"/>
  <c r="D202" i="40"/>
  <c r="AF187" i="2"/>
  <c r="AF194" i="2"/>
  <c r="BA209" i="40"/>
  <c r="BC208" i="40"/>
  <c r="BO244" i="40"/>
  <c r="BW253" i="40"/>
  <c r="AA121" i="8"/>
  <c r="AA145" i="8" s="1"/>
  <c r="AA137" i="8"/>
  <c r="AA123" i="8"/>
  <c r="AA156" i="8"/>
  <c r="R209" i="40"/>
  <c r="T208" i="40"/>
  <c r="D208" i="40"/>
  <c r="AC319" i="14"/>
  <c r="AB118" i="8"/>
  <c r="AB332" i="14"/>
  <c r="AB333" i="14" s="1"/>
  <c r="CA223" i="40"/>
  <c r="BY224" i="40"/>
  <c r="Y212" i="14"/>
  <c r="Y228" i="14" s="1"/>
  <c r="Y220" i="14"/>
  <c r="Y221" i="14" s="1"/>
  <c r="U320" i="21"/>
  <c r="N320" i="21"/>
  <c r="P320" i="21" s="1"/>
  <c r="L316" i="21"/>
  <c r="N492" i="21"/>
  <c r="P492" i="21" s="1"/>
  <c r="U492" i="21"/>
  <c r="W492" i="21" s="1"/>
  <c r="W681" i="21"/>
  <c r="I198" i="40"/>
  <c r="I205" i="40"/>
  <c r="W313" i="21"/>
  <c r="BZ247" i="40"/>
  <c r="BY240" i="40"/>
  <c r="AM218" i="40"/>
  <c r="AO217" i="40"/>
  <c r="J690" i="21"/>
  <c r="L690" i="21" s="1"/>
  <c r="CA217" i="40"/>
  <c r="BY218" i="40"/>
  <c r="CA218" i="40" s="1"/>
  <c r="L494" i="21"/>
  <c r="N494" i="21" s="1"/>
  <c r="P494" i="21" s="1"/>
  <c r="D670" i="21"/>
  <c r="S670" i="21" s="1"/>
  <c r="AF670" i="21"/>
  <c r="DF195" i="40"/>
  <c r="F195" i="40"/>
  <c r="CW195" i="40"/>
  <c r="Y160" i="14"/>
  <c r="Z144" i="14"/>
  <c r="Z156" i="14" s="1"/>
  <c r="BD212" i="40"/>
  <c r="BC212" i="40"/>
  <c r="BA215" i="40"/>
  <c r="BA211" i="40"/>
  <c r="AH203" i="40"/>
  <c r="J499" i="21"/>
  <c r="L499" i="21" s="1"/>
  <c r="BR243" i="40"/>
  <c r="BR244" i="40" s="1"/>
  <c r="BR245" i="40" s="1"/>
  <c r="AE172" i="14"/>
  <c r="BO254" i="40"/>
  <c r="BO250" i="40"/>
  <c r="BO246" i="40"/>
  <c r="BR247" i="40"/>
  <c r="T212" i="40"/>
  <c r="R215" i="40"/>
  <c r="V212" i="40"/>
  <c r="V219" i="40" s="1"/>
  <c r="V226" i="40" s="1"/>
  <c r="V233" i="40" s="1"/>
  <c r="V240" i="40" s="1"/>
  <c r="V247" i="40" s="1"/>
  <c r="V254" i="40" s="1"/>
  <c r="R211" i="40"/>
  <c r="AA212" i="14"/>
  <c r="AA228" i="14" s="1"/>
  <c r="Z220" i="14"/>
  <c r="Z212" i="14"/>
  <c r="Z228" i="14" s="1"/>
  <c r="BH219" i="40"/>
  <c r="BJ218" i="40"/>
  <c r="AH209" i="40"/>
  <c r="AF210" i="40"/>
  <c r="J505" i="21"/>
  <c r="L505" i="21" s="1"/>
  <c r="U505" i="21" s="1"/>
  <c r="W505" i="21" s="1"/>
  <c r="L685" i="21"/>
  <c r="N685" i="21" s="1"/>
  <c r="P685" i="21" s="1"/>
  <c r="Z108" i="14"/>
  <c r="Y108" i="14"/>
  <c r="AB189" i="2"/>
  <c r="AD189" i="2" s="1"/>
  <c r="AB194" i="19"/>
  <c r="AB190" i="19"/>
  <c r="Y147" i="8"/>
  <c r="Y150" i="8" s="1"/>
  <c r="Y144" i="8"/>
  <c r="Y169" i="14"/>
  <c r="AT219" i="40"/>
  <c r="D198" i="40"/>
  <c r="CW197" i="40"/>
  <c r="F197" i="40"/>
  <c r="N314" i="21"/>
  <c r="P314" i="21" s="1"/>
  <c r="U314" i="21"/>
  <c r="W314" i="21" s="1"/>
  <c r="AA204" i="40"/>
  <c r="J323" i="21"/>
  <c r="L323" i="21" s="1"/>
  <c r="AA208" i="40"/>
  <c r="Y209" i="40"/>
  <c r="J327" i="21"/>
  <c r="L327" i="21" s="1"/>
  <c r="T196" i="40"/>
  <c r="D196" i="40"/>
  <c r="Z157" i="8"/>
  <c r="Z158" i="8" s="1"/>
  <c r="Z143" i="8"/>
  <c r="F201" i="40"/>
  <c r="CW201" i="40"/>
  <c r="DF201" i="40"/>
  <c r="BB204" i="40"/>
  <c r="DY204" i="40" s="1"/>
  <c r="BC204" i="40"/>
  <c r="AF216" i="40"/>
  <c r="AH215" i="40"/>
  <c r="J511" i="21"/>
  <c r="AC278" i="14"/>
  <c r="AB115" i="8"/>
  <c r="L684" i="21"/>
  <c r="Y203" i="40"/>
  <c r="Z204" i="40" s="1"/>
  <c r="DU204" i="40" s="1"/>
  <c r="AA202" i="40"/>
  <c r="J321" i="21"/>
  <c r="L321" i="21" s="1"/>
  <c r="DP194" i="40"/>
  <c r="CY194" i="40"/>
  <c r="CX194" i="40"/>
  <c r="EG194" i="40" s="1"/>
  <c r="DQ194" i="40"/>
  <c r="DO194" i="40"/>
  <c r="DN194" i="40"/>
  <c r="DL194" i="40"/>
  <c r="DK194" i="40"/>
  <c r="DJ194" i="40"/>
  <c r="DI194" i="40"/>
  <c r="DM194" i="40"/>
  <c r="AA146" i="14"/>
  <c r="AA158" i="14" s="1"/>
  <c r="DR59" i="30"/>
  <c r="W676" i="21"/>
  <c r="Z145" i="14"/>
  <c r="Z157" i="14" s="1"/>
  <c r="DQ55" i="30"/>
  <c r="AV92" i="3"/>
  <c r="AV93" i="3" s="1"/>
  <c r="AV15" i="3"/>
  <c r="AV27" i="3" s="1"/>
  <c r="AX62" i="32"/>
  <c r="AX64" i="32" s="1"/>
  <c r="AX9" i="3"/>
  <c r="AT83" i="3"/>
  <c r="AT87" i="3" s="1"/>
  <c r="AT63" i="3"/>
  <c r="BP98" i="3"/>
  <c r="BR96" i="3"/>
  <c r="BR98" i="3" s="1"/>
  <c r="Z284" i="14"/>
  <c r="Z287" i="14" s="1"/>
  <c r="Y288" i="14"/>
  <c r="DQ58" i="30"/>
  <c r="T205" i="14"/>
  <c r="U200" i="14"/>
  <c r="U204" i="14" s="1"/>
  <c r="DL56" i="30"/>
  <c r="T226" i="14"/>
  <c r="T217" i="14"/>
  <c r="T218" i="14" s="1"/>
  <c r="S247" i="14"/>
  <c r="T242" i="14"/>
  <c r="T246" i="14" s="1"/>
  <c r="DK57" i="30"/>
  <c r="S259" i="14"/>
  <c r="S260" i="14" s="1"/>
  <c r="S268" i="14"/>
  <c r="U614" i="21"/>
  <c r="N621" i="21"/>
  <c r="P621" i="21" s="1"/>
  <c r="N614" i="21"/>
  <c r="P614" i="21" s="1"/>
  <c r="L615" i="21"/>
  <c r="N615" i="21" s="1"/>
  <c r="P615" i="21" s="1"/>
  <c r="W78" i="14"/>
  <c r="W94" i="14" s="1"/>
  <c r="V118" i="14"/>
  <c r="V97" i="14"/>
  <c r="AC276" i="14"/>
  <c r="AC317" i="14"/>
  <c r="AC234" i="14"/>
  <c r="AC192" i="14"/>
  <c r="AC136" i="14"/>
  <c r="AC63" i="14"/>
  <c r="AD5" i="14"/>
  <c r="R250" i="14"/>
  <c r="R251" i="14" s="1"/>
  <c r="R248" i="14"/>
  <c r="S206" i="14"/>
  <c r="S208" i="14"/>
  <c r="S209" i="14" s="1"/>
  <c r="AE329" i="14"/>
  <c r="AF325" i="14"/>
  <c r="AF328" i="14" s="1"/>
  <c r="AE341" i="14"/>
  <c r="N625" i="21"/>
  <c r="P625" i="21" s="1"/>
  <c r="L622" i="21"/>
  <c r="N618" i="21"/>
  <c r="P618" i="21" s="1"/>
  <c r="U618" i="21"/>
  <c r="AD330" i="14"/>
  <c r="W101" i="8"/>
  <c r="X5" i="8"/>
  <c r="DJ279" i="36"/>
  <c r="DJ273" i="36"/>
  <c r="DJ269" i="36"/>
  <c r="DK268" i="36"/>
  <c r="AA143" i="8" l="1"/>
  <c r="U494" i="21"/>
  <c r="W494" i="21" s="1"/>
  <c r="L103" i="60"/>
  <c r="M138" i="60"/>
  <c r="M103" i="60"/>
  <c r="J136" i="60"/>
  <c r="J101" i="60"/>
  <c r="K135" i="60"/>
  <c r="L135" i="60"/>
  <c r="X132" i="60"/>
  <c r="Y96" i="60"/>
  <c r="Y131" i="60"/>
  <c r="Z95" i="60"/>
  <c r="Y68" i="60"/>
  <c r="Y66" i="60" s="1"/>
  <c r="Y67" i="60" s="1"/>
  <c r="N138" i="60"/>
  <c r="N103" i="60"/>
  <c r="O137" i="60"/>
  <c r="AB8" i="60"/>
  <c r="AA11" i="60"/>
  <c r="V134" i="60"/>
  <c r="W98" i="60"/>
  <c r="Z130" i="60"/>
  <c r="AA94" i="60"/>
  <c r="T103" i="60"/>
  <c r="N137" i="60"/>
  <c r="H135" i="60"/>
  <c r="H100" i="60"/>
  <c r="I134" i="60"/>
  <c r="K105" i="60"/>
  <c r="J154" i="60"/>
  <c r="O106" i="60"/>
  <c r="P139" i="60"/>
  <c r="P104" i="60"/>
  <c r="Z31" i="60"/>
  <c r="AB128" i="60"/>
  <c r="S101" i="60"/>
  <c r="T135" i="60"/>
  <c r="R101" i="60"/>
  <c r="S135" i="60"/>
  <c r="Q134" i="60"/>
  <c r="Q99" i="60"/>
  <c r="R133" i="60"/>
  <c r="AA129" i="60"/>
  <c r="AB93" i="60"/>
  <c r="AB129" i="60" s="1"/>
  <c r="W133" i="60"/>
  <c r="X97" i="60"/>
  <c r="I106" i="60"/>
  <c r="U135" i="60"/>
  <c r="V99" i="60"/>
  <c r="U100" i="60"/>
  <c r="EA239" i="40"/>
  <c r="BR239" i="40"/>
  <c r="AB156" i="8"/>
  <c r="AB123" i="8"/>
  <c r="AB137" i="8"/>
  <c r="AB121" i="8"/>
  <c r="AB145" i="8" s="1"/>
  <c r="U327" i="21"/>
  <c r="N327" i="21"/>
  <c r="P327" i="21" s="1"/>
  <c r="D260" i="40"/>
  <c r="E260" i="40" s="1"/>
  <c r="F198" i="40"/>
  <c r="E198" i="40"/>
  <c r="CX198" i="40" s="1"/>
  <c r="EG198" i="40" s="1"/>
  <c r="CW198" i="40"/>
  <c r="DF198" i="40" s="1"/>
  <c r="AA145" i="14"/>
  <c r="AA157" i="14" s="1"/>
  <c r="DR55" i="30"/>
  <c r="AB146" i="14"/>
  <c r="DS59" i="30"/>
  <c r="U321" i="21"/>
  <c r="W321" i="21" s="1"/>
  <c r="N321" i="21"/>
  <c r="P321" i="21" s="1"/>
  <c r="N684" i="21"/>
  <c r="P684" i="21" s="1"/>
  <c r="U684" i="21"/>
  <c r="CY201" i="40"/>
  <c r="DQ201" i="40"/>
  <c r="CX201" i="40"/>
  <c r="EG201" i="40" s="1"/>
  <c r="DP201" i="40"/>
  <c r="DO201" i="40"/>
  <c r="DL201" i="40"/>
  <c r="DN201" i="40"/>
  <c r="DK201" i="40"/>
  <c r="DJ201" i="40"/>
  <c r="DI201" i="40"/>
  <c r="DM201" i="40"/>
  <c r="CW196" i="40"/>
  <c r="DF196" i="40"/>
  <c r="F196" i="40"/>
  <c r="Y210" i="40"/>
  <c r="AA209" i="40"/>
  <c r="J328" i="21"/>
  <c r="L328" i="21" s="1"/>
  <c r="AA221" i="14"/>
  <c r="Z221" i="14"/>
  <c r="R216" i="40"/>
  <c r="T215" i="40"/>
  <c r="D215" i="40"/>
  <c r="BF212" i="40"/>
  <c r="AA171" i="14"/>
  <c r="AA169" i="14" s="1"/>
  <c r="BF219" i="40"/>
  <c r="DB212" i="40"/>
  <c r="CY195" i="40"/>
  <c r="DQ195" i="40"/>
  <c r="CX195" i="40"/>
  <c r="EG195" i="40" s="1"/>
  <c r="DP195" i="40"/>
  <c r="DO195" i="40"/>
  <c r="DL195" i="40"/>
  <c r="DN195" i="40"/>
  <c r="DK195" i="40"/>
  <c r="DJ195" i="40"/>
  <c r="DM195" i="40"/>
  <c r="DI195" i="40"/>
  <c r="D677" i="21"/>
  <c r="H677" i="21" s="1"/>
  <c r="S671" i="21"/>
  <c r="AI670" i="21"/>
  <c r="U670" i="21"/>
  <c r="AU176" i="19"/>
  <c r="DF208" i="40"/>
  <c r="CW208" i="40"/>
  <c r="F208" i="40"/>
  <c r="BO245" i="40"/>
  <c r="BA210" i="40"/>
  <c r="BC209" i="40"/>
  <c r="CA236" i="40"/>
  <c r="BY237" i="40"/>
  <c r="AA157" i="8"/>
  <c r="AA158" i="8" s="1"/>
  <c r="L511" i="21"/>
  <c r="N505" i="21"/>
  <c r="P505" i="21" s="1"/>
  <c r="BY231" i="40"/>
  <c r="CA230" i="40"/>
  <c r="DQ197" i="40"/>
  <c r="CX197" i="40"/>
  <c r="EG197" i="40" s="1"/>
  <c r="CY197" i="40"/>
  <c r="DP197" i="40"/>
  <c r="DO197" i="40"/>
  <c r="DN197" i="40"/>
  <c r="DL197" i="40"/>
  <c r="DK197" i="40"/>
  <c r="DJ197" i="40"/>
  <c r="DI197" i="40"/>
  <c r="DM197" i="40"/>
  <c r="AT226" i="40"/>
  <c r="AT222" i="40"/>
  <c r="AU219" i="40"/>
  <c r="AK190" i="19"/>
  <c r="AD190" i="19"/>
  <c r="AF190" i="19" s="1"/>
  <c r="AD197" i="19"/>
  <c r="AF197" i="19" s="1"/>
  <c r="AH210" i="40"/>
  <c r="J506" i="21"/>
  <c r="L506" i="21" s="1"/>
  <c r="BO251" i="40"/>
  <c r="N499" i="21"/>
  <c r="P499" i="21" s="1"/>
  <c r="U499" i="21"/>
  <c r="W499" i="21" s="1"/>
  <c r="L501" i="21"/>
  <c r="N501" i="21" s="1"/>
  <c r="P501" i="21" s="1"/>
  <c r="BB211" i="40"/>
  <c r="DY211" i="40" s="1"/>
  <c r="BC211" i="40"/>
  <c r="AM219" i="40"/>
  <c r="AO218" i="40"/>
  <c r="J691" i="21"/>
  <c r="L691" i="21" s="1"/>
  <c r="N316" i="21"/>
  <c r="P316" i="21" s="1"/>
  <c r="U316" i="21"/>
  <c r="AA147" i="8"/>
  <c r="AA150" i="8" s="1"/>
  <c r="AA144" i="8"/>
  <c r="T203" i="40"/>
  <c r="D203" i="40"/>
  <c r="F204" i="40"/>
  <c r="DF204" i="40"/>
  <c r="D205" i="40"/>
  <c r="CW204" i="40"/>
  <c r="N323" i="21"/>
  <c r="P323" i="21" s="1"/>
  <c r="U323" i="21"/>
  <c r="Y166" i="14"/>
  <c r="Z166" i="14"/>
  <c r="Z173" i="14"/>
  <c r="Y173" i="14"/>
  <c r="Y184" i="14"/>
  <c r="Y175" i="14"/>
  <c r="Y176" i="14" s="1"/>
  <c r="Z184" i="14"/>
  <c r="BH222" i="40"/>
  <c r="BJ219" i="40"/>
  <c r="BI219" i="40"/>
  <c r="T211" i="40"/>
  <c r="D211" i="40"/>
  <c r="BR250" i="40"/>
  <c r="BR251" i="40" s="1"/>
  <c r="BR252" i="40" s="1"/>
  <c r="AF172" i="14"/>
  <c r="BO253" i="40"/>
  <c r="BR254" i="40"/>
  <c r="BA216" i="40"/>
  <c r="BC215" i="40"/>
  <c r="Z175" i="14"/>
  <c r="Z176" i="14" s="1"/>
  <c r="AA144" i="14"/>
  <c r="AA156" i="14" s="1"/>
  <c r="Z160" i="14"/>
  <c r="U690" i="21"/>
  <c r="W690" i="21" s="1"/>
  <c r="N690" i="21"/>
  <c r="P690" i="21" s="1"/>
  <c r="CA240" i="40"/>
  <c r="BY243" i="40"/>
  <c r="AB140" i="8"/>
  <c r="AB119" i="8"/>
  <c r="T209" i="40"/>
  <c r="R210" i="40"/>
  <c r="D209" i="40"/>
  <c r="AF188" i="2"/>
  <c r="AF195" i="2"/>
  <c r="L219" i="40"/>
  <c r="K222" i="40"/>
  <c r="M219" i="40"/>
  <c r="N504" i="21"/>
  <c r="P504" i="21" s="1"/>
  <c r="U504" i="21"/>
  <c r="W688" i="21"/>
  <c r="AG211" i="40"/>
  <c r="DV211" i="40" s="1"/>
  <c r="Z211" i="40"/>
  <c r="DU211" i="40" s="1"/>
  <c r="AA211" i="40"/>
  <c r="J330" i="21"/>
  <c r="U315" i="21"/>
  <c r="W315" i="21" s="1"/>
  <c r="N315" i="21"/>
  <c r="P315" i="21" s="1"/>
  <c r="Z144" i="8"/>
  <c r="Z147" i="8"/>
  <c r="Z150" i="8" s="1"/>
  <c r="AD201" i="19"/>
  <c r="AF201" i="19" s="1"/>
  <c r="AK194" i="19"/>
  <c r="AB198" i="19"/>
  <c r="AD198" i="19" s="1"/>
  <c r="AF198" i="19" s="1"/>
  <c r="AD194" i="19"/>
  <c r="AF194" i="19" s="1"/>
  <c r="AA203" i="40"/>
  <c r="J322" i="21"/>
  <c r="L322" i="21" s="1"/>
  <c r="AD278" i="14"/>
  <c r="AC115" i="8"/>
  <c r="AC137" i="8" s="1"/>
  <c r="AH216" i="40"/>
  <c r="AF217" i="40"/>
  <c r="J512" i="21"/>
  <c r="L512" i="21" s="1"/>
  <c r="DF197" i="40"/>
  <c r="AF189" i="2"/>
  <c r="AF196" i="2"/>
  <c r="Y163" i="14"/>
  <c r="Y164" i="14" s="1"/>
  <c r="Y161" i="14"/>
  <c r="BZ254" i="40"/>
  <c r="BY254" i="40" s="1"/>
  <c r="BY247" i="40"/>
  <c r="H198" i="40"/>
  <c r="W320" i="21"/>
  <c r="BY225" i="40"/>
  <c r="CA225" i="40" s="1"/>
  <c r="CA224" i="40"/>
  <c r="AC118" i="8"/>
  <c r="AD319" i="14"/>
  <c r="AC332" i="14"/>
  <c r="AC333" i="14" s="1"/>
  <c r="DF202" i="40"/>
  <c r="CW202" i="40"/>
  <c r="F202" i="40"/>
  <c r="AD196" i="19"/>
  <c r="AF196" i="19" s="1"/>
  <c r="AK189" i="19"/>
  <c r="AD189" i="19"/>
  <c r="AF189" i="19" s="1"/>
  <c r="BC203" i="40"/>
  <c r="S204" i="40"/>
  <c r="AM188" i="19"/>
  <c r="AM195" i="19"/>
  <c r="AK191" i="19"/>
  <c r="AM191" i="19" s="1"/>
  <c r="AA215" i="40"/>
  <c r="Y216" i="40"/>
  <c r="J334" i="21"/>
  <c r="L317" i="21"/>
  <c r="N317" i="21" s="1"/>
  <c r="P317" i="21" s="1"/>
  <c r="AX92" i="3"/>
  <c r="AX93" i="3" s="1"/>
  <c r="AX15" i="3"/>
  <c r="AX27" i="3" s="1"/>
  <c r="AZ62" i="32"/>
  <c r="AZ64" i="32" s="1"/>
  <c r="AZ11" i="31" s="1"/>
  <c r="AZ9" i="3"/>
  <c r="AV83" i="3"/>
  <c r="AV87" i="3" s="1"/>
  <c r="AV82" i="3"/>
  <c r="AV63" i="3"/>
  <c r="N629" i="21"/>
  <c r="P629" i="21" s="1"/>
  <c r="N622" i="21"/>
  <c r="P622" i="21" s="1"/>
  <c r="W614" i="21"/>
  <c r="W621" i="21"/>
  <c r="U615" i="21"/>
  <c r="W615" i="21" s="1"/>
  <c r="T206" i="14"/>
  <c r="T208" i="14"/>
  <c r="T209" i="14" s="1"/>
  <c r="W618" i="21"/>
  <c r="W625" i="21"/>
  <c r="U622" i="21"/>
  <c r="W118" i="14"/>
  <c r="W97" i="14"/>
  <c r="X78" i="14"/>
  <c r="X94" i="14" s="1"/>
  <c r="U242" i="14"/>
  <c r="U246" i="14" s="1"/>
  <c r="T259" i="14"/>
  <c r="T260" i="14" s="1"/>
  <c r="T247" i="14"/>
  <c r="DL57" i="30"/>
  <c r="T268" i="14"/>
  <c r="AF329" i="14"/>
  <c r="AG325" i="14"/>
  <c r="AG328" i="14" s="1"/>
  <c r="AF341" i="14"/>
  <c r="S248" i="14"/>
  <c r="S250" i="14"/>
  <c r="S251" i="14" s="1"/>
  <c r="U205" i="14"/>
  <c r="V200" i="14"/>
  <c r="V204" i="14" s="1"/>
  <c r="DM56" i="30"/>
  <c r="U226" i="14"/>
  <c r="U217" i="14"/>
  <c r="U218" i="14" s="1"/>
  <c r="Z288" i="14"/>
  <c r="AA284" i="14"/>
  <c r="AA287" i="14" s="1"/>
  <c r="DR58" i="30"/>
  <c r="AE330" i="14"/>
  <c r="AD317" i="14"/>
  <c r="AD276" i="14"/>
  <c r="AD234" i="14"/>
  <c r="AD192" i="14"/>
  <c r="AD136" i="14"/>
  <c r="AD63" i="14"/>
  <c r="AE5" i="14"/>
  <c r="X101" i="8"/>
  <c r="Y5" i="8"/>
  <c r="DJ280" i="36"/>
  <c r="DJ270" i="36"/>
  <c r="DK269" i="36"/>
  <c r="AZ35" i="31" l="1"/>
  <c r="AZ59" i="31" s="1"/>
  <c r="AZ67" i="31"/>
  <c r="AB143" i="8"/>
  <c r="U501" i="21"/>
  <c r="W501" i="21" s="1"/>
  <c r="H136" i="60"/>
  <c r="H101" i="60"/>
  <c r="I135" i="60"/>
  <c r="AB11" i="60"/>
  <c r="Z131" i="60"/>
  <c r="AA95" i="60"/>
  <c r="Z68" i="60"/>
  <c r="Z66" i="60" s="1"/>
  <c r="Z67" i="60" s="1"/>
  <c r="M139" i="60"/>
  <c r="M104" i="60"/>
  <c r="N139" i="60" s="1"/>
  <c r="U136" i="60"/>
  <c r="V100" i="60"/>
  <c r="U101" i="60"/>
  <c r="S137" i="60"/>
  <c r="S102" i="60"/>
  <c r="T136" i="60"/>
  <c r="K106" i="60"/>
  <c r="AA130" i="60"/>
  <c r="AB94" i="60"/>
  <c r="AB130" i="60" s="1"/>
  <c r="AA31" i="60"/>
  <c r="N104" i="60"/>
  <c r="O138" i="60"/>
  <c r="V135" i="60"/>
  <c r="W99" i="60"/>
  <c r="X133" i="60"/>
  <c r="Y97" i="60"/>
  <c r="R102" i="60"/>
  <c r="S136" i="60"/>
  <c r="Y132" i="60"/>
  <c r="Z96" i="60"/>
  <c r="J137" i="60"/>
  <c r="J102" i="60"/>
  <c r="K136" i="60"/>
  <c r="L136" i="60"/>
  <c r="L104" i="60"/>
  <c r="Q135" i="60"/>
  <c r="Q100" i="60"/>
  <c r="R134" i="60"/>
  <c r="P140" i="60"/>
  <c r="P105" i="60"/>
  <c r="K154" i="60"/>
  <c r="T104" i="60"/>
  <c r="W134" i="60"/>
  <c r="X98" i="60"/>
  <c r="N512" i="21"/>
  <c r="P512" i="21" s="1"/>
  <c r="U512" i="21"/>
  <c r="W512" i="21" s="1"/>
  <c r="Y217" i="40"/>
  <c r="AA216" i="40"/>
  <c r="J335" i="21"/>
  <c r="AE278" i="14"/>
  <c r="AD115" i="8"/>
  <c r="AD137" i="8" s="1"/>
  <c r="DT204" i="40"/>
  <c r="E204" i="40"/>
  <c r="DQ202" i="40"/>
  <c r="CY202" i="40"/>
  <c r="CX202" i="40"/>
  <c r="EG202" i="40" s="1"/>
  <c r="DP202" i="40"/>
  <c r="DO202" i="40"/>
  <c r="DL202" i="40"/>
  <c r="DN202" i="40"/>
  <c r="DK202" i="40"/>
  <c r="DJ202" i="40"/>
  <c r="DM202" i="40"/>
  <c r="DI202" i="40"/>
  <c r="AC119" i="8"/>
  <c r="AC140" i="8"/>
  <c r="AM201" i="19"/>
  <c r="AM194" i="19"/>
  <c r="AK198" i="19"/>
  <c r="AM198" i="19" s="1"/>
  <c r="AB144" i="14"/>
  <c r="AA160" i="14"/>
  <c r="BC216" i="40"/>
  <c r="BA217" i="40"/>
  <c r="BH223" i="40"/>
  <c r="BJ222" i="40"/>
  <c r="Y178" i="14"/>
  <c r="Y179" i="14" s="1"/>
  <c r="Y167" i="14"/>
  <c r="Y186" i="14" s="1"/>
  <c r="F205" i="40"/>
  <c r="CW205" i="40"/>
  <c r="E205" i="40"/>
  <c r="CX205" i="40" s="1"/>
  <c r="H205" i="40"/>
  <c r="BO252" i="40"/>
  <c r="BP253" i="40" s="1"/>
  <c r="EA253" i="40" s="1"/>
  <c r="CA237" i="40"/>
  <c r="BY238" i="40"/>
  <c r="U317" i="21"/>
  <c r="W317" i="21" s="1"/>
  <c r="D671" i="21"/>
  <c r="H671" i="21" s="1"/>
  <c r="D678" i="21"/>
  <c r="H678" i="21" s="1"/>
  <c r="CW215" i="40"/>
  <c r="F215" i="40"/>
  <c r="DF215" i="40"/>
  <c r="AA210" i="40"/>
  <c r="J329" i="21"/>
  <c r="L329" i="21" s="1"/>
  <c r="W684" i="21"/>
  <c r="U685" i="21"/>
  <c r="W685" i="21" s="1"/>
  <c r="L335" i="21"/>
  <c r="AM189" i="19"/>
  <c r="AM196" i="19"/>
  <c r="K223" i="40"/>
  <c r="M222" i="40"/>
  <c r="BH233" i="40"/>
  <c r="BK226" i="40"/>
  <c r="BH229" i="40"/>
  <c r="BJ226" i="40"/>
  <c r="U691" i="21"/>
  <c r="W691" i="21" s="1"/>
  <c r="N691" i="21"/>
  <c r="P691" i="21" s="1"/>
  <c r="U506" i="21"/>
  <c r="W506" i="21" s="1"/>
  <c r="N506" i="21"/>
  <c r="P506" i="21" s="1"/>
  <c r="AT223" i="40"/>
  <c r="L507" i="21"/>
  <c r="BC210" i="40"/>
  <c r="CY208" i="40"/>
  <c r="DQ208" i="40"/>
  <c r="CX208" i="40"/>
  <c r="EG208" i="40" s="1"/>
  <c r="DP208" i="40"/>
  <c r="DO208" i="40"/>
  <c r="DL208" i="40"/>
  <c r="DN208" i="40"/>
  <c r="DK208" i="40"/>
  <c r="DJ208" i="40"/>
  <c r="DI208" i="40"/>
  <c r="DM208" i="40"/>
  <c r="AQ176" i="19"/>
  <c r="AU177" i="19"/>
  <c r="P677" i="21"/>
  <c r="AF677" i="21"/>
  <c r="DD219" i="40"/>
  <c r="DD212" i="40"/>
  <c r="AA31" i="14"/>
  <c r="U328" i="21"/>
  <c r="W328" i="21" s="1"/>
  <c r="N328" i="21"/>
  <c r="P328" i="21" s="1"/>
  <c r="DC198" i="40"/>
  <c r="DP198" i="40"/>
  <c r="CY198" i="40"/>
  <c r="DQ198" i="40"/>
  <c r="DO198" i="40"/>
  <c r="DN198" i="40"/>
  <c r="DL198" i="40"/>
  <c r="DK198" i="40"/>
  <c r="DJ198" i="40"/>
  <c r="DM198" i="40"/>
  <c r="DI198" i="40"/>
  <c r="W504" i="21"/>
  <c r="CW209" i="40"/>
  <c r="DF209" i="40" s="1"/>
  <c r="F209" i="40"/>
  <c r="AB144" i="8"/>
  <c r="AB147" i="8"/>
  <c r="AB150" i="8" s="1"/>
  <c r="AH172" i="14"/>
  <c r="AG172" i="14"/>
  <c r="D212" i="40"/>
  <c r="CW211" i="40"/>
  <c r="DF211" i="40" s="1"/>
  <c r="F211" i="40"/>
  <c r="AM190" i="19"/>
  <c r="AM197" i="19"/>
  <c r="AT233" i="40"/>
  <c r="AT225" i="40"/>
  <c r="AT229" i="40"/>
  <c r="AW226" i="40"/>
  <c r="U511" i="21"/>
  <c r="N511" i="21"/>
  <c r="P511" i="21" s="1"/>
  <c r="W670" i="21"/>
  <c r="U671" i="21"/>
  <c r="W677" i="21"/>
  <c r="R217" i="40"/>
  <c r="T216" i="40"/>
  <c r="D216" i="40"/>
  <c r="W327" i="21"/>
  <c r="AB157" i="8"/>
  <c r="AB158" i="8" s="1"/>
  <c r="BY250" i="40"/>
  <c r="CA247" i="40"/>
  <c r="L334" i="21"/>
  <c r="L330" i="21"/>
  <c r="AE319" i="14"/>
  <c r="AD118" i="8"/>
  <c r="AD332" i="14"/>
  <c r="AD333" i="14" s="1"/>
  <c r="CA254" i="40"/>
  <c r="AH217" i="40"/>
  <c r="AF218" i="40"/>
  <c r="J513" i="21"/>
  <c r="L513" i="21" s="1"/>
  <c r="N322" i="21"/>
  <c r="P322" i="21" s="1"/>
  <c r="U322" i="21"/>
  <c r="U692" i="21"/>
  <c r="W692" i="21" s="1"/>
  <c r="T210" i="40"/>
  <c r="D210" i="40"/>
  <c r="BY244" i="40"/>
  <c r="CA243" i="40"/>
  <c r="Z161" i="14"/>
  <c r="Z163" i="14"/>
  <c r="Z164" i="14" s="1"/>
  <c r="S211" i="40"/>
  <c r="Z178" i="14"/>
  <c r="Z179" i="14" s="1"/>
  <c r="Z167" i="14"/>
  <c r="Z186" i="14" s="1"/>
  <c r="DQ204" i="40"/>
  <c r="CY204" i="40"/>
  <c r="DP204" i="40"/>
  <c r="DO204" i="40"/>
  <c r="DL204" i="40"/>
  <c r="DN204" i="40"/>
  <c r="DK204" i="40"/>
  <c r="DJ204" i="40"/>
  <c r="DM204" i="40"/>
  <c r="DI204" i="40"/>
  <c r="CW203" i="40"/>
  <c r="DF203" i="40" s="1"/>
  <c r="F203" i="40"/>
  <c r="W323" i="21"/>
  <c r="W316" i="21"/>
  <c r="AN219" i="40"/>
  <c r="AB245" i="14" s="1"/>
  <c r="AM222" i="40"/>
  <c r="AO219" i="40"/>
  <c r="BY232" i="40"/>
  <c r="CA232" i="40" s="1"/>
  <c r="CA231" i="40"/>
  <c r="L324" i="21"/>
  <c r="N324" i="21" s="1"/>
  <c r="P324" i="21" s="1"/>
  <c r="AK670" i="21"/>
  <c r="AI671" i="21"/>
  <c r="AA33" i="14"/>
  <c r="AB166" i="14"/>
  <c r="AA173" i="14"/>
  <c r="AA166" i="14"/>
  <c r="AB173" i="14"/>
  <c r="AA184" i="14"/>
  <c r="AA175" i="14"/>
  <c r="AA176" i="14" s="1"/>
  <c r="BP246" i="40"/>
  <c r="DQ196" i="40"/>
  <c r="CY196" i="40"/>
  <c r="CX196" i="40"/>
  <c r="EG196" i="40" s="1"/>
  <c r="DP196" i="40"/>
  <c r="DO196" i="40"/>
  <c r="DL196" i="40"/>
  <c r="DN196" i="40"/>
  <c r="DK196" i="40"/>
  <c r="DJ196" i="40"/>
  <c r="DM196" i="40"/>
  <c r="DI196" i="40"/>
  <c r="AB145" i="14"/>
  <c r="DS55" i="30"/>
  <c r="L331" i="21"/>
  <c r="N331" i="21" s="1"/>
  <c r="P331" i="21" s="1"/>
  <c r="L692" i="21"/>
  <c r="N692" i="21" s="1"/>
  <c r="P692" i="21" s="1"/>
  <c r="BB62" i="32"/>
  <c r="BB64" i="32" s="1"/>
  <c r="BB9" i="3"/>
  <c r="AX83" i="3"/>
  <c r="AX87" i="3" s="1"/>
  <c r="AX63" i="3"/>
  <c r="AZ92" i="3"/>
  <c r="AZ93" i="3" s="1"/>
  <c r="AZ15" i="3"/>
  <c r="AZ27" i="3" s="1"/>
  <c r="U247" i="14"/>
  <c r="V242" i="14"/>
  <c r="V246" i="14" s="1"/>
  <c r="U259" i="14"/>
  <c r="U260" i="14" s="1"/>
  <c r="DM57" i="30"/>
  <c r="U268" i="14"/>
  <c r="U206" i="14"/>
  <c r="U208" i="14"/>
  <c r="U209" i="14" s="1"/>
  <c r="AF330" i="14"/>
  <c r="X97" i="14"/>
  <c r="Y78" i="14"/>
  <c r="Y94" i="14" s="1"/>
  <c r="X118" i="14"/>
  <c r="W629" i="21"/>
  <c r="W622" i="21"/>
  <c r="T248" i="14"/>
  <c r="T250" i="14"/>
  <c r="T251" i="14" s="1"/>
  <c r="V205" i="14"/>
  <c r="W200" i="14"/>
  <c r="W204" i="14" s="1"/>
  <c r="DN56" i="30"/>
  <c r="V217" i="14"/>
  <c r="V218" i="14" s="1"/>
  <c r="V226" i="14"/>
  <c r="AG341" i="14"/>
  <c r="AG329" i="14"/>
  <c r="AH325" i="14"/>
  <c r="AH328" i="14" s="1"/>
  <c r="AE317" i="14"/>
  <c r="AE276" i="14"/>
  <c r="AE234" i="14"/>
  <c r="AE192" i="14"/>
  <c r="AE136" i="14"/>
  <c r="AE63" i="14"/>
  <c r="AF5" i="14"/>
  <c r="AA288" i="14"/>
  <c r="AO287" i="14"/>
  <c r="AB284" i="14"/>
  <c r="AB287" i="14" s="1"/>
  <c r="DS58" i="30"/>
  <c r="Y101" i="8"/>
  <c r="Z5" i="8"/>
  <c r="DK270" i="36"/>
  <c r="DJ281" i="36"/>
  <c r="DJ271" i="36"/>
  <c r="DJ274" i="36"/>
  <c r="X134" i="60" l="1"/>
  <c r="Y98" i="60"/>
  <c r="L154" i="60"/>
  <c r="M154" i="60"/>
  <c r="R103" i="60"/>
  <c r="W135" i="60"/>
  <c r="X99" i="60"/>
  <c r="V136" i="60"/>
  <c r="W100" i="60"/>
  <c r="T105" i="60"/>
  <c r="Q136" i="60"/>
  <c r="Q101" i="60"/>
  <c r="R135" i="60"/>
  <c r="Z132" i="60"/>
  <c r="AA96" i="60"/>
  <c r="S138" i="60"/>
  <c r="S103" i="60"/>
  <c r="T137" i="60"/>
  <c r="AA131" i="60"/>
  <c r="AB95" i="60"/>
  <c r="AA68" i="60"/>
  <c r="AA66" i="60" s="1"/>
  <c r="AA67" i="60" s="1"/>
  <c r="P141" i="60"/>
  <c r="P143" i="60" s="1"/>
  <c r="P106" i="60"/>
  <c r="Y133" i="60"/>
  <c r="Z97" i="60"/>
  <c r="M140" i="60"/>
  <c r="M105" i="60"/>
  <c r="N140" i="60" s="1"/>
  <c r="H137" i="60"/>
  <c r="H102" i="60"/>
  <c r="I136" i="60"/>
  <c r="L105" i="60"/>
  <c r="J138" i="60"/>
  <c r="J103" i="60"/>
  <c r="K137" i="60"/>
  <c r="L137" i="60"/>
  <c r="N105" i="60"/>
  <c r="O139" i="60"/>
  <c r="U137" i="60"/>
  <c r="V101" i="60"/>
  <c r="U102" i="60"/>
  <c r="AB31" i="60"/>
  <c r="M225" i="40"/>
  <c r="N507" i="21"/>
  <c r="P507" i="21" s="1"/>
  <c r="U507" i="21"/>
  <c r="W507" i="21" s="1"/>
  <c r="L508" i="21"/>
  <c r="N508" i="21" s="1"/>
  <c r="P508" i="21" s="1"/>
  <c r="BH224" i="40"/>
  <c r="BJ223" i="40"/>
  <c r="AA163" i="14"/>
  <c r="AA164" i="14" s="1"/>
  <c r="AA161" i="14"/>
  <c r="CA244" i="40"/>
  <c r="BY245" i="40"/>
  <c r="W322" i="21"/>
  <c r="U324" i="21"/>
  <c r="W324" i="21" s="1"/>
  <c r="AH218" i="40"/>
  <c r="AF219" i="40"/>
  <c r="J514" i="21"/>
  <c r="AD140" i="8"/>
  <c r="AD119" i="8"/>
  <c r="T217" i="40"/>
  <c r="R218" i="40"/>
  <c r="D217" i="40"/>
  <c r="AW229" i="40"/>
  <c r="AW230" i="40" s="1"/>
  <c r="AW231" i="40" s="1"/>
  <c r="AC297" i="14"/>
  <c r="AC294" i="14" s="1"/>
  <c r="F212" i="40"/>
  <c r="DF212" i="40"/>
  <c r="E212" i="40"/>
  <c r="CX212" i="40" s="1"/>
  <c r="CW212" i="40"/>
  <c r="H212" i="40"/>
  <c r="AT224" i="40"/>
  <c r="BJ225" i="40"/>
  <c r="BR253" i="40"/>
  <c r="AF671" i="21"/>
  <c r="P671" i="21"/>
  <c r="CY205" i="40"/>
  <c r="DQ205" i="40"/>
  <c r="DP205" i="40"/>
  <c r="DO205" i="40"/>
  <c r="DN205" i="40"/>
  <c r="DL205" i="40"/>
  <c r="DK205" i="40"/>
  <c r="DC205" i="40"/>
  <c r="DJ205" i="40"/>
  <c r="DI205" i="40"/>
  <c r="DM205" i="40"/>
  <c r="BA218" i="40"/>
  <c r="BC217" i="40"/>
  <c r="AF278" i="14"/>
  <c r="AE115" i="8"/>
  <c r="AE137" i="8" s="1"/>
  <c r="AA217" i="40"/>
  <c r="Y218" i="40"/>
  <c r="J336" i="21"/>
  <c r="L336" i="21" s="1"/>
  <c r="CY203" i="40"/>
  <c r="CX203" i="40"/>
  <c r="EG203" i="40" s="1"/>
  <c r="DQ203" i="40"/>
  <c r="DP203" i="40"/>
  <c r="DO203" i="40"/>
  <c r="DN203" i="40"/>
  <c r="DL203" i="40"/>
  <c r="DK203" i="40"/>
  <c r="DJ203" i="40"/>
  <c r="DI203" i="40"/>
  <c r="DM203" i="40"/>
  <c r="AT240" i="40"/>
  <c r="AT236" i="40"/>
  <c r="AT232" i="40"/>
  <c r="AW233" i="40"/>
  <c r="CY209" i="40"/>
  <c r="CX209" i="40"/>
  <c r="EG209" i="40" s="1"/>
  <c r="DQ209" i="40"/>
  <c r="DP209" i="40"/>
  <c r="DO209" i="40"/>
  <c r="DL209" i="40"/>
  <c r="DN209" i="40"/>
  <c r="DK209" i="40"/>
  <c r="DJ209" i="40"/>
  <c r="DM209" i="40"/>
  <c r="DI209" i="40"/>
  <c r="EA246" i="40"/>
  <c r="BR246" i="40"/>
  <c r="AA167" i="14"/>
  <c r="AA186" i="14" s="1"/>
  <c r="AA178" i="14"/>
  <c r="AA179" i="14" s="1"/>
  <c r="AM223" i="40"/>
  <c r="AO222" i="40"/>
  <c r="J695" i="21"/>
  <c r="CW210" i="40"/>
  <c r="DF210" i="40"/>
  <c r="F210" i="40"/>
  <c r="AE118" i="8"/>
  <c r="AF319" i="14"/>
  <c r="AE332" i="14"/>
  <c r="AE333" i="14" s="1"/>
  <c r="CA250" i="40"/>
  <c r="BY251" i="40"/>
  <c r="AT230" i="40"/>
  <c r="AP176" i="19"/>
  <c r="BF176" i="19"/>
  <c r="AQ177" i="19"/>
  <c r="BH230" i="40"/>
  <c r="BJ229" i="40"/>
  <c r="U329" i="21"/>
  <c r="N329" i="21"/>
  <c r="P329" i="21" s="1"/>
  <c r="DF205" i="40"/>
  <c r="AB167" i="14"/>
  <c r="AB186" i="14" s="1"/>
  <c r="AB178" i="14"/>
  <c r="AB179" i="14" s="1"/>
  <c r="U334" i="21"/>
  <c r="N334" i="21"/>
  <c r="P334" i="21" s="1"/>
  <c r="DQ211" i="40"/>
  <c r="CX211" i="40"/>
  <c r="CY211" i="40"/>
  <c r="DP211" i="40"/>
  <c r="DO211" i="40"/>
  <c r="DL211" i="40"/>
  <c r="DN211" i="40"/>
  <c r="DK211" i="40"/>
  <c r="DJ211" i="40"/>
  <c r="DM211" i="40"/>
  <c r="DI211" i="40"/>
  <c r="BH240" i="40"/>
  <c r="BH236" i="40"/>
  <c r="BH232" i="40"/>
  <c r="BK233" i="40"/>
  <c r="BJ233" i="40"/>
  <c r="AF678" i="21"/>
  <c r="P678" i="21"/>
  <c r="AM677" i="21"/>
  <c r="AM670" i="21"/>
  <c r="AK671" i="21"/>
  <c r="CX204" i="40"/>
  <c r="DT211" i="40"/>
  <c r="E211" i="40"/>
  <c r="N513" i="21"/>
  <c r="P513" i="21" s="1"/>
  <c r="U513" i="21"/>
  <c r="W513" i="21" s="1"/>
  <c r="N330" i="21"/>
  <c r="P330" i="21" s="1"/>
  <c r="U330" i="21"/>
  <c r="W330" i="21" s="1"/>
  <c r="F216" i="40"/>
  <c r="CW216" i="40"/>
  <c r="W671" i="21"/>
  <c r="W678" i="21"/>
  <c r="W511" i="21"/>
  <c r="AU225" i="40"/>
  <c r="AA32" i="14"/>
  <c r="AA28" i="14"/>
  <c r="DS61" i="30"/>
  <c r="AB28" i="14"/>
  <c r="AB32" i="14"/>
  <c r="BK229" i="40"/>
  <c r="BM226" i="40"/>
  <c r="K224" i="40"/>
  <c r="M223" i="40"/>
  <c r="N335" i="21"/>
  <c r="P335" i="21" s="1"/>
  <c r="U335" i="21"/>
  <c r="W335" i="21" s="1"/>
  <c r="CY215" i="40"/>
  <c r="CX215" i="40"/>
  <c r="EG215" i="40" s="1"/>
  <c r="DQ215" i="40"/>
  <c r="DP215" i="40"/>
  <c r="DO215" i="40"/>
  <c r="DN215" i="40"/>
  <c r="DL215" i="40"/>
  <c r="DK215" i="40"/>
  <c r="DJ215" i="40"/>
  <c r="DI215" i="40"/>
  <c r="DM215" i="40"/>
  <c r="BY239" i="40"/>
  <c r="CA239" i="40" s="1"/>
  <c r="CA238" i="40"/>
  <c r="EE204" i="40"/>
  <c r="ED204" i="40"/>
  <c r="ED205" i="40" s="1"/>
  <c r="AZ83" i="3"/>
  <c r="AZ87" i="3" s="1"/>
  <c r="AZ63" i="3"/>
  <c r="BB92" i="3"/>
  <c r="BB93" i="3" s="1"/>
  <c r="BB15" i="3"/>
  <c r="BB27" i="3" s="1"/>
  <c r="BD62" i="32"/>
  <c r="BD64" i="32" s="1"/>
  <c r="BD9" i="3"/>
  <c r="Y97" i="14"/>
  <c r="Z78" i="14"/>
  <c r="Z94" i="14" s="1"/>
  <c r="Y118" i="14"/>
  <c r="AH329" i="14"/>
  <c r="AH341" i="14"/>
  <c r="W242" i="14"/>
  <c r="W246" i="14" s="1"/>
  <c r="V247" i="14"/>
  <c r="DN57" i="30"/>
  <c r="V259" i="14"/>
  <c r="V260" i="14" s="1"/>
  <c r="V268" i="14"/>
  <c r="AC284" i="14"/>
  <c r="AC287" i="14" s="1"/>
  <c r="AB288" i="14"/>
  <c r="DT58" i="30"/>
  <c r="W217" i="14"/>
  <c r="W218" i="14" s="1"/>
  <c r="W205" i="14"/>
  <c r="X200" i="14"/>
  <c r="X204" i="14" s="1"/>
  <c r="DO56" i="30"/>
  <c r="W226" i="14"/>
  <c r="V206" i="14"/>
  <c r="V208" i="14"/>
  <c r="V209" i="14" s="1"/>
  <c r="AF317" i="14"/>
  <c r="AF276" i="14"/>
  <c r="AF234" i="14"/>
  <c r="AF192" i="14"/>
  <c r="AF136" i="14"/>
  <c r="AF63" i="14"/>
  <c r="AG5" i="14"/>
  <c r="AG330" i="14"/>
  <c r="U248" i="14"/>
  <c r="U250" i="14"/>
  <c r="U251" i="14" s="1"/>
  <c r="Z101" i="8"/>
  <c r="AA5" i="8"/>
  <c r="DJ282" i="36"/>
  <c r="DN268" i="36"/>
  <c r="DK271" i="36"/>
  <c r="DJ272" i="36"/>
  <c r="AC66" i="8" s="1"/>
  <c r="U508" i="21" l="1"/>
  <c r="W508" i="21" s="1"/>
  <c r="V137" i="60"/>
  <c r="W101" i="60"/>
  <c r="H138" i="60"/>
  <c r="H103" i="60"/>
  <c r="I137" i="60"/>
  <c r="Z133" i="60"/>
  <c r="AA97" i="60"/>
  <c r="S104" i="60"/>
  <c r="T138" i="60"/>
  <c r="L106" i="60"/>
  <c r="AB131" i="60"/>
  <c r="AB68" i="60"/>
  <c r="AB66" i="60" s="1"/>
  <c r="AB67" i="60" s="1"/>
  <c r="Q137" i="60"/>
  <c r="Q102" i="60"/>
  <c r="R136" i="60"/>
  <c r="W136" i="60"/>
  <c r="X100" i="60"/>
  <c r="R104" i="60"/>
  <c r="S139" i="60" s="1"/>
  <c r="M141" i="60"/>
  <c r="M143" i="60" s="1"/>
  <c r="M106" i="60"/>
  <c r="AA132" i="60"/>
  <c r="AB96" i="60"/>
  <c r="AB132" i="60" s="1"/>
  <c r="Y134" i="60"/>
  <c r="Z98" i="60"/>
  <c r="U138" i="60"/>
  <c r="V102" i="60"/>
  <c r="U103" i="60"/>
  <c r="N141" i="60"/>
  <c r="N143" i="60" s="1"/>
  <c r="N106" i="60"/>
  <c r="O141" i="60" s="1"/>
  <c r="O140" i="60"/>
  <c r="J139" i="60"/>
  <c r="J104" i="60"/>
  <c r="K138" i="60"/>
  <c r="L138" i="60"/>
  <c r="P153" i="60"/>
  <c r="P54" i="60"/>
  <c r="P22" i="60"/>
  <c r="T106" i="60"/>
  <c r="X135" i="60"/>
  <c r="Y99" i="60"/>
  <c r="N154" i="60"/>
  <c r="DS225" i="40"/>
  <c r="DS66" i="30"/>
  <c r="DS62" i="30"/>
  <c r="DT62" i="30"/>
  <c r="BJ236" i="40"/>
  <c r="BH237" i="40"/>
  <c r="BH231" i="40"/>
  <c r="BJ230" i="40"/>
  <c r="AW236" i="40"/>
  <c r="AW237" i="40" s="1"/>
  <c r="AW238" i="40" s="1"/>
  <c r="AG297" i="14"/>
  <c r="AF297" i="14"/>
  <c r="AG294" i="14" s="1"/>
  <c r="AE297" i="14"/>
  <c r="AF294" i="14" s="1"/>
  <c r="AH297" i="14"/>
  <c r="AH294" i="14" s="1"/>
  <c r="AD297" i="14"/>
  <c r="Y219" i="40"/>
  <c r="AA218" i="40"/>
  <c r="J337" i="21"/>
  <c r="AG278" i="14"/>
  <c r="AF115" i="8"/>
  <c r="AF137" i="8" s="1"/>
  <c r="BM225" i="40"/>
  <c r="DZ225" i="40"/>
  <c r="F217" i="40"/>
  <c r="DF217" i="40"/>
  <c r="CW217" i="40"/>
  <c r="CA245" i="40"/>
  <c r="BY246" i="40"/>
  <c r="CA246" i="40" s="1"/>
  <c r="EF204" i="40"/>
  <c r="EG204" i="40" s="1"/>
  <c r="EE205" i="40"/>
  <c r="EF205" i="40" s="1"/>
  <c r="EG205" i="40" s="1"/>
  <c r="BK230" i="40"/>
  <c r="BM229" i="40"/>
  <c r="AA29" i="14"/>
  <c r="AA46" i="14" s="1"/>
  <c r="AA38" i="14"/>
  <c r="AA39" i="14" s="1"/>
  <c r="CX216" i="40"/>
  <c r="EG216" i="40" s="1"/>
  <c r="CY216" i="40"/>
  <c r="DQ216" i="40"/>
  <c r="DP216" i="40"/>
  <c r="DO216" i="40"/>
  <c r="DL216" i="40"/>
  <c r="DN216" i="40"/>
  <c r="DK216" i="40"/>
  <c r="DJ216" i="40"/>
  <c r="DI216" i="40"/>
  <c r="DM216" i="40"/>
  <c r="EE211" i="40"/>
  <c r="ED211" i="40"/>
  <c r="ED212" i="40" s="1"/>
  <c r="BH247" i="40"/>
  <c r="BH243" i="40"/>
  <c r="BK240" i="40"/>
  <c r="BJ240" i="40"/>
  <c r="BH239" i="40"/>
  <c r="W329" i="21"/>
  <c r="U331" i="21"/>
  <c r="W331" i="21" s="1"/>
  <c r="AP177" i="19"/>
  <c r="AR178" i="19"/>
  <c r="BF177" i="19"/>
  <c r="AS178" i="19"/>
  <c r="AT178" i="19"/>
  <c r="BA219" i="40"/>
  <c r="BC218" i="40"/>
  <c r="AU178" i="19"/>
  <c r="T218" i="40"/>
  <c r="R219" i="40"/>
  <c r="D218" i="40"/>
  <c r="BK236" i="40"/>
  <c r="BM233" i="40"/>
  <c r="AT231" i="40"/>
  <c r="AF118" i="8"/>
  <c r="AG319" i="14"/>
  <c r="AF332" i="14"/>
  <c r="AF333" i="14" s="1"/>
  <c r="CX210" i="40"/>
  <c r="EG210" i="40" s="1"/>
  <c r="DQ210" i="40"/>
  <c r="CY210" i="40"/>
  <c r="DP210" i="40"/>
  <c r="DO210" i="40"/>
  <c r="DL210" i="40"/>
  <c r="DN210" i="40"/>
  <c r="DK210" i="40"/>
  <c r="DJ210" i="40"/>
  <c r="DI210" i="40"/>
  <c r="DM210" i="40"/>
  <c r="AM224" i="40"/>
  <c r="AO223" i="40"/>
  <c r="J696" i="21"/>
  <c r="AT237" i="40"/>
  <c r="CY212" i="40"/>
  <c r="DQ212" i="40"/>
  <c r="DP212" i="40"/>
  <c r="DO212" i="40"/>
  <c r="DN212" i="40"/>
  <c r="DL212" i="40"/>
  <c r="DK212" i="40"/>
  <c r="DJ212" i="40"/>
  <c r="DI212" i="40"/>
  <c r="DM212" i="40"/>
  <c r="DC212" i="40"/>
  <c r="L514" i="21"/>
  <c r="BJ224" i="40"/>
  <c r="M224" i="40"/>
  <c r="AB29" i="14"/>
  <c r="AB46" i="14" s="1"/>
  <c r="AB38" i="14"/>
  <c r="AB39" i="14" s="1"/>
  <c r="DX225" i="40"/>
  <c r="AW225" i="40"/>
  <c r="DF216" i="40"/>
  <c r="AM671" i="21"/>
  <c r="AM678" i="21"/>
  <c r="BJ232" i="40"/>
  <c r="BI232" i="40"/>
  <c r="DZ232" i="40" s="1"/>
  <c r="W334" i="21"/>
  <c r="BY252" i="40"/>
  <c r="CA251" i="40"/>
  <c r="AE140" i="8"/>
  <c r="AE119" i="8"/>
  <c r="L696" i="21"/>
  <c r="L695" i="21"/>
  <c r="AT247" i="40"/>
  <c r="AT243" i="40"/>
  <c r="AW240" i="40"/>
  <c r="AW243" i="40" s="1"/>
  <c r="AW244" i="40" s="1"/>
  <c r="AW245" i="40" s="1"/>
  <c r="AT239" i="40"/>
  <c r="N336" i="21"/>
  <c r="P336" i="21" s="1"/>
  <c r="U336" i="21"/>
  <c r="W336" i="21" s="1"/>
  <c r="AF222" i="40"/>
  <c r="AG219" i="40"/>
  <c r="AB203" i="14" s="1"/>
  <c r="AH219" i="40"/>
  <c r="BF62" i="32"/>
  <c r="BF9" i="3"/>
  <c r="BB83" i="3"/>
  <c r="BB87" i="3" s="1"/>
  <c r="BB82" i="3"/>
  <c r="BB63" i="3"/>
  <c r="BD92" i="3"/>
  <c r="BD93" i="3" s="1"/>
  <c r="BD15" i="3"/>
  <c r="BD27" i="3" s="1"/>
  <c r="AG317" i="14"/>
  <c r="AG276" i="14"/>
  <c r="AG234" i="14"/>
  <c r="AG192" i="14"/>
  <c r="AG136" i="14"/>
  <c r="AG63" i="14"/>
  <c r="AH5" i="14"/>
  <c r="V248" i="14"/>
  <c r="V250" i="14"/>
  <c r="V251" i="14" s="1"/>
  <c r="X205" i="14"/>
  <c r="AK204" i="14"/>
  <c r="Y200" i="14"/>
  <c r="Y204" i="14" s="1"/>
  <c r="DP56" i="30"/>
  <c r="X217" i="14"/>
  <c r="X218" i="14" s="1"/>
  <c r="X226" i="14"/>
  <c r="W247" i="14"/>
  <c r="X242" i="14"/>
  <c r="X246" i="14" s="1"/>
  <c r="DO57" i="30"/>
  <c r="W259" i="14"/>
  <c r="W260" i="14" s="1"/>
  <c r="W268" i="14"/>
  <c r="AH330" i="14"/>
  <c r="W206" i="14"/>
  <c r="W208" i="14"/>
  <c r="W209" i="14" s="1"/>
  <c r="AC288" i="14"/>
  <c r="AD284" i="14"/>
  <c r="AD287" i="14" s="1"/>
  <c r="DU58" i="30"/>
  <c r="AA78" i="14"/>
  <c r="AA94" i="14" s="1"/>
  <c r="Z118" i="14"/>
  <c r="Z97" i="14"/>
  <c r="AA101" i="8"/>
  <c r="AB5" i="8"/>
  <c r="DJ283" i="36"/>
  <c r="AC67" i="8" s="1"/>
  <c r="DN279" i="36"/>
  <c r="DN269" i="36"/>
  <c r="DN273" i="36" s="1"/>
  <c r="DO268" i="36"/>
  <c r="O154" i="60" l="1"/>
  <c r="P51" i="60"/>
  <c r="P59" i="60"/>
  <c r="P60" i="60" s="1"/>
  <c r="J140" i="60"/>
  <c r="J105" i="60"/>
  <c r="K139" i="60"/>
  <c r="L139" i="60"/>
  <c r="N153" i="60"/>
  <c r="N54" i="60"/>
  <c r="N22" i="60"/>
  <c r="Z134" i="60"/>
  <c r="AA98" i="60"/>
  <c r="X136" i="60"/>
  <c r="Y100" i="60"/>
  <c r="H139" i="60"/>
  <c r="H104" i="60"/>
  <c r="I138" i="60"/>
  <c r="U139" i="60"/>
  <c r="V103" i="60"/>
  <c r="U104" i="60"/>
  <c r="M153" i="60"/>
  <c r="M54" i="60"/>
  <c r="M22" i="60"/>
  <c r="AA133" i="60"/>
  <c r="AB97" i="60"/>
  <c r="AB133" i="60" s="1"/>
  <c r="V138" i="60"/>
  <c r="W102" i="60"/>
  <c r="R105" i="60"/>
  <c r="W137" i="60"/>
  <c r="X101" i="60"/>
  <c r="Y135" i="60"/>
  <c r="Z99" i="60"/>
  <c r="P162" i="60"/>
  <c r="Q162" i="60" s="1"/>
  <c r="P32" i="60"/>
  <c r="O143" i="60"/>
  <c r="Q138" i="60"/>
  <c r="Q103" i="60"/>
  <c r="R137" i="60"/>
  <c r="S105" i="60"/>
  <c r="T139" i="60"/>
  <c r="AF260" i="40"/>
  <c r="AG260" i="40" s="1"/>
  <c r="AF229" i="40"/>
  <c r="AI226" i="40"/>
  <c r="AF233" i="40"/>
  <c r="AH226" i="40"/>
  <c r="AT254" i="40"/>
  <c r="AT250" i="40"/>
  <c r="AW247" i="40"/>
  <c r="AW250" i="40" s="1"/>
  <c r="AW251" i="40" s="1"/>
  <c r="AW252" i="40" s="1"/>
  <c r="AT246" i="40"/>
  <c r="U514" i="21"/>
  <c r="N514" i="21"/>
  <c r="P514" i="21" s="1"/>
  <c r="L515" i="21"/>
  <c r="N515" i="21" s="1"/>
  <c r="P515" i="21" s="1"/>
  <c r="BB219" i="40"/>
  <c r="AB154" i="14" s="1"/>
  <c r="AB158" i="14" s="1"/>
  <c r="BA222" i="40"/>
  <c r="BC219" i="40"/>
  <c r="BK243" i="40"/>
  <c r="BM240" i="40"/>
  <c r="BK231" i="40"/>
  <c r="BM230" i="40"/>
  <c r="Y222" i="40"/>
  <c r="AA219" i="40"/>
  <c r="Z219" i="40"/>
  <c r="AB153" i="14" s="1"/>
  <c r="U695" i="21"/>
  <c r="N695" i="21"/>
  <c r="P695" i="21" s="1"/>
  <c r="AT238" i="40"/>
  <c r="AO224" i="40"/>
  <c r="J697" i="21"/>
  <c r="L697" i="21" s="1"/>
  <c r="EF211" i="40"/>
  <c r="EG211" i="40" s="1"/>
  <c r="EE212" i="40"/>
  <c r="EF212" i="40" s="1"/>
  <c r="EG212" i="40" s="1"/>
  <c r="AH278" i="14"/>
  <c r="AH115" i="8" s="1"/>
  <c r="AH137" i="8" s="1"/>
  <c r="AG115" i="8"/>
  <c r="AG137" i="8" s="1"/>
  <c r="BJ231" i="40"/>
  <c r="N696" i="21"/>
  <c r="P696" i="21" s="1"/>
  <c r="U696" i="21"/>
  <c r="W696" i="21" s="1"/>
  <c r="BY253" i="40"/>
  <c r="CA253" i="40" s="1"/>
  <c r="CA252" i="40"/>
  <c r="AH319" i="14"/>
  <c r="AG118" i="8"/>
  <c r="AG332" i="14"/>
  <c r="AG333" i="14" s="1"/>
  <c r="BM236" i="40"/>
  <c r="BK237" i="40"/>
  <c r="F218" i="40"/>
  <c r="D219" i="40"/>
  <c r="CW218" i="40"/>
  <c r="AU232" i="40"/>
  <c r="BJ239" i="40"/>
  <c r="BH244" i="40"/>
  <c r="BJ243" i="40"/>
  <c r="CY217" i="40"/>
  <c r="CX217" i="40"/>
  <c r="EG217" i="40" s="1"/>
  <c r="DQ217" i="40"/>
  <c r="DP217" i="40"/>
  <c r="DO217" i="40"/>
  <c r="DL217" i="40"/>
  <c r="DN217" i="40"/>
  <c r="DK217" i="40"/>
  <c r="DJ217" i="40"/>
  <c r="DI217" i="40"/>
  <c r="DM217" i="40"/>
  <c r="L337" i="21"/>
  <c r="AD294" i="14"/>
  <c r="AE294" i="14"/>
  <c r="AF223" i="40"/>
  <c r="AH222" i="40"/>
  <c r="J518" i="21"/>
  <c r="L518" i="21" s="1"/>
  <c r="AT244" i="40"/>
  <c r="AF140" i="8"/>
  <c r="AF119" i="8"/>
  <c r="S219" i="40"/>
  <c r="AB82" i="14" s="1"/>
  <c r="T219" i="40"/>
  <c r="R222" i="40"/>
  <c r="BH254" i="40"/>
  <c r="BH250" i="40"/>
  <c r="BJ247" i="40"/>
  <c r="BH246" i="40"/>
  <c r="BK247" i="40"/>
  <c r="BH238" i="40"/>
  <c r="BJ237" i="40"/>
  <c r="P225" i="40"/>
  <c r="BF92" i="3"/>
  <c r="BF93" i="3" s="1"/>
  <c r="BF15" i="3"/>
  <c r="BF27" i="3" s="1"/>
  <c r="BD83" i="3"/>
  <c r="BD87" i="3" s="1"/>
  <c r="BD82" i="3"/>
  <c r="BD63" i="3"/>
  <c r="AD288" i="14"/>
  <c r="AE284" i="14"/>
  <c r="AE287" i="14" s="1"/>
  <c r="DV58" i="30"/>
  <c r="X206" i="14"/>
  <c r="X208" i="14"/>
  <c r="X209" i="14" s="1"/>
  <c r="AH317" i="14"/>
  <c r="AH276" i="14"/>
  <c r="AH234" i="14"/>
  <c r="AH192" i="14"/>
  <c r="AH136" i="14"/>
  <c r="AH63" i="14"/>
  <c r="X247" i="14"/>
  <c r="X259" i="14"/>
  <c r="X260" i="14" s="1"/>
  <c r="AK246" i="14"/>
  <c r="Y242" i="14"/>
  <c r="Y246" i="14" s="1"/>
  <c r="DP57" i="30"/>
  <c r="X268" i="14"/>
  <c r="AA118" i="14"/>
  <c r="AA97" i="14"/>
  <c r="AB78" i="14"/>
  <c r="AB94" i="14" s="1"/>
  <c r="W250" i="14"/>
  <c r="W251" i="14" s="1"/>
  <c r="W248" i="14"/>
  <c r="Y205" i="14"/>
  <c r="Z200" i="14"/>
  <c r="Z204" i="14" s="1"/>
  <c r="DQ56" i="30"/>
  <c r="Y226" i="14"/>
  <c r="Y217" i="14"/>
  <c r="Y218" i="14" s="1"/>
  <c r="AB101" i="8"/>
  <c r="AC5" i="8"/>
  <c r="DJ250" i="36"/>
  <c r="AC55" i="8"/>
  <c r="DJ211" i="36"/>
  <c r="DJ201" i="36"/>
  <c r="CR28" i="30"/>
  <c r="CR29" i="30"/>
  <c r="DN218" i="36"/>
  <c r="DN270" i="36"/>
  <c r="DN274" i="36" s="1"/>
  <c r="DO269" i="36"/>
  <c r="DN280" i="36"/>
  <c r="BF127" i="3" l="1"/>
  <c r="AL55" i="8"/>
  <c r="AC61" i="8"/>
  <c r="S106" i="60"/>
  <c r="T141" i="60" s="1"/>
  <c r="T143" i="60" s="1"/>
  <c r="T140" i="60"/>
  <c r="Z135" i="60"/>
  <c r="AA99" i="60"/>
  <c r="R106" i="60"/>
  <c r="S141" i="60" s="1"/>
  <c r="S143" i="60" s="1"/>
  <c r="N60" i="60"/>
  <c r="N59" i="60"/>
  <c r="N51" i="60"/>
  <c r="N52" i="60" s="1"/>
  <c r="N55" i="60"/>
  <c r="J141" i="60"/>
  <c r="J143" i="60" s="1"/>
  <c r="J106" i="60"/>
  <c r="K140" i="60"/>
  <c r="L140" i="60"/>
  <c r="S140" i="60"/>
  <c r="O153" i="60"/>
  <c r="O54" i="60"/>
  <c r="O22" i="60"/>
  <c r="U140" i="60"/>
  <c r="V104" i="60"/>
  <c r="U105" i="60"/>
  <c r="H140" i="60"/>
  <c r="H105" i="60"/>
  <c r="I139" i="60"/>
  <c r="AA134" i="60"/>
  <c r="AB98" i="60"/>
  <c r="AB134" i="60" s="1"/>
  <c r="X137" i="60"/>
  <c r="Y101" i="60"/>
  <c r="W138" i="60"/>
  <c r="X102" i="60"/>
  <c r="M159" i="60"/>
  <c r="N159" i="60" s="1"/>
  <c r="M32" i="60"/>
  <c r="V139" i="60"/>
  <c r="W103" i="60"/>
  <c r="Q139" i="60"/>
  <c r="Q104" i="60"/>
  <c r="R138" i="60"/>
  <c r="R162" i="60"/>
  <c r="S162" i="60"/>
  <c r="M51" i="60"/>
  <c r="M59" i="60"/>
  <c r="M60" i="60" s="1"/>
  <c r="Y136" i="60"/>
  <c r="Z100" i="60"/>
  <c r="N160" i="60"/>
  <c r="O160" i="60" s="1"/>
  <c r="N32" i="60"/>
  <c r="P154" i="60"/>
  <c r="AT245" i="40"/>
  <c r="AF224" i="40"/>
  <c r="AH223" i="40"/>
  <c r="J519" i="21"/>
  <c r="N337" i="21"/>
  <c r="P337" i="21" s="1"/>
  <c r="U337" i="21"/>
  <c r="L338" i="21"/>
  <c r="N338" i="21" s="1"/>
  <c r="P338" i="21" s="1"/>
  <c r="BH245" i="40"/>
  <c r="BJ244" i="40"/>
  <c r="DX232" i="40"/>
  <c r="AW232" i="40"/>
  <c r="Y223" i="40"/>
  <c r="AA222" i="40"/>
  <c r="J341" i="21"/>
  <c r="BC222" i="40"/>
  <c r="BA223" i="40"/>
  <c r="AU246" i="40"/>
  <c r="BH251" i="40"/>
  <c r="BJ250" i="40"/>
  <c r="U518" i="21"/>
  <c r="N518" i="21"/>
  <c r="P518" i="21" s="1"/>
  <c r="DW225" i="40"/>
  <c r="CW219" i="40"/>
  <c r="CY218" i="40"/>
  <c r="CX218" i="40"/>
  <c r="EG218" i="40" s="1"/>
  <c r="DQ218" i="40"/>
  <c r="DP218" i="40"/>
  <c r="DO218" i="40"/>
  <c r="DN218" i="40"/>
  <c r="DL218" i="40"/>
  <c r="DK218" i="40"/>
  <c r="DJ218" i="40"/>
  <c r="DM218" i="40"/>
  <c r="DI218" i="40"/>
  <c r="AG140" i="8"/>
  <c r="AG119" i="8"/>
  <c r="N697" i="21"/>
  <c r="P697" i="21" s="1"/>
  <c r="U697" i="21"/>
  <c r="W697" i="21" s="1"/>
  <c r="BM243" i="40"/>
  <c r="BK244" i="40"/>
  <c r="AC146" i="14"/>
  <c r="DT59" i="30"/>
  <c r="W514" i="21"/>
  <c r="U515" i="21"/>
  <c r="W515" i="21" s="1"/>
  <c r="AU239" i="40"/>
  <c r="AH233" i="40"/>
  <c r="AF240" i="40"/>
  <c r="AF236" i="40"/>
  <c r="AI233" i="40"/>
  <c r="AF232" i="40"/>
  <c r="BK250" i="40"/>
  <c r="BM247" i="40"/>
  <c r="BH253" i="40"/>
  <c r="BK254" i="40"/>
  <c r="BM254" i="40" s="1"/>
  <c r="BJ254" i="40"/>
  <c r="E219" i="40"/>
  <c r="CX219" i="40" s="1"/>
  <c r="EG219" i="40" s="1"/>
  <c r="DF219" i="40"/>
  <c r="F219" i="40"/>
  <c r="H219" i="40"/>
  <c r="BK238" i="40"/>
  <c r="BM237" i="40"/>
  <c r="AH118" i="8"/>
  <c r="AH332" i="14"/>
  <c r="AH333" i="14" s="1"/>
  <c r="W695" i="21"/>
  <c r="AB152" i="14"/>
  <c r="AB156" i="14" s="1"/>
  <c r="AB157" i="14"/>
  <c r="AT251" i="40"/>
  <c r="AH225" i="40"/>
  <c r="J521" i="21"/>
  <c r="AI229" i="40"/>
  <c r="AK226" i="40"/>
  <c r="AC214" i="14"/>
  <c r="BJ238" i="40"/>
  <c r="BI246" i="40"/>
  <c r="DZ246" i="40" s="1"/>
  <c r="BJ246" i="40"/>
  <c r="T222" i="40"/>
  <c r="R223" i="40"/>
  <c r="D222" i="40"/>
  <c r="BI239" i="40"/>
  <c r="DZ239" i="40" s="1"/>
  <c r="DF218" i="40"/>
  <c r="BK232" i="40"/>
  <c r="BM232" i="40" s="1"/>
  <c r="BM231" i="40"/>
  <c r="AT253" i="40"/>
  <c r="AW254" i="40"/>
  <c r="AF230" i="40"/>
  <c r="AH229" i="40"/>
  <c r="J525" i="21"/>
  <c r="BF83" i="3"/>
  <c r="BF82" i="3"/>
  <c r="BF63" i="3"/>
  <c r="Z205" i="14"/>
  <c r="AA200" i="14"/>
  <c r="AA204" i="14" s="1"/>
  <c r="DR56" i="30"/>
  <c r="Z217" i="14"/>
  <c r="Z218" i="14" s="1"/>
  <c r="Z226" i="14"/>
  <c r="Y206" i="14"/>
  <c r="Y208" i="14"/>
  <c r="Y209" i="14" s="1"/>
  <c r="AF284" i="14"/>
  <c r="AF287" i="14" s="1"/>
  <c r="AE288" i="14"/>
  <c r="DW58" i="30"/>
  <c r="X248" i="14"/>
  <c r="X250" i="14"/>
  <c r="X251" i="14" s="1"/>
  <c r="Y247" i="14"/>
  <c r="Y259" i="14"/>
  <c r="Y260" i="14" s="1"/>
  <c r="Z242" i="14"/>
  <c r="Z246" i="14" s="1"/>
  <c r="DQ57" i="30"/>
  <c r="Y268" i="14"/>
  <c r="AB97" i="14"/>
  <c r="AC78" i="14"/>
  <c r="AB118" i="14"/>
  <c r="AC101" i="8"/>
  <c r="AD5" i="8"/>
  <c r="DN219" i="36"/>
  <c r="DK201" i="36"/>
  <c r="DK211" i="36"/>
  <c r="DN271" i="36"/>
  <c r="DO270" i="36"/>
  <c r="DN281" i="36"/>
  <c r="DJ212" i="36"/>
  <c r="DJ202" i="36"/>
  <c r="DN247" i="36"/>
  <c r="CT28" i="30"/>
  <c r="CT29" i="30"/>
  <c r="DN177" i="36"/>
  <c r="DJ259" i="36"/>
  <c r="DJ251" i="36"/>
  <c r="DJ260" i="36" s="1"/>
  <c r="S153" i="60" l="1"/>
  <c r="S54" i="60"/>
  <c r="S22" i="60"/>
  <c r="Q154" i="60"/>
  <c r="Z136" i="60"/>
  <c r="AA100" i="60"/>
  <c r="T162" i="60"/>
  <c r="U162" i="60" s="1"/>
  <c r="W139" i="60"/>
  <c r="X103" i="60"/>
  <c r="X138" i="60"/>
  <c r="Y102" i="60"/>
  <c r="O161" i="60"/>
  <c r="O32" i="60"/>
  <c r="J153" i="60"/>
  <c r="J54" i="60"/>
  <c r="J22" i="60"/>
  <c r="U141" i="60"/>
  <c r="U143" i="60" s="1"/>
  <c r="V105" i="60"/>
  <c r="U106" i="60"/>
  <c r="V106" i="60" s="1"/>
  <c r="W106" i="60" s="1"/>
  <c r="X106" i="60" s="1"/>
  <c r="Y106" i="60" s="1"/>
  <c r="Z106" i="60" s="1"/>
  <c r="AA106" i="60" s="1"/>
  <c r="AB106" i="60" s="1"/>
  <c r="O60" i="60"/>
  <c r="O59" i="60"/>
  <c r="O51" i="60"/>
  <c r="O55" i="60"/>
  <c r="P55" i="60"/>
  <c r="Q140" i="60"/>
  <c r="Q105" i="60"/>
  <c r="R139" i="60"/>
  <c r="Y137" i="60"/>
  <c r="Z101" i="60"/>
  <c r="V140" i="60"/>
  <c r="W104" i="60"/>
  <c r="T153" i="60"/>
  <c r="T54" i="60"/>
  <c r="T22" i="60"/>
  <c r="P160" i="60"/>
  <c r="R160" i="60"/>
  <c r="S160" i="60" s="1"/>
  <c r="Q160" i="60"/>
  <c r="O159" i="60"/>
  <c r="P159" i="60" s="1"/>
  <c r="Q159" i="60" s="1"/>
  <c r="H141" i="60"/>
  <c r="H143" i="60" s="1"/>
  <c r="H106" i="60"/>
  <c r="I141" i="60" s="1"/>
  <c r="I143" i="60" s="1"/>
  <c r="I140" i="60"/>
  <c r="K141" i="60"/>
  <c r="K143" i="60" s="1"/>
  <c r="L141" i="60"/>
  <c r="L143" i="60" s="1"/>
  <c r="AA135" i="60"/>
  <c r="AB99" i="60"/>
  <c r="AB135" i="60" s="1"/>
  <c r="AH230" i="40"/>
  <c r="AF231" i="40"/>
  <c r="J526" i="21"/>
  <c r="L526" i="21" s="1"/>
  <c r="R224" i="40"/>
  <c r="T223" i="40"/>
  <c r="D223" i="40"/>
  <c r="BC225" i="40"/>
  <c r="AC144" i="14"/>
  <c r="AB184" i="14"/>
  <c r="AB160" i="14"/>
  <c r="AB175" i="14"/>
  <c r="AB176" i="14" s="1"/>
  <c r="AH119" i="8"/>
  <c r="AH140" i="8"/>
  <c r="AI236" i="40"/>
  <c r="AK233" i="40"/>
  <c r="AD214" i="14"/>
  <c r="AD211" i="14" s="1"/>
  <c r="DX239" i="40"/>
  <c r="AW239" i="40"/>
  <c r="BM244" i="40"/>
  <c r="BK245" i="40"/>
  <c r="AR225" i="40"/>
  <c r="Z698" i="21"/>
  <c r="DX246" i="40"/>
  <c r="AW246" i="40"/>
  <c r="L341" i="21"/>
  <c r="W337" i="21"/>
  <c r="U338" i="21"/>
  <c r="W338" i="21" s="1"/>
  <c r="L525" i="21"/>
  <c r="AC211" i="14"/>
  <c r="AC215" i="14"/>
  <c r="AM214" i="14"/>
  <c r="AT252" i="40"/>
  <c r="BM250" i="40"/>
  <c r="BK251" i="40"/>
  <c r="AF237" i="40"/>
  <c r="AH236" i="40"/>
  <c r="BJ245" i="40"/>
  <c r="AH224" i="40"/>
  <c r="J520" i="21"/>
  <c r="L521" i="21" s="1"/>
  <c r="N521" i="21" s="1"/>
  <c r="BM238" i="40"/>
  <c r="BK239" i="40"/>
  <c r="BM239" i="40" s="1"/>
  <c r="AG232" i="40"/>
  <c r="DV232" i="40" s="1"/>
  <c r="AH232" i="40"/>
  <c r="J528" i="21"/>
  <c r="AF247" i="40"/>
  <c r="AF243" i="40"/>
  <c r="AI240" i="40"/>
  <c r="AF239" i="40"/>
  <c r="AH240" i="40"/>
  <c r="DC219" i="40"/>
  <c r="CY219" i="40"/>
  <c r="DQ219" i="40"/>
  <c r="DP219" i="40"/>
  <c r="DO219" i="40"/>
  <c r="DL219" i="40"/>
  <c r="DN219" i="40"/>
  <c r="DK219" i="40"/>
  <c r="DJ219" i="40"/>
  <c r="DM219" i="40"/>
  <c r="DI219" i="40"/>
  <c r="BH252" i="40"/>
  <c r="BI253" i="40" s="1"/>
  <c r="DZ253" i="40" s="1"/>
  <c r="BJ251" i="40"/>
  <c r="BA224" i="40"/>
  <c r="BC223" i="40"/>
  <c r="L520" i="21"/>
  <c r="L519" i="21"/>
  <c r="AU253" i="40"/>
  <c r="CW222" i="40"/>
  <c r="F222" i="40"/>
  <c r="AI230" i="40"/>
  <c r="AK229" i="40"/>
  <c r="Z525" i="21"/>
  <c r="DV225" i="40"/>
  <c r="DT55" i="30"/>
  <c r="AC145" i="14"/>
  <c r="AC157" i="14" s="1"/>
  <c r="BJ253" i="40"/>
  <c r="W518" i="21"/>
  <c r="AA223" i="40"/>
  <c r="Y224" i="40"/>
  <c r="J342" i="21"/>
  <c r="L342" i="21" s="1"/>
  <c r="AA242" i="14"/>
  <c r="AA246" i="14" s="1"/>
  <c r="Z268" i="14"/>
  <c r="Z247" i="14"/>
  <c r="DR57" i="30"/>
  <c r="Z259" i="14"/>
  <c r="Z260" i="14" s="1"/>
  <c r="AA205" i="14"/>
  <c r="AB200" i="14"/>
  <c r="AB204" i="14" s="1"/>
  <c r="AA217" i="14"/>
  <c r="AA218" i="14" s="1"/>
  <c r="DS56" i="30"/>
  <c r="AA226" i="14"/>
  <c r="AG284" i="14"/>
  <c r="AG287" i="14" s="1"/>
  <c r="AF288" i="14"/>
  <c r="DX58" i="30"/>
  <c r="Z206" i="14"/>
  <c r="Z208" i="14"/>
  <c r="Z209" i="14" s="1"/>
  <c r="Y248" i="14"/>
  <c r="Y250" i="14"/>
  <c r="Y251" i="14" s="1"/>
  <c r="AD101" i="8"/>
  <c r="AE5" i="8"/>
  <c r="DO198" i="36"/>
  <c r="DK212" i="36"/>
  <c r="DN282" i="36"/>
  <c r="DN283" i="36" s="1"/>
  <c r="AD67" i="8" s="1"/>
  <c r="DO271" i="36"/>
  <c r="DN248" i="36"/>
  <c r="DN257" i="36" s="1"/>
  <c r="DO209" i="36"/>
  <c r="DO199" i="36"/>
  <c r="CU28" i="30"/>
  <c r="CU29" i="30"/>
  <c r="DN178" i="36"/>
  <c r="DO178" i="36" s="1"/>
  <c r="DO177" i="36"/>
  <c r="DN256" i="36"/>
  <c r="DN272" i="36"/>
  <c r="AD66" i="8" s="1"/>
  <c r="AE66" i="8" s="1"/>
  <c r="AF66" i="8" s="1"/>
  <c r="AG66" i="8" s="1"/>
  <c r="AH66" i="8" s="1"/>
  <c r="DO208" i="36"/>
  <c r="DN220" i="36"/>
  <c r="DN223" i="36"/>
  <c r="DK202" i="36"/>
  <c r="AE67" i="8" l="1"/>
  <c r="AF67" i="8" s="1"/>
  <c r="AG67" i="8" s="1"/>
  <c r="AH67" i="8" s="1"/>
  <c r="V162" i="60"/>
  <c r="Y162" i="60" s="1"/>
  <c r="Z162" i="60" s="1"/>
  <c r="I153" i="60"/>
  <c r="I54" i="60"/>
  <c r="I22" i="60"/>
  <c r="S165" i="60"/>
  <c r="S32" i="60"/>
  <c r="L153" i="60"/>
  <c r="L54" i="60"/>
  <c r="L22" i="60"/>
  <c r="H54" i="60"/>
  <c r="H59" i="60" s="1"/>
  <c r="H22" i="60"/>
  <c r="R159" i="60"/>
  <c r="T160" i="60"/>
  <c r="U160" i="60" s="1"/>
  <c r="W140" i="60"/>
  <c r="X104" i="60"/>
  <c r="X139" i="60"/>
  <c r="Y103" i="60"/>
  <c r="R154" i="60"/>
  <c r="S59" i="60"/>
  <c r="S60" i="60" s="1"/>
  <c r="S51" i="60"/>
  <c r="K153" i="60"/>
  <c r="K54" i="60"/>
  <c r="K22" i="60"/>
  <c r="T166" i="60"/>
  <c r="T32" i="60"/>
  <c r="Q141" i="60"/>
  <c r="Q143" i="60" s="1"/>
  <c r="Q106" i="60"/>
  <c r="R141" i="60" s="1"/>
  <c r="R140" i="60"/>
  <c r="O52" i="60"/>
  <c r="P52" i="60"/>
  <c r="V141" i="60"/>
  <c r="V143" i="60" s="1"/>
  <c r="W105" i="60"/>
  <c r="J156" i="60"/>
  <c r="J32" i="60"/>
  <c r="P161" i="60"/>
  <c r="Q161" i="60" s="1"/>
  <c r="S159" i="60"/>
  <c r="T55" i="60"/>
  <c r="T51" i="60"/>
  <c r="T59" i="60"/>
  <c r="T60" i="60" s="1"/>
  <c r="Z137" i="60"/>
  <c r="AA101" i="60"/>
  <c r="U153" i="60"/>
  <c r="U54" i="60"/>
  <c r="U22" i="60"/>
  <c r="J59" i="60"/>
  <c r="J60" i="60" s="1"/>
  <c r="J55" i="60"/>
  <c r="J51" i="60"/>
  <c r="Y138" i="60"/>
  <c r="Z102" i="60"/>
  <c r="W162" i="60"/>
  <c r="AA136" i="60"/>
  <c r="AB100" i="60"/>
  <c r="AB136" i="60" s="1"/>
  <c r="X162" i="60"/>
  <c r="BF225" i="40"/>
  <c r="DY225" i="40"/>
  <c r="U342" i="21"/>
  <c r="W342" i="21" s="1"/>
  <c r="N342" i="21"/>
  <c r="P342" i="21" s="1"/>
  <c r="DU225" i="40"/>
  <c r="AK225" i="40"/>
  <c r="Z521" i="21"/>
  <c r="AB521" i="21" s="1"/>
  <c r="DX253" i="40"/>
  <c r="AW253" i="40"/>
  <c r="N520" i="21"/>
  <c r="P520" i="21" s="1"/>
  <c r="U520" i="21"/>
  <c r="W520" i="21" s="1"/>
  <c r="BM251" i="40"/>
  <c r="BK252" i="40"/>
  <c r="DT225" i="40"/>
  <c r="E225" i="40"/>
  <c r="AK236" i="40"/>
  <c r="AI237" i="40"/>
  <c r="CY222" i="40"/>
  <c r="CX222" i="40"/>
  <c r="EG222" i="40" s="1"/>
  <c r="DQ222" i="40"/>
  <c r="DP222" i="40"/>
  <c r="DO222" i="40"/>
  <c r="DN222" i="40"/>
  <c r="DL222" i="40"/>
  <c r="DK222" i="40"/>
  <c r="DJ222" i="40"/>
  <c r="DI222" i="40"/>
  <c r="DM222" i="40"/>
  <c r="AI243" i="40"/>
  <c r="AK240" i="40"/>
  <c r="AE214" i="14"/>
  <c r="AE211" i="14" s="1"/>
  <c r="AC212" i="14"/>
  <c r="AM211" i="14"/>
  <c r="DF223" i="40"/>
  <c r="F223" i="40"/>
  <c r="CW223" i="40"/>
  <c r="AD145" i="14"/>
  <c r="AD157" i="14" s="1"/>
  <c r="DU55" i="30"/>
  <c r="DF222" i="40"/>
  <c r="BJ252" i="40"/>
  <c r="AF244" i="40"/>
  <c r="AH243" i="40"/>
  <c r="AF238" i="40"/>
  <c r="AG239" i="40" s="1"/>
  <c r="DV239" i="40" s="1"/>
  <c r="AH237" i="40"/>
  <c r="U525" i="21"/>
  <c r="N525" i="21"/>
  <c r="P525" i="21" s="1"/>
  <c r="BM245" i="40"/>
  <c r="BK246" i="40"/>
  <c r="BM246" i="40" s="1"/>
  <c r="AD215" i="14"/>
  <c r="AA224" i="40"/>
  <c r="J343" i="21"/>
  <c r="L343" i="21" s="1"/>
  <c r="AK230" i="40"/>
  <c r="AI231" i="40"/>
  <c r="Z526" i="21"/>
  <c r="AB526" i="21" s="1"/>
  <c r="N519" i="21"/>
  <c r="P519" i="21" s="1"/>
  <c r="U519" i="21"/>
  <c r="L522" i="21"/>
  <c r="N522" i="21" s="1"/>
  <c r="BC224" i="40"/>
  <c r="AH239" i="40"/>
  <c r="AF254" i="40"/>
  <c r="AF250" i="40"/>
  <c r="AI247" i="40"/>
  <c r="AF246" i="40"/>
  <c r="AH247" i="40"/>
  <c r="AD212" i="14"/>
  <c r="N526" i="21"/>
  <c r="P526" i="21" s="1"/>
  <c r="U526" i="21"/>
  <c r="W526" i="21" s="1"/>
  <c r="U341" i="21"/>
  <c r="N341" i="21"/>
  <c r="P341" i="21" s="1"/>
  <c r="AB698" i="21"/>
  <c r="AB161" i="14"/>
  <c r="AB163" i="14"/>
  <c r="AB164" i="14" s="1"/>
  <c r="T224" i="40"/>
  <c r="D224" i="40"/>
  <c r="AH231" i="40"/>
  <c r="J527" i="21"/>
  <c r="AA247" i="14"/>
  <c r="AB242" i="14"/>
  <c r="AB246" i="14" s="1"/>
  <c r="DS57" i="30"/>
  <c r="AA268" i="14"/>
  <c r="AA259" i="14"/>
  <c r="AA260" i="14" s="1"/>
  <c r="AG288" i="14"/>
  <c r="AH284" i="14"/>
  <c r="AH287" i="14" s="1"/>
  <c r="AH288" i="14" s="1"/>
  <c r="DY58" i="30"/>
  <c r="AB205" i="14"/>
  <c r="AC200" i="14"/>
  <c r="AC204" i="14" s="1"/>
  <c r="DT56" i="30"/>
  <c r="AB226" i="14"/>
  <c r="AB217" i="14"/>
  <c r="AB218" i="14" s="1"/>
  <c r="Z248" i="14"/>
  <c r="Z250" i="14"/>
  <c r="Z251" i="14" s="1"/>
  <c r="AA206" i="14"/>
  <c r="AA208" i="14"/>
  <c r="AA209" i="14" s="1"/>
  <c r="AE101" i="8"/>
  <c r="AF5" i="8"/>
  <c r="DN249" i="36"/>
  <c r="CV28" i="30"/>
  <c r="CV29" i="30"/>
  <c r="DN179" i="36"/>
  <c r="DO179" i="36" s="1"/>
  <c r="DN224" i="36"/>
  <c r="DO213" i="36"/>
  <c r="DN182" i="36"/>
  <c r="DO182" i="36" s="1"/>
  <c r="DN221" i="36"/>
  <c r="DN222" i="36" s="1"/>
  <c r="DO203" i="36"/>
  <c r="AE55" i="8" l="1"/>
  <c r="BJ58" i="32" s="1"/>
  <c r="BJ127" i="3" s="1"/>
  <c r="AB525" i="21"/>
  <c r="AD525" i="21" s="1"/>
  <c r="AF525" i="21" s="1"/>
  <c r="DN183" i="36"/>
  <c r="DO183" i="36" s="1"/>
  <c r="U159" i="60"/>
  <c r="U167" i="60"/>
  <c r="U32" i="60"/>
  <c r="W141" i="60"/>
  <c r="W143" i="60" s="1"/>
  <c r="X105" i="60"/>
  <c r="U166" i="60"/>
  <c r="V166" i="60" s="1"/>
  <c r="K59" i="60"/>
  <c r="K60" i="60" s="1"/>
  <c r="K55" i="60"/>
  <c r="K51" i="60"/>
  <c r="K52" i="60" s="1"/>
  <c r="I55" i="60"/>
  <c r="I51" i="60"/>
  <c r="J52" i="60" s="1"/>
  <c r="I59" i="60"/>
  <c r="I60" i="60" s="1"/>
  <c r="U55" i="60"/>
  <c r="U51" i="60"/>
  <c r="U52" i="60" s="1"/>
  <c r="U60" i="60"/>
  <c r="U59" i="60"/>
  <c r="S161" i="60"/>
  <c r="R161" i="60"/>
  <c r="V153" i="60"/>
  <c r="V54" i="60"/>
  <c r="V22" i="60"/>
  <c r="R143" i="60"/>
  <c r="T159" i="60"/>
  <c r="Y139" i="60"/>
  <c r="Z103" i="60"/>
  <c r="L158" i="60"/>
  <c r="M158" i="60" s="1"/>
  <c r="L32" i="60"/>
  <c r="T165" i="60"/>
  <c r="U165" i="60" s="1"/>
  <c r="AA162" i="60"/>
  <c r="AB162" i="60" s="1"/>
  <c r="Z138" i="60"/>
  <c r="AA102" i="60"/>
  <c r="Q153" i="60"/>
  <c r="Q54" i="60"/>
  <c r="Q22" i="60"/>
  <c r="S154" i="60"/>
  <c r="L55" i="60"/>
  <c r="L51" i="60"/>
  <c r="L59" i="60"/>
  <c r="L60" i="60" s="1"/>
  <c r="M55" i="60"/>
  <c r="AA137" i="60"/>
  <c r="AB101" i="60"/>
  <c r="T52" i="60"/>
  <c r="T161" i="60"/>
  <c r="K156" i="60"/>
  <c r="L156" i="60" s="1"/>
  <c r="K157" i="60"/>
  <c r="K32" i="60"/>
  <c r="X140" i="60"/>
  <c r="Y104" i="60"/>
  <c r="V160" i="60"/>
  <c r="W160" i="60" s="1"/>
  <c r="I155" i="60"/>
  <c r="I32" i="60"/>
  <c r="I30" i="60" s="1"/>
  <c r="L528" i="21"/>
  <c r="N528" i="21" s="1"/>
  <c r="P528" i="21" s="1"/>
  <c r="L527" i="21"/>
  <c r="AH246" i="40"/>
  <c r="AD526" i="21"/>
  <c r="AF526" i="21" s="1"/>
  <c r="AK526" i="21"/>
  <c r="AM526" i="21" s="1"/>
  <c r="AE212" i="14"/>
  <c r="AE224" i="14" s="1"/>
  <c r="AE195" i="14" s="1"/>
  <c r="AK243" i="40"/>
  <c r="AI244" i="40"/>
  <c r="W225" i="40"/>
  <c r="G225" i="40"/>
  <c r="AD225" i="40"/>
  <c r="Z344" i="21"/>
  <c r="AB344" i="21" s="1"/>
  <c r="AI521" i="21"/>
  <c r="S522" i="21"/>
  <c r="S528" i="21"/>
  <c r="U521" i="21"/>
  <c r="W521" i="21" s="1"/>
  <c r="AT204" i="19"/>
  <c r="AT205" i="19" s="1"/>
  <c r="AI250" i="40"/>
  <c r="AK247" i="40"/>
  <c r="AF214" i="14"/>
  <c r="AF211" i="14" s="1"/>
  <c r="AF212" i="14" s="1"/>
  <c r="AF224" i="14" s="1"/>
  <c r="AF195" i="14" s="1"/>
  <c r="AK231" i="40"/>
  <c r="AI232" i="40"/>
  <c r="Z527" i="21"/>
  <c r="AB527" i="21" s="1"/>
  <c r="N343" i="21"/>
  <c r="P343" i="21" s="1"/>
  <c r="U343" i="21"/>
  <c r="W343" i="21" s="1"/>
  <c r="AK237" i="40"/>
  <c r="AI238" i="40"/>
  <c r="BK253" i="40"/>
  <c r="BM253" i="40" s="1"/>
  <c r="BM252" i="40"/>
  <c r="AB699" i="21"/>
  <c r="AD699" i="21" s="1"/>
  <c r="AF699" i="21" s="1"/>
  <c r="AD698" i="21"/>
  <c r="AF698" i="21" s="1"/>
  <c r="AK698" i="21"/>
  <c r="AF251" i="40"/>
  <c r="AH250" i="40"/>
  <c r="W519" i="21"/>
  <c r="W525" i="21"/>
  <c r="AH238" i="40"/>
  <c r="AF245" i="40"/>
  <c r="AG246" i="40" s="1"/>
  <c r="DV246" i="40" s="1"/>
  <c r="AH244" i="40"/>
  <c r="CY223" i="40"/>
  <c r="CX223" i="40"/>
  <c r="EG223" i="40" s="1"/>
  <c r="DQ223" i="40"/>
  <c r="DP223" i="40"/>
  <c r="DO223" i="40"/>
  <c r="DL223" i="40"/>
  <c r="DN223" i="40"/>
  <c r="DK223" i="40"/>
  <c r="DJ223" i="40"/>
  <c r="DI223" i="40"/>
  <c r="DM223" i="40"/>
  <c r="AE215" i="14"/>
  <c r="DF224" i="40"/>
  <c r="CW224" i="40"/>
  <c r="F224" i="40"/>
  <c r="W341" i="21"/>
  <c r="AI254" i="40"/>
  <c r="AH254" i="40"/>
  <c r="AF253" i="40"/>
  <c r="AE145" i="14"/>
  <c r="AE157" i="14" s="1"/>
  <c r="DV55" i="30"/>
  <c r="ED225" i="40"/>
  <c r="ED226" i="40" s="1"/>
  <c r="EE225" i="40"/>
  <c r="AD521" i="21"/>
  <c r="AB522" i="21"/>
  <c r="AD522" i="21" s="1"/>
  <c r="AB247" i="14"/>
  <c r="AC242" i="14"/>
  <c r="AC246" i="14" s="1"/>
  <c r="AB259" i="14"/>
  <c r="AB260" i="14" s="1"/>
  <c r="DT57" i="30"/>
  <c r="AB268" i="14"/>
  <c r="AA248" i="14"/>
  <c r="AA250" i="14"/>
  <c r="AA251" i="14" s="1"/>
  <c r="AM204" i="14"/>
  <c r="AC205" i="14"/>
  <c r="AD200" i="14"/>
  <c r="AD204" i="14" s="1"/>
  <c r="DU56" i="30"/>
  <c r="AC217" i="14"/>
  <c r="AC218" i="14" s="1"/>
  <c r="AC226" i="14"/>
  <c r="AB206" i="14"/>
  <c r="AB208" i="14"/>
  <c r="AB209" i="14" s="1"/>
  <c r="AF101" i="8"/>
  <c r="AG5" i="8"/>
  <c r="DO200" i="36"/>
  <c r="DO204" i="36"/>
  <c r="DN250" i="36"/>
  <c r="DN259" i="36" s="1"/>
  <c r="DO211" i="36"/>
  <c r="DO201" i="36"/>
  <c r="CW28" i="30"/>
  <c r="CW29" i="30"/>
  <c r="AD55" i="8"/>
  <c r="DO210" i="36"/>
  <c r="DO214" i="36"/>
  <c r="DN258" i="36"/>
  <c r="AF55" i="8" l="1"/>
  <c r="AF61" i="8" s="1"/>
  <c r="AK525" i="21"/>
  <c r="AM525" i="21" s="1"/>
  <c r="DN251" i="36"/>
  <c r="DN260" i="36" s="1"/>
  <c r="C36" i="99"/>
  <c r="C38" i="99" s="1"/>
  <c r="H39" i="99" s="1"/>
  <c r="BH58" i="32"/>
  <c r="BH127" i="3" s="1"/>
  <c r="AE61" i="8"/>
  <c r="AD61" i="8"/>
  <c r="U522" i="21"/>
  <c r="W522" i="21" s="1"/>
  <c r="X160" i="60"/>
  <c r="Y160" i="60" s="1"/>
  <c r="Z160" i="60" s="1"/>
  <c r="AA160" i="60" s="1"/>
  <c r="AB160" i="60" s="1"/>
  <c r="I15" i="60"/>
  <c r="I38" i="60" s="1"/>
  <c r="I44" i="60"/>
  <c r="I33" i="60"/>
  <c r="J29" i="60" s="1"/>
  <c r="Y140" i="60"/>
  <c r="Z104" i="60"/>
  <c r="M156" i="60"/>
  <c r="AB137" i="60"/>
  <c r="V165" i="60"/>
  <c r="W165" i="60" s="1"/>
  <c r="R153" i="60"/>
  <c r="R54" i="60"/>
  <c r="R22" i="60"/>
  <c r="X141" i="60"/>
  <c r="X143" i="60" s="1"/>
  <c r="Y105" i="60"/>
  <c r="J155" i="60"/>
  <c r="J171" i="60" s="1"/>
  <c r="J23" i="60" s="1"/>
  <c r="J12" i="60" s="1"/>
  <c r="J13" i="60" s="1"/>
  <c r="I171" i="60"/>
  <c r="I23" i="60" s="1"/>
  <c r="L52" i="60"/>
  <c r="M52" i="60"/>
  <c r="AA138" i="60"/>
  <c r="AB102" i="60"/>
  <c r="Z139" i="60"/>
  <c r="AA103" i="60"/>
  <c r="V168" i="60"/>
  <c r="V32" i="60"/>
  <c r="U161" i="60"/>
  <c r="W166" i="60"/>
  <c r="X166" i="60" s="1"/>
  <c r="W153" i="60"/>
  <c r="W54" i="60"/>
  <c r="W22" i="60"/>
  <c r="Q163" i="60"/>
  <c r="R163" i="60" s="1"/>
  <c r="Q32" i="60"/>
  <c r="N158" i="60"/>
  <c r="O158" i="60"/>
  <c r="V60" i="60"/>
  <c r="V59" i="60"/>
  <c r="V51" i="60"/>
  <c r="V52" i="60" s="1"/>
  <c r="V55" i="60"/>
  <c r="L157" i="60"/>
  <c r="M157" i="60"/>
  <c r="N157" i="60"/>
  <c r="T154" i="60"/>
  <c r="Q55" i="60"/>
  <c r="Q51" i="60"/>
  <c r="Q52" i="60" s="1"/>
  <c r="Q59" i="60"/>
  <c r="Q60" i="60"/>
  <c r="V159" i="60"/>
  <c r="W167" i="60"/>
  <c r="X167" i="60" s="1"/>
  <c r="V167" i="60"/>
  <c r="AF145" i="14"/>
  <c r="AF157" i="14" s="1"/>
  <c r="DW55" i="30"/>
  <c r="AK254" i="40"/>
  <c r="AH214" i="14"/>
  <c r="AG214" i="14"/>
  <c r="CY224" i="40"/>
  <c r="CX224" i="40"/>
  <c r="EG224" i="40" s="1"/>
  <c r="DQ224" i="40"/>
  <c r="DP224" i="40"/>
  <c r="DO224" i="40"/>
  <c r="DN224" i="40"/>
  <c r="DL224" i="40"/>
  <c r="DK224" i="40"/>
  <c r="DJ224" i="40"/>
  <c r="DI224" i="40"/>
  <c r="DM224" i="40"/>
  <c r="AK238" i="40"/>
  <c r="AI239" i="40"/>
  <c r="AK239" i="40" s="1"/>
  <c r="AK521" i="21"/>
  <c r="AI522" i="21"/>
  <c r="AF215" i="14"/>
  <c r="AG211" i="14"/>
  <c r="AG212" i="14" s="1"/>
  <c r="AG224" i="14" s="1"/>
  <c r="AG195" i="14" s="1"/>
  <c r="AC204" i="39"/>
  <c r="AD203" i="39"/>
  <c r="AH253" i="40"/>
  <c r="AH245" i="40"/>
  <c r="AD527" i="21"/>
  <c r="AF527" i="21" s="1"/>
  <c r="AK527" i="21"/>
  <c r="AM527" i="21" s="1"/>
  <c r="AC210" i="39"/>
  <c r="AD210" i="39" s="1"/>
  <c r="U528" i="21"/>
  <c r="W528" i="21" s="1"/>
  <c r="AT211" i="19"/>
  <c r="AT212" i="19" s="1"/>
  <c r="S529" i="21"/>
  <c r="AI528" i="21"/>
  <c r="AD344" i="21"/>
  <c r="AB345" i="21"/>
  <c r="AD345" i="21" s="1"/>
  <c r="N527" i="21"/>
  <c r="P527" i="21" s="1"/>
  <c r="U527" i="21"/>
  <c r="L529" i="21"/>
  <c r="N529" i="21" s="1"/>
  <c r="EF225" i="40"/>
  <c r="EE226" i="40"/>
  <c r="EF226" i="40" s="1"/>
  <c r="AF252" i="40"/>
  <c r="AG253" i="40" s="1"/>
  <c r="DV253" i="40" s="1"/>
  <c r="AH251" i="40"/>
  <c r="AM698" i="21"/>
  <c r="AK699" i="21"/>
  <c r="AM699" i="21" s="1"/>
  <c r="AK232" i="40"/>
  <c r="Z528" i="21"/>
  <c r="AB528" i="21" s="1"/>
  <c r="AD528" i="21" s="1"/>
  <c r="AF528" i="21" s="1"/>
  <c r="AK250" i="40"/>
  <c r="AI251" i="40"/>
  <c r="D522" i="21"/>
  <c r="DB225" i="40"/>
  <c r="DD225" i="40" s="1"/>
  <c r="I225" i="40"/>
  <c r="AK244" i="40"/>
  <c r="AI245" i="40"/>
  <c r="AM246" i="14"/>
  <c r="AC247" i="14"/>
  <c r="AD242" i="14"/>
  <c r="AD246" i="14" s="1"/>
  <c r="DU57" i="30"/>
  <c r="AB248" i="14"/>
  <c r="AB250" i="14"/>
  <c r="AB251" i="14" s="1"/>
  <c r="AD205" i="14"/>
  <c r="AE200" i="14"/>
  <c r="AE204" i="14" s="1"/>
  <c r="DV56" i="30"/>
  <c r="AD226" i="14"/>
  <c r="AD217" i="14"/>
  <c r="AD218" i="14" s="1"/>
  <c r="AC206" i="14"/>
  <c r="AG101" i="8"/>
  <c r="AH5" i="8"/>
  <c r="AH101" i="8" s="1"/>
  <c r="DO212" i="36"/>
  <c r="DO202" i="36"/>
  <c r="DV19" i="30"/>
  <c r="Q15" i="87"/>
  <c r="AG55" i="8" l="1"/>
  <c r="AG61" i="8" s="1"/>
  <c r="BL58" i="32"/>
  <c r="C24" i="99"/>
  <c r="J24" i="99"/>
  <c r="H24" i="99"/>
  <c r="G24" i="99"/>
  <c r="E24" i="99"/>
  <c r="D24" i="99"/>
  <c r="F24" i="99"/>
  <c r="I24" i="99"/>
  <c r="Z166" i="60"/>
  <c r="Y166" i="60"/>
  <c r="AA166" i="60" s="1"/>
  <c r="AB166" i="60" s="1"/>
  <c r="X165" i="60"/>
  <c r="Z167" i="60"/>
  <c r="AA167" i="60" s="1"/>
  <c r="Y167" i="60"/>
  <c r="P158" i="60"/>
  <c r="W169" i="60"/>
  <c r="W32" i="60"/>
  <c r="AA139" i="60"/>
  <c r="AB103" i="60"/>
  <c r="AB138" i="60"/>
  <c r="I12" i="60"/>
  <c r="I13" i="60" s="1"/>
  <c r="I16" i="60" s="1"/>
  <c r="I24" i="60"/>
  <c r="Y141" i="60"/>
  <c r="Y143" i="60" s="1"/>
  <c r="Z105" i="60"/>
  <c r="V161" i="60"/>
  <c r="O157" i="60"/>
  <c r="W60" i="60"/>
  <c r="W59" i="60"/>
  <c r="W51" i="60"/>
  <c r="W52" i="60" s="1"/>
  <c r="W55" i="60"/>
  <c r="X153" i="60"/>
  <c r="X54" i="60"/>
  <c r="X22" i="60"/>
  <c r="Z140" i="60"/>
  <c r="AA104" i="60"/>
  <c r="N156" i="60"/>
  <c r="U154" i="60"/>
  <c r="R164" i="60"/>
  <c r="S164" i="60" s="1"/>
  <c r="R32" i="60"/>
  <c r="W159" i="60"/>
  <c r="O156" i="60"/>
  <c r="Q158" i="60"/>
  <c r="S163" i="60"/>
  <c r="T163" i="60" s="1"/>
  <c r="W168" i="60"/>
  <c r="X168" i="60" s="1"/>
  <c r="K155" i="60"/>
  <c r="R59" i="60"/>
  <c r="R60" i="60" s="1"/>
  <c r="R55" i="60"/>
  <c r="R51" i="60"/>
  <c r="S55" i="60"/>
  <c r="J30" i="60"/>
  <c r="J15" i="60" s="1"/>
  <c r="J38" i="60" s="1"/>
  <c r="BB205" i="19"/>
  <c r="W527" i="21"/>
  <c r="U529" i="21"/>
  <c r="W529" i="21" s="1"/>
  <c r="AC194" i="14"/>
  <c r="AD204" i="39"/>
  <c r="AK522" i="21"/>
  <c r="AM522" i="21" s="1"/>
  <c r="AM521" i="21"/>
  <c r="AO214" i="14"/>
  <c r="AH215" i="14"/>
  <c r="AH252" i="40"/>
  <c r="AK528" i="21"/>
  <c r="AM528" i="21" s="1"/>
  <c r="AI529" i="21"/>
  <c r="AF210" i="39"/>
  <c r="AC211" i="39"/>
  <c r="AF204" i="39"/>
  <c r="DX55" i="30"/>
  <c r="AG145" i="14"/>
  <c r="AG157" i="14" s="1"/>
  <c r="AI252" i="40"/>
  <c r="AK251" i="40"/>
  <c r="AI246" i="40"/>
  <c r="AK246" i="40" s="1"/>
  <c r="AK245" i="40"/>
  <c r="H522" i="21"/>
  <c r="D529" i="21"/>
  <c r="F529" i="21"/>
  <c r="AH211" i="14"/>
  <c r="AG215" i="14"/>
  <c r="AB529" i="21"/>
  <c r="AD529" i="21" s="1"/>
  <c r="AD247" i="14"/>
  <c r="AE242" i="14"/>
  <c r="AE246" i="14" s="1"/>
  <c r="DV57" i="30"/>
  <c r="AC248" i="14"/>
  <c r="AC250" i="14"/>
  <c r="AC251" i="14" s="1"/>
  <c r="AE217" i="14"/>
  <c r="AE218" i="14" s="1"/>
  <c r="AE205" i="14"/>
  <c r="AF200" i="14"/>
  <c r="AF204" i="14" s="1"/>
  <c r="DW56" i="30"/>
  <c r="AE226" i="14"/>
  <c r="AD206" i="14"/>
  <c r="Q54" i="87"/>
  <c r="Q136" i="87"/>
  <c r="Q95" i="87"/>
  <c r="BN58" i="32" l="1"/>
  <c r="AH55" i="8"/>
  <c r="AH61" i="8" s="1"/>
  <c r="AC223" i="14"/>
  <c r="AE217" i="39"/>
  <c r="J33" i="60"/>
  <c r="K29" i="60" s="1"/>
  <c r="R52" i="60"/>
  <c r="S52" i="60"/>
  <c r="K171" i="60"/>
  <c r="K23" i="60" s="1"/>
  <c r="K12" i="60" s="1"/>
  <c r="K13" i="60" s="1"/>
  <c r="Y168" i="60"/>
  <c r="Z168" i="60" s="1"/>
  <c r="U163" i="60"/>
  <c r="P156" i="60"/>
  <c r="L155" i="60"/>
  <c r="AB167" i="60"/>
  <c r="Z141" i="60"/>
  <c r="Z143" i="60" s="1"/>
  <c r="AA105" i="60"/>
  <c r="X169" i="60"/>
  <c r="Y169" i="60"/>
  <c r="V163" i="60"/>
  <c r="T164" i="60"/>
  <c r="V154" i="60"/>
  <c r="X170" i="60"/>
  <c r="X32" i="60"/>
  <c r="M155" i="60"/>
  <c r="M171" i="60" s="1"/>
  <c r="M23" i="60" s="1"/>
  <c r="M12" i="60" s="1"/>
  <c r="M13" i="60" s="1"/>
  <c r="J44" i="60"/>
  <c r="Y153" i="60"/>
  <c r="Y54" i="60"/>
  <c r="Y22" i="60"/>
  <c r="AB139" i="60"/>
  <c r="Y165" i="60"/>
  <c r="Z165" i="60" s="1"/>
  <c r="AA140" i="60"/>
  <c r="AB104" i="60"/>
  <c r="AB140" i="60" s="1"/>
  <c r="X55" i="60"/>
  <c r="X51" i="60"/>
  <c r="X52" i="60" s="1"/>
  <c r="X59" i="60"/>
  <c r="X60" i="60" s="1"/>
  <c r="I37" i="60"/>
  <c r="I35" i="60"/>
  <c r="J21" i="60"/>
  <c r="J24" i="60" s="1"/>
  <c r="W163" i="60"/>
  <c r="AB159" i="60"/>
  <c r="X159" i="60"/>
  <c r="Y159" i="60" s="1"/>
  <c r="Z159" i="60" s="1"/>
  <c r="AA159" i="60" s="1"/>
  <c r="J16" i="60"/>
  <c r="W161" i="60"/>
  <c r="P157" i="60"/>
  <c r="R158" i="60"/>
  <c r="S158" i="60" s="1"/>
  <c r="T158" i="60" s="1"/>
  <c r="U158" i="60" s="1"/>
  <c r="AF211" i="39"/>
  <c r="AC109" i="8"/>
  <c r="AM194" i="14"/>
  <c r="AC195" i="14"/>
  <c r="AC224" i="14" s="1"/>
  <c r="AC228" i="14" s="1"/>
  <c r="AC220" i="14"/>
  <c r="AC208" i="14"/>
  <c r="AC209" i="14" s="1"/>
  <c r="BB212" i="19"/>
  <c r="AE211" i="39"/>
  <c r="AD223" i="14" s="1"/>
  <c r="AF522" i="21"/>
  <c r="P522" i="21"/>
  <c r="AK252" i="40"/>
  <c r="AI253" i="40"/>
  <c r="AK253" i="40" s="1"/>
  <c r="AH145" i="14"/>
  <c r="AH157" i="14" s="1"/>
  <c r="DY55" i="30"/>
  <c r="AG204" i="39"/>
  <c r="AH204" i="39" s="1"/>
  <c r="AO211" i="14"/>
  <c r="AH212" i="14"/>
  <c r="AH224" i="14" s="1"/>
  <c r="AH195" i="14" s="1"/>
  <c r="H529" i="21"/>
  <c r="AD194" i="14"/>
  <c r="AD211" i="39"/>
  <c r="AK529" i="21"/>
  <c r="AM529" i="21" s="1"/>
  <c r="AD248" i="14"/>
  <c r="AD250" i="14"/>
  <c r="AD251" i="14" s="1"/>
  <c r="AF205" i="14"/>
  <c r="AG200" i="14"/>
  <c r="AG204" i="14" s="1"/>
  <c r="DX56" i="30"/>
  <c r="AF217" i="14"/>
  <c r="AF218" i="14" s="1"/>
  <c r="AF226" i="14"/>
  <c r="AE206" i="14"/>
  <c r="AE247" i="14"/>
  <c r="AF242" i="14"/>
  <c r="AF246" i="14" s="1"/>
  <c r="DW57" i="30"/>
  <c r="AN55" i="8" l="1"/>
  <c r="BP58" i="32"/>
  <c r="AA168" i="60"/>
  <c r="AB168" i="60" s="1"/>
  <c r="V158" i="60"/>
  <c r="W158" i="60" s="1"/>
  <c r="U164" i="60"/>
  <c r="Z169" i="60"/>
  <c r="AA169" i="60" s="1"/>
  <c r="Y161" i="60"/>
  <c r="Z161" i="60" s="1"/>
  <c r="AA161" i="60" s="1"/>
  <c r="AB161" i="60" s="1"/>
  <c r="L171" i="60"/>
  <c r="L23" i="60" s="1"/>
  <c r="L12" i="60" s="1"/>
  <c r="L13" i="60" s="1"/>
  <c r="N155" i="60"/>
  <c r="AA165" i="60"/>
  <c r="AB165" i="60" s="1"/>
  <c r="W154" i="60"/>
  <c r="X163" i="60"/>
  <c r="Y163" i="60" s="1"/>
  <c r="K30" i="60"/>
  <c r="K15" i="60" s="1"/>
  <c r="K38" i="60" s="1"/>
  <c r="Y170" i="60"/>
  <c r="Y32" i="60"/>
  <c r="AA141" i="60"/>
  <c r="AA143" i="60" s="1"/>
  <c r="AB105" i="60"/>
  <c r="AB141" i="60" s="1"/>
  <c r="AB143" i="60" s="1"/>
  <c r="R156" i="60"/>
  <c r="S156" i="60" s="1"/>
  <c r="T156" i="60" s="1"/>
  <c r="U156" i="60" s="1"/>
  <c r="V156" i="60" s="1"/>
  <c r="W156" i="60" s="1"/>
  <c r="X156" i="60" s="1"/>
  <c r="Y156" i="60" s="1"/>
  <c r="Z156" i="60" s="1"/>
  <c r="AA156" i="60" s="1"/>
  <c r="AB156" i="60" s="1"/>
  <c r="X161" i="60"/>
  <c r="Q157" i="60"/>
  <c r="K21" i="60"/>
  <c r="K24" i="60" s="1"/>
  <c r="J37" i="60"/>
  <c r="J39" i="60" s="1"/>
  <c r="J35" i="60"/>
  <c r="Y55" i="60"/>
  <c r="Y51" i="60"/>
  <c r="Y52" i="60" s="1"/>
  <c r="Y59" i="60"/>
  <c r="Y60" i="60" s="1"/>
  <c r="Z153" i="60"/>
  <c r="Z54" i="60"/>
  <c r="Z22" i="60"/>
  <c r="R157" i="60"/>
  <c r="S157" i="60" s="1"/>
  <c r="T157" i="60" s="1"/>
  <c r="Q156" i="60"/>
  <c r="AG211" i="39"/>
  <c r="AH211" i="39" s="1"/>
  <c r="AD109" i="8"/>
  <c r="AD220" i="14"/>
  <c r="AD221" i="14" s="1"/>
  <c r="AD195" i="14"/>
  <c r="AD224" i="14" s="1"/>
  <c r="AD228" i="14" s="1"/>
  <c r="AE194" i="14"/>
  <c r="AD208" i="14"/>
  <c r="AD209" i="14" s="1"/>
  <c r="P529" i="21"/>
  <c r="AF529" i="21"/>
  <c r="AC131" i="8"/>
  <c r="AC157" i="8" s="1"/>
  <c r="AC158" i="8" s="1"/>
  <c r="AC110" i="8"/>
  <c r="AC123" i="8"/>
  <c r="AC156" i="8"/>
  <c r="W204" i="39"/>
  <c r="BD203" i="39"/>
  <c r="BX203" i="39" s="1"/>
  <c r="X203" i="39"/>
  <c r="AC221" i="14"/>
  <c r="AM220" i="14"/>
  <c r="AF247" i="14"/>
  <c r="AG242" i="14"/>
  <c r="AG246" i="14" s="1"/>
  <c r="DX57" i="30"/>
  <c r="AG205" i="14"/>
  <c r="AH200" i="14"/>
  <c r="AH204" i="14" s="1"/>
  <c r="DY56" i="30"/>
  <c r="AG217" i="14"/>
  <c r="AG218" i="14" s="1"/>
  <c r="AG226" i="14"/>
  <c r="AE248" i="14"/>
  <c r="AF206" i="14"/>
  <c r="Z60" i="60" l="1"/>
  <c r="Z59" i="60"/>
  <c r="Z55" i="60"/>
  <c r="Z51" i="60"/>
  <c r="Z52" i="60" s="1"/>
  <c r="L21" i="60"/>
  <c r="L24" i="60" s="1"/>
  <c r="AA153" i="60"/>
  <c r="AA54" i="60"/>
  <c r="AA22" i="60"/>
  <c r="U157" i="60"/>
  <c r="V157" i="60" s="1"/>
  <c r="W157" i="60" s="1"/>
  <c r="X157" i="60" s="1"/>
  <c r="Y157" i="60" s="1"/>
  <c r="Z157" i="60" s="1"/>
  <c r="AA157" i="60" s="1"/>
  <c r="AB157" i="60" s="1"/>
  <c r="K16" i="60"/>
  <c r="K33" i="60"/>
  <c r="L29" i="60" s="1"/>
  <c r="X158" i="60"/>
  <c r="Y158" i="60" s="1"/>
  <c r="Z158" i="60" s="1"/>
  <c r="AA158" i="60" s="1"/>
  <c r="AB158" i="60" s="1"/>
  <c r="Z163" i="60"/>
  <c r="V164" i="60"/>
  <c r="N171" i="60"/>
  <c r="N23" i="60" s="1"/>
  <c r="N12" i="60" s="1"/>
  <c r="N13" i="60" s="1"/>
  <c r="Z170" i="60"/>
  <c r="Z32" i="60"/>
  <c r="AB153" i="60"/>
  <c r="AB54" i="60"/>
  <c r="AB22" i="60"/>
  <c r="O155" i="60"/>
  <c r="O171" i="60" s="1"/>
  <c r="O23" i="60" s="1"/>
  <c r="O12" i="60" s="1"/>
  <c r="O13" i="60" s="1"/>
  <c r="X154" i="60"/>
  <c r="AA163" i="60"/>
  <c r="AB163" i="60" s="1"/>
  <c r="AB169" i="60"/>
  <c r="AC138" i="14"/>
  <c r="X204" i="39"/>
  <c r="BD204" i="39"/>
  <c r="BX204" i="39" s="1"/>
  <c r="AE109" i="8"/>
  <c r="AF194" i="14"/>
  <c r="AE220" i="14"/>
  <c r="AE221" i="14" s="1"/>
  <c r="AE208" i="14"/>
  <c r="AE209" i="14" s="1"/>
  <c r="BK203" i="39"/>
  <c r="CF203" i="39" s="1"/>
  <c r="Z204" i="39"/>
  <c r="D203" i="2"/>
  <c r="BB203" i="39"/>
  <c r="BE203" i="39" s="1"/>
  <c r="DK34" i="36"/>
  <c r="DK13" i="36"/>
  <c r="DH13" i="35" s="1"/>
  <c r="J7" i="101" s="1" a="1"/>
  <c r="DJ17" i="36"/>
  <c r="DK54" i="36"/>
  <c r="DK84" i="36"/>
  <c r="DJ14" i="36"/>
  <c r="DK44" i="36"/>
  <c r="DJ64" i="36"/>
  <c r="BU203" i="39"/>
  <c r="BF203" i="39"/>
  <c r="BZ203" i="39"/>
  <c r="BY203" i="39"/>
  <c r="AD110" i="8"/>
  <c r="AD131" i="8"/>
  <c r="AD157" i="8" s="1"/>
  <c r="AD123" i="8"/>
  <c r="AD156" i="8"/>
  <c r="AG206" i="14"/>
  <c r="AF248" i="14"/>
  <c r="AH205" i="14"/>
  <c r="AO204" i="14"/>
  <c r="AH226" i="14"/>
  <c r="AH217" i="14"/>
  <c r="AH218" i="14" s="1"/>
  <c r="AG247" i="14"/>
  <c r="AH242" i="14"/>
  <c r="AH246" i="14" s="1"/>
  <c r="DY57" i="30"/>
  <c r="AD158" i="8" l="1"/>
  <c r="K7" i="101"/>
  <c r="K8" i="101" s="1"/>
  <c r="K11" i="101" s="1"/>
  <c r="K13" i="101" s="1"/>
  <c r="L7" i="101"/>
  <c r="L8" i="101" s="1"/>
  <c r="L11" i="101" s="1"/>
  <c r="L13" i="101" s="1"/>
  <c r="J7" i="101"/>
  <c r="J8" i="101" s="1"/>
  <c r="J11" i="101" s="1"/>
  <c r="J13" i="101" s="1"/>
  <c r="Y154" i="60"/>
  <c r="AB55" i="60"/>
  <c r="AB51" i="60"/>
  <c r="AB59" i="60"/>
  <c r="AB60" i="60"/>
  <c r="P155" i="60"/>
  <c r="L30" i="60"/>
  <c r="L15" i="60" s="1"/>
  <c r="K35" i="60"/>
  <c r="M21" i="60"/>
  <c r="M24" i="60" s="1"/>
  <c r="AA170" i="60"/>
  <c r="AA32" i="60"/>
  <c r="AB170" i="60"/>
  <c r="AB32" i="60"/>
  <c r="W164" i="60"/>
  <c r="K44" i="60"/>
  <c r="AA60" i="60"/>
  <c r="AA59" i="60"/>
  <c r="AA55" i="60"/>
  <c r="AA51" i="60"/>
  <c r="AA52" i="60" s="1"/>
  <c r="K37" i="60"/>
  <c r="K39" i="60" s="1"/>
  <c r="DJ94" i="36"/>
  <c r="BH203" i="39"/>
  <c r="BK213" i="39" s="1"/>
  <c r="DJ65" i="36"/>
  <c r="DL64" i="36"/>
  <c r="DK64" i="36"/>
  <c r="F203" i="2"/>
  <c r="DJ27" i="36"/>
  <c r="DK57" i="36" s="1"/>
  <c r="DJ25" i="36"/>
  <c r="AC10" i="8" s="1"/>
  <c r="BU204" i="39"/>
  <c r="BF204" i="39"/>
  <c r="BZ204" i="39"/>
  <c r="BY204" i="39"/>
  <c r="AA204" i="39"/>
  <c r="AB204" i="39" s="1"/>
  <c r="BK204" i="39"/>
  <c r="CF204" i="39" s="1"/>
  <c r="AG194" i="14"/>
  <c r="AF109" i="8"/>
  <c r="AF220" i="14"/>
  <c r="AF221" i="14" s="1"/>
  <c r="AF208" i="14"/>
  <c r="AF209" i="14" s="1"/>
  <c r="DK35" i="36"/>
  <c r="AC7" i="14"/>
  <c r="DK85" i="36"/>
  <c r="BB204" i="39"/>
  <c r="BE204" i="39" s="1"/>
  <c r="DK55" i="36"/>
  <c r="DK14" i="36"/>
  <c r="DK45" i="36"/>
  <c r="DK37" i="36"/>
  <c r="DL17" i="36"/>
  <c r="BC207" i="39" s="1"/>
  <c r="DK17" i="36"/>
  <c r="DK27" i="36"/>
  <c r="L203" i="2"/>
  <c r="D204" i="2"/>
  <c r="L204" i="2" s="1"/>
  <c r="CC203" i="39"/>
  <c r="CH203" i="39"/>
  <c r="CI203" i="39"/>
  <c r="BM203" i="39"/>
  <c r="CG203" i="39"/>
  <c r="AE110" i="8"/>
  <c r="AE131" i="8"/>
  <c r="AM138" i="14"/>
  <c r="AC8" i="14"/>
  <c r="AC106" i="8"/>
  <c r="AC139" i="14"/>
  <c r="AH206" i="14"/>
  <c r="AO246" i="14"/>
  <c r="AH247" i="14"/>
  <c r="DK25" i="36" l="1"/>
  <c r="DL25" i="36" s="1"/>
  <c r="DR25" i="36" s="1"/>
  <c r="L38" i="60"/>
  <c r="L16" i="60"/>
  <c r="AB52" i="60"/>
  <c r="P171" i="60"/>
  <c r="P23" i="60" s="1"/>
  <c r="P12" i="60" s="1"/>
  <c r="P13" i="60" s="1"/>
  <c r="Q155" i="60"/>
  <c r="Z154" i="60"/>
  <c r="X164" i="60"/>
  <c r="N21" i="60"/>
  <c r="N24" i="60" s="1"/>
  <c r="L33" i="60"/>
  <c r="AC128" i="8"/>
  <c r="AC107" i="8"/>
  <c r="AC160" i="8"/>
  <c r="AC121" i="8"/>
  <c r="AC145" i="8" s="1"/>
  <c r="AL10" i="8"/>
  <c r="BH70" i="3"/>
  <c r="DJ98" i="36"/>
  <c r="DJ114" i="36"/>
  <c r="DJ95" i="36"/>
  <c r="DL94" i="36"/>
  <c r="DK94" i="36"/>
  <c r="AC12" i="14"/>
  <c r="AM7" i="14"/>
  <c r="AC9" i="14"/>
  <c r="AC7" i="8"/>
  <c r="C4" i="99" s="1"/>
  <c r="C14" i="99" s="1"/>
  <c r="AF131" i="8"/>
  <c r="AF110" i="8"/>
  <c r="DK65" i="36"/>
  <c r="BH204" i="39"/>
  <c r="DL65" i="36"/>
  <c r="AG109" i="8"/>
  <c r="AG220" i="14"/>
  <c r="AG221" i="14" s="1"/>
  <c r="AH194" i="14"/>
  <c r="AG208" i="14"/>
  <c r="AG209" i="14" s="1"/>
  <c r="T202" i="2"/>
  <c r="F204" i="2"/>
  <c r="DR13" i="36"/>
  <c r="DS13" i="36"/>
  <c r="BC203" i="39"/>
  <c r="CH204" i="39"/>
  <c r="CC204" i="39"/>
  <c r="CI204" i="39"/>
  <c r="BM204" i="39"/>
  <c r="CG204" i="39"/>
  <c r="BI203" i="39"/>
  <c r="BL203" i="39"/>
  <c r="BN203" i="39"/>
  <c r="DS25" i="36" l="1"/>
  <c r="DJ123" i="36"/>
  <c r="DK123" i="36" s="1"/>
  <c r="Z164" i="60"/>
  <c r="Q171" i="60"/>
  <c r="Q23" i="60" s="1"/>
  <c r="Q12" i="60" s="1"/>
  <c r="Q13" i="60" s="1"/>
  <c r="R155" i="60"/>
  <c r="AA164" i="60"/>
  <c r="AB164" i="60" s="1"/>
  <c r="AA154" i="60"/>
  <c r="Y164" i="60"/>
  <c r="M29" i="60"/>
  <c r="L35" i="60"/>
  <c r="L37" i="60"/>
  <c r="L39" i="60" s="1"/>
  <c r="O21" i="60"/>
  <c r="O24" i="60" s="1"/>
  <c r="L44" i="60"/>
  <c r="DL98" i="36"/>
  <c r="DK98" i="36"/>
  <c r="BH69" i="3"/>
  <c r="AC8" i="8"/>
  <c r="AC15" i="8"/>
  <c r="AC14" i="8" s="1"/>
  <c r="AC13" i="8" s="1"/>
  <c r="AC23" i="8"/>
  <c r="AC35" i="8"/>
  <c r="AC11" i="8"/>
  <c r="AL7" i="8"/>
  <c r="AC20" i="8"/>
  <c r="AC22" i="8" s="1"/>
  <c r="AC122" i="8"/>
  <c r="AC28" i="8"/>
  <c r="AC74" i="8"/>
  <c r="AC26" i="8"/>
  <c r="AO194" i="14"/>
  <c r="AH109" i="8"/>
  <c r="AH220" i="14"/>
  <c r="AH208" i="14"/>
  <c r="AH209" i="14" s="1"/>
  <c r="DL95" i="36"/>
  <c r="DK95" i="36"/>
  <c r="AG110" i="8"/>
  <c r="AG131" i="8"/>
  <c r="BI204" i="39"/>
  <c r="BL204" i="39"/>
  <c r="AC40" i="8"/>
  <c r="DK114" i="36"/>
  <c r="AC161" i="8"/>
  <c r="AC162" i="8" s="1"/>
  <c r="AC143" i="8"/>
  <c r="C6" i="99" l="1"/>
  <c r="AC37" i="8"/>
  <c r="DJ180" i="36"/>
  <c r="DK180" i="36" s="1"/>
  <c r="DJ124" i="36"/>
  <c r="DJ181" i="36" s="1"/>
  <c r="DK181" i="36" s="1"/>
  <c r="C7" i="99"/>
  <c r="P21" i="60"/>
  <c r="P24" i="60" s="1"/>
  <c r="R171" i="60"/>
  <c r="R23" i="60" s="1"/>
  <c r="R12" i="60" s="1"/>
  <c r="R13" i="60" s="1"/>
  <c r="S155" i="60"/>
  <c r="AB154" i="60"/>
  <c r="M30" i="60"/>
  <c r="M15" i="60" s="1"/>
  <c r="AO220" i="14"/>
  <c r="AH221" i="14"/>
  <c r="AH110" i="8"/>
  <c r="AH131" i="8"/>
  <c r="AC75" i="8"/>
  <c r="AL28" i="8"/>
  <c r="AC41" i="8"/>
  <c r="C8" i="99" s="1"/>
  <c r="C9" i="99" s="1"/>
  <c r="C10" i="99" s="1"/>
  <c r="AC29" i="8"/>
  <c r="AC148" i="8"/>
  <c r="AC147" i="8"/>
  <c r="AC150" i="8" s="1"/>
  <c r="AC144" i="8"/>
  <c r="DK124" i="36" l="1"/>
  <c r="C11" i="99"/>
  <c r="S171" i="60"/>
  <c r="S23" i="60" s="1"/>
  <c r="S12" i="60" s="1"/>
  <c r="S13" i="60" s="1"/>
  <c r="T155" i="60"/>
  <c r="M38" i="60"/>
  <c r="M16" i="60"/>
  <c r="M33" i="60"/>
  <c r="M44" i="60" s="1"/>
  <c r="Q21" i="60"/>
  <c r="Q24" i="60" s="1"/>
  <c r="AL29" i="8"/>
  <c r="AC151" i="8"/>
  <c r="AL37" i="8"/>
  <c r="AC44" i="8"/>
  <c r="AC38" i="8"/>
  <c r="AC57" i="8"/>
  <c r="AC58" i="8" s="1"/>
  <c r="H203" i="2"/>
  <c r="T171" i="60" l="1"/>
  <c r="T23" i="60" s="1"/>
  <c r="T12" i="60" s="1"/>
  <c r="T13" i="60" s="1"/>
  <c r="U155" i="60"/>
  <c r="N29" i="60"/>
  <c r="M37" i="60"/>
  <c r="M39" i="60" s="1"/>
  <c r="M35" i="60"/>
  <c r="R21" i="60"/>
  <c r="R24" i="60" s="1"/>
  <c r="BF8" i="32"/>
  <c r="BF85" i="3"/>
  <c r="BF87" i="3" s="1"/>
  <c r="BH72" i="3"/>
  <c r="AC50" i="8"/>
  <c r="AL44" i="8"/>
  <c r="BJ85" i="3" s="1"/>
  <c r="AC53" i="8"/>
  <c r="AC45" i="8"/>
  <c r="AM203" i="2"/>
  <c r="AN203" i="2" s="1"/>
  <c r="AN204" i="2" s="1"/>
  <c r="J203" i="2"/>
  <c r="N203" i="2"/>
  <c r="P203" i="2"/>
  <c r="BF34" i="32"/>
  <c r="BH37" i="3"/>
  <c r="BH45" i="3" s="1"/>
  <c r="BF36" i="32" l="1"/>
  <c r="C17" i="99"/>
  <c r="C18" i="99" s="1"/>
  <c r="C21" i="99" s="1"/>
  <c r="C25" i="99" s="1"/>
  <c r="N33" i="60"/>
  <c r="N30" i="60"/>
  <c r="U171" i="60"/>
  <c r="U23" i="60" s="1"/>
  <c r="U12" i="60" s="1"/>
  <c r="U13" i="60" s="1"/>
  <c r="V155" i="60"/>
  <c r="S21" i="60"/>
  <c r="S24" i="60" s="1"/>
  <c r="AL50" i="8"/>
  <c r="AC51" i="8"/>
  <c r="AH203" i="2"/>
  <c r="J204" i="2"/>
  <c r="R203" i="2"/>
  <c r="AI203" i="2"/>
  <c r="BH53" i="3"/>
  <c r="BF15" i="32"/>
  <c r="BF38" i="32" l="1"/>
  <c r="BF63" i="32" s="1"/>
  <c r="BF64" i="32" s="1"/>
  <c r="O29" i="60"/>
  <c r="N35" i="60"/>
  <c r="N37" i="60"/>
  <c r="N39" i="60" s="1"/>
  <c r="V171" i="60"/>
  <c r="V23" i="60" s="1"/>
  <c r="V12" i="60" s="1"/>
  <c r="V13" i="60" s="1"/>
  <c r="W155" i="60"/>
  <c r="T21" i="60"/>
  <c r="T24" i="60" s="1"/>
  <c r="N15" i="60"/>
  <c r="N44" i="60"/>
  <c r="AI204" i="2"/>
  <c r="R204" i="2"/>
  <c r="BH58" i="3"/>
  <c r="BH62" i="32" l="1"/>
  <c r="BH9" i="3"/>
  <c r="BF66" i="32"/>
  <c r="W171" i="60"/>
  <c r="W23" i="60" s="1"/>
  <c r="W12" i="60" s="1"/>
  <c r="W13" i="60" s="1"/>
  <c r="X155" i="60"/>
  <c r="U21" i="60"/>
  <c r="U24" i="60" s="1"/>
  <c r="O30" i="60"/>
  <c r="O15" i="60" s="1"/>
  <c r="N38" i="60"/>
  <c r="N16" i="60"/>
  <c r="O33" i="60" l="1"/>
  <c r="V21" i="60"/>
  <c r="V24" i="60" s="1"/>
  <c r="O38" i="60"/>
  <c r="O16" i="60"/>
  <c r="Y155" i="60"/>
  <c r="X171" i="60"/>
  <c r="X23" i="60" s="1"/>
  <c r="X12" i="60" s="1"/>
  <c r="X13" i="60" s="1"/>
  <c r="P29" i="60" l="1"/>
  <c r="O37" i="60"/>
  <c r="O39" i="60" s="1"/>
  <c r="O35" i="60"/>
  <c r="Z155" i="60"/>
  <c r="Y171" i="60"/>
  <c r="Y23" i="60" s="1"/>
  <c r="Y12" i="60" s="1"/>
  <c r="Y13" i="60" s="1"/>
  <c r="O44" i="60"/>
  <c r="W21" i="60"/>
  <c r="W24" i="60" s="1"/>
  <c r="X21" i="60" l="1"/>
  <c r="X24" i="60" s="1"/>
  <c r="AA155" i="60"/>
  <c r="Z171" i="60"/>
  <c r="Z23" i="60" s="1"/>
  <c r="Z12" i="60" s="1"/>
  <c r="Z13" i="60" s="1"/>
  <c r="P30" i="60"/>
  <c r="P15" i="60" s="1"/>
  <c r="P38" i="60" l="1"/>
  <c r="P16" i="60"/>
  <c r="AB155" i="60"/>
  <c r="AB171" i="60" s="1"/>
  <c r="AB23" i="60" s="1"/>
  <c r="AB12" i="60" s="1"/>
  <c r="AB13" i="60" s="1"/>
  <c r="AA171" i="60"/>
  <c r="AA23" i="60" s="1"/>
  <c r="AA12" i="60" s="1"/>
  <c r="AA13" i="60" s="1"/>
  <c r="P33" i="60"/>
  <c r="Y21" i="60"/>
  <c r="Y24" i="60" s="1"/>
  <c r="Q29" i="60" l="1"/>
  <c r="P35" i="60"/>
  <c r="P37" i="60"/>
  <c r="P39" i="60" s="1"/>
  <c r="P44" i="60"/>
  <c r="Z21" i="60"/>
  <c r="Z24" i="60" s="1"/>
  <c r="Q33" i="60" l="1"/>
  <c r="Q30" i="60"/>
  <c r="Q15" i="60" s="1"/>
  <c r="AA21" i="60"/>
  <c r="AA24" i="60" s="1"/>
  <c r="R29" i="60" l="1"/>
  <c r="Q35" i="60"/>
  <c r="Q37" i="60"/>
  <c r="Q39" i="60" s="1"/>
  <c r="AB21" i="60"/>
  <c r="AB24" i="60" s="1"/>
  <c r="Q44" i="60"/>
  <c r="Q38" i="60"/>
  <c r="Q16" i="60"/>
  <c r="R30" i="60" l="1"/>
  <c r="R15" i="60" s="1"/>
  <c r="R38" i="60" l="1"/>
  <c r="R16" i="60"/>
  <c r="R33" i="60"/>
  <c r="S29" i="60" l="1"/>
  <c r="R37" i="60"/>
  <c r="R39" i="60" s="1"/>
  <c r="R35" i="60"/>
  <c r="R44" i="60"/>
  <c r="S44" i="60" l="1"/>
  <c r="S30" i="60"/>
  <c r="S15" i="60" s="1"/>
  <c r="S33" i="60"/>
  <c r="T29" i="60" l="1"/>
  <c r="S35" i="60"/>
  <c r="S37" i="60"/>
  <c r="S39" i="60" s="1"/>
  <c r="S38" i="60"/>
  <c r="S16" i="60"/>
  <c r="T30" i="60" l="1"/>
  <c r="T15" i="60" s="1"/>
  <c r="T33" i="60"/>
  <c r="U29" i="60" l="1"/>
  <c r="T37" i="60"/>
  <c r="T39" i="60" s="1"/>
  <c r="T35" i="60"/>
  <c r="T44" i="60"/>
  <c r="T38" i="60"/>
  <c r="T16" i="60"/>
  <c r="U30" i="60" l="1"/>
  <c r="U15" i="60" s="1"/>
  <c r="U38" i="60" l="1"/>
  <c r="U16" i="60"/>
  <c r="U33" i="60"/>
  <c r="V29" i="60" l="1"/>
  <c r="U37" i="60"/>
  <c r="U39" i="60" s="1"/>
  <c r="U35" i="60"/>
  <c r="U44" i="60"/>
  <c r="V30" i="60" l="1"/>
  <c r="V15" i="60" s="1"/>
  <c r="V38" i="60" l="1"/>
  <c r="V16" i="60"/>
  <c r="V33" i="60"/>
  <c r="W29" i="60" l="1"/>
  <c r="V35" i="60"/>
  <c r="V37" i="60"/>
  <c r="V39" i="60" s="1"/>
  <c r="V44" i="60"/>
  <c r="W30" i="60" l="1"/>
  <c r="W15" i="60" s="1"/>
  <c r="W33" i="60"/>
  <c r="W44" i="60" s="1"/>
  <c r="DU19" i="30"/>
  <c r="X29" i="60" l="1"/>
  <c r="W35" i="60"/>
  <c r="W37" i="60"/>
  <c r="W39" i="60" s="1"/>
  <c r="W38" i="60"/>
  <c r="W16" i="60"/>
  <c r="DV14" i="30"/>
  <c r="Q11" i="87"/>
  <c r="DU14" i="30"/>
  <c r="P11" i="87"/>
  <c r="P136" i="87"/>
  <c r="P91" i="87" l="1"/>
  <c r="P50" i="87"/>
  <c r="X33" i="60"/>
  <c r="X30" i="60"/>
  <c r="DV46" i="30"/>
  <c r="Q37" i="87"/>
  <c r="P69" i="87" l="1"/>
  <c r="P52" i="87"/>
  <c r="P55" i="87" s="1"/>
  <c r="P110" i="87"/>
  <c r="P93" i="87"/>
  <c r="P96" i="87" s="1"/>
  <c r="Y29" i="60"/>
  <c r="X37" i="60"/>
  <c r="X39" i="60" s="1"/>
  <c r="X35" i="60"/>
  <c r="X15" i="60"/>
  <c r="X44" i="60"/>
  <c r="X38" i="60" l="1"/>
  <c r="X16" i="60"/>
  <c r="Y30" i="60"/>
  <c r="Y15" i="60" s="1"/>
  <c r="Y33" i="60"/>
  <c r="Y38" i="60" l="1"/>
  <c r="Y16" i="60"/>
  <c r="Z29" i="60"/>
  <c r="Y37" i="60"/>
  <c r="Y39" i="60" s="1"/>
  <c r="Y35" i="60"/>
  <c r="Y44" i="60"/>
  <c r="Z33" i="60" l="1"/>
  <c r="Z44" i="60" s="1"/>
  <c r="Z30" i="60"/>
  <c r="Z15" i="60" s="1"/>
  <c r="AA29" i="60" l="1"/>
  <c r="Z35" i="60"/>
  <c r="Z37" i="60"/>
  <c r="Z39" i="60" s="1"/>
  <c r="Z38" i="60"/>
  <c r="Z16" i="60"/>
  <c r="AA30" i="60" l="1"/>
  <c r="AA15" i="60" l="1"/>
  <c r="AA33" i="60"/>
  <c r="AB29" i="60" l="1"/>
  <c r="AA35" i="60"/>
  <c r="AA37" i="60"/>
  <c r="AA39" i="60" s="1"/>
  <c r="AA38" i="60"/>
  <c r="AA16" i="60"/>
  <c r="AA44" i="60"/>
  <c r="AB44" i="60" l="1"/>
  <c r="AB30" i="60"/>
  <c r="AB15" i="60" s="1"/>
  <c r="AB33" i="60"/>
  <c r="AB35" i="60" l="1"/>
  <c r="AB37" i="60"/>
  <c r="AB39" i="60" s="1"/>
  <c r="AB38" i="60"/>
  <c r="AB16" i="60"/>
  <c r="R112" i="14" l="1"/>
  <c r="J127" i="19"/>
  <c r="J125" i="19"/>
  <c r="Z127" i="19"/>
  <c r="J126" i="19"/>
  <c r="J124" i="19"/>
  <c r="J118" i="19"/>
  <c r="J111" i="19"/>
  <c r="Z105" i="19"/>
  <c r="Z104" i="19"/>
  <c r="Z103" i="19"/>
  <c r="J98" i="19"/>
  <c r="Z97" i="19"/>
  <c r="J96" i="19"/>
  <c r="Z91" i="19"/>
  <c r="Z90" i="19"/>
  <c r="Z89" i="19"/>
  <c r="Z82" i="19"/>
  <c r="J83" i="19"/>
  <c r="K31" i="14"/>
  <c r="K20" i="14"/>
  <c r="Z75" i="19"/>
  <c r="J70" i="19"/>
  <c r="J68" i="19"/>
  <c r="J31" i="14"/>
  <c r="Z70" i="19"/>
  <c r="J69" i="19"/>
  <c r="Z68" i="19"/>
  <c r="J63" i="19"/>
  <c r="I31" i="14"/>
  <c r="Z63" i="19"/>
  <c r="Z62" i="19"/>
  <c r="J62" i="19"/>
  <c r="Z61" i="19"/>
  <c r="AB60" i="2" s="1"/>
  <c r="AD60" i="2" s="1"/>
  <c r="J55" i="19"/>
  <c r="H20" i="14"/>
  <c r="J54" i="19"/>
  <c r="J47" i="19"/>
  <c r="V46" i="2" s="1"/>
  <c r="X46" i="2" s="1"/>
  <c r="G31" i="14"/>
  <c r="J48" i="19"/>
  <c r="J40" i="19"/>
  <c r="J34" i="19"/>
  <c r="J27" i="19"/>
  <c r="D20" i="14"/>
  <c r="J28" i="19"/>
  <c r="J19" i="19"/>
  <c r="J14" i="19"/>
  <c r="J13" i="19"/>
  <c r="J12" i="19"/>
  <c r="V11" i="2" s="1"/>
  <c r="X11" i="2" s="1"/>
  <c r="S410" i="21"/>
  <c r="S57" i="21"/>
  <c r="S545" i="21"/>
  <c r="S15" i="21"/>
  <c r="S587" i="21"/>
  <c r="S559" i="21"/>
  <c r="S226" i="21"/>
  <c r="S198" i="21"/>
  <c r="S22" i="21"/>
  <c r="DP29" i="30"/>
  <c r="DG29" i="30"/>
  <c r="DF29" i="30"/>
  <c r="DE29" i="30"/>
  <c r="DD29" i="30"/>
  <c r="DO30" i="30"/>
  <c r="DM30" i="30"/>
  <c r="DL30" i="30"/>
  <c r="DK30" i="30"/>
  <c r="DH30" i="30"/>
  <c r="DG30" i="30"/>
  <c r="DC30" i="30"/>
  <c r="DF28" i="30"/>
  <c r="DB28" i="30"/>
  <c r="CZ28" i="30"/>
  <c r="DE23" i="30"/>
  <c r="DD23" i="30"/>
  <c r="DC23" i="30"/>
  <c r="DB23" i="30"/>
  <c r="DA23" i="30"/>
  <c r="CZ23" i="30"/>
  <c r="DG19" i="30"/>
  <c r="DF19" i="30"/>
  <c r="DE19" i="30"/>
  <c r="DD19" i="30"/>
  <c r="DC19" i="30"/>
  <c r="DB19" i="30"/>
  <c r="DA19" i="30"/>
  <c r="CZ19" i="30"/>
  <c r="R15" i="14" l="1"/>
  <c r="R18" i="14"/>
  <c r="J97" i="19"/>
  <c r="L14" i="19"/>
  <c r="V13" i="2"/>
  <c r="X13" i="2" s="1"/>
  <c r="Z20" i="2" s="1"/>
  <c r="L15" i="19"/>
  <c r="U15" i="19" s="1"/>
  <c r="U16" i="19" s="1"/>
  <c r="G32" i="14"/>
  <c r="G28" i="14"/>
  <c r="Z50" i="19"/>
  <c r="L55" i="19"/>
  <c r="V53" i="2"/>
  <c r="X53" i="2" s="1"/>
  <c r="Z53" i="2" s="1"/>
  <c r="AB63" i="19"/>
  <c r="AB62" i="2"/>
  <c r="AD62" i="2" s="1"/>
  <c r="AB67" i="2"/>
  <c r="AD67" i="2" s="1"/>
  <c r="AF67" i="2" s="1"/>
  <c r="V67" i="2"/>
  <c r="X67" i="2" s="1"/>
  <c r="L23" i="14"/>
  <c r="J78" i="19"/>
  <c r="DC67" i="30"/>
  <c r="AB96" i="2"/>
  <c r="AD96" i="2" s="1"/>
  <c r="S66" i="30"/>
  <c r="AB105" i="19"/>
  <c r="AB104" i="2"/>
  <c r="AD104" i="2" s="1"/>
  <c r="Y66" i="30"/>
  <c r="L127" i="19"/>
  <c r="V125" i="2"/>
  <c r="X125" i="2" s="1"/>
  <c r="AN67" i="30"/>
  <c r="L126" i="19"/>
  <c r="V27" i="2"/>
  <c r="X27" i="2" s="1"/>
  <c r="L28" i="19"/>
  <c r="V123" i="2"/>
  <c r="X123" i="2" s="1"/>
  <c r="AL67" i="30"/>
  <c r="J29" i="19"/>
  <c r="J57" i="19"/>
  <c r="Z64" i="19"/>
  <c r="AB68" i="19" s="1"/>
  <c r="J90" i="19"/>
  <c r="L98" i="19"/>
  <c r="V97" i="2"/>
  <c r="X97" i="2" s="1"/>
  <c r="T67" i="30"/>
  <c r="V110" i="2"/>
  <c r="X110" i="2" s="1"/>
  <c r="AC67" i="30"/>
  <c r="AB131" i="19"/>
  <c r="AB126" i="2"/>
  <c r="AD126" i="2" s="1"/>
  <c r="AO66" i="30"/>
  <c r="AB127" i="19"/>
  <c r="R85" i="14"/>
  <c r="R84" i="14" s="1"/>
  <c r="R81" i="14"/>
  <c r="R80" i="14" s="1"/>
  <c r="R17" i="14" s="1"/>
  <c r="V18" i="2"/>
  <c r="X18" i="2" s="1"/>
  <c r="L19" i="19"/>
  <c r="J61" i="19"/>
  <c r="V60" i="2" s="1"/>
  <c r="X60" i="2" s="1"/>
  <c r="Z60" i="2" s="1"/>
  <c r="J32" i="14"/>
  <c r="J28" i="14"/>
  <c r="Z71" i="19"/>
  <c r="AB74" i="2"/>
  <c r="AD74" i="2" s="1"/>
  <c r="AF74" i="2" s="1"/>
  <c r="C66" i="30"/>
  <c r="AB76" i="19"/>
  <c r="AB75" i="19"/>
  <c r="V82" i="2"/>
  <c r="X82" i="2" s="1"/>
  <c r="Z82" i="2" s="1"/>
  <c r="I67" i="30"/>
  <c r="L84" i="19"/>
  <c r="AB81" i="2"/>
  <c r="AD81" i="2" s="1"/>
  <c r="AF81" i="2" s="1"/>
  <c r="H66" i="30"/>
  <c r="AB89" i="2"/>
  <c r="AD89" i="2" s="1"/>
  <c r="N66" i="30"/>
  <c r="Z96" i="19"/>
  <c r="AB97" i="19" s="1"/>
  <c r="Z98" i="19"/>
  <c r="AB102" i="2"/>
  <c r="AD102" i="2" s="1"/>
  <c r="W66" i="30"/>
  <c r="J104" i="19"/>
  <c r="L125" i="19"/>
  <c r="V124" i="2"/>
  <c r="X124" i="2" s="1"/>
  <c r="AM67" i="30"/>
  <c r="S107" i="14"/>
  <c r="R107" i="14"/>
  <c r="R110" i="14"/>
  <c r="V33" i="2"/>
  <c r="X33" i="2" s="1"/>
  <c r="L34" i="19"/>
  <c r="V68" i="2"/>
  <c r="X68" i="2" s="1"/>
  <c r="L69" i="19"/>
  <c r="L70" i="19"/>
  <c r="V69" i="2"/>
  <c r="X69" i="2" s="1"/>
  <c r="AB90" i="19"/>
  <c r="AB88" i="2"/>
  <c r="AD88" i="2" s="1"/>
  <c r="AF88" i="2" s="1"/>
  <c r="M66" i="30"/>
  <c r="AB89" i="19"/>
  <c r="V95" i="2"/>
  <c r="X95" i="2" s="1"/>
  <c r="R67" i="30"/>
  <c r="L27" i="19"/>
  <c r="V26" i="2"/>
  <c r="X26" i="2" s="1"/>
  <c r="L62" i="19"/>
  <c r="V61" i="2"/>
  <c r="X61" i="2" s="1"/>
  <c r="L13" i="19"/>
  <c r="L16" i="19" s="1"/>
  <c r="V12" i="2"/>
  <c r="X12" i="2" s="1"/>
  <c r="V39" i="2"/>
  <c r="X39" i="2" s="1"/>
  <c r="Z39" i="2" s="1"/>
  <c r="V47" i="2"/>
  <c r="X47" i="2" s="1"/>
  <c r="L48" i="19"/>
  <c r="J49" i="19"/>
  <c r="V48" i="2" s="1"/>
  <c r="X48" i="2" s="1"/>
  <c r="V54" i="2"/>
  <c r="X54" i="2" s="1"/>
  <c r="Z54" i="2" s="1"/>
  <c r="L56" i="19"/>
  <c r="AB61" i="2"/>
  <c r="AD61" i="2" s="1"/>
  <c r="AB62" i="19"/>
  <c r="L63" i="19"/>
  <c r="V62" i="2"/>
  <c r="X62" i="2" s="1"/>
  <c r="Z62" i="2" s="1"/>
  <c r="AB69" i="2"/>
  <c r="AD69" i="2" s="1"/>
  <c r="K32" i="14"/>
  <c r="K28" i="14"/>
  <c r="Z78" i="19"/>
  <c r="DC66" i="30"/>
  <c r="L28" i="14"/>
  <c r="L32" i="14"/>
  <c r="Z83" i="19"/>
  <c r="L85" i="14"/>
  <c r="L84" i="14" s="1"/>
  <c r="L81" i="14"/>
  <c r="AB91" i="19"/>
  <c r="AB90" i="2"/>
  <c r="AD90" i="2" s="1"/>
  <c r="AF90" i="2" s="1"/>
  <c r="O66" i="30"/>
  <c r="AB104" i="19"/>
  <c r="AB103" i="2"/>
  <c r="AD103" i="2" s="1"/>
  <c r="AF103" i="2" s="1"/>
  <c r="X66" i="30"/>
  <c r="V117" i="2"/>
  <c r="X117" i="2" s="1"/>
  <c r="Z117" i="2" s="1"/>
  <c r="AH67" i="30"/>
  <c r="V126" i="2"/>
  <c r="X126" i="2" s="1"/>
  <c r="AO67" i="30"/>
  <c r="DP11" i="30"/>
  <c r="K8" i="87"/>
  <c r="DH19" i="30"/>
  <c r="C15" i="87"/>
  <c r="DM19" i="30"/>
  <c r="H15" i="87"/>
  <c r="DQ19" i="30"/>
  <c r="L15" i="87"/>
  <c r="DG23" i="30"/>
  <c r="DP23" i="30"/>
  <c r="K18" i="87"/>
  <c r="DS28" i="30"/>
  <c r="N24" i="87"/>
  <c r="DQ11" i="30"/>
  <c r="L8" i="87"/>
  <c r="DI19" i="30"/>
  <c r="D15" i="87"/>
  <c r="DN19" i="30"/>
  <c r="I15" i="87"/>
  <c r="DR19" i="30"/>
  <c r="M15" i="87"/>
  <c r="DH23" i="30"/>
  <c r="C18" i="87"/>
  <c r="DS23" i="30"/>
  <c r="N18" i="87"/>
  <c r="DL11" i="30"/>
  <c r="G8" i="87"/>
  <c r="DR11" i="30"/>
  <c r="M8" i="87"/>
  <c r="DK19" i="30"/>
  <c r="F15" i="87"/>
  <c r="DO19" i="30"/>
  <c r="J15" i="87"/>
  <c r="DS19" i="30"/>
  <c r="N15" i="87"/>
  <c r="DI23" i="30"/>
  <c r="D18" i="87"/>
  <c r="DM11" i="30"/>
  <c r="H8" i="87"/>
  <c r="DS11" i="30"/>
  <c r="N8" i="87"/>
  <c r="DL19" i="30"/>
  <c r="G15" i="87"/>
  <c r="DP19" i="30"/>
  <c r="K15" i="87"/>
  <c r="DT19" i="30"/>
  <c r="O15" i="87"/>
  <c r="DF23" i="30"/>
  <c r="DM23" i="30"/>
  <c r="H18" i="87"/>
  <c r="DR28" i="30"/>
  <c r="M24" i="87"/>
  <c r="AI545" i="21"/>
  <c r="U545" i="21"/>
  <c r="D566" i="21"/>
  <c r="H566" i="21" s="1"/>
  <c r="U559" i="21"/>
  <c r="D417" i="21"/>
  <c r="H417" i="21" s="1"/>
  <c r="D226" i="21"/>
  <c r="H226" i="21" s="1"/>
  <c r="U226" i="21"/>
  <c r="S240" i="21"/>
  <c r="S205" i="21"/>
  <c r="S233" i="21"/>
  <c r="D233" i="21" s="1"/>
  <c r="H233" i="21" s="1"/>
  <c r="AI15" i="21"/>
  <c r="D15" i="21"/>
  <c r="U15" i="21"/>
  <c r="AI57" i="21"/>
  <c r="AK57" i="21" s="1"/>
  <c r="D64" i="21"/>
  <c r="H64" i="21" s="1"/>
  <c r="AI22" i="21"/>
  <c r="AK22" i="21" s="1"/>
  <c r="D22" i="21"/>
  <c r="U22" i="21"/>
  <c r="W22" i="21" s="1"/>
  <c r="AI198" i="21"/>
  <c r="AK198" i="21" s="1"/>
  <c r="U198" i="21"/>
  <c r="S552" i="21"/>
  <c r="D594" i="21"/>
  <c r="H594" i="21" s="1"/>
  <c r="DD9" i="30"/>
  <c r="CZ14" i="30"/>
  <c r="DF9" i="30"/>
  <c r="DA28" i="30"/>
  <c r="DI30" i="30"/>
  <c r="DJ30" i="30"/>
  <c r="DC28" i="30"/>
  <c r="S29" i="21"/>
  <c r="F19" i="87"/>
  <c r="DA44" i="30"/>
  <c r="O20" i="14"/>
  <c r="B18" i="14"/>
  <c r="Z14" i="19"/>
  <c r="Z12" i="19"/>
  <c r="AB12" i="19" s="1"/>
  <c r="Z13" i="19"/>
  <c r="C20" i="14"/>
  <c r="D23" i="14" s="1"/>
  <c r="F20" i="14"/>
  <c r="B31" i="14"/>
  <c r="C31" i="14"/>
  <c r="J35" i="19"/>
  <c r="F81" i="14"/>
  <c r="H31" i="14"/>
  <c r="I20" i="14"/>
  <c r="J20" i="14"/>
  <c r="K23" i="14" s="1"/>
  <c r="Z69" i="19"/>
  <c r="AB70" i="19" s="1"/>
  <c r="O31" i="14"/>
  <c r="J112" i="19"/>
  <c r="J119" i="19"/>
  <c r="Q31" i="14"/>
  <c r="R31" i="14"/>
  <c r="J91" i="19"/>
  <c r="M20" i="14"/>
  <c r="N31" i="14"/>
  <c r="J113" i="19"/>
  <c r="J117" i="19"/>
  <c r="DN29" i="30"/>
  <c r="AK68" i="19" l="1"/>
  <c r="AD70" i="19"/>
  <c r="AF70" i="19" s="1"/>
  <c r="AD77" i="19"/>
  <c r="AF77" i="19" s="1"/>
  <c r="AK70" i="19"/>
  <c r="AK97" i="19"/>
  <c r="AD97" i="19"/>
  <c r="AF97" i="19" s="1"/>
  <c r="L118" i="19"/>
  <c r="V116" i="2"/>
  <c r="X116" i="2" s="1"/>
  <c r="AG67" i="30"/>
  <c r="L117" i="19"/>
  <c r="J110" i="19"/>
  <c r="J103" i="19"/>
  <c r="L91" i="19"/>
  <c r="V90" i="2"/>
  <c r="X90" i="2" s="1"/>
  <c r="Z90" i="2" s="1"/>
  <c r="O67" i="30"/>
  <c r="Q15" i="14"/>
  <c r="Q18" i="14"/>
  <c r="Z20" i="21"/>
  <c r="AK104" i="19"/>
  <c r="AD104" i="19"/>
  <c r="AF104" i="19" s="1"/>
  <c r="AK91" i="19"/>
  <c r="AB82" i="2"/>
  <c r="AD82" i="2" s="1"/>
  <c r="AF82" i="2" s="1"/>
  <c r="AB84" i="19"/>
  <c r="AD91" i="19" s="1"/>
  <c r="AF91" i="19" s="1"/>
  <c r="I66" i="30"/>
  <c r="AB78" i="19"/>
  <c r="AB77" i="2"/>
  <c r="AD77" i="2" s="1"/>
  <c r="F66" i="30"/>
  <c r="U27" i="19"/>
  <c r="N69" i="19"/>
  <c r="P69" i="19" s="1"/>
  <c r="U69" i="19"/>
  <c r="N34" i="19"/>
  <c r="P34" i="19" s="1"/>
  <c r="U34" i="19"/>
  <c r="W34" i="19" s="1"/>
  <c r="N125" i="19"/>
  <c r="P125" i="19" s="1"/>
  <c r="U125" i="19"/>
  <c r="AB97" i="2"/>
  <c r="AD97" i="2" s="1"/>
  <c r="AF97" i="2" s="1"/>
  <c r="T66" i="30"/>
  <c r="AB98" i="19"/>
  <c r="AD105" i="19" s="1"/>
  <c r="AF105" i="19" s="1"/>
  <c r="AB71" i="19"/>
  <c r="AB70" i="2"/>
  <c r="AD70" i="2" s="1"/>
  <c r="AD138" i="19"/>
  <c r="AF138" i="19" s="1"/>
  <c r="AK131" i="19"/>
  <c r="AB135" i="19"/>
  <c r="I28" i="14"/>
  <c r="U28" i="19"/>
  <c r="AK105" i="19"/>
  <c r="AF96" i="2"/>
  <c r="L78" i="19"/>
  <c r="V77" i="2"/>
  <c r="X77" i="2" s="1"/>
  <c r="F67" i="30"/>
  <c r="P15" i="14"/>
  <c r="P18" i="14"/>
  <c r="L113" i="19"/>
  <c r="V112" i="2"/>
  <c r="X112" i="2" s="1"/>
  <c r="AE67" i="30"/>
  <c r="Z99" i="19"/>
  <c r="DF61" i="30"/>
  <c r="DF66" i="30" s="1"/>
  <c r="R32" i="14"/>
  <c r="R28" i="14"/>
  <c r="S28" i="14"/>
  <c r="DJ61" i="30"/>
  <c r="S32" i="14"/>
  <c r="L119" i="19"/>
  <c r="V118" i="2"/>
  <c r="X118" i="2" s="1"/>
  <c r="Z125" i="2" s="1"/>
  <c r="AI67" i="30"/>
  <c r="V111" i="2"/>
  <c r="X111" i="2" s="1"/>
  <c r="AD67" i="30"/>
  <c r="L112" i="19"/>
  <c r="O32" i="14"/>
  <c r="O28" i="14"/>
  <c r="Z106" i="19"/>
  <c r="DG61" i="30"/>
  <c r="J82" i="19"/>
  <c r="J75" i="19"/>
  <c r="J20" i="19"/>
  <c r="B28" i="14"/>
  <c r="B38" i="14" s="1"/>
  <c r="Z15" i="19"/>
  <c r="B35" i="14"/>
  <c r="AK12" i="19"/>
  <c r="L80" i="14"/>
  <c r="L17" i="14" s="1"/>
  <c r="L93" i="14"/>
  <c r="K29" i="14"/>
  <c r="K46" i="14" s="1"/>
  <c r="K38" i="14"/>
  <c r="U56" i="19"/>
  <c r="U48" i="19"/>
  <c r="G81" i="14"/>
  <c r="AK90" i="19"/>
  <c r="Z68" i="2"/>
  <c r="Z75" i="2"/>
  <c r="Z33" i="2"/>
  <c r="AF89" i="2"/>
  <c r="AB83" i="19"/>
  <c r="AD90" i="19" s="1"/>
  <c r="AF90" i="19" s="1"/>
  <c r="J38" i="14"/>
  <c r="J29" i="14"/>
  <c r="J46" i="14" s="1"/>
  <c r="U19" i="19"/>
  <c r="AK127" i="19"/>
  <c r="AD134" i="19"/>
  <c r="AF134" i="19" s="1"/>
  <c r="Z97" i="2"/>
  <c r="AB64" i="19"/>
  <c r="AB63" i="2"/>
  <c r="AD63" i="2" s="1"/>
  <c r="L29" i="19"/>
  <c r="V28" i="2"/>
  <c r="X28" i="2" s="1"/>
  <c r="L33" i="19"/>
  <c r="U33" i="19" s="1"/>
  <c r="Z27" i="2"/>
  <c r="U127" i="19"/>
  <c r="AB49" i="2"/>
  <c r="AD49" i="2" s="1"/>
  <c r="AF49" i="2" s="1"/>
  <c r="J105" i="19"/>
  <c r="M23" i="14"/>
  <c r="DE53" i="30"/>
  <c r="DE67" i="30" s="1"/>
  <c r="J92" i="19"/>
  <c r="J89" i="19"/>
  <c r="E81" i="14"/>
  <c r="AB69" i="19"/>
  <c r="AB72" i="19" s="1"/>
  <c r="AB68" i="2"/>
  <c r="AD68" i="2" s="1"/>
  <c r="I23" i="14"/>
  <c r="J64" i="19"/>
  <c r="V34" i="2"/>
  <c r="X34" i="2" s="1"/>
  <c r="Z41" i="2" s="1"/>
  <c r="L35" i="19"/>
  <c r="C23" i="14"/>
  <c r="J22" i="19"/>
  <c r="AB15" i="19"/>
  <c r="AK15" i="19" s="1"/>
  <c r="AB14" i="19"/>
  <c r="L29" i="14"/>
  <c r="L46" i="14" s="1"/>
  <c r="L38" i="14"/>
  <c r="U63" i="19"/>
  <c r="W63" i="19" s="1"/>
  <c r="N63" i="19"/>
  <c r="P63" i="19" s="1"/>
  <c r="Z61" i="2"/>
  <c r="AK89" i="19"/>
  <c r="Z69" i="2"/>
  <c r="Z76" i="2"/>
  <c r="AB95" i="2"/>
  <c r="AD95" i="2" s="1"/>
  <c r="AF95" i="2" s="1"/>
  <c r="R66" i="30"/>
  <c r="AB82" i="19"/>
  <c r="AD89" i="19" s="1"/>
  <c r="AF89" i="19" s="1"/>
  <c r="AK75" i="19"/>
  <c r="AD75" i="19"/>
  <c r="AF75" i="19" s="1"/>
  <c r="AB79" i="19"/>
  <c r="Z18" i="2"/>
  <c r="Z25" i="2"/>
  <c r="U98" i="19"/>
  <c r="N98" i="19"/>
  <c r="P98" i="19" s="1"/>
  <c r="N126" i="19"/>
  <c r="P126" i="19" s="1"/>
  <c r="U126" i="19"/>
  <c r="U55" i="19"/>
  <c r="W55" i="19" s="1"/>
  <c r="N55" i="19"/>
  <c r="P55" i="19" s="1"/>
  <c r="G29" i="14"/>
  <c r="G46" i="14" s="1"/>
  <c r="G38" i="14"/>
  <c r="G39" i="14" s="1"/>
  <c r="Z46" i="2"/>
  <c r="L15" i="14"/>
  <c r="L18" i="14"/>
  <c r="Z120" i="19"/>
  <c r="DI61" i="30"/>
  <c r="J23" i="14"/>
  <c r="J71" i="19"/>
  <c r="H28" i="14"/>
  <c r="Z57" i="19"/>
  <c r="H32" i="14"/>
  <c r="J41" i="19"/>
  <c r="C32" i="14"/>
  <c r="C28" i="14"/>
  <c r="Z22" i="19"/>
  <c r="C44" i="14"/>
  <c r="C35" i="14"/>
  <c r="C36" i="14" s="1"/>
  <c r="J43" i="19"/>
  <c r="AB13" i="19"/>
  <c r="AK13" i="19" s="1"/>
  <c r="J106" i="19"/>
  <c r="DG53" i="30"/>
  <c r="DG67" i="30" s="1"/>
  <c r="AF76" i="2"/>
  <c r="AF69" i="2"/>
  <c r="AK62" i="19"/>
  <c r="Z55" i="2"/>
  <c r="Z48" i="2"/>
  <c r="L49" i="19"/>
  <c r="N62" i="19"/>
  <c r="P62" i="19" s="1"/>
  <c r="U62" i="19"/>
  <c r="N70" i="19"/>
  <c r="P70" i="19" s="1"/>
  <c r="U70" i="19"/>
  <c r="N77" i="19"/>
  <c r="P77" i="19" s="1"/>
  <c r="R111" i="14"/>
  <c r="R33" i="14"/>
  <c r="S111" i="14"/>
  <c r="S105" i="14"/>
  <c r="R105" i="14"/>
  <c r="Z124" i="2"/>
  <c r="V103" i="2"/>
  <c r="X103" i="2" s="1"/>
  <c r="X67" i="30"/>
  <c r="U84" i="19"/>
  <c r="W84" i="19" s="1"/>
  <c r="N84" i="19"/>
  <c r="P84" i="19" s="1"/>
  <c r="AD76" i="19"/>
  <c r="AF76" i="19" s="1"/>
  <c r="AK76" i="19"/>
  <c r="AF133" i="2"/>
  <c r="V89" i="2"/>
  <c r="X89" i="2" s="1"/>
  <c r="Z89" i="2" s="1"/>
  <c r="N67" i="30"/>
  <c r="L90" i="19"/>
  <c r="I32" i="14"/>
  <c r="L61" i="19"/>
  <c r="V56" i="2"/>
  <c r="X56" i="2" s="1"/>
  <c r="L57" i="19"/>
  <c r="Z123" i="2"/>
  <c r="AF104" i="2"/>
  <c r="Z67" i="2"/>
  <c r="AK63" i="19"/>
  <c r="L97" i="19"/>
  <c r="U97" i="19" s="1"/>
  <c r="V96" i="2"/>
  <c r="X96" i="2" s="1"/>
  <c r="S67" i="30"/>
  <c r="DL23" i="30"/>
  <c r="G18" i="87"/>
  <c r="DM14" i="30"/>
  <c r="H11" i="87"/>
  <c r="DJ14" i="30"/>
  <c r="E11" i="87"/>
  <c r="DP64" i="30"/>
  <c r="DQ9" i="30"/>
  <c r="L6" i="87"/>
  <c r="DJ19" i="30"/>
  <c r="E15" i="87"/>
  <c r="DQ14" i="30"/>
  <c r="L11" i="87"/>
  <c r="DC14" i="30"/>
  <c r="DJ11" i="30"/>
  <c r="E8" i="87"/>
  <c r="CZ9" i="30"/>
  <c r="CZ36" i="30" s="1"/>
  <c r="DA9" i="30"/>
  <c r="DE14" i="30"/>
  <c r="DL14" i="30"/>
  <c r="G11" i="87"/>
  <c r="DE9" i="30"/>
  <c r="H57" i="87"/>
  <c r="H139" i="87"/>
  <c r="H98" i="87"/>
  <c r="J136" i="87"/>
  <c r="J95" i="87"/>
  <c r="J54" i="87"/>
  <c r="M88" i="87"/>
  <c r="M47" i="87"/>
  <c r="C57" i="87"/>
  <c r="C139" i="87"/>
  <c r="C98" i="87"/>
  <c r="L88" i="87"/>
  <c r="L47" i="87"/>
  <c r="H95" i="87"/>
  <c r="H54" i="87"/>
  <c r="H136" i="87"/>
  <c r="DQ23" i="30"/>
  <c r="L18" i="87"/>
  <c r="DI14" i="30"/>
  <c r="D11" i="87"/>
  <c r="DO11" i="30"/>
  <c r="J8" i="87"/>
  <c r="DR9" i="30"/>
  <c r="M6" i="87"/>
  <c r="DS9" i="30"/>
  <c r="N6" i="87"/>
  <c r="DK23" i="30"/>
  <c r="F18" i="87"/>
  <c r="DD14" i="30"/>
  <c r="DC11" i="30"/>
  <c r="DM9" i="30"/>
  <c r="H6" i="87"/>
  <c r="DC9" i="30"/>
  <c r="DE11" i="30"/>
  <c r="DD11" i="30"/>
  <c r="DD13" i="30" s="1"/>
  <c r="DF44" i="30"/>
  <c r="DA14" i="30"/>
  <c r="DF11" i="30"/>
  <c r="DF13" i="30" s="1"/>
  <c r="DD44" i="30"/>
  <c r="DK11" i="30"/>
  <c r="F8" i="87"/>
  <c r="O136" i="87"/>
  <c r="O95" i="87"/>
  <c r="O54" i="87"/>
  <c r="G136" i="87"/>
  <c r="G95" i="87"/>
  <c r="G54" i="87"/>
  <c r="D98" i="87"/>
  <c r="D57" i="87"/>
  <c r="D139" i="87"/>
  <c r="M136" i="87"/>
  <c r="M95" i="87"/>
  <c r="M54" i="87"/>
  <c r="D95" i="87"/>
  <c r="D136" i="87"/>
  <c r="D54" i="87"/>
  <c r="K139" i="87"/>
  <c r="K98" i="87"/>
  <c r="K57" i="87"/>
  <c r="K129" i="87"/>
  <c r="K47" i="87"/>
  <c r="K88" i="87"/>
  <c r="DK14" i="30"/>
  <c r="F11" i="87"/>
  <c r="DW19" i="30"/>
  <c r="R15" i="87"/>
  <c r="DO9" i="30"/>
  <c r="J6" i="87"/>
  <c r="DP9" i="30"/>
  <c r="K6" i="87"/>
  <c r="DN11" i="30"/>
  <c r="I8" i="87"/>
  <c r="DG9" i="30"/>
  <c r="DI9" i="30"/>
  <c r="D6" i="87"/>
  <c r="DR14" i="30"/>
  <c r="M11" i="87"/>
  <c r="DB9" i="30"/>
  <c r="M147" i="87"/>
  <c r="M145" i="87" s="1"/>
  <c r="M63" i="87"/>
  <c r="H47" i="87"/>
  <c r="H129" i="87"/>
  <c r="H88" i="87"/>
  <c r="N136" i="87"/>
  <c r="N95" i="87"/>
  <c r="N54" i="87"/>
  <c r="F54" i="87"/>
  <c r="F136" i="87"/>
  <c r="F95" i="87"/>
  <c r="N98" i="87"/>
  <c r="N57" i="87"/>
  <c r="L54" i="87"/>
  <c r="L136" i="87"/>
  <c r="L95" i="87"/>
  <c r="C54" i="87"/>
  <c r="C136" i="87"/>
  <c r="C95" i="87"/>
  <c r="DH14" i="30"/>
  <c r="C11" i="87"/>
  <c r="DR23" i="30"/>
  <c r="M18" i="87"/>
  <c r="DS14" i="30"/>
  <c r="N11" i="87"/>
  <c r="DN14" i="30"/>
  <c r="I11" i="87"/>
  <c r="DA11" i="30"/>
  <c r="DP14" i="30"/>
  <c r="K11" i="87"/>
  <c r="CZ11" i="30"/>
  <c r="DB14" i="30"/>
  <c r="DB11" i="30"/>
  <c r="DH9" i="30"/>
  <c r="C6" i="87"/>
  <c r="K136" i="87"/>
  <c r="K95" i="87"/>
  <c r="K54" i="87"/>
  <c r="N47" i="87"/>
  <c r="N88" i="87"/>
  <c r="G47" i="87"/>
  <c r="G129" i="87"/>
  <c r="G88" i="87"/>
  <c r="I54" i="87"/>
  <c r="I136" i="87"/>
  <c r="I95" i="87"/>
  <c r="N63" i="87"/>
  <c r="N147" i="87"/>
  <c r="N145" i="87" s="1"/>
  <c r="W566" i="21"/>
  <c r="S403" i="21"/>
  <c r="S382" i="21"/>
  <c r="P226" i="21"/>
  <c r="AF226" i="21"/>
  <c r="P566" i="21"/>
  <c r="AF566" i="21"/>
  <c r="AF64" i="21"/>
  <c r="W226" i="21"/>
  <c r="W233" i="21"/>
  <c r="S191" i="21"/>
  <c r="AF594" i="21"/>
  <c r="P594" i="21"/>
  <c r="AM64" i="21"/>
  <c r="AF233" i="21"/>
  <c r="P233" i="21"/>
  <c r="D240" i="21"/>
  <c r="H240" i="21" s="1"/>
  <c r="D247" i="21"/>
  <c r="H247" i="21" s="1"/>
  <c r="P417" i="21"/>
  <c r="AF417" i="21"/>
  <c r="S580" i="21"/>
  <c r="S50" i="21"/>
  <c r="D559" i="21"/>
  <c r="H559" i="21" s="1"/>
  <c r="U552" i="21"/>
  <c r="W552" i="21" s="1"/>
  <c r="AI552" i="21"/>
  <c r="AK552" i="21" s="1"/>
  <c r="AM559" i="21" s="1"/>
  <c r="D552" i="21"/>
  <c r="H552" i="21" s="1"/>
  <c r="P552" i="21" s="1"/>
  <c r="AI205" i="21"/>
  <c r="AK205" i="21" s="1"/>
  <c r="D205" i="21"/>
  <c r="H205" i="21" s="1"/>
  <c r="D212" i="21"/>
  <c r="H212" i="21" s="1"/>
  <c r="U205" i="21"/>
  <c r="AI29" i="21"/>
  <c r="AK29" i="21" s="1"/>
  <c r="D36" i="21"/>
  <c r="H36" i="21" s="1"/>
  <c r="P36" i="21" s="1"/>
  <c r="D29" i="21"/>
  <c r="U29" i="21"/>
  <c r="DI45" i="30"/>
  <c r="D36" i="87"/>
  <c r="F140" i="87"/>
  <c r="F58" i="87"/>
  <c r="F99" i="87"/>
  <c r="DB44" i="30"/>
  <c r="CZ44" i="30"/>
  <c r="CZ46" i="30"/>
  <c r="DF14" i="30"/>
  <c r="DG14" i="30"/>
  <c r="DG11" i="30"/>
  <c r="BN53" i="30"/>
  <c r="BL53" i="30"/>
  <c r="BV53" i="30"/>
  <c r="BU53" i="30"/>
  <c r="BQ53" i="30"/>
  <c r="BP53" i="30"/>
  <c r="BM53" i="30"/>
  <c r="BF126" i="3"/>
  <c r="P20" i="14"/>
  <c r="DH53" i="30" s="1"/>
  <c r="DH67" i="30" s="1"/>
  <c r="G20" i="14"/>
  <c r="E20" i="14"/>
  <c r="Z19" i="19"/>
  <c r="C18" i="14"/>
  <c r="Z56" i="19"/>
  <c r="Z48" i="19"/>
  <c r="N20" i="14"/>
  <c r="M31" i="14"/>
  <c r="N32" i="14" s="1"/>
  <c r="DF62" i="30" s="1"/>
  <c r="D31" i="14"/>
  <c r="Z49" i="19"/>
  <c r="AB48" i="2" s="1"/>
  <c r="AD48" i="2" s="1"/>
  <c r="F18" i="14"/>
  <c r="D18" i="14"/>
  <c r="DQ30" i="30"/>
  <c r="DP30" i="30"/>
  <c r="Z103" i="2" l="1"/>
  <c r="K39" i="14"/>
  <c r="Z34" i="2"/>
  <c r="AB50" i="19"/>
  <c r="AK50" i="19" s="1"/>
  <c r="AM97" i="19"/>
  <c r="L75" i="19"/>
  <c r="V70" i="2"/>
  <c r="X70" i="2" s="1"/>
  <c r="L71" i="19"/>
  <c r="O38" i="14"/>
  <c r="U113" i="19"/>
  <c r="AK135" i="19"/>
  <c r="AM138" i="19"/>
  <c r="AB49" i="19"/>
  <c r="AB47" i="2"/>
  <c r="AD47" i="2" s="1"/>
  <c r="E23" i="14"/>
  <c r="J36" i="19"/>
  <c r="J15" i="14"/>
  <c r="J18" i="14"/>
  <c r="U57" i="19"/>
  <c r="N97" i="19"/>
  <c r="P97" i="19" s="1"/>
  <c r="U90" i="19"/>
  <c r="R120" i="14"/>
  <c r="R121" i="14" s="1"/>
  <c r="R106" i="14"/>
  <c r="R130" i="14" s="1"/>
  <c r="V40" i="2"/>
  <c r="X40" i="2" s="1"/>
  <c r="L42" i="19"/>
  <c r="L41" i="19"/>
  <c r="AD79" i="19"/>
  <c r="AF79" i="19" s="1"/>
  <c r="L39" i="14"/>
  <c r="AK14" i="19"/>
  <c r="AK16" i="19" s="1"/>
  <c r="AK64" i="19"/>
  <c r="AM134" i="19"/>
  <c r="AB16" i="19"/>
  <c r="L20" i="19"/>
  <c r="V19" i="2"/>
  <c r="X19" i="2" s="1"/>
  <c r="L21" i="19"/>
  <c r="V81" i="2"/>
  <c r="X81" i="2" s="1"/>
  <c r="H67" i="30"/>
  <c r="L82" i="19"/>
  <c r="L83" i="19"/>
  <c r="N90" i="19" s="1"/>
  <c r="P90" i="19" s="1"/>
  <c r="S29" i="14"/>
  <c r="S46" i="14" s="1"/>
  <c r="S38" i="14"/>
  <c r="AK28" i="14"/>
  <c r="T29" i="14"/>
  <c r="T46" i="14" s="1"/>
  <c r="AD84" i="19"/>
  <c r="AF84" i="19" s="1"/>
  <c r="AK84" i="19"/>
  <c r="AM84" i="19" s="1"/>
  <c r="V109" i="2"/>
  <c r="X109" i="2" s="1"/>
  <c r="AB67" i="30"/>
  <c r="L110" i="19"/>
  <c r="L111" i="19"/>
  <c r="Z116" i="2"/>
  <c r="AM70" i="19"/>
  <c r="AM77" i="19"/>
  <c r="Z92" i="19"/>
  <c r="DE61" i="30"/>
  <c r="DE66" i="30" s="1"/>
  <c r="M28" i="14"/>
  <c r="M32" i="14"/>
  <c r="DE62" i="30" s="1"/>
  <c r="DK62" i="30"/>
  <c r="DJ62" i="30"/>
  <c r="DJ66" i="30"/>
  <c r="AD98" i="19"/>
  <c r="AF98" i="19" s="1"/>
  <c r="AK98" i="19"/>
  <c r="AM98" i="19" s="1"/>
  <c r="Z96" i="2"/>
  <c r="AF102" i="2"/>
  <c r="S120" i="14"/>
  <c r="S106" i="14"/>
  <c r="S130" i="14" s="1"/>
  <c r="AK105" i="14"/>
  <c r="T106" i="14"/>
  <c r="T130" i="14" s="1"/>
  <c r="W62" i="19"/>
  <c r="L47" i="19"/>
  <c r="V42" i="2"/>
  <c r="X42" i="2" s="1"/>
  <c r="L43" i="19"/>
  <c r="AB21" i="2"/>
  <c r="AD21" i="2" s="1"/>
  <c r="AF21" i="2" s="1"/>
  <c r="AB61" i="19"/>
  <c r="AB56" i="2"/>
  <c r="AD56" i="2" s="1"/>
  <c r="AF56" i="2" s="1"/>
  <c r="AB57" i="19"/>
  <c r="Z110" i="2"/>
  <c r="U35" i="19"/>
  <c r="W35" i="19" s="1"/>
  <c r="N35" i="19"/>
  <c r="P35" i="19" s="1"/>
  <c r="AF75" i="2"/>
  <c r="AF68" i="2"/>
  <c r="V88" i="2"/>
  <c r="X88" i="2" s="1"/>
  <c r="M67" i="30"/>
  <c r="L89" i="19"/>
  <c r="AK83" i="19"/>
  <c r="AM83" i="19" s="1"/>
  <c r="AD83" i="19"/>
  <c r="AF83" i="19" s="1"/>
  <c r="M77" i="14"/>
  <c r="M93" i="14" s="1"/>
  <c r="L117" i="14"/>
  <c r="L96" i="14"/>
  <c r="L92" i="14"/>
  <c r="DG66" i="30"/>
  <c r="DG62" i="30"/>
  <c r="U112" i="19"/>
  <c r="Z118" i="2"/>
  <c r="R38" i="14"/>
  <c r="Z77" i="2"/>
  <c r="Z84" i="2"/>
  <c r="AM105" i="19"/>
  <c r="I29" i="14"/>
  <c r="I38" i="14"/>
  <c r="J39" i="14" s="1"/>
  <c r="AF70" i="2"/>
  <c r="AF77" i="2"/>
  <c r="AF84" i="2"/>
  <c r="AM104" i="19"/>
  <c r="N91" i="19"/>
  <c r="P91" i="19" s="1"/>
  <c r="U91" i="19"/>
  <c r="W91" i="19" s="1"/>
  <c r="U118" i="19"/>
  <c r="N118" i="19"/>
  <c r="P118" i="19" s="1"/>
  <c r="AB55" i="2"/>
  <c r="AD55" i="2" s="1"/>
  <c r="AB18" i="2"/>
  <c r="AD18" i="2" s="1"/>
  <c r="AB19" i="19"/>
  <c r="U49" i="19"/>
  <c r="N49" i="19"/>
  <c r="P49" i="19" s="1"/>
  <c r="L106" i="19"/>
  <c r="N113" i="19" s="1"/>
  <c r="P113" i="19" s="1"/>
  <c r="V105" i="2"/>
  <c r="X105" i="2" s="1"/>
  <c r="Z67" i="30"/>
  <c r="AB119" i="2"/>
  <c r="AD119" i="2" s="1"/>
  <c r="AJ66" i="30"/>
  <c r="AB124" i="19"/>
  <c r="AK82" i="19"/>
  <c r="AD82" i="19"/>
  <c r="AF82" i="19" s="1"/>
  <c r="AB86" i="19"/>
  <c r="AD86" i="19" s="1"/>
  <c r="AF86" i="19" s="1"/>
  <c r="L64" i="19"/>
  <c r="V63" i="2"/>
  <c r="X63" i="2" s="1"/>
  <c r="Z63" i="2" s="1"/>
  <c r="L68" i="19"/>
  <c r="L92" i="19"/>
  <c r="V91" i="2"/>
  <c r="X91" i="2" s="1"/>
  <c r="Z91" i="2" s="1"/>
  <c r="P67" i="30"/>
  <c r="L96" i="19"/>
  <c r="AF63" i="2"/>
  <c r="N28" i="14"/>
  <c r="K18" i="14"/>
  <c r="K15" i="14"/>
  <c r="D28" i="14"/>
  <c r="Z29" i="19"/>
  <c r="D32" i="14"/>
  <c r="E32" i="14"/>
  <c r="E28" i="14"/>
  <c r="D44" i="14"/>
  <c r="D35" i="14"/>
  <c r="E44" i="14"/>
  <c r="M15" i="14"/>
  <c r="M18" i="14"/>
  <c r="N23" i="14"/>
  <c r="J99" i="19"/>
  <c r="DF53" i="30"/>
  <c r="DF67" i="30" s="1"/>
  <c r="I15" i="14"/>
  <c r="I18" i="14"/>
  <c r="J50" i="19"/>
  <c r="G23" i="14"/>
  <c r="H23" i="14"/>
  <c r="W97" i="19"/>
  <c r="L65" i="19"/>
  <c r="U61" i="19"/>
  <c r="W70" i="19"/>
  <c r="W77" i="19"/>
  <c r="F23" i="14"/>
  <c r="C29" i="14"/>
  <c r="C46" i="14" s="1"/>
  <c r="C38" i="14"/>
  <c r="C39" i="14" s="1"/>
  <c r="H29" i="14"/>
  <c r="H46" i="14" s="1"/>
  <c r="H38" i="14"/>
  <c r="H39" i="14" s="1"/>
  <c r="DI66" i="30"/>
  <c r="AM75" i="19"/>
  <c r="L22" i="19"/>
  <c r="V21" i="2"/>
  <c r="X21" i="2" s="1"/>
  <c r="Z21" i="2" s="1"/>
  <c r="L26" i="19"/>
  <c r="AD69" i="19"/>
  <c r="AF69" i="19" s="1"/>
  <c r="AK69" i="19"/>
  <c r="AM69" i="19" s="1"/>
  <c r="L105" i="19"/>
  <c r="V104" i="2"/>
  <c r="X104" i="2" s="1"/>
  <c r="Z104" i="2" s="1"/>
  <c r="Y67" i="30"/>
  <c r="N29" i="19"/>
  <c r="P29" i="19" s="1"/>
  <c r="U29" i="19"/>
  <c r="AM90" i="19"/>
  <c r="N56" i="19"/>
  <c r="P56" i="19" s="1"/>
  <c r="V74" i="2"/>
  <c r="X74" i="2" s="1"/>
  <c r="Z74" i="2" s="1"/>
  <c r="C67" i="30"/>
  <c r="L76" i="19"/>
  <c r="AB105" i="2"/>
  <c r="AD105" i="2" s="1"/>
  <c r="Z66" i="30"/>
  <c r="AB108" i="19"/>
  <c r="AB106" i="19"/>
  <c r="U119" i="19"/>
  <c r="W119" i="19" s="1"/>
  <c r="N119" i="19"/>
  <c r="P119" i="19" s="1"/>
  <c r="AB98" i="2"/>
  <c r="AD98" i="2" s="1"/>
  <c r="U66" i="30"/>
  <c r="AB99" i="19"/>
  <c r="AB103" i="19"/>
  <c r="Z112" i="2"/>
  <c r="U78" i="19"/>
  <c r="N85" i="19"/>
  <c r="P85" i="19" s="1"/>
  <c r="N78" i="19"/>
  <c r="P78" i="19" s="1"/>
  <c r="AD142" i="19"/>
  <c r="AF142" i="19" s="1"/>
  <c r="AD71" i="19"/>
  <c r="AF71" i="19" s="1"/>
  <c r="AK71" i="19"/>
  <c r="AM71" i="19" s="1"/>
  <c r="W125" i="19"/>
  <c r="W69" i="19"/>
  <c r="AD85" i="19"/>
  <c r="AF85" i="19" s="1"/>
  <c r="AK78" i="19"/>
  <c r="AD78" i="19"/>
  <c r="AF78" i="19" s="1"/>
  <c r="AM91" i="19"/>
  <c r="AB20" i="21"/>
  <c r="AD27" i="21" s="1"/>
  <c r="AB21" i="21"/>
  <c r="AD28" i="21" s="1"/>
  <c r="L104" i="19"/>
  <c r="V102" i="2"/>
  <c r="X102" i="2" s="1"/>
  <c r="Z102" i="2" s="1"/>
  <c r="W67" i="30"/>
  <c r="L103" i="19"/>
  <c r="U117" i="19"/>
  <c r="N117" i="19"/>
  <c r="P117" i="19" s="1"/>
  <c r="AK72" i="19"/>
  <c r="DB13" i="30"/>
  <c r="DF35" i="30"/>
  <c r="DF17" i="30"/>
  <c r="DL9" i="30"/>
  <c r="DM44" i="30" s="1"/>
  <c r="G6" i="87"/>
  <c r="DG46" i="30"/>
  <c r="DG36" i="30"/>
  <c r="DO14" i="30"/>
  <c r="J11" i="87"/>
  <c r="DI11" i="30"/>
  <c r="DI13" i="30" s="1"/>
  <c r="D8" i="87"/>
  <c r="K30" i="87"/>
  <c r="K132" i="87"/>
  <c r="K91" i="87"/>
  <c r="K50" i="87"/>
  <c r="K37" i="87"/>
  <c r="N30" i="87"/>
  <c r="N159" i="87" s="1"/>
  <c r="N157" i="87" s="1"/>
  <c r="N50" i="87"/>
  <c r="N91" i="87"/>
  <c r="N37" i="87"/>
  <c r="D127" i="87"/>
  <c r="D10" i="87"/>
  <c r="D86" i="87"/>
  <c r="D35" i="87"/>
  <c r="D45" i="87"/>
  <c r="K45" i="87"/>
  <c r="K35" i="87"/>
  <c r="K10" i="87"/>
  <c r="K127" i="87"/>
  <c r="K86" i="87"/>
  <c r="DO13" i="30"/>
  <c r="DX19" i="30"/>
  <c r="S15" i="87"/>
  <c r="DD35" i="30"/>
  <c r="DD17" i="30"/>
  <c r="DM13" i="30"/>
  <c r="DD36" i="30"/>
  <c r="DD46" i="30"/>
  <c r="N45" i="87"/>
  <c r="N10" i="87"/>
  <c r="N35" i="87"/>
  <c r="N86" i="87"/>
  <c r="D132" i="87"/>
  <c r="D37" i="87"/>
  <c r="D50" i="87"/>
  <c r="D91" i="87"/>
  <c r="D30" i="87"/>
  <c r="DL46" i="30"/>
  <c r="DC46" i="30"/>
  <c r="DC36" i="30"/>
  <c r="L35" i="87"/>
  <c r="L45" i="87"/>
  <c r="L86" i="87"/>
  <c r="L10" i="87"/>
  <c r="E50" i="87"/>
  <c r="E91" i="87"/>
  <c r="E37" i="87"/>
  <c r="E132" i="87"/>
  <c r="DM46" i="30"/>
  <c r="DM36" i="30"/>
  <c r="DJ23" i="30"/>
  <c r="E18" i="87"/>
  <c r="N104" i="87"/>
  <c r="N148" i="87" s="1"/>
  <c r="N146" i="87"/>
  <c r="DP36" i="30"/>
  <c r="DP46" i="30"/>
  <c r="I37" i="87"/>
  <c r="I50" i="87"/>
  <c r="I132" i="87"/>
  <c r="I91" i="87"/>
  <c r="DS46" i="30"/>
  <c r="DS36" i="30"/>
  <c r="C132" i="87"/>
  <c r="C50" i="87"/>
  <c r="C91" i="87"/>
  <c r="C30" i="87"/>
  <c r="M146" i="87"/>
  <c r="M104" i="87"/>
  <c r="M148" i="87" s="1"/>
  <c r="M50" i="87"/>
  <c r="M30" i="87"/>
  <c r="M159" i="87" s="1"/>
  <c r="M157" i="87" s="1"/>
  <c r="M37" i="87"/>
  <c r="M91" i="87"/>
  <c r="DI44" i="30"/>
  <c r="I129" i="87"/>
  <c r="I47" i="87"/>
  <c r="I88" i="87"/>
  <c r="DP44" i="30"/>
  <c r="DP13" i="30"/>
  <c r="F132" i="87"/>
  <c r="F50" i="87"/>
  <c r="F91" i="87"/>
  <c r="F37" i="87"/>
  <c r="F88" i="87"/>
  <c r="F129" i="87"/>
  <c r="F47" i="87"/>
  <c r="DA46" i="30"/>
  <c r="DA36" i="30"/>
  <c r="DC44" i="30"/>
  <c r="DC13" i="30"/>
  <c r="DS44" i="30"/>
  <c r="DS13" i="30"/>
  <c r="J10" i="87"/>
  <c r="J47" i="87"/>
  <c r="J88" i="87"/>
  <c r="J129" i="87"/>
  <c r="DI46" i="30"/>
  <c r="DI36" i="30"/>
  <c r="DA13" i="30"/>
  <c r="E129" i="87"/>
  <c r="E88" i="87"/>
  <c r="E47" i="87"/>
  <c r="E95" i="87"/>
  <c r="E54" i="87"/>
  <c r="E136" i="87"/>
  <c r="DQ13" i="30"/>
  <c r="DQ44" i="30"/>
  <c r="DJ46" i="30"/>
  <c r="DQ64" i="30"/>
  <c r="DT14" i="30"/>
  <c r="O11" i="87"/>
  <c r="DH11" i="30"/>
  <c r="C8" i="87"/>
  <c r="C10" i="87" s="1"/>
  <c r="DF36" i="30"/>
  <c r="DF46" i="30"/>
  <c r="C86" i="87"/>
  <c r="C45" i="87"/>
  <c r="C127" i="87"/>
  <c r="DN46" i="30"/>
  <c r="DH36" i="30"/>
  <c r="DH46" i="30"/>
  <c r="DR46" i="30"/>
  <c r="DR36" i="30"/>
  <c r="R95" i="87"/>
  <c r="R54" i="87"/>
  <c r="R136" i="87"/>
  <c r="DK46" i="30"/>
  <c r="F98" i="87"/>
  <c r="F57" i="87"/>
  <c r="F139" i="87"/>
  <c r="M35" i="87"/>
  <c r="M86" i="87"/>
  <c r="M45" i="87"/>
  <c r="M10" i="87"/>
  <c r="DE46" i="30"/>
  <c r="DE36" i="30"/>
  <c r="L50" i="87"/>
  <c r="L37" i="87"/>
  <c r="L91" i="87"/>
  <c r="L30" i="87"/>
  <c r="L159" i="87" s="1"/>
  <c r="L157" i="87" s="1"/>
  <c r="G98" i="87"/>
  <c r="G57" i="87"/>
  <c r="G139" i="87"/>
  <c r="DU16" i="30"/>
  <c r="P12" i="87" s="1"/>
  <c r="U15" i="87"/>
  <c r="DY19" i="30"/>
  <c r="T15" i="87"/>
  <c r="DH44" i="30"/>
  <c r="DH13" i="30"/>
  <c r="DB46" i="30"/>
  <c r="DB36" i="30"/>
  <c r="M98" i="87"/>
  <c r="M57" i="87"/>
  <c r="DB17" i="30"/>
  <c r="DB35" i="30"/>
  <c r="DG44" i="30"/>
  <c r="DG13" i="30"/>
  <c r="J127" i="87"/>
  <c r="J86" i="87"/>
  <c r="J45" i="87"/>
  <c r="H35" i="87"/>
  <c r="H10" i="87"/>
  <c r="H127" i="87"/>
  <c r="H86" i="87"/>
  <c r="H45" i="87"/>
  <c r="DR13" i="30"/>
  <c r="DR44" i="30"/>
  <c r="L98" i="87"/>
  <c r="L57" i="87"/>
  <c r="DE13" i="30"/>
  <c r="DE44" i="30"/>
  <c r="G30" i="87"/>
  <c r="G50" i="87"/>
  <c r="G37" i="87"/>
  <c r="G132" i="87"/>
  <c r="G91" i="87"/>
  <c r="CZ13" i="30"/>
  <c r="DQ46" i="30"/>
  <c r="DQ36" i="30"/>
  <c r="H37" i="87"/>
  <c r="H50" i="87"/>
  <c r="H30" i="87"/>
  <c r="H91" i="87"/>
  <c r="H132" i="87"/>
  <c r="W205" i="21"/>
  <c r="W212" i="21"/>
  <c r="D50" i="21"/>
  <c r="H50" i="21" s="1"/>
  <c r="AI50" i="21"/>
  <c r="AK50" i="21" s="1"/>
  <c r="D57" i="21"/>
  <c r="H57" i="21" s="1"/>
  <c r="AM29" i="21"/>
  <c r="AM36" i="21"/>
  <c r="AF212" i="21"/>
  <c r="P212" i="21"/>
  <c r="AI382" i="21"/>
  <c r="AK382" i="21" s="1"/>
  <c r="AM389" i="21" s="1"/>
  <c r="D389" i="21"/>
  <c r="H389" i="21" s="1"/>
  <c r="U382" i="21"/>
  <c r="W389" i="21" s="1"/>
  <c r="W29" i="21"/>
  <c r="W36" i="21"/>
  <c r="P205" i="21"/>
  <c r="AF205" i="21"/>
  <c r="D580" i="21"/>
  <c r="H580" i="21" s="1"/>
  <c r="U580" i="21"/>
  <c r="D587" i="21"/>
  <c r="H587" i="21" s="1"/>
  <c r="AF247" i="21"/>
  <c r="P247" i="21"/>
  <c r="W559" i="21"/>
  <c r="AM205" i="21"/>
  <c r="AM212" i="21"/>
  <c r="P559" i="21"/>
  <c r="AF559" i="21"/>
  <c r="AF240" i="21"/>
  <c r="P240" i="21"/>
  <c r="AI191" i="21"/>
  <c r="AK191" i="21" s="1"/>
  <c r="AM198" i="21" s="1"/>
  <c r="U191" i="21"/>
  <c r="W198" i="21" s="1"/>
  <c r="D198" i="21"/>
  <c r="H198" i="21" s="1"/>
  <c r="D403" i="21"/>
  <c r="H403" i="21" s="1"/>
  <c r="U403" i="21"/>
  <c r="D410" i="21"/>
  <c r="H410" i="21" s="1"/>
  <c r="D169" i="87"/>
  <c r="D75" i="87"/>
  <c r="D116" i="87"/>
  <c r="D80" i="87"/>
  <c r="D81" i="87" s="1"/>
  <c r="D121" i="87"/>
  <c r="D122" i="87" s="1"/>
  <c r="D177" i="87"/>
  <c r="D178" i="87" s="1"/>
  <c r="DP68" i="30"/>
  <c r="DQ68" i="30"/>
  <c r="DS68" i="30"/>
  <c r="DR68" i="30"/>
  <c r="Z35" i="19"/>
  <c r="Z47" i="19"/>
  <c r="AB48" i="19" s="1"/>
  <c r="Z33" i="19"/>
  <c r="Z112" i="19"/>
  <c r="Z110" i="19"/>
  <c r="Z21" i="19"/>
  <c r="AB20" i="2" s="1"/>
  <c r="AD20" i="2" s="1"/>
  <c r="E18" i="14"/>
  <c r="Z20" i="19"/>
  <c r="Z41" i="19"/>
  <c r="Z28" i="19"/>
  <c r="Z113" i="19"/>
  <c r="Z55" i="19"/>
  <c r="AB54" i="2" s="1"/>
  <c r="AD54" i="2" s="1"/>
  <c r="Z26" i="19"/>
  <c r="Z27" i="19"/>
  <c r="Z34" i="19"/>
  <c r="AB33" i="2" s="1"/>
  <c r="AD33" i="2" s="1"/>
  <c r="G18" i="14"/>
  <c r="G19" i="14" s="1"/>
  <c r="H18" i="14"/>
  <c r="Z54" i="19"/>
  <c r="DQ29" i="30"/>
  <c r="P92" i="87" l="1"/>
  <c r="P106" i="87" s="1"/>
  <c r="P51" i="87"/>
  <c r="P65" i="87" s="1"/>
  <c r="AF105" i="2"/>
  <c r="AK48" i="19"/>
  <c r="AB55" i="19"/>
  <c r="AB53" i="2"/>
  <c r="AD53" i="2" s="1"/>
  <c r="AB54" i="19"/>
  <c r="AF54" i="2"/>
  <c r="AF61" i="2"/>
  <c r="AB25" i="2"/>
  <c r="AD25" i="2" s="1"/>
  <c r="AF25" i="2" s="1"/>
  <c r="AB26" i="19"/>
  <c r="AM85" i="19"/>
  <c r="AM78" i="19"/>
  <c r="AK99" i="19"/>
  <c r="E29" i="14"/>
  <c r="E46" i="14" s="1"/>
  <c r="E38" i="14"/>
  <c r="F29" i="14"/>
  <c r="F46" i="14" s="1"/>
  <c r="D29" i="14"/>
  <c r="D46" i="14" s="1"/>
  <c r="D38" i="14"/>
  <c r="D39" i="14" s="1"/>
  <c r="N92" i="19"/>
  <c r="P92" i="19" s="1"/>
  <c r="U92" i="19"/>
  <c r="W92" i="19" s="1"/>
  <c r="AK19" i="19"/>
  <c r="AD19" i="19"/>
  <c r="AF19" i="19" s="1"/>
  <c r="AD57" i="19"/>
  <c r="AF57" i="19" s="1"/>
  <c r="AK57" i="19"/>
  <c r="AB22" i="19"/>
  <c r="S121" i="14"/>
  <c r="AK120" i="14"/>
  <c r="T121" i="14"/>
  <c r="M29" i="14"/>
  <c r="M46" i="14" s="1"/>
  <c r="M38" i="14"/>
  <c r="M39" i="14" s="1"/>
  <c r="S39" i="14"/>
  <c r="AK38" i="14"/>
  <c r="T39" i="14"/>
  <c r="N20" i="19"/>
  <c r="P20" i="19" s="1"/>
  <c r="U20" i="19"/>
  <c r="W27" i="19" s="1"/>
  <c r="N27" i="19"/>
  <c r="P27" i="19" s="1"/>
  <c r="L23" i="19"/>
  <c r="N23" i="19" s="1"/>
  <c r="P23" i="19" s="1"/>
  <c r="Z40" i="2"/>
  <c r="Z47" i="2"/>
  <c r="N71" i="19"/>
  <c r="P71" i="19" s="1"/>
  <c r="U71" i="19"/>
  <c r="AB40" i="2"/>
  <c r="AD40" i="2" s="1"/>
  <c r="AF40" i="2" s="1"/>
  <c r="AB12" i="2"/>
  <c r="AD12" i="2" s="1"/>
  <c r="Q20" i="14"/>
  <c r="AB46" i="2"/>
  <c r="AD46" i="2" s="1"/>
  <c r="AB47" i="19"/>
  <c r="N104" i="19"/>
  <c r="P104" i="19" s="1"/>
  <c r="U104" i="19"/>
  <c r="W104" i="19" s="1"/>
  <c r="W85" i="19"/>
  <c r="W78" i="19"/>
  <c r="AD106" i="19"/>
  <c r="AF106" i="19" s="1"/>
  <c r="AK106" i="19"/>
  <c r="AM106" i="19" s="1"/>
  <c r="N76" i="19"/>
  <c r="P76" i="19" s="1"/>
  <c r="U76" i="19"/>
  <c r="W76" i="19" s="1"/>
  <c r="N33" i="19"/>
  <c r="P33" i="19" s="1"/>
  <c r="N26" i="19"/>
  <c r="P26" i="19" s="1"/>
  <c r="L30" i="19"/>
  <c r="N30" i="19" s="1"/>
  <c r="P30" i="19" s="1"/>
  <c r="U26" i="19"/>
  <c r="AK79" i="19"/>
  <c r="AM79" i="19" s="1"/>
  <c r="L50" i="19"/>
  <c r="V49" i="2"/>
  <c r="X49" i="2" s="1"/>
  <c r="L54" i="19"/>
  <c r="L99" i="19"/>
  <c r="N106" i="19" s="1"/>
  <c r="P106" i="19" s="1"/>
  <c r="V98" i="2"/>
  <c r="X98" i="2" s="1"/>
  <c r="Z98" i="2" s="1"/>
  <c r="U67" i="30"/>
  <c r="N96" i="19"/>
  <c r="P96" i="19" s="1"/>
  <c r="L100" i="19"/>
  <c r="U96" i="19"/>
  <c r="N75" i="19"/>
  <c r="P75" i="19" s="1"/>
  <c r="U68" i="19"/>
  <c r="N68" i="19"/>
  <c r="P68" i="19" s="1"/>
  <c r="L72" i="19"/>
  <c r="N72" i="19" s="1"/>
  <c r="P72" i="19" s="1"/>
  <c r="U106" i="19"/>
  <c r="Z88" i="2"/>
  <c r="Z95" i="2"/>
  <c r="U43" i="19"/>
  <c r="Z109" i="2"/>
  <c r="Z40" i="19"/>
  <c r="Z81" i="2"/>
  <c r="AD64" i="19"/>
  <c r="AF64" i="19" s="1"/>
  <c r="W98" i="19"/>
  <c r="AF47" i="2"/>
  <c r="Z42" i="19"/>
  <c r="W113" i="19"/>
  <c r="Z70" i="2"/>
  <c r="AB27" i="2"/>
  <c r="AD27" i="2" s="1"/>
  <c r="AF27" i="2" s="1"/>
  <c r="AB28" i="19"/>
  <c r="AB21" i="19"/>
  <c r="AB19" i="2"/>
  <c r="AD19" i="2" s="1"/>
  <c r="AB20" i="19"/>
  <c r="AB109" i="2"/>
  <c r="AD109" i="2" s="1"/>
  <c r="AF109" i="2" s="1"/>
  <c r="AB66" i="30"/>
  <c r="AB110" i="19"/>
  <c r="U103" i="19"/>
  <c r="L107" i="19"/>
  <c r="N107" i="19" s="1"/>
  <c r="P107" i="19" s="1"/>
  <c r="N103" i="19"/>
  <c r="P103" i="19" s="1"/>
  <c r="N105" i="19"/>
  <c r="P105" i="19" s="1"/>
  <c r="U105" i="19"/>
  <c r="W105" i="19" s="1"/>
  <c r="D36" i="14"/>
  <c r="E36" i="14"/>
  <c r="AM89" i="19"/>
  <c r="AM82" i="19"/>
  <c r="AK86" i="19"/>
  <c r="AM86" i="19" s="1"/>
  <c r="AF126" i="2"/>
  <c r="AB56" i="19"/>
  <c r="M96" i="14"/>
  <c r="M92" i="14"/>
  <c r="N77" i="14"/>
  <c r="N93" i="14" s="1"/>
  <c r="M117" i="14"/>
  <c r="Z28" i="2"/>
  <c r="AB65" i="19"/>
  <c r="AK61" i="19"/>
  <c r="AD68" i="19"/>
  <c r="AF68" i="19" s="1"/>
  <c r="AM76" i="19"/>
  <c r="Z111" i="2"/>
  <c r="AB91" i="2"/>
  <c r="AD91" i="2" s="1"/>
  <c r="P66" i="30"/>
  <c r="AB92" i="19"/>
  <c r="AB96" i="19"/>
  <c r="U111" i="19"/>
  <c r="W111" i="19" s="1"/>
  <c r="N111" i="19"/>
  <c r="P111" i="19" s="1"/>
  <c r="N83" i="19"/>
  <c r="P83" i="19" s="1"/>
  <c r="U83" i="19"/>
  <c r="N21" i="19"/>
  <c r="P21" i="19" s="1"/>
  <c r="U21" i="19"/>
  <c r="N28" i="19"/>
  <c r="P28" i="19" s="1"/>
  <c r="U41" i="19"/>
  <c r="N41" i="19"/>
  <c r="P41" i="19" s="1"/>
  <c r="N48" i="19"/>
  <c r="P48" i="19" s="1"/>
  <c r="O18" i="14"/>
  <c r="O15" i="14"/>
  <c r="AK49" i="19"/>
  <c r="U75" i="19"/>
  <c r="L79" i="19"/>
  <c r="N79" i="19" s="1"/>
  <c r="P79" i="19" s="1"/>
  <c r="G21" i="14"/>
  <c r="H14" i="14"/>
  <c r="H19" i="14" s="1"/>
  <c r="G44" i="14"/>
  <c r="G35" i="14"/>
  <c r="G36" i="14" s="1"/>
  <c r="AB26" i="2"/>
  <c r="AD26" i="2" s="1"/>
  <c r="AF26" i="2" s="1"/>
  <c r="AB27" i="19"/>
  <c r="AB113" i="19"/>
  <c r="AB112" i="2"/>
  <c r="AD112" i="2" s="1"/>
  <c r="AF112" i="2" s="1"/>
  <c r="AE66" i="30"/>
  <c r="AB115" i="19"/>
  <c r="AB111" i="2"/>
  <c r="AD111" i="2" s="1"/>
  <c r="AF111" i="2" s="1"/>
  <c r="AD66" i="30"/>
  <c r="AB34" i="19"/>
  <c r="AB32" i="2"/>
  <c r="AD32" i="2" s="1"/>
  <c r="AF32" i="2" s="1"/>
  <c r="AB33" i="19"/>
  <c r="N15" i="14"/>
  <c r="N18" i="14"/>
  <c r="AB34" i="2"/>
  <c r="AD34" i="2" s="1"/>
  <c r="AF34" i="2" s="1"/>
  <c r="AB36" i="19"/>
  <c r="AB35" i="19"/>
  <c r="AD103" i="19"/>
  <c r="AF103" i="19" s="1"/>
  <c r="AB107" i="19"/>
  <c r="AK103" i="19"/>
  <c r="U22" i="19"/>
  <c r="W22" i="19" s="1"/>
  <c r="N22" i="19"/>
  <c r="P22" i="19" s="1"/>
  <c r="AB29" i="19"/>
  <c r="AB28" i="2"/>
  <c r="AD28" i="2" s="1"/>
  <c r="N38" i="14"/>
  <c r="N39" i="14" s="1"/>
  <c r="N29" i="14"/>
  <c r="N46" i="14" s="1"/>
  <c r="N64" i="19"/>
  <c r="P64" i="19" s="1"/>
  <c r="U64" i="19"/>
  <c r="W64" i="19" s="1"/>
  <c r="AD131" i="19"/>
  <c r="AF131" i="19" s="1"/>
  <c r="AK124" i="19"/>
  <c r="AB128" i="19"/>
  <c r="AF55" i="2"/>
  <c r="AF62" i="2"/>
  <c r="I39" i="14"/>
  <c r="N112" i="19"/>
  <c r="P112" i="19" s="1"/>
  <c r="L95" i="14"/>
  <c r="J49" i="21"/>
  <c r="L115" i="14"/>
  <c r="L116" i="14" s="1"/>
  <c r="L128" i="14"/>
  <c r="M76" i="14"/>
  <c r="W56" i="19"/>
  <c r="U89" i="19"/>
  <c r="L93" i="19"/>
  <c r="N89" i="19"/>
  <c r="P89" i="19" s="1"/>
  <c r="W126" i="19"/>
  <c r="U47" i="19"/>
  <c r="L51" i="19"/>
  <c r="U110" i="19"/>
  <c r="W117" i="19" s="1"/>
  <c r="N110" i="19"/>
  <c r="P110" i="19" s="1"/>
  <c r="L114" i="19"/>
  <c r="N114" i="19" s="1"/>
  <c r="P114" i="19" s="1"/>
  <c r="U82" i="19"/>
  <c r="N82" i="19"/>
  <c r="P82" i="19" s="1"/>
  <c r="L86" i="19"/>
  <c r="Z19" i="2"/>
  <c r="Z26" i="2"/>
  <c r="N42" i="19"/>
  <c r="P42" i="19" s="1"/>
  <c r="U42" i="19"/>
  <c r="W42" i="19" s="1"/>
  <c r="W90" i="19"/>
  <c r="V35" i="2"/>
  <c r="X35" i="2" s="1"/>
  <c r="Z35" i="2" s="1"/>
  <c r="L36" i="19"/>
  <c r="N43" i="19" s="1"/>
  <c r="P43" i="19" s="1"/>
  <c r="L40" i="19"/>
  <c r="AM142" i="19"/>
  <c r="O29" i="14"/>
  <c r="O46" i="14" s="1"/>
  <c r="DL36" i="30"/>
  <c r="C29" i="87"/>
  <c r="C13" i="87"/>
  <c r="DV16" i="30"/>
  <c r="Q12" i="87" s="1"/>
  <c r="DN9" i="30"/>
  <c r="I6" i="87"/>
  <c r="H117" i="87"/>
  <c r="H110" i="87"/>
  <c r="G173" i="87"/>
  <c r="H13" i="87"/>
  <c r="H29" i="87"/>
  <c r="J90" i="87"/>
  <c r="DH35" i="30"/>
  <c r="DH17" i="30"/>
  <c r="M49" i="87"/>
  <c r="M74" i="87"/>
  <c r="DT46" i="30"/>
  <c r="DU46" i="30"/>
  <c r="DC35" i="30"/>
  <c r="DC17" i="30"/>
  <c r="DD47" i="30" s="1"/>
  <c r="F173" i="87"/>
  <c r="M110" i="87"/>
  <c r="M160" i="87" s="1"/>
  <c r="M117" i="87"/>
  <c r="C110" i="87"/>
  <c r="I76" i="87"/>
  <c r="L13" i="87"/>
  <c r="L29" i="87"/>
  <c r="L155" i="87" s="1"/>
  <c r="L153" i="87" s="1"/>
  <c r="D117" i="87"/>
  <c r="D110" i="87"/>
  <c r="N115" i="87"/>
  <c r="N90" i="87"/>
  <c r="DD21" i="30"/>
  <c r="DD37" i="30"/>
  <c r="DD32" i="30"/>
  <c r="S54" i="87"/>
  <c r="S136" i="87"/>
  <c r="S95" i="87"/>
  <c r="K115" i="87"/>
  <c r="K90" i="87"/>
  <c r="K49" i="87"/>
  <c r="K74" i="87"/>
  <c r="N76" i="87"/>
  <c r="N69" i="87"/>
  <c r="N158" i="87" s="1"/>
  <c r="K110" i="87"/>
  <c r="J30" i="87"/>
  <c r="J91" i="87"/>
  <c r="K117" i="87" s="1"/>
  <c r="J132" i="87"/>
  <c r="J50" i="87"/>
  <c r="J37" i="87"/>
  <c r="G86" i="87"/>
  <c r="G10" i="87"/>
  <c r="G127" i="87"/>
  <c r="H168" i="87" s="1"/>
  <c r="G45" i="87"/>
  <c r="H74" i="87" s="1"/>
  <c r="BR56" i="30"/>
  <c r="DE35" i="30"/>
  <c r="DE17" i="30"/>
  <c r="H49" i="87"/>
  <c r="H177" i="87"/>
  <c r="H178" i="87" s="1"/>
  <c r="H80" i="87"/>
  <c r="H81" i="87" s="1"/>
  <c r="H121" i="87"/>
  <c r="H122" i="87" s="1"/>
  <c r="J131" i="87"/>
  <c r="U136" i="87"/>
  <c r="U95" i="87"/>
  <c r="U54" i="87"/>
  <c r="L117" i="87"/>
  <c r="L110" i="87"/>
  <c r="L160" i="87" s="1"/>
  <c r="M115" i="87"/>
  <c r="M90" i="87"/>
  <c r="C88" i="87"/>
  <c r="C90" i="87" s="1"/>
  <c r="C47" i="87"/>
  <c r="C49" i="87" s="1"/>
  <c r="C129" i="87"/>
  <c r="C131" i="87" s="1"/>
  <c r="DA35" i="30"/>
  <c r="DA17" i="30"/>
  <c r="DB47" i="30" s="1"/>
  <c r="J29" i="87"/>
  <c r="J13" i="87"/>
  <c r="C69" i="87"/>
  <c r="I117" i="87"/>
  <c r="L115" i="87"/>
  <c r="L90" i="87"/>
  <c r="D69" i="87"/>
  <c r="D76" i="87"/>
  <c r="N121" i="87"/>
  <c r="N80" i="87"/>
  <c r="N81" i="87" s="1"/>
  <c r="N179" i="87" s="1"/>
  <c r="N177" i="87"/>
  <c r="K131" i="87"/>
  <c r="K168" i="87"/>
  <c r="D115" i="87"/>
  <c r="K157" i="87"/>
  <c r="K173" i="87"/>
  <c r="DO46" i="30"/>
  <c r="DO36" i="30"/>
  <c r="DL13" i="30"/>
  <c r="H69" i="87"/>
  <c r="H76" i="87"/>
  <c r="CZ17" i="30"/>
  <c r="CZ35" i="30"/>
  <c r="G76" i="87"/>
  <c r="H115" i="87"/>
  <c r="H90" i="87"/>
  <c r="DB37" i="30"/>
  <c r="DB32" i="30"/>
  <c r="DB21" i="30"/>
  <c r="P133" i="87"/>
  <c r="M177" i="87"/>
  <c r="M80" i="87"/>
  <c r="M81" i="87" s="1"/>
  <c r="M179" i="87" s="1"/>
  <c r="M121" i="87"/>
  <c r="DQ35" i="30"/>
  <c r="DQ17" i="30"/>
  <c r="DS35" i="30"/>
  <c r="DS17" i="30"/>
  <c r="F117" i="87"/>
  <c r="DP35" i="30"/>
  <c r="DP17" i="30"/>
  <c r="C157" i="87"/>
  <c r="I173" i="87"/>
  <c r="E117" i="87"/>
  <c r="L74" i="87"/>
  <c r="L49" i="87"/>
  <c r="N13" i="87"/>
  <c r="N29" i="87"/>
  <c r="N155" i="87" s="1"/>
  <c r="N153" i="87" s="1"/>
  <c r="DO17" i="30"/>
  <c r="DO35" i="30"/>
  <c r="K13" i="87"/>
  <c r="K29" i="87"/>
  <c r="D13" i="87"/>
  <c r="D29" i="87"/>
  <c r="D129" i="87"/>
  <c r="D131" i="87" s="1"/>
  <c r="D47" i="87"/>
  <c r="D49" i="87" s="1"/>
  <c r="D88" i="87"/>
  <c r="D90" i="87" s="1"/>
  <c r="DF32" i="30"/>
  <c r="DF21" i="30"/>
  <c r="DF47" i="30"/>
  <c r="DF37" i="30"/>
  <c r="DK9" i="30"/>
  <c r="F6" i="87"/>
  <c r="DJ9" i="30"/>
  <c r="E6" i="87"/>
  <c r="H173" i="87"/>
  <c r="H157" i="87"/>
  <c r="G117" i="87"/>
  <c r="G110" i="87"/>
  <c r="DR35" i="30"/>
  <c r="DR17" i="30"/>
  <c r="H131" i="87"/>
  <c r="J49" i="87"/>
  <c r="DG35" i="30"/>
  <c r="DG17" i="30"/>
  <c r="T136" i="87"/>
  <c r="T95" i="87"/>
  <c r="T54" i="87"/>
  <c r="L76" i="87"/>
  <c r="L69" i="87"/>
  <c r="L158" i="87" s="1"/>
  <c r="M13" i="87"/>
  <c r="M29" i="87"/>
  <c r="M155" i="87" s="1"/>
  <c r="M153" i="87" s="1"/>
  <c r="O37" i="87"/>
  <c r="O50" i="87"/>
  <c r="O91" i="87"/>
  <c r="P37" i="87"/>
  <c r="F76" i="87"/>
  <c r="M76" i="87"/>
  <c r="M69" i="87"/>
  <c r="M158" i="87" s="1"/>
  <c r="E57" i="87"/>
  <c r="E139" i="87"/>
  <c r="E98" i="87"/>
  <c r="E173" i="87"/>
  <c r="E76" i="87"/>
  <c r="L121" i="87"/>
  <c r="L80" i="87"/>
  <c r="L81" i="87" s="1"/>
  <c r="L179" i="87" s="1"/>
  <c r="L177" i="87"/>
  <c r="D173" i="87"/>
  <c r="D157" i="87"/>
  <c r="N49" i="87"/>
  <c r="N74" i="87"/>
  <c r="DM17" i="30"/>
  <c r="DM35" i="30"/>
  <c r="K80" i="87"/>
  <c r="K81" i="87" s="1"/>
  <c r="K121" i="87"/>
  <c r="K122" i="87" s="1"/>
  <c r="K177" i="87"/>
  <c r="K178" i="87" s="1"/>
  <c r="D74" i="87"/>
  <c r="D168" i="87"/>
  <c r="N110" i="87"/>
  <c r="N160" i="87" s="1"/>
  <c r="N117" i="87"/>
  <c r="K69" i="87"/>
  <c r="K76" i="87"/>
  <c r="DI35" i="30"/>
  <c r="DI17" i="30"/>
  <c r="AF403" i="21"/>
  <c r="P403" i="21"/>
  <c r="AM50" i="21"/>
  <c r="AM57" i="21"/>
  <c r="P198" i="21"/>
  <c r="AF198" i="21"/>
  <c r="P587" i="21"/>
  <c r="AF587" i="21"/>
  <c r="P389" i="21"/>
  <c r="AF389" i="21"/>
  <c r="AF50" i="21"/>
  <c r="AF410" i="21"/>
  <c r="P410" i="21"/>
  <c r="W580" i="21"/>
  <c r="W587" i="21"/>
  <c r="W410" i="21"/>
  <c r="W403" i="21"/>
  <c r="AF580" i="21"/>
  <c r="P580" i="21"/>
  <c r="AF57" i="21"/>
  <c r="DF64" i="30"/>
  <c r="J95" i="21"/>
  <c r="L95" i="21" s="1"/>
  <c r="DM64" i="30"/>
  <c r="Z111" i="19"/>
  <c r="R20" i="14"/>
  <c r="DJ53" i="30" s="1"/>
  <c r="DJ67" i="30" s="1"/>
  <c r="DG64" i="30"/>
  <c r="P31" i="14"/>
  <c r="DJ64" i="30"/>
  <c r="DC29" i="30"/>
  <c r="DO29" i="30"/>
  <c r="Z42" i="2" l="1"/>
  <c r="Z105" i="2"/>
  <c r="AF19" i="2"/>
  <c r="L53" i="21"/>
  <c r="L49" i="21"/>
  <c r="AB41" i="19"/>
  <c r="AB39" i="2"/>
  <c r="AD39" i="2" s="1"/>
  <c r="AF39" i="2" s="1"/>
  <c r="AB11" i="2"/>
  <c r="AD11" i="2" s="1"/>
  <c r="AF18" i="2" s="1"/>
  <c r="AB40" i="19"/>
  <c r="W33" i="19"/>
  <c r="W26" i="19"/>
  <c r="U30" i="19"/>
  <c r="AB112" i="19"/>
  <c r="AB110" i="2"/>
  <c r="AD110" i="2" s="1"/>
  <c r="AF110" i="2" s="1"/>
  <c r="AC66" i="30"/>
  <c r="AB111" i="19"/>
  <c r="N86" i="19"/>
  <c r="P86" i="19" s="1"/>
  <c r="W89" i="19"/>
  <c r="U93" i="19"/>
  <c r="AD135" i="19"/>
  <c r="AF135" i="19" s="1"/>
  <c r="AF28" i="2"/>
  <c r="AF35" i="2"/>
  <c r="AK107" i="19"/>
  <c r="AD34" i="19"/>
  <c r="AF34" i="19" s="1"/>
  <c r="AK34" i="19"/>
  <c r="G25" i="14"/>
  <c r="G26" i="14" s="1"/>
  <c r="G22" i="14"/>
  <c r="O39" i="14"/>
  <c r="AD92" i="19"/>
  <c r="AF92" i="19" s="1"/>
  <c r="AK92" i="19"/>
  <c r="AB93" i="19"/>
  <c r="AD93" i="19" s="1"/>
  <c r="AF93" i="19" s="1"/>
  <c r="AD72" i="19"/>
  <c r="AF72" i="19" s="1"/>
  <c r="DE54" i="30"/>
  <c r="M95" i="14"/>
  <c r="M115" i="14"/>
  <c r="M116" i="14" s="1"/>
  <c r="N76" i="14"/>
  <c r="M128" i="14"/>
  <c r="J56" i="21"/>
  <c r="AF119" i="2"/>
  <c r="W29" i="19"/>
  <c r="AD110" i="19"/>
  <c r="AF110" i="19" s="1"/>
  <c r="AK110" i="19"/>
  <c r="AF33" i="2"/>
  <c r="U72" i="19"/>
  <c r="W68" i="19"/>
  <c r="U54" i="19"/>
  <c r="N54" i="19"/>
  <c r="P54" i="19" s="1"/>
  <c r="L58" i="19"/>
  <c r="N61" i="19"/>
  <c r="P61" i="19" s="1"/>
  <c r="AK47" i="19"/>
  <c r="AB51" i="19"/>
  <c r="AM64" i="19"/>
  <c r="AM57" i="19"/>
  <c r="AM19" i="19"/>
  <c r="AD99" i="19"/>
  <c r="AF99" i="19" s="1"/>
  <c r="AF53" i="2"/>
  <c r="AF60" i="2"/>
  <c r="P28" i="14"/>
  <c r="DH61" i="30"/>
  <c r="P32" i="14"/>
  <c r="Q32" i="14"/>
  <c r="Q28" i="14"/>
  <c r="AK35" i="19"/>
  <c r="AD35" i="19"/>
  <c r="AF35" i="19" s="1"/>
  <c r="U23" i="19"/>
  <c r="W23" i="19" s="1"/>
  <c r="W28" i="19"/>
  <c r="AK21" i="19"/>
  <c r="AM21" i="19" s="1"/>
  <c r="AD21" i="19"/>
  <c r="AF21" i="19" s="1"/>
  <c r="Z49" i="2"/>
  <c r="Z56" i="2"/>
  <c r="AK55" i="19"/>
  <c r="AM62" i="19" s="1"/>
  <c r="AD55" i="19"/>
  <c r="AF55" i="19" s="1"/>
  <c r="AD62" i="19"/>
  <c r="AF62" i="19" s="1"/>
  <c r="U40" i="19"/>
  <c r="L44" i="19"/>
  <c r="N40" i="19"/>
  <c r="P40" i="19" s="1"/>
  <c r="W82" i="19"/>
  <c r="U86" i="19"/>
  <c r="N51" i="19"/>
  <c r="P51" i="19" s="1"/>
  <c r="L98" i="14"/>
  <c r="L100" i="14"/>
  <c r="L101" i="14" s="1"/>
  <c r="AD36" i="19"/>
  <c r="AF36" i="19" s="1"/>
  <c r="AK36" i="19"/>
  <c r="AB37" i="19"/>
  <c r="AK33" i="19"/>
  <c r="AD33" i="19"/>
  <c r="AF33" i="19" s="1"/>
  <c r="AD113" i="19"/>
  <c r="AF113" i="19" s="1"/>
  <c r="AK113" i="19"/>
  <c r="AM113" i="19" s="1"/>
  <c r="U79" i="19"/>
  <c r="W79" i="19" s="1"/>
  <c r="W75" i="19"/>
  <c r="AF98" i="2"/>
  <c r="AF91" i="2"/>
  <c r="AD56" i="19"/>
  <c r="AF56" i="19" s="1"/>
  <c r="AK56" i="19"/>
  <c r="AD63" i="19"/>
  <c r="AF63" i="19" s="1"/>
  <c r="AD28" i="19"/>
  <c r="AF28" i="19" s="1"/>
  <c r="AK28" i="19"/>
  <c r="AM28" i="19" s="1"/>
  <c r="W118" i="19"/>
  <c r="W96" i="19"/>
  <c r="U50" i="19"/>
  <c r="N50" i="19"/>
  <c r="P50" i="19" s="1"/>
  <c r="N57" i="19"/>
  <c r="P57" i="19" s="1"/>
  <c r="W112" i="19"/>
  <c r="U65" i="19"/>
  <c r="AM55" i="19"/>
  <c r="U114" i="19"/>
  <c r="W110" i="19"/>
  <c r="AM131" i="19"/>
  <c r="AK128" i="19"/>
  <c r="AD29" i="19"/>
  <c r="AF29" i="19" s="1"/>
  <c r="AK29" i="19"/>
  <c r="U95" i="21"/>
  <c r="L37" i="19"/>
  <c r="N37" i="19" s="1"/>
  <c r="P37" i="19" s="1"/>
  <c r="N36" i="19"/>
  <c r="P36" i="19" s="1"/>
  <c r="U36" i="19"/>
  <c r="N47" i="19"/>
  <c r="P47" i="19" s="1"/>
  <c r="N93" i="19"/>
  <c r="P93" i="19" s="1"/>
  <c r="W49" i="19"/>
  <c r="AD27" i="19"/>
  <c r="AF27" i="19" s="1"/>
  <c r="AK27" i="19"/>
  <c r="H21" i="14"/>
  <c r="I14" i="14"/>
  <c r="I19" i="14" s="1"/>
  <c r="H35" i="14"/>
  <c r="H36" i="14" s="1"/>
  <c r="H44" i="14"/>
  <c r="W41" i="19"/>
  <c r="W48" i="19"/>
  <c r="W83" i="19"/>
  <c r="AD96" i="19"/>
  <c r="AF96" i="19" s="1"/>
  <c r="AK96" i="19"/>
  <c r="AB100" i="19"/>
  <c r="AD100" i="19" s="1"/>
  <c r="AF100" i="19" s="1"/>
  <c r="AK65" i="19"/>
  <c r="AM68" i="19"/>
  <c r="O77" i="14"/>
  <c r="O93" i="14" s="1"/>
  <c r="N117" i="14"/>
  <c r="N96" i="14"/>
  <c r="N92" i="14"/>
  <c r="U107" i="19"/>
  <c r="W103" i="19"/>
  <c r="AD20" i="19"/>
  <c r="AF20" i="19" s="1"/>
  <c r="AK20" i="19"/>
  <c r="AM20" i="19" s="1"/>
  <c r="AB43" i="19"/>
  <c r="AB13" i="2"/>
  <c r="AD13" i="2" s="1"/>
  <c r="AF20" i="2" s="1"/>
  <c r="AB41" i="2"/>
  <c r="AD41" i="2" s="1"/>
  <c r="AB42" i="19"/>
  <c r="N100" i="19"/>
  <c r="P100" i="19" s="1"/>
  <c r="U99" i="19"/>
  <c r="W99" i="19" s="1"/>
  <c r="N99" i="19"/>
  <c r="P99" i="19" s="1"/>
  <c r="DI53" i="30"/>
  <c r="DI67" i="30" s="1"/>
  <c r="J120" i="19"/>
  <c r="W71" i="19"/>
  <c r="AD22" i="19"/>
  <c r="AF22" i="19" s="1"/>
  <c r="AK22" i="19"/>
  <c r="AM22" i="19" s="1"/>
  <c r="AB23" i="19"/>
  <c r="AD23" i="19" s="1"/>
  <c r="AF23" i="19" s="1"/>
  <c r="E39" i="14"/>
  <c r="F39" i="14"/>
  <c r="AM99" i="19"/>
  <c r="AK26" i="19"/>
  <c r="AB30" i="19"/>
  <c r="AD30" i="19" s="1"/>
  <c r="AF30" i="19" s="1"/>
  <c r="AD26" i="19"/>
  <c r="AF26" i="19" s="1"/>
  <c r="AD61" i="19"/>
  <c r="AF61" i="19" s="1"/>
  <c r="AK54" i="19"/>
  <c r="AB58" i="19"/>
  <c r="AD58" i="19" s="1"/>
  <c r="AF58" i="19" s="1"/>
  <c r="AD54" i="19"/>
  <c r="AF54" i="19" s="1"/>
  <c r="G69" i="87"/>
  <c r="C93" i="87"/>
  <c r="C109" i="87"/>
  <c r="D68" i="87"/>
  <c r="D52" i="87"/>
  <c r="CJ56" i="30"/>
  <c r="D153" i="87"/>
  <c r="D134" i="87"/>
  <c r="DM37" i="30"/>
  <c r="DM32" i="30"/>
  <c r="DM21" i="30"/>
  <c r="DR32" i="30"/>
  <c r="DR47" i="30"/>
  <c r="DR21" i="30"/>
  <c r="DR37" i="30"/>
  <c r="F10" i="87"/>
  <c r="F35" i="87"/>
  <c r="F127" i="87"/>
  <c r="F86" i="87"/>
  <c r="G115" i="87" s="1"/>
  <c r="F45" i="87"/>
  <c r="F30" i="87"/>
  <c r="DF25" i="30"/>
  <c r="DF38" i="30"/>
  <c r="DF39" i="30"/>
  <c r="K31" i="87"/>
  <c r="K38" i="87"/>
  <c r="K26" i="87"/>
  <c r="K16" i="87"/>
  <c r="N16" i="87"/>
  <c r="N26" i="87"/>
  <c r="N31" i="87"/>
  <c r="N38" i="87"/>
  <c r="DP21" i="30"/>
  <c r="DP47" i="30"/>
  <c r="DP37" i="30"/>
  <c r="DP32" i="30"/>
  <c r="DS21" i="30"/>
  <c r="DS47" i="30"/>
  <c r="DS37" i="30"/>
  <c r="DS32" i="30"/>
  <c r="L109" i="87"/>
  <c r="L156" i="87" s="1"/>
  <c r="L93" i="87"/>
  <c r="C52" i="87"/>
  <c r="C68" i="87"/>
  <c r="G131" i="87"/>
  <c r="G168" i="87"/>
  <c r="DD41" i="30"/>
  <c r="N109" i="87"/>
  <c r="N156" i="87" s="1"/>
  <c r="N93" i="87"/>
  <c r="H26" i="87"/>
  <c r="H31" i="87"/>
  <c r="H16" i="87"/>
  <c r="Q92" i="87"/>
  <c r="Q51" i="87"/>
  <c r="Q133" i="87"/>
  <c r="BV56" i="30"/>
  <c r="BW56" i="30"/>
  <c r="BX56" i="30"/>
  <c r="CE56" i="30"/>
  <c r="BS56" i="30"/>
  <c r="O117" i="87"/>
  <c r="C153" i="87"/>
  <c r="C134" i="87"/>
  <c r="J52" i="87"/>
  <c r="J68" i="87"/>
  <c r="DK44" i="30"/>
  <c r="DK13" i="30"/>
  <c r="DK36" i="30"/>
  <c r="DF41" i="30"/>
  <c r="L68" i="87"/>
  <c r="L154" i="87" s="1"/>
  <c r="L52" i="87"/>
  <c r="H109" i="87"/>
  <c r="H93" i="87"/>
  <c r="DL17" i="30"/>
  <c r="DM47" i="30" s="1"/>
  <c r="DL35" i="30"/>
  <c r="N180" i="87"/>
  <c r="N178" i="87" s="1"/>
  <c r="N168" i="87" s="1"/>
  <c r="N122" i="87"/>
  <c r="N181" i="87" s="1"/>
  <c r="J26" i="87"/>
  <c r="J31" i="87"/>
  <c r="J16" i="87"/>
  <c r="H68" i="87"/>
  <c r="H52" i="87"/>
  <c r="G13" i="87"/>
  <c r="H38" i="87" s="1"/>
  <c r="G29" i="87"/>
  <c r="J76" i="87"/>
  <c r="J69" i="87"/>
  <c r="L38" i="87"/>
  <c r="L26" i="87"/>
  <c r="L31" i="87"/>
  <c r="L16" i="87"/>
  <c r="M52" i="87"/>
  <c r="M68" i="87"/>
  <c r="M154" i="87" s="1"/>
  <c r="BU56" i="30"/>
  <c r="CK56" i="30"/>
  <c r="DI32" i="30"/>
  <c r="DI21" i="30"/>
  <c r="DI47" i="30"/>
  <c r="DI37" i="30"/>
  <c r="N68" i="87"/>
  <c r="N154" i="87" s="1"/>
  <c r="N52" i="87"/>
  <c r="O76" i="87"/>
  <c r="DG37" i="30"/>
  <c r="DG32" i="30"/>
  <c r="DG21" i="30"/>
  <c r="DG47" i="30"/>
  <c r="H153" i="87"/>
  <c r="H134" i="87"/>
  <c r="E10" i="87"/>
  <c r="E127" i="87"/>
  <c r="E86" i="87"/>
  <c r="E45" i="87"/>
  <c r="E35" i="87"/>
  <c r="E30" i="87"/>
  <c r="D38" i="87"/>
  <c r="D31" i="87"/>
  <c r="D16" i="87"/>
  <c r="D26" i="87"/>
  <c r="DO37" i="30"/>
  <c r="DO21" i="30"/>
  <c r="DO32" i="30"/>
  <c r="DQ32" i="30"/>
  <c r="DQ21" i="30"/>
  <c r="DQ47" i="30"/>
  <c r="DQ37" i="30"/>
  <c r="M180" i="87"/>
  <c r="M178" i="87" s="1"/>
  <c r="M168" i="87" s="1"/>
  <c r="M122" i="87"/>
  <c r="M181" i="87" s="1"/>
  <c r="DB38" i="30"/>
  <c r="DB25" i="30"/>
  <c r="DB39" i="30"/>
  <c r="CZ21" i="30"/>
  <c r="CZ37" i="30"/>
  <c r="CZ47" i="30"/>
  <c r="CZ32" i="30"/>
  <c r="DL44" i="30"/>
  <c r="K153" i="87"/>
  <c r="K134" i="87"/>
  <c r="M109" i="87"/>
  <c r="M156" i="87" s="1"/>
  <c r="M93" i="87"/>
  <c r="G90" i="87"/>
  <c r="J173" i="87"/>
  <c r="J157" i="87"/>
  <c r="K68" i="87"/>
  <c r="K52" i="87"/>
  <c r="DC21" i="30"/>
  <c r="DC47" i="30"/>
  <c r="DC32" i="30"/>
  <c r="DC37" i="30"/>
  <c r="DH47" i="30"/>
  <c r="DH32" i="30"/>
  <c r="DH37" i="30"/>
  <c r="DH21" i="30"/>
  <c r="J93" i="87"/>
  <c r="J109" i="87"/>
  <c r="G157" i="87"/>
  <c r="I86" i="87"/>
  <c r="I127" i="87"/>
  <c r="I10" i="87"/>
  <c r="I35" i="87"/>
  <c r="I45" i="87"/>
  <c r="I30" i="87"/>
  <c r="J35" i="87"/>
  <c r="C16" i="87"/>
  <c r="C26" i="87"/>
  <c r="C31" i="87"/>
  <c r="L122" i="87"/>
  <c r="L181" i="87" s="1"/>
  <c r="L180" i="87"/>
  <c r="L178" i="87" s="1"/>
  <c r="L168" i="87" s="1"/>
  <c r="L127" i="87" s="1"/>
  <c r="M16" i="87"/>
  <c r="M31" i="87"/>
  <c r="M38" i="87"/>
  <c r="M26" i="87"/>
  <c r="M40" i="87" s="1"/>
  <c r="DJ44" i="30"/>
  <c r="DJ13" i="30"/>
  <c r="DJ36" i="30"/>
  <c r="DB41" i="30"/>
  <c r="D109" i="87"/>
  <c r="D93" i="87"/>
  <c r="DA32" i="30"/>
  <c r="DB49" i="30" s="1"/>
  <c r="DA21" i="30"/>
  <c r="DA37" i="30"/>
  <c r="DA47" i="30"/>
  <c r="J153" i="87"/>
  <c r="J134" i="87"/>
  <c r="DE21" i="30"/>
  <c r="DE47" i="30"/>
  <c r="DE37" i="30"/>
  <c r="DE32" i="30"/>
  <c r="DF49" i="30" s="1"/>
  <c r="G74" i="87"/>
  <c r="G49" i="87"/>
  <c r="G35" i="87"/>
  <c r="J117" i="87"/>
  <c r="J110" i="87"/>
  <c r="K93" i="87"/>
  <c r="K109" i="87"/>
  <c r="DD25" i="30"/>
  <c r="DD38" i="30"/>
  <c r="DD39" i="30"/>
  <c r="DN13" i="30"/>
  <c r="DN44" i="30"/>
  <c r="DO44" i="30"/>
  <c r="DN36" i="30"/>
  <c r="Z117" i="19"/>
  <c r="J98" i="21"/>
  <c r="J102" i="21"/>
  <c r="J96" i="21"/>
  <c r="L96" i="21" s="1"/>
  <c r="Z119" i="19"/>
  <c r="Z118" i="19"/>
  <c r="DO64" i="30"/>
  <c r="DN64" i="30"/>
  <c r="AF46" i="2" l="1"/>
  <c r="AB117" i="19"/>
  <c r="AB116" i="2"/>
  <c r="AD116" i="2" s="1"/>
  <c r="AG66" i="30"/>
  <c r="I21" i="14"/>
  <c r="J14" i="14"/>
  <c r="J19" i="14" s="1"/>
  <c r="I35" i="14"/>
  <c r="I36" i="14" s="1"/>
  <c r="I44" i="14"/>
  <c r="AM135" i="19"/>
  <c r="U100" i="19"/>
  <c r="W100" i="19" s="1"/>
  <c r="AM33" i="19"/>
  <c r="AK37" i="19"/>
  <c r="AD47" i="19"/>
  <c r="AF47" i="19" s="1"/>
  <c r="AD40" i="19"/>
  <c r="AF40" i="19" s="1"/>
  <c r="AK40" i="19"/>
  <c r="AM47" i="19" s="1"/>
  <c r="AB44" i="19"/>
  <c r="AD44" i="19" s="1"/>
  <c r="AF44" i="19" s="1"/>
  <c r="U96" i="21"/>
  <c r="W96" i="21" s="1"/>
  <c r="N96" i="21"/>
  <c r="P96" i="21" s="1"/>
  <c r="AF41" i="2"/>
  <c r="AF48" i="2"/>
  <c r="AM72" i="19"/>
  <c r="W36" i="19"/>
  <c r="U37" i="19"/>
  <c r="W37" i="19" s="1"/>
  <c r="W114" i="19"/>
  <c r="W86" i="19"/>
  <c r="W40" i="19"/>
  <c r="U44" i="19"/>
  <c r="Q29" i="14"/>
  <c r="Q46" i="14" s="1"/>
  <c r="Q38" i="14"/>
  <c r="R29" i="14"/>
  <c r="R46" i="14" s="1"/>
  <c r="AK23" i="19"/>
  <c r="AM23" i="19" s="1"/>
  <c r="AK51" i="19"/>
  <c r="W54" i="19"/>
  <c r="U58" i="19"/>
  <c r="W61" i="19"/>
  <c r="AM34" i="19"/>
  <c r="W93" i="19"/>
  <c r="AD112" i="19"/>
  <c r="AF112" i="19" s="1"/>
  <c r="AK112" i="19"/>
  <c r="AM112" i="19" s="1"/>
  <c r="AK41" i="19"/>
  <c r="AD41" i="19"/>
  <c r="AF41" i="19" s="1"/>
  <c r="AD48" i="19"/>
  <c r="AF48" i="19" s="1"/>
  <c r="AM110" i="19"/>
  <c r="AD65" i="19"/>
  <c r="AF65" i="19" s="1"/>
  <c r="AD111" i="19"/>
  <c r="AF111" i="19" s="1"/>
  <c r="AK111" i="19"/>
  <c r="AM111" i="19" s="1"/>
  <c r="AD107" i="19"/>
  <c r="AF107" i="19" s="1"/>
  <c r="J131" i="19"/>
  <c r="AB117" i="2"/>
  <c r="AD117" i="2" s="1"/>
  <c r="AH66" i="30"/>
  <c r="AB118" i="19"/>
  <c r="AM61" i="19"/>
  <c r="AK58" i="19"/>
  <c r="AM54" i="19"/>
  <c r="AM26" i="19"/>
  <c r="AK30" i="19"/>
  <c r="L124" i="19"/>
  <c r="V119" i="2"/>
  <c r="X119" i="2" s="1"/>
  <c r="AJ67" i="30"/>
  <c r="L120" i="19"/>
  <c r="AK43" i="19"/>
  <c r="AD43" i="19"/>
  <c r="AF43" i="19" s="1"/>
  <c r="AD50" i="19"/>
  <c r="AF50" i="19" s="1"/>
  <c r="O92" i="14"/>
  <c r="P77" i="14"/>
  <c r="P93" i="14" s="1"/>
  <c r="O117" i="14"/>
  <c r="O96" i="14"/>
  <c r="AM96" i="19"/>
  <c r="AK100" i="19"/>
  <c r="H22" i="14"/>
  <c r="H25" i="14"/>
  <c r="H26" i="14" s="1"/>
  <c r="AM29" i="19"/>
  <c r="AD37" i="19"/>
  <c r="AF37" i="19" s="1"/>
  <c r="DH62" i="30"/>
  <c r="DH66" i="30"/>
  <c r="DI62" i="30"/>
  <c r="N58" i="19"/>
  <c r="P58" i="19" s="1"/>
  <c r="N65" i="19"/>
  <c r="W72" i="19"/>
  <c r="AB114" i="19"/>
  <c r="AD114" i="19" s="1"/>
  <c r="AF114" i="19" s="1"/>
  <c r="L56" i="21"/>
  <c r="L60" i="21"/>
  <c r="M98" i="14"/>
  <c r="M100" i="14"/>
  <c r="M101" i="14" s="1"/>
  <c r="AM103" i="19"/>
  <c r="W47" i="19"/>
  <c r="W30" i="19"/>
  <c r="N49" i="21"/>
  <c r="P49" i="21" s="1"/>
  <c r="U49" i="21"/>
  <c r="L50" i="21"/>
  <c r="N50" i="21" s="1"/>
  <c r="P50" i="21" s="1"/>
  <c r="AB119" i="19"/>
  <c r="AB118" i="2"/>
  <c r="AD118" i="2" s="1"/>
  <c r="AI66" i="30"/>
  <c r="AB120" i="19"/>
  <c r="L102" i="21"/>
  <c r="AD42" i="19"/>
  <c r="AF42" i="19" s="1"/>
  <c r="AK42" i="19"/>
  <c r="AD49" i="19"/>
  <c r="AF49" i="19" s="1"/>
  <c r="J63" i="21"/>
  <c r="N115" i="14"/>
  <c r="N116" i="14" s="1"/>
  <c r="N95" i="14"/>
  <c r="O76" i="14"/>
  <c r="N128" i="14"/>
  <c r="DF54" i="30"/>
  <c r="AM27" i="19"/>
  <c r="W65" i="19"/>
  <c r="W50" i="19"/>
  <c r="W57" i="19"/>
  <c r="W43" i="19"/>
  <c r="AM56" i="19"/>
  <c r="AM63" i="19"/>
  <c r="AM36" i="19"/>
  <c r="N44" i="19"/>
  <c r="P44" i="19" s="1"/>
  <c r="AM35" i="19"/>
  <c r="P29" i="14"/>
  <c r="P46" i="14" s="1"/>
  <c r="P38" i="14"/>
  <c r="P39" i="14" s="1"/>
  <c r="AD51" i="19"/>
  <c r="AF51" i="19" s="1"/>
  <c r="W106" i="19"/>
  <c r="AM92" i="19"/>
  <c r="AK93" i="19"/>
  <c r="AM93" i="19" s="1"/>
  <c r="AM107" i="19"/>
  <c r="U51" i="19"/>
  <c r="W51" i="19" s="1"/>
  <c r="N53" i="21"/>
  <c r="P53" i="21" s="1"/>
  <c r="U53" i="21"/>
  <c r="L57" i="21"/>
  <c r="N57" i="21" s="1"/>
  <c r="P57" i="21" s="1"/>
  <c r="L40" i="87"/>
  <c r="DW16" i="30"/>
  <c r="R12" i="87" s="1"/>
  <c r="DO23" i="30"/>
  <c r="DO39" i="30" s="1"/>
  <c r="J18" i="87"/>
  <c r="K96" i="87"/>
  <c r="K118" i="87"/>
  <c r="K106" i="87"/>
  <c r="K111" i="87"/>
  <c r="G68" i="87"/>
  <c r="G52" i="87"/>
  <c r="H77" i="87" s="1"/>
  <c r="D96" i="87"/>
  <c r="D111" i="87"/>
  <c r="D106" i="87"/>
  <c r="D118" i="87"/>
  <c r="L131" i="87"/>
  <c r="L134" i="87" s="1"/>
  <c r="M127" i="87"/>
  <c r="L132" i="87"/>
  <c r="L173" i="87" s="1"/>
  <c r="C21" i="87"/>
  <c r="C23" i="87" s="1"/>
  <c r="C32" i="87"/>
  <c r="I177" i="87"/>
  <c r="I178" i="87" s="1"/>
  <c r="I80" i="87"/>
  <c r="I81" i="87" s="1"/>
  <c r="I121" i="87"/>
  <c r="I122" i="87" s="1"/>
  <c r="DC41" i="30"/>
  <c r="DC49" i="30"/>
  <c r="G109" i="87"/>
  <c r="G93" i="87"/>
  <c r="H118" i="87" s="1"/>
  <c r="DO41" i="30"/>
  <c r="D21" i="87"/>
  <c r="D23" i="87" s="1"/>
  <c r="D32" i="87"/>
  <c r="E80" i="87"/>
  <c r="E81" i="87" s="1"/>
  <c r="E121" i="87"/>
  <c r="E122" i="87" s="1"/>
  <c r="E177" i="87"/>
  <c r="E178" i="87" s="1"/>
  <c r="E29" i="87"/>
  <c r="E13" i="87"/>
  <c r="DG38" i="30"/>
  <c r="DG25" i="30"/>
  <c r="DG39" i="30"/>
  <c r="H96" i="87"/>
  <c r="H106" i="87"/>
  <c r="H111" i="87"/>
  <c r="N96" i="87"/>
  <c r="N106" i="87"/>
  <c r="N111" i="87"/>
  <c r="N118" i="87"/>
  <c r="L118" i="87"/>
  <c r="L106" i="87"/>
  <c r="L120" i="87" s="1"/>
  <c r="L111" i="87"/>
  <c r="L96" i="87"/>
  <c r="N40" i="87"/>
  <c r="DF27" i="30"/>
  <c r="DF40" i="30"/>
  <c r="F168" i="87"/>
  <c r="F131" i="87"/>
  <c r="F157" i="87"/>
  <c r="DR38" i="30"/>
  <c r="DR25" i="30"/>
  <c r="DR39" i="30"/>
  <c r="DM41" i="30"/>
  <c r="D65" i="87"/>
  <c r="D77" i="87"/>
  <c r="D55" i="87"/>
  <c r="D70" i="87"/>
  <c r="DE38" i="30"/>
  <c r="DE25" i="30"/>
  <c r="DE39" i="30"/>
  <c r="DJ17" i="30"/>
  <c r="DJ35" i="30"/>
  <c r="J177" i="87"/>
  <c r="J178" i="87" s="1"/>
  <c r="J121" i="87"/>
  <c r="J122" i="87" s="1"/>
  <c r="J80" i="87"/>
  <c r="J81" i="87" s="1"/>
  <c r="I29" i="87"/>
  <c r="I13" i="87"/>
  <c r="DH49" i="30"/>
  <c r="DH41" i="30"/>
  <c r="M96" i="87"/>
  <c r="M118" i="87"/>
  <c r="M111" i="87"/>
  <c r="M106" i="87"/>
  <c r="CZ38" i="30"/>
  <c r="CZ25" i="30"/>
  <c r="CZ39" i="30"/>
  <c r="DQ38" i="30"/>
  <c r="DQ25" i="30"/>
  <c r="DQ39" i="30"/>
  <c r="DO25" i="30"/>
  <c r="DO38" i="30"/>
  <c r="E74" i="87"/>
  <c r="E49" i="87"/>
  <c r="E69" i="87"/>
  <c r="H161" i="87"/>
  <c r="H137" i="87"/>
  <c r="H150" i="87"/>
  <c r="DG41" i="30"/>
  <c r="DG49" i="30"/>
  <c r="M65" i="87"/>
  <c r="M70" i="87"/>
  <c r="M77" i="87"/>
  <c r="M55" i="87"/>
  <c r="G16" i="87"/>
  <c r="G26" i="87"/>
  <c r="H40" i="87" s="1"/>
  <c r="G31" i="87"/>
  <c r="J21" i="87"/>
  <c r="J23" i="87" s="1"/>
  <c r="H21" i="87"/>
  <c r="H23" i="87" s="1"/>
  <c r="H32" i="87"/>
  <c r="G153" i="87"/>
  <c r="G134" i="87"/>
  <c r="H174" i="87" s="1"/>
  <c r="DS38" i="30"/>
  <c r="DS25" i="30"/>
  <c r="DS39" i="30"/>
  <c r="DP25" i="30"/>
  <c r="DP38" i="30"/>
  <c r="DP39" i="30"/>
  <c r="N21" i="87"/>
  <c r="N23" i="87" s="1"/>
  <c r="N32" i="87"/>
  <c r="N164" i="87" s="1"/>
  <c r="N162" i="87" s="1"/>
  <c r="F177" i="87"/>
  <c r="F178" i="87" s="1"/>
  <c r="F121" i="87"/>
  <c r="F122" i="87" s="1"/>
  <c r="F80" i="87"/>
  <c r="F81" i="87" s="1"/>
  <c r="BK56" i="30"/>
  <c r="DK64" i="30"/>
  <c r="DL64" i="30"/>
  <c r="BQ56" i="30"/>
  <c r="BP56" i="30"/>
  <c r="DD40" i="30"/>
  <c r="DD27" i="30"/>
  <c r="DE41" i="30"/>
  <c r="DE49" i="30"/>
  <c r="J161" i="87"/>
  <c r="J137" i="87"/>
  <c r="J150" i="87"/>
  <c r="DA38" i="30"/>
  <c r="DA25" i="30"/>
  <c r="DA39" i="30"/>
  <c r="M21" i="87"/>
  <c r="M23" i="87" s="1"/>
  <c r="M32" i="87"/>
  <c r="M164" i="87" s="1"/>
  <c r="M162" i="87" s="1"/>
  <c r="I168" i="87"/>
  <c r="I131" i="87"/>
  <c r="I157" i="87"/>
  <c r="J168" i="87"/>
  <c r="J96" i="87"/>
  <c r="J106" i="87"/>
  <c r="J111" i="87"/>
  <c r="DC38" i="30"/>
  <c r="DC25" i="30"/>
  <c r="DC39" i="30"/>
  <c r="CZ49" i="30"/>
  <c r="CZ41" i="30"/>
  <c r="DQ49" i="30"/>
  <c r="DQ41" i="30"/>
  <c r="E115" i="87"/>
  <c r="E90" i="87"/>
  <c r="E110" i="87"/>
  <c r="N77" i="87"/>
  <c r="N55" i="87"/>
  <c r="N65" i="87"/>
  <c r="N79" i="87" s="1"/>
  <c r="N70" i="87"/>
  <c r="DI38" i="30"/>
  <c r="DI25" i="30"/>
  <c r="DI39" i="30"/>
  <c r="L21" i="87"/>
  <c r="L23" i="87" s="1"/>
  <c r="L32" i="87"/>
  <c r="L164" i="87" s="1"/>
  <c r="L162" i="87" s="1"/>
  <c r="H70" i="87"/>
  <c r="H65" i="87"/>
  <c r="H55" i="87"/>
  <c r="L70" i="87"/>
  <c r="L55" i="87"/>
  <c r="L65" i="87"/>
  <c r="L77" i="87"/>
  <c r="J70" i="87"/>
  <c r="J55" i="87"/>
  <c r="J65" i="87"/>
  <c r="DD49" i="30"/>
  <c r="DS41" i="30"/>
  <c r="DS49" i="30"/>
  <c r="DP41" i="30"/>
  <c r="DP49" i="30"/>
  <c r="K21" i="87"/>
  <c r="K23" i="87" s="1"/>
  <c r="K32" i="87"/>
  <c r="F49" i="87"/>
  <c r="F74" i="87"/>
  <c r="F69" i="87"/>
  <c r="F29" i="87"/>
  <c r="F13" i="87"/>
  <c r="G38" i="87" s="1"/>
  <c r="DR49" i="30"/>
  <c r="DR41" i="30"/>
  <c r="DN23" i="30"/>
  <c r="I18" i="87"/>
  <c r="DN35" i="30"/>
  <c r="DN17" i="30"/>
  <c r="G121" i="87"/>
  <c r="G122" i="87" s="1"/>
  <c r="G80" i="87"/>
  <c r="G81" i="87" s="1"/>
  <c r="G177" i="87"/>
  <c r="G178" i="87" s="1"/>
  <c r="DA41" i="30"/>
  <c r="DA49" i="30"/>
  <c r="I49" i="87"/>
  <c r="I74" i="87"/>
  <c r="I69" i="87"/>
  <c r="J74" i="87"/>
  <c r="I115" i="87"/>
  <c r="I90" i="87"/>
  <c r="I110" i="87"/>
  <c r="J115" i="87"/>
  <c r="DH25" i="30"/>
  <c r="DH38" i="30"/>
  <c r="DH39" i="30"/>
  <c r="K77" i="87"/>
  <c r="K65" i="87"/>
  <c r="K70" i="87"/>
  <c r="K55" i="87"/>
  <c r="K174" i="87"/>
  <c r="K161" i="87"/>
  <c r="K137" i="87"/>
  <c r="K150" i="87"/>
  <c r="K176" i="87" s="1"/>
  <c r="DB40" i="30"/>
  <c r="DB27" i="30"/>
  <c r="D40" i="87"/>
  <c r="E131" i="87"/>
  <c r="E168" i="87"/>
  <c r="E157" i="87"/>
  <c r="DI41" i="30"/>
  <c r="DI49" i="30"/>
  <c r="DL21" i="30"/>
  <c r="DL32" i="30"/>
  <c r="DL37" i="30"/>
  <c r="DK35" i="30"/>
  <c r="DK17" i="30"/>
  <c r="C150" i="87"/>
  <c r="C137" i="87"/>
  <c r="C161" i="87"/>
  <c r="C65" i="87"/>
  <c r="C70" i="87"/>
  <c r="C55" i="87"/>
  <c r="K40" i="87"/>
  <c r="F115" i="87"/>
  <c r="F90" i="87"/>
  <c r="F110" i="87"/>
  <c r="DM38" i="30"/>
  <c r="DM25" i="30"/>
  <c r="DM39" i="30"/>
  <c r="D174" i="87"/>
  <c r="D161" i="87"/>
  <c r="D137" i="87"/>
  <c r="D150" i="87"/>
  <c r="D176" i="87" s="1"/>
  <c r="C106" i="87"/>
  <c r="C96" i="87"/>
  <c r="C111" i="87"/>
  <c r="DE64" i="30"/>
  <c r="DX16" i="30"/>
  <c r="S12" i="87" s="1"/>
  <c r="J109" i="21"/>
  <c r="J97" i="21"/>
  <c r="J134" i="19"/>
  <c r="J105" i="21"/>
  <c r="J132" i="19"/>
  <c r="J103" i="21"/>
  <c r="L103" i="21" s="1"/>
  <c r="DR30" i="30"/>
  <c r="AM100" i="19" l="1"/>
  <c r="AM30" i="19"/>
  <c r="V131" i="2"/>
  <c r="X131" i="2" s="1"/>
  <c r="Z131" i="2" s="1"/>
  <c r="AR67" i="30"/>
  <c r="L109" i="21"/>
  <c r="L67" i="21"/>
  <c r="L63" i="21"/>
  <c r="N102" i="21"/>
  <c r="P102" i="21" s="1"/>
  <c r="U102" i="21"/>
  <c r="AD126" i="19"/>
  <c r="AF126" i="19" s="1"/>
  <c r="AD119" i="19"/>
  <c r="AF119" i="19" s="1"/>
  <c r="AK119" i="19"/>
  <c r="W107" i="19"/>
  <c r="N120" i="19"/>
  <c r="P120" i="19" s="1"/>
  <c r="U120" i="19"/>
  <c r="N127" i="19"/>
  <c r="P127" i="19" s="1"/>
  <c r="L121" i="19"/>
  <c r="N121" i="19" s="1"/>
  <c r="P121" i="19" s="1"/>
  <c r="L132" i="19"/>
  <c r="V130" i="2"/>
  <c r="L131" i="19"/>
  <c r="AQ67" i="30"/>
  <c r="AM37" i="19"/>
  <c r="I22" i="14"/>
  <c r="I25" i="14"/>
  <c r="I26" i="14" s="1"/>
  <c r="J138" i="19"/>
  <c r="AD120" i="19"/>
  <c r="AF120" i="19" s="1"/>
  <c r="AK120" i="19"/>
  <c r="AD127" i="19"/>
  <c r="AF127" i="19" s="1"/>
  <c r="U60" i="21"/>
  <c r="N60" i="21"/>
  <c r="P60" i="21" s="1"/>
  <c r="AD125" i="19"/>
  <c r="AF125" i="19" s="1"/>
  <c r="AK118" i="19"/>
  <c r="AD118" i="19"/>
  <c r="AF118" i="19" s="1"/>
  <c r="AM41" i="19"/>
  <c r="AM48" i="19"/>
  <c r="Q39" i="14"/>
  <c r="R39" i="14"/>
  <c r="AK44" i="19"/>
  <c r="AM44" i="19" s="1"/>
  <c r="AM40" i="19"/>
  <c r="N103" i="21"/>
  <c r="P103" i="21" s="1"/>
  <c r="U103" i="21"/>
  <c r="W103" i="21" s="1"/>
  <c r="V133" i="2"/>
  <c r="X133" i="2" s="1"/>
  <c r="Z133" i="2" s="1"/>
  <c r="AT67" i="30"/>
  <c r="L98" i="21"/>
  <c r="L97" i="21"/>
  <c r="N98" i="14"/>
  <c r="N100" i="14"/>
  <c r="N101" i="14" s="1"/>
  <c r="AM42" i="19"/>
  <c r="AM49" i="19"/>
  <c r="W49" i="21"/>
  <c r="U50" i="21"/>
  <c r="W50" i="21" s="1"/>
  <c r="U56" i="21"/>
  <c r="W56" i="21" s="1"/>
  <c r="N56" i="21"/>
  <c r="P56" i="21" s="1"/>
  <c r="P117" i="14"/>
  <c r="Q77" i="14"/>
  <c r="Q93" i="14" s="1"/>
  <c r="P96" i="14"/>
  <c r="P92" i="14"/>
  <c r="Z119" i="2"/>
  <c r="Z126" i="2"/>
  <c r="AM51" i="19"/>
  <c r="AF116" i="2"/>
  <c r="AF123" i="2"/>
  <c r="W53" i="21"/>
  <c r="U57" i="21"/>
  <c r="AF125" i="2"/>
  <c r="AF118" i="2"/>
  <c r="J70" i="21"/>
  <c r="O115" i="14"/>
  <c r="O116" i="14" s="1"/>
  <c r="DG54" i="30"/>
  <c r="O95" i="14"/>
  <c r="P76" i="14"/>
  <c r="O128" i="14"/>
  <c r="AM43" i="19"/>
  <c r="AM50" i="19"/>
  <c r="U124" i="19"/>
  <c r="L128" i="19"/>
  <c r="N124" i="19"/>
  <c r="P124" i="19" s="1"/>
  <c r="AM58" i="19"/>
  <c r="AF117" i="2"/>
  <c r="AF124" i="2"/>
  <c r="AK114" i="19"/>
  <c r="AM114" i="19" s="1"/>
  <c r="W58" i="19"/>
  <c r="W44" i="19"/>
  <c r="AM65" i="19"/>
  <c r="J21" i="14"/>
  <c r="K14" i="14"/>
  <c r="K19" i="14" s="1"/>
  <c r="J44" i="14"/>
  <c r="J35" i="14"/>
  <c r="J36" i="14" s="1"/>
  <c r="AD117" i="19"/>
  <c r="AF117" i="19" s="1"/>
  <c r="AB121" i="19"/>
  <c r="AK117" i="19"/>
  <c r="AD124" i="19"/>
  <c r="AF124" i="19" s="1"/>
  <c r="K39" i="87"/>
  <c r="L79" i="87"/>
  <c r="L39" i="87"/>
  <c r="N120" i="87"/>
  <c r="S92" i="87"/>
  <c r="S51" i="87"/>
  <c r="S133" i="87"/>
  <c r="O77" i="8"/>
  <c r="O78" i="8" s="1"/>
  <c r="BL56" i="30"/>
  <c r="BM56" i="30"/>
  <c r="BN56" i="30"/>
  <c r="D142" i="87"/>
  <c r="D144" i="87" s="1"/>
  <c r="D162" i="87"/>
  <c r="DM27" i="30"/>
  <c r="DM40" i="30"/>
  <c r="DL41" i="30"/>
  <c r="E153" i="87"/>
  <c r="E134" i="87"/>
  <c r="K60" i="87"/>
  <c r="K62" i="87" s="1"/>
  <c r="K71" i="87"/>
  <c r="DN47" i="30"/>
  <c r="DN37" i="30"/>
  <c r="DN32" i="30"/>
  <c r="DN21" i="30"/>
  <c r="DN39" i="30" s="1"/>
  <c r="DO47" i="30"/>
  <c r="L60" i="87"/>
  <c r="L62" i="87" s="1"/>
  <c r="L78" i="87" s="1"/>
  <c r="L71" i="87"/>
  <c r="L163" i="87" s="1"/>
  <c r="E93" i="87"/>
  <c r="E109" i="87"/>
  <c r="DA27" i="30"/>
  <c r="DA40" i="30"/>
  <c r="DP40" i="30"/>
  <c r="DP27" i="30"/>
  <c r="G161" i="87"/>
  <c r="G150" i="87"/>
  <c r="H176" i="87" s="1"/>
  <c r="G137" i="87"/>
  <c r="G21" i="87"/>
  <c r="G23" i="87" s="1"/>
  <c r="H39" i="87" s="1"/>
  <c r="G32" i="87"/>
  <c r="M79" i="87"/>
  <c r="E68" i="87"/>
  <c r="E52" i="87"/>
  <c r="CZ40" i="30"/>
  <c r="CZ27" i="30"/>
  <c r="CZ48" i="30" s="1"/>
  <c r="I26" i="87"/>
  <c r="I16" i="87"/>
  <c r="I21" i="87" s="1"/>
  <c r="I23" i="87" s="1"/>
  <c r="I39" i="87" s="1"/>
  <c r="I31" i="87"/>
  <c r="I38" i="87"/>
  <c r="J38" i="87"/>
  <c r="DE27" i="30"/>
  <c r="DE48" i="30" s="1"/>
  <c r="DE40" i="30"/>
  <c r="F153" i="87"/>
  <c r="F134" i="87"/>
  <c r="G174" i="87" s="1"/>
  <c r="N101" i="87"/>
  <c r="N103" i="87" s="1"/>
  <c r="N112" i="87"/>
  <c r="N165" i="87" s="1"/>
  <c r="H101" i="87"/>
  <c r="H103" i="87" s="1"/>
  <c r="H112" i="87"/>
  <c r="E38" i="87"/>
  <c r="E16" i="87"/>
  <c r="E31" i="87"/>
  <c r="E26" i="87"/>
  <c r="E40" i="87" s="1"/>
  <c r="L137" i="87"/>
  <c r="L150" i="87"/>
  <c r="L176" i="87" s="1"/>
  <c r="L174" i="87"/>
  <c r="L161" i="87"/>
  <c r="J57" i="87"/>
  <c r="J71" i="87" s="1"/>
  <c r="J98" i="87"/>
  <c r="J112" i="87" s="1"/>
  <c r="J139" i="87"/>
  <c r="J162" i="87" s="1"/>
  <c r="J32" i="87"/>
  <c r="C101" i="87"/>
  <c r="C103" i="87" s="1"/>
  <c r="C112" i="87"/>
  <c r="DK21" i="30"/>
  <c r="DK32" i="30"/>
  <c r="DK47" i="30"/>
  <c r="DK37" i="30"/>
  <c r="DL47" i="30"/>
  <c r="K142" i="87"/>
  <c r="K144" i="87" s="1"/>
  <c r="K162" i="87"/>
  <c r="I93" i="87"/>
  <c r="I109" i="87"/>
  <c r="DI40" i="30"/>
  <c r="DI27" i="30"/>
  <c r="N60" i="87"/>
  <c r="N62" i="87" s="1"/>
  <c r="N71" i="87"/>
  <c r="N163" i="87" s="1"/>
  <c r="N39" i="87"/>
  <c r="M60" i="87"/>
  <c r="M62" i="87" s="1"/>
  <c r="M71" i="87"/>
  <c r="M163" i="87" s="1"/>
  <c r="H142" i="87"/>
  <c r="H144" i="87" s="1"/>
  <c r="H162" i="87"/>
  <c r="DQ40" i="30"/>
  <c r="DQ27" i="30"/>
  <c r="DQ48" i="30" s="1"/>
  <c r="M101" i="87"/>
  <c r="M103" i="87" s="1"/>
  <c r="M112" i="87"/>
  <c r="M165" i="87" s="1"/>
  <c r="D79" i="87"/>
  <c r="DR40" i="30"/>
  <c r="DR27" i="30"/>
  <c r="L101" i="87"/>
  <c r="L103" i="87" s="1"/>
  <c r="L112" i="87"/>
  <c r="L165" i="87" s="1"/>
  <c r="G111" i="87"/>
  <c r="G106" i="87"/>
  <c r="G96" i="87"/>
  <c r="L129" i="87"/>
  <c r="D101" i="87"/>
  <c r="D103" i="87" s="1"/>
  <c r="D112" i="87"/>
  <c r="K120" i="87"/>
  <c r="DN68" i="30"/>
  <c r="DO68" i="30"/>
  <c r="C60" i="87"/>
  <c r="C62" i="87" s="1"/>
  <c r="C71" i="87"/>
  <c r="DL38" i="30"/>
  <c r="DL25" i="30"/>
  <c r="DL39" i="30"/>
  <c r="DB48" i="30"/>
  <c r="K79" i="87"/>
  <c r="DH40" i="30"/>
  <c r="DH27" i="30"/>
  <c r="DH48" i="30" s="1"/>
  <c r="I68" i="87"/>
  <c r="I52" i="87"/>
  <c r="I139" i="87"/>
  <c r="I98" i="87"/>
  <c r="I57" i="87"/>
  <c r="I32" i="87"/>
  <c r="F38" i="87"/>
  <c r="F26" i="87"/>
  <c r="F31" i="87"/>
  <c r="F16" i="87"/>
  <c r="F52" i="87"/>
  <c r="G77" i="87" s="1"/>
  <c r="F68" i="87"/>
  <c r="H60" i="87"/>
  <c r="H62" i="87" s="1"/>
  <c r="H71" i="87"/>
  <c r="M39" i="87"/>
  <c r="DS40" i="30"/>
  <c r="DS27" i="30"/>
  <c r="M120" i="87"/>
  <c r="DJ21" i="30"/>
  <c r="DJ47" i="30"/>
  <c r="DJ37" i="30"/>
  <c r="DJ32" i="30"/>
  <c r="DM49" i="30"/>
  <c r="H120" i="87"/>
  <c r="DG27" i="30"/>
  <c r="DG48" i="30" s="1"/>
  <c r="DG40" i="30"/>
  <c r="D39" i="87"/>
  <c r="G65" i="87"/>
  <c r="H79" i="87" s="1"/>
  <c r="G55" i="87"/>
  <c r="G70" i="87"/>
  <c r="R133" i="87"/>
  <c r="R92" i="87"/>
  <c r="R51" i="87"/>
  <c r="F93" i="87"/>
  <c r="G118" i="87" s="1"/>
  <c r="F109" i="87"/>
  <c r="C142" i="87"/>
  <c r="C144" i="87" s="1"/>
  <c r="C162" i="87"/>
  <c r="DC27" i="30"/>
  <c r="DC48" i="30" s="1"/>
  <c r="DC40" i="30"/>
  <c r="I134" i="87"/>
  <c r="I153" i="87"/>
  <c r="DO40" i="30"/>
  <c r="DO27" i="30"/>
  <c r="D60" i="87"/>
  <c r="D62" i="87" s="1"/>
  <c r="D78" i="87" s="1"/>
  <c r="D71" i="87"/>
  <c r="DF48" i="30"/>
  <c r="M131" i="87"/>
  <c r="M129" i="87" s="1"/>
  <c r="N127" i="87"/>
  <c r="M132" i="87"/>
  <c r="M173" i="87" s="1"/>
  <c r="D120" i="87"/>
  <c r="K101" i="87"/>
  <c r="K103" i="87" s="1"/>
  <c r="K112" i="87"/>
  <c r="Q77" i="8"/>
  <c r="Q78" i="8" s="1"/>
  <c r="DY16" i="30"/>
  <c r="T12" i="87" s="1"/>
  <c r="P77" i="8"/>
  <c r="P78" i="8" s="1"/>
  <c r="J104" i="21"/>
  <c r="L104" i="21" s="1"/>
  <c r="J112" i="21"/>
  <c r="S20" i="14"/>
  <c r="DK53" i="30" s="1"/>
  <c r="DK67" i="30" s="1"/>
  <c r="J133" i="19"/>
  <c r="L134" i="19" s="1"/>
  <c r="J110" i="21"/>
  <c r="L110" i="21" s="1"/>
  <c r="J145" i="19"/>
  <c r="J139" i="19"/>
  <c r="J141" i="19"/>
  <c r="DI64" i="30"/>
  <c r="DH64" i="30"/>
  <c r="DR29" i="30"/>
  <c r="D119" i="87" l="1"/>
  <c r="F40" i="87"/>
  <c r="J39" i="87"/>
  <c r="L105" i="21"/>
  <c r="V144" i="2"/>
  <c r="X144" i="2" s="1"/>
  <c r="BA67" i="30"/>
  <c r="L145" i="19"/>
  <c r="AM118" i="19"/>
  <c r="AM125" i="19"/>
  <c r="V137" i="2"/>
  <c r="X137" i="2" s="1"/>
  <c r="AV67" i="30"/>
  <c r="N131" i="19"/>
  <c r="P131" i="19" s="1"/>
  <c r="U131" i="19"/>
  <c r="AM119" i="19"/>
  <c r="AM126" i="19"/>
  <c r="W102" i="21"/>
  <c r="V140" i="2"/>
  <c r="X140" i="2" s="1"/>
  <c r="Z140" i="2" s="1"/>
  <c r="AY67" i="30"/>
  <c r="N110" i="21"/>
  <c r="P110" i="21" s="1"/>
  <c r="U110" i="21"/>
  <c r="W110" i="21" s="1"/>
  <c r="L133" i="19"/>
  <c r="V132" i="2"/>
  <c r="X132" i="2" s="1"/>
  <c r="Z132" i="2" s="1"/>
  <c r="AS67" i="30"/>
  <c r="U104" i="21"/>
  <c r="N104" i="21"/>
  <c r="P104" i="21" s="1"/>
  <c r="N128" i="19"/>
  <c r="P128" i="19" s="1"/>
  <c r="W57" i="21"/>
  <c r="P95" i="14"/>
  <c r="P115" i="14"/>
  <c r="P116" i="14" s="1"/>
  <c r="DH54" i="30"/>
  <c r="P128" i="14"/>
  <c r="Q76" i="14"/>
  <c r="U97" i="21"/>
  <c r="N97" i="21"/>
  <c r="P97" i="21" s="1"/>
  <c r="L99" i="21"/>
  <c r="AM120" i="19"/>
  <c r="AM127" i="19"/>
  <c r="V129" i="2"/>
  <c r="X130" i="2"/>
  <c r="Z130" i="2" s="1"/>
  <c r="W120" i="19"/>
  <c r="W127" i="19"/>
  <c r="U121" i="19"/>
  <c r="W121" i="19" s="1"/>
  <c r="U109" i="21"/>
  <c r="N109" i="21"/>
  <c r="P109" i="21" s="1"/>
  <c r="L139" i="19"/>
  <c r="V138" i="2"/>
  <c r="X138" i="2" s="1"/>
  <c r="Z138" i="2" s="1"/>
  <c r="AW67" i="30"/>
  <c r="J25" i="14"/>
  <c r="J26" i="14" s="1"/>
  <c r="J22" i="14"/>
  <c r="N105" i="21"/>
  <c r="P105" i="21" s="1"/>
  <c r="U105" i="21"/>
  <c r="J116" i="21"/>
  <c r="L116" i="21" s="1"/>
  <c r="AM117" i="19"/>
  <c r="AK121" i="19"/>
  <c r="AM124" i="19"/>
  <c r="W124" i="19"/>
  <c r="U128" i="19"/>
  <c r="W128" i="19" s="1"/>
  <c r="L74" i="21"/>
  <c r="L70" i="21"/>
  <c r="U98" i="21"/>
  <c r="W98" i="21" s="1"/>
  <c r="N98" i="21"/>
  <c r="P98" i="21" s="1"/>
  <c r="L138" i="19"/>
  <c r="N132" i="19"/>
  <c r="P132" i="19" s="1"/>
  <c r="U132" i="19"/>
  <c r="W132" i="19" s="1"/>
  <c r="L64" i="21"/>
  <c r="N64" i="21" s="1"/>
  <c r="P64" i="21" s="1"/>
  <c r="U63" i="21"/>
  <c r="W63" i="21" s="1"/>
  <c r="N63" i="21"/>
  <c r="P63" i="21" s="1"/>
  <c r="AD121" i="19"/>
  <c r="AF121" i="19" s="1"/>
  <c r="AD128" i="19"/>
  <c r="AF128" i="19" s="1"/>
  <c r="K21" i="14"/>
  <c r="L14" i="14"/>
  <c r="L19" i="14" s="1"/>
  <c r="K35" i="14"/>
  <c r="K36" i="14" s="1"/>
  <c r="K44" i="14"/>
  <c r="O100" i="14"/>
  <c r="O101" i="14" s="1"/>
  <c r="O98" i="14"/>
  <c r="Q96" i="14"/>
  <c r="Q92" i="14"/>
  <c r="Q117" i="14"/>
  <c r="R77" i="14"/>
  <c r="R93" i="14" s="1"/>
  <c r="N134" i="19"/>
  <c r="P134" i="19" s="1"/>
  <c r="U134" i="19"/>
  <c r="W134" i="19" s="1"/>
  <c r="W60" i="21"/>
  <c r="L106" i="21"/>
  <c r="N106" i="21" s="1"/>
  <c r="P106" i="21" s="1"/>
  <c r="N67" i="21"/>
  <c r="P67" i="21" s="1"/>
  <c r="U67" i="21"/>
  <c r="L71" i="21"/>
  <c r="N71" i="21" s="1"/>
  <c r="P71" i="21" s="1"/>
  <c r="M78" i="87"/>
  <c r="DS48" i="30"/>
  <c r="J60" i="87"/>
  <c r="J62" i="87" s="1"/>
  <c r="K78" i="87" s="1"/>
  <c r="T92" i="87"/>
  <c r="T51" i="87"/>
  <c r="T133" i="87"/>
  <c r="M134" i="87"/>
  <c r="I174" i="87"/>
  <c r="I161" i="87"/>
  <c r="I137" i="87"/>
  <c r="I142" i="87" s="1"/>
  <c r="I144" i="87" s="1"/>
  <c r="I175" i="87" s="1"/>
  <c r="I150" i="87"/>
  <c r="J174" i="87"/>
  <c r="G60" i="87"/>
  <c r="G62" i="87" s="1"/>
  <c r="G71" i="87"/>
  <c r="G40" i="87"/>
  <c r="F55" i="87"/>
  <c r="F70" i="87"/>
  <c r="F77" i="87"/>
  <c r="F65" i="87"/>
  <c r="G79" i="87" s="1"/>
  <c r="DL27" i="30"/>
  <c r="DL40" i="30"/>
  <c r="G101" i="87"/>
  <c r="G103" i="87" s="1"/>
  <c r="H119" i="87" s="1"/>
  <c r="G112" i="87"/>
  <c r="N78" i="87"/>
  <c r="I106" i="87"/>
  <c r="I96" i="87"/>
  <c r="I101" i="87" s="1"/>
  <c r="I103" i="87" s="1"/>
  <c r="I119" i="87" s="1"/>
  <c r="I118" i="87"/>
  <c r="I111" i="87"/>
  <c r="J118" i="87"/>
  <c r="E21" i="87"/>
  <c r="E23" i="87" s="1"/>
  <c r="E39" i="87" s="1"/>
  <c r="E32" i="87"/>
  <c r="G142" i="87"/>
  <c r="G144" i="87" s="1"/>
  <c r="H175" i="87" s="1"/>
  <c r="G162" i="87"/>
  <c r="DP48" i="30"/>
  <c r="E106" i="87"/>
  <c r="E120" i="87" s="1"/>
  <c r="E118" i="87"/>
  <c r="E111" i="87"/>
  <c r="E96" i="87"/>
  <c r="F21" i="87"/>
  <c r="F23" i="87" s="1"/>
  <c r="G39" i="87" s="1"/>
  <c r="F32" i="87"/>
  <c r="I70" i="87"/>
  <c r="I55" i="87"/>
  <c r="I60" i="87" s="1"/>
  <c r="I62" i="87" s="1"/>
  <c r="I78" i="87" s="1"/>
  <c r="I77" i="87"/>
  <c r="I65" i="87"/>
  <c r="J77" i="87"/>
  <c r="L119" i="87"/>
  <c r="DI48" i="30"/>
  <c r="L139" i="87"/>
  <c r="L142" i="87" s="1"/>
  <c r="L144" i="87" s="1"/>
  <c r="L175" i="87" s="1"/>
  <c r="N119" i="87"/>
  <c r="E77" i="87"/>
  <c r="E65" i="87"/>
  <c r="E79" i="87" s="1"/>
  <c r="E70" i="87"/>
  <c r="E55" i="87"/>
  <c r="DA48" i="30"/>
  <c r="DN38" i="30"/>
  <c r="DN25" i="30"/>
  <c r="F96" i="87"/>
  <c r="F118" i="87"/>
  <c r="F111" i="87"/>
  <c r="F106" i="87"/>
  <c r="G120" i="87" s="1"/>
  <c r="DJ38" i="30"/>
  <c r="DJ25" i="30"/>
  <c r="DJ39" i="30"/>
  <c r="H78" i="87"/>
  <c r="BZ68" i="30"/>
  <c r="BF68" i="30"/>
  <c r="CH68" i="30"/>
  <c r="BN68" i="30"/>
  <c r="CL68" i="30"/>
  <c r="BR68" i="30"/>
  <c r="BQ68" i="30"/>
  <c r="CA68" i="30"/>
  <c r="BU68" i="30"/>
  <c r="BI68" i="30"/>
  <c r="CF68" i="30"/>
  <c r="CO68" i="30"/>
  <c r="CJ68" i="30"/>
  <c r="BP68" i="30"/>
  <c r="CR68" i="30"/>
  <c r="BX68" i="30"/>
  <c r="CB68" i="30"/>
  <c r="BH68" i="30"/>
  <c r="BL68" i="30"/>
  <c r="CP68" i="30"/>
  <c r="CC68" i="30"/>
  <c r="CG68" i="30"/>
  <c r="CE68" i="30"/>
  <c r="BK68" i="30"/>
  <c r="CM68" i="30"/>
  <c r="BS68" i="30"/>
  <c r="CQ68" i="30"/>
  <c r="BW68" i="30"/>
  <c r="CK68" i="30"/>
  <c r="BV68" i="30"/>
  <c r="BM68" i="30"/>
  <c r="BG68" i="30"/>
  <c r="DR48" i="30"/>
  <c r="M119" i="87"/>
  <c r="DK41" i="30"/>
  <c r="DK49" i="30"/>
  <c r="F161" i="87"/>
  <c r="F174" i="87"/>
  <c r="F137" i="87"/>
  <c r="F150" i="87"/>
  <c r="G176" i="87" s="1"/>
  <c r="I40" i="87"/>
  <c r="J40" i="87"/>
  <c r="DD48" i="30"/>
  <c r="J101" i="87"/>
  <c r="J103" i="87" s="1"/>
  <c r="K119" i="87" s="1"/>
  <c r="DN41" i="30"/>
  <c r="DN49" i="30"/>
  <c r="DO49" i="30"/>
  <c r="DL49" i="30"/>
  <c r="D175" i="87"/>
  <c r="N131" i="87"/>
  <c r="N129" i="87" s="1"/>
  <c r="N132" i="87"/>
  <c r="N173" i="87" s="1"/>
  <c r="DJ49" i="30"/>
  <c r="DJ41" i="30"/>
  <c r="DK38" i="30"/>
  <c r="DK25" i="30"/>
  <c r="DK39" i="30"/>
  <c r="J142" i="87"/>
  <c r="J144" i="87" s="1"/>
  <c r="E150" i="87"/>
  <c r="E176" i="87" s="1"/>
  <c r="E161" i="87"/>
  <c r="E137" i="87"/>
  <c r="E174" i="87"/>
  <c r="J148" i="19"/>
  <c r="J140" i="19"/>
  <c r="J152" i="19"/>
  <c r="J111" i="21"/>
  <c r="J119" i="21"/>
  <c r="J175" i="87" l="1"/>
  <c r="W105" i="21"/>
  <c r="Z144" i="2"/>
  <c r="U64" i="21"/>
  <c r="W64" i="21" s="1"/>
  <c r="W104" i="21"/>
  <c r="N116" i="21"/>
  <c r="P116" i="21" s="1"/>
  <c r="U116" i="21"/>
  <c r="L112" i="21"/>
  <c r="L111" i="21"/>
  <c r="J117" i="21"/>
  <c r="R96" i="14"/>
  <c r="R92" i="14"/>
  <c r="S77" i="14"/>
  <c r="S93" i="14" s="1"/>
  <c r="R117" i="14"/>
  <c r="L21" i="14"/>
  <c r="M14" i="14"/>
  <c r="M19" i="14" s="1"/>
  <c r="L35" i="14"/>
  <c r="L36" i="14" s="1"/>
  <c r="L44" i="14"/>
  <c r="V151" i="2"/>
  <c r="X151" i="2" s="1"/>
  <c r="Z151" i="2" s="1"/>
  <c r="CT67" i="30"/>
  <c r="CO67" i="30"/>
  <c r="CJ67" i="30"/>
  <c r="CE67" i="30"/>
  <c r="BZ67" i="30"/>
  <c r="BU67" i="30"/>
  <c r="BP67" i="30"/>
  <c r="BK67" i="30"/>
  <c r="BF67" i="30"/>
  <c r="L152" i="19"/>
  <c r="L140" i="19"/>
  <c r="V139" i="2"/>
  <c r="X139" i="2" s="1"/>
  <c r="Z139" i="2" s="1"/>
  <c r="AX67" i="30"/>
  <c r="W67" i="21"/>
  <c r="K25" i="14"/>
  <c r="K26" i="14" s="1"/>
  <c r="K22" i="14"/>
  <c r="U138" i="19"/>
  <c r="N138" i="19"/>
  <c r="P138" i="19" s="1"/>
  <c r="N81" i="21"/>
  <c r="P81" i="21" s="1"/>
  <c r="N74" i="21"/>
  <c r="P74" i="21" s="1"/>
  <c r="U74" i="21"/>
  <c r="L78" i="21"/>
  <c r="N78" i="21" s="1"/>
  <c r="P78" i="21" s="1"/>
  <c r="AM121" i="19"/>
  <c r="AM128" i="19"/>
  <c r="W109" i="21"/>
  <c r="L141" i="19"/>
  <c r="L142" i="19" s="1"/>
  <c r="N142" i="19" s="1"/>
  <c r="P142" i="19" s="1"/>
  <c r="U145" i="19"/>
  <c r="N145" i="19"/>
  <c r="P145" i="19" s="1"/>
  <c r="J146" i="19"/>
  <c r="N70" i="21"/>
  <c r="P70" i="21" s="1"/>
  <c r="N77" i="21"/>
  <c r="P77" i="21" s="1"/>
  <c r="U70" i="21"/>
  <c r="U71" i="21" s="1"/>
  <c r="W71" i="21" s="1"/>
  <c r="P98" i="14"/>
  <c r="P100" i="14"/>
  <c r="P101" i="14" s="1"/>
  <c r="U133" i="19"/>
  <c r="W133" i="19" s="1"/>
  <c r="N133" i="19"/>
  <c r="P133" i="19" s="1"/>
  <c r="T20" i="14"/>
  <c r="DL53" i="30" s="1"/>
  <c r="DL67" i="30" s="1"/>
  <c r="DI54" i="30"/>
  <c r="Q95" i="14"/>
  <c r="Q128" i="14"/>
  <c r="R76" i="14"/>
  <c r="Q115" i="14"/>
  <c r="Q116" i="14" s="1"/>
  <c r="J84" i="21"/>
  <c r="L135" i="19"/>
  <c r="N135" i="19" s="1"/>
  <c r="P135" i="19" s="1"/>
  <c r="Z137" i="2"/>
  <c r="T15" i="14"/>
  <c r="T18" i="14"/>
  <c r="J123" i="21"/>
  <c r="L123" i="21" s="1"/>
  <c r="V147" i="2"/>
  <c r="X147" i="2" s="1"/>
  <c r="Z147" i="2" s="1"/>
  <c r="BD67" i="30"/>
  <c r="N139" i="19"/>
  <c r="P139" i="19" s="1"/>
  <c r="U139" i="19"/>
  <c r="W139" i="19" s="1"/>
  <c r="W97" i="21"/>
  <c r="U99" i="21"/>
  <c r="U106" i="21"/>
  <c r="W131" i="19"/>
  <c r="U135" i="19"/>
  <c r="J78" i="87"/>
  <c r="F120" i="87"/>
  <c r="I71" i="87"/>
  <c r="K175" i="87"/>
  <c r="DK27" i="30"/>
  <c r="DK40" i="30"/>
  <c r="J119" i="87"/>
  <c r="F101" i="87"/>
  <c r="F103" i="87" s="1"/>
  <c r="G119" i="87" s="1"/>
  <c r="F112" i="87"/>
  <c r="F39" i="87"/>
  <c r="I120" i="87"/>
  <c r="J120" i="87"/>
  <c r="M174" i="87"/>
  <c r="M161" i="87"/>
  <c r="M137" i="87"/>
  <c r="M150" i="87"/>
  <c r="M176" i="87" s="1"/>
  <c r="E142" i="87"/>
  <c r="E144" i="87" s="1"/>
  <c r="E175" i="87" s="1"/>
  <c r="E162" i="87"/>
  <c r="F176" i="87"/>
  <c r="DN27" i="30"/>
  <c r="DN40" i="30"/>
  <c r="E60" i="87"/>
  <c r="E62" i="87" s="1"/>
  <c r="E78" i="87" s="1"/>
  <c r="E71" i="87"/>
  <c r="DL48" i="30"/>
  <c r="I112" i="87"/>
  <c r="N134" i="87"/>
  <c r="F142" i="87"/>
  <c r="F144" i="87" s="1"/>
  <c r="F162" i="87"/>
  <c r="DM48" i="30"/>
  <c r="I162" i="87"/>
  <c r="F60" i="87"/>
  <c r="F62" i="87" s="1"/>
  <c r="F71" i="87"/>
  <c r="DJ40" i="30"/>
  <c r="DJ27" i="30"/>
  <c r="DJ48" i="30" s="1"/>
  <c r="I79" i="87"/>
  <c r="J79" i="87"/>
  <c r="E101" i="87"/>
  <c r="E103" i="87" s="1"/>
  <c r="E119" i="87" s="1"/>
  <c r="E112" i="87"/>
  <c r="F79" i="87"/>
  <c r="I176" i="87"/>
  <c r="J176" i="87"/>
  <c r="U20" i="14"/>
  <c r="DM53" i="30" s="1"/>
  <c r="DM67" i="30" s="1"/>
  <c r="J126" i="21"/>
  <c r="J155" i="19"/>
  <c r="J130" i="21"/>
  <c r="J153" i="19"/>
  <c r="J147" i="19"/>
  <c r="L148" i="19" s="1"/>
  <c r="F78" i="87" l="1"/>
  <c r="F175" i="87"/>
  <c r="W106" i="21"/>
  <c r="N148" i="19"/>
  <c r="P148" i="19" s="1"/>
  <c r="U148" i="19"/>
  <c r="U15" i="14"/>
  <c r="U17" i="14" s="1"/>
  <c r="U18" i="14"/>
  <c r="U123" i="21"/>
  <c r="N123" i="21"/>
  <c r="P123" i="21" s="1"/>
  <c r="V145" i="2"/>
  <c r="X145" i="2" s="1"/>
  <c r="Z145" i="2" s="1"/>
  <c r="L146" i="19"/>
  <c r="BB67" i="30"/>
  <c r="U78" i="21"/>
  <c r="W78" i="21" s="1"/>
  <c r="W74" i="21"/>
  <c r="W81" i="21"/>
  <c r="L22" i="14"/>
  <c r="L25" i="14"/>
  <c r="L26" i="14" s="1"/>
  <c r="U112" i="21"/>
  <c r="W112" i="21" s="1"/>
  <c r="N112" i="21"/>
  <c r="P112" i="21" s="1"/>
  <c r="J118" i="21"/>
  <c r="L119" i="21" s="1"/>
  <c r="J124" i="21"/>
  <c r="L130" i="21"/>
  <c r="W70" i="21"/>
  <c r="W77" i="21"/>
  <c r="U141" i="19"/>
  <c r="W141" i="19" s="1"/>
  <c r="N141" i="19"/>
  <c r="P141" i="19" s="1"/>
  <c r="U142" i="19"/>
  <c r="W142" i="19" s="1"/>
  <c r="W138" i="19"/>
  <c r="N140" i="19"/>
  <c r="P140" i="19" s="1"/>
  <c r="U140" i="19"/>
  <c r="W140" i="19" s="1"/>
  <c r="V154" i="2"/>
  <c r="CW67" i="30"/>
  <c r="CR67" i="30"/>
  <c r="CM67" i="30"/>
  <c r="CH67" i="30"/>
  <c r="CC67" i="30"/>
  <c r="BX67" i="30"/>
  <c r="BS67" i="30"/>
  <c r="BN67" i="30"/>
  <c r="BI67" i="30"/>
  <c r="W135" i="19"/>
  <c r="U152" i="19"/>
  <c r="N152" i="19"/>
  <c r="P152" i="19" s="1"/>
  <c r="S92" i="14"/>
  <c r="S117" i="14"/>
  <c r="T77" i="14"/>
  <c r="T93" i="14" s="1"/>
  <c r="S96" i="14"/>
  <c r="L118" i="21"/>
  <c r="L117" i="21"/>
  <c r="W116" i="21"/>
  <c r="W145" i="19"/>
  <c r="L147" i="19"/>
  <c r="V146" i="2"/>
  <c r="X146" i="2" s="1"/>
  <c r="Z146" i="2" s="1"/>
  <c r="BC67" i="30"/>
  <c r="V152" i="2"/>
  <c r="X152" i="2" s="1"/>
  <c r="CU67" i="30"/>
  <c r="CP67" i="30"/>
  <c r="CK67" i="30"/>
  <c r="CF67" i="30"/>
  <c r="CA67" i="30"/>
  <c r="BV67" i="30"/>
  <c r="BQ67" i="30"/>
  <c r="BL67" i="30"/>
  <c r="BG67" i="30"/>
  <c r="L153" i="19"/>
  <c r="J159" i="19"/>
  <c r="L84" i="21"/>
  <c r="L88" i="21"/>
  <c r="Q98" i="14"/>
  <c r="Q100" i="14"/>
  <c r="Q101" i="14" s="1"/>
  <c r="N14" i="14"/>
  <c r="N19" i="14" s="1"/>
  <c r="M21" i="14"/>
  <c r="M44" i="14"/>
  <c r="M35" i="14"/>
  <c r="R95" i="14"/>
  <c r="S76" i="14"/>
  <c r="DJ54" i="30"/>
  <c r="R128" i="14"/>
  <c r="R115" i="14"/>
  <c r="R116" i="14" s="1"/>
  <c r="L113" i="21"/>
  <c r="N113" i="21" s="1"/>
  <c r="P113" i="21" s="1"/>
  <c r="U111" i="21"/>
  <c r="N111" i="21"/>
  <c r="P111" i="21" s="1"/>
  <c r="DK48" i="30"/>
  <c r="N161" i="87"/>
  <c r="N150" i="87"/>
  <c r="N176" i="87" s="1"/>
  <c r="N174" i="87"/>
  <c r="N137" i="87"/>
  <c r="N139" i="87" s="1"/>
  <c r="N142" i="87" s="1"/>
  <c r="N144" i="87" s="1"/>
  <c r="G175" i="87"/>
  <c r="DN48" i="30"/>
  <c r="DO48" i="30"/>
  <c r="F119" i="87"/>
  <c r="M139" i="87"/>
  <c r="M142" i="87" s="1"/>
  <c r="M144" i="87" s="1"/>
  <c r="M175" i="87" s="1"/>
  <c r="G78" i="87"/>
  <c r="Y112" i="14"/>
  <c r="J154" i="19"/>
  <c r="L155" i="19" s="1"/>
  <c r="J166" i="19"/>
  <c r="V165" i="2" s="1"/>
  <c r="X165" i="2" s="1"/>
  <c r="J131" i="21"/>
  <c r="V20" i="14"/>
  <c r="DN53" i="30" s="1"/>
  <c r="DN67" i="30" s="1"/>
  <c r="J162" i="19"/>
  <c r="DS30" i="30"/>
  <c r="W111" i="21" l="1"/>
  <c r="U113" i="21"/>
  <c r="W113" i="21" s="1"/>
  <c r="S115" i="14"/>
  <c r="S116" i="14" s="1"/>
  <c r="S95" i="14"/>
  <c r="DK54" i="30"/>
  <c r="T76" i="14"/>
  <c r="S128" i="14"/>
  <c r="N155" i="19"/>
  <c r="P155" i="19" s="1"/>
  <c r="U155" i="19"/>
  <c r="W155" i="19" s="1"/>
  <c r="L131" i="21"/>
  <c r="M25" i="14"/>
  <c r="M26" i="14" s="1"/>
  <c r="M22" i="14"/>
  <c r="N88" i="21"/>
  <c r="P88" i="21" s="1"/>
  <c r="U88" i="21"/>
  <c r="L92" i="21"/>
  <c r="N95" i="21"/>
  <c r="P95" i="21" s="1"/>
  <c r="U153" i="19"/>
  <c r="N153" i="19"/>
  <c r="P153" i="19" s="1"/>
  <c r="U118" i="21"/>
  <c r="W118" i="21" s="1"/>
  <c r="N118" i="21"/>
  <c r="P118" i="21" s="1"/>
  <c r="L124" i="21"/>
  <c r="V15" i="14"/>
  <c r="V17" i="14" s="1"/>
  <c r="V18" i="14"/>
  <c r="J160" i="19"/>
  <c r="Z107" i="14"/>
  <c r="Y110" i="14"/>
  <c r="Y107" i="14"/>
  <c r="R98" i="14"/>
  <c r="R100" i="14"/>
  <c r="R101" i="14" s="1"/>
  <c r="N21" i="14"/>
  <c r="O14" i="14"/>
  <c r="O19" i="14" s="1"/>
  <c r="N35" i="14"/>
  <c r="N44" i="14"/>
  <c r="U84" i="21"/>
  <c r="N91" i="21"/>
  <c r="P91" i="21" s="1"/>
  <c r="N84" i="21"/>
  <c r="P84" i="21" s="1"/>
  <c r="L85" i="21"/>
  <c r="N85" i="21" s="1"/>
  <c r="P85" i="21" s="1"/>
  <c r="N147" i="19"/>
  <c r="P147" i="19" s="1"/>
  <c r="U147" i="19"/>
  <c r="W147" i="19" s="1"/>
  <c r="T92" i="14"/>
  <c r="U77" i="14"/>
  <c r="U93" i="14" s="1"/>
  <c r="T117" i="14"/>
  <c r="T96" i="14"/>
  <c r="N130" i="21"/>
  <c r="P130" i="21" s="1"/>
  <c r="U130" i="21"/>
  <c r="N119" i="21"/>
  <c r="P119" i="21" s="1"/>
  <c r="U119" i="21"/>
  <c r="W119" i="21" s="1"/>
  <c r="W148" i="19"/>
  <c r="L166" i="19"/>
  <c r="V161" i="2"/>
  <c r="X161" i="2" s="1"/>
  <c r="J125" i="21"/>
  <c r="L126" i="21" s="1"/>
  <c r="L154" i="19"/>
  <c r="V153" i="2"/>
  <c r="X153" i="2" s="1"/>
  <c r="Z153" i="2" s="1"/>
  <c r="CL67" i="30"/>
  <c r="BR67" i="30"/>
  <c r="BW67" i="30"/>
  <c r="CG67" i="30"/>
  <c r="BM67" i="30"/>
  <c r="CV67" i="30"/>
  <c r="CB67" i="30"/>
  <c r="BH67" i="30"/>
  <c r="CQ67" i="30"/>
  <c r="M36" i="14"/>
  <c r="DE63" i="30"/>
  <c r="V158" i="2"/>
  <c r="X158" i="2" s="1"/>
  <c r="Z158" i="2" s="1"/>
  <c r="L159" i="19"/>
  <c r="Z152" i="2"/>
  <c r="N117" i="21"/>
  <c r="P117" i="21" s="1"/>
  <c r="U117" i="21"/>
  <c r="L120" i="21"/>
  <c r="N120" i="21" s="1"/>
  <c r="P120" i="21" s="1"/>
  <c r="W152" i="19"/>
  <c r="V155" i="2"/>
  <c r="X154" i="2"/>
  <c r="Z154" i="2" s="1"/>
  <c r="N146" i="19"/>
  <c r="P146" i="19" s="1"/>
  <c r="U146" i="19"/>
  <c r="L149" i="19"/>
  <c r="N149" i="19" s="1"/>
  <c r="P149" i="19" s="1"/>
  <c r="W123" i="21"/>
  <c r="N175" i="87"/>
  <c r="J132" i="21"/>
  <c r="L132" i="21" s="1"/>
  <c r="W20" i="14"/>
  <c r="DO53" i="30" s="1"/>
  <c r="DO67" i="30" s="1"/>
  <c r="J167" i="19"/>
  <c r="DS29" i="30"/>
  <c r="Z161" i="2" l="1"/>
  <c r="U132" i="21"/>
  <c r="J161" i="19"/>
  <c r="N159" i="19"/>
  <c r="P159" i="19" s="1"/>
  <c r="U159" i="19"/>
  <c r="U126" i="21"/>
  <c r="W126" i="21" s="1"/>
  <c r="N126" i="21"/>
  <c r="P126" i="21" s="1"/>
  <c r="N166" i="19"/>
  <c r="P166" i="19" s="1"/>
  <c r="U166" i="19"/>
  <c r="U85" i="21"/>
  <c r="W85" i="21" s="1"/>
  <c r="W91" i="21"/>
  <c r="W84" i="21"/>
  <c r="N22" i="14"/>
  <c r="N25" i="14"/>
  <c r="N26" i="14" s="1"/>
  <c r="L125" i="21"/>
  <c r="W88" i="21"/>
  <c r="U92" i="21"/>
  <c r="W95" i="21"/>
  <c r="Z165" i="2"/>
  <c r="S98" i="14"/>
  <c r="S100" i="14"/>
  <c r="S101" i="14" s="1"/>
  <c r="W18" i="14"/>
  <c r="W15" i="14"/>
  <c r="W17" i="14" s="1"/>
  <c r="W117" i="21"/>
  <c r="U120" i="21"/>
  <c r="W120" i="21" s="1"/>
  <c r="W130" i="21"/>
  <c r="U117" i="14"/>
  <c r="U96" i="14"/>
  <c r="U92" i="14"/>
  <c r="V77" i="14"/>
  <c r="V93" i="14" s="1"/>
  <c r="Y33" i="14"/>
  <c r="Z111" i="14"/>
  <c r="Y111" i="14"/>
  <c r="Z105" i="14"/>
  <c r="Y105" i="14"/>
  <c r="W153" i="19"/>
  <c r="U131" i="21"/>
  <c r="N131" i="21"/>
  <c r="P131" i="21" s="1"/>
  <c r="W146" i="19"/>
  <c r="U149" i="19"/>
  <c r="W149" i="19" s="1"/>
  <c r="N154" i="19"/>
  <c r="P154" i="19" s="1"/>
  <c r="U154" i="19"/>
  <c r="T128" i="14"/>
  <c r="U76" i="14"/>
  <c r="T115" i="14"/>
  <c r="T116" i="14" s="1"/>
  <c r="T95" i="14"/>
  <c r="DL54" i="30"/>
  <c r="N36" i="14"/>
  <c r="DF63" i="30"/>
  <c r="V166" i="2"/>
  <c r="X166" i="2" s="1"/>
  <c r="L167" i="19"/>
  <c r="P14" i="14"/>
  <c r="P19" i="14" s="1"/>
  <c r="O21" i="14"/>
  <c r="O35" i="14"/>
  <c r="O44" i="14"/>
  <c r="L160" i="19"/>
  <c r="V159" i="2"/>
  <c r="X159" i="2" s="1"/>
  <c r="Z159" i="2" s="1"/>
  <c r="N124" i="21"/>
  <c r="P124" i="21" s="1"/>
  <c r="U124" i="21"/>
  <c r="L127" i="21"/>
  <c r="N127" i="21" s="1"/>
  <c r="P127" i="21" s="1"/>
  <c r="L156" i="19"/>
  <c r="N156" i="19" s="1"/>
  <c r="P156" i="19" s="1"/>
  <c r="N92" i="21"/>
  <c r="P92" i="21" s="1"/>
  <c r="N99" i="21"/>
  <c r="P99" i="21" s="1"/>
  <c r="J168" i="19"/>
  <c r="J133" i="21"/>
  <c r="L168" i="19" l="1"/>
  <c r="V167" i="2"/>
  <c r="X167" i="2" s="1"/>
  <c r="DG63" i="30"/>
  <c r="O36" i="14"/>
  <c r="N167" i="19"/>
  <c r="P167" i="19" s="1"/>
  <c r="U167" i="19"/>
  <c r="Y106" i="14"/>
  <c r="Y130" i="14" s="1"/>
  <c r="Y120" i="14"/>
  <c r="Y121" i="14" s="1"/>
  <c r="O22" i="14"/>
  <c r="O25" i="14"/>
  <c r="O26" i="14" s="1"/>
  <c r="Z166" i="2"/>
  <c r="T100" i="14"/>
  <c r="T101" i="14" s="1"/>
  <c r="T98" i="14"/>
  <c r="W154" i="19"/>
  <c r="U156" i="19"/>
  <c r="W156" i="19" s="1"/>
  <c r="Z120" i="14"/>
  <c r="AA106" i="14"/>
  <c r="AA130" i="14" s="1"/>
  <c r="Z106" i="14"/>
  <c r="Z130" i="14" s="1"/>
  <c r="V92" i="14"/>
  <c r="W77" i="14"/>
  <c r="W93" i="14" s="1"/>
  <c r="V96" i="14"/>
  <c r="V117" i="14"/>
  <c r="N125" i="21"/>
  <c r="P125" i="21" s="1"/>
  <c r="U125" i="21"/>
  <c r="W125" i="21" s="1"/>
  <c r="N160" i="19"/>
  <c r="P160" i="19" s="1"/>
  <c r="U160" i="19"/>
  <c r="W160" i="19" s="1"/>
  <c r="P21" i="14"/>
  <c r="Q14" i="14"/>
  <c r="Q19" i="14" s="1"/>
  <c r="P44" i="14"/>
  <c r="P35" i="14"/>
  <c r="U115" i="14"/>
  <c r="U116" i="14" s="1"/>
  <c r="U95" i="14"/>
  <c r="U128" i="14"/>
  <c r="V76" i="14"/>
  <c r="DM54" i="30"/>
  <c r="N132" i="21"/>
  <c r="P132" i="21" s="1"/>
  <c r="W124" i="21"/>
  <c r="L133" i="21"/>
  <c r="W131" i="21"/>
  <c r="W92" i="21"/>
  <c r="W99" i="21"/>
  <c r="W166" i="19"/>
  <c r="W159" i="19"/>
  <c r="L161" i="19"/>
  <c r="V160" i="2"/>
  <c r="X160" i="2" s="1"/>
  <c r="Z160" i="2" s="1"/>
  <c r="L162" i="19"/>
  <c r="J137" i="21"/>
  <c r="L137" i="21" s="1"/>
  <c r="J169" i="19"/>
  <c r="U100" i="14" l="1"/>
  <c r="U101" i="14" s="1"/>
  <c r="U98" i="14"/>
  <c r="N168" i="19"/>
  <c r="P168" i="19" s="1"/>
  <c r="U168" i="19"/>
  <c r="V168" i="2"/>
  <c r="X168" i="2" s="1"/>
  <c r="Z168" i="2" s="1"/>
  <c r="L169" i="19"/>
  <c r="N162" i="19"/>
  <c r="P162" i="19" s="1"/>
  <c r="U162" i="19"/>
  <c r="W162" i="19" s="1"/>
  <c r="W167" i="19"/>
  <c r="Z167" i="2"/>
  <c r="X77" i="14"/>
  <c r="X93" i="14" s="1"/>
  <c r="W117" i="14"/>
  <c r="W92" i="14"/>
  <c r="W96" i="14"/>
  <c r="N161" i="19"/>
  <c r="P161" i="19" s="1"/>
  <c r="U161" i="19"/>
  <c r="N133" i="21"/>
  <c r="P133" i="21" s="1"/>
  <c r="U133" i="21"/>
  <c r="L134" i="21"/>
  <c r="N134" i="21" s="1"/>
  <c r="P134" i="21" s="1"/>
  <c r="P22" i="14"/>
  <c r="P25" i="14"/>
  <c r="P26" i="14" s="1"/>
  <c r="W76" i="14"/>
  <c r="DN54" i="30"/>
  <c r="V95" i="14"/>
  <c r="V115" i="14"/>
  <c r="V116" i="14" s="1"/>
  <c r="V128" i="14"/>
  <c r="Q21" i="14"/>
  <c r="R14" i="14"/>
  <c r="R19" i="14" s="1"/>
  <c r="Q35" i="14"/>
  <c r="Q44" i="14"/>
  <c r="AA121" i="14"/>
  <c r="Z121" i="14"/>
  <c r="N137" i="21"/>
  <c r="P137" i="21" s="1"/>
  <c r="U137" i="21"/>
  <c r="W132" i="21"/>
  <c r="U127" i="21"/>
  <c r="W127" i="21" s="1"/>
  <c r="P36" i="14"/>
  <c r="DH63" i="30"/>
  <c r="L163" i="19"/>
  <c r="N163" i="19" s="1"/>
  <c r="P163" i="19" s="1"/>
  <c r="J140" i="21"/>
  <c r="J138" i="21"/>
  <c r="J144" i="21"/>
  <c r="X20" i="14"/>
  <c r="DP53" i="30" s="1"/>
  <c r="DP67" i="30" s="1"/>
  <c r="Q22" i="14" l="1"/>
  <c r="Q25" i="14"/>
  <c r="Q26" i="14" s="1"/>
  <c r="X92" i="14"/>
  <c r="X117" i="14"/>
  <c r="Y77" i="14"/>
  <c r="Y93" i="14" s="1"/>
  <c r="X96" i="14"/>
  <c r="W168" i="19"/>
  <c r="U170" i="19"/>
  <c r="W137" i="21"/>
  <c r="W133" i="21"/>
  <c r="U134" i="21"/>
  <c r="W134" i="21" s="1"/>
  <c r="L170" i="19"/>
  <c r="N170" i="19" s="1"/>
  <c r="P170" i="19" s="1"/>
  <c r="N169" i="19"/>
  <c r="P169" i="19" s="1"/>
  <c r="U169" i="19"/>
  <c r="W169" i="19" s="1"/>
  <c r="AB81" i="14"/>
  <c r="AB80" i="14" s="1"/>
  <c r="L144" i="21"/>
  <c r="Q36" i="14"/>
  <c r="DI63" i="30"/>
  <c r="DO54" i="30"/>
  <c r="W128" i="14"/>
  <c r="W95" i="14"/>
  <c r="W115" i="14"/>
  <c r="W116" i="14" s="1"/>
  <c r="X76" i="14"/>
  <c r="X15" i="14"/>
  <c r="X17" i="14" s="1"/>
  <c r="X18" i="14"/>
  <c r="L138" i="21"/>
  <c r="R21" i="14"/>
  <c r="S14" i="14"/>
  <c r="S19" i="14" s="1"/>
  <c r="R44" i="14"/>
  <c r="R35" i="14"/>
  <c r="V98" i="14"/>
  <c r="V100" i="14"/>
  <c r="V101" i="14" s="1"/>
  <c r="W161" i="19"/>
  <c r="U163" i="19"/>
  <c r="W163" i="19" s="1"/>
  <c r="DT30" i="30"/>
  <c r="J151" i="21"/>
  <c r="J173" i="19"/>
  <c r="J145" i="21"/>
  <c r="L145" i="21" s="1"/>
  <c r="J147" i="21"/>
  <c r="J139" i="21"/>
  <c r="L140" i="21" s="1"/>
  <c r="N140" i="21" l="1"/>
  <c r="P140" i="21" s="1"/>
  <c r="U140" i="21"/>
  <c r="W140" i="21" s="1"/>
  <c r="W100" i="14"/>
  <c r="W101" i="14" s="1"/>
  <c r="W98" i="14"/>
  <c r="U145" i="21"/>
  <c r="N145" i="21"/>
  <c r="P145" i="21" s="1"/>
  <c r="V172" i="2"/>
  <c r="X172" i="2" s="1"/>
  <c r="Z172" i="2" s="1"/>
  <c r="L173" i="19"/>
  <c r="DJ63" i="30"/>
  <c r="R36" i="14"/>
  <c r="U138" i="21"/>
  <c r="N138" i="21"/>
  <c r="P138" i="21" s="1"/>
  <c r="U144" i="21"/>
  <c r="N144" i="21"/>
  <c r="P144" i="21" s="1"/>
  <c r="W170" i="19"/>
  <c r="S35" i="14"/>
  <c r="S21" i="14"/>
  <c r="T14" i="14"/>
  <c r="T19" i="14" s="1"/>
  <c r="S44" i="14"/>
  <c r="L151" i="21"/>
  <c r="L139" i="21"/>
  <c r="Y76" i="14"/>
  <c r="X115" i="14"/>
  <c r="X116" i="14" s="1"/>
  <c r="AK92" i="14"/>
  <c r="X128" i="14"/>
  <c r="X95" i="14"/>
  <c r="DP54" i="30"/>
  <c r="R22" i="14"/>
  <c r="R25" i="14"/>
  <c r="R26" i="14" s="1"/>
  <c r="Z77" i="14"/>
  <c r="Z93" i="14" s="1"/>
  <c r="Y96" i="14"/>
  <c r="Y92" i="14"/>
  <c r="Y117" i="14"/>
  <c r="DT29" i="30"/>
  <c r="DR64" i="30"/>
  <c r="J176" i="19"/>
  <c r="J174" i="19"/>
  <c r="J152" i="21"/>
  <c r="J180" i="19"/>
  <c r="J154" i="21"/>
  <c r="J158" i="21"/>
  <c r="J146" i="21"/>
  <c r="L146" i="21" s="1"/>
  <c r="Y20" i="14"/>
  <c r="DQ53" i="30" s="1"/>
  <c r="DQ67" i="30" s="1"/>
  <c r="W145" i="21" l="1"/>
  <c r="L174" i="19"/>
  <c r="V173" i="2"/>
  <c r="X173" i="2" s="1"/>
  <c r="Z173" i="2" s="1"/>
  <c r="U14" i="14"/>
  <c r="U19" i="14" s="1"/>
  <c r="T35" i="14"/>
  <c r="T44" i="14"/>
  <c r="T21" i="14"/>
  <c r="V175" i="2"/>
  <c r="X175" i="2" s="1"/>
  <c r="Z175" i="2" s="1"/>
  <c r="X98" i="14"/>
  <c r="X100" i="14"/>
  <c r="X101" i="14" s="1"/>
  <c r="L147" i="21"/>
  <c r="L148" i="21" s="1"/>
  <c r="S22" i="14"/>
  <c r="S25" i="14"/>
  <c r="S26" i="14" s="1"/>
  <c r="W138" i="21"/>
  <c r="Y15" i="14"/>
  <c r="Y17" i="14" s="1"/>
  <c r="Y18" i="14"/>
  <c r="U146" i="21"/>
  <c r="N146" i="21"/>
  <c r="P146" i="21" s="1"/>
  <c r="Z92" i="14"/>
  <c r="Z117" i="14"/>
  <c r="AA77" i="14"/>
  <c r="AA93" i="14" s="1"/>
  <c r="Z96" i="14"/>
  <c r="U139" i="21"/>
  <c r="W139" i="21" s="1"/>
  <c r="N139" i="21"/>
  <c r="P139" i="21" s="1"/>
  <c r="U173" i="19"/>
  <c r="W173" i="19" s="1"/>
  <c r="N173" i="19"/>
  <c r="P173" i="19" s="1"/>
  <c r="V179" i="2"/>
  <c r="X179" i="2" s="1"/>
  <c r="Z179" i="2" s="1"/>
  <c r="L180" i="19"/>
  <c r="L152" i="21"/>
  <c r="Y95" i="14"/>
  <c r="Z76" i="14"/>
  <c r="DQ54" i="30"/>
  <c r="Y115" i="14"/>
  <c r="Y116" i="14" s="1"/>
  <c r="Y128" i="14"/>
  <c r="U151" i="21"/>
  <c r="N151" i="21"/>
  <c r="P151" i="21" s="1"/>
  <c r="S36" i="14"/>
  <c r="DK63" i="30"/>
  <c r="W144" i="21"/>
  <c r="L158" i="21"/>
  <c r="L141" i="21"/>
  <c r="N141" i="21" s="1"/>
  <c r="P141" i="21" s="1"/>
  <c r="J182" i="19"/>
  <c r="Z20" i="14"/>
  <c r="DR53" i="30" s="1"/>
  <c r="DR67" i="30" s="1"/>
  <c r="J194" i="19"/>
  <c r="J159" i="21"/>
  <c r="J153" i="21"/>
  <c r="L153" i="21" s="1"/>
  <c r="J181" i="19"/>
  <c r="V180" i="2" s="1"/>
  <c r="X180" i="2" s="1"/>
  <c r="Z180" i="2" s="1"/>
  <c r="J183" i="19"/>
  <c r="J190" i="19"/>
  <c r="J187" i="19"/>
  <c r="J161" i="21"/>
  <c r="J175" i="19"/>
  <c r="U153" i="21" l="1"/>
  <c r="W153" i="21" s="1"/>
  <c r="N153" i="21"/>
  <c r="P153" i="21" s="1"/>
  <c r="V189" i="2"/>
  <c r="X189" i="2" s="1"/>
  <c r="J165" i="21"/>
  <c r="J201" i="19"/>
  <c r="L194" i="19"/>
  <c r="V193" i="2"/>
  <c r="X193" i="2" s="1"/>
  <c r="L154" i="21"/>
  <c r="W151" i="21"/>
  <c r="Y98" i="14"/>
  <c r="Y100" i="14"/>
  <c r="Y101" i="14" s="1"/>
  <c r="U180" i="19"/>
  <c r="N180" i="19"/>
  <c r="P180" i="19" s="1"/>
  <c r="Z115" i="14"/>
  <c r="Z116" i="14" s="1"/>
  <c r="Z95" i="14"/>
  <c r="AA76" i="14"/>
  <c r="DR54" i="30"/>
  <c r="Z128" i="14"/>
  <c r="T25" i="14"/>
  <c r="T26" i="14" s="1"/>
  <c r="T22" i="14"/>
  <c r="L159" i="21"/>
  <c r="U35" i="14"/>
  <c r="U21" i="14"/>
  <c r="U44" i="14"/>
  <c r="V14" i="14"/>
  <c r="V19" i="14" s="1"/>
  <c r="L183" i="19"/>
  <c r="V182" i="2"/>
  <c r="X182" i="2" s="1"/>
  <c r="Z182" i="2" s="1"/>
  <c r="Z15" i="14"/>
  <c r="Z17" i="14" s="1"/>
  <c r="Z18" i="14"/>
  <c r="N158" i="21"/>
  <c r="P158" i="21" s="1"/>
  <c r="U158" i="21"/>
  <c r="N152" i="21"/>
  <c r="P152" i="21" s="1"/>
  <c r="U152" i="21"/>
  <c r="W152" i="21" s="1"/>
  <c r="U141" i="21"/>
  <c r="W141" i="21" s="1"/>
  <c r="N147" i="21"/>
  <c r="P147" i="21" s="1"/>
  <c r="U147" i="21"/>
  <c r="V174" i="2"/>
  <c r="X174" i="2" s="1"/>
  <c r="Z174" i="2" s="1"/>
  <c r="L175" i="19"/>
  <c r="V186" i="2"/>
  <c r="X186" i="2" s="1"/>
  <c r="Z186" i="2" s="1"/>
  <c r="L187" i="19"/>
  <c r="V181" i="2"/>
  <c r="X181" i="2" s="1"/>
  <c r="Z181" i="2" s="1"/>
  <c r="L182" i="19"/>
  <c r="L181" i="19"/>
  <c r="L184" i="19" s="1"/>
  <c r="N148" i="21"/>
  <c r="P148" i="21" s="1"/>
  <c r="AA117" i="14"/>
  <c r="AB77" i="14"/>
  <c r="AB93" i="14" s="1"/>
  <c r="AA96" i="14"/>
  <c r="AA92" i="14"/>
  <c r="W146" i="21"/>
  <c r="L176" i="19"/>
  <c r="DL63" i="30"/>
  <c r="T36" i="14"/>
  <c r="U174" i="19"/>
  <c r="W174" i="19" s="1"/>
  <c r="N174" i="19"/>
  <c r="P174" i="19" s="1"/>
  <c r="J160" i="21"/>
  <c r="L161" i="21" s="1"/>
  <c r="U161" i="21" s="1"/>
  <c r="J166" i="21"/>
  <c r="J188" i="19"/>
  <c r="V187" i="2" l="1"/>
  <c r="X187" i="2" s="1"/>
  <c r="Z187" i="2" s="1"/>
  <c r="L188" i="19"/>
  <c r="N176" i="19"/>
  <c r="P176" i="19" s="1"/>
  <c r="U176" i="19"/>
  <c r="W176" i="19" s="1"/>
  <c r="N159" i="21"/>
  <c r="P159" i="21" s="1"/>
  <c r="U159" i="21"/>
  <c r="W159" i="21" s="1"/>
  <c r="J189" i="19"/>
  <c r="N175" i="19"/>
  <c r="P175" i="19" s="1"/>
  <c r="U175" i="19"/>
  <c r="L177" i="19"/>
  <c r="N177" i="19" s="1"/>
  <c r="P177" i="19" s="1"/>
  <c r="W158" i="21"/>
  <c r="L160" i="21"/>
  <c r="L166" i="21"/>
  <c r="L165" i="21"/>
  <c r="Z189" i="2"/>
  <c r="AA20" i="14"/>
  <c r="DS53" i="30" s="1"/>
  <c r="DS67" i="30" s="1"/>
  <c r="AB92" i="14"/>
  <c r="AB117" i="14"/>
  <c r="AB96" i="14"/>
  <c r="AC77" i="14"/>
  <c r="V35" i="14"/>
  <c r="V21" i="14"/>
  <c r="V44" i="14"/>
  <c r="W14" i="14"/>
  <c r="W19" i="14" s="1"/>
  <c r="N161" i="21"/>
  <c r="P161" i="21" s="1"/>
  <c r="U154" i="21"/>
  <c r="W154" i="21" s="1"/>
  <c r="N154" i="21"/>
  <c r="P154" i="21" s="1"/>
  <c r="AA18" i="14"/>
  <c r="AA15" i="14"/>
  <c r="AA17" i="14" s="1"/>
  <c r="AB76" i="14"/>
  <c r="AA115" i="14"/>
  <c r="AA116" i="14" s="1"/>
  <c r="AA128" i="14"/>
  <c r="AA95" i="14"/>
  <c r="DS54" i="30"/>
  <c r="L155" i="21"/>
  <c r="N155" i="21" s="1"/>
  <c r="P155" i="21" s="1"/>
  <c r="U22" i="14"/>
  <c r="U25" i="14"/>
  <c r="U26" i="14" s="1"/>
  <c r="U155" i="21"/>
  <c r="Z193" i="2"/>
  <c r="V200" i="2"/>
  <c r="X200" i="2" s="1"/>
  <c r="Z200" i="2" s="1"/>
  <c r="U181" i="19"/>
  <c r="W181" i="19" s="1"/>
  <c r="N181" i="19"/>
  <c r="P181" i="19" s="1"/>
  <c r="U182" i="19"/>
  <c r="N182" i="19"/>
  <c r="P182" i="19" s="1"/>
  <c r="U187" i="19"/>
  <c r="N187" i="19"/>
  <c r="P187" i="19" s="1"/>
  <c r="W147" i="21"/>
  <c r="U148" i="21"/>
  <c r="W148" i="21" s="1"/>
  <c r="U183" i="19"/>
  <c r="W183" i="19" s="1"/>
  <c r="N183" i="19"/>
  <c r="P183" i="19" s="1"/>
  <c r="U36" i="14"/>
  <c r="DM63" i="30"/>
  <c r="Z100" i="14"/>
  <c r="Z101" i="14" s="1"/>
  <c r="Z98" i="14"/>
  <c r="W180" i="19"/>
  <c r="U194" i="19"/>
  <c r="N194" i="19"/>
  <c r="P194" i="19" s="1"/>
  <c r="DU30" i="30"/>
  <c r="J195" i="19"/>
  <c r="J167" i="21"/>
  <c r="J202" i="19"/>
  <c r="W155" i="21" l="1"/>
  <c r="AB95" i="14"/>
  <c r="AB128" i="14"/>
  <c r="AC76" i="14"/>
  <c r="AB115" i="14"/>
  <c r="AB116" i="14" s="1"/>
  <c r="DT54" i="30"/>
  <c r="U160" i="21"/>
  <c r="W160" i="21" s="1"/>
  <c r="N160" i="21"/>
  <c r="P160" i="21" s="1"/>
  <c r="L162" i="21"/>
  <c r="N162" i="21" s="1"/>
  <c r="P162" i="21" s="1"/>
  <c r="N188" i="19"/>
  <c r="P188" i="19" s="1"/>
  <c r="U188" i="19"/>
  <c r="W188" i="19" s="1"/>
  <c r="L195" i="19"/>
  <c r="V194" i="2"/>
  <c r="X194" i="2" s="1"/>
  <c r="Z194" i="2" s="1"/>
  <c r="W182" i="19"/>
  <c r="W21" i="14"/>
  <c r="W44" i="14"/>
  <c r="W35" i="14"/>
  <c r="X14" i="14"/>
  <c r="X19" i="14" s="1"/>
  <c r="V36" i="14"/>
  <c r="DN63" i="30"/>
  <c r="U166" i="21"/>
  <c r="W166" i="21" s="1"/>
  <c r="N166" i="21"/>
  <c r="P166" i="21" s="1"/>
  <c r="U177" i="19"/>
  <c r="W177" i="19" s="1"/>
  <c r="W175" i="19"/>
  <c r="L202" i="19"/>
  <c r="V201" i="2"/>
  <c r="X201" i="2" s="1"/>
  <c r="Z201" i="2" s="1"/>
  <c r="U184" i="19"/>
  <c r="W184" i="19" s="1"/>
  <c r="W187" i="19"/>
  <c r="U162" i="21"/>
  <c r="W162" i="21" s="1"/>
  <c r="L189" i="19"/>
  <c r="V188" i="2"/>
  <c r="X188" i="2" s="1"/>
  <c r="Z188" i="2" s="1"/>
  <c r="L190" i="19"/>
  <c r="N184" i="19"/>
  <c r="P184" i="19" s="1"/>
  <c r="L167" i="21"/>
  <c r="W194" i="19"/>
  <c r="AA100" i="14"/>
  <c r="AA101" i="14" s="1"/>
  <c r="AA98" i="14"/>
  <c r="V22" i="14"/>
  <c r="V25" i="14"/>
  <c r="V26" i="14" s="1"/>
  <c r="U165" i="21"/>
  <c r="N165" i="21"/>
  <c r="P165" i="21" s="1"/>
  <c r="W161" i="21"/>
  <c r="DU29" i="30"/>
  <c r="DS64" i="30"/>
  <c r="J196" i="19" l="1"/>
  <c r="N167" i="21"/>
  <c r="P167" i="21" s="1"/>
  <c r="U167" i="21"/>
  <c r="W167" i="21" s="1"/>
  <c r="U202" i="19"/>
  <c r="N202" i="19"/>
  <c r="P202" i="19" s="1"/>
  <c r="X21" i="14"/>
  <c r="X44" i="14"/>
  <c r="Y14" i="14"/>
  <c r="Y19" i="14" s="1"/>
  <c r="AK19" i="14"/>
  <c r="X35" i="14"/>
  <c r="U189" i="19"/>
  <c r="N189" i="19"/>
  <c r="P189" i="19" s="1"/>
  <c r="DO63" i="30"/>
  <c r="W36" i="14"/>
  <c r="U195" i="19"/>
  <c r="N195" i="19"/>
  <c r="P195" i="19" s="1"/>
  <c r="AB98" i="14"/>
  <c r="AB100" i="14"/>
  <c r="AB101" i="14" s="1"/>
  <c r="U190" i="19"/>
  <c r="W190" i="19" s="1"/>
  <c r="N190" i="19"/>
  <c r="P190" i="19" s="1"/>
  <c r="W22" i="14"/>
  <c r="W25" i="14"/>
  <c r="W26" i="14" s="1"/>
  <c r="W165" i="21"/>
  <c r="L191" i="19"/>
  <c r="N191" i="19" s="1"/>
  <c r="P191" i="19" s="1"/>
  <c r="DU28" i="30"/>
  <c r="P24" i="87"/>
  <c r="P63" i="87" s="1"/>
  <c r="Z168" i="21"/>
  <c r="W202" i="19" l="1"/>
  <c r="Z14" i="14"/>
  <c r="Z19" i="14" s="1"/>
  <c r="Y44" i="14"/>
  <c r="Y35" i="14"/>
  <c r="Y21" i="14"/>
  <c r="W195" i="19"/>
  <c r="W189" i="19"/>
  <c r="U191" i="19"/>
  <c r="W191" i="19" s="1"/>
  <c r="L196" i="19"/>
  <c r="V195" i="2"/>
  <c r="X195" i="2" s="1"/>
  <c r="Z195" i="2" s="1"/>
  <c r="AB168" i="21"/>
  <c r="DP63" i="30"/>
  <c r="X36" i="14"/>
  <c r="X25" i="14"/>
  <c r="X26" i="14" s="1"/>
  <c r="X22" i="14"/>
  <c r="P147" i="87"/>
  <c r="P145" i="87" s="1"/>
  <c r="Y36" i="14" l="1"/>
  <c r="DQ63" i="30"/>
  <c r="N196" i="19"/>
  <c r="P196" i="19" s="1"/>
  <c r="U196" i="19"/>
  <c r="Z44" i="14"/>
  <c r="Z35" i="14"/>
  <c r="Z21" i="14"/>
  <c r="AA14" i="14"/>
  <c r="AA19" i="14" s="1"/>
  <c r="AB169" i="21"/>
  <c r="AD169" i="21" s="1"/>
  <c r="AD168" i="21"/>
  <c r="Y22" i="14"/>
  <c r="Y25" i="14"/>
  <c r="Y26" i="14" s="1"/>
  <c r="P148" i="87"/>
  <c r="P146" i="87"/>
  <c r="DV30" i="30"/>
  <c r="DR63" i="30" l="1"/>
  <c r="Z36" i="14"/>
  <c r="AA44" i="14"/>
  <c r="AA21" i="14"/>
  <c r="AB14" i="14"/>
  <c r="AA35" i="14"/>
  <c r="Z25" i="14"/>
  <c r="Z26" i="14" s="1"/>
  <c r="Z22" i="14"/>
  <c r="W196" i="19"/>
  <c r="DV29" i="30"/>
  <c r="DW30" i="30"/>
  <c r="AA36" i="14" l="1"/>
  <c r="DS63" i="30"/>
  <c r="AA22" i="14"/>
  <c r="AA25" i="14"/>
  <c r="AA26" i="14" s="1"/>
  <c r="DX30" i="30"/>
  <c r="DW29" i="30"/>
  <c r="DW28" i="30" l="1"/>
  <c r="R24" i="87"/>
  <c r="DX29" i="30"/>
  <c r="DV28" i="30"/>
  <c r="Q24" i="87"/>
  <c r="DY30" i="30"/>
  <c r="DT11" i="30" l="1"/>
  <c r="O8" i="87"/>
  <c r="DX28" i="30"/>
  <c r="S24" i="87"/>
  <c r="DY29" i="30"/>
  <c r="Q147" i="87"/>
  <c r="Q145" i="87" s="1"/>
  <c r="Q63" i="87"/>
  <c r="R147" i="87"/>
  <c r="R145" i="87" s="1"/>
  <c r="R63" i="87"/>
  <c r="DY28" i="30" l="1"/>
  <c r="T24" i="87"/>
  <c r="DT9" i="30"/>
  <c r="O6" i="87"/>
  <c r="R146" i="87"/>
  <c r="R104" i="87"/>
  <c r="R148" i="87" s="1"/>
  <c r="O47" i="87"/>
  <c r="O88" i="87"/>
  <c r="Q146" i="87"/>
  <c r="Q104" i="87"/>
  <c r="Q148" i="87" s="1"/>
  <c r="S63" i="87"/>
  <c r="S147" i="87"/>
  <c r="S145" i="87" s="1"/>
  <c r="U24" i="87"/>
  <c r="T63" i="87" l="1"/>
  <c r="T147" i="87"/>
  <c r="T145" i="87" s="1"/>
  <c r="DT23" i="30"/>
  <c r="O18" i="87"/>
  <c r="O10" i="87"/>
  <c r="O86" i="87"/>
  <c r="O35" i="87"/>
  <c r="O45" i="87"/>
  <c r="O30" i="87"/>
  <c r="O159" i="87" s="1"/>
  <c r="O157" i="87" s="1"/>
  <c r="U147" i="87"/>
  <c r="U145" i="87" s="1"/>
  <c r="U63" i="87"/>
  <c r="S104" i="87"/>
  <c r="S148" i="87" s="1"/>
  <c r="S146" i="87"/>
  <c r="DT44" i="30"/>
  <c r="DT13" i="30"/>
  <c r="DT36" i="30"/>
  <c r="DT68" i="30" l="1"/>
  <c r="O74" i="87"/>
  <c r="O49" i="87"/>
  <c r="O69" i="87"/>
  <c r="O158" i="87" s="1"/>
  <c r="O98" i="87"/>
  <c r="O57" i="87"/>
  <c r="DT35" i="30"/>
  <c r="DT17" i="30"/>
  <c r="U146" i="87"/>
  <c r="U104" i="87"/>
  <c r="U148" i="87" s="1"/>
  <c r="O121" i="87"/>
  <c r="O80" i="87"/>
  <c r="O81" i="87" s="1"/>
  <c r="O179" i="87" s="1"/>
  <c r="O177" i="87"/>
  <c r="O90" i="87"/>
  <c r="O115" i="87"/>
  <c r="O110" i="87"/>
  <c r="O160" i="87" s="1"/>
  <c r="O13" i="87"/>
  <c r="O29" i="87"/>
  <c r="O155" i="87" s="1"/>
  <c r="O153" i="87" s="1"/>
  <c r="T146" i="87"/>
  <c r="T104" i="87"/>
  <c r="T148" i="87" s="1"/>
  <c r="CL56" i="30"/>
  <c r="O93" i="87" l="1"/>
  <c r="O109" i="87"/>
  <c r="O156" i="87" s="1"/>
  <c r="O26" i="87"/>
  <c r="O40" i="87" s="1"/>
  <c r="O31" i="87"/>
  <c r="O16" i="87"/>
  <c r="O38" i="87"/>
  <c r="O68" i="87"/>
  <c r="O154" i="87" s="1"/>
  <c r="O52" i="87"/>
  <c r="DT21" i="30"/>
  <c r="DT47" i="30"/>
  <c r="DT37" i="30"/>
  <c r="DT32" i="30"/>
  <c r="O180" i="87"/>
  <c r="O178" i="87" s="1"/>
  <c r="O168" i="87" s="1"/>
  <c r="O127" i="87" s="1"/>
  <c r="O122" i="87"/>
  <c r="O181" i="87" s="1"/>
  <c r="DT49" i="30" l="1"/>
  <c r="DT41" i="30"/>
  <c r="O111" i="87"/>
  <c r="O118" i="87"/>
  <c r="O106" i="87"/>
  <c r="O120" i="87" s="1"/>
  <c r="O96" i="87"/>
  <c r="O77" i="87"/>
  <c r="O55" i="87"/>
  <c r="O65" i="87"/>
  <c r="O79" i="87" s="1"/>
  <c r="O70" i="87"/>
  <c r="O131" i="87"/>
  <c r="O132" i="87"/>
  <c r="O173" i="87" s="1"/>
  <c r="DT25" i="30"/>
  <c r="DT38" i="30"/>
  <c r="DT39" i="30"/>
  <c r="O21" i="87"/>
  <c r="O23" i="87" s="1"/>
  <c r="O39" i="87" s="1"/>
  <c r="O32" i="87"/>
  <c r="O164" i="87" s="1"/>
  <c r="O162" i="87" s="1"/>
  <c r="O134" i="87" l="1"/>
  <c r="O137" i="87" s="1"/>
  <c r="O129" i="87"/>
  <c r="O60" i="87"/>
  <c r="O62" i="87" s="1"/>
  <c r="O78" i="87" s="1"/>
  <c r="O71" i="87"/>
  <c r="O163" i="87" s="1"/>
  <c r="DT40" i="30"/>
  <c r="DT27" i="30"/>
  <c r="DT48" i="30" s="1"/>
  <c r="O101" i="87"/>
  <c r="O103" i="87" s="1"/>
  <c r="O119" i="87" s="1"/>
  <c r="O112" i="87"/>
  <c r="O165" i="87" s="1"/>
  <c r="O161" i="87" l="1"/>
  <c r="O174" i="87"/>
  <c r="O150" i="87"/>
  <c r="O176" i="87" s="1"/>
  <c r="O139" i="87"/>
  <c r="O142" i="87" s="1"/>
  <c r="O144" i="87" s="1"/>
  <c r="O175" i="87" s="1"/>
  <c r="J203" i="19" l="1"/>
  <c r="V202" i="2" l="1"/>
  <c r="X202" i="2" s="1"/>
  <c r="Z202" i="2" s="1"/>
  <c r="L203" i="19"/>
  <c r="U203" i="19" l="1"/>
  <c r="W203" i="19" s="1"/>
  <c r="N203" i="19"/>
  <c r="P203" i="19" s="1"/>
  <c r="CR9" i="30" l="1"/>
  <c r="CR36" i="30" l="1"/>
  <c r="CR44" i="30"/>
  <c r="CR45" i="30"/>
  <c r="CR11" i="30"/>
  <c r="CR13" i="30" s="1"/>
  <c r="CR35" i="30" l="1"/>
  <c r="CR17" i="30"/>
  <c r="DU11" i="30" l="1"/>
  <c r="P8" i="87"/>
  <c r="CR47" i="30"/>
  <c r="CR32" i="30"/>
  <c r="CR37" i="30"/>
  <c r="DU9" i="30" l="1"/>
  <c r="P6" i="87"/>
  <c r="CR41" i="30"/>
  <c r="CR49" i="30"/>
  <c r="CR38" i="30"/>
  <c r="CR23" i="30"/>
  <c r="CR39" i="30" s="1"/>
  <c r="CR25" i="30" l="1"/>
  <c r="P10" i="87"/>
  <c r="P30" i="87"/>
  <c r="P35" i="87"/>
  <c r="DU13" i="30"/>
  <c r="DU44" i="30"/>
  <c r="DU36" i="30"/>
  <c r="DU17" i="30" l="1"/>
  <c r="DU21" i="30" s="1"/>
  <c r="DU35" i="30"/>
  <c r="P158" i="87"/>
  <c r="P160" i="87"/>
  <c r="P159" i="87"/>
  <c r="P157" i="87" s="1"/>
  <c r="P29" i="87"/>
  <c r="P13" i="87"/>
  <c r="CR27" i="30"/>
  <c r="CR40" i="30"/>
  <c r="CM54" i="30"/>
  <c r="CR48" i="30" l="1"/>
  <c r="DU37" i="30"/>
  <c r="DU47" i="30"/>
  <c r="DU32" i="30"/>
  <c r="P31" i="87"/>
  <c r="P16" i="87"/>
  <c r="P26" i="87"/>
  <c r="P40" i="87" s="1"/>
  <c r="P38" i="87"/>
  <c r="DU23" i="30"/>
  <c r="P18" i="87"/>
  <c r="P155" i="87"/>
  <c r="P153" i="87" s="1"/>
  <c r="P156" i="87"/>
  <c r="P154" i="87"/>
  <c r="DU68" i="30"/>
  <c r="P98" i="87" l="1"/>
  <c r="P101" i="87" s="1"/>
  <c r="P103" i="87" s="1"/>
  <c r="P57" i="87"/>
  <c r="P60" i="87" s="1"/>
  <c r="P62" i="87" s="1"/>
  <c r="P32" i="87"/>
  <c r="P112" i="87" s="1"/>
  <c r="P165" i="87" s="1"/>
  <c r="DU39" i="30"/>
  <c r="DU38" i="30"/>
  <c r="DU25" i="30"/>
  <c r="P21" i="87"/>
  <c r="P23" i="87" s="1"/>
  <c r="P39" i="87" s="1"/>
  <c r="DU41" i="30"/>
  <c r="DU49" i="30"/>
  <c r="CM55" i="30"/>
  <c r="P71" i="87" l="1"/>
  <c r="P163" i="87" s="1"/>
  <c r="P164" i="87"/>
  <c r="P162" i="87" s="1"/>
  <c r="CM56" i="30"/>
  <c r="DU40" i="30"/>
  <c r="DU27" i="30"/>
  <c r="DU48" i="30" s="1"/>
  <c r="BH92" i="3" l="1"/>
  <c r="BH93" i="3" s="1"/>
  <c r="BH15" i="3"/>
  <c r="BH27" i="3" s="1"/>
  <c r="BH83" i="3" l="1"/>
  <c r="BH87" i="3" s="1"/>
  <c r="BH82" i="3"/>
  <c r="BH63" i="3"/>
  <c r="DT64" i="30" l="1"/>
  <c r="J197" i="19" l="1"/>
  <c r="L197" i="19" l="1"/>
  <c r="V196" i="2"/>
  <c r="X196" i="2" s="1"/>
  <c r="L201" i="19"/>
  <c r="AB20" i="14"/>
  <c r="DT53" i="30" s="1"/>
  <c r="DT67" i="30" s="1"/>
  <c r="AB15" i="14" l="1"/>
  <c r="AB17" i="14" s="1"/>
  <c r="AB19" i="14" s="1"/>
  <c r="AB18" i="14"/>
  <c r="Z196" i="2"/>
  <c r="N201" i="19"/>
  <c r="P201" i="19" s="1"/>
  <c r="U201" i="19"/>
  <c r="N197" i="19"/>
  <c r="P197" i="19" s="1"/>
  <c r="U197" i="19"/>
  <c r="L198" i="19"/>
  <c r="N198" i="19" s="1"/>
  <c r="P198" i="19" s="1"/>
  <c r="W201" i="19" l="1"/>
  <c r="W197" i="19"/>
  <c r="U198" i="19"/>
  <c r="W198" i="19" s="1"/>
  <c r="AB35" i="14"/>
  <c r="AB21" i="14"/>
  <c r="AC14" i="14"/>
  <c r="AB44" i="14"/>
  <c r="AB22" i="14" l="1"/>
  <c r="AB25" i="14"/>
  <c r="AB26" i="14" s="1"/>
  <c r="AB36" i="14"/>
  <c r="DT63" i="30"/>
  <c r="Z204" i="19"/>
  <c r="AB204" i="19" l="1"/>
  <c r="AB203" i="2"/>
  <c r="AD203" i="2" s="1"/>
  <c r="AF203" i="2" s="1"/>
  <c r="AD204" i="19" l="1"/>
  <c r="AB205" i="19"/>
  <c r="AD205" i="19" s="1"/>
  <c r="CM53" i="30" l="1"/>
  <c r="CT9" i="30" l="1"/>
  <c r="CU9" i="30"/>
  <c r="CT36" i="30" l="1"/>
  <c r="CT44" i="30"/>
  <c r="CU36" i="30"/>
  <c r="CU44" i="30"/>
  <c r="CU11" i="30"/>
  <c r="CU13" i="30" s="1"/>
  <c r="CU45" i="30"/>
  <c r="CU35" i="30" l="1"/>
  <c r="CU17" i="30"/>
  <c r="CT11" i="30"/>
  <c r="CT13" i="30" s="1"/>
  <c r="CT35" i="30" l="1"/>
  <c r="CT17" i="30"/>
  <c r="CU47" i="30"/>
  <c r="CU37" i="30"/>
  <c r="CU21" i="30"/>
  <c r="CU32" i="30"/>
  <c r="CT45" i="30"/>
  <c r="CT23" i="30"/>
  <c r="CU41" i="30" l="1"/>
  <c r="CU49" i="30"/>
  <c r="CT21" i="30"/>
  <c r="CT39" i="30" s="1"/>
  <c r="CT32" i="30"/>
  <c r="CT37" i="30"/>
  <c r="CT47" i="30"/>
  <c r="CU38" i="30"/>
  <c r="CU23" i="30"/>
  <c r="CU39" i="30" s="1"/>
  <c r="CT41" i="30" l="1"/>
  <c r="CT49" i="30"/>
  <c r="CT25" i="30"/>
  <c r="CT38" i="30"/>
  <c r="CU25" i="30"/>
  <c r="CT27" i="30" l="1"/>
  <c r="CT48" i="30" s="1"/>
  <c r="CT40" i="30"/>
  <c r="CU40" i="30"/>
  <c r="CU27" i="30"/>
  <c r="CU48" i="30" s="1"/>
  <c r="CV9" i="30" l="1"/>
  <c r="CV44" i="30" l="1"/>
  <c r="CV36" i="30"/>
  <c r="CV11" i="30" l="1"/>
  <c r="CV13" i="30" s="1"/>
  <c r="CV35" i="30" l="1"/>
  <c r="CV17" i="30"/>
  <c r="CV23" i="30"/>
  <c r="CV45" i="30"/>
  <c r="CV37" i="30" l="1"/>
  <c r="CV32" i="30"/>
  <c r="CV47" i="30"/>
  <c r="CV21" i="30"/>
  <c r="CV49" i="30" l="1"/>
  <c r="CV41" i="30"/>
  <c r="CV25" i="30"/>
  <c r="CV38" i="30"/>
  <c r="CV39" i="30"/>
  <c r="CV40" i="30" l="1"/>
  <c r="CV27" i="30"/>
  <c r="CV48" i="30" s="1"/>
  <c r="AR204" i="19" l="1"/>
  <c r="AR205" i="19"/>
  <c r="AI168" i="21"/>
  <c r="AK168" i="21"/>
  <c r="AM168" i="21" s="1"/>
  <c r="S169" i="21"/>
  <c r="D169" i="21" s="1"/>
  <c r="AI169" i="21"/>
  <c r="S175" i="21"/>
  <c r="AK169" i="21" l="1"/>
  <c r="AM169" i="21" s="1"/>
  <c r="S176" i="21"/>
  <c r="D176" i="21" s="1"/>
  <c r="AI175" i="21"/>
  <c r="H169" i="21"/>
  <c r="D210" i="39"/>
  <c r="AR211" i="19"/>
  <c r="F176" i="21" l="1"/>
  <c r="H176" i="21" s="1"/>
  <c r="AI176" i="21"/>
  <c r="AF169" i="21"/>
  <c r="AR212" i="19"/>
  <c r="D211" i="39"/>
  <c r="E210" i="39"/>
  <c r="G210" i="39"/>
  <c r="AZ205" i="19"/>
  <c r="F211" i="39" l="1"/>
  <c r="AD125" i="14" s="1"/>
  <c r="AZ212" i="19"/>
  <c r="G211" i="39"/>
  <c r="AC125" i="14"/>
  <c r="AC126" i="14" s="1"/>
  <c r="F217" i="39"/>
  <c r="AD65" i="14"/>
  <c r="E211" i="39"/>
  <c r="AD103" i="8" l="1"/>
  <c r="AD66" i="14"/>
  <c r="AD126" i="14" s="1"/>
  <c r="I211" i="39"/>
  <c r="J211" i="39" s="1"/>
  <c r="AD125" i="8" l="1"/>
  <c r="AD104" i="8"/>
  <c r="H168" i="21" l="1"/>
  <c r="AF168" i="21" l="1"/>
  <c r="AS204" i="19"/>
  <c r="AQ204" i="19" s="1"/>
  <c r="D344" i="21"/>
  <c r="AI344" i="21"/>
  <c r="AK344" i="21" s="1"/>
  <c r="BF344" i="21"/>
  <c r="S345" i="21"/>
  <c r="D345" i="21" s="1"/>
  <c r="S351" i="21"/>
  <c r="S211" i="19" s="1"/>
  <c r="AM344" i="21" l="1"/>
  <c r="AK345" i="21"/>
  <c r="AM345" i="21" s="1"/>
  <c r="S352" i="21"/>
  <c r="BA205" i="19"/>
  <c r="AI345" i="21"/>
  <c r="AI204" i="19"/>
  <c r="BF351" i="21"/>
  <c r="AS205" i="19"/>
  <c r="S205" i="19"/>
  <c r="D205" i="19" s="1"/>
  <c r="D211" i="19"/>
  <c r="AI211" i="19"/>
  <c r="S212" i="19"/>
  <c r="DN13" i="36"/>
  <c r="BF204" i="19"/>
  <c r="AQ205" i="19"/>
  <c r="AP205" i="19" s="1"/>
  <c r="D204" i="19"/>
  <c r="AP204" i="19"/>
  <c r="AI351" i="21"/>
  <c r="W210" i="39"/>
  <c r="AS211" i="19"/>
  <c r="H204" i="19" l="1"/>
  <c r="H345" i="21"/>
  <c r="AK204" i="19"/>
  <c r="AI205" i="19"/>
  <c r="D352" i="21"/>
  <c r="F352" i="21"/>
  <c r="AQ211" i="19"/>
  <c r="AS212" i="19"/>
  <c r="BD210" i="39"/>
  <c r="BX210" i="39" s="1"/>
  <c r="W211" i="39"/>
  <c r="X210" i="39"/>
  <c r="Z210" i="39"/>
  <c r="AI352" i="21"/>
  <c r="DO54" i="36"/>
  <c r="BB210" i="39"/>
  <c r="CW9" i="30"/>
  <c r="DN14" i="36"/>
  <c r="DN24" i="36"/>
  <c r="DN64" i="36" s="1"/>
  <c r="DO84" i="36"/>
  <c r="D210" i="2"/>
  <c r="L210" i="2" s="1"/>
  <c r="DO13" i="36"/>
  <c r="DN17" i="36"/>
  <c r="DO44" i="36"/>
  <c r="DO34" i="36"/>
  <c r="Y217" i="39"/>
  <c r="AC181" i="14"/>
  <c r="AC182" i="14" s="1"/>
  <c r="AI212" i="19"/>
  <c r="BG203" i="39"/>
  <c r="BG204" i="19"/>
  <c r="F205" i="19"/>
  <c r="H205" i="19" s="1"/>
  <c r="AR206" i="19"/>
  <c r="BF205" i="19"/>
  <c r="AT206" i="19"/>
  <c r="AU206" i="19"/>
  <c r="D212" i="19"/>
  <c r="AS206" i="19"/>
  <c r="H352" i="21" l="1"/>
  <c r="AF204" i="19"/>
  <c r="BE210" i="39"/>
  <c r="AF345" i="21"/>
  <c r="AM204" i="19"/>
  <c r="AK205" i="19"/>
  <c r="AM205" i="19" s="1"/>
  <c r="BA212" i="19"/>
  <c r="Y211" i="39"/>
  <c r="AD181" i="14" s="1"/>
  <c r="Z211" i="39"/>
  <c r="BU210" i="39"/>
  <c r="BY210" i="39"/>
  <c r="BF210" i="39"/>
  <c r="BZ210" i="39"/>
  <c r="AF205" i="19"/>
  <c r="DO37" i="36"/>
  <c r="DO17" i="36"/>
  <c r="DN27" i="36"/>
  <c r="DO57" i="36" s="1"/>
  <c r="CW11" i="30"/>
  <c r="CW13" i="30" s="1"/>
  <c r="DN25" i="36"/>
  <c r="DO25" i="36" s="1"/>
  <c r="DP25" i="36" s="1"/>
  <c r="F210" i="2"/>
  <c r="CW36" i="30"/>
  <c r="CW44" i="30"/>
  <c r="BG204" i="39"/>
  <c r="BG205" i="19"/>
  <c r="DO64" i="36"/>
  <c r="DP64" i="36"/>
  <c r="BH210" i="39"/>
  <c r="DN65" i="36"/>
  <c r="DN94" i="36"/>
  <c r="DO35" i="36"/>
  <c r="DO55" i="36"/>
  <c r="DO14" i="36"/>
  <c r="DO85" i="36"/>
  <c r="DO45" i="36"/>
  <c r="BB211" i="39"/>
  <c r="D211" i="2"/>
  <c r="L211" i="2" s="1"/>
  <c r="AD7" i="14"/>
  <c r="BD211" i="39"/>
  <c r="X211" i="39"/>
  <c r="AD138" i="14"/>
  <c r="AQ212" i="19"/>
  <c r="F211" i="19"/>
  <c r="BF211" i="19"/>
  <c r="AP211" i="19"/>
  <c r="DO27" i="36" l="1"/>
  <c r="BE211" i="39"/>
  <c r="CW17" i="30"/>
  <c r="CW35" i="30"/>
  <c r="DP65" i="36"/>
  <c r="BH211" i="39"/>
  <c r="DO65" i="36"/>
  <c r="BY211" i="39"/>
  <c r="BZ211" i="39"/>
  <c r="BF211" i="39"/>
  <c r="BU211" i="39"/>
  <c r="BI210" i="39"/>
  <c r="BJ210" i="39"/>
  <c r="AA211" i="39"/>
  <c r="AB211" i="39" s="1"/>
  <c r="F212" i="19"/>
  <c r="BF212" i="19"/>
  <c r="AP212" i="19"/>
  <c r="AD106" i="8"/>
  <c r="AD8" i="14"/>
  <c r="AD139" i="14"/>
  <c r="AD182" i="14" s="1"/>
  <c r="AE41" i="14"/>
  <c r="BG210" i="39"/>
  <c r="DP13" i="36"/>
  <c r="BG211" i="19"/>
  <c r="H211" i="19"/>
  <c r="AD9" i="14"/>
  <c r="AD7" i="8"/>
  <c r="AD12" i="14"/>
  <c r="BX211" i="39"/>
  <c r="DO94" i="36"/>
  <c r="DN113" i="36"/>
  <c r="DN123" i="36" s="1"/>
  <c r="DP94" i="36"/>
  <c r="DN98" i="36"/>
  <c r="DN95" i="36"/>
  <c r="DR14" i="36"/>
  <c r="DS14" i="36"/>
  <c r="BC204" i="39"/>
  <c r="AC41" i="14"/>
  <c r="F211" i="2"/>
  <c r="AD10" i="8"/>
  <c r="DO98" i="36" l="1"/>
  <c r="DP98" i="36"/>
  <c r="CW45" i="30"/>
  <c r="DP17" i="36"/>
  <c r="AD128" i="8"/>
  <c r="AD160" i="8"/>
  <c r="AD107" i="8"/>
  <c r="AD121" i="8"/>
  <c r="AD145" i="8" s="1"/>
  <c r="BJ211" i="39"/>
  <c r="BK211" i="39" s="1"/>
  <c r="BL211" i="39" s="1"/>
  <c r="BK210" i="39"/>
  <c r="BI211" i="39"/>
  <c r="Q8" i="87"/>
  <c r="BJ70" i="3"/>
  <c r="DV11" i="30"/>
  <c r="P36" i="87"/>
  <c r="DU45" i="30"/>
  <c r="AC42" i="14"/>
  <c r="DO123" i="36"/>
  <c r="DN124" i="36"/>
  <c r="DN180" i="36"/>
  <c r="DO180" i="36" s="1"/>
  <c r="CW23" i="30"/>
  <c r="DN114" i="36"/>
  <c r="DJ117" i="36" s="1"/>
  <c r="BJ69" i="3"/>
  <c r="D4" i="99"/>
  <c r="Q6" i="87"/>
  <c r="DV9" i="30"/>
  <c r="AD11" i="8"/>
  <c r="AD23" i="8"/>
  <c r="AD8" i="8"/>
  <c r="AD20" i="8"/>
  <c r="AD22" i="8" s="1"/>
  <c r="AD26" i="8"/>
  <c r="AD28" i="8"/>
  <c r="AD35" i="8"/>
  <c r="AD74" i="8"/>
  <c r="AD15" i="8"/>
  <c r="AD14" i="8" s="1"/>
  <c r="AD13" i="8" s="1"/>
  <c r="AD122" i="8"/>
  <c r="R36" i="87"/>
  <c r="R171" i="87" s="1"/>
  <c r="R169" i="87" s="1"/>
  <c r="DW45" i="30"/>
  <c r="DP95" i="36"/>
  <c r="DO95" i="36"/>
  <c r="BG212" i="19"/>
  <c r="DP14" i="36"/>
  <c r="AD41" i="14" s="1"/>
  <c r="AD42" i="14" s="1"/>
  <c r="BG211" i="39"/>
  <c r="H212" i="19"/>
  <c r="CW47" i="30"/>
  <c r="CW37" i="30"/>
  <c r="CW21" i="30"/>
  <c r="CW32" i="30"/>
  <c r="CW39" i="30" l="1"/>
  <c r="D14" i="99"/>
  <c r="D5" i="99"/>
  <c r="CW41" i="30"/>
  <c r="CW49" i="30"/>
  <c r="BJ11" i="3"/>
  <c r="BJ12" i="3"/>
  <c r="BJ14" i="3"/>
  <c r="BH28" i="32" s="1"/>
  <c r="DN181" i="36"/>
  <c r="DO181" i="36" s="1"/>
  <c r="DO124" i="36"/>
  <c r="P80" i="87"/>
  <c r="P171" i="87"/>
  <c r="P169" i="87" s="1"/>
  <c r="P177" i="87"/>
  <c r="P121" i="87"/>
  <c r="CC210" i="39"/>
  <c r="CI210" i="39"/>
  <c r="BM210" i="39"/>
  <c r="CG210" i="39"/>
  <c r="CH210" i="39"/>
  <c r="CF210" i="39"/>
  <c r="BN210" i="39"/>
  <c r="BL210" i="39"/>
  <c r="D6" i="99"/>
  <c r="AD29" i="8"/>
  <c r="AD151" i="8" s="1"/>
  <c r="AD148" i="8"/>
  <c r="AD37" i="8"/>
  <c r="AD75" i="8"/>
  <c r="Q10" i="87"/>
  <c r="Q35" i="87"/>
  <c r="Q30" i="87"/>
  <c r="CW25" i="30"/>
  <c r="CW38" i="30"/>
  <c r="DV36" i="30"/>
  <c r="DV13" i="30"/>
  <c r="DV44" i="30"/>
  <c r="DO114" i="36"/>
  <c r="AD40" i="8"/>
  <c r="CG211" i="39"/>
  <c r="BM211" i="39"/>
  <c r="CH211" i="39"/>
  <c r="CC211" i="39"/>
  <c r="CI211" i="39"/>
  <c r="CF211" i="39"/>
  <c r="AD143" i="8"/>
  <c r="AD161" i="8"/>
  <c r="AD162" i="8" s="1"/>
  <c r="Q36" i="87"/>
  <c r="Q171" i="87" s="1"/>
  <c r="Q169" i="87" s="1"/>
  <c r="DV45" i="30"/>
  <c r="DV35" i="30" l="1"/>
  <c r="DV17" i="30"/>
  <c r="Q69" i="87"/>
  <c r="Q158" i="87" s="1"/>
  <c r="Q110" i="87"/>
  <c r="Q160" i="87" s="1"/>
  <c r="Q159" i="87"/>
  <c r="Q157" i="87" s="1"/>
  <c r="AD44" i="8"/>
  <c r="AD38" i="8"/>
  <c r="P180" i="87"/>
  <c r="P178" i="87" s="1"/>
  <c r="P168" i="87" s="1"/>
  <c r="P127" i="87" s="1"/>
  <c r="BH27" i="32"/>
  <c r="Q18" i="87"/>
  <c r="DV23" i="30"/>
  <c r="AD41" i="8"/>
  <c r="CW40" i="30"/>
  <c r="CW27" i="30"/>
  <c r="CW48" i="30" s="1"/>
  <c r="Q121" i="87"/>
  <c r="Q80" i="87"/>
  <c r="Q81" i="87" s="1"/>
  <c r="Q177" i="87"/>
  <c r="Q13" i="87"/>
  <c r="Q29" i="87"/>
  <c r="AD147" i="8"/>
  <c r="AD150" i="8" s="1"/>
  <c r="AD144" i="8"/>
  <c r="D7" i="99"/>
  <c r="P74" i="87"/>
  <c r="P179" i="87"/>
  <c r="BJ31" i="3"/>
  <c r="BH26" i="32"/>
  <c r="H210" i="2"/>
  <c r="BJ37" i="3" l="1"/>
  <c r="BJ45" i="3" s="1"/>
  <c r="BH30" i="32"/>
  <c r="BH34" i="32" s="1"/>
  <c r="D8" i="99"/>
  <c r="D9" i="99" s="1"/>
  <c r="D10" i="99" s="1"/>
  <c r="AE41" i="8"/>
  <c r="P115" i="87"/>
  <c r="P181" i="87"/>
  <c r="Q122" i="87"/>
  <c r="Q180" i="87"/>
  <c r="Q178" i="87" s="1"/>
  <c r="Q168" i="87" s="1"/>
  <c r="Q127" i="87" s="1"/>
  <c r="P132" i="87"/>
  <c r="P173" i="87" s="1"/>
  <c r="P131" i="87"/>
  <c r="P129" i="87" s="1"/>
  <c r="DV21" i="30"/>
  <c r="DV39" i="30" s="1"/>
  <c r="DV47" i="30"/>
  <c r="DV37" i="30"/>
  <c r="DV32" i="30"/>
  <c r="Q31" i="87"/>
  <c r="Q26" i="87"/>
  <c r="Q40" i="87" s="1"/>
  <c r="Q38" i="87"/>
  <c r="Q16" i="87"/>
  <c r="Q21" i="87" s="1"/>
  <c r="Q23" i="87" s="1"/>
  <c r="N210" i="2"/>
  <c r="AM210" i="2"/>
  <c r="P76" i="87"/>
  <c r="Q68" i="87"/>
  <c r="Q154" i="87" s="1"/>
  <c r="Q109" i="87"/>
  <c r="Q156" i="87" s="1"/>
  <c r="Q155" i="87"/>
  <c r="Q153" i="87" s="1"/>
  <c r="Q74" i="87"/>
  <c r="Q45" i="87" s="1"/>
  <c r="Q179" i="87"/>
  <c r="AD57" i="8"/>
  <c r="AD58" i="8" s="1"/>
  <c r="BJ72" i="3"/>
  <c r="BH8" i="32"/>
  <c r="AD45" i="8"/>
  <c r="AD50" i="8"/>
  <c r="AD51" i="8" s="1"/>
  <c r="AD53" i="8"/>
  <c r="Q32" i="87" l="1"/>
  <c r="Q164" i="87" s="1"/>
  <c r="Q162" i="87" s="1"/>
  <c r="Q131" i="87"/>
  <c r="Q132" i="87"/>
  <c r="Q173" i="87" s="1"/>
  <c r="Q49" i="87"/>
  <c r="Q50" i="87"/>
  <c r="Q76" i="87" s="1"/>
  <c r="Q115" i="87"/>
  <c r="Q86" i="87" s="1"/>
  <c r="Q181" i="87"/>
  <c r="Q39" i="87"/>
  <c r="D17" i="99"/>
  <c r="D18" i="99" s="1"/>
  <c r="D21" i="99" s="1"/>
  <c r="D25" i="99" s="1"/>
  <c r="BH36" i="32"/>
  <c r="DV25" i="30"/>
  <c r="DV38" i="30"/>
  <c r="BJ53" i="3"/>
  <c r="BH15" i="32"/>
  <c r="DV41" i="30"/>
  <c r="DV49" i="30"/>
  <c r="P134" i="87"/>
  <c r="E8" i="99"/>
  <c r="AF41" i="8"/>
  <c r="D11" i="99"/>
  <c r="Q71" i="87" l="1"/>
  <c r="Q163" i="87" s="1"/>
  <c r="BH38" i="32"/>
  <c r="BH63" i="32" s="1"/>
  <c r="BH66" i="32" s="1"/>
  <c r="Q112" i="87"/>
  <c r="Q165" i="87" s="1"/>
  <c r="Q52" i="87"/>
  <c r="Q55" i="87" s="1"/>
  <c r="Q134" i="87"/>
  <c r="Q150" i="87" s="1"/>
  <c r="P117" i="87"/>
  <c r="F8" i="99"/>
  <c r="AG41" i="8"/>
  <c r="DV40" i="30"/>
  <c r="DV27" i="30"/>
  <c r="P137" i="87"/>
  <c r="P150" i="87"/>
  <c r="P176" i="87" s="1"/>
  <c r="P174" i="87"/>
  <c r="P161" i="87"/>
  <c r="P79" i="87"/>
  <c r="P70" i="87"/>
  <c r="P77" i="87"/>
  <c r="Q91" i="87"/>
  <c r="Q90" i="87"/>
  <c r="Q88" i="87" s="1"/>
  <c r="BJ56" i="3"/>
  <c r="BJ58" i="3" s="1"/>
  <c r="Q47" i="87"/>
  <c r="Q129" i="87"/>
  <c r="BH64" i="32" l="1"/>
  <c r="BJ9" i="3" s="1"/>
  <c r="Q65" i="87"/>
  <c r="Q70" i="87"/>
  <c r="Q77" i="87"/>
  <c r="Q161" i="87"/>
  <c r="Q137" i="87"/>
  <c r="Q139" i="87" s="1"/>
  <c r="Q142" i="87" s="1"/>
  <c r="Q144" i="87" s="1"/>
  <c r="Q174" i="87"/>
  <c r="Q79" i="87"/>
  <c r="Q176" i="87"/>
  <c r="DV48" i="30"/>
  <c r="Q57" i="87"/>
  <c r="Q60" i="87" s="1"/>
  <c r="Q62" i="87" s="1"/>
  <c r="Q93" i="87"/>
  <c r="P78" i="87"/>
  <c r="P139" i="87"/>
  <c r="P142" i="87" s="1"/>
  <c r="P144" i="87" s="1"/>
  <c r="P175" i="87" s="1"/>
  <c r="P118" i="87"/>
  <c r="P120" i="87"/>
  <c r="P111" i="87"/>
  <c r="Q117" i="87"/>
  <c r="Q105" i="87"/>
  <c r="G8" i="99"/>
  <c r="H8" i="99" s="1"/>
  <c r="I8" i="99" s="1"/>
  <c r="J8" i="99" s="1"/>
  <c r="DY68" i="30"/>
  <c r="AH41" i="8"/>
  <c r="BJ62" i="32" l="1"/>
  <c r="Q175" i="87"/>
  <c r="P119" i="87"/>
  <c r="Q78" i="87"/>
  <c r="BJ15" i="3"/>
  <c r="BJ27" i="3" s="1"/>
  <c r="BJ92" i="3"/>
  <c r="BJ93" i="3" s="1"/>
  <c r="C31" i="99"/>
  <c r="Q96" i="87"/>
  <c r="Q118" i="87"/>
  <c r="Q106" i="87"/>
  <c r="Q120" i="87" s="1"/>
  <c r="Q111" i="87"/>
  <c r="BJ83" i="3" l="1"/>
  <c r="BJ87" i="3" s="1"/>
  <c r="BJ63" i="3"/>
  <c r="BJ82" i="3"/>
  <c r="Q98" i="87"/>
  <c r="Q101" i="87" s="1"/>
  <c r="Q103" i="87" s="1"/>
  <c r="C32" i="99"/>
  <c r="C39" i="99" s="1"/>
  <c r="C45" i="99"/>
  <c r="Q119" i="87" l="1"/>
  <c r="AF344" i="21" l="1"/>
  <c r="P521" i="21" l="1"/>
  <c r="AF521" i="21"/>
  <c r="D225" i="40" l="1"/>
  <c r="T225" i="40"/>
  <c r="F225" i="40" l="1"/>
  <c r="J168" i="21"/>
  <c r="L168" i="21" s="1"/>
  <c r="D226" i="40"/>
  <c r="N168" i="21" l="1"/>
  <c r="P168" i="21" s="1"/>
  <c r="L169" i="21"/>
  <c r="N169" i="21" s="1"/>
  <c r="P169" i="21" s="1"/>
  <c r="U168" i="21"/>
  <c r="F226" i="40"/>
  <c r="W168" i="21" l="1"/>
  <c r="U169" i="21"/>
  <c r="W169" i="21" s="1"/>
  <c r="J344" i="21"/>
  <c r="L344" i="21" s="1"/>
  <c r="AA225" i="40"/>
  <c r="AA226" i="40"/>
  <c r="AB226" i="40"/>
  <c r="AD226" i="40" s="1"/>
  <c r="Y229" i="40"/>
  <c r="AA229" i="40"/>
  <c r="Y230" i="40"/>
  <c r="AA230" i="40" s="1"/>
  <c r="Y231" i="40"/>
  <c r="Y233" i="40"/>
  <c r="Y232" i="40" s="1"/>
  <c r="AB233" i="40"/>
  <c r="AB236" i="40" s="1"/>
  <c r="AB237" i="40" s="1"/>
  <c r="AB238" i="40" s="1"/>
  <c r="Y240" i="40"/>
  <c r="Y239" i="40" s="1"/>
  <c r="Y260" i="40"/>
  <c r="Z260" i="40" s="1"/>
  <c r="AA233" i="40" l="1"/>
  <c r="Y236" i="40"/>
  <c r="AD170" i="14"/>
  <c r="AD233" i="40"/>
  <c r="Y247" i="40"/>
  <c r="AC170" i="14"/>
  <c r="Y243" i="40"/>
  <c r="AB240" i="40"/>
  <c r="AB229" i="40"/>
  <c r="AA239" i="40"/>
  <c r="AA240" i="40"/>
  <c r="U344" i="21"/>
  <c r="N344" i="21"/>
  <c r="P344" i="21" s="1"/>
  <c r="L345" i="21"/>
  <c r="N345" i="21" s="1"/>
  <c r="P345" i="21" s="1"/>
  <c r="Z232" i="40"/>
  <c r="DU232" i="40" s="1"/>
  <c r="AA232" i="40"/>
  <c r="AA231" i="40"/>
  <c r="AA236" i="40" l="1"/>
  <c r="Y237" i="40"/>
  <c r="AB230" i="40"/>
  <c r="AA243" i="40"/>
  <c r="Y244" i="40"/>
  <c r="AD240" i="40"/>
  <c r="AE170" i="14"/>
  <c r="AB243" i="40"/>
  <c r="AB244" i="40" s="1"/>
  <c r="AB245" i="40" s="1"/>
  <c r="Y246" i="40"/>
  <c r="AB247" i="40"/>
  <c r="AA247" i="40"/>
  <c r="Y250" i="40"/>
  <c r="Y254" i="40"/>
  <c r="W344" i="21"/>
  <c r="U345" i="21"/>
  <c r="W345" i="21" s="1"/>
  <c r="AA237" i="40" l="1"/>
  <c r="Y238" i="40"/>
  <c r="Y251" i="40"/>
  <c r="AA250" i="40"/>
  <c r="AB250" i="40"/>
  <c r="AB251" i="40" s="1"/>
  <c r="AB252" i="40" s="1"/>
  <c r="AF170" i="14"/>
  <c r="AD247" i="40"/>
  <c r="AB231" i="40"/>
  <c r="AB254" i="40"/>
  <c r="Y253" i="40"/>
  <c r="AA254" i="40"/>
  <c r="AA246" i="40"/>
  <c r="AA244" i="40"/>
  <c r="Y245" i="40"/>
  <c r="AA245" i="40" s="1"/>
  <c r="AA238" i="40" l="1"/>
  <c r="Z239" i="40"/>
  <c r="Z246" i="40"/>
  <c r="DU246" i="40" s="1"/>
  <c r="AH170" i="14"/>
  <c r="AD254" i="40"/>
  <c r="AG170" i="14"/>
  <c r="AB232" i="40"/>
  <c r="AA253" i="40"/>
  <c r="Y252" i="40"/>
  <c r="AA252" i="40" s="1"/>
  <c r="AA251" i="40"/>
  <c r="DU239" i="40" l="1"/>
  <c r="AB239" i="40"/>
  <c r="AB246" i="40"/>
  <c r="AD246" i="40" s="1"/>
  <c r="Z253" i="40"/>
  <c r="AD232" i="40"/>
  <c r="AD239" i="40"/>
  <c r="AB253" i="40" l="1"/>
  <c r="AD253" i="40" s="1"/>
  <c r="DU253" i="40"/>
  <c r="J698" i="21" l="1"/>
  <c r="L698" i="21" s="1"/>
  <c r="U698" i="21" s="1"/>
  <c r="AO226" i="40"/>
  <c r="AP226" i="40"/>
  <c r="AC256" i="14" s="1"/>
  <c r="AM229" i="40"/>
  <c r="AM233" i="40"/>
  <c r="AM236" i="40" s="1"/>
  <c r="AM237" i="40" s="1"/>
  <c r="AM240" i="40"/>
  <c r="AM247" i="40" s="1"/>
  <c r="AM254" i="40" s="1"/>
  <c r="AM260" i="40"/>
  <c r="AN260" i="40" s="1"/>
  <c r="AC253" i="14" l="1"/>
  <c r="AM253" i="14" s="1"/>
  <c r="AC268" i="14"/>
  <c r="AM256" i="14"/>
  <c r="AC259" i="14"/>
  <c r="AC260" i="14" s="1"/>
  <c r="AC257" i="14"/>
  <c r="AR226" i="40"/>
  <c r="AP229" i="40"/>
  <c r="N698" i="21"/>
  <c r="P698" i="21" s="1"/>
  <c r="AO254" i="40"/>
  <c r="AP254" i="40"/>
  <c r="AM253" i="40"/>
  <c r="AM238" i="40"/>
  <c r="AO240" i="40"/>
  <c r="AP240" i="40"/>
  <c r="AM239" i="40"/>
  <c r="AM243" i="40"/>
  <c r="J702" i="21"/>
  <c r="L702" i="21" s="1"/>
  <c r="AO229" i="40"/>
  <c r="AM230" i="40"/>
  <c r="AO237" i="40" s="1"/>
  <c r="AO247" i="40"/>
  <c r="AP247" i="40"/>
  <c r="AM246" i="40"/>
  <c r="AM250" i="40"/>
  <c r="AO236" i="40"/>
  <c r="AP233" i="40"/>
  <c r="AM232" i="40"/>
  <c r="AO233" i="40"/>
  <c r="W698" i="21"/>
  <c r="U699" i="21"/>
  <c r="W699" i="21" s="1"/>
  <c r="L699" i="21"/>
  <c r="N699" i="21" s="1"/>
  <c r="P699" i="21" s="1"/>
  <c r="AR229" i="40"/>
  <c r="CW225" i="40"/>
  <c r="AO225" i="40"/>
  <c r="AC262" i="14" l="1"/>
  <c r="AC254" i="14"/>
  <c r="AC270" i="14" s="1"/>
  <c r="Z702" i="21"/>
  <c r="AB702" i="21" s="1"/>
  <c r="AP230" i="40"/>
  <c r="AP250" i="40"/>
  <c r="AR247" i="40"/>
  <c r="AF256" i="14"/>
  <c r="AR254" i="40"/>
  <c r="AG256" i="14"/>
  <c r="AH256" i="14"/>
  <c r="J204" i="19"/>
  <c r="DF225" i="40"/>
  <c r="DL225" i="40"/>
  <c r="DP225" i="40"/>
  <c r="DI225" i="40"/>
  <c r="DM225" i="40"/>
  <c r="DQ225" i="40"/>
  <c r="CY225" i="40"/>
  <c r="DK225" i="40"/>
  <c r="DO225" i="40"/>
  <c r="CX225" i="40"/>
  <c r="EG225" i="40" s="1"/>
  <c r="DJ225" i="40"/>
  <c r="DN225" i="40"/>
  <c r="J705" i="21"/>
  <c r="AO232" i="40"/>
  <c r="AO250" i="40"/>
  <c r="AM251" i="40"/>
  <c r="N702" i="21"/>
  <c r="U702" i="21"/>
  <c r="AO239" i="40"/>
  <c r="AN239" i="40"/>
  <c r="DW239" i="40" s="1"/>
  <c r="AR233" i="40"/>
  <c r="AP236" i="40"/>
  <c r="AD256" i="14"/>
  <c r="AO246" i="40"/>
  <c r="AO243" i="40"/>
  <c r="AM244" i="40"/>
  <c r="AO253" i="40"/>
  <c r="AM262" i="14"/>
  <c r="AC263" i="14"/>
  <c r="J703" i="21"/>
  <c r="L703" i="21" s="1"/>
  <c r="AO230" i="40"/>
  <c r="AM231" i="40"/>
  <c r="AP243" i="40"/>
  <c r="AR240" i="40"/>
  <c r="AE256" i="14"/>
  <c r="AR230" i="40" l="1"/>
  <c r="AP231" i="40"/>
  <c r="Z703" i="21"/>
  <c r="AB703" i="21" s="1"/>
  <c r="AK702" i="21"/>
  <c r="AM702" i="21" s="1"/>
  <c r="AD702" i="21"/>
  <c r="AF702" i="21" s="1"/>
  <c r="AP244" i="40"/>
  <c r="AR243" i="40"/>
  <c r="AP237" i="40"/>
  <c r="AR236" i="40"/>
  <c r="AG257" i="14"/>
  <c r="AG268" i="14"/>
  <c r="AH253" i="14"/>
  <c r="AG259" i="14"/>
  <c r="AE259" i="14"/>
  <c r="AF253" i="14"/>
  <c r="AE257" i="14"/>
  <c r="AE268" i="14"/>
  <c r="J704" i="21"/>
  <c r="L704" i="21" s="1"/>
  <c r="AO231" i="40"/>
  <c r="AH257" i="14"/>
  <c r="AH268" i="14"/>
  <c r="AH259" i="14"/>
  <c r="AO256" i="14"/>
  <c r="AO251" i="40"/>
  <c r="AM252" i="40"/>
  <c r="AP251" i="40"/>
  <c r="AR250" i="40"/>
  <c r="AO244" i="40"/>
  <c r="AM245" i="40"/>
  <c r="W702" i="21"/>
  <c r="AO238" i="40"/>
  <c r="N703" i="21"/>
  <c r="U703" i="21"/>
  <c r="W703" i="21" s="1"/>
  <c r="AE253" i="14"/>
  <c r="AD259" i="14"/>
  <c r="AD260" i="14" s="1"/>
  <c r="AD257" i="14"/>
  <c r="AD268" i="14"/>
  <c r="AD253" i="14"/>
  <c r="AN232" i="40"/>
  <c r="L204" i="19"/>
  <c r="V203" i="2"/>
  <c r="X203" i="2" s="1"/>
  <c r="Z203" i="2" s="1"/>
  <c r="AF257" i="14"/>
  <c r="AF259" i="14"/>
  <c r="AF268" i="14"/>
  <c r="AG253" i="14"/>
  <c r="AG254" i="14" s="1"/>
  <c r="AD703" i="21" l="1"/>
  <c r="AF703" i="21" s="1"/>
  <c r="AK703" i="21"/>
  <c r="AM703" i="21" s="1"/>
  <c r="AH260" i="14"/>
  <c r="AR231" i="40"/>
  <c r="Z704" i="21"/>
  <c r="AB704" i="21" s="1"/>
  <c r="AF260" i="14"/>
  <c r="AG266" i="14"/>
  <c r="AG237" i="14" s="1"/>
  <c r="AP252" i="40"/>
  <c r="AR251" i="40"/>
  <c r="U704" i="21"/>
  <c r="W704" i="21" s="1"/>
  <c r="N704" i="21"/>
  <c r="P704" i="21" s="1"/>
  <c r="AF254" i="14"/>
  <c r="AF266" i="14" s="1"/>
  <c r="AF237" i="14" s="1"/>
  <c r="AH254" i="14"/>
  <c r="AO253" i="14"/>
  <c r="U204" i="19"/>
  <c r="N204" i="19"/>
  <c r="P204" i="19" s="1"/>
  <c r="L205" i="19"/>
  <c r="N205" i="19" s="1"/>
  <c r="P205" i="19" s="1"/>
  <c r="AP232" i="40"/>
  <c r="DW232" i="40"/>
  <c r="AO245" i="40"/>
  <c r="AN246" i="40"/>
  <c r="DW246" i="40" s="1"/>
  <c r="L705" i="21"/>
  <c r="L706" i="21" s="1"/>
  <c r="N706" i="21" s="1"/>
  <c r="P706" i="21" s="1"/>
  <c r="AE260" i="14"/>
  <c r="AP245" i="40"/>
  <c r="AR244" i="40"/>
  <c r="AP238" i="40"/>
  <c r="AR237" i="40"/>
  <c r="AD262" i="14"/>
  <c r="AD263" i="14" s="1"/>
  <c r="AD254" i="14"/>
  <c r="AD270" i="14" s="1"/>
  <c r="AE254" i="14"/>
  <c r="AE266" i="14" s="1"/>
  <c r="AE237" i="14" s="1"/>
  <c r="AE236" i="14" s="1"/>
  <c r="AO252" i="40"/>
  <c r="AN253" i="40"/>
  <c r="DW253" i="40" s="1"/>
  <c r="AG260" i="14"/>
  <c r="AD704" i="21" l="1"/>
  <c r="AF704" i="21" s="1"/>
  <c r="AK704" i="21"/>
  <c r="AM704" i="21" s="1"/>
  <c r="AE112" i="8"/>
  <c r="AF236" i="14"/>
  <c r="AE262" i="14"/>
  <c r="AE263" i="14" s="1"/>
  <c r="AE250" i="14"/>
  <c r="AE251" i="14" s="1"/>
  <c r="AR232" i="40"/>
  <c r="Z705" i="21"/>
  <c r="AB705" i="21" s="1"/>
  <c r="U205" i="19"/>
  <c r="W205" i="19" s="1"/>
  <c r="W204" i="19"/>
  <c r="AP253" i="40"/>
  <c r="AR252" i="40"/>
  <c r="AR238" i="40"/>
  <c r="AP239" i="40"/>
  <c r="AR239" i="40" s="1"/>
  <c r="AP246" i="40"/>
  <c r="AR245" i="40"/>
  <c r="U705" i="21"/>
  <c r="N705" i="21"/>
  <c r="P705" i="21" s="1"/>
  <c r="AH248" i="14"/>
  <c r="AH266" i="14"/>
  <c r="AH237" i="14" s="1"/>
  <c r="AG248" i="14"/>
  <c r="W705" i="21" l="1"/>
  <c r="U706" i="21"/>
  <c r="W706" i="21" s="1"/>
  <c r="AD705" i="21"/>
  <c r="AF705" i="21" s="1"/>
  <c r="AK705" i="21"/>
  <c r="AB706" i="21"/>
  <c r="AD706" i="21" s="1"/>
  <c r="AF706" i="21" s="1"/>
  <c r="AF112" i="8"/>
  <c r="AF250" i="14"/>
  <c r="AF251" i="14" s="1"/>
  <c r="AG236" i="14"/>
  <c r="AF262" i="14"/>
  <c r="AF263" i="14" s="1"/>
  <c r="AR246" i="40"/>
  <c r="AR253" i="40"/>
  <c r="AE113" i="8"/>
  <c r="AE123" i="8"/>
  <c r="AE134" i="8"/>
  <c r="AE157" i="8" s="1"/>
  <c r="AE156" i="8"/>
  <c r="AM705" i="21" l="1"/>
  <c r="AK706" i="21"/>
  <c r="AM706" i="21" s="1"/>
  <c r="AE158" i="8"/>
  <c r="AF113" i="8"/>
  <c r="AF123" i="8"/>
  <c r="AF134" i="8"/>
  <c r="AF157" i="8" s="1"/>
  <c r="AF156" i="8"/>
  <c r="AG112" i="8"/>
  <c r="AG250" i="14"/>
  <c r="AG251" i="14" s="1"/>
  <c r="AH236" i="14"/>
  <c r="AG262" i="14"/>
  <c r="AG263" i="14" s="1"/>
  <c r="AH250" i="14" l="1"/>
  <c r="AH251" i="14" s="1"/>
  <c r="AO236" i="14"/>
  <c r="AH112" i="8"/>
  <c r="AH262" i="14"/>
  <c r="AG113" i="8"/>
  <c r="AG123" i="8"/>
  <c r="AG134" i="8"/>
  <c r="AG157" i="8" s="1"/>
  <c r="AG156" i="8"/>
  <c r="AF158" i="8"/>
  <c r="AG158" i="8" l="1"/>
  <c r="AH263" i="14"/>
  <c r="AO262" i="14"/>
  <c r="AH113" i="8"/>
  <c r="AH123" i="8"/>
  <c r="AH134" i="8"/>
  <c r="AH157" i="8" s="1"/>
  <c r="AH156" i="8"/>
  <c r="AH158" i="8" l="1"/>
  <c r="S226" i="40"/>
  <c r="T226" i="40"/>
  <c r="U226" i="40"/>
  <c r="W226" i="40" s="1"/>
  <c r="R229" i="40"/>
  <c r="T229" i="40" s="1"/>
  <c r="R230" i="40"/>
  <c r="T230" i="40" s="1"/>
  <c r="R231" i="40"/>
  <c r="T231" i="40" s="1"/>
  <c r="R233" i="40"/>
  <c r="T233" i="40" s="1"/>
  <c r="R236" i="40"/>
  <c r="T236" i="40" s="1"/>
  <c r="R240" i="40"/>
  <c r="T240" i="40" s="1"/>
  <c r="AC82" i="14"/>
  <c r="AC94" i="14"/>
  <c r="AD78" i="14" s="1"/>
  <c r="AD94" i="14" s="1"/>
  <c r="AC97" i="14"/>
  <c r="AC113" i="14"/>
  <c r="AC108" i="14" s="1"/>
  <c r="AC118" i="14"/>
  <c r="R247" i="40" l="1"/>
  <c r="R237" i="40"/>
  <c r="AE78" i="14"/>
  <c r="AE94" i="14" s="1"/>
  <c r="AD97" i="14"/>
  <c r="R243" i="40"/>
  <c r="U240" i="40"/>
  <c r="R239" i="40"/>
  <c r="U233" i="40"/>
  <c r="R232" i="40"/>
  <c r="U229" i="40"/>
  <c r="T247" i="40" l="1"/>
  <c r="U247" i="40"/>
  <c r="R254" i="40"/>
  <c r="R246" i="40"/>
  <c r="T246" i="40" s="1"/>
  <c r="R250" i="40"/>
  <c r="R251" i="40" s="1"/>
  <c r="R252" i="40" s="1"/>
  <c r="T237" i="40"/>
  <c r="R238" i="40"/>
  <c r="T238" i="40" s="1"/>
  <c r="R244" i="40"/>
  <c r="T243" i="40"/>
  <c r="U236" i="40"/>
  <c r="W233" i="40"/>
  <c r="AD113" i="14"/>
  <c r="T232" i="40"/>
  <c r="S232" i="40"/>
  <c r="DT232" i="40" s="1"/>
  <c r="S239" i="40"/>
  <c r="DT239" i="40" s="1"/>
  <c r="T239" i="40"/>
  <c r="AF78" i="14"/>
  <c r="AF94" i="14" s="1"/>
  <c r="AE97" i="14"/>
  <c r="U230" i="40"/>
  <c r="W229" i="40"/>
  <c r="U243" i="40"/>
  <c r="W240" i="40"/>
  <c r="AE113" i="14"/>
  <c r="T250" i="40"/>
  <c r="T254" i="40" l="1"/>
  <c r="R253" i="40"/>
  <c r="U254" i="40"/>
  <c r="AF113" i="14"/>
  <c r="U250" i="40"/>
  <c r="U251" i="40" s="1"/>
  <c r="U252" i="40" s="1"/>
  <c r="W247" i="40"/>
  <c r="U231" i="40"/>
  <c r="W230" i="40"/>
  <c r="R245" i="40"/>
  <c r="T244" i="40"/>
  <c r="T251" i="40"/>
  <c r="U244" i="40"/>
  <c r="W243" i="40"/>
  <c r="W236" i="40"/>
  <c r="U237" i="40"/>
  <c r="AF108" i="14"/>
  <c r="AE118" i="14"/>
  <c r="AE108" i="14"/>
  <c r="AD118" i="14"/>
  <c r="AD108" i="14"/>
  <c r="AG78" i="14"/>
  <c r="AG94" i="14" s="1"/>
  <c r="AF97" i="14"/>
  <c r="AF118" i="14"/>
  <c r="U253" i="40" l="1"/>
  <c r="W254" i="40"/>
  <c r="AG113" i="14"/>
  <c r="AH113" i="14"/>
  <c r="W250" i="40"/>
  <c r="T253" i="40"/>
  <c r="S253" i="40"/>
  <c r="DT253" i="40" s="1"/>
  <c r="U232" i="40"/>
  <c r="W232" i="40" s="1"/>
  <c r="W231" i="40"/>
  <c r="AH78" i="14"/>
  <c r="AH94" i="14" s="1"/>
  <c r="AG97" i="14"/>
  <c r="AG118" i="14"/>
  <c r="T245" i="40"/>
  <c r="T252" i="40"/>
  <c r="S246" i="40"/>
  <c r="DT246" i="40" s="1"/>
  <c r="U238" i="40"/>
  <c r="W237" i="40"/>
  <c r="U245" i="40"/>
  <c r="W244" i="40"/>
  <c r="W251" i="40"/>
  <c r="AH108" i="14" l="1"/>
  <c r="AG108" i="14"/>
  <c r="U239" i="40"/>
  <c r="W239" i="40" s="1"/>
  <c r="W238" i="40"/>
  <c r="AH97" i="14"/>
  <c r="AH118" i="14"/>
  <c r="W245" i="40"/>
  <c r="U246" i="40"/>
  <c r="W252" i="40"/>
  <c r="W246" i="40" l="1"/>
  <c r="W253" i="40"/>
  <c r="CY226" i="40"/>
  <c r="DF226" i="40"/>
  <c r="DI226" i="40"/>
  <c r="DJ226" i="40"/>
  <c r="DK226" i="40"/>
  <c r="DL226" i="40"/>
  <c r="DN226" i="40"/>
  <c r="DO226" i="40"/>
  <c r="DP226" i="40"/>
  <c r="DQ226" i="40"/>
  <c r="AC20" i="14"/>
  <c r="DU53" i="30" s="1"/>
  <c r="DU67" i="30" s="1"/>
  <c r="J348" i="21"/>
  <c r="L348" i="21" s="1"/>
  <c r="BB226" i="40"/>
  <c r="BC226" i="40"/>
  <c r="BD226" i="40"/>
  <c r="CX226" i="40"/>
  <c r="EG226" i="40" s="1"/>
  <c r="DM226" i="40"/>
  <c r="BA229" i="40"/>
  <c r="BC229" i="40" s="1"/>
  <c r="BA230" i="40"/>
  <c r="BA233" i="40"/>
  <c r="BA232" i="40" s="1"/>
  <c r="BD233" i="40"/>
  <c r="BD236" i="40"/>
  <c r="BA240" i="40"/>
  <c r="AC15" i="14"/>
  <c r="AC17" i="14" s="1"/>
  <c r="AC19" i="14" s="1"/>
  <c r="AM19" i="14" s="1"/>
  <c r="AC18" i="14"/>
  <c r="AC154" i="14"/>
  <c r="AC152" i="14" s="1"/>
  <c r="AC156" i="14" s="1"/>
  <c r="AC171" i="14"/>
  <c r="AC169" i="14" s="1"/>
  <c r="AD171" i="14"/>
  <c r="AD169" i="14" s="1"/>
  <c r="AM156" i="14" l="1"/>
  <c r="AC160" i="14"/>
  <c r="AD144" i="14"/>
  <c r="AD156" i="14" s="1"/>
  <c r="AD173" i="14"/>
  <c r="AD175" i="14"/>
  <c r="AC166" i="14"/>
  <c r="AM169" i="14"/>
  <c r="AC173" i="14"/>
  <c r="AC184" i="14"/>
  <c r="AC175" i="14"/>
  <c r="AC176" i="14" s="1"/>
  <c r="AD166" i="14"/>
  <c r="J351" i="21"/>
  <c r="BC232" i="40"/>
  <c r="AC158" i="14"/>
  <c r="BC230" i="40"/>
  <c r="J349" i="21"/>
  <c r="L349" i="21" s="1"/>
  <c r="BA231" i="40"/>
  <c r="N348" i="21"/>
  <c r="P348" i="21" s="1"/>
  <c r="U348" i="21"/>
  <c r="AC21" i="14"/>
  <c r="AD14" i="14"/>
  <c r="BD240" i="40"/>
  <c r="BA239" i="40"/>
  <c r="BC240" i="40"/>
  <c r="BA247" i="40"/>
  <c r="BA243" i="40"/>
  <c r="BD229" i="40"/>
  <c r="BF226" i="40"/>
  <c r="BF233" i="40"/>
  <c r="BD237" i="40"/>
  <c r="BA236" i="40"/>
  <c r="BC233" i="40"/>
  <c r="BA237" i="40" l="1"/>
  <c r="BC236" i="40"/>
  <c r="BA244" i="40"/>
  <c r="BC243" i="40"/>
  <c r="BC239" i="40"/>
  <c r="W348" i="21"/>
  <c r="AC167" i="14"/>
  <c r="AC186" i="14" s="1"/>
  <c r="AM166" i="14"/>
  <c r="AC178" i="14"/>
  <c r="Z348" i="21"/>
  <c r="AB348" i="21" s="1"/>
  <c r="BD230" i="40"/>
  <c r="BF229" i="40"/>
  <c r="BD243" i="40"/>
  <c r="BF240" i="40"/>
  <c r="AE171" i="14"/>
  <c r="AE169" i="14" s="1"/>
  <c r="AD176" i="14"/>
  <c r="AD160" i="14"/>
  <c r="AE144" i="14"/>
  <c r="AE156" i="14" s="1"/>
  <c r="BF237" i="40"/>
  <c r="BD238" i="40"/>
  <c r="BF236" i="40"/>
  <c r="BA246" i="40"/>
  <c r="BA250" i="40"/>
  <c r="BC247" i="40"/>
  <c r="BD247" i="40"/>
  <c r="BA254" i="40"/>
  <c r="BC231" i="40"/>
  <c r="J350" i="21"/>
  <c r="L350" i="21" s="1"/>
  <c r="DU59" i="30"/>
  <c r="AD146" i="14"/>
  <c r="AD158" i="14" s="1"/>
  <c r="BB232" i="40"/>
  <c r="DY232" i="40" s="1"/>
  <c r="AC163" i="14"/>
  <c r="AC164" i="14" s="1"/>
  <c r="AC161" i="14"/>
  <c r="AC25" i="14"/>
  <c r="AC26" i="14" s="1"/>
  <c r="AC22" i="14"/>
  <c r="N349" i="21"/>
  <c r="P349" i="21" s="1"/>
  <c r="U349" i="21"/>
  <c r="W349" i="21" s="1"/>
  <c r="AD178" i="14"/>
  <c r="AD179" i="14" s="1"/>
  <c r="AD167" i="14"/>
  <c r="AD186" i="14" s="1"/>
  <c r="AD184" i="14"/>
  <c r="AE175" i="14" l="1"/>
  <c r="AE176" i="14" s="1"/>
  <c r="AE173" i="14"/>
  <c r="AE184" i="14"/>
  <c r="AE166" i="14"/>
  <c r="AE167" i="14" s="1"/>
  <c r="AE182" i="14" s="1"/>
  <c r="AE139" i="14" s="1"/>
  <c r="AE138" i="14" s="1"/>
  <c r="BA238" i="40"/>
  <c r="BC237" i="40"/>
  <c r="BD254" i="40"/>
  <c r="BA253" i="40"/>
  <c r="BC254" i="40"/>
  <c r="AK348" i="21"/>
  <c r="AD348" i="21"/>
  <c r="AF348" i="21" s="1"/>
  <c r="L351" i="21"/>
  <c r="AE146" i="14"/>
  <c r="AE158" i="14" s="1"/>
  <c r="DV59" i="30"/>
  <c r="BD250" i="40"/>
  <c r="BF247" i="40"/>
  <c r="AF171" i="14"/>
  <c r="AF169" i="14" s="1"/>
  <c r="AD161" i="14"/>
  <c r="AD163" i="14"/>
  <c r="AD164" i="14" s="1"/>
  <c r="BD244" i="40"/>
  <c r="BF243" i="40"/>
  <c r="AM178" i="14"/>
  <c r="AC179" i="14"/>
  <c r="N350" i="21"/>
  <c r="P350" i="21" s="1"/>
  <c r="U350" i="21"/>
  <c r="W350" i="21" s="1"/>
  <c r="L352" i="21"/>
  <c r="N352" i="21" s="1"/>
  <c r="P352" i="21" s="1"/>
  <c r="BA251" i="40"/>
  <c r="BC250" i="40"/>
  <c r="Z349" i="21"/>
  <c r="AB349" i="21" s="1"/>
  <c r="BD231" i="40"/>
  <c r="BF238" i="40" s="1"/>
  <c r="BF230" i="40"/>
  <c r="BA245" i="40"/>
  <c r="BC244" i="40"/>
  <c r="BC246" i="40"/>
  <c r="AF144" i="14"/>
  <c r="AF156" i="14" s="1"/>
  <c r="AE160" i="14"/>
  <c r="AE161" i="14" s="1"/>
  <c r="AF160" i="14" l="1"/>
  <c r="AF161" i="14" s="1"/>
  <c r="AG144" i="14"/>
  <c r="AG156" i="14" s="1"/>
  <c r="BA252" i="40"/>
  <c r="BC251" i="40"/>
  <c r="BC245" i="40"/>
  <c r="AG166" i="14"/>
  <c r="AG167" i="14" s="1"/>
  <c r="AG182" i="14" s="1"/>
  <c r="AG139" i="14" s="1"/>
  <c r="AF173" i="14"/>
  <c r="AF184" i="14"/>
  <c r="AF175" i="14"/>
  <c r="AF176" i="14" s="1"/>
  <c r="DW59" i="30"/>
  <c r="AF146" i="14"/>
  <c r="AF158" i="14" s="1"/>
  <c r="BF254" i="40"/>
  <c r="AG171" i="14"/>
  <c r="AG169" i="14" s="1"/>
  <c r="AH171" i="14"/>
  <c r="AH169" i="14" s="1"/>
  <c r="AE106" i="8"/>
  <c r="AE178" i="14"/>
  <c r="AE179" i="14" s="1"/>
  <c r="AF138" i="14"/>
  <c r="AE163" i="14"/>
  <c r="AE164" i="14" s="1"/>
  <c r="BB246" i="40"/>
  <c r="DY246" i="40" s="1"/>
  <c r="BD245" i="40"/>
  <c r="BF244" i="40"/>
  <c r="N351" i="21"/>
  <c r="P351" i="21" s="1"/>
  <c r="U351" i="21"/>
  <c r="AF166" i="14"/>
  <c r="AF167" i="14" s="1"/>
  <c r="AF182" i="14" s="1"/>
  <c r="AF139" i="14" s="1"/>
  <c r="Z350" i="21"/>
  <c r="AB350" i="21" s="1"/>
  <c r="BF231" i="40"/>
  <c r="BD232" i="40"/>
  <c r="BD251" i="40"/>
  <c r="BF250" i="40"/>
  <c r="BC253" i="40"/>
  <c r="BB253" i="40"/>
  <c r="DY253" i="40" s="1"/>
  <c r="AK349" i="21"/>
  <c r="AM349" i="21" s="1"/>
  <c r="AD349" i="21"/>
  <c r="AF349" i="21" s="1"/>
  <c r="BC238" i="40"/>
  <c r="BB239" i="40"/>
  <c r="AM348" i="21"/>
  <c r="Z351" i="21" l="1"/>
  <c r="AB351" i="21" s="1"/>
  <c r="AB352" i="21" s="1"/>
  <c r="AD352" i="21" s="1"/>
  <c r="AF352" i="21" s="1"/>
  <c r="BF232" i="40"/>
  <c r="W351" i="21"/>
  <c r="U352" i="21"/>
  <c r="W352" i="21" s="1"/>
  <c r="AE107" i="8"/>
  <c r="AE128" i="8"/>
  <c r="DX59" i="30"/>
  <c r="AG146" i="14"/>
  <c r="AG158" i="14" s="1"/>
  <c r="AK350" i="21"/>
  <c r="AD350" i="21"/>
  <c r="AF350" i="21" s="1"/>
  <c r="AF106" i="8"/>
  <c r="AF178" i="14"/>
  <c r="AF179" i="14" s="1"/>
  <c r="AG138" i="14"/>
  <c r="AF163" i="14"/>
  <c r="AF164" i="14" s="1"/>
  <c r="AO169" i="14"/>
  <c r="AH173" i="14"/>
  <c r="AH175" i="14"/>
  <c r="AH176" i="14" s="1"/>
  <c r="AH184" i="14"/>
  <c r="BD252" i="40"/>
  <c r="BF251" i="40"/>
  <c r="BF245" i="40"/>
  <c r="BD246" i="40"/>
  <c r="AG173" i="14"/>
  <c r="AG184" i="14"/>
  <c r="AH166" i="14"/>
  <c r="AG175" i="14"/>
  <c r="AG176" i="14" s="1"/>
  <c r="BC252" i="40"/>
  <c r="AG160" i="14"/>
  <c r="AG161" i="14" s="1"/>
  <c r="AH144" i="14"/>
  <c r="AH156" i="14" s="1"/>
  <c r="DY239" i="40"/>
  <c r="BD239" i="40"/>
  <c r="BF239" i="40" s="1"/>
  <c r="AG106" i="8" l="1"/>
  <c r="AG163" i="14"/>
  <c r="AG164" i="14" s="1"/>
  <c r="AG178" i="14"/>
  <c r="AG179" i="14" s="1"/>
  <c r="BD253" i="40"/>
  <c r="BF253" i="40" s="1"/>
  <c r="BF252" i="40"/>
  <c r="AM350" i="21"/>
  <c r="AO156" i="14"/>
  <c r="AH160" i="14"/>
  <c r="AH161" i="14" s="1"/>
  <c r="BF246" i="40"/>
  <c r="AF107" i="8"/>
  <c r="AF128" i="8"/>
  <c r="DY59" i="30"/>
  <c r="AH146" i="14"/>
  <c r="AH158" i="14" s="1"/>
  <c r="AH167" i="14"/>
  <c r="AH182" i="14" s="1"/>
  <c r="AH139" i="14" s="1"/>
  <c r="AH138" i="14" s="1"/>
  <c r="AO166" i="14"/>
  <c r="AK351" i="21"/>
  <c r="AM351" i="21" s="1"/>
  <c r="AD351" i="21"/>
  <c r="AF351" i="21" s="1"/>
  <c r="AH106" i="8" l="1"/>
  <c r="AO138" i="14"/>
  <c r="AH163" i="14"/>
  <c r="AH164" i="14" s="1"/>
  <c r="AH178" i="14"/>
  <c r="AK352" i="21"/>
  <c r="AM352" i="21" s="1"/>
  <c r="AG107" i="8"/>
  <c r="AG128" i="8"/>
  <c r="AH107" i="8" l="1"/>
  <c r="AH128" i="8"/>
  <c r="AH179" i="14"/>
  <c r="AO178" i="14"/>
  <c r="M226" i="40" l="1"/>
  <c r="K229" i="40"/>
  <c r="K230" i="40"/>
  <c r="M230" i="40" s="1"/>
  <c r="N226" i="40"/>
  <c r="K240" i="40"/>
  <c r="M240" i="40" s="1"/>
  <c r="L226" i="40"/>
  <c r="AC81" i="14" s="1"/>
  <c r="K233" i="40"/>
  <c r="K232" i="40"/>
  <c r="M232" i="40" s="1"/>
  <c r="AC80" i="14" l="1"/>
  <c r="AC93" i="14"/>
  <c r="K239" i="40"/>
  <c r="D230" i="40"/>
  <c r="P226" i="40"/>
  <c r="G226" i="40"/>
  <c r="D232" i="40"/>
  <c r="N240" i="40"/>
  <c r="N229" i="40"/>
  <c r="K247" i="40"/>
  <c r="K231" i="40"/>
  <c r="K243" i="40"/>
  <c r="M233" i="40"/>
  <c r="K236" i="40"/>
  <c r="N233" i="40"/>
  <c r="M229" i="40"/>
  <c r="D229" i="40"/>
  <c r="AC112" i="14"/>
  <c r="M243" i="40" l="1"/>
  <c r="D243" i="40"/>
  <c r="K244" i="40"/>
  <c r="F230" i="40"/>
  <c r="CW230" i="40"/>
  <c r="DF230" i="40" s="1"/>
  <c r="J173" i="21"/>
  <c r="P233" i="40"/>
  <c r="G233" i="40"/>
  <c r="N236" i="40"/>
  <c r="AD112" i="14"/>
  <c r="M231" i="40"/>
  <c r="D231" i="40"/>
  <c r="DF232" i="40"/>
  <c r="F232" i="40"/>
  <c r="CW232" i="40"/>
  <c r="J175" i="21"/>
  <c r="D233" i="40"/>
  <c r="L232" i="40"/>
  <c r="M236" i="40"/>
  <c r="D236" i="40"/>
  <c r="K237" i="40"/>
  <c r="M247" i="40"/>
  <c r="K246" i="40"/>
  <c r="N247" i="40"/>
  <c r="K250" i="40"/>
  <c r="K254" i="40"/>
  <c r="H226" i="40"/>
  <c r="I226" i="40"/>
  <c r="DB226" i="40"/>
  <c r="M239" i="40"/>
  <c r="D239" i="40"/>
  <c r="P240" i="40"/>
  <c r="N243" i="40"/>
  <c r="G240" i="40"/>
  <c r="AE112" i="14"/>
  <c r="AC117" i="14"/>
  <c r="AC107" i="14"/>
  <c r="AC110" i="14"/>
  <c r="F229" i="40"/>
  <c r="DF229" i="40"/>
  <c r="CW229" i="40"/>
  <c r="J172" i="21"/>
  <c r="L172" i="21" s="1"/>
  <c r="P229" i="40"/>
  <c r="N230" i="40"/>
  <c r="G229" i="40"/>
  <c r="AC96" i="14"/>
  <c r="AD77" i="14"/>
  <c r="AD93" i="14" s="1"/>
  <c r="AC92" i="14"/>
  <c r="P230" i="40" l="1"/>
  <c r="G230" i="40"/>
  <c r="N231" i="40"/>
  <c r="AC128" i="14"/>
  <c r="AC105" i="14"/>
  <c r="AM110" i="14"/>
  <c r="AC33" i="14"/>
  <c r="AC111" i="14"/>
  <c r="AC115" i="14"/>
  <c r="AC116" i="14" s="1"/>
  <c r="AE117" i="14"/>
  <c r="AE110" i="14"/>
  <c r="CW239" i="40"/>
  <c r="DF239" i="40"/>
  <c r="F239" i="40"/>
  <c r="D240" i="40"/>
  <c r="P247" i="40"/>
  <c r="N250" i="40"/>
  <c r="G247" i="40"/>
  <c r="AF112" i="14"/>
  <c r="AF107" i="14" s="1"/>
  <c r="F236" i="40"/>
  <c r="CW236" i="40"/>
  <c r="F231" i="40"/>
  <c r="DF231" i="40"/>
  <c r="CW231" i="40"/>
  <c r="J174" i="21"/>
  <c r="L174" i="21" s="1"/>
  <c r="I233" i="40"/>
  <c r="H233" i="40"/>
  <c r="DB233" i="40"/>
  <c r="I229" i="40"/>
  <c r="DB229" i="40"/>
  <c r="Z172" i="21"/>
  <c r="AB172" i="21" s="1"/>
  <c r="DP229" i="40"/>
  <c r="DI229" i="40"/>
  <c r="DL229" i="40"/>
  <c r="CY229" i="40"/>
  <c r="DN229" i="40"/>
  <c r="DJ229" i="40"/>
  <c r="DO229" i="40"/>
  <c r="DQ229" i="40"/>
  <c r="DK229" i="40"/>
  <c r="DM229" i="40"/>
  <c r="CX229" i="40"/>
  <c r="EG229" i="40" s="1"/>
  <c r="J208" i="19"/>
  <c r="I240" i="40"/>
  <c r="H240" i="40"/>
  <c r="DB240" i="40"/>
  <c r="M246" i="40"/>
  <c r="D246" i="40"/>
  <c r="DP232" i="40"/>
  <c r="DM232" i="40"/>
  <c r="DL232" i="40"/>
  <c r="CY232" i="40"/>
  <c r="CX232" i="40"/>
  <c r="DK232" i="40"/>
  <c r="DO232" i="40"/>
  <c r="DN232" i="40"/>
  <c r="DQ232" i="40"/>
  <c r="DJ232" i="40"/>
  <c r="DI232" i="40"/>
  <c r="J211" i="19"/>
  <c r="AD76" i="14"/>
  <c r="AM92" i="14"/>
  <c r="DU54" i="30"/>
  <c r="AC95" i="14"/>
  <c r="N244" i="40"/>
  <c r="G243" i="40"/>
  <c r="P243" i="40"/>
  <c r="M254" i="40"/>
  <c r="K253" i="40"/>
  <c r="N254" i="40"/>
  <c r="E232" i="40"/>
  <c r="DS232" i="40"/>
  <c r="AD117" i="14"/>
  <c r="AE107" i="14"/>
  <c r="AD110" i="14"/>
  <c r="L173" i="21"/>
  <c r="M244" i="40"/>
  <c r="K245" i="40"/>
  <c r="D244" i="40"/>
  <c r="AD96" i="14"/>
  <c r="AE77" i="14"/>
  <c r="AE93" i="14" s="1"/>
  <c r="AD92" i="14"/>
  <c r="AD107" i="14"/>
  <c r="DD226" i="40"/>
  <c r="DC226" i="40"/>
  <c r="AC31" i="14"/>
  <c r="D250" i="40"/>
  <c r="M250" i="40"/>
  <c r="K251" i="40"/>
  <c r="M237" i="40"/>
  <c r="D237" i="40"/>
  <c r="K238" i="40"/>
  <c r="F233" i="40"/>
  <c r="DF233" i="40"/>
  <c r="CW233" i="40"/>
  <c r="E233" i="40"/>
  <c r="CX233" i="40" s="1"/>
  <c r="P236" i="40"/>
  <c r="G236" i="40"/>
  <c r="N237" i="40"/>
  <c r="DL230" i="40"/>
  <c r="CY230" i="40"/>
  <c r="DN230" i="40"/>
  <c r="DO230" i="40"/>
  <c r="DI230" i="40"/>
  <c r="DM230" i="40"/>
  <c r="DP230" i="40"/>
  <c r="DJ230" i="40"/>
  <c r="DQ230" i="40"/>
  <c r="DK230" i="40"/>
  <c r="J209" i="19"/>
  <c r="CX230" i="40"/>
  <c r="EG230" i="40" s="1"/>
  <c r="F243" i="40"/>
  <c r="CW243" i="40"/>
  <c r="N172" i="21"/>
  <c r="P172" i="21" s="1"/>
  <c r="U172" i="21"/>
  <c r="DN243" i="40" l="1"/>
  <c r="CY243" i="40"/>
  <c r="DP243" i="40"/>
  <c r="DK243" i="40"/>
  <c r="DL243" i="40"/>
  <c r="DQ243" i="40"/>
  <c r="DO243" i="40"/>
  <c r="DM243" i="40"/>
  <c r="DJ243" i="40"/>
  <c r="DI243" i="40"/>
  <c r="CX243" i="40"/>
  <c r="EG243" i="40" s="1"/>
  <c r="DB236" i="40"/>
  <c r="DD236" i="40" s="1"/>
  <c r="I236" i="40"/>
  <c r="AC44" i="14"/>
  <c r="AC35" i="14"/>
  <c r="DU61" i="30"/>
  <c r="AM31" i="14"/>
  <c r="AC28" i="14"/>
  <c r="AC32" i="14"/>
  <c r="M245" i="40"/>
  <c r="D245" i="40"/>
  <c r="DB243" i="40"/>
  <c r="DD243" i="40" s="1"/>
  <c r="I243" i="40"/>
  <c r="W172" i="21"/>
  <c r="AD18" i="14"/>
  <c r="AF18" i="14"/>
  <c r="AH18" i="14"/>
  <c r="AG18" i="14"/>
  <c r="AE18" i="14"/>
  <c r="AD15" i="14"/>
  <c r="AD17" i="14" s="1"/>
  <c r="AD19" i="14" s="1"/>
  <c r="N173" i="21"/>
  <c r="P173" i="21" s="1"/>
  <c r="U173" i="21"/>
  <c r="W173" i="21" s="1"/>
  <c r="EE232" i="40"/>
  <c r="ED232" i="40"/>
  <c r="ED233" i="40" s="1"/>
  <c r="V210" i="2"/>
  <c r="X210" i="2" s="1"/>
  <c r="Z210" i="2" s="1"/>
  <c r="DF246" i="40"/>
  <c r="F246" i="40"/>
  <c r="CW246" i="40"/>
  <c r="D247" i="40"/>
  <c r="G237" i="40"/>
  <c r="N238" i="40"/>
  <c r="P237" i="40"/>
  <c r="DJ233" i="40"/>
  <c r="CY233" i="40"/>
  <c r="DO233" i="40"/>
  <c r="CW234" i="40"/>
  <c r="DK233" i="40"/>
  <c r="DQ233" i="40"/>
  <c r="DM233" i="40"/>
  <c r="DL233" i="40"/>
  <c r="DN233" i="40"/>
  <c r="DP233" i="40"/>
  <c r="DI233" i="40"/>
  <c r="AD20" i="14"/>
  <c r="DV53" i="30" s="1"/>
  <c r="DV67" i="30" s="1"/>
  <c r="F237" i="40"/>
  <c r="CW237" i="40"/>
  <c r="DF237" i="40" s="1"/>
  <c r="F250" i="40"/>
  <c r="CW250" i="40"/>
  <c r="DF250" i="40" s="1"/>
  <c r="F244" i="40"/>
  <c r="CW244" i="40"/>
  <c r="DF244" i="40" s="1"/>
  <c r="AD111" i="14"/>
  <c r="AD128" i="14"/>
  <c r="AD115" i="14"/>
  <c r="AD116" i="14" s="1"/>
  <c r="AD33" i="14"/>
  <c r="AE105" i="14"/>
  <c r="DD233" i="40"/>
  <c r="DC233" i="40"/>
  <c r="AD31" i="14"/>
  <c r="DK231" i="40"/>
  <c r="DN231" i="40"/>
  <c r="DO231" i="40"/>
  <c r="CX231" i="40"/>
  <c r="EG231" i="40" s="1"/>
  <c r="DJ231" i="40"/>
  <c r="DM231" i="40"/>
  <c r="J210" i="19"/>
  <c r="CY231" i="40"/>
  <c r="DI231" i="40"/>
  <c r="DP231" i="40"/>
  <c r="DQ231" i="40"/>
  <c r="DL231" i="40"/>
  <c r="DQ236" i="40"/>
  <c r="DM236" i="40"/>
  <c r="DI236" i="40"/>
  <c r="DK236" i="40"/>
  <c r="DO236" i="40"/>
  <c r="DP236" i="40"/>
  <c r="CY236" i="40"/>
  <c r="DJ236" i="40"/>
  <c r="DN236" i="40"/>
  <c r="DL236" i="40"/>
  <c r="CX236" i="40"/>
  <c r="EG236" i="40" s="1"/>
  <c r="H247" i="40"/>
  <c r="I247" i="40"/>
  <c r="DB247" i="40"/>
  <c r="L246" i="40"/>
  <c r="V207" i="2"/>
  <c r="L208" i="19"/>
  <c r="AK172" i="21"/>
  <c r="AD172" i="21"/>
  <c r="AF172" i="21" s="1"/>
  <c r="G250" i="40"/>
  <c r="N251" i="40"/>
  <c r="P250" i="40"/>
  <c r="P231" i="40"/>
  <c r="G231" i="40"/>
  <c r="N232" i="40"/>
  <c r="DF243" i="40"/>
  <c r="D251" i="40"/>
  <c r="M251" i="40"/>
  <c r="K252" i="40"/>
  <c r="AE96" i="14"/>
  <c r="AE92" i="14"/>
  <c r="AE115" i="14" s="1"/>
  <c r="AE116" i="14" s="1"/>
  <c r="AF77" i="14"/>
  <c r="AF93" i="14" s="1"/>
  <c r="D253" i="40"/>
  <c r="M253" i="40"/>
  <c r="L253" i="40"/>
  <c r="P244" i="40"/>
  <c r="N245" i="40"/>
  <c r="G244" i="40"/>
  <c r="DD240" i="40"/>
  <c r="DC240" i="40"/>
  <c r="AE31" i="14"/>
  <c r="DD229" i="40"/>
  <c r="Z208" i="19"/>
  <c r="DF236" i="40"/>
  <c r="DI239" i="40"/>
  <c r="DP239" i="40"/>
  <c r="DL239" i="40"/>
  <c r="DO239" i="40"/>
  <c r="DJ239" i="40"/>
  <c r="DK239" i="40"/>
  <c r="DQ239" i="40"/>
  <c r="DN239" i="40"/>
  <c r="DM239" i="40"/>
  <c r="CY239" i="40"/>
  <c r="AC106" i="14"/>
  <c r="AC130" i="14" s="1"/>
  <c r="AC120" i="14"/>
  <c r="AM105" i="14"/>
  <c r="I230" i="40"/>
  <c r="DB230" i="40"/>
  <c r="Z173" i="21"/>
  <c r="AB173" i="21" s="1"/>
  <c r="V208" i="2"/>
  <c r="L209" i="19"/>
  <c r="AE76" i="14"/>
  <c r="AE128" i="14" s="1"/>
  <c r="DV54" i="30"/>
  <c r="AD95" i="14"/>
  <c r="P254" i="40"/>
  <c r="AG112" i="14"/>
  <c r="G254" i="40"/>
  <c r="AH112" i="14"/>
  <c r="M238" i="40"/>
  <c r="D238" i="40"/>
  <c r="L239" i="40"/>
  <c r="AC98" i="14"/>
  <c r="AC100" i="14"/>
  <c r="AC101" i="14" s="1"/>
  <c r="N174" i="21"/>
  <c r="P174" i="21" s="1"/>
  <c r="U174" i="21"/>
  <c r="W174" i="21" s="1"/>
  <c r="L175" i="21"/>
  <c r="L176" i="21" s="1"/>
  <c r="N176" i="21" s="1"/>
  <c r="P176" i="21" s="1"/>
  <c r="AF117" i="14"/>
  <c r="AF110" i="14"/>
  <c r="F240" i="40"/>
  <c r="CW240" i="40"/>
  <c r="DF240" i="40"/>
  <c r="E240" i="40"/>
  <c r="CX240" i="40" s="1"/>
  <c r="AE33" i="14"/>
  <c r="AE111" i="14"/>
  <c r="AF105" i="14"/>
  <c r="AF106" i="14" s="1"/>
  <c r="AF126" i="14" s="1"/>
  <c r="AF66" i="14" s="1"/>
  <c r="AD105" i="14"/>
  <c r="AH107" i="14" l="1"/>
  <c r="AG110" i="14"/>
  <c r="P232" i="40"/>
  <c r="G232" i="40"/>
  <c r="AH110" i="14"/>
  <c r="AD98" i="14"/>
  <c r="AD100" i="14"/>
  <c r="AD101" i="14" s="1"/>
  <c r="I244" i="40"/>
  <c r="DB244" i="40"/>
  <c r="DD244" i="40" s="1"/>
  <c r="AD32" i="14"/>
  <c r="DV61" i="30"/>
  <c r="AD44" i="14"/>
  <c r="AD35" i="14"/>
  <c r="AD28" i="14"/>
  <c r="CW247" i="40"/>
  <c r="DF247" i="40"/>
  <c r="E247" i="40"/>
  <c r="CX247" i="40" s="1"/>
  <c r="F247" i="40"/>
  <c r="AH15" i="14"/>
  <c r="AH17" i="14" s="1"/>
  <c r="AF15" i="14"/>
  <c r="AF17" i="14" s="1"/>
  <c r="AG15" i="14"/>
  <c r="AG17" i="14" s="1"/>
  <c r="AE15" i="14"/>
  <c r="AE17" i="14" s="1"/>
  <c r="AF33" i="14"/>
  <c r="AF111" i="14"/>
  <c r="DS239" i="40"/>
  <c r="E239" i="40"/>
  <c r="I254" i="40"/>
  <c r="DB254" i="40"/>
  <c r="AK173" i="21"/>
  <c r="AM173" i="21" s="1"/>
  <c r="AD173" i="21"/>
  <c r="AF173" i="21" s="1"/>
  <c r="AC121" i="14"/>
  <c r="AM120" i="14"/>
  <c r="DW61" i="30"/>
  <c r="AE32" i="14"/>
  <c r="AE28" i="14"/>
  <c r="AE29" i="14" s="1"/>
  <c r="P245" i="40"/>
  <c r="N246" i="40"/>
  <c r="G245" i="40"/>
  <c r="DF253" i="40"/>
  <c r="F253" i="40"/>
  <c r="D254" i="40"/>
  <c r="CW253" i="40"/>
  <c r="M252" i="40"/>
  <c r="D252" i="40"/>
  <c r="AM172" i="21"/>
  <c r="E246" i="40"/>
  <c r="DS246" i="40"/>
  <c r="V209" i="2"/>
  <c r="L210" i="19"/>
  <c r="DJ246" i="40"/>
  <c r="DI246" i="40"/>
  <c r="DP246" i="40"/>
  <c r="CY246" i="40"/>
  <c r="DL246" i="40"/>
  <c r="DO246" i="40"/>
  <c r="DK246" i="40"/>
  <c r="DQ246" i="40"/>
  <c r="DN246" i="40"/>
  <c r="DM246" i="40"/>
  <c r="L211" i="19"/>
  <c r="DU66" i="30"/>
  <c r="DU62" i="30"/>
  <c r="F238" i="40"/>
  <c r="CW238" i="40"/>
  <c r="AF96" i="14"/>
  <c r="AG77" i="14"/>
  <c r="AG93" i="14" s="1"/>
  <c r="AG117" i="14" s="1"/>
  <c r="AF92" i="14"/>
  <c r="P251" i="40"/>
  <c r="G251" i="40"/>
  <c r="N252" i="40"/>
  <c r="AD21" i="14"/>
  <c r="AE14" i="14"/>
  <c r="AE19" i="14" s="1"/>
  <c r="AC36" i="14"/>
  <c r="DU63" i="30"/>
  <c r="AD120" i="14"/>
  <c r="AD121" i="14" s="1"/>
  <c r="AD106" i="14"/>
  <c r="AD130" i="14" s="1"/>
  <c r="CY240" i="40"/>
  <c r="DK240" i="40"/>
  <c r="DQ240" i="40"/>
  <c r="DN240" i="40"/>
  <c r="DP240" i="40"/>
  <c r="DO240" i="40"/>
  <c r="DL240" i="40"/>
  <c r="DM240" i="40"/>
  <c r="DI240" i="40"/>
  <c r="DJ240" i="40"/>
  <c r="AE20" i="14"/>
  <c r="DW53" i="30" s="1"/>
  <c r="DW67" i="30" s="1"/>
  <c r="AG107" i="14"/>
  <c r="N209" i="19"/>
  <c r="P209" i="19" s="1"/>
  <c r="U209" i="19"/>
  <c r="W209" i="19" s="1"/>
  <c r="AB208" i="19"/>
  <c r="AB207" i="2"/>
  <c r="H207" i="2" s="1"/>
  <c r="E253" i="40"/>
  <c r="DS253" i="40"/>
  <c r="AE95" i="14"/>
  <c r="AE98" i="14" s="1"/>
  <c r="DW54" i="30"/>
  <c r="AF76" i="14"/>
  <c r="F251" i="40"/>
  <c r="CW251" i="40"/>
  <c r="I231" i="40"/>
  <c r="Z174" i="21"/>
  <c r="AB174" i="21" s="1"/>
  <c r="DB231" i="40"/>
  <c r="DB250" i="40"/>
  <c r="DD250" i="40" s="1"/>
  <c r="I250" i="40"/>
  <c r="U208" i="19"/>
  <c r="L212" i="19"/>
  <c r="N212" i="19" s="1"/>
  <c r="P212" i="19" s="1"/>
  <c r="N208" i="19"/>
  <c r="P208" i="19" s="1"/>
  <c r="AE106" i="14"/>
  <c r="AE126" i="14" s="1"/>
  <c r="AE66" i="14" s="1"/>
  <c r="AE65" i="14" s="1"/>
  <c r="CY250" i="40"/>
  <c r="DL250" i="40"/>
  <c r="DQ250" i="40"/>
  <c r="DK250" i="40"/>
  <c r="DM250" i="40"/>
  <c r="DN250" i="40"/>
  <c r="DI250" i="40"/>
  <c r="DJ250" i="40"/>
  <c r="DO250" i="40"/>
  <c r="DP250" i="40"/>
  <c r="CX250" i="40"/>
  <c r="EG250" i="40" s="1"/>
  <c r="DB237" i="40"/>
  <c r="DD237" i="40" s="1"/>
  <c r="I237" i="40"/>
  <c r="EF232" i="40"/>
  <c r="EG232" i="40" s="1"/>
  <c r="EE233" i="40"/>
  <c r="EF233" i="40" s="1"/>
  <c r="EG233" i="40" s="1"/>
  <c r="AM28" i="14"/>
  <c r="AC38" i="14"/>
  <c r="AC29" i="14"/>
  <c r="AC46" i="14" s="1"/>
  <c r="DD230" i="40"/>
  <c r="Z209" i="19"/>
  <c r="DC247" i="40"/>
  <c r="DD247" i="40"/>
  <c r="AF31" i="14"/>
  <c r="DM237" i="40"/>
  <c r="DN237" i="40"/>
  <c r="DQ237" i="40"/>
  <c r="DI237" i="40"/>
  <c r="DL237" i="40"/>
  <c r="DP237" i="40"/>
  <c r="DO237" i="40"/>
  <c r="DJ237" i="40"/>
  <c r="DK237" i="40"/>
  <c r="CY237" i="40"/>
  <c r="CX237" i="40"/>
  <c r="EG237" i="40" s="1"/>
  <c r="P238" i="40"/>
  <c r="N239" i="40"/>
  <c r="G238" i="40"/>
  <c r="N175" i="21"/>
  <c r="P175" i="21" s="1"/>
  <c r="U175" i="21"/>
  <c r="W175" i="21" s="1"/>
  <c r="DP244" i="40"/>
  <c r="DJ244" i="40"/>
  <c r="DI244" i="40"/>
  <c r="DQ244" i="40"/>
  <c r="CY244" i="40"/>
  <c r="DL244" i="40"/>
  <c r="DN244" i="40"/>
  <c r="DK244" i="40"/>
  <c r="DM244" i="40"/>
  <c r="DO244" i="40"/>
  <c r="CX244" i="40"/>
  <c r="EG244" i="40" s="1"/>
  <c r="U176" i="21"/>
  <c r="W176" i="21" s="1"/>
  <c r="F245" i="40"/>
  <c r="CW245" i="40"/>
  <c r="DP251" i="40" l="1"/>
  <c r="DK251" i="40"/>
  <c r="DM251" i="40"/>
  <c r="DQ251" i="40"/>
  <c r="DI251" i="40"/>
  <c r="DN251" i="40"/>
  <c r="DJ251" i="40"/>
  <c r="DO251" i="40"/>
  <c r="CY251" i="40"/>
  <c r="DL251" i="40"/>
  <c r="CX251" i="40"/>
  <c r="EG251" i="40" s="1"/>
  <c r="AE21" i="14"/>
  <c r="AE22" i="14" s="1"/>
  <c r="AF14" i="14"/>
  <c r="AF19" i="14" s="1"/>
  <c r="AD36" i="14"/>
  <c r="DV63" i="30"/>
  <c r="P239" i="40"/>
  <c r="G239" i="40"/>
  <c r="AB209" i="19"/>
  <c r="AB208" i="2"/>
  <c r="H208" i="2" s="1"/>
  <c r="AE100" i="14"/>
  <c r="AE101" i="14" s="1"/>
  <c r="AE120" i="14"/>
  <c r="AE121" i="14" s="1"/>
  <c r="AE8" i="14"/>
  <c r="AE7" i="14" s="1"/>
  <c r="AF65" i="14"/>
  <c r="AE103" i="8"/>
  <c r="DB251" i="40"/>
  <c r="DD251" i="40" s="1"/>
  <c r="I251" i="40"/>
  <c r="EE246" i="40"/>
  <c r="ED246" i="40"/>
  <c r="ED247" i="40" s="1"/>
  <c r="F252" i="40"/>
  <c r="CW252" i="40"/>
  <c r="AE35" i="14"/>
  <c r="AD29" i="14"/>
  <c r="AD46" i="14" s="1"/>
  <c r="AD38" i="14"/>
  <c r="DX61" i="30"/>
  <c r="AF44" i="14"/>
  <c r="AF35" i="14"/>
  <c r="AF32" i="14"/>
  <c r="AF28" i="14"/>
  <c r="AF29" i="14" s="1"/>
  <c r="DI238" i="40"/>
  <c r="DJ238" i="40"/>
  <c r="CY238" i="40"/>
  <c r="DO238" i="40"/>
  <c r="DP238" i="40"/>
  <c r="DK238" i="40"/>
  <c r="DL238" i="40"/>
  <c r="DQ238" i="40"/>
  <c r="DM238" i="40"/>
  <c r="DN238" i="40"/>
  <c r="CX238" i="40"/>
  <c r="EG238" i="40" s="1"/>
  <c r="CX239" i="40"/>
  <c r="AO110" i="14"/>
  <c r="AH33" i="14"/>
  <c r="AH111" i="14"/>
  <c r="DL245" i="40"/>
  <c r="DP245" i="40"/>
  <c r="DI245" i="40"/>
  <c r="DM245" i="40"/>
  <c r="DK245" i="40"/>
  <c r="DJ245" i="40"/>
  <c r="DN245" i="40"/>
  <c r="CY245" i="40"/>
  <c r="DQ245" i="40"/>
  <c r="DO245" i="40"/>
  <c r="CX245" i="40"/>
  <c r="EG245" i="40" s="1"/>
  <c r="DD231" i="40"/>
  <c r="Z210" i="19"/>
  <c r="DF251" i="40"/>
  <c r="AD208" i="19"/>
  <c r="AF208" i="19" s="1"/>
  <c r="AK208" i="19"/>
  <c r="AD22" i="14"/>
  <c r="AD25" i="14"/>
  <c r="AD26" i="14" s="1"/>
  <c r="DX54" i="30"/>
  <c r="AG76" i="14"/>
  <c r="AF95" i="14"/>
  <c r="AF98" i="14" s="1"/>
  <c r="DF238" i="40"/>
  <c r="U211" i="19"/>
  <c r="W211" i="19" s="1"/>
  <c r="N211" i="19"/>
  <c r="P211" i="19" s="1"/>
  <c r="U210" i="19"/>
  <c r="W210" i="19" s="1"/>
  <c r="N210" i="19"/>
  <c r="P210" i="19" s="1"/>
  <c r="DO253" i="40"/>
  <c r="DP253" i="40"/>
  <c r="DK253" i="40"/>
  <c r="DQ253" i="40"/>
  <c r="DN253" i="40"/>
  <c r="DM253" i="40"/>
  <c r="DJ253" i="40"/>
  <c r="DI253" i="40"/>
  <c r="DL253" i="40"/>
  <c r="CY253" i="40"/>
  <c r="CX253" i="40"/>
  <c r="I245" i="40"/>
  <c r="DB245" i="40"/>
  <c r="DD254" i="40"/>
  <c r="AG31" i="14"/>
  <c r="AH31" i="14"/>
  <c r="EE239" i="40"/>
  <c r="ED239" i="40"/>
  <c r="ED240" i="40" s="1"/>
  <c r="AF115" i="14"/>
  <c r="AF116" i="14" s="1"/>
  <c r="T207" i="2"/>
  <c r="J207" i="2"/>
  <c r="P207" i="2"/>
  <c r="X207" i="2"/>
  <c r="Z207" i="2" s="1"/>
  <c r="J208" i="2"/>
  <c r="N207" i="2"/>
  <c r="AM207" i="2"/>
  <c r="DW66" i="30"/>
  <c r="DW62" i="30"/>
  <c r="AG111" i="14"/>
  <c r="AH105" i="14"/>
  <c r="AG33" i="14"/>
  <c r="AG115" i="14"/>
  <c r="AG116" i="14" s="1"/>
  <c r="DF245" i="40"/>
  <c r="I238" i="40"/>
  <c r="DB238" i="40"/>
  <c r="DD238" i="40" s="1"/>
  <c r="AM38" i="14"/>
  <c r="AC39" i="14"/>
  <c r="DU64" i="30"/>
  <c r="U212" i="19"/>
  <c r="W212" i="19" s="1"/>
  <c r="W208" i="19"/>
  <c r="AK174" i="21"/>
  <c r="AM174" i="21" s="1"/>
  <c r="AD174" i="21"/>
  <c r="AF174" i="21" s="1"/>
  <c r="ED253" i="40"/>
  <c r="ED254" i="40" s="1"/>
  <c r="EE253" i="40"/>
  <c r="G252" i="40"/>
  <c r="P252" i="40"/>
  <c r="N253" i="40"/>
  <c r="AG96" i="14"/>
  <c r="AG92" i="14"/>
  <c r="AH77" i="14"/>
  <c r="AH93" i="14" s="1"/>
  <c r="CX246" i="40"/>
  <c r="F254" i="40"/>
  <c r="CW254" i="40"/>
  <c r="DC254" i="40" s="1"/>
  <c r="E254" i="40"/>
  <c r="CX254" i="40" s="1"/>
  <c r="P246" i="40"/>
  <c r="G246" i="40"/>
  <c r="AE44" i="14"/>
  <c r="H254" i="40"/>
  <c r="AG105" i="14"/>
  <c r="AG106" i="14" s="1"/>
  <c r="AG126" i="14" s="1"/>
  <c r="AG66" i="14" s="1"/>
  <c r="AF128" i="14"/>
  <c r="DK247" i="40"/>
  <c r="DJ247" i="40"/>
  <c r="DL247" i="40"/>
  <c r="DP247" i="40"/>
  <c r="DM247" i="40"/>
  <c r="DI247" i="40"/>
  <c r="DQ247" i="40"/>
  <c r="CY247" i="40"/>
  <c r="DO247" i="40"/>
  <c r="DN247" i="40"/>
  <c r="AF20" i="14"/>
  <c r="DX53" i="30" s="1"/>
  <c r="DX67" i="30" s="1"/>
  <c r="DV66" i="30"/>
  <c r="DV62" i="30"/>
  <c r="I232" i="40"/>
  <c r="Z175" i="21"/>
  <c r="AB175" i="21" s="1"/>
  <c r="DB232" i="40"/>
  <c r="DD232" i="40" l="1"/>
  <c r="Z211" i="19"/>
  <c r="I246" i="40"/>
  <c r="DB246" i="40"/>
  <c r="DY54" i="30"/>
  <c r="AH76" i="14"/>
  <c r="AG95" i="14"/>
  <c r="AG98" i="14" s="1"/>
  <c r="DB252" i="40"/>
  <c r="DD252" i="40" s="1"/>
  <c r="I252" i="40"/>
  <c r="AH106" i="14"/>
  <c r="AH126" i="14" s="1"/>
  <c r="AH66" i="14" s="1"/>
  <c r="AO105" i="14"/>
  <c r="AG32" i="14"/>
  <c r="DY61" i="30"/>
  <c r="AG28" i="14"/>
  <c r="AG29" i="14" s="1"/>
  <c r="AK176" i="21"/>
  <c r="AM176" i="21" s="1"/>
  <c r="AM208" i="19"/>
  <c r="DW63" i="30"/>
  <c r="AE36" i="14"/>
  <c r="AE160" i="8"/>
  <c r="AE104" i="8"/>
  <c r="AE121" i="8"/>
  <c r="AE145" i="8" s="1"/>
  <c r="AE125" i="8"/>
  <c r="AK175" i="21"/>
  <c r="AM175" i="21" s="1"/>
  <c r="AD175" i="21"/>
  <c r="AF175" i="21" s="1"/>
  <c r="DF254" i="40"/>
  <c r="EF253" i="40"/>
  <c r="EG253" i="40" s="1"/>
  <c r="EE254" i="40"/>
  <c r="EF254" i="40" s="1"/>
  <c r="EG254" i="40" s="1"/>
  <c r="AG128" i="14"/>
  <c r="AN207" i="2"/>
  <c r="DX62" i="30"/>
  <c r="DX66" i="30"/>
  <c r="DJ252" i="40"/>
  <c r="CY252" i="40"/>
  <c r="DP252" i="40"/>
  <c r="DK252" i="40"/>
  <c r="DL252" i="40"/>
  <c r="DQ252" i="40"/>
  <c r="DI252" i="40"/>
  <c r="DM252" i="40"/>
  <c r="DN252" i="40"/>
  <c r="DO252" i="40"/>
  <c r="CX252" i="40"/>
  <c r="EG252" i="40" s="1"/>
  <c r="EE247" i="40"/>
  <c r="EF247" i="40" s="1"/>
  <c r="EG247" i="40" s="1"/>
  <c r="EF246" i="40"/>
  <c r="EG246" i="40" s="1"/>
  <c r="AF103" i="8"/>
  <c r="AF100" i="14"/>
  <c r="AF101" i="14" s="1"/>
  <c r="AF8" i="14"/>
  <c r="AF7" i="14" s="1"/>
  <c r="AF120" i="14"/>
  <c r="AF121" i="14" s="1"/>
  <c r="AG65" i="14"/>
  <c r="P208" i="2"/>
  <c r="AM208" i="2"/>
  <c r="AN208" i="2" s="1"/>
  <c r="T208" i="2"/>
  <c r="X208" i="2"/>
  <c r="Z208" i="2" s="1"/>
  <c r="N208" i="2"/>
  <c r="P253" i="40"/>
  <c r="G253" i="40"/>
  <c r="R207" i="2"/>
  <c r="AH207" i="2"/>
  <c r="AI207" i="2"/>
  <c r="EF239" i="40"/>
  <c r="EG239" i="40" s="1"/>
  <c r="EE240" i="40"/>
  <c r="EF240" i="40" s="1"/>
  <c r="EG240" i="40" s="1"/>
  <c r="AD39" i="14"/>
  <c r="DV64" i="30"/>
  <c r="DF252" i="40"/>
  <c r="AE38" i="14"/>
  <c r="AE12" i="14"/>
  <c r="AE25" i="14"/>
  <c r="AE26" i="14" s="1"/>
  <c r="AE9" i="14"/>
  <c r="AE42" i="14" s="1"/>
  <c r="AE46" i="14" s="1"/>
  <c r="AF41" i="14"/>
  <c r="AE7" i="8"/>
  <c r="AD209" i="19"/>
  <c r="AF209" i="19" s="1"/>
  <c r="AK209" i="19"/>
  <c r="AM209" i="19" s="1"/>
  <c r="DM254" i="40"/>
  <c r="DP254" i="40"/>
  <c r="DI254" i="40"/>
  <c r="DL254" i="40"/>
  <c r="AH20" i="14"/>
  <c r="CY254" i="40"/>
  <c r="DQ254" i="40"/>
  <c r="DO254" i="40"/>
  <c r="DN254" i="40"/>
  <c r="DK254" i="40"/>
  <c r="DJ254" i="40"/>
  <c r="AG20" i="14"/>
  <c r="DY53" i="30" s="1"/>
  <c r="DY67" i="30" s="1"/>
  <c r="AH92" i="14"/>
  <c r="AH96" i="14"/>
  <c r="AH117" i="14"/>
  <c r="AB176" i="21"/>
  <c r="AD176" i="21" s="1"/>
  <c r="AF176" i="21" s="1"/>
  <c r="R208" i="2"/>
  <c r="AI208" i="2"/>
  <c r="AH208" i="2"/>
  <c r="AO31" i="14"/>
  <c r="AH28" i="14"/>
  <c r="AH32" i="14"/>
  <c r="DD245" i="40"/>
  <c r="AB210" i="19"/>
  <c r="AB209" i="2"/>
  <c r="H209" i="2" s="1"/>
  <c r="J209" i="2" s="1"/>
  <c r="DX63" i="30"/>
  <c r="AF36" i="14"/>
  <c r="I239" i="40"/>
  <c r="DB239" i="40"/>
  <c r="DD239" i="40" s="1"/>
  <c r="AF21" i="14"/>
  <c r="AF22" i="14" s="1"/>
  <c r="AG14" i="14"/>
  <c r="AG19" i="14" s="1"/>
  <c r="AG35" i="14" s="1"/>
  <c r="DY63" i="30" l="1"/>
  <c r="AG36" i="14"/>
  <c r="AH209" i="2"/>
  <c r="AI209" i="2"/>
  <c r="R209" i="2"/>
  <c r="DB253" i="40"/>
  <c r="DD253" i="40" s="1"/>
  <c r="I253" i="40"/>
  <c r="AF121" i="8"/>
  <c r="AF145" i="8" s="1"/>
  <c r="AF104" i="8"/>
  <c r="AF160" i="8"/>
  <c r="AF125" i="8"/>
  <c r="AD210" i="19"/>
  <c r="AF210" i="19" s="1"/>
  <c r="AK210" i="19"/>
  <c r="AM210" i="19" s="1"/>
  <c r="AO28" i="14"/>
  <c r="AH29" i="14"/>
  <c r="AE35" i="8"/>
  <c r="AE74" i="8"/>
  <c r="AE13" i="8"/>
  <c r="AE20" i="8"/>
  <c r="AE122" i="8"/>
  <c r="AE8" i="8"/>
  <c r="AE26" i="8"/>
  <c r="E4" i="99"/>
  <c r="BL69" i="3"/>
  <c r="AE19" i="8"/>
  <c r="DW9" i="30"/>
  <c r="R6" i="87"/>
  <c r="AE11" i="8"/>
  <c r="AE10" i="8" s="1"/>
  <c r="AE28" i="8"/>
  <c r="DD246" i="40"/>
  <c r="P209" i="2"/>
  <c r="X209" i="2"/>
  <c r="Z209" i="2" s="1"/>
  <c r="P210" i="2"/>
  <c r="AM209" i="2"/>
  <c r="AN210" i="2" s="1"/>
  <c r="N209" i="2"/>
  <c r="T209" i="2"/>
  <c r="J210" i="2"/>
  <c r="AG21" i="14"/>
  <c r="AG22" i="14" s="1"/>
  <c r="AH14" i="14"/>
  <c r="AH19" i="14" s="1"/>
  <c r="DX45" i="30"/>
  <c r="S36" i="87"/>
  <c r="S171" i="87" s="1"/>
  <c r="S169" i="87" s="1"/>
  <c r="AE39" i="14"/>
  <c r="DW64" i="30"/>
  <c r="AN209" i="2"/>
  <c r="AN211" i="2" s="1"/>
  <c r="AG41" i="14"/>
  <c r="AF38" i="14"/>
  <c r="AF12" i="14"/>
  <c r="AF7" i="8"/>
  <c r="AF9" i="14"/>
  <c r="AF42" i="14" s="1"/>
  <c r="AF46" i="14" s="1"/>
  <c r="AF25" i="14"/>
  <c r="AF26" i="14" s="1"/>
  <c r="AH95" i="14"/>
  <c r="AH98" i="14" s="1"/>
  <c r="AO92" i="14"/>
  <c r="AH128" i="14"/>
  <c r="AH115" i="14"/>
  <c r="AH116" i="14" s="1"/>
  <c r="DY62" i="30"/>
  <c r="DY66" i="30"/>
  <c r="AB211" i="19"/>
  <c r="AB212" i="19" s="1"/>
  <c r="AD212" i="19" s="1"/>
  <c r="AF212" i="19" s="1"/>
  <c r="AB210" i="2"/>
  <c r="AD210" i="2" s="1"/>
  <c r="AF210" i="2" s="1"/>
  <c r="AG120" i="14"/>
  <c r="AG121" i="14" s="1"/>
  <c r="AH65" i="14"/>
  <c r="AG8" i="14"/>
  <c r="AG7" i="14" s="1"/>
  <c r="AG100" i="14"/>
  <c r="AG101" i="14" s="1"/>
  <c r="AG103" i="8"/>
  <c r="AE143" i="8"/>
  <c r="AE161" i="8"/>
  <c r="AE162" i="8" s="1"/>
  <c r="AG44" i="14"/>
  <c r="AH210" i="2" l="1"/>
  <c r="R210" i="2"/>
  <c r="AI210" i="2"/>
  <c r="AE75" i="8"/>
  <c r="AE148" i="8"/>
  <c r="E6" i="99"/>
  <c r="AE37" i="8"/>
  <c r="AE29" i="8"/>
  <c r="AE151" i="8" s="1"/>
  <c r="AE24" i="8"/>
  <c r="R11" i="87"/>
  <c r="BL71" i="3"/>
  <c r="BL36" i="3" s="1"/>
  <c r="AE22" i="8"/>
  <c r="AN22" i="8" s="1"/>
  <c r="DW14" i="30"/>
  <c r="AF143" i="8"/>
  <c r="AF161" i="8"/>
  <c r="AF162" i="8" s="1"/>
  <c r="AH120" i="14"/>
  <c r="AH100" i="14"/>
  <c r="AH101" i="14" s="1"/>
  <c r="AO65" i="14"/>
  <c r="AH8" i="14"/>
  <c r="AH7" i="14" s="1"/>
  <c r="AH103" i="8"/>
  <c r="AG104" i="8"/>
  <c r="AG160" i="8"/>
  <c r="AG121" i="8"/>
  <c r="AG145" i="8" s="1"/>
  <c r="AG125" i="8"/>
  <c r="AF20" i="8"/>
  <c r="AF13" i="8"/>
  <c r="AF74" i="8"/>
  <c r="AF8" i="8"/>
  <c r="AF26" i="8"/>
  <c r="AF35" i="8"/>
  <c r="AF122" i="8"/>
  <c r="BN69" i="3"/>
  <c r="F4" i="99"/>
  <c r="AF19" i="8"/>
  <c r="AF11" i="8"/>
  <c r="AF10" i="8" s="1"/>
  <c r="AF28" i="8" s="1"/>
  <c r="DX9" i="30"/>
  <c r="S6" i="87"/>
  <c r="BL70" i="3"/>
  <c r="R8" i="87"/>
  <c r="R10" i="87" s="1"/>
  <c r="DW11" i="30"/>
  <c r="BL14" i="3"/>
  <c r="BJ28" i="32" s="1"/>
  <c r="BL11" i="3"/>
  <c r="BJ27" i="32" s="1"/>
  <c r="BL12" i="3"/>
  <c r="DY45" i="30"/>
  <c r="T36" i="87"/>
  <c r="T171" i="87" s="1"/>
  <c r="T169" i="87" s="1"/>
  <c r="AO19" i="14"/>
  <c r="AH21" i="14"/>
  <c r="AH22" i="14" s="1"/>
  <c r="AH44" i="14"/>
  <c r="AH35" i="14"/>
  <c r="AH36" i="14" s="1"/>
  <c r="R35" i="87"/>
  <c r="E14" i="99"/>
  <c r="E5" i="99"/>
  <c r="J211" i="2"/>
  <c r="AE144" i="8"/>
  <c r="AE147" i="8"/>
  <c r="AE150" i="8" s="1"/>
  <c r="AG12" i="14"/>
  <c r="AH41" i="14"/>
  <c r="U36" i="87" s="1"/>
  <c r="U171" i="87" s="1"/>
  <c r="U169" i="87" s="1"/>
  <c r="AG38" i="14"/>
  <c r="AG9" i="14"/>
  <c r="AG42" i="14" s="1"/>
  <c r="AG46" i="14" s="1"/>
  <c r="AG25" i="14"/>
  <c r="AG26" i="14" s="1"/>
  <c r="AG7" i="8"/>
  <c r="AD211" i="19"/>
  <c r="AF211" i="19" s="1"/>
  <c r="AK211" i="19"/>
  <c r="AF39" i="14"/>
  <c r="DX64" i="30"/>
  <c r="DW44" i="30"/>
  <c r="DW13" i="30"/>
  <c r="AF148" i="8" l="1"/>
  <c r="AF75" i="8"/>
  <c r="F6" i="99"/>
  <c r="AF29" i="8"/>
  <c r="AF151" i="8" s="1"/>
  <c r="AF37" i="8"/>
  <c r="R29" i="87"/>
  <c r="R13" i="87"/>
  <c r="BL31" i="3"/>
  <c r="BJ26" i="32"/>
  <c r="R211" i="2"/>
  <c r="AI211" i="2"/>
  <c r="AH7" i="8"/>
  <c r="AH25" i="14"/>
  <c r="AH26" i="14" s="1"/>
  <c r="AH38" i="14"/>
  <c r="AH12" i="14"/>
  <c r="AO7" i="14"/>
  <c r="AH9" i="14"/>
  <c r="AH42" i="14" s="1"/>
  <c r="AH46" i="14" s="1"/>
  <c r="BJ31" i="32"/>
  <c r="AE38" i="8"/>
  <c r="AE57" i="8"/>
  <c r="AE58" i="8" s="1"/>
  <c r="AE40" i="8"/>
  <c r="AE44" i="8" s="1"/>
  <c r="BN70" i="3"/>
  <c r="S8" i="87"/>
  <c r="DX11" i="30"/>
  <c r="AH121" i="8"/>
  <c r="AH145" i="8" s="1"/>
  <c r="AH104" i="8"/>
  <c r="AH160" i="8"/>
  <c r="AH125" i="8"/>
  <c r="S35" i="87"/>
  <c r="S10" i="87"/>
  <c r="AF22" i="8"/>
  <c r="AF24" i="8"/>
  <c r="S11" i="87"/>
  <c r="DX14" i="30"/>
  <c r="BN71" i="3"/>
  <c r="BN36" i="3" s="1"/>
  <c r="BL31" i="32" s="1"/>
  <c r="AF147" i="8"/>
  <c r="AF150" i="8" s="1"/>
  <c r="AF144" i="8"/>
  <c r="R37" i="87"/>
  <c r="R30" i="87"/>
  <c r="E9" i="99"/>
  <c r="E7" i="99"/>
  <c r="E10" i="99"/>
  <c r="AG39" i="14"/>
  <c r="DY64" i="30"/>
  <c r="R177" i="87"/>
  <c r="R80" i="87"/>
  <c r="R81" i="87" s="1"/>
  <c r="R121" i="87"/>
  <c r="BN14" i="3"/>
  <c r="BL28" i="32" s="1"/>
  <c r="BN11" i="3"/>
  <c r="BL27" i="32" s="1"/>
  <c r="BN12" i="3"/>
  <c r="AG143" i="8"/>
  <c r="AG161" i="8"/>
  <c r="AG162" i="8" s="1"/>
  <c r="AO120" i="14"/>
  <c r="AH121" i="14"/>
  <c r="AG35" i="8"/>
  <c r="AG13" i="8"/>
  <c r="AG26" i="8"/>
  <c r="AG122" i="8"/>
  <c r="AG8" i="8"/>
  <c r="AG74" i="8"/>
  <c r="AG20" i="8"/>
  <c r="T6" i="87"/>
  <c r="BP69" i="3"/>
  <c r="DY9" i="30"/>
  <c r="G4" i="99"/>
  <c r="AG19" i="8"/>
  <c r="AG11" i="8"/>
  <c r="AG10" i="8" s="1"/>
  <c r="AG28" i="8"/>
  <c r="DW35" i="30"/>
  <c r="DW17" i="30"/>
  <c r="AM211" i="19"/>
  <c r="AK212" i="19"/>
  <c r="AM212" i="19" s="1"/>
  <c r="DX44" i="30"/>
  <c r="DX13" i="30"/>
  <c r="F5" i="99"/>
  <c r="F14" i="99"/>
  <c r="DW46" i="30"/>
  <c r="DW36" i="30"/>
  <c r="BL72" i="3" l="1"/>
  <c r="AE45" i="8"/>
  <c r="BL85" i="3"/>
  <c r="AE53" i="8"/>
  <c r="BJ8" i="32"/>
  <c r="AE50" i="8"/>
  <c r="AE51" i="8" s="1"/>
  <c r="G6" i="99"/>
  <c r="AG75" i="8"/>
  <c r="AG148" i="8"/>
  <c r="AG29" i="8"/>
  <c r="AG151" i="8" s="1"/>
  <c r="AG37" i="8"/>
  <c r="AH20" i="8"/>
  <c r="AN7" i="8"/>
  <c r="AH8" i="8"/>
  <c r="AH13" i="8"/>
  <c r="AH74" i="8"/>
  <c r="AH122" i="8"/>
  <c r="AH35" i="8"/>
  <c r="AH26" i="8"/>
  <c r="AH19" i="8"/>
  <c r="BR69" i="3"/>
  <c r="U6" i="87"/>
  <c r="AH11" i="8"/>
  <c r="AH10" i="8" s="1"/>
  <c r="T8" i="87"/>
  <c r="BP70" i="3"/>
  <c r="DY11" i="30"/>
  <c r="BP14" i="3"/>
  <c r="BN28" i="32" s="1"/>
  <c r="BP12" i="3"/>
  <c r="BP11" i="3"/>
  <c r="BN27" i="32" s="1"/>
  <c r="BJ30" i="32"/>
  <c r="BL30" i="32"/>
  <c r="BL37" i="3"/>
  <c r="BL45" i="3" s="1"/>
  <c r="S80" i="87"/>
  <c r="S81" i="87" s="1"/>
  <c r="S177" i="87"/>
  <c r="S121" i="87"/>
  <c r="DW47" i="30"/>
  <c r="DW21" i="30"/>
  <c r="DW37" i="30"/>
  <c r="DW32" i="30"/>
  <c r="AG24" i="8"/>
  <c r="AG22" i="8"/>
  <c r="BP71" i="3"/>
  <c r="BP36" i="3" s="1"/>
  <c r="T11" i="87"/>
  <c r="DY14" i="30"/>
  <c r="T35" i="87"/>
  <c r="T10" i="87"/>
  <c r="AG15" i="8"/>
  <c r="AG144" i="8"/>
  <c r="AG147" i="8"/>
  <c r="AG150" i="8" s="1"/>
  <c r="R122" i="87"/>
  <c r="R180" i="87"/>
  <c r="R178" i="87" s="1"/>
  <c r="R168" i="87" s="1"/>
  <c r="R127" i="87" s="1"/>
  <c r="R69" i="87"/>
  <c r="R158" i="87" s="1"/>
  <c r="R110" i="87"/>
  <c r="R160" i="87" s="1"/>
  <c r="R159" i="87"/>
  <c r="R157" i="87" s="1"/>
  <c r="BN31" i="32"/>
  <c r="AH161" i="8"/>
  <c r="AH162" i="8" s="1"/>
  <c r="AH143" i="8"/>
  <c r="R18" i="87"/>
  <c r="DW23" i="30"/>
  <c r="DW39" i="30" s="1"/>
  <c r="AO38" i="14"/>
  <c r="AH39" i="14"/>
  <c r="R38" i="87"/>
  <c r="R26" i="87"/>
  <c r="R40" i="87" s="1"/>
  <c r="R31" i="87"/>
  <c r="R16" i="87"/>
  <c r="R21" i="87" s="1"/>
  <c r="R23" i="87" s="1"/>
  <c r="F9" i="99"/>
  <c r="F7" i="99"/>
  <c r="F10" i="99"/>
  <c r="DY44" i="30"/>
  <c r="DY13" i="30"/>
  <c r="S37" i="87"/>
  <c r="S30" i="87"/>
  <c r="DX35" i="30"/>
  <c r="DX17" i="30"/>
  <c r="G5" i="99"/>
  <c r="G14" i="99"/>
  <c r="H4" i="99"/>
  <c r="BN31" i="3"/>
  <c r="BL26" i="32"/>
  <c r="BL34" i="32" s="1"/>
  <c r="R179" i="87"/>
  <c r="R74" i="87"/>
  <c r="R45" i="87" s="1"/>
  <c r="E11" i="99"/>
  <c r="DX46" i="30"/>
  <c r="DX36" i="30"/>
  <c r="S13" i="87"/>
  <c r="S29" i="87"/>
  <c r="R155" i="87"/>
  <c r="R153" i="87" s="1"/>
  <c r="R68" i="87"/>
  <c r="R154" i="87" s="1"/>
  <c r="R109" i="87"/>
  <c r="R156" i="87" s="1"/>
  <c r="BJ34" i="32"/>
  <c r="AF57" i="8"/>
  <c r="AF58" i="8" s="1"/>
  <c r="AF40" i="8"/>
  <c r="AF38" i="8"/>
  <c r="AF44" i="8"/>
  <c r="E17" i="99" l="1"/>
  <c r="E18" i="99" s="1"/>
  <c r="E21" i="99" s="1"/>
  <c r="E25" i="99" s="1"/>
  <c r="BJ36" i="32"/>
  <c r="R132" i="87"/>
  <c r="R173" i="87" s="1"/>
  <c r="R131" i="87"/>
  <c r="R134" i="87" s="1"/>
  <c r="T37" i="87"/>
  <c r="T30" i="87"/>
  <c r="DW49" i="30"/>
  <c r="DW41" i="30"/>
  <c r="S122" i="87"/>
  <c r="S180" i="87"/>
  <c r="S178" i="87" s="1"/>
  <c r="S168" i="87" s="1"/>
  <c r="S127" i="87" s="1"/>
  <c r="U8" i="87"/>
  <c r="BR70" i="3"/>
  <c r="AN10" i="8"/>
  <c r="BL53" i="3"/>
  <c r="BJ15" i="32"/>
  <c r="BJ38" i="32" s="1"/>
  <c r="BJ63" i="32" s="1"/>
  <c r="S16" i="87"/>
  <c r="S38" i="87"/>
  <c r="S26" i="87"/>
  <c r="S40" i="87" s="1"/>
  <c r="S31" i="87"/>
  <c r="BN37" i="3"/>
  <c r="BN45" i="3" s="1"/>
  <c r="DX32" i="30"/>
  <c r="DX21" i="30"/>
  <c r="DX37" i="30"/>
  <c r="DX47" i="30"/>
  <c r="DY35" i="30"/>
  <c r="DY17" i="30"/>
  <c r="R32" i="87"/>
  <c r="R181" i="87"/>
  <c r="R115" i="87"/>
  <c r="R86" i="87" s="1"/>
  <c r="T13" i="87"/>
  <c r="T29" i="87"/>
  <c r="AH28" i="8"/>
  <c r="DX23" i="30"/>
  <c r="DX39" i="30" s="1"/>
  <c r="S18" i="87"/>
  <c r="S32" i="87" s="1"/>
  <c r="R50" i="87"/>
  <c r="R76" i="87" s="1"/>
  <c r="S45" i="87"/>
  <c r="R47" i="87"/>
  <c r="R49" i="87"/>
  <c r="R52" i="87" s="1"/>
  <c r="H13" i="99"/>
  <c r="H6" i="99"/>
  <c r="I4" i="99"/>
  <c r="W24" i="87"/>
  <c r="Y24" i="87" s="1"/>
  <c r="R39" i="87"/>
  <c r="AH144" i="8"/>
  <c r="AH147" i="8"/>
  <c r="AH150" i="8" s="1"/>
  <c r="T80" i="87"/>
  <c r="T81" i="87" s="1"/>
  <c r="T177" i="87"/>
  <c r="T121" i="87"/>
  <c r="DW38" i="30"/>
  <c r="DW25" i="30"/>
  <c r="S74" i="87"/>
  <c r="S179" i="87"/>
  <c r="U10" i="87"/>
  <c r="U35" i="87"/>
  <c r="AH15" i="8"/>
  <c r="AG40" i="8"/>
  <c r="AG44" i="8"/>
  <c r="AG57" i="8"/>
  <c r="AG58" i="8" s="1"/>
  <c r="AG38" i="8"/>
  <c r="G7" i="99"/>
  <c r="G9" i="99"/>
  <c r="G10" i="99" s="1"/>
  <c r="BN72" i="3"/>
  <c r="AF45" i="8"/>
  <c r="AF53" i="8"/>
  <c r="BN85" i="3"/>
  <c r="BL8" i="32"/>
  <c r="BL15" i="32" s="1"/>
  <c r="AF50" i="8"/>
  <c r="S109" i="87"/>
  <c r="S156" i="87" s="1"/>
  <c r="S155" i="87"/>
  <c r="S153" i="87" s="1"/>
  <c r="S68" i="87"/>
  <c r="S154" i="87" s="1"/>
  <c r="S110" i="87"/>
  <c r="S160" i="87" s="1"/>
  <c r="S159" i="87"/>
  <c r="S157" i="87" s="1"/>
  <c r="S69" i="87"/>
  <c r="S158" i="87" s="1"/>
  <c r="F11" i="99"/>
  <c r="DY46" i="30"/>
  <c r="DY36" i="30"/>
  <c r="BP31" i="3"/>
  <c r="BN26" i="32"/>
  <c r="BR11" i="3"/>
  <c r="BP27" i="32" s="1"/>
  <c r="BR12" i="3"/>
  <c r="BR14" i="3"/>
  <c r="BP28" i="32" s="1"/>
  <c r="F17" i="99"/>
  <c r="F18" i="99" s="1"/>
  <c r="F21" i="99" s="1"/>
  <c r="F25" i="99" s="1"/>
  <c r="BL36" i="32"/>
  <c r="U11" i="87"/>
  <c r="AH22" i="8"/>
  <c r="AN19" i="8"/>
  <c r="BR71" i="3"/>
  <c r="BR36" i="3" s="1"/>
  <c r="BP31" i="32" s="1"/>
  <c r="AH24" i="8"/>
  <c r="G11" i="99" l="1"/>
  <c r="S132" i="87"/>
  <c r="S173" i="87" s="1"/>
  <c r="S131" i="87"/>
  <c r="S134" i="87" s="1"/>
  <c r="AF51" i="8"/>
  <c r="AQ50" i="8"/>
  <c r="BP72" i="3"/>
  <c r="AG53" i="8"/>
  <c r="AG45" i="8"/>
  <c r="BN8" i="32"/>
  <c r="BN15" i="32" s="1"/>
  <c r="AG50" i="8"/>
  <c r="AG51" i="8" s="1"/>
  <c r="DY37" i="30"/>
  <c r="DY47" i="30"/>
  <c r="DY32" i="30"/>
  <c r="DY21" i="30"/>
  <c r="BP37" i="3"/>
  <c r="BP45" i="3" s="1"/>
  <c r="BL38" i="32"/>
  <c r="BL63" i="32" s="1"/>
  <c r="BL66" i="32" s="1"/>
  <c r="T18" i="87"/>
  <c r="DY23" i="30"/>
  <c r="DY39" i="30" s="1"/>
  <c r="T122" i="87"/>
  <c r="T180" i="87"/>
  <c r="T178" i="87" s="1"/>
  <c r="T168" i="87" s="1"/>
  <c r="T127" i="87" s="1"/>
  <c r="H9" i="99"/>
  <c r="H10" i="99"/>
  <c r="S49" i="87"/>
  <c r="S52" i="87" s="1"/>
  <c r="S50" i="87"/>
  <c r="S76" i="87" s="1"/>
  <c r="AH148" i="8"/>
  <c r="AN28" i="8"/>
  <c r="AH37" i="8"/>
  <c r="AH29" i="8"/>
  <c r="AH75" i="8"/>
  <c r="R88" i="87"/>
  <c r="R91" i="87"/>
  <c r="R90" i="87"/>
  <c r="R93" i="87" s="1"/>
  <c r="DX49" i="30"/>
  <c r="DX41" i="30"/>
  <c r="BL56" i="3"/>
  <c r="BL58" i="3" s="1"/>
  <c r="BN53" i="3"/>
  <c r="T69" i="87"/>
  <c r="T158" i="87" s="1"/>
  <c r="T159" i="87"/>
  <c r="T157" i="87" s="1"/>
  <c r="T110" i="87"/>
  <c r="T160" i="87" s="1"/>
  <c r="U30" i="87"/>
  <c r="U37" i="87"/>
  <c r="BP26" i="32"/>
  <c r="BR31" i="3"/>
  <c r="BR37" i="3" s="1"/>
  <c r="BR45" i="3" s="1"/>
  <c r="BN30" i="32"/>
  <c r="BN34" i="32" s="1"/>
  <c r="S115" i="87"/>
  <c r="S86" i="87" s="1"/>
  <c r="S181" i="87"/>
  <c r="R129" i="87"/>
  <c r="BJ66" i="32"/>
  <c r="BJ64" i="32"/>
  <c r="U177" i="87"/>
  <c r="U80" i="87"/>
  <c r="U81" i="87" s="1"/>
  <c r="U121" i="87"/>
  <c r="DW40" i="30"/>
  <c r="DW27" i="30"/>
  <c r="DW48" i="30" s="1"/>
  <c r="T74" i="87"/>
  <c r="T45" i="87" s="1"/>
  <c r="T179" i="87"/>
  <c r="R65" i="87"/>
  <c r="R79" i="87" s="1"/>
  <c r="R77" i="87"/>
  <c r="R70" i="87"/>
  <c r="R55" i="87"/>
  <c r="S71" i="87"/>
  <c r="S163" i="87" s="1"/>
  <c r="S112" i="87"/>
  <c r="S165" i="87" s="1"/>
  <c r="S164" i="87"/>
  <c r="S162" i="87" s="1"/>
  <c r="T68" i="87"/>
  <c r="T154" i="87" s="1"/>
  <c r="T155" i="87"/>
  <c r="T153" i="87" s="1"/>
  <c r="T109" i="87"/>
  <c r="T156" i="87" s="1"/>
  <c r="R164" i="87"/>
  <c r="R162" i="87" s="1"/>
  <c r="R71" i="87"/>
  <c r="R163" i="87" s="1"/>
  <c r="R112" i="87"/>
  <c r="R165" i="87" s="1"/>
  <c r="S21" i="87"/>
  <c r="S23" i="87" s="1"/>
  <c r="S39" i="87" s="1"/>
  <c r="U13" i="87"/>
  <c r="U29" i="87"/>
  <c r="I13" i="99"/>
  <c r="I6" i="99"/>
  <c r="J4" i="99"/>
  <c r="T16" i="87"/>
  <c r="T21" i="87" s="1"/>
  <c r="T23" i="87" s="1"/>
  <c r="T39" i="87" s="1"/>
  <c r="T26" i="87"/>
  <c r="T40" i="87" s="1"/>
  <c r="T38" i="87"/>
  <c r="T31" i="87"/>
  <c r="DX25" i="30"/>
  <c r="DX38" i="30"/>
  <c r="R174" i="87"/>
  <c r="R161" i="87"/>
  <c r="R150" i="87"/>
  <c r="R176" i="87" s="1"/>
  <c r="R137" i="87"/>
  <c r="S91" i="87" l="1"/>
  <c r="S90" i="87"/>
  <c r="BN36" i="32"/>
  <c r="BN38" i="32" s="1"/>
  <c r="BN63" i="32" s="1"/>
  <c r="BN66" i="32" s="1"/>
  <c r="G17" i="99"/>
  <c r="T131" i="87"/>
  <c r="T132" i="87"/>
  <c r="T173" i="87" s="1"/>
  <c r="T50" i="87"/>
  <c r="T76" i="87" s="1"/>
  <c r="T49" i="87"/>
  <c r="T52" i="87" s="1"/>
  <c r="T47" i="87"/>
  <c r="U122" i="87"/>
  <c r="U180" i="87"/>
  <c r="U178" i="87" s="1"/>
  <c r="U168" i="87" s="1"/>
  <c r="U127" i="87" s="1"/>
  <c r="DY41" i="30"/>
  <c r="DY49" i="30"/>
  <c r="J13" i="99"/>
  <c r="J6" i="99"/>
  <c r="U26" i="87"/>
  <c r="U40" i="87" s="1"/>
  <c r="U38" i="87"/>
  <c r="U31" i="87"/>
  <c r="U16" i="87"/>
  <c r="U179" i="87"/>
  <c r="U74" i="87"/>
  <c r="U45" i="87" s="1"/>
  <c r="U69" i="87"/>
  <c r="U158" i="87" s="1"/>
  <c r="U159" i="87"/>
  <c r="U157" i="87" s="1"/>
  <c r="U110" i="87"/>
  <c r="U160" i="87" s="1"/>
  <c r="BN56" i="3"/>
  <c r="BN58" i="3" s="1"/>
  <c r="BP53" i="3"/>
  <c r="R111" i="87"/>
  <c r="R118" i="87"/>
  <c r="R96" i="87"/>
  <c r="R106" i="87"/>
  <c r="R120" i="87" s="1"/>
  <c r="S47" i="87"/>
  <c r="T115" i="87"/>
  <c r="T86" i="87" s="1"/>
  <c r="T181" i="87"/>
  <c r="DX40" i="30"/>
  <c r="DX27" i="30"/>
  <c r="DX48" i="30" s="1"/>
  <c r="I9" i="99"/>
  <c r="I10" i="99" s="1"/>
  <c r="AN29" i="8"/>
  <c r="AH151" i="8"/>
  <c r="H11" i="99"/>
  <c r="BP30" i="32"/>
  <c r="BP34" i="32" s="1"/>
  <c r="BP36" i="32" s="1"/>
  <c r="S129" i="87"/>
  <c r="U68" i="87"/>
  <c r="U154" i="87" s="1"/>
  <c r="U109" i="87"/>
  <c r="U156" i="87" s="1"/>
  <c r="U155" i="87"/>
  <c r="U153" i="87" s="1"/>
  <c r="R57" i="87"/>
  <c r="R60" i="87"/>
  <c r="R62" i="87" s="1"/>
  <c r="S70" i="87"/>
  <c r="S77" i="87"/>
  <c r="S55" i="87"/>
  <c r="S65" i="87"/>
  <c r="S79" i="87" s="1"/>
  <c r="R139" i="87"/>
  <c r="R142" i="87"/>
  <c r="R144" i="87" s="1"/>
  <c r="R175" i="87" s="1"/>
  <c r="BL9" i="3"/>
  <c r="BL62" i="32"/>
  <c r="BL64" i="32" s="1"/>
  <c r="R117" i="87"/>
  <c r="R105" i="87"/>
  <c r="AH57" i="8"/>
  <c r="AH58" i="8" s="1"/>
  <c r="AN37" i="8"/>
  <c r="AH38" i="8"/>
  <c r="AH40" i="8"/>
  <c r="U18" i="87" s="1"/>
  <c r="U32" i="87" s="1"/>
  <c r="AH44" i="8"/>
  <c r="T32" i="87"/>
  <c r="DY38" i="30"/>
  <c r="DY25" i="30"/>
  <c r="S161" i="87"/>
  <c r="S174" i="87"/>
  <c r="S150" i="87"/>
  <c r="S176" i="87" s="1"/>
  <c r="S137" i="87"/>
  <c r="I11" i="99" l="1"/>
  <c r="T88" i="87"/>
  <c r="T91" i="87"/>
  <c r="U86" i="87"/>
  <c r="T90" i="87"/>
  <c r="U49" i="87"/>
  <c r="U50" i="87"/>
  <c r="U76" i="87" s="1"/>
  <c r="U132" i="87"/>
  <c r="U173" i="87" s="1"/>
  <c r="U131" i="87"/>
  <c r="U134" i="87" s="1"/>
  <c r="U21" i="87"/>
  <c r="U23" i="87" s="1"/>
  <c r="U39" i="87" s="1"/>
  <c r="J9" i="99"/>
  <c r="J10" i="99"/>
  <c r="T77" i="87"/>
  <c r="T70" i="87"/>
  <c r="T55" i="87"/>
  <c r="T65" i="87"/>
  <c r="T79" i="87" s="1"/>
  <c r="T134" i="87"/>
  <c r="S93" i="87"/>
  <c r="AH53" i="8"/>
  <c r="AN44" i="8"/>
  <c r="AH45" i="8"/>
  <c r="BR72" i="3"/>
  <c r="AH50" i="8"/>
  <c r="BP8" i="32"/>
  <c r="BP15" i="32" s="1"/>
  <c r="BP38" i="32" s="1"/>
  <c r="BP63" i="32" s="1"/>
  <c r="BP66" i="32" s="1"/>
  <c r="BN9" i="3"/>
  <c r="BN62" i="32"/>
  <c r="BN64" i="32" s="1"/>
  <c r="R78" i="87"/>
  <c r="W23" i="87"/>
  <c r="Y23" i="87" s="1"/>
  <c r="BP56" i="3"/>
  <c r="BP58" i="3" s="1"/>
  <c r="BR53" i="3"/>
  <c r="BR56" i="3" s="1"/>
  <c r="BR58" i="3" s="1"/>
  <c r="U115" i="87"/>
  <c r="U181" i="87"/>
  <c r="T129" i="87"/>
  <c r="T164" i="87"/>
  <c r="T162" i="87" s="1"/>
  <c r="T112" i="87"/>
  <c r="T165" i="87" s="1"/>
  <c r="T71" i="87"/>
  <c r="T163" i="87" s="1"/>
  <c r="S139" i="87"/>
  <c r="S142" i="87"/>
  <c r="S144" i="87" s="1"/>
  <c r="S175" i="87" s="1"/>
  <c r="DY40" i="30"/>
  <c r="DY27" i="30"/>
  <c r="DY48" i="30" s="1"/>
  <c r="U71" i="87"/>
  <c r="U163" i="87" s="1"/>
  <c r="U112" i="87"/>
  <c r="U165" i="87" s="1"/>
  <c r="U164" i="87"/>
  <c r="U162" i="87" s="1"/>
  <c r="BL15" i="3"/>
  <c r="BL27" i="3" s="1"/>
  <c r="BL92" i="3"/>
  <c r="BL93" i="3" s="1"/>
  <c r="S57" i="87"/>
  <c r="S60" i="87" s="1"/>
  <c r="S62" i="87" s="1"/>
  <c r="S78" i="87" s="1"/>
  <c r="R98" i="87"/>
  <c r="R101" i="87" s="1"/>
  <c r="R103" i="87" s="1"/>
  <c r="G18" i="99"/>
  <c r="G21" i="99" s="1"/>
  <c r="G25" i="99" s="1"/>
  <c r="H17" i="99"/>
  <c r="S88" i="87"/>
  <c r="S105" i="87"/>
  <c r="S117" i="87"/>
  <c r="W25" i="87" l="1"/>
  <c r="Y25" i="87" s="1"/>
  <c r="R119" i="87"/>
  <c r="S111" i="87"/>
  <c r="S118" i="87"/>
  <c r="S96" i="87"/>
  <c r="S106" i="87"/>
  <c r="S120" i="87" s="1"/>
  <c r="U91" i="87"/>
  <c r="U90" i="87"/>
  <c r="U93" i="87" s="1"/>
  <c r="I17" i="99"/>
  <c r="H18" i="99"/>
  <c r="H21" i="99" s="1"/>
  <c r="H25" i="99" s="1"/>
  <c r="BN15" i="3"/>
  <c r="BN27" i="3" s="1"/>
  <c r="BN92" i="3"/>
  <c r="BN93" i="3" s="1"/>
  <c r="T174" i="87"/>
  <c r="T137" i="87"/>
  <c r="T161" i="87"/>
  <c r="T150" i="87"/>
  <c r="T176" i="87" s="1"/>
  <c r="U161" i="87"/>
  <c r="U174" i="87"/>
  <c r="U150" i="87"/>
  <c r="U176" i="87" s="1"/>
  <c r="U137" i="87"/>
  <c r="U52" i="87"/>
  <c r="T105" i="87"/>
  <c r="T117" i="87"/>
  <c r="BL83" i="3"/>
  <c r="BL87" i="3" s="1"/>
  <c r="BL82" i="3"/>
  <c r="BL63" i="3"/>
  <c r="J11" i="99"/>
  <c r="U47" i="87"/>
  <c r="BP9" i="3"/>
  <c r="BP62" i="32"/>
  <c r="BP64" i="32" s="1"/>
  <c r="BR9" i="3" s="1"/>
  <c r="AN50" i="8"/>
  <c r="AH51" i="8"/>
  <c r="T57" i="87"/>
  <c r="T60" i="87" s="1"/>
  <c r="T62" i="87" s="1"/>
  <c r="T78" i="87" s="1"/>
  <c r="U129" i="87"/>
  <c r="T93" i="87"/>
  <c r="BN83" i="3" l="1"/>
  <c r="BN87" i="3" s="1"/>
  <c r="BN82" i="3"/>
  <c r="BN63" i="3"/>
  <c r="J17" i="99"/>
  <c r="J18" i="99" s="1"/>
  <c r="J21" i="99" s="1"/>
  <c r="I18" i="99"/>
  <c r="I21" i="99" s="1"/>
  <c r="I25" i="99" s="1"/>
  <c r="T139" i="87"/>
  <c r="T142" i="87"/>
  <c r="T144" i="87" s="1"/>
  <c r="T175" i="87" s="1"/>
  <c r="U111" i="87"/>
  <c r="U106" i="87"/>
  <c r="U118" i="87"/>
  <c r="U96" i="87"/>
  <c r="S101" i="87"/>
  <c r="S103" i="87" s="1"/>
  <c r="S119" i="87" s="1"/>
  <c r="S98" i="87"/>
  <c r="BR92" i="3"/>
  <c r="BR93" i="3" s="1"/>
  <c r="BR15" i="3"/>
  <c r="BR27" i="3" s="1"/>
  <c r="BP92" i="3"/>
  <c r="BP93" i="3" s="1"/>
  <c r="BP15" i="3"/>
  <c r="BP27" i="3" s="1"/>
  <c r="U65" i="87"/>
  <c r="U79" i="87" s="1"/>
  <c r="U55" i="87"/>
  <c r="U77" i="87"/>
  <c r="U70" i="87"/>
  <c r="U88" i="87"/>
  <c r="T111" i="87"/>
  <c r="T96" i="87"/>
  <c r="T118" i="87"/>
  <c r="T106" i="87"/>
  <c r="T120" i="87" s="1"/>
  <c r="U139" i="87"/>
  <c r="U142" i="87"/>
  <c r="U144" i="87" s="1"/>
  <c r="U175" i="87" s="1"/>
  <c r="U105" i="87"/>
  <c r="U117" i="87"/>
  <c r="T98" i="87" l="1"/>
  <c r="T101" i="87" s="1"/>
  <c r="T103" i="87" s="1"/>
  <c r="T119" i="87" s="1"/>
  <c r="J25" i="99"/>
  <c r="C41" i="99" s="1"/>
  <c r="J26" i="99"/>
  <c r="J27" i="99" s="1"/>
  <c r="C42" i="99" s="1"/>
  <c r="U57" i="87"/>
  <c r="U60" i="87"/>
  <c r="U62" i="87" s="1"/>
  <c r="U78" i="87" s="1"/>
  <c r="U98" i="87"/>
  <c r="U101" i="87"/>
  <c r="U103" i="87" s="1"/>
  <c r="BR83" i="3"/>
  <c r="BR87" i="3" s="1"/>
  <c r="BR63" i="3"/>
  <c r="BR82" i="3"/>
  <c r="BP83" i="3"/>
  <c r="BP87" i="3" s="1"/>
  <c r="BP82" i="3"/>
  <c r="BP63" i="3"/>
  <c r="U120" i="87"/>
  <c r="C43" i="99" l="1"/>
  <c r="C48" i="99" s="1"/>
  <c r="C49" i="99" s="1"/>
  <c r="U119" i="87"/>
</calcChain>
</file>

<file path=xl/comments1.xml><?xml version="1.0" encoding="utf-8"?>
<comments xmlns="http://schemas.openxmlformats.org/spreadsheetml/2006/main">
  <authors>
    <author>solejay</author>
  </authors>
  <commentList>
    <comment ref="H45" authorId="0">
      <text>
        <r>
          <rPr>
            <b/>
            <sz val="8"/>
            <color indexed="81"/>
            <rFont val="Tahoma"/>
            <family val="2"/>
          </rPr>
          <t>solejay:</t>
        </r>
        <r>
          <rPr>
            <sz val="8"/>
            <color indexed="81"/>
            <rFont val="Tahoma"/>
            <family val="2"/>
          </rPr>
          <t xml:space="preserve">
=((C15*D29)-C17)/C22</t>
        </r>
      </text>
    </comment>
    <comment ref="I45" authorId="0">
      <text>
        <r>
          <rPr>
            <b/>
            <sz val="8"/>
            <color indexed="81"/>
            <rFont val="Tahoma"/>
            <family val="2"/>
          </rPr>
          <t>solejay:</t>
        </r>
        <r>
          <rPr>
            <sz val="8"/>
            <color indexed="81"/>
            <rFont val="Tahoma"/>
            <family val="2"/>
          </rPr>
          <t xml:space="preserve">
=((C15*D29)-C17)/C22</t>
        </r>
      </text>
    </comment>
  </commentList>
</comments>
</file>

<file path=xl/comments2.xml><?xml version="1.0" encoding="utf-8"?>
<comments xmlns="http://schemas.openxmlformats.org/spreadsheetml/2006/main">
  <authors>
    <author>Lehman Brothers</author>
  </authors>
  <commentList>
    <comment ref="O27" authorId="0">
      <text>
        <r>
          <rPr>
            <b/>
            <sz val="8"/>
            <color indexed="81"/>
            <rFont val="Tahoma"/>
            <family val="2"/>
          </rPr>
          <t>Lehman Brothers:</t>
        </r>
        <r>
          <rPr>
            <sz val="8"/>
            <color indexed="81"/>
            <rFont val="Tahoma"/>
            <family val="2"/>
          </rPr>
          <t xml:space="preserve">
10Q shows -21 cents but first call has -6 cents due to 131m tax charge</t>
        </r>
      </text>
    </comment>
  </commentList>
</comments>
</file>

<file path=xl/comments3.xml><?xml version="1.0" encoding="utf-8"?>
<comments xmlns="http://schemas.openxmlformats.org/spreadsheetml/2006/main">
  <authors>
    <author>lehman</author>
    <author>Lehman Brothers</author>
    <author>Kimberly Greenberger</author>
    <author>MS</author>
    <author>Morry Brown</author>
    <author>ol36766</author>
    <author>mm98285</author>
    <author>oc48540</author>
    <author>lr73192</author>
    <author>lauraro</author>
    <author>P Kahng</author>
    <author>balskyh</author>
    <author>kahng</author>
    <author>solejay</author>
    <author>Baglione, Gregory  (Research)</author>
    <author>Baglione, Gregory (Research)</author>
    <author>Roberts, Cynthia (Research)</author>
  </authors>
  <commentList>
    <comment ref="F103" authorId="0">
      <text>
        <r>
          <rPr>
            <sz val="8"/>
            <color indexed="81"/>
            <rFont val="Tahoma"/>
            <family val="2"/>
          </rPr>
          <t>mgmt guided to (1)% for 1q on 4q02 conf call</t>
        </r>
      </text>
    </comment>
    <comment ref="F104" authorId="1">
      <text>
        <r>
          <rPr>
            <sz val="8"/>
            <color indexed="81"/>
            <rFont val="Tahoma"/>
            <family val="2"/>
          </rPr>
          <t>4q02 conf call - mgmt guided for +5% comp
6/4/03 - 1Q ccall, guided to +4-5%
had +3</t>
        </r>
      </text>
    </comment>
    <comment ref="F105" authorId="0">
      <text>
        <r>
          <rPr>
            <sz val="8"/>
            <color indexed="81"/>
            <rFont val="Tahoma"/>
            <family val="2"/>
          </rPr>
          <t>mgmt expects +4% for both 3q and 4q
6/4/03 1Q ccall guided to +3-4%
8/12 2Q call, guided to +2-4
10/9 raised from +2 due to Sept
had +3</t>
        </r>
      </text>
    </comment>
    <comment ref="F106" authorId="0">
      <text>
        <r>
          <rPr>
            <sz val="8"/>
            <color indexed="81"/>
            <rFont val="Tahoma"/>
            <family val="2"/>
          </rPr>
          <t>mgmt expects +4% for both 3q and 4q
8/12 guided to +2-4
11/12 guided to +3-5
12/4 Lowered to +3 from +4 due to Nov and lower Dec</t>
        </r>
      </text>
    </comment>
    <comment ref="P106" authorId="0">
      <text>
        <r>
          <rPr>
            <sz val="8"/>
            <color indexed="81"/>
            <rFont val="Tahoma"/>
            <family val="2"/>
          </rPr>
          <t>Higher to reflect impact of 53rd week without which not included in comp sales</t>
        </r>
      </text>
    </comment>
    <comment ref="F107" authorId="0">
      <text>
        <r>
          <rPr>
            <sz val="8"/>
            <color indexed="81"/>
            <rFont val="Tahoma"/>
            <family val="2"/>
          </rPr>
          <t>4Q02 call guided +3% for TJX</t>
        </r>
      </text>
    </comment>
    <comment ref="F110" authorId="0">
      <text>
        <r>
          <rPr>
            <sz val="8"/>
            <color indexed="81"/>
            <rFont val="Tahoma"/>
            <family val="2"/>
          </rPr>
          <t>4/8/04 Raising to 8 from 6 following March</t>
        </r>
      </text>
    </comment>
    <comment ref="F111" authorId="0">
      <text>
        <r>
          <rPr>
            <sz val="8"/>
            <color indexed="81"/>
            <rFont val="Tahoma"/>
            <family val="2"/>
          </rPr>
          <t>5/18 guided for +4-5%
7/8 lowered to 3 from 4 after June</t>
        </r>
      </text>
    </comment>
    <comment ref="J111" authorId="2">
      <text>
        <r>
          <rPr>
            <b/>
            <sz val="8"/>
            <color indexed="81"/>
            <rFont val="Tahoma"/>
            <family val="2"/>
          </rPr>
          <t>Kimberly Greenberger:</t>
        </r>
        <r>
          <rPr>
            <sz val="8"/>
            <color indexed="81"/>
            <rFont val="Tahoma"/>
            <family val="2"/>
          </rPr>
          <t xml:space="preserve">
7/04 per Sherry should add 2Q04 approx 17 stores
 </t>
        </r>
      </text>
    </comment>
    <comment ref="F112" authorId="3">
      <text>
        <r>
          <rPr>
            <b/>
            <sz val="8"/>
            <color indexed="81"/>
            <rFont val="Tahoma"/>
            <family val="2"/>
          </rPr>
          <t>MS:</t>
        </r>
        <r>
          <rPr>
            <sz val="8"/>
            <color indexed="81"/>
            <rFont val="Tahoma"/>
            <family val="2"/>
          </rPr>
          <t xml:space="preserve">
8/17 guided for +3-4</t>
        </r>
      </text>
    </comment>
    <comment ref="F113" authorId="3">
      <text>
        <r>
          <rPr>
            <b/>
            <sz val="8"/>
            <color indexed="81"/>
            <rFont val="Tahoma"/>
            <family val="2"/>
          </rPr>
          <t>MS:</t>
        </r>
        <r>
          <rPr>
            <sz val="8"/>
            <color indexed="81"/>
            <rFont val="Tahoma"/>
            <family val="2"/>
          </rPr>
          <t xml:space="preserve">
8/17 guided for +3-4%</t>
        </r>
      </text>
    </comment>
    <comment ref="F117" authorId="4">
      <text>
        <r>
          <rPr>
            <b/>
            <sz val="8"/>
            <color indexed="81"/>
            <rFont val="Tahoma"/>
            <family val="2"/>
          </rPr>
          <t>Morry Brown:</t>
        </r>
        <r>
          <rPr>
            <sz val="8"/>
            <color indexed="81"/>
            <rFont val="Tahoma"/>
            <family val="2"/>
          </rPr>
          <t xml:space="preserve">
2/23 guided 3-4%</t>
        </r>
      </text>
    </comment>
    <comment ref="F118" authorId="4">
      <text>
        <r>
          <rPr>
            <b/>
            <sz val="8"/>
            <color indexed="81"/>
            <rFont val="Tahoma"/>
            <family val="2"/>
          </rPr>
          <t>Morry Brown:</t>
        </r>
        <r>
          <rPr>
            <sz val="8"/>
            <color indexed="81"/>
            <rFont val="Tahoma"/>
            <family val="2"/>
          </rPr>
          <t xml:space="preserve">
2/23 guided 4-5%</t>
        </r>
      </text>
    </comment>
    <comment ref="F119" authorId="4">
      <text>
        <r>
          <rPr>
            <b/>
            <sz val="8"/>
            <color indexed="81"/>
            <rFont val="Tahoma"/>
            <family val="2"/>
          </rPr>
          <t>Morry Brown:</t>
        </r>
        <r>
          <rPr>
            <sz val="8"/>
            <color indexed="81"/>
            <rFont val="Tahoma"/>
            <family val="2"/>
          </rPr>
          <t xml:space="preserve">
2/23 guided 3-4%
8/16 lowered guidance to +2-3% comp
10/6 lowered to +1%</t>
        </r>
      </text>
    </comment>
    <comment ref="F120" authorId="4">
      <text>
        <r>
          <rPr>
            <b/>
            <sz val="8"/>
            <color indexed="81"/>
            <rFont val="Tahoma"/>
            <family val="2"/>
          </rPr>
          <t>Morry Brown:</t>
        </r>
        <r>
          <rPr>
            <sz val="8"/>
            <color indexed="81"/>
            <rFont val="Tahoma"/>
            <family val="2"/>
          </rPr>
          <t xml:space="preserve">
2/23 guided 3%
10/6 guided to +1-2%</t>
        </r>
      </text>
    </comment>
    <comment ref="S121" authorId="4">
      <text>
        <r>
          <rPr>
            <b/>
            <sz val="8"/>
            <color indexed="81"/>
            <rFont val="Tahoma"/>
            <family val="2"/>
          </rPr>
          <t>Morry Brown:</t>
        </r>
        <r>
          <rPr>
            <sz val="8"/>
            <color indexed="81"/>
            <rFont val="Tahoma"/>
            <family val="2"/>
          </rPr>
          <t xml:space="preserve">
2/23 guided to 16.4-16.5</t>
        </r>
      </text>
    </comment>
    <comment ref="J124" authorId="5">
      <text>
        <r>
          <rPr>
            <b/>
            <sz val="8"/>
            <color indexed="81"/>
            <rFont val="Tahoma"/>
            <family val="2"/>
          </rPr>
          <t>ol36766:</t>
        </r>
        <r>
          <rPr>
            <sz val="8"/>
            <color indexed="81"/>
            <rFont val="Tahoma"/>
            <family val="2"/>
          </rPr>
          <t xml:space="preserve">
Subtracted 34 AJW stores from these totals</t>
        </r>
      </text>
    </comment>
    <comment ref="F125" authorId="6">
      <text>
        <r>
          <rPr>
            <b/>
            <sz val="8"/>
            <color indexed="81"/>
            <rFont val="Tahoma"/>
            <family val="2"/>
          </rPr>
          <t>mm98285:</t>
        </r>
        <r>
          <rPr>
            <sz val="8"/>
            <color indexed="81"/>
            <rFont val="Tahoma"/>
            <family val="2"/>
          </rPr>
          <t xml:space="preserve">
5/06: 2Q EPS forecast based on +3% comp</t>
        </r>
      </text>
    </comment>
    <comment ref="J125" authorId="7">
      <text>
        <r>
          <rPr>
            <b/>
            <sz val="8"/>
            <color indexed="81"/>
            <rFont val="Tahoma"/>
            <family val="2"/>
          </rPr>
          <t>oc48540:</t>
        </r>
        <r>
          <rPr>
            <sz val="8"/>
            <color indexed="81"/>
            <rFont val="Tahoma"/>
            <family val="2"/>
          </rPr>
          <t xml:space="preserve">
Subtracted 34 AJW stores from these totals</t>
        </r>
      </text>
    </comment>
    <comment ref="J126" authorId="7">
      <text>
        <r>
          <rPr>
            <b/>
            <sz val="8"/>
            <color indexed="81"/>
            <rFont val="Tahoma"/>
            <family val="2"/>
          </rPr>
          <t>oc48540:</t>
        </r>
        <r>
          <rPr>
            <sz val="8"/>
            <color indexed="81"/>
            <rFont val="Tahoma"/>
            <family val="2"/>
          </rPr>
          <t xml:space="preserve">
Subtracted 34 AJW stores from these totals</t>
        </r>
      </text>
    </comment>
    <comment ref="F128" authorId="6">
      <text>
        <r>
          <rPr>
            <b/>
            <sz val="8"/>
            <color indexed="81"/>
            <rFont val="Tahoma"/>
            <family val="2"/>
          </rPr>
          <t>mm98285:</t>
        </r>
        <r>
          <rPr>
            <sz val="8"/>
            <color indexed="81"/>
            <rFont val="Tahoma"/>
            <family val="2"/>
          </rPr>
          <t xml:space="preserve">
4Q05: 2006 EPS guidance of $1.42-$1.46 is based on comps of +2-3%, but each 1% above plan = ~+7c of EPS</t>
        </r>
      </text>
    </comment>
    <comment ref="F131" authorId="6">
      <text>
        <r>
          <rPr>
            <sz val="8"/>
            <color indexed="81"/>
            <rFont val="Tahoma"/>
            <family val="2"/>
          </rPr>
          <t>est 3.6%</t>
        </r>
        <r>
          <rPr>
            <b/>
            <sz val="8"/>
            <color indexed="81"/>
            <rFont val="Tahoma"/>
            <family val="2"/>
          </rPr>
          <t xml:space="preserve">
mm98285:</t>
        </r>
        <r>
          <rPr>
            <sz val="8"/>
            <color indexed="81"/>
            <rFont val="Tahoma"/>
            <family val="2"/>
          </rPr>
          <t xml:space="preserve">
2/07: guided to +3% comp</t>
        </r>
      </text>
    </comment>
    <comment ref="P131" authorId="6">
      <text>
        <r>
          <rPr>
            <b/>
            <sz val="8"/>
            <color indexed="81"/>
            <rFont val="Tahoma"/>
            <family val="2"/>
          </rPr>
          <t>mm98285:</t>
        </r>
        <r>
          <rPr>
            <sz val="8"/>
            <color indexed="81"/>
            <rFont val="Tahoma"/>
            <family val="2"/>
          </rPr>
          <t xml:space="preserve">
targeting sq. ft productivity at 75%</t>
        </r>
      </text>
    </comment>
    <comment ref="F132" authorId="7">
      <text>
        <r>
          <rPr>
            <b/>
            <sz val="8"/>
            <color indexed="81"/>
            <rFont val="Tahoma"/>
            <family val="2"/>
          </rPr>
          <t>oc48540:</t>
        </r>
        <r>
          <rPr>
            <sz val="8"/>
            <color indexed="81"/>
            <rFont val="Tahoma"/>
            <family val="2"/>
          </rPr>
          <t xml:space="preserve">
est +4.5%</t>
        </r>
      </text>
    </comment>
    <comment ref="P132" authorId="6">
      <text>
        <r>
          <rPr>
            <b/>
            <sz val="8"/>
            <color indexed="81"/>
            <rFont val="Tahoma"/>
            <family val="2"/>
          </rPr>
          <t>mm98285:</t>
        </r>
        <r>
          <rPr>
            <sz val="8"/>
            <color indexed="81"/>
            <rFont val="Tahoma"/>
            <family val="2"/>
          </rPr>
          <t xml:space="preserve">
targeting sq. ft productivity at 75%</t>
        </r>
      </text>
    </comment>
    <comment ref="P133" authorId="6">
      <text>
        <r>
          <rPr>
            <b/>
            <sz val="8"/>
            <color indexed="81"/>
            <rFont val="Tahoma"/>
            <family val="2"/>
          </rPr>
          <t>mm98285:</t>
        </r>
        <r>
          <rPr>
            <sz val="8"/>
            <color indexed="81"/>
            <rFont val="Tahoma"/>
            <family val="2"/>
          </rPr>
          <t xml:space="preserve">
targeting sq. ft productivity at 75%</t>
        </r>
      </text>
    </comment>
    <comment ref="F134" authorId="6">
      <text>
        <r>
          <rPr>
            <b/>
            <sz val="8"/>
            <color indexed="81"/>
            <rFont val="Tahoma"/>
            <family val="2"/>
          </rPr>
          <t>mm98285:</t>
        </r>
        <r>
          <rPr>
            <sz val="8"/>
            <color indexed="81"/>
            <rFont val="Tahoma"/>
            <family val="2"/>
          </rPr>
          <t xml:space="preserve">
11/07: guided to +4%</t>
        </r>
      </text>
    </comment>
    <comment ref="P134" authorId="6">
      <text>
        <r>
          <rPr>
            <b/>
            <sz val="8"/>
            <color indexed="81"/>
            <rFont val="Tahoma"/>
            <family val="2"/>
          </rPr>
          <t>mm98285:</t>
        </r>
        <r>
          <rPr>
            <sz val="8"/>
            <color indexed="81"/>
            <rFont val="Tahoma"/>
            <family val="2"/>
          </rPr>
          <t xml:space="preserve">
targeting sq. ft productivity at 75%</t>
        </r>
      </text>
    </comment>
    <comment ref="F135" authorId="6">
      <text>
        <r>
          <rPr>
            <b/>
            <sz val="8"/>
            <color indexed="81"/>
            <rFont val="Tahoma"/>
            <family val="2"/>
          </rPr>
          <t>mm98285:</t>
        </r>
        <r>
          <rPr>
            <sz val="8"/>
            <color indexed="81"/>
            <rFont val="Tahoma"/>
            <family val="2"/>
          </rPr>
          <t xml:space="preserve">
2/07: guided to +3% comp</t>
        </r>
      </text>
    </comment>
    <comment ref="F138" authorId="6">
      <text>
        <r>
          <rPr>
            <b/>
            <sz val="8"/>
            <color indexed="81"/>
            <rFont val="Tahoma"/>
            <family val="2"/>
          </rPr>
          <t>mm98285:</t>
        </r>
        <r>
          <rPr>
            <sz val="8"/>
            <color indexed="81"/>
            <rFont val="Tahoma"/>
            <family val="2"/>
          </rPr>
          <t xml:space="preserve">
2/08: EPS guid based on +4-5% comp (includes 2% due to fx rates)</t>
        </r>
      </text>
    </comment>
    <comment ref="S138" authorId="6">
      <text>
        <r>
          <rPr>
            <b/>
            <sz val="8"/>
            <color indexed="81"/>
            <rFont val="Tahoma"/>
            <family val="2"/>
          </rPr>
          <t>mm98285:</t>
        </r>
        <r>
          <rPr>
            <sz val="8"/>
            <color indexed="81"/>
            <rFont val="Tahoma"/>
            <family val="2"/>
          </rPr>
          <t xml:space="preserve">
2/08: expect $4.4b</t>
        </r>
      </text>
    </comment>
    <comment ref="S140" authorId="6">
      <text>
        <r>
          <rPr>
            <b/>
            <sz val="8"/>
            <color indexed="81"/>
            <rFont val="Tahoma"/>
            <family val="2"/>
          </rPr>
          <t>mm98285:</t>
        </r>
        <r>
          <rPr>
            <sz val="8"/>
            <color indexed="81"/>
            <rFont val="Tahoma"/>
            <family val="2"/>
          </rPr>
          <t xml:space="preserve">
8/08: $5.1B</t>
        </r>
      </text>
    </comment>
    <comment ref="F142" authorId="6">
      <text>
        <r>
          <rPr>
            <b/>
            <sz val="8"/>
            <color indexed="81"/>
            <rFont val="Tahoma"/>
            <family val="2"/>
          </rPr>
          <t>mm98285:</t>
        </r>
        <r>
          <rPr>
            <sz val="8"/>
            <color indexed="81"/>
            <rFont val="Tahoma"/>
            <family val="2"/>
          </rPr>
          <t xml:space="preserve">
+2-3% comp</t>
        </r>
      </text>
    </comment>
    <comment ref="S142" authorId="6">
      <text>
        <r>
          <rPr>
            <b/>
            <sz val="8"/>
            <color indexed="81"/>
            <rFont val="Tahoma"/>
            <family val="2"/>
          </rPr>
          <t>mm98285:</t>
        </r>
        <r>
          <rPr>
            <sz val="8"/>
            <color indexed="81"/>
            <rFont val="Tahoma"/>
            <family val="2"/>
          </rPr>
          <t xml:space="preserve">
2/08: $20.1-$20.2b</t>
        </r>
      </text>
    </comment>
    <comment ref="D145" authorId="6">
      <text>
        <r>
          <rPr>
            <b/>
            <sz val="8"/>
            <color indexed="81"/>
            <rFont val="Tahoma"/>
            <family val="2"/>
          </rPr>
          <t>mm98285:</t>
        </r>
        <r>
          <rPr>
            <sz val="8"/>
            <color indexed="81"/>
            <rFont val="Tahoma"/>
            <family val="2"/>
          </rPr>
          <t xml:space="preserve">
4/09: March spread narrowed to ~2-3%
changed to 3.5% spread
12/08: assume roughly 5% hit from F/X</t>
        </r>
      </text>
    </comment>
    <comment ref="P145" authorId="6">
      <text>
        <r>
          <rPr>
            <b/>
            <sz val="8"/>
            <color indexed="81"/>
            <rFont val="Tahoma"/>
            <family val="2"/>
          </rPr>
          <t>mm98285:</t>
        </r>
        <r>
          <rPr>
            <sz val="8"/>
            <color indexed="81"/>
            <rFont val="Tahoma"/>
            <family val="2"/>
          </rPr>
          <t xml:space="preserve">
productivity to match segsales total</t>
        </r>
      </text>
    </comment>
    <comment ref="S145" authorId="6">
      <text>
        <r>
          <rPr>
            <b/>
            <sz val="8"/>
            <color indexed="81"/>
            <rFont val="Tahoma"/>
            <family val="2"/>
          </rPr>
          <t>mm98285:</t>
        </r>
        <r>
          <rPr>
            <sz val="8"/>
            <color indexed="81"/>
            <rFont val="Tahoma"/>
            <family val="2"/>
          </rPr>
          <t xml:space="preserve">
3/09: get ~$25mm benefit to 1Q revenue from week shift</t>
        </r>
      </text>
    </comment>
    <comment ref="D146" authorId="6">
      <text>
        <r>
          <rPr>
            <b/>
            <sz val="8"/>
            <color indexed="81"/>
            <rFont val="Tahoma"/>
            <family val="2"/>
          </rPr>
          <t>mm98285:</t>
        </r>
        <r>
          <rPr>
            <sz val="8"/>
            <color indexed="81"/>
            <rFont val="Tahoma"/>
            <family val="2"/>
          </rPr>
          <t xml:space="preserve">
6/09: assume ~3.5% hit from F/X given weakening U.S. dollar
12/08: assume roughly 5% hit from F/X
4/09: adjusted to 4%</t>
        </r>
      </text>
    </comment>
    <comment ref="P146" authorId="6">
      <text>
        <r>
          <rPr>
            <b/>
            <sz val="8"/>
            <color indexed="81"/>
            <rFont val="Tahoma"/>
            <family val="2"/>
          </rPr>
          <t>mm98285:</t>
        </r>
        <r>
          <rPr>
            <sz val="8"/>
            <color indexed="81"/>
            <rFont val="Tahoma"/>
            <family val="2"/>
          </rPr>
          <t xml:space="preserve">
productivity to match segsales total</t>
        </r>
      </text>
    </comment>
    <comment ref="S146" authorId="6">
      <text>
        <r>
          <rPr>
            <b/>
            <sz val="8"/>
            <color indexed="81"/>
            <rFont val="Tahoma"/>
            <family val="2"/>
          </rPr>
          <t>mm98285:</t>
        </r>
        <r>
          <rPr>
            <sz val="8"/>
            <color indexed="81"/>
            <rFont val="Tahoma"/>
            <family val="2"/>
          </rPr>
          <t xml:space="preserve">
6/09: expect ~$25mm headwind to 2Q revenue from week shift</t>
        </r>
      </text>
    </comment>
    <comment ref="D147" authorId="6">
      <text>
        <r>
          <rPr>
            <b/>
            <sz val="8"/>
            <color indexed="81"/>
            <rFont val="Tahoma"/>
            <family val="2"/>
          </rPr>
          <t>mm98285:</t>
        </r>
        <r>
          <rPr>
            <sz val="8"/>
            <color indexed="81"/>
            <rFont val="Tahoma"/>
            <family val="2"/>
          </rPr>
          <t xml:space="preserve">
12/08: assume roughly 2-3% hit from F/X</t>
        </r>
      </text>
    </comment>
    <comment ref="P147" authorId="6">
      <text>
        <r>
          <rPr>
            <b/>
            <sz val="8"/>
            <color indexed="81"/>
            <rFont val="Tahoma"/>
            <family val="2"/>
          </rPr>
          <t>mm98285:</t>
        </r>
        <r>
          <rPr>
            <sz val="8"/>
            <color indexed="81"/>
            <rFont val="Tahoma"/>
            <family val="2"/>
          </rPr>
          <t xml:space="preserve">
productivity to match segsales total</t>
        </r>
      </text>
    </comment>
    <comment ref="S147" authorId="6">
      <text>
        <r>
          <rPr>
            <b/>
            <sz val="8"/>
            <color indexed="81"/>
            <rFont val="Tahoma"/>
            <family val="2"/>
          </rPr>
          <t>mm98285:</t>
        </r>
        <r>
          <rPr>
            <sz val="8"/>
            <color indexed="81"/>
            <rFont val="Tahoma"/>
            <family val="2"/>
          </rPr>
          <t xml:space="preserve">
assume ~$40mm benefit to rev from week shift (gain last week of Oct)</t>
        </r>
      </text>
    </comment>
    <comment ref="P148" authorId="6">
      <text>
        <r>
          <rPr>
            <b/>
            <sz val="8"/>
            <color indexed="81"/>
            <rFont val="Tahoma"/>
            <family val="2"/>
          </rPr>
          <t>mm98285:</t>
        </r>
        <r>
          <rPr>
            <sz val="8"/>
            <color indexed="81"/>
            <rFont val="Tahoma"/>
            <family val="2"/>
          </rPr>
          <t xml:space="preserve">
productivity to match segsales total</t>
        </r>
      </text>
    </comment>
    <comment ref="F152" authorId="8">
      <text>
        <r>
          <rPr>
            <b/>
            <sz val="8"/>
            <color indexed="81"/>
            <rFont val="Tahoma"/>
            <family val="2"/>
          </rPr>
          <t>lr73192:</t>
        </r>
        <r>
          <rPr>
            <sz val="8"/>
            <color indexed="81"/>
            <rFont val="Tahoma"/>
            <family val="2"/>
          </rPr>
          <t xml:space="preserve">
4/7/10: 5.5%</t>
        </r>
      </text>
    </comment>
    <comment ref="S159" authorId="9">
      <text>
        <r>
          <rPr>
            <b/>
            <sz val="8"/>
            <color indexed="81"/>
            <rFont val="Tahoma"/>
            <family val="2"/>
          </rPr>
          <t>lauraro:</t>
        </r>
        <r>
          <rPr>
            <sz val="8"/>
            <color indexed="81"/>
            <rFont val="Tahoma"/>
            <family val="2"/>
          </rPr>
          <t xml:space="preserve">
2/11: Excludes AJW sales</t>
        </r>
      </text>
    </comment>
    <comment ref="S160" authorId="9">
      <text>
        <r>
          <rPr>
            <b/>
            <sz val="8"/>
            <color indexed="81"/>
            <rFont val="Tahoma"/>
            <family val="2"/>
          </rPr>
          <t xml:space="preserve">5/17/11: </t>
        </r>
        <r>
          <rPr>
            <sz val="8"/>
            <color indexed="81"/>
            <rFont val="Tahoma"/>
            <family val="2"/>
          </rPr>
          <t>$5.4-$5.5Bn</t>
        </r>
        <r>
          <rPr>
            <sz val="8"/>
            <color indexed="81"/>
            <rFont val="Tahoma"/>
            <family val="2"/>
          </rPr>
          <t xml:space="preserve">
</t>
        </r>
      </text>
    </comment>
    <comment ref="P162" authorId="9">
      <text>
        <r>
          <rPr>
            <b/>
            <sz val="8"/>
            <color indexed="81"/>
            <rFont val="Tahoma"/>
            <family val="2"/>
          </rPr>
          <t>lauraro:</t>
        </r>
        <r>
          <rPr>
            <sz val="8"/>
            <color indexed="81"/>
            <rFont val="Tahoma"/>
            <family val="2"/>
          </rPr>
          <t xml:space="preserve">
8/16/11: 175 with AJW sales added back to 4Q10</t>
        </r>
      </text>
    </comment>
    <comment ref="S163" authorId="9">
      <text>
        <r>
          <rPr>
            <b/>
            <sz val="8"/>
            <color indexed="81"/>
            <rFont val="Tahoma"/>
            <family val="2"/>
          </rPr>
          <t>lauraro:</t>
        </r>
        <r>
          <rPr>
            <sz val="8"/>
            <color indexed="81"/>
            <rFont val="Tahoma"/>
            <family val="2"/>
          </rPr>
          <t xml:space="preserve">
2/11: exp $22.6-22.8Bn</t>
        </r>
      </text>
    </comment>
    <comment ref="F167" authorId="10">
      <text>
        <r>
          <rPr>
            <b/>
            <sz val="8"/>
            <color indexed="81"/>
            <rFont val="Tahoma"/>
            <family val="2"/>
          </rPr>
          <t xml:space="preserve">8/14/12: </t>
        </r>
        <r>
          <rPr>
            <sz val="8"/>
            <color indexed="81"/>
            <rFont val="Tahoma"/>
            <family val="2"/>
          </rPr>
          <t>consolidated SSS was +7%</t>
        </r>
        <r>
          <rPr>
            <b/>
            <sz val="8"/>
            <color indexed="81"/>
            <rFont val="Tahoma"/>
            <family val="2"/>
          </rPr>
          <t xml:space="preserve">
8/2/12: est was 6.2%
P Kahng:</t>
        </r>
        <r>
          <rPr>
            <sz val="8"/>
            <color indexed="81"/>
            <rFont val="Tahoma"/>
            <family val="2"/>
          </rPr>
          <t xml:space="preserve">
7/5/12: est was +4%</t>
        </r>
      </text>
    </comment>
    <comment ref="S167" authorId="11">
      <text>
        <r>
          <rPr>
            <b/>
            <sz val="8"/>
            <color indexed="81"/>
            <rFont val="Tahoma"/>
            <family val="2"/>
          </rPr>
          <t xml:space="preserve">8/2/2012
</t>
        </r>
        <r>
          <rPr>
            <sz val="8"/>
            <color indexed="81"/>
            <rFont val="Tahoma"/>
            <family val="2"/>
          </rPr>
          <t>26 weeks sales $11.8, +10% vs. $10.7Bn LY</t>
        </r>
      </text>
    </comment>
    <comment ref="F168" authorId="11">
      <text>
        <r>
          <rPr>
            <b/>
            <sz val="8"/>
            <color indexed="81"/>
            <rFont val="Tahoma"/>
            <family val="2"/>
          </rPr>
          <t xml:space="preserve">8/14/12 guidance </t>
        </r>
        <r>
          <rPr>
            <sz val="8"/>
            <color indexed="81"/>
            <rFont val="Tahoma"/>
            <family val="2"/>
          </rPr>
          <t xml:space="preserve">
+2-4% w/ 2H +1-3%</t>
        </r>
      </text>
    </comment>
    <comment ref="S168" authorId="11">
      <text>
        <r>
          <rPr>
            <b/>
            <sz val="8"/>
            <color indexed="81"/>
            <rFont val="Tahoma"/>
            <family val="2"/>
          </rPr>
          <t xml:space="preserve">8/14/2012: </t>
        </r>
        <r>
          <rPr>
            <sz val="8"/>
            <color indexed="81"/>
            <rFont val="Tahoma"/>
            <family val="2"/>
          </rPr>
          <t>$6.1-6.2Bn</t>
        </r>
      </text>
    </comment>
    <comment ref="F169" authorId="11">
      <text>
        <r>
          <rPr>
            <b/>
            <sz val="8"/>
            <color indexed="81"/>
            <rFont val="Tahoma"/>
            <family val="2"/>
          </rPr>
          <t>11/13/2012: +</t>
        </r>
        <r>
          <rPr>
            <sz val="8"/>
            <color indexed="81"/>
            <rFont val="Tahoma"/>
            <family val="2"/>
          </rPr>
          <t>0-2% guidance</t>
        </r>
        <r>
          <rPr>
            <b/>
            <sz val="8"/>
            <color indexed="81"/>
            <rFont val="Tahoma"/>
            <family val="2"/>
          </rPr>
          <t xml:space="preserve">
8/14/2012: </t>
        </r>
        <r>
          <rPr>
            <sz val="8"/>
            <color indexed="81"/>
            <rFont val="Tahoma"/>
            <family val="2"/>
          </rPr>
          <t xml:space="preserve">
2H: +1-3%; 3Q: +2-4%, implies 4Q: 0%-2% guidance</t>
        </r>
      </text>
    </comment>
    <comment ref="P169" authorId="12">
      <text>
        <r>
          <rPr>
            <b/>
            <sz val="8"/>
            <color indexed="81"/>
            <rFont val="Tahoma"/>
            <family val="2"/>
          </rPr>
          <t>kahng:</t>
        </r>
        <r>
          <rPr>
            <sz val="8"/>
            <color indexed="81"/>
            <rFont val="Tahoma"/>
            <family val="2"/>
          </rPr>
          <t xml:space="preserve">
Was 60% excl 53rd week.
</t>
        </r>
        <r>
          <rPr>
            <b/>
            <sz val="8"/>
            <color indexed="81"/>
            <rFont val="Tahoma"/>
            <family val="2"/>
          </rPr>
          <t>11/19/13: ESTIMATED</t>
        </r>
        <r>
          <rPr>
            <sz val="8"/>
            <color indexed="81"/>
            <rFont val="Tahoma"/>
            <family val="2"/>
          </rPr>
          <t xml:space="preserve"> impact is $550M</t>
        </r>
      </text>
    </comment>
    <comment ref="S169" authorId="12">
      <text>
        <r>
          <rPr>
            <b/>
            <sz val="8"/>
            <color indexed="81"/>
            <rFont val="Tahoma"/>
            <family val="2"/>
          </rPr>
          <t xml:space="preserve">11/13/2012: </t>
        </r>
        <r>
          <rPr>
            <sz val="8"/>
            <color indexed="81"/>
            <rFont val="Tahoma"/>
            <family val="2"/>
          </rPr>
          <t>$7.4-$7.5M</t>
        </r>
      </text>
    </comment>
    <comment ref="F170" authorId="9">
      <text>
        <r>
          <rPr>
            <b/>
            <sz val="8"/>
            <color indexed="81"/>
            <rFont val="Tahoma"/>
            <family val="2"/>
          </rPr>
          <t xml:space="preserve">11/13/2012 </t>
        </r>
        <r>
          <rPr>
            <sz val="8"/>
            <color indexed="81"/>
            <rFont val="Tahoma"/>
            <family val="2"/>
          </rPr>
          <t>+5-6% guidance</t>
        </r>
        <r>
          <rPr>
            <b/>
            <sz val="8"/>
            <color indexed="81"/>
            <rFont val="Tahoma"/>
            <family val="2"/>
          </rPr>
          <t xml:space="preserve">
8/14/2012: </t>
        </r>
        <r>
          <rPr>
            <sz val="8"/>
            <color indexed="81"/>
            <rFont val="Tahoma"/>
            <family val="2"/>
          </rPr>
          <t>+4-5% guidance</t>
        </r>
        <r>
          <rPr>
            <sz val="8"/>
            <color indexed="81"/>
            <rFont val="Tahoma"/>
            <family val="2"/>
          </rPr>
          <t xml:space="preserve">
</t>
        </r>
        <r>
          <rPr>
            <b/>
            <sz val="8"/>
            <color indexed="81"/>
            <rFont val="Tahoma"/>
            <family val="2"/>
          </rPr>
          <t>5/15:</t>
        </r>
        <r>
          <rPr>
            <sz val="8"/>
            <color indexed="81"/>
            <rFont val="Tahoma"/>
            <family val="2"/>
          </rPr>
          <t xml:space="preserve"> Guidance +2-3%</t>
        </r>
        <r>
          <rPr>
            <sz val="8"/>
            <color indexed="81"/>
            <rFont val="Tahoma"/>
            <family val="2"/>
          </rPr>
          <t xml:space="preserve">
</t>
        </r>
        <r>
          <rPr>
            <b/>
            <sz val="8"/>
            <color indexed="81"/>
            <rFont val="Tahoma"/>
            <family val="2"/>
          </rPr>
          <t xml:space="preserve">2/22/12: </t>
        </r>
        <r>
          <rPr>
            <sz val="8"/>
            <color indexed="81"/>
            <rFont val="Tahoma"/>
            <family val="2"/>
          </rPr>
          <t>guidance +1-2% comp</t>
        </r>
      </text>
    </comment>
    <comment ref="S170" authorId="11">
      <text>
        <r>
          <rPr>
            <b/>
            <sz val="8"/>
            <color indexed="81"/>
            <rFont val="Tahoma"/>
            <family val="2"/>
          </rPr>
          <t xml:space="preserve">2/7/2013 prn: </t>
        </r>
        <r>
          <rPr>
            <sz val="8"/>
            <color indexed="81"/>
            <rFont val="Tahoma"/>
            <family val="2"/>
          </rPr>
          <t>$25.9Bn</t>
        </r>
      </text>
    </comment>
    <comment ref="F173" authorId="11">
      <text>
        <r>
          <rPr>
            <b/>
            <sz val="8"/>
            <color indexed="81"/>
            <rFont val="Tahoma"/>
            <family val="2"/>
          </rPr>
          <t xml:space="preserve">2/27/2013 guidance </t>
        </r>
        <r>
          <rPr>
            <sz val="8"/>
            <color indexed="81"/>
            <rFont val="Tahoma"/>
            <family val="2"/>
          </rPr>
          <t>0-2%</t>
        </r>
      </text>
    </comment>
    <comment ref="S173" authorId="11">
      <text>
        <r>
          <rPr>
            <b/>
            <sz val="8"/>
            <color indexed="81"/>
            <rFont val="Tahoma"/>
            <family val="2"/>
          </rPr>
          <t xml:space="preserve">5/9/2013 release: </t>
        </r>
        <r>
          <rPr>
            <sz val="8"/>
            <color indexed="81"/>
            <rFont val="Tahoma"/>
            <family val="2"/>
          </rPr>
          <t>$6.2Bn</t>
        </r>
        <r>
          <rPr>
            <b/>
            <sz val="8"/>
            <color indexed="81"/>
            <rFont val="Tahoma"/>
            <family val="2"/>
          </rPr>
          <t xml:space="preserve">
2/27/2013 guidance: </t>
        </r>
        <r>
          <rPr>
            <sz val="8"/>
            <color indexed="81"/>
            <rFont val="Tahoma"/>
            <family val="2"/>
          </rPr>
          <t>$6.2Bn</t>
        </r>
      </text>
    </comment>
    <comment ref="D174" authorId="13">
      <text>
        <r>
          <rPr>
            <sz val="8"/>
            <color indexed="81"/>
            <rFont val="Tahoma"/>
            <family val="2"/>
          </rPr>
          <t xml:space="preserve">8/20/13: The movement in foreign currency exchange rates had a one percentage point negative impact on consolidated net sales growth in the second quarter of Fiscal 2014 versus the prior year. </t>
        </r>
      </text>
    </comment>
    <comment ref="F174" authorId="11">
      <text>
        <r>
          <rPr>
            <b/>
            <sz val="8"/>
            <color indexed="81"/>
            <rFont val="Tahoma"/>
            <family val="2"/>
          </rPr>
          <t xml:space="preserve">5/21/2013 guidance: </t>
        </r>
        <r>
          <rPr>
            <sz val="8"/>
            <color indexed="81"/>
            <rFont val="Tahoma"/>
            <family val="2"/>
          </rPr>
          <t>2-3%</t>
        </r>
      </text>
    </comment>
    <comment ref="S174" authorId="11">
      <text>
        <r>
          <rPr>
            <b/>
            <sz val="8"/>
            <color indexed="81"/>
            <rFont val="Tahoma"/>
            <family val="2"/>
          </rPr>
          <t xml:space="preserve">5/21/2013 guidance: </t>
        </r>
        <r>
          <rPr>
            <sz val="8"/>
            <color indexed="81"/>
            <rFont val="Tahoma"/>
            <family val="2"/>
          </rPr>
          <t>$6.3-$6.4Bn range</t>
        </r>
      </text>
    </comment>
    <comment ref="F175" authorId="13">
      <text>
        <r>
          <rPr>
            <b/>
            <sz val="8"/>
            <color indexed="81"/>
            <rFont val="Tahoma"/>
            <family val="2"/>
          </rPr>
          <t>10/21/13:</t>
        </r>
        <r>
          <rPr>
            <sz val="8"/>
            <color indexed="81"/>
            <rFont val="Tahoma"/>
            <family val="2"/>
          </rPr>
          <t xml:space="preserve"> new guidance 4%
</t>
        </r>
        <r>
          <rPr>
            <b/>
            <sz val="8"/>
            <color indexed="81"/>
            <rFont val="Tahoma"/>
            <family val="2"/>
          </rPr>
          <t>8/20/13:</t>
        </r>
        <r>
          <rPr>
            <sz val="8"/>
            <color indexed="81"/>
            <rFont val="Tahoma"/>
            <family val="2"/>
          </rPr>
          <t xml:space="preserve"> guidance +2-3%
</t>
        </r>
        <r>
          <rPr>
            <b/>
            <sz val="8"/>
            <color indexed="81"/>
            <rFont val="Tahoma"/>
            <family val="2"/>
          </rPr>
          <t>8/20/13:</t>
        </r>
        <r>
          <rPr>
            <sz val="8"/>
            <color indexed="81"/>
            <rFont val="Tahoma"/>
            <family val="2"/>
          </rPr>
          <t xml:space="preserve">  "The third quarter is off to a solid start and we see many opportunities for the second half of the year and beyond. We are in an excellent inventory position, which gives us the flexibility to capitalize on the great brands and fashions available to us in the marketplace.</t>
        </r>
      </text>
    </comment>
    <comment ref="P175" authorId="11">
      <text>
        <r>
          <rPr>
            <b/>
            <sz val="8"/>
            <color indexed="81"/>
            <rFont val="Tahoma"/>
            <family val="2"/>
          </rPr>
          <t xml:space="preserve">3/7/2013: </t>
        </r>
        <r>
          <rPr>
            <sz val="8"/>
            <color indexed="81"/>
            <rFont val="Tahoma"/>
            <family val="2"/>
          </rPr>
          <t>Benefit from calendar shift (gain last week of October)</t>
        </r>
      </text>
    </comment>
    <comment ref="F176" authorId="13">
      <text>
        <r>
          <rPr>
            <b/>
            <sz val="8"/>
            <color indexed="81"/>
            <rFont val="Tahoma"/>
            <family val="2"/>
          </rPr>
          <t>11/19/13</t>
        </r>
        <r>
          <rPr>
            <sz val="8"/>
            <color indexed="81"/>
            <rFont val="Tahoma"/>
            <family val="2"/>
          </rPr>
          <t xml:space="preserve">: guidance 1-2% (reflects 6 fewer selling days TY)
</t>
        </r>
        <r>
          <rPr>
            <b/>
            <sz val="8"/>
            <color indexed="81"/>
            <rFont val="Tahoma"/>
            <family val="2"/>
          </rPr>
          <t>8/20/2013:</t>
        </r>
        <r>
          <rPr>
            <sz val="8"/>
            <color indexed="81"/>
            <rFont val="Tahoma"/>
            <family val="2"/>
          </rPr>
          <t xml:space="preserve"> implied guidance = 1-2% (Xmas season has 6 fewer selling days this year)</t>
        </r>
      </text>
    </comment>
    <comment ref="P176" authorId="11">
      <text>
        <r>
          <rPr>
            <b/>
            <sz val="8"/>
            <color indexed="81"/>
            <rFont val="Tahoma"/>
            <family val="2"/>
          </rPr>
          <t xml:space="preserve">3/7/2013: </t>
        </r>
        <r>
          <rPr>
            <sz val="8"/>
            <color indexed="81"/>
            <rFont val="Tahoma"/>
            <family val="2"/>
          </rPr>
          <t>Adjust for 1 less week y/y (losing last week of October)</t>
        </r>
      </text>
    </comment>
    <comment ref="F177" authorId="11">
      <text>
        <r>
          <rPr>
            <b/>
            <sz val="8"/>
            <color indexed="81"/>
            <rFont val="Tahoma"/>
            <family val="2"/>
          </rPr>
          <t xml:space="preserve">11/19/2013: guidance +3%
8/20/2013: guidance </t>
        </r>
        <r>
          <rPr>
            <sz val="8"/>
            <color indexed="81"/>
            <rFont val="Tahoma"/>
            <family val="2"/>
          </rPr>
          <t>+2-3%</t>
        </r>
        <r>
          <rPr>
            <b/>
            <sz val="8"/>
            <color indexed="81"/>
            <rFont val="Tahoma"/>
            <family val="2"/>
          </rPr>
          <t xml:space="preserve">
5/21/2013 guidance </t>
        </r>
        <r>
          <rPr>
            <sz val="8"/>
            <color indexed="81"/>
            <rFont val="Tahoma"/>
            <family val="2"/>
          </rPr>
          <t>1-2%</t>
        </r>
        <r>
          <rPr>
            <b/>
            <sz val="8"/>
            <color indexed="81"/>
            <rFont val="Tahoma"/>
            <family val="2"/>
          </rPr>
          <t xml:space="preserve">
2/27/2013 guidance </t>
        </r>
        <r>
          <rPr>
            <sz val="8"/>
            <color indexed="81"/>
            <rFont val="Tahoma"/>
            <family val="2"/>
          </rPr>
          <t>1-2%</t>
        </r>
      </text>
    </comment>
    <comment ref="S177" authorId="11">
      <text>
        <r>
          <rPr>
            <b/>
            <sz val="8"/>
            <color indexed="81"/>
            <rFont val="Tahoma"/>
            <family val="2"/>
          </rPr>
          <t xml:space="preserve">2/27/2013 Guidance: </t>
        </r>
        <r>
          <rPr>
            <sz val="8"/>
            <color indexed="81"/>
            <rFont val="Tahoma"/>
            <family val="2"/>
          </rPr>
          <t>$26.8-$27.1Bn +3-5%</t>
        </r>
      </text>
    </comment>
    <comment ref="F194" authorId="14">
      <text>
        <r>
          <rPr>
            <b/>
            <sz val="9"/>
            <color indexed="81"/>
            <rFont val="Tahoma"/>
            <family val="2"/>
          </rPr>
          <t>Baglione, Gregory  (Research):</t>
        </r>
        <r>
          <rPr>
            <sz val="9"/>
            <color indexed="81"/>
            <rFont val="Tahoma"/>
            <family val="2"/>
          </rPr>
          <t xml:space="preserve">
2/24/16
Expect 1-2% comp growth
5/17/16
We were particularly pleased with the strong performance of apparel, including accessories and our home category. Our eclectic merchandise mix,great brands and amazing values clearly continue to resonate with consumers across all of our geographies. We believe our ability to deliver the right fashions at the right values at the right time is key to our success.</t>
        </r>
      </text>
    </comment>
    <comment ref="F195" authorId="15">
      <text>
        <r>
          <rPr>
            <b/>
            <sz val="9"/>
            <color indexed="81"/>
            <rFont val="Tahoma"/>
            <family val="2"/>
          </rPr>
          <t>Baglione, Gregory (Research):</t>
        </r>
        <r>
          <rPr>
            <sz val="9"/>
            <color indexed="81"/>
            <rFont val="Tahoma"/>
            <family val="2"/>
          </rPr>
          <t xml:space="preserve">
8/16/16
Comp was primarily driven by traffic. Apparel &amp; Home strong.
Traffic increased, units increased, average ticket decreased slightly more than planned. </t>
        </r>
      </text>
    </comment>
    <comment ref="F196" authorId="15">
      <text>
        <r>
          <rPr>
            <b/>
            <sz val="9"/>
            <color indexed="81"/>
            <rFont val="Tahoma"/>
            <family val="2"/>
          </rPr>
          <t>Baglione, Gregory (Research):</t>
        </r>
        <r>
          <rPr>
            <sz val="9"/>
            <color indexed="81"/>
            <rFont val="Tahoma"/>
            <family val="2"/>
          </rPr>
          <t xml:space="preserve">
2-3% comp growth expected for Q3</t>
        </r>
      </text>
    </comment>
    <comment ref="F198" authorId="14">
      <text>
        <r>
          <rPr>
            <b/>
            <sz val="9"/>
            <color indexed="81"/>
            <rFont val="Tahoma"/>
            <family val="2"/>
          </rPr>
          <t>Baglione, Gregory  (Research):</t>
        </r>
        <r>
          <rPr>
            <sz val="9"/>
            <color indexed="81"/>
            <rFont val="Tahoma"/>
            <family val="2"/>
          </rPr>
          <t xml:space="preserve">
11/16/16
Updated sales outlook is based on comps 3-4%
Implie sales guidance is ~$33.1B, reflecting 
-At Marmaxx we are now planning comp growth of 4% on sales of $21.1 billion.
-At HomeGoods we now expect comps to increase 5% to 6% on sales of $4.4 billion.
-At TJX Canada, we are now planning a comp increase of 8% to 9% on sales of $3.2 billion.
-At TJX International, we're expecting comp growth of about 2% on sales of $4.4 .
8/16/16
Expect 3-4% comps
3Q 2-3% comp
4Q 1-2%
5/17/16
We are also raising our full-year comp store sales guidance. We now expect a comp increase of 2% to 3% on a consolidated basis.
2/24/16
Expects 1-2% FY Comp
</t>
        </r>
      </text>
    </comment>
    <comment ref="S198" authorId="15">
      <text>
        <r>
          <rPr>
            <b/>
            <sz val="9"/>
            <color indexed="81"/>
            <rFont val="Tahoma"/>
            <family val="2"/>
          </rPr>
          <t>Baglione, Gregory (Research):</t>
        </r>
        <r>
          <rPr>
            <sz val="9"/>
            <color indexed="81"/>
            <rFont val="Tahoma"/>
            <family val="2"/>
          </rPr>
          <t xml:space="preserve">
11/16/16
Updated sales outlook is based on comps 3-4%
Implie sales guidance is ~$33.1B, reflecting 
-At Marmaxx we are now planning comp growth of 4% on sales of $21.1 billion.
-At HomeGoods we now expect comps to increase 5% to 6% on sales of $4.4 billion.
-At TJX Canada, we are now planning a comp increase of 8% to 9% on sales of $3.2 billion.
-At TJX International, we're expecting comp growth of about 2% on sales of $4.4 .</t>
        </r>
      </text>
    </comment>
    <comment ref="F201" authorId="16">
      <text>
        <r>
          <rPr>
            <b/>
            <sz val="9"/>
            <color indexed="81"/>
            <rFont val="Tahoma"/>
            <family val="2"/>
          </rPr>
          <t>Roberts, Cynthia (Research):</t>
        </r>
        <r>
          <rPr>
            <sz val="9"/>
            <color indexed="81"/>
            <rFont val="Tahoma"/>
            <family val="2"/>
          </rPr>
          <t xml:space="preserve">
2/22/17: Guidance: flat to +1%; </t>
        </r>
      </text>
    </comment>
    <comment ref="F202" authorId="16">
      <text>
        <r>
          <rPr>
            <b/>
            <sz val="9"/>
            <color indexed="81"/>
            <rFont val="Tahoma"/>
            <family val="2"/>
          </rPr>
          <t>Roberts, Cynthia (Research):</t>
        </r>
        <r>
          <rPr>
            <sz val="9"/>
            <color indexed="81"/>
            <rFont val="Tahoma"/>
            <family val="2"/>
          </rPr>
          <t xml:space="preserve">
5/16/17: Guidance +1-2%</t>
        </r>
      </text>
    </comment>
    <comment ref="D203" authorId="16">
      <text>
        <r>
          <rPr>
            <b/>
            <sz val="9"/>
            <color indexed="81"/>
            <rFont val="Tahoma"/>
            <family val="2"/>
          </rPr>
          <t>Roberts, Cynthia (Research):</t>
        </r>
        <r>
          <rPr>
            <sz val="9"/>
            <color indexed="81"/>
            <rFont val="Tahoma"/>
            <family val="2"/>
          </rPr>
          <t xml:space="preserve">
8/15/17: +1% positive impact from FX</t>
        </r>
      </text>
    </comment>
    <comment ref="F203" authorId="16">
      <text>
        <r>
          <rPr>
            <b/>
            <sz val="9"/>
            <color indexed="81"/>
            <rFont val="Tahoma"/>
            <family val="2"/>
          </rPr>
          <t>Roberts, Cynthia (Research):</t>
        </r>
        <r>
          <rPr>
            <sz val="9"/>
            <color indexed="81"/>
            <rFont val="Tahoma"/>
            <family val="2"/>
          </rPr>
          <t xml:space="preserve">
8/15/17: Guidance +1-2%</t>
        </r>
      </text>
    </comment>
    <comment ref="S204" authorId="15">
      <text>
        <r>
          <rPr>
            <b/>
            <sz val="9"/>
            <color indexed="81"/>
            <rFont val="Tahoma"/>
            <family val="2"/>
          </rPr>
          <t>Baglione, Gregory (Research):</t>
        </r>
        <r>
          <rPr>
            <sz val="9"/>
            <color indexed="81"/>
            <rFont val="Tahoma"/>
            <family val="2"/>
          </rPr>
          <t xml:space="preserve">
Guidance: 1.5% benefit to full year, which implies a 5.3% benefit to 4Q
MS estimates 53rd week contributes 1-1.5% to total sales growth. ~475-$500M. 4.5%-5% boost to 4Q17.</t>
        </r>
      </text>
    </comment>
    <comment ref="F205" authorId="16">
      <text>
        <r>
          <rPr>
            <b/>
            <sz val="9"/>
            <color indexed="81"/>
            <rFont val="Tahoma"/>
            <family val="2"/>
          </rPr>
          <t>Roberts, Cynthia (Research):</t>
        </r>
        <r>
          <rPr>
            <sz val="9"/>
            <color indexed="81"/>
            <rFont val="Tahoma"/>
            <family val="2"/>
          </rPr>
          <t xml:space="preserve">
8/15/17: Guidance +1-2%
5/16/17: Guidance +1-2% 
2/22/17: Guidance: +1-2% 
</t>
        </r>
      </text>
    </comment>
    <comment ref="S205" authorId="15">
      <text>
        <r>
          <rPr>
            <b/>
            <sz val="9"/>
            <color indexed="81"/>
            <rFont val="Tahoma"/>
            <family val="2"/>
          </rPr>
          <t>Baglione, Gregory (Research):</t>
        </r>
        <r>
          <rPr>
            <sz val="9"/>
            <color indexed="81"/>
            <rFont val="Tahoma"/>
            <family val="2"/>
          </rPr>
          <t xml:space="preserve">
Guidance: 1.5% benefit to full year, which implies a 5.3% benefit to 4Q
MS estimates 53rd week contributes 1-1.5% to total sales growth. ~475-$500M. 4.5%-5% boost to 4Q17.</t>
        </r>
      </text>
    </comment>
  </commentList>
</comments>
</file>

<file path=xl/comments4.xml><?xml version="1.0" encoding="utf-8"?>
<comments xmlns="http://schemas.openxmlformats.org/spreadsheetml/2006/main">
  <authors>
    <author>Turley, Amber (Research)</author>
    <author>lehman</author>
    <author>Morry Brown</author>
    <author>mm98285</author>
    <author>lauraro</author>
    <author>solejay</author>
    <author>balskyh</author>
    <author>casselau</author>
    <author>Baglione, Gregory  (Research)</author>
    <author>Roberts, Cynthia (Research)</author>
    <author>Baglione, Gregory (Research)</author>
    <author>Lehman Brothers</author>
    <author>MS</author>
    <author>SB</author>
  </authors>
  <commentList>
    <comment ref="AY3" authorId="0">
      <text>
        <r>
          <rPr>
            <b/>
            <sz val="9"/>
            <color indexed="81"/>
            <rFont val="Tahoma"/>
            <family val="2"/>
          </rPr>
          <t>Turley, Amber (Research):</t>
        </r>
        <r>
          <rPr>
            <sz val="9"/>
            <color indexed="81"/>
            <rFont val="Tahoma"/>
            <family val="2"/>
          </rPr>
          <t xml:space="preserve">
calculated F/X impact</t>
        </r>
      </text>
    </comment>
    <comment ref="BA4" authorId="0">
      <text>
        <r>
          <rPr>
            <b/>
            <sz val="9"/>
            <color indexed="81"/>
            <rFont val="Tahoma"/>
            <family val="2"/>
          </rPr>
          <t>Turley, Amber (Research):</t>
        </r>
        <r>
          <rPr>
            <sz val="9"/>
            <color indexed="81"/>
            <rFont val="Tahoma"/>
            <family val="2"/>
          </rPr>
          <t xml:space="preserve">
this info is provided per TJX</t>
        </r>
      </text>
    </comment>
    <comment ref="BC4" authorId="0">
      <text>
        <r>
          <rPr>
            <b/>
            <sz val="9"/>
            <color indexed="81"/>
            <rFont val="Tahoma"/>
            <family val="2"/>
          </rPr>
          <t>Turley, Amber (Research):</t>
        </r>
        <r>
          <rPr>
            <sz val="9"/>
            <color indexed="81"/>
            <rFont val="Tahoma"/>
            <family val="2"/>
          </rPr>
          <t xml:space="preserve">
estimated F/X impact (we use actual info as available per TJX and when not provided we use our estimates)</t>
        </r>
      </text>
    </comment>
    <comment ref="F68" authorId="1">
      <text>
        <r>
          <rPr>
            <sz val="8"/>
            <color indexed="81"/>
            <rFont val="Tahoma"/>
            <family val="2"/>
          </rPr>
          <t>6/4/03 guided to +2-3% on 1Q ccall
7/14 had +2, lowered followed flat june</t>
        </r>
      </text>
    </comment>
    <comment ref="F69" authorId="1">
      <text>
        <r>
          <rPr>
            <b/>
            <sz val="8"/>
            <color indexed="81"/>
            <rFont val="Tahoma"/>
            <family val="2"/>
          </rPr>
          <t>lehman:</t>
        </r>
        <r>
          <rPr>
            <sz val="8"/>
            <color indexed="81"/>
            <rFont val="Tahoma"/>
            <family val="2"/>
          </rPr>
          <t xml:space="preserve">
4Q02 call guided to +3 
8/12 2Q02 call, guided to +1-3%
9/24 lowered from +1 given below plan Aug
raised with sept to +1</t>
        </r>
      </text>
    </comment>
    <comment ref="F70" authorId="1">
      <text>
        <r>
          <rPr>
            <sz val="8"/>
            <color indexed="81"/>
            <rFont val="Tahoma"/>
            <family val="2"/>
          </rPr>
          <t>4Q02 call guided to +3
8/12 guided for +1-3
11/12 guided for flat to +3</t>
        </r>
      </text>
    </comment>
    <comment ref="P70" authorId="1">
      <text>
        <r>
          <rPr>
            <sz val="8"/>
            <color indexed="81"/>
            <rFont val="Tahoma"/>
            <family val="2"/>
          </rPr>
          <t>Higher in order to account for additional sales from 53rd week</t>
        </r>
      </text>
    </comment>
    <comment ref="S70" authorId="1">
      <text>
        <r>
          <rPr>
            <sz val="8"/>
            <color indexed="81"/>
            <rFont val="Tahoma"/>
            <family val="2"/>
          </rPr>
          <t>impacted by 53rd week</t>
        </r>
      </text>
    </comment>
    <comment ref="F71" authorId="1">
      <text>
        <r>
          <rPr>
            <b/>
            <sz val="8"/>
            <color indexed="81"/>
            <rFont val="Tahoma"/>
            <family val="2"/>
          </rPr>
          <t>lehman:</t>
        </r>
        <r>
          <rPr>
            <sz val="8"/>
            <color indexed="81"/>
            <rFont val="Tahoma"/>
            <family val="2"/>
          </rPr>
          <t xml:space="preserve">
4Q02 call guided to +2 for FY03</t>
        </r>
      </text>
    </comment>
    <comment ref="F74" authorId="1">
      <text>
        <r>
          <rPr>
            <sz val="8"/>
            <color indexed="81"/>
            <rFont val="Tahoma"/>
            <family val="2"/>
          </rPr>
          <t>2/25 +4-5% guidance</t>
        </r>
      </text>
    </comment>
    <comment ref="F75" authorId="1">
      <text>
        <r>
          <rPr>
            <sz val="8"/>
            <color indexed="81"/>
            <rFont val="Tahoma"/>
            <family val="2"/>
          </rPr>
          <t>2/25 +2-3% guidance
5/18/04 kept +2-3% guidance</t>
        </r>
      </text>
    </comment>
    <comment ref="F76" authorId="1">
      <text>
        <r>
          <rPr>
            <sz val="8"/>
            <color indexed="81"/>
            <rFont val="Tahoma"/>
            <family val="2"/>
          </rPr>
          <t>2/25 +2-3% guidance
8/17 guided for +2-3%</t>
        </r>
      </text>
    </comment>
    <comment ref="F77" authorId="1">
      <text>
        <r>
          <rPr>
            <sz val="8"/>
            <color indexed="81"/>
            <rFont val="Tahoma"/>
            <family val="2"/>
          </rPr>
          <t>2/25 +2-3% guidance
8/17 guided for +2-3%
11/16 kept +2-3% guidance</t>
        </r>
      </text>
    </comment>
    <comment ref="P77" authorId="1">
      <text>
        <r>
          <rPr>
            <sz val="8"/>
            <color indexed="81"/>
            <rFont val="Tahoma"/>
            <family val="2"/>
          </rPr>
          <t>2/25 lower due to 53 rd week in 4Q03, growing off inflated base</t>
        </r>
      </text>
    </comment>
    <comment ref="F81" authorId="2">
      <text>
        <r>
          <rPr>
            <b/>
            <sz val="8"/>
            <color indexed="81"/>
            <rFont val="Tahoma"/>
            <family val="2"/>
          </rPr>
          <t>Morry Brown:</t>
        </r>
        <r>
          <rPr>
            <sz val="8"/>
            <color indexed="81"/>
            <rFont val="Tahoma"/>
            <family val="2"/>
          </rPr>
          <t xml:space="preserve">
2/23 guided +3-4%</t>
        </r>
      </text>
    </comment>
    <comment ref="F82" authorId="2">
      <text>
        <r>
          <rPr>
            <b/>
            <sz val="8"/>
            <color indexed="81"/>
            <rFont val="Tahoma"/>
            <family val="2"/>
          </rPr>
          <t>Morry Brown:</t>
        </r>
        <r>
          <rPr>
            <sz val="8"/>
            <color indexed="81"/>
            <rFont val="Tahoma"/>
            <family val="2"/>
          </rPr>
          <t xml:space="preserve">
2/23 guided +4%</t>
        </r>
      </text>
    </comment>
    <comment ref="F83" authorId="2">
      <text>
        <r>
          <rPr>
            <b/>
            <sz val="8"/>
            <color indexed="81"/>
            <rFont val="Tahoma"/>
            <family val="2"/>
          </rPr>
          <t>Morry Brown:</t>
        </r>
        <r>
          <rPr>
            <sz val="8"/>
            <color indexed="81"/>
            <rFont val="Tahoma"/>
            <family val="2"/>
          </rPr>
          <t xml:space="preserve">
2/23 guided +3%
8/16 revised to +2-3%</t>
        </r>
      </text>
    </comment>
    <comment ref="F84" authorId="2">
      <text>
        <r>
          <rPr>
            <b/>
            <sz val="8"/>
            <color indexed="81"/>
            <rFont val="Tahoma"/>
            <family val="2"/>
          </rPr>
          <t>Morry Brown:</t>
        </r>
        <r>
          <rPr>
            <sz val="8"/>
            <color indexed="81"/>
            <rFont val="Tahoma"/>
            <family val="2"/>
          </rPr>
          <t xml:space="preserve">
11/15 guided to +1-2%
2/23 guided +2%</t>
        </r>
      </text>
    </comment>
    <comment ref="F89" authorId="3">
      <text>
        <r>
          <rPr>
            <b/>
            <sz val="8"/>
            <color indexed="81"/>
            <rFont val="Tahoma"/>
            <family val="2"/>
          </rPr>
          <t>mm98285:</t>
        </r>
        <r>
          <rPr>
            <sz val="8"/>
            <color indexed="81"/>
            <rFont val="Tahoma"/>
            <family val="2"/>
          </rPr>
          <t xml:space="preserve">
5/06: guided to +2% comp for 2Q at Marmaxx</t>
        </r>
      </text>
    </comment>
    <comment ref="F98" authorId="3">
      <text>
        <r>
          <rPr>
            <b/>
            <sz val="8"/>
            <color indexed="81"/>
            <rFont val="Tahoma"/>
            <family val="2"/>
          </rPr>
          <t>mm98285:</t>
        </r>
        <r>
          <rPr>
            <sz val="8"/>
            <color indexed="81"/>
            <rFont val="Tahoma"/>
            <family val="2"/>
          </rPr>
          <t xml:space="preserve">
11/07: guided to +2%</t>
        </r>
      </text>
    </comment>
    <comment ref="F99" authorId="3">
      <text>
        <r>
          <rPr>
            <b/>
            <sz val="8"/>
            <color indexed="81"/>
            <rFont val="Tahoma"/>
            <family val="2"/>
          </rPr>
          <t>mm98285:</t>
        </r>
        <r>
          <rPr>
            <sz val="8"/>
            <color indexed="81"/>
            <rFont val="Tahoma"/>
            <family val="2"/>
          </rPr>
          <t xml:space="preserve">
2/07: guided to +2-3%</t>
        </r>
      </text>
    </comment>
    <comment ref="S99" authorId="3">
      <text>
        <r>
          <rPr>
            <b/>
            <sz val="8"/>
            <color indexed="81"/>
            <rFont val="Tahoma"/>
            <family val="2"/>
          </rPr>
          <t>mm98285:</t>
        </r>
        <r>
          <rPr>
            <sz val="8"/>
            <color indexed="81"/>
            <rFont val="Tahoma"/>
            <family val="2"/>
          </rPr>
          <t xml:space="preserve">
2/07: guided to $12.1bn</t>
        </r>
      </text>
    </comment>
    <comment ref="F102" authorId="3">
      <text>
        <r>
          <rPr>
            <b/>
            <sz val="8"/>
            <color indexed="81"/>
            <rFont val="Tahoma"/>
            <family val="2"/>
          </rPr>
          <t>mm98285:</t>
        </r>
        <r>
          <rPr>
            <sz val="8"/>
            <color indexed="81"/>
            <rFont val="Tahoma"/>
            <family val="2"/>
          </rPr>
          <t xml:space="preserve">
2/08: expect +1-2% comp</t>
        </r>
      </text>
    </comment>
    <comment ref="S105" authorId="3">
      <text>
        <r>
          <rPr>
            <b/>
            <sz val="8"/>
            <color indexed="81"/>
            <rFont val="Tahoma"/>
            <family val="2"/>
          </rPr>
          <t>mm98285:</t>
        </r>
        <r>
          <rPr>
            <sz val="8"/>
            <color indexed="81"/>
            <rFont val="Tahoma"/>
            <family val="2"/>
          </rPr>
          <t xml:space="preserve">
12/08: assume ~$135mm benefit to 4Q from extra week</t>
        </r>
      </text>
    </comment>
    <comment ref="F106" authorId="3">
      <text>
        <r>
          <rPr>
            <b/>
            <sz val="8"/>
            <color indexed="81"/>
            <rFont val="Tahoma"/>
            <family val="2"/>
          </rPr>
          <t>mm98285:</t>
        </r>
        <r>
          <rPr>
            <sz val="8"/>
            <color indexed="81"/>
            <rFont val="Tahoma"/>
            <family val="2"/>
          </rPr>
          <t xml:space="preserve">
2/08: expect 2% comp</t>
        </r>
      </text>
    </comment>
    <comment ref="S106" authorId="3">
      <text>
        <r>
          <rPr>
            <b/>
            <sz val="8"/>
            <color indexed="81"/>
            <rFont val="Tahoma"/>
            <family val="2"/>
          </rPr>
          <t>mm98285:</t>
        </r>
        <r>
          <rPr>
            <sz val="8"/>
            <color indexed="81"/>
            <rFont val="Tahoma"/>
            <family val="2"/>
          </rPr>
          <t xml:space="preserve">
2/08: expect $12.6b</t>
        </r>
      </text>
    </comment>
    <comment ref="F127" authorId="4">
      <text>
        <r>
          <rPr>
            <b/>
            <sz val="8"/>
            <color indexed="81"/>
            <rFont val="Tahoma"/>
            <family val="2"/>
          </rPr>
          <t xml:space="preserve">5/17/11: </t>
        </r>
        <r>
          <rPr>
            <sz val="8"/>
            <color indexed="81"/>
            <rFont val="Tahoma"/>
            <family val="2"/>
          </rPr>
          <t>guidance exp 2-3% comp</t>
        </r>
        <r>
          <rPr>
            <sz val="8"/>
            <color indexed="81"/>
            <rFont val="Tahoma"/>
            <family val="2"/>
          </rPr>
          <t xml:space="preserve">
</t>
        </r>
        <r>
          <rPr>
            <b/>
            <sz val="8"/>
            <color indexed="81"/>
            <rFont val="Tahoma"/>
            <family val="2"/>
          </rPr>
          <t>2/11:</t>
        </r>
        <r>
          <rPr>
            <sz val="8"/>
            <color indexed="81"/>
            <rFont val="Tahoma"/>
            <family val="2"/>
          </rPr>
          <t xml:space="preserve"> guidance exp 1-2%</t>
        </r>
      </text>
    </comment>
    <comment ref="F134" authorId="4">
      <text>
        <r>
          <rPr>
            <b/>
            <sz val="8"/>
            <color indexed="81"/>
            <rFont val="Tahoma"/>
            <family val="2"/>
          </rPr>
          <t xml:space="preserve">11/13/2012: </t>
        </r>
        <r>
          <rPr>
            <sz val="8"/>
            <color indexed="81"/>
            <rFont val="Tahoma"/>
            <family val="2"/>
          </rPr>
          <t>+5-6% guidance</t>
        </r>
        <r>
          <rPr>
            <b/>
            <sz val="8"/>
            <color indexed="81"/>
            <rFont val="Tahoma"/>
            <family val="2"/>
          </rPr>
          <t xml:space="preserve">
8/14/2012: </t>
        </r>
        <r>
          <rPr>
            <sz val="8"/>
            <color indexed="81"/>
            <rFont val="Tahoma"/>
            <family val="2"/>
          </rPr>
          <t>+4-5% guidance</t>
        </r>
        <r>
          <rPr>
            <b/>
            <sz val="8"/>
            <color indexed="81"/>
            <rFont val="Tahoma"/>
            <family val="2"/>
          </rPr>
          <t xml:space="preserve">
5/17/11: </t>
        </r>
        <r>
          <rPr>
            <sz val="8"/>
            <color indexed="81"/>
            <rFont val="Tahoma"/>
            <family val="2"/>
          </rPr>
          <t>Exp 2-3% comp</t>
        </r>
        <r>
          <rPr>
            <sz val="8"/>
            <color indexed="81"/>
            <rFont val="Tahoma"/>
            <family val="2"/>
          </rPr>
          <t xml:space="preserve">
2/11: Exp 1-2%</t>
        </r>
      </text>
    </comment>
    <comment ref="F138" authorId="5">
      <text>
        <r>
          <rPr>
            <b/>
            <sz val="8"/>
            <color indexed="81"/>
            <rFont val="Tahoma"/>
            <family val="2"/>
          </rPr>
          <t>solejay:</t>
        </r>
        <r>
          <rPr>
            <sz val="8"/>
            <color indexed="81"/>
            <rFont val="Tahoma"/>
            <family val="2"/>
          </rPr>
          <t xml:space="preserve">
8/20/13;  apparel +3%, home fashions +5%</t>
        </r>
      </text>
    </comment>
    <comment ref="F141" authorId="6">
      <text>
        <r>
          <rPr>
            <b/>
            <sz val="8"/>
            <color indexed="81"/>
            <rFont val="Tahoma"/>
            <family val="2"/>
          </rPr>
          <t xml:space="preserve">8/20/2013 guidance: </t>
        </r>
        <r>
          <rPr>
            <sz val="8"/>
            <color indexed="81"/>
            <rFont val="Tahoma"/>
            <family val="2"/>
          </rPr>
          <t>2%</t>
        </r>
        <r>
          <rPr>
            <b/>
            <sz val="8"/>
            <color indexed="81"/>
            <rFont val="Tahoma"/>
            <family val="2"/>
          </rPr>
          <t xml:space="preserve">
5/21/2013 guidance: </t>
        </r>
        <r>
          <rPr>
            <sz val="8"/>
            <color indexed="81"/>
            <rFont val="Tahoma"/>
            <family val="2"/>
          </rPr>
          <t>1-2%</t>
        </r>
        <r>
          <rPr>
            <b/>
            <sz val="8"/>
            <color indexed="81"/>
            <rFont val="Tahoma"/>
            <family val="2"/>
          </rPr>
          <t xml:space="preserve">
2/28/2013 guidance: </t>
        </r>
        <r>
          <rPr>
            <sz val="8"/>
            <color indexed="81"/>
            <rFont val="Tahoma"/>
            <family val="2"/>
          </rPr>
          <t>+1-2%</t>
        </r>
      </text>
    </comment>
    <comment ref="S141" authorId="6">
      <text>
        <r>
          <rPr>
            <b/>
            <sz val="8"/>
            <color indexed="81"/>
            <rFont val="Tahoma"/>
            <family val="2"/>
          </rPr>
          <t xml:space="preserve">8/20/2013 guidance: </t>
        </r>
        <r>
          <rPr>
            <sz val="8"/>
            <color indexed="81"/>
            <rFont val="Tahoma"/>
            <family val="2"/>
          </rPr>
          <t>$17.7-17.8Bn</t>
        </r>
        <r>
          <rPr>
            <b/>
            <sz val="8"/>
            <color indexed="81"/>
            <rFont val="Tahoma"/>
            <family val="2"/>
          </rPr>
          <t xml:space="preserve">
5/21/2013 guidance: </t>
        </r>
        <r>
          <rPr>
            <sz val="8"/>
            <color indexed="81"/>
            <rFont val="Tahoma"/>
            <family val="2"/>
          </rPr>
          <t>$17.6-17.8Bn</t>
        </r>
        <r>
          <rPr>
            <b/>
            <sz val="8"/>
            <color indexed="81"/>
            <rFont val="Tahoma"/>
            <family val="2"/>
          </rPr>
          <t xml:space="preserve">
2/28/2013 guidance: </t>
        </r>
        <r>
          <rPr>
            <sz val="8"/>
            <color indexed="81"/>
            <rFont val="Tahoma"/>
            <family val="2"/>
          </rPr>
          <t>$17.6-17.8Bn</t>
        </r>
      </text>
    </comment>
    <comment ref="F151" authorId="0">
      <text>
        <r>
          <rPr>
            <b/>
            <sz val="9"/>
            <color indexed="81"/>
            <rFont val="Tahoma"/>
            <family val="2"/>
          </rPr>
          <t>Turley, Amber (Research):</t>
        </r>
        <r>
          <rPr>
            <sz val="9"/>
            <color indexed="81"/>
            <rFont val="Tahoma"/>
            <family val="2"/>
          </rPr>
          <t xml:space="preserve">
2/25/15 guidance: 2-3%</t>
        </r>
      </text>
    </comment>
    <comment ref="F152" authorId="7">
      <text>
        <r>
          <rPr>
            <b/>
            <sz val="9"/>
            <color indexed="81"/>
            <rFont val="Tahoma"/>
            <family val="2"/>
          </rPr>
          <t>casselau:</t>
        </r>
        <r>
          <rPr>
            <sz val="9"/>
            <color indexed="81"/>
            <rFont val="Tahoma"/>
            <family val="2"/>
          </rPr>
          <t xml:space="preserve">
5/19/15: guidance +2-3%</t>
        </r>
      </text>
    </comment>
    <comment ref="F153" authorId="7">
      <text>
        <r>
          <rPr>
            <b/>
            <sz val="9"/>
            <color indexed="81"/>
            <rFont val="Tahoma"/>
            <family val="2"/>
          </rPr>
          <t>casselau:</t>
        </r>
        <r>
          <rPr>
            <sz val="9"/>
            <color indexed="81"/>
            <rFont val="Tahoma"/>
            <family val="2"/>
          </rPr>
          <t xml:space="preserve">
5/19/15: guidance +2-3%</t>
        </r>
      </text>
    </comment>
    <comment ref="F154" authorId="8">
      <text>
        <r>
          <rPr>
            <b/>
            <sz val="9"/>
            <color indexed="81"/>
            <rFont val="Tahoma"/>
            <family val="2"/>
          </rPr>
          <t>Baglione, Gregory  (Research):</t>
        </r>
        <r>
          <rPr>
            <sz val="9"/>
            <color indexed="81"/>
            <rFont val="Tahoma"/>
            <family val="2"/>
          </rPr>
          <t xml:space="preserve">
11/17/15
Lowering MarMaxx comp to +2.5% vs. +3.0% to better reflect two year trend
Guidance: 
We're assuming comp sales growth of 2% to 3% on both a consolidated basis and at Marmaxx.
Expect +3.0% comp at Marmaxx for FY
Lowering MarMaxx comp to +2.5% vs. +3.0% to better reflect two year trend
</t>
        </r>
      </text>
    </comment>
    <comment ref="F155" authorId="0">
      <text>
        <r>
          <rPr>
            <b/>
            <sz val="9"/>
            <color indexed="81"/>
            <rFont val="Tahoma"/>
            <family val="2"/>
          </rPr>
          <t>11/17/15
Expect +3.0% comp at Marmaxx for FY
5/19/15: guidance +2%
Turley, Amber (Research):</t>
        </r>
        <r>
          <rPr>
            <sz val="9"/>
            <color indexed="81"/>
            <rFont val="Tahoma"/>
            <family val="2"/>
          </rPr>
          <t xml:space="preserve">
</t>
        </r>
        <r>
          <rPr>
            <b/>
            <sz val="9"/>
            <color indexed="81"/>
            <rFont val="Tahoma"/>
            <family val="2"/>
          </rPr>
          <t>2/25/15:</t>
        </r>
        <r>
          <rPr>
            <sz val="9"/>
            <color indexed="81"/>
            <rFont val="Tahoma"/>
            <family val="2"/>
          </rPr>
          <t xml:space="preserve"> Guidance 1-2% comp
8/18/15
Marmaxx-3% comp for FY
$19.7-19.8B</t>
        </r>
      </text>
    </comment>
    <comment ref="S155" authorId="0">
      <text>
        <r>
          <rPr>
            <b/>
            <sz val="9"/>
            <color indexed="81"/>
            <rFont val="Tahoma"/>
            <family val="2"/>
          </rPr>
          <t>Turley, Amber (Research):</t>
        </r>
        <r>
          <rPr>
            <sz val="9"/>
            <color indexed="81"/>
            <rFont val="Tahoma"/>
            <family val="2"/>
          </rPr>
          <t xml:space="preserve">
2/25/15 Guidance: $19.4-$19.6B</t>
        </r>
      </text>
    </comment>
    <comment ref="F158" authorId="8">
      <text>
        <r>
          <rPr>
            <b/>
            <sz val="9"/>
            <color indexed="81"/>
            <rFont val="Tahoma"/>
            <family val="2"/>
          </rPr>
          <t>Baglione, Gregory  (Research):</t>
        </r>
        <r>
          <rPr>
            <sz val="9"/>
            <color indexed="81"/>
            <rFont val="Tahoma"/>
            <family val="2"/>
          </rPr>
          <t xml:space="preserve">
11/16/15
Assumes 3-4% two-year comp in 2016
2/24/16
Reducing 1Q comp to 2% from 2.5%
FY to 2%
2/24/16
For comp store sales we're assuming growth in the 2% to 3% range on both a consolidated basis and at Marmaxx</t>
        </r>
      </text>
    </comment>
    <comment ref="F159" authorId="8">
      <text>
        <r>
          <rPr>
            <b/>
            <sz val="9"/>
            <color indexed="81"/>
            <rFont val="Tahoma"/>
            <family val="2"/>
          </rPr>
          <t>Baglione, Gregory  (Research):</t>
        </r>
        <r>
          <rPr>
            <sz val="9"/>
            <color indexed="81"/>
            <rFont val="Tahoma"/>
            <family val="2"/>
          </rPr>
          <t xml:space="preserve">
11/16/15
Assumes 3% comp in 2016
2/24/16
Reducing comp to 1.5 from 2%
5/17/16
Previous +1.5%
Updated +3%
Updated Guidance: Comp store sales, we're assuming growth in the 2% to 3% range on both a consolidated basis and at Marmaxx.</t>
        </r>
      </text>
    </comment>
    <comment ref="F160" authorId="8">
      <text>
        <r>
          <rPr>
            <b/>
            <sz val="9"/>
            <color indexed="81"/>
            <rFont val="Tahoma"/>
            <family val="2"/>
          </rPr>
          <t>Baglione, Gregory  (Research):</t>
        </r>
        <r>
          <rPr>
            <sz val="9"/>
            <color indexed="81"/>
            <rFont val="Tahoma"/>
            <family val="2"/>
          </rPr>
          <t xml:space="preserve">
8/16/16
For comp store sales, we're assuming growth in the 2% to 3% range on both a consolidated basis, and at Marmaxx.
11/16/15
Assumes 3% comp in 2016
Traffic was the primary driver
Units were also up
Average ticket down slightly more than planned
MM up signfincantly 
</t>
        </r>
      </text>
    </comment>
    <comment ref="F161" authorId="8">
      <text>
        <r>
          <rPr>
            <b/>
            <sz val="9"/>
            <color indexed="81"/>
            <rFont val="Tahoma"/>
            <family val="2"/>
          </rPr>
          <t>Baglione, Gregory  (Research):</t>
        </r>
        <r>
          <rPr>
            <sz val="9"/>
            <color indexed="81"/>
            <rFont val="Tahoma"/>
            <family val="2"/>
          </rPr>
          <t xml:space="preserve">
2/22/17: significant growth in units sold and decrease in average ticket
11/16/16
For comp store sales, we're assuming growth in the 1% to 2% range on both a consolidated basis and at Marmaxx.
10/25/16
Revising to +3.2% from +2%
</t>
        </r>
      </text>
    </comment>
    <comment ref="F162" authorId="8">
      <text>
        <r>
          <rPr>
            <b/>
            <sz val="9"/>
            <color indexed="81"/>
            <rFont val="Tahoma"/>
            <family val="2"/>
          </rPr>
          <t>Baglione, Gregory  (Research):</t>
        </r>
        <r>
          <rPr>
            <sz val="9"/>
            <color indexed="81"/>
            <rFont val="Tahoma"/>
            <family val="2"/>
          </rPr>
          <t xml:space="preserve">
8/16/16
At Marmaxx, we are planning a comp growth of 3% on sales of $20.9 billion to $21 billion. Additionally,
we now expect segment profit margin to be in the range of 13.9% to 14%. For the second half of FY17, we are now planning Marmaxx's average
ticket to decrease slightly versus last year.
5/17/16
At Marmaxx we are now planning comp growth of 2% to 3% on sales of $20.7 billion to $20.9 billion. 
2/26/16 Guidance
As Marmaxx we're planning a comp growth of 1% to 2% on sales of $20.5 billion to $20.7 billion and segment profit margin in the range of 13.6% to 13.8%. As reminder, in fiscal 2017 we're planning Marmaxx's average ticket lower in the first half of the year and essentially flat for the second half. 
For 1Q For comp store sales we're assuming growth in the 2% to 3% range on both a consolidated basis and at Marmaxx
11/16/15
Assumes 3% comp in 2016
</t>
        </r>
      </text>
    </comment>
    <comment ref="S162" authorId="0">
      <text>
        <r>
          <rPr>
            <b/>
            <sz val="9"/>
            <color indexed="81"/>
            <rFont val="Tahoma"/>
            <family val="2"/>
          </rPr>
          <t>8/16/16
At Marmaxx, we are planning a comp growth of 3% on sales of $20.9 billion to $21 billion.</t>
        </r>
        <r>
          <rPr>
            <sz val="9"/>
            <color indexed="81"/>
            <rFont val="Tahoma"/>
            <family val="2"/>
          </rPr>
          <t xml:space="preserve">
</t>
        </r>
      </text>
    </comment>
    <comment ref="F165" authorId="9">
      <text>
        <r>
          <rPr>
            <b/>
            <sz val="9"/>
            <color indexed="81"/>
            <rFont val="Tahoma"/>
            <family val="2"/>
          </rPr>
          <t>Roberts, Cynthia (Research):</t>
        </r>
        <r>
          <rPr>
            <sz val="9"/>
            <color indexed="81"/>
            <rFont val="Tahoma"/>
            <family val="2"/>
          </rPr>
          <t xml:space="preserve">
2/22/17:Guidance: flat to 1%</t>
        </r>
      </text>
    </comment>
    <comment ref="F166" authorId="9">
      <text>
        <r>
          <rPr>
            <b/>
            <sz val="9"/>
            <color indexed="81"/>
            <rFont val="Tahoma"/>
            <family val="2"/>
          </rPr>
          <t>Roberts, Cynthia (Research):</t>
        </r>
        <r>
          <rPr>
            <sz val="9"/>
            <color indexed="81"/>
            <rFont val="Tahoma"/>
            <family val="2"/>
          </rPr>
          <t xml:space="preserve">
5/16/17: Guidance +1-2%</t>
        </r>
      </text>
    </comment>
    <comment ref="F167" authorId="9">
      <text>
        <r>
          <rPr>
            <b/>
            <sz val="9"/>
            <color indexed="81"/>
            <rFont val="Tahoma"/>
            <family val="2"/>
          </rPr>
          <t>Roberts, Cynthia (Research):</t>
        </r>
        <r>
          <rPr>
            <sz val="9"/>
            <color indexed="81"/>
            <rFont val="Tahoma"/>
            <family val="2"/>
          </rPr>
          <t xml:space="preserve">
8/15/17: Guidance +1-2%</t>
        </r>
      </text>
    </comment>
    <comment ref="P168" authorId="10">
      <text>
        <r>
          <rPr>
            <b/>
            <sz val="9"/>
            <color indexed="81"/>
            <rFont val="Tahoma"/>
            <family val="2"/>
          </rPr>
          <t>Baglione, Gregory (Research):</t>
        </r>
        <r>
          <rPr>
            <sz val="9"/>
            <color indexed="81"/>
            <rFont val="Tahoma"/>
            <family val="2"/>
          </rPr>
          <t xml:space="preserve">
Productivity to 250 to reflect 5 points from 53rd week. Looking at 2012 this looks like a sound estimate. </t>
        </r>
      </text>
    </comment>
    <comment ref="F169" authorId="9">
      <text>
        <r>
          <rPr>
            <b/>
            <sz val="9"/>
            <color indexed="81"/>
            <rFont val="Tahoma"/>
            <family val="2"/>
          </rPr>
          <t>Roberts, Cynthia (Research):</t>
        </r>
        <r>
          <rPr>
            <sz val="9"/>
            <color indexed="81"/>
            <rFont val="Tahoma"/>
            <family val="2"/>
          </rPr>
          <t xml:space="preserve">
11/14/17: Guidance +1%
8/15/17: Guidance +1-2%
5/16/17 Guidance +1-2%
2/22/17: Guidance: +1-2%</t>
        </r>
      </text>
    </comment>
    <comment ref="S169" authorId="10">
      <text>
        <r>
          <rPr>
            <b/>
            <sz val="9"/>
            <color indexed="81"/>
            <rFont val="Tahoma"/>
            <family val="2"/>
          </rPr>
          <t xml:space="preserve">Baglione, Gregory (Research):
</t>
        </r>
        <r>
          <rPr>
            <sz val="9"/>
            <color indexed="81"/>
            <rFont val="Tahoma"/>
            <family val="2"/>
          </rPr>
          <t>11/14/17: Guidance $22.1-$22.2B</t>
        </r>
        <r>
          <rPr>
            <b/>
            <sz val="9"/>
            <color indexed="81"/>
            <rFont val="Tahoma"/>
            <family val="2"/>
          </rPr>
          <t xml:space="preserve">
</t>
        </r>
        <r>
          <rPr>
            <sz val="9"/>
            <color indexed="81"/>
            <rFont val="Tahoma"/>
            <family val="2"/>
          </rPr>
          <t>8/15/17:Guidance $22.3-$22.4B</t>
        </r>
        <r>
          <rPr>
            <b/>
            <sz val="9"/>
            <color indexed="81"/>
            <rFont val="Tahoma"/>
            <family val="2"/>
          </rPr>
          <t xml:space="preserve">
</t>
        </r>
        <r>
          <rPr>
            <sz val="9"/>
            <color indexed="81"/>
            <rFont val="Tahoma"/>
            <family val="2"/>
          </rPr>
          <t>5/16/17: Guidance $22.3B-$22.4B</t>
        </r>
        <r>
          <rPr>
            <b/>
            <sz val="9"/>
            <color indexed="81"/>
            <rFont val="Tahoma"/>
            <family val="2"/>
          </rPr>
          <t xml:space="preserve">
</t>
        </r>
        <r>
          <rPr>
            <sz val="9"/>
            <color indexed="81"/>
            <rFont val="Tahoma"/>
            <family val="2"/>
          </rPr>
          <t>2/22/17: Guidance: $22.2B-$22.4B
MS estimates 53rd week contributes 1-1.5% to total sales growth. ~475-$500M. 4.5%-5% boost to 4Q17.</t>
        </r>
      </text>
    </comment>
    <comment ref="H172" authorId="9">
      <text>
        <r>
          <rPr>
            <b/>
            <sz val="9"/>
            <color indexed="81"/>
            <rFont val="Tahoma"/>
            <family val="2"/>
          </rPr>
          <t>Roberts, Cynthia (Research):</t>
        </r>
        <r>
          <rPr>
            <sz val="9"/>
            <color indexed="81"/>
            <rFont val="Tahoma"/>
            <family val="2"/>
          </rPr>
          <t xml:space="preserve">
Assumes 1% benefit from calendar shift related to the reversal of the 53rd week; 2% underlying spread </t>
        </r>
      </text>
    </comment>
    <comment ref="H173" authorId="9">
      <text>
        <r>
          <rPr>
            <b/>
            <sz val="9"/>
            <color indexed="81"/>
            <rFont val="Tahoma"/>
            <family val="2"/>
          </rPr>
          <t>Roberts, Cynthia (Research):</t>
        </r>
        <r>
          <rPr>
            <sz val="9"/>
            <color indexed="81"/>
            <rFont val="Tahoma"/>
            <family val="2"/>
          </rPr>
          <t xml:space="preserve">
Assumes 0.5% benefit from calendar shift related to the reversal of the 53rd week; 2% underlying spread </t>
        </r>
      </text>
    </comment>
    <comment ref="H174" authorId="9">
      <text>
        <r>
          <rPr>
            <b/>
            <sz val="9"/>
            <color indexed="81"/>
            <rFont val="Tahoma"/>
            <family val="2"/>
          </rPr>
          <t xml:space="preserve">Roberts, Cynthia (Research):
</t>
        </r>
        <r>
          <rPr>
            <sz val="9"/>
            <color indexed="81"/>
            <rFont val="Tahoma"/>
            <family val="2"/>
          </rPr>
          <t xml:space="preserve">Assumes underlying  +2% comp and 2% comp/total sales spread
Calendar shift loses calendar days equivalent August week 1 (~$658M or ~7% of 3Q) and gains calendar days equivalent to November week 1(~$605M or ~6% of 4Q) 
Assumes sales proportioned share of loss ~$32M
</t>
        </r>
      </text>
    </comment>
    <comment ref="H175" authorId="9">
      <text>
        <r>
          <rPr>
            <b/>
            <sz val="9"/>
            <color indexed="81"/>
            <rFont val="Tahoma"/>
            <family val="2"/>
          </rPr>
          <t xml:space="preserve">Roberts, Cynthia (Research):
</t>
        </r>
        <r>
          <rPr>
            <sz val="9"/>
            <color indexed="81"/>
            <rFont val="Tahoma"/>
            <family val="2"/>
          </rPr>
          <t>Assumes +2% comp and 2% comp/total sales spread
Reversal of 53rd week loses calendar days equivalent to November week 1 which we estimate is 6% of 4Q sales (~$605M) 
Assumes sales proportioned share of revenue loss ~$369M</t>
        </r>
      </text>
    </comment>
    <comment ref="F176" authorId="9">
      <text>
        <r>
          <rPr>
            <b/>
            <sz val="9"/>
            <color indexed="81"/>
            <rFont val="Tahoma"/>
            <family val="2"/>
          </rPr>
          <t>Roberts, Cynthia (Research):</t>
        </r>
        <r>
          <rPr>
            <sz val="9"/>
            <color indexed="81"/>
            <rFont val="Tahoma"/>
            <family val="2"/>
          </rPr>
          <t xml:space="preserve">
2/28/18: Guidance +1-2%</t>
        </r>
      </text>
    </comment>
    <comment ref="S176" authorId="9">
      <text>
        <r>
          <rPr>
            <b/>
            <sz val="9"/>
            <color indexed="81"/>
            <rFont val="Tahoma"/>
            <family val="2"/>
          </rPr>
          <t>Roberts, Cynthia (Research):</t>
        </r>
        <r>
          <rPr>
            <sz val="9"/>
            <color indexed="81"/>
            <rFont val="Tahoma"/>
            <family val="2"/>
          </rPr>
          <t xml:space="preserve">
2/28/18: Guidance $22.6-22.7B</t>
        </r>
      </text>
    </comment>
    <comment ref="AY183" authorId="0">
      <text>
        <r>
          <rPr>
            <b/>
            <sz val="9"/>
            <color indexed="81"/>
            <rFont val="Tahoma"/>
            <family val="2"/>
          </rPr>
          <t>Turley, Amber (Research):</t>
        </r>
        <r>
          <rPr>
            <sz val="9"/>
            <color indexed="81"/>
            <rFont val="Tahoma"/>
            <family val="2"/>
          </rPr>
          <t xml:space="preserve">
calculated F/X impact</t>
        </r>
      </text>
    </comment>
    <comment ref="BA183" authorId="0">
      <text>
        <r>
          <rPr>
            <b/>
            <sz val="9"/>
            <color indexed="81"/>
            <rFont val="Tahoma"/>
            <family val="2"/>
          </rPr>
          <t>Turley, Amber (Research):</t>
        </r>
        <r>
          <rPr>
            <sz val="9"/>
            <color indexed="81"/>
            <rFont val="Tahoma"/>
            <family val="2"/>
          </rPr>
          <t xml:space="preserve">
this info is provided per TJX</t>
        </r>
      </text>
    </comment>
    <comment ref="BC183" authorId="0">
      <text>
        <r>
          <rPr>
            <b/>
            <sz val="9"/>
            <color indexed="81"/>
            <rFont val="Tahoma"/>
            <family val="2"/>
          </rPr>
          <t>Turley, Amber (Research):</t>
        </r>
        <r>
          <rPr>
            <sz val="9"/>
            <color indexed="81"/>
            <rFont val="Tahoma"/>
            <family val="2"/>
          </rPr>
          <t xml:space="preserve">
estimated F/X impact (we use actual info as available per TJX and when not provided we use our estimates)</t>
        </r>
      </text>
    </comment>
    <comment ref="B228" authorId="11">
      <text>
        <r>
          <rPr>
            <sz val="8"/>
            <color indexed="81"/>
            <rFont val="Tahoma"/>
            <family val="2"/>
          </rPr>
          <t>includes homesense</t>
        </r>
      </text>
    </comment>
    <comment ref="B235" authorId="11">
      <text>
        <r>
          <rPr>
            <b/>
            <sz val="8"/>
            <color indexed="81"/>
            <rFont val="Tahoma"/>
            <family val="2"/>
          </rPr>
          <t>Lehman Brothers:</t>
        </r>
        <r>
          <rPr>
            <sz val="8"/>
            <color indexed="81"/>
            <rFont val="Tahoma"/>
            <family val="2"/>
          </rPr>
          <t xml:space="preserve">
includes homesense</t>
        </r>
      </text>
    </comment>
    <comment ref="F244" authorId="1">
      <text>
        <r>
          <rPr>
            <sz val="8"/>
            <color indexed="81"/>
            <rFont val="Tahoma"/>
            <family val="2"/>
          </rPr>
          <t>6/4/03 guided to +5% on 1Q ccall</t>
        </r>
      </text>
    </comment>
    <comment ref="F245" authorId="1">
      <text>
        <r>
          <rPr>
            <sz val="8"/>
            <color indexed="81"/>
            <rFont val="Tahoma"/>
            <family val="2"/>
          </rPr>
          <t xml:space="preserve">
9/24 had +6, lowered due to below plan Aug
Raised to +6 from +3 with above plan Spet</t>
        </r>
      </text>
    </comment>
    <comment ref="P245" authorId="1">
      <text>
        <r>
          <rPr>
            <sz val="8"/>
            <color indexed="81"/>
            <rFont val="Tahoma"/>
            <family val="2"/>
          </rPr>
          <t>76 using us currency comp</t>
        </r>
      </text>
    </comment>
    <comment ref="F246" authorId="1">
      <text>
        <r>
          <rPr>
            <sz val="8"/>
            <color indexed="81"/>
            <rFont val="Tahoma"/>
            <family val="2"/>
          </rPr>
          <t>11/12 guided for +7</t>
        </r>
      </text>
    </comment>
    <comment ref="F247" authorId="1">
      <text>
        <r>
          <rPr>
            <sz val="8"/>
            <color indexed="81"/>
            <rFont val="Tahoma"/>
            <family val="2"/>
          </rPr>
          <t>mgmt guidance - +5%</t>
        </r>
      </text>
    </comment>
    <comment ref="F252" authorId="12">
      <text>
        <r>
          <rPr>
            <b/>
            <sz val="8"/>
            <color indexed="81"/>
            <rFont val="Tahoma"/>
            <family val="2"/>
          </rPr>
          <t>MS:</t>
        </r>
        <r>
          <rPr>
            <sz val="8"/>
            <color indexed="81"/>
            <rFont val="Tahoma"/>
            <family val="2"/>
          </rPr>
          <t xml:space="preserve">
8/17 guided for +5-6%</t>
        </r>
      </text>
    </comment>
    <comment ref="F253" authorId="13">
      <text>
        <r>
          <rPr>
            <b/>
            <sz val="8"/>
            <color indexed="81"/>
            <rFont val="Tahoma"/>
            <family val="2"/>
          </rPr>
          <t>SB:</t>
        </r>
        <r>
          <rPr>
            <sz val="8"/>
            <color indexed="81"/>
            <rFont val="Tahoma"/>
            <family val="2"/>
          </rPr>
          <t xml:space="preserve">
11/16 guided for +6% comp</t>
        </r>
      </text>
    </comment>
    <comment ref="F257" authorId="2">
      <text>
        <r>
          <rPr>
            <b/>
            <sz val="8"/>
            <color indexed="81"/>
            <rFont val="Tahoma"/>
            <family val="2"/>
          </rPr>
          <t>Morry Brown:</t>
        </r>
        <r>
          <rPr>
            <sz val="8"/>
            <color indexed="81"/>
            <rFont val="Tahoma"/>
            <family val="2"/>
          </rPr>
          <t xml:space="preserve">
+3.5</t>
        </r>
      </text>
    </comment>
    <comment ref="F258" authorId="2">
      <text>
        <r>
          <rPr>
            <b/>
            <sz val="8"/>
            <color indexed="81"/>
            <rFont val="Tahoma"/>
            <family val="2"/>
          </rPr>
          <t>Morry Brown:</t>
        </r>
        <r>
          <rPr>
            <sz val="8"/>
            <color indexed="81"/>
            <rFont val="Tahoma"/>
            <family val="2"/>
          </rPr>
          <t xml:space="preserve">
+3.5</t>
        </r>
      </text>
    </comment>
    <comment ref="P259" authorId="2">
      <text>
        <r>
          <rPr>
            <b/>
            <sz val="8"/>
            <color indexed="81"/>
            <rFont val="Tahoma"/>
            <family val="2"/>
          </rPr>
          <t>Morry Brown:</t>
        </r>
        <r>
          <rPr>
            <sz val="8"/>
            <color indexed="81"/>
            <rFont val="Tahoma"/>
            <family val="2"/>
          </rPr>
          <t xml:space="preserve">
2/23 in order to get to revenue guidance of 415-420</t>
        </r>
      </text>
    </comment>
    <comment ref="F260" authorId="2">
      <text>
        <r>
          <rPr>
            <b/>
            <sz val="8"/>
            <color indexed="81"/>
            <rFont val="Tahoma"/>
            <family val="2"/>
          </rPr>
          <t>Morry Brown:</t>
        </r>
        <r>
          <rPr>
            <sz val="8"/>
            <color indexed="81"/>
            <rFont val="Tahoma"/>
            <family val="2"/>
          </rPr>
          <t xml:space="preserve">
11/15 guided to +2-4%</t>
        </r>
      </text>
    </comment>
    <comment ref="P260" authorId="2">
      <text>
        <r>
          <rPr>
            <b/>
            <sz val="8"/>
            <color indexed="81"/>
            <rFont val="Tahoma"/>
            <family val="2"/>
          </rPr>
          <t>Morry Brown:</t>
        </r>
        <r>
          <rPr>
            <sz val="8"/>
            <color indexed="81"/>
            <rFont val="Tahoma"/>
            <family val="2"/>
          </rPr>
          <t xml:space="preserve">
2/23 in order to get to revenue guidance of 421-425</t>
        </r>
      </text>
    </comment>
    <comment ref="F275" authorId="3">
      <text>
        <r>
          <rPr>
            <b/>
            <sz val="8"/>
            <color indexed="81"/>
            <rFont val="Tahoma"/>
            <family val="2"/>
          </rPr>
          <t>mm98285:</t>
        </r>
        <r>
          <rPr>
            <sz val="8"/>
            <color indexed="81"/>
            <rFont val="Tahoma"/>
            <family val="2"/>
          </rPr>
          <t xml:space="preserve">
2/07: guided to 3%</t>
        </r>
      </text>
    </comment>
    <comment ref="S275" authorId="3">
      <text>
        <r>
          <rPr>
            <b/>
            <sz val="8"/>
            <color indexed="81"/>
            <rFont val="Tahoma"/>
            <family val="2"/>
          </rPr>
          <t>mm98285:</t>
        </r>
        <r>
          <rPr>
            <sz val="8"/>
            <color indexed="81"/>
            <rFont val="Tahoma"/>
            <family val="2"/>
          </rPr>
          <t xml:space="preserve">
2/07: guided to $1.8bn</t>
        </r>
      </text>
    </comment>
    <comment ref="S281" authorId="3">
      <text>
        <r>
          <rPr>
            <b/>
            <sz val="8"/>
            <color indexed="81"/>
            <rFont val="Tahoma"/>
            <family val="2"/>
          </rPr>
          <t>mm98285:</t>
        </r>
        <r>
          <rPr>
            <sz val="8"/>
            <color indexed="81"/>
            <rFont val="Tahoma"/>
            <family val="2"/>
          </rPr>
          <t xml:space="preserve">
12/08: assume ~$30mm benefit to 4Q from extra week and 20% hit from F/X</t>
        </r>
      </text>
    </comment>
    <comment ref="F282" authorId="3">
      <text>
        <r>
          <rPr>
            <b/>
            <sz val="8"/>
            <color indexed="81"/>
            <rFont val="Tahoma"/>
            <family val="2"/>
          </rPr>
          <t>mm98285:</t>
        </r>
        <r>
          <rPr>
            <sz val="8"/>
            <color indexed="81"/>
            <rFont val="Tahoma"/>
            <family val="2"/>
          </rPr>
          <t xml:space="preserve">
2/08: expect 2-3% comp</t>
        </r>
      </text>
    </comment>
    <comment ref="S282" authorId="3">
      <text>
        <r>
          <rPr>
            <b/>
            <sz val="8"/>
            <color indexed="81"/>
            <rFont val="Tahoma"/>
            <family val="2"/>
          </rPr>
          <t>mm98285:</t>
        </r>
        <r>
          <rPr>
            <sz val="8"/>
            <color indexed="81"/>
            <rFont val="Tahoma"/>
            <family val="2"/>
          </rPr>
          <t xml:space="preserve">
2/08: expect $2.3b</t>
        </r>
      </text>
    </comment>
    <comment ref="BA282" authorId="0">
      <text>
        <r>
          <rPr>
            <b/>
            <sz val="9"/>
            <color indexed="81"/>
            <rFont val="Tahoma"/>
            <family val="2"/>
          </rPr>
          <t>Turley, Amber (Research):</t>
        </r>
        <r>
          <rPr>
            <sz val="9"/>
            <color indexed="81"/>
            <rFont val="Tahoma"/>
            <family val="2"/>
          </rPr>
          <t xml:space="preserve">
Currency exchange translation reduced fiscal 2009 sales by approximately $68 million</t>
        </r>
      </text>
    </comment>
    <comment ref="BI282" authorId="0">
      <text>
        <r>
          <rPr>
            <b/>
            <sz val="9"/>
            <color indexed="81"/>
            <rFont val="Tahoma"/>
            <family val="2"/>
          </rPr>
          <t>Turley, Amber (Research):</t>
        </r>
        <r>
          <rPr>
            <sz val="9"/>
            <color indexed="81"/>
            <rFont val="Tahoma"/>
            <family val="2"/>
          </rPr>
          <t xml:space="preserve">
Currency exchange translation reduced segment profit by $11 million for fiscal 2009, as compared to fiscal 2008. However, because currency translation impacts both sales and expenses, it has little or no impact on segment margin. In addition, the mark-to-market adjustment of inventory related hedges reduced segment profit in fiscal 2009 by $1 million, in contrast to a $5 million benefit in fiscal 2008, which adversely impacted segment margin comparisons by 0.3 percentage points. Segment margin for fiscal 2009 reflected increases in distribution center costs and store payroll costs as a percentage of net sales, partially offset by an increase in merchandise margins.</t>
        </r>
      </text>
    </comment>
    <comment ref="D285" authorId="3">
      <text>
        <r>
          <rPr>
            <b/>
            <sz val="8"/>
            <color indexed="81"/>
            <rFont val="Tahoma"/>
            <family val="2"/>
          </rPr>
          <t>mm98285:</t>
        </r>
        <r>
          <rPr>
            <sz val="8"/>
            <color indexed="81"/>
            <rFont val="Tahoma"/>
            <family val="2"/>
          </rPr>
          <t xml:space="preserve">
5/09: F/X had ~20% negative impact to sales
12/08: assume roughly 22% hit from F/X</t>
        </r>
      </text>
    </comment>
    <comment ref="S285" authorId="3">
      <text>
        <r>
          <rPr>
            <b/>
            <sz val="8"/>
            <color indexed="81"/>
            <rFont val="Tahoma"/>
            <family val="2"/>
          </rPr>
          <t>mm98285:</t>
        </r>
        <r>
          <rPr>
            <sz val="8"/>
            <color indexed="81"/>
            <rFont val="Tahoma"/>
            <family val="2"/>
          </rPr>
          <t xml:space="preserve">
12/08: assume roughly 22% hit from F/X</t>
        </r>
      </text>
    </comment>
    <comment ref="BA285" authorId="0">
      <text>
        <r>
          <rPr>
            <b/>
            <sz val="9"/>
            <color indexed="81"/>
            <rFont val="Tahoma"/>
            <family val="2"/>
          </rPr>
          <t>Turley, Amber (Research):</t>
        </r>
        <r>
          <rPr>
            <sz val="9"/>
            <color indexed="81"/>
            <rFont val="Tahoma"/>
            <family val="2"/>
          </rPr>
          <t xml:space="preserve">
Currency exchange translation reduced first quarter sales by approximately $100 million</t>
        </r>
      </text>
    </comment>
    <comment ref="BI285" authorId="0">
      <text>
        <r>
          <rPr>
            <b/>
            <sz val="9"/>
            <color indexed="81"/>
            <rFont val="Tahoma"/>
            <family val="2"/>
          </rPr>
          <t>Turley, Amber (Research):</t>
        </r>
        <r>
          <rPr>
            <sz val="9"/>
            <color indexed="81"/>
            <rFont val="Tahoma"/>
            <family val="2"/>
          </rPr>
          <t xml:space="preserve">
Segment profit for the first quarter ended May 2, 2009 decreased by $21 million ($18 million due to foreign currency translation and the mark-to-market adjustment on inventory related hedges), and segment margin decreased from 8.4%
21
--------------------------------------------------------------------------------
Table of Contents
last year to 4.7% in this year’s first quarter. Currency exchange translation reduced segment profit by $8 million for the first quarter of fiscal 2010 compared to the prior year; however, because currency translation impacts both sales and expenses, it had little or no impact on segment margin. In addition, the mark-to-market adjustment on inventory related hedges reduced segment profit in fiscal 2010 by $14 million compared to a reduction of $5 million in the same period last year and reduced segment margin by 2.5 percentage points. Segment margin for the first quarter of fiscal 2010 also reflected a reduction in merchandise margin due to higher cost for merchandise purchases denominated in U.S. dollars as a result of the weaker Canadian dollar.</t>
        </r>
      </text>
    </comment>
    <comment ref="D286" authorId="3">
      <text>
        <r>
          <rPr>
            <b/>
            <sz val="8"/>
            <color indexed="81"/>
            <rFont val="Tahoma"/>
            <family val="2"/>
          </rPr>
          <t>mm98285:</t>
        </r>
        <r>
          <rPr>
            <sz val="8"/>
            <color indexed="81"/>
            <rFont val="Tahoma"/>
            <family val="2"/>
          </rPr>
          <t xml:space="preserve">
8/09: assume ~12%
12/08: assume roughly 22% hit from F/X</t>
        </r>
      </text>
    </comment>
    <comment ref="S286" authorId="3">
      <text>
        <r>
          <rPr>
            <b/>
            <sz val="8"/>
            <color indexed="81"/>
            <rFont val="Tahoma"/>
            <family val="2"/>
          </rPr>
          <t>mm98285:</t>
        </r>
        <r>
          <rPr>
            <sz val="8"/>
            <color indexed="81"/>
            <rFont val="Tahoma"/>
            <family val="2"/>
          </rPr>
          <t xml:space="preserve">
12/08: assume roughly 22% hit from F/X</t>
        </r>
      </text>
    </comment>
    <comment ref="BA286" authorId="0">
      <text>
        <r>
          <rPr>
            <b/>
            <sz val="9"/>
            <color indexed="81"/>
            <rFont val="Tahoma"/>
            <family val="2"/>
          </rPr>
          <t>Turley, Amber (Research):</t>
        </r>
        <r>
          <rPr>
            <sz val="9"/>
            <color indexed="81"/>
            <rFont val="Tahoma"/>
            <family val="2"/>
          </rPr>
          <t xml:space="preserve">
The decrease was entirely due to foreign currency translation, which reduced second quarter sales by approximately $60 million and reduced six-month sales by approximately $160 million. </t>
        </r>
      </text>
    </comment>
    <comment ref="BI286" authorId="0">
      <text>
        <r>
          <rPr>
            <b/>
            <sz val="9"/>
            <color indexed="81"/>
            <rFont val="Tahoma"/>
            <family val="2"/>
          </rPr>
          <t>Turley, Amber (Research):</t>
        </r>
        <r>
          <rPr>
            <sz val="9"/>
            <color indexed="81"/>
            <rFont val="Tahoma"/>
            <family val="2"/>
          </rPr>
          <t xml:space="preserve">
The reduction was primarily due to foreign currency translation and the mark-to-market adjustment on inventory-related hedges. Segment margin decreased 1.5 percentage points to 9.7% for this year’s second quarter and decreased 2.5 percentage points to 7.4% for the six-month period ended August 1, 2009. Currency exchange translation reduced segment profit by $7 million for the second quarter and $15 million for the six-month period of fiscal 2010 compared to the same periods in the prior year; however, because currency translation generally impacts both sales and expenses, it had little or no impact on segment margin. In addition, the mark-to-market adjustment on inventory-related hedges negatively impacted segment profit comparisons in the second quarter of fiscal 2010 by $6 million and segment margin by 1.2 percentage points. For the six months ended August 1, 2009 the mark-to-market adjustment on inventory-related hedges negatively impacted segment profit comparisons by $16 million and segment margin by 1.8 percentage points. Segment margin for the both the second quarter and six-month period of fiscal 2010 also reflected a reduction in merchandise margin due to higher cost for merchandise purchases denominated in U.S. dollars as a result of the weaker Canadian dollar.</t>
        </r>
      </text>
    </comment>
    <comment ref="D287" authorId="3">
      <text>
        <r>
          <rPr>
            <b/>
            <sz val="8"/>
            <color indexed="81"/>
            <rFont val="Tahoma"/>
            <family val="2"/>
          </rPr>
          <t>mm98285:</t>
        </r>
        <r>
          <rPr>
            <sz val="8"/>
            <color indexed="81"/>
            <rFont val="Tahoma"/>
            <family val="2"/>
          </rPr>
          <t xml:space="preserve">
12/08: assume roughly 10% hit from F/X</t>
        </r>
      </text>
    </comment>
    <comment ref="BA287" authorId="0">
      <text>
        <r>
          <rPr>
            <b/>
            <sz val="9"/>
            <color indexed="81"/>
            <rFont val="Tahoma"/>
            <family val="2"/>
          </rPr>
          <t>Turley, Amber (Research):</t>
        </r>
        <r>
          <rPr>
            <sz val="9"/>
            <color indexed="81"/>
            <rFont val="Tahoma"/>
            <family val="2"/>
          </rPr>
          <t xml:space="preserve">
. The decrease was primarily due to foreign currency translation, which reduced nine-month sales by approximately $155 million. </t>
        </r>
      </text>
    </comment>
    <comment ref="BI287" authorId="0">
      <text>
        <r>
          <rPr>
            <b/>
            <sz val="9"/>
            <color indexed="81"/>
            <rFont val="Tahoma"/>
            <family val="2"/>
          </rPr>
          <t>Turley, Amber (Research):</t>
        </r>
        <r>
          <rPr>
            <sz val="9"/>
            <color indexed="81"/>
            <rFont val="Tahoma"/>
            <family val="2"/>
          </rPr>
          <t xml:space="preserve">
The impact of foreign currency translation was immaterial to segment profit for the third quarter but decreased segment profit by $15 million for the nine-month period of fiscal 2010 compared to the same periods in the prior year. Since currency translation generally impacts both sales and expenses, it had little or no impact on segment margin. Segment margin decreased 0.5 percentage points to 18.5% for this year’s third quarter and decreased 1.4 percentage points to 11.8% for the nine-month period ended October 31, 2009. The foreign currency impact of the mark-to-market adjustment on inventory-related hedges had a significant impact on segment profit and segment margin comparisons in both periods. The mark-to-market adjustment on inventory related hedges increased segment profit in the fiscal 2010 third quarter by $19 million compared to an increase of $28 million in last year’s third quarter. This differential resulted in a reduction in third quarter segment margin comparisons of 1.9 percentage points, more than offsetting improved merchandise margins in the fiscal 2010 third quarter. For the fiscal 2010 nine-month period, the mark-to-market adjustment on inventory-related hedges reduced segment profit by $1 million, compared to an increase of $24 million in last year’s nine-month period. This differential of $25 million reduced segment margin comparisons on a year-to-date basis by 1.6 percentage points. In addition for both the quarter and nine-month period of fiscal 2010, segment margin was unfavorably impacted by higher accruals for performance-based benefit and incentive plans.</t>
        </r>
      </text>
    </comment>
    <comment ref="S288" authorId="3">
      <text>
        <r>
          <rPr>
            <b/>
            <sz val="8"/>
            <color indexed="81"/>
            <rFont val="Tahoma"/>
            <family val="2"/>
          </rPr>
          <t>mm98285:</t>
        </r>
        <r>
          <rPr>
            <sz val="8"/>
            <color indexed="81"/>
            <rFont val="Tahoma"/>
            <family val="2"/>
          </rPr>
          <t xml:space="preserve">
12/08: back out extra $30mm in 4Q08 to get 4Q09 growth</t>
        </r>
      </text>
    </comment>
    <comment ref="BA289" authorId="0">
      <text>
        <r>
          <rPr>
            <b/>
            <sz val="9"/>
            <color indexed="81"/>
            <rFont val="Tahoma"/>
            <family val="2"/>
          </rPr>
          <t>Turley, Amber (Research):</t>
        </r>
        <r>
          <rPr>
            <sz val="9"/>
            <color indexed="81"/>
            <rFont val="Tahoma"/>
            <family val="2"/>
          </rPr>
          <t xml:space="preserve">
Currency exchange translation reduced fiscal 2010 sales by approximately $62 million, or 3%, as compared to fiscal 2009. </t>
        </r>
      </text>
    </comment>
    <comment ref="BI289" authorId="0">
      <text>
        <r>
          <rPr>
            <b/>
            <sz val="9"/>
            <color indexed="81"/>
            <rFont val="Tahoma"/>
            <family val="2"/>
          </rPr>
          <t>Turley, Amber (Research):</t>
        </r>
        <r>
          <rPr>
            <sz val="9"/>
            <color indexed="81"/>
            <rFont val="Tahoma"/>
            <family val="2"/>
          </rPr>
          <t xml:space="preserve">
The impact of foreign currency translation decreased segment profit by $4 million, or 2%, in fiscal 2010 compared to fiscal 2009. The mark-to-market adjustment on inventory related hedges did not have a material impact on segment profit in fiscal 2010 compared to fiscal 2009. Segment margin increased 0.8 percentage points to 11.8% in fiscal 2010, compared to 11.0% in fiscal 2009, which was primarily due to an improvement in merchandise margins. Improvements in store payroll and distribution costs as a percentage of net sales in fiscal 2010 due to operating efficiencies were offset by higher accruals for performance-based incentive compensation as a result of operating performance well ahead of objectives.</t>
        </r>
      </text>
    </comment>
    <comment ref="BA292" authorId="0">
      <text>
        <r>
          <rPr>
            <b/>
            <sz val="9"/>
            <color indexed="81"/>
            <rFont val="Tahoma"/>
            <family val="2"/>
          </rPr>
          <t>Turley, Amber (Research):</t>
        </r>
        <r>
          <rPr>
            <sz val="9"/>
            <color indexed="81"/>
            <rFont val="Tahoma"/>
            <family val="2"/>
          </rPr>
          <t xml:space="preserve">
Net sales for TJX Canada (which includes Winners and HomeSense) increased 31% for the first quarter ended May 1, 2010 compared to the same period last year. Currency exchange translation benefited first quarter sales growth by approximately 23 percentage points, as compared to the same period last year. Same store sales were up 6% for the first quarter of fiscal 2011 compared to being flat in the prior year.</t>
        </r>
      </text>
    </comment>
    <comment ref="BI292" authorId="0">
      <text>
        <r>
          <rPr>
            <b/>
            <sz val="9"/>
            <color indexed="81"/>
            <rFont val="Tahoma"/>
            <family val="2"/>
          </rPr>
          <t>Turley, Amber (Research):</t>
        </r>
        <r>
          <rPr>
            <sz val="9"/>
            <color indexed="81"/>
            <rFont val="Tahoma"/>
            <family val="2"/>
          </rPr>
          <t xml:space="preserve">
Segment profit for the first quarter ended May 1, 2010 increased to $54.4 million compared to $19.7 million for the same period last year. The impact of foreign currency translation increased segment profit by approximately $11 million in the first quarter of fiscal 2011 compared to the prior year. The mark-to-market adjustment on inventory
21
--------------------------------------------------------------------------------
Table of Contents
hedges decreased segment profit by $6 million in the first quarter of fiscal 2011 compared to a decrease of $14 million in segment profit for the fiscal 2010 first quarter. Segment margin for the fiscal 2011 first quarter increased 5.1 percentage points to 9.8% over last year’s first quarter. Of this 5.1 percentage point improvement, 2.4 percentage points were due to the favorable change in the mark-to-market adjustment of our inventory hedges, with the remainder primarily due to improved merchandise margins.</t>
        </r>
      </text>
    </comment>
    <comment ref="BI293" authorId="0">
      <text>
        <r>
          <rPr>
            <b/>
            <sz val="9"/>
            <color indexed="81"/>
            <rFont val="Tahoma"/>
            <family val="2"/>
          </rPr>
          <t>Turley, Amber (Research):</t>
        </r>
        <r>
          <rPr>
            <sz val="9"/>
            <color indexed="81"/>
            <rFont val="Tahoma"/>
            <family val="2"/>
          </rPr>
          <t xml:space="preserve">
Segment profit increased to $81.7 million for the second quarter ended July 31, 2010 and more than doubled to $136.1 million for the year-to-date period. The impact of foreign currency translation increased segment profit by $6 million in the second quarter of fiscal 2011 and $17 million in the six months ended July 31, 2010 as compared to the same periods last year. The foreign currency impact of the mark-to-market adjustment on inventory-related hedges impacted segment profit and segment margin comparisons in both periods. The mark-to-market adjustment on inventory-related hedges increased segment profit in the fiscal 2011 second quarter by $3 million compared to a decrease of $5 million in last year’s second quarter. For the fiscal 2011 six-month period, the mark-to-market adjustment on inventory-related hedges reduced segment profit by $3 million, compared to a reduction of $20 million in last year’s six-month period. The favorable change in the mark-to-market adjustment of our inventory hedges accounted for 1.6 percentage points of the increase in second quarter segment margin and 1.9 percentage points of the increase in the year-to-date segment margin. The remainder of the growth in the segment margin in both the quarter and year-to-date periods was attributable to improved merchandise margins. Merchandise margin improvement was favorably impacted by a reduction in the cost of merchandise denominated in U.S. dollars due to the change in currency rates year-over-year.</t>
        </r>
      </text>
    </comment>
    <comment ref="BI294" authorId="0">
      <text>
        <r>
          <rPr>
            <b/>
            <sz val="9"/>
            <color indexed="81"/>
            <rFont val="Tahoma"/>
            <family val="2"/>
          </rPr>
          <t>Turley, Amber (Research):</t>
        </r>
        <r>
          <rPr>
            <sz val="9"/>
            <color indexed="81"/>
            <rFont val="Tahoma"/>
            <family val="2"/>
          </rPr>
          <t xml:space="preserve">
Segment profit increased to $113.8 million for the third quarter ended October 30, 2010 and increased 38% to $249.9 million for the fiscal 2011 nine-month period. The impact of foreign currency translation increased segment profit by $5 million in the third quarter of fiscal 2011 and $20 million in the nine months ended October 30, 2010 as compared to the same periods last year. The foreign currency impact of the mark-to-market adjustment on inventory-related hedges impacted segment profit and segment margin comparisons in both periods. The mark-to-market adjustment on inventory-related hedges reduced segment profit in the fiscal 2011 third quarter by $2 million compared to an increase of $19 million in last year’s third quarter. For the year-to-date fiscal 2011 period, the mark-to-market adjustment on inventory-related hedges reduced segment profit by $5 million, compared to a reduction of $1 million in last year’s nine-month period. The unfavorable change in the mark-to-market adjustment of our inventory hedges accounted for 3.3 percentage points of the decrease in third quarter segment margin. The increase in segment margin for the nine month period of fiscal 2011 was attributable to improved merchandise margin, slightly offset by the unfavorable change in the mark-to-market adjustment of our inventory-related hedges. Merchandise margin improvement was favorably impacted by a reduction in the cost of merchandise denominated in U.S. dollars due to the change in currency rates year-over-year.</t>
        </r>
      </text>
    </comment>
    <comment ref="BA296" authorId="0">
      <text>
        <r>
          <rPr>
            <b/>
            <sz val="9"/>
            <color indexed="81"/>
            <rFont val="Tahoma"/>
            <family val="2"/>
          </rPr>
          <t>Turley, Amber (Research):</t>
        </r>
        <r>
          <rPr>
            <sz val="9"/>
            <color indexed="81"/>
            <rFont val="Tahoma"/>
            <family val="2"/>
          </rPr>
          <t xml:space="preserve">
Currency translation benefitted fiscal 2011 sales growth by approximately 9 percentage points, as compared to the same period last year. </t>
        </r>
      </text>
    </comment>
    <comment ref="BI296" authorId="0">
      <text>
        <r>
          <rPr>
            <b/>
            <sz val="9"/>
            <color indexed="81"/>
            <rFont val="Tahoma"/>
            <family val="2"/>
          </rPr>
          <t>Turley, Amber (Research):</t>
        </r>
        <r>
          <rPr>
            <sz val="9"/>
            <color indexed="81"/>
            <rFont val="Tahoma"/>
            <family val="2"/>
          </rPr>
          <t xml:space="preserve">
The impact of foreign currency translation increased segment profit by $25 million in fiscal 2011 as compared to fiscal 2010. The mark-to-market adjustment on inventory-related hedges reduced segment profit in fiscal 2011 by $7 million compared to an immaterial impact in fiscal 2010. The unfavorable change in the mark-to-market adjustment of our inventory hedges reduced fiscal 2011 segment margin by 0.3 percentage points. </t>
        </r>
      </text>
    </comment>
    <comment ref="BI299" authorId="0">
      <text>
        <r>
          <rPr>
            <b/>
            <sz val="9"/>
            <color indexed="81"/>
            <rFont val="Tahoma"/>
            <family val="2"/>
          </rPr>
          <t>Turley, Amber (Research):</t>
        </r>
        <r>
          <rPr>
            <sz val="9"/>
            <color indexed="81"/>
            <rFont val="Tahoma"/>
            <family val="2"/>
          </rPr>
          <t xml:space="preserve">
Segment profit for the quarter ended April 30, 2011 decreased to $36.1 million compared to $54.4 million for the same period last year. The impact of foreign currency translation increased segment profit by approximately $3 million in the first quarter of fiscal 2012 compared to the prior year. The mark-to-market adjustment on inventory-related hedges decreased segment profit by $17 million in the first quarter of fiscal 2012 compared to a decrease of $6 million in segment profit for the fiscal 2011 first quarter. TJX Canada segment margin decreased 3.7 percentage points to 6.1% for the fiscal 2012 first quarter, compared to 9.8% for the same period last year. The unfavorable change in the mark-to-market adjustment of our inventory-related hedges reduced the segment margin for the first quarter of fiscal 2012 by 1.9 percentage points. Segment margin also reflects a decrease in merchandise margins and expense deleverage due to the decrease in same store sales.</t>
        </r>
      </text>
    </comment>
    <comment ref="BA301" authorId="0">
      <text>
        <r>
          <rPr>
            <b/>
            <sz val="9"/>
            <color indexed="81"/>
            <rFont val="Tahoma"/>
            <family val="2"/>
          </rPr>
          <t>Turley, Amber (Research):</t>
        </r>
        <r>
          <rPr>
            <sz val="9"/>
            <color indexed="81"/>
            <rFont val="Tahoma"/>
            <family val="2"/>
          </rPr>
          <t xml:space="preserve">
Foreign currency translation favorably impacted segment profit by $3 million in the third quarter of fiscal 2012.</t>
        </r>
      </text>
    </comment>
    <comment ref="F303" authorId="4">
      <text>
        <r>
          <rPr>
            <b/>
            <sz val="8"/>
            <color indexed="81"/>
            <rFont val="Tahoma"/>
            <family val="2"/>
          </rPr>
          <t>5/17/11:</t>
        </r>
        <r>
          <rPr>
            <sz val="8"/>
            <color indexed="81"/>
            <rFont val="Tahoma"/>
            <family val="2"/>
          </rPr>
          <t xml:space="preserve"> guidance exp flat comp</t>
        </r>
        <r>
          <rPr>
            <sz val="8"/>
            <color indexed="81"/>
            <rFont val="Tahoma"/>
            <family val="2"/>
          </rPr>
          <t xml:space="preserve">
</t>
        </r>
        <r>
          <rPr>
            <b/>
            <sz val="8"/>
            <color indexed="81"/>
            <rFont val="Tahoma"/>
            <family val="2"/>
          </rPr>
          <t>2/11:</t>
        </r>
        <r>
          <rPr>
            <sz val="8"/>
            <color indexed="81"/>
            <rFont val="Tahoma"/>
            <family val="2"/>
          </rPr>
          <t xml:space="preserve"> guidance exp 1-2%</t>
        </r>
      </text>
    </comment>
    <comment ref="F310" authorId="4">
      <text>
        <r>
          <rPr>
            <b/>
            <sz val="8"/>
            <color indexed="81"/>
            <rFont val="Tahoma"/>
            <family val="2"/>
          </rPr>
          <t>11/13/2012: +</t>
        </r>
        <r>
          <rPr>
            <sz val="8"/>
            <color indexed="81"/>
            <rFont val="Tahoma"/>
            <family val="2"/>
          </rPr>
          <t>4% guidance</t>
        </r>
        <r>
          <rPr>
            <b/>
            <sz val="8"/>
            <color indexed="81"/>
            <rFont val="Tahoma"/>
            <family val="2"/>
          </rPr>
          <t xml:space="preserve">
8/14/12: </t>
        </r>
        <r>
          <rPr>
            <sz val="8"/>
            <color indexed="81"/>
            <rFont val="Tahoma"/>
            <family val="2"/>
          </rPr>
          <t>TJX CAD FY +3-4%</t>
        </r>
        <r>
          <rPr>
            <b/>
            <sz val="8"/>
            <color indexed="81"/>
            <rFont val="Tahoma"/>
            <family val="2"/>
          </rPr>
          <t xml:space="preserve">
5/17/11: </t>
        </r>
        <r>
          <rPr>
            <sz val="8"/>
            <color indexed="81"/>
            <rFont val="Tahoma"/>
            <family val="2"/>
          </rPr>
          <t>Exp flat comp</t>
        </r>
        <r>
          <rPr>
            <sz val="8"/>
            <color indexed="81"/>
            <rFont val="Tahoma"/>
            <family val="2"/>
          </rPr>
          <t xml:space="preserve">
2/11: Exp 1-2%</t>
        </r>
      </text>
    </comment>
    <comment ref="BA315" authorId="0">
      <text>
        <r>
          <rPr>
            <b/>
            <sz val="9"/>
            <color indexed="81"/>
            <rFont val="Tahoma"/>
            <family val="2"/>
          </rPr>
          <t>Turley, Amber (Research):</t>
        </r>
        <r>
          <rPr>
            <sz val="9"/>
            <color indexed="81"/>
            <rFont val="Tahoma"/>
            <family val="2"/>
          </rPr>
          <t xml:space="preserve">
Currency exchange translation negatively impacted third quarter sales growth by approximately 5 percentage points and negatively impacted nine-month sales growth by approximately 3 percentage points, as compared to the respective periods last year. </t>
        </r>
      </text>
    </comment>
    <comment ref="F317" authorId="6">
      <text>
        <r>
          <rPr>
            <b/>
            <sz val="8"/>
            <color indexed="81"/>
            <rFont val="Tahoma"/>
            <family val="2"/>
          </rPr>
          <t xml:space="preserve">8/20/2013 guidance: </t>
        </r>
        <r>
          <rPr>
            <sz val="8"/>
            <color indexed="81"/>
            <rFont val="Tahoma"/>
            <family val="2"/>
          </rPr>
          <t>+0-1%</t>
        </r>
        <r>
          <rPr>
            <b/>
            <sz val="8"/>
            <color indexed="81"/>
            <rFont val="Tahoma"/>
            <family val="2"/>
          </rPr>
          <t xml:space="preserve">
5/21/2013 guidance: </t>
        </r>
        <r>
          <rPr>
            <sz val="8"/>
            <color indexed="81"/>
            <rFont val="Tahoma"/>
            <family val="2"/>
          </rPr>
          <t>+0-1%</t>
        </r>
        <r>
          <rPr>
            <b/>
            <sz val="8"/>
            <color indexed="81"/>
            <rFont val="Tahoma"/>
            <family val="2"/>
          </rPr>
          <t xml:space="preserve">
2/28/2013 Guidance: </t>
        </r>
        <r>
          <rPr>
            <sz val="8"/>
            <color indexed="81"/>
            <rFont val="Tahoma"/>
            <family val="2"/>
          </rPr>
          <t>-1/+1%</t>
        </r>
      </text>
    </comment>
    <comment ref="BA317" authorId="0">
      <text>
        <r>
          <rPr>
            <b/>
            <sz val="9"/>
            <color indexed="81"/>
            <rFont val="Tahoma"/>
            <family val="2"/>
          </rPr>
          <t>Turley, Amber (Research):</t>
        </r>
        <r>
          <rPr>
            <sz val="9"/>
            <color indexed="81"/>
            <rFont val="Tahoma"/>
            <family val="2"/>
          </rPr>
          <t xml:space="preserve">
Currency translation negatively impacted sales growth by $121 million, or 4 percentage points, in fiscal 2014, as compared to last year. On a constant currency basis, net sales for fiscal 2014 increased 2% as compared to fiscal 2013.</t>
        </r>
      </text>
    </comment>
    <comment ref="BA320" authorId="0">
      <text>
        <r>
          <rPr>
            <b/>
            <sz val="9"/>
            <color indexed="81"/>
            <rFont val="Tahoma"/>
            <family val="2"/>
          </rPr>
          <t>Turley, Amber (Research):</t>
        </r>
        <r>
          <rPr>
            <sz val="9"/>
            <color indexed="81"/>
            <rFont val="Tahoma"/>
            <family val="2"/>
          </rPr>
          <t xml:space="preserve">
Currency exchange translation negatively impacted fiscal 2015 first quarter sales by $52 million, or 8 percentage points, as compared to the same period last year. </t>
        </r>
      </text>
    </comment>
    <comment ref="F330" authorId="8">
      <text>
        <r>
          <rPr>
            <b/>
            <sz val="9"/>
            <color indexed="81"/>
            <rFont val="Tahoma"/>
            <family val="2"/>
          </rPr>
          <t>Baglione, Gregory  (Research):</t>
        </r>
        <r>
          <rPr>
            <sz val="9"/>
            <color indexed="81"/>
            <rFont val="Tahoma"/>
            <family val="2"/>
          </rPr>
          <t xml:space="preserve">
Maintaining +6.0 comp</t>
        </r>
      </text>
    </comment>
    <comment ref="F331" authorId="0">
      <text>
        <r>
          <rPr>
            <b/>
            <sz val="9"/>
            <color indexed="81"/>
            <rFont val="Tahoma"/>
            <family val="2"/>
          </rPr>
          <t>Turley, Amber (Research):</t>
        </r>
        <r>
          <rPr>
            <sz val="9"/>
            <color indexed="81"/>
            <rFont val="Tahoma"/>
            <family val="2"/>
          </rPr>
          <t xml:space="preserve">
2/25/15 guidance: 1-2% comp
8/15/15
Canada, 6% to 7% comp,
$2.8 billion in sales.</t>
        </r>
      </text>
    </comment>
    <comment ref="S331" authorId="0">
      <text>
        <r>
          <rPr>
            <b/>
            <sz val="9"/>
            <color indexed="81"/>
            <rFont val="Tahoma"/>
            <family val="2"/>
          </rPr>
          <t>Turley, Amber (Research):</t>
        </r>
        <r>
          <rPr>
            <sz val="9"/>
            <color indexed="81"/>
            <rFont val="Tahoma"/>
            <family val="2"/>
          </rPr>
          <t xml:space="preserve">
2/25/15 guidnace: $2.7B</t>
        </r>
      </text>
    </comment>
    <comment ref="P334" authorId="8">
      <text>
        <r>
          <rPr>
            <b/>
            <sz val="9"/>
            <color indexed="81"/>
            <rFont val="Tahoma"/>
            <family val="2"/>
          </rPr>
          <t>Baglione, Gregory  (Research):</t>
        </r>
        <r>
          <rPr>
            <sz val="9"/>
            <color indexed="81"/>
            <rFont val="Tahoma"/>
            <family val="2"/>
          </rPr>
          <t xml:space="preserve">
2/24/16
At prevailing rates CAD down -11% Y/Y, spread at -8-9% post expansion
</t>
        </r>
      </text>
    </comment>
    <comment ref="P335" authorId="8">
      <text>
        <r>
          <rPr>
            <b/>
            <sz val="9"/>
            <color indexed="81"/>
            <rFont val="Tahoma"/>
            <family val="2"/>
          </rPr>
          <t>Baglione, Gregory  (Research):</t>
        </r>
        <r>
          <rPr>
            <sz val="9"/>
            <color indexed="81"/>
            <rFont val="Tahoma"/>
            <family val="2"/>
          </rPr>
          <t xml:space="preserve">
2/24/16
At prevailing rates CAD down -9% Y/Y, spread at -6% post expansion
5/17/16
At Prevailing Rates
2Q -3.2%, assumes half the spread as 1Q (half the FX headwind)
3Q +2%
4Q 6.5%
</t>
        </r>
      </text>
    </comment>
    <comment ref="F336" authorId="10">
      <text>
        <r>
          <rPr>
            <b/>
            <sz val="9"/>
            <color indexed="81"/>
            <rFont val="Tahoma"/>
            <family val="2"/>
          </rPr>
          <t>Baglione, Gregory (Research):</t>
        </r>
        <r>
          <rPr>
            <sz val="9"/>
            <color indexed="81"/>
            <rFont val="Tahoma"/>
            <family val="2"/>
          </rPr>
          <t xml:space="preserve">
11/16/16
</t>
        </r>
      </text>
    </comment>
    <comment ref="P336" authorId="8">
      <text>
        <r>
          <rPr>
            <b/>
            <sz val="9"/>
            <color indexed="81"/>
            <rFont val="Tahoma"/>
            <family val="2"/>
          </rPr>
          <t>Baglione, Gregory  (Research):</t>
        </r>
        <r>
          <rPr>
            <sz val="9"/>
            <color indexed="81"/>
            <rFont val="Tahoma"/>
            <family val="2"/>
          </rPr>
          <t xml:space="preserve">
2/24/16
At prevailing rates CAD down -5% Y/Y, spread at -2-3% post expansion</t>
        </r>
      </text>
    </comment>
    <comment ref="F337" authorId="10">
      <text>
        <r>
          <rPr>
            <b/>
            <sz val="9"/>
            <color indexed="81"/>
            <rFont val="Tahoma"/>
            <family val="2"/>
          </rPr>
          <t>Baglione, Gregory (Research):</t>
        </r>
        <r>
          <rPr>
            <sz val="9"/>
            <color indexed="81"/>
            <rFont val="Tahoma"/>
            <family val="2"/>
          </rPr>
          <t xml:space="preserve">
10/25/16
Revising to +6.5% from +5%</t>
        </r>
      </text>
    </comment>
    <comment ref="F338" authorId="0">
      <text>
        <r>
          <rPr>
            <b/>
            <sz val="9"/>
            <color indexed="81"/>
            <rFont val="Tahoma"/>
            <family val="2"/>
          </rPr>
          <t xml:space="preserve">Turley, Amber (Research):
11/16/16
</t>
        </r>
        <r>
          <rPr>
            <sz val="9"/>
            <color indexed="81"/>
            <rFont val="Tahoma"/>
            <family val="2"/>
          </rPr>
          <t xml:space="preserve">At TJX Canada, we are now planning a comp increase of 8% to 9% on sales of $3.2 billion. We now expect adjusted segment profit margin excluding foreign currency to be in the range of 13.6% to 13.7%.
8/7/16
At TJX Canada, we are now planning a comp increase of 7% to 8% on sales of $3.1 billion to $3.2 billion.
5/17/16
At TJX Canada, we're now planning a comp increase of 6% on sales of $3.1 billion to $3.2 billion.
8/15/15
Canada, 6% to 7% comp,
$2.8 billion in sales.
2/25/15 guidance: 1-2% comp
</t>
        </r>
      </text>
    </comment>
    <comment ref="S338" authorId="0">
      <text>
        <r>
          <rPr>
            <b/>
            <sz val="9"/>
            <color indexed="81"/>
            <rFont val="Tahoma"/>
            <family val="2"/>
          </rPr>
          <t xml:space="preserve">Turley, Amber (Research):
11/16/16
</t>
        </r>
        <r>
          <rPr>
            <sz val="9"/>
            <color indexed="81"/>
            <rFont val="Tahoma"/>
            <family val="2"/>
          </rPr>
          <t xml:space="preserve">At TJX Canada, we are now planning a comp increase of 8% to 9% on sales of $3.2 billion. We now expect adjusted segment profit margin excluding foreign currency to be in the range of 13.6% to 13.7%.
8/7/16
At TJX Canada, we are now planning a comp increase of 7% to 8% on sales of $3.1 billion to $3.2 billion.
5/17/16
At TJX Canada, we're now planning a comp increase of 6% on sales of $3.1 billion to $3.2 billion.
8/15/15
Canada, 6% to 7% comp,
$2.8 billion in sales.
2/25/15 guidance: 1-2% comp
</t>
        </r>
      </text>
    </comment>
    <comment ref="F345" authorId="9">
      <text>
        <r>
          <rPr>
            <b/>
            <sz val="9"/>
            <color indexed="81"/>
            <rFont val="Tahoma"/>
            <family val="2"/>
          </rPr>
          <t>Roberts, Cynthia (Research):</t>
        </r>
        <r>
          <rPr>
            <sz val="9"/>
            <color indexed="81"/>
            <rFont val="Tahoma"/>
            <family val="2"/>
          </rPr>
          <t xml:space="preserve">
11/14/17: Guidance +4%
8/15/17: Guidance +3-4%
2/22/17: Guidance: +2-3%</t>
        </r>
      </text>
    </comment>
    <comment ref="S345" authorId="10">
      <text>
        <r>
          <rPr>
            <b/>
            <sz val="9"/>
            <color indexed="81"/>
            <rFont val="Tahoma"/>
            <family val="2"/>
          </rPr>
          <t xml:space="preserve">Baglione, Gregory (Research):
</t>
        </r>
        <r>
          <rPr>
            <sz val="9"/>
            <color indexed="81"/>
            <rFont val="Tahoma"/>
            <family val="2"/>
          </rPr>
          <t>11/14/17: Guidance $3.6B</t>
        </r>
        <r>
          <rPr>
            <b/>
            <sz val="9"/>
            <color indexed="81"/>
            <rFont val="Tahoma"/>
            <family val="2"/>
          </rPr>
          <t xml:space="preserve">
</t>
        </r>
        <r>
          <rPr>
            <sz val="9"/>
            <color indexed="81"/>
            <rFont val="Tahoma"/>
            <family val="2"/>
          </rPr>
          <t>8/15/17: Guidance $3.5-3.6B</t>
        </r>
        <r>
          <rPr>
            <b/>
            <sz val="9"/>
            <color indexed="81"/>
            <rFont val="Tahoma"/>
            <family val="2"/>
          </rPr>
          <t xml:space="preserve">
</t>
        </r>
        <r>
          <rPr>
            <sz val="9"/>
            <color indexed="81"/>
            <rFont val="Tahoma"/>
            <family val="2"/>
          </rPr>
          <t>5/16/17: Guidance $3.3-3.4B</t>
        </r>
        <r>
          <rPr>
            <b/>
            <sz val="9"/>
            <color indexed="81"/>
            <rFont val="Tahoma"/>
            <family val="2"/>
          </rPr>
          <t xml:space="preserve">
</t>
        </r>
        <r>
          <rPr>
            <sz val="9"/>
            <color indexed="81"/>
            <rFont val="Tahoma"/>
            <family val="2"/>
          </rPr>
          <t>2/22/17: Guidance: $3.4B-$3.5B
MS estimates 53rd week contributes 1-1.5% to total sales growth. ~475-$500M. 4.5%-5% boost to 4Q17.</t>
        </r>
      </text>
    </comment>
    <comment ref="H348" authorId="9">
      <text>
        <r>
          <rPr>
            <b/>
            <sz val="9"/>
            <color indexed="81"/>
            <rFont val="Tahoma"/>
            <family val="2"/>
          </rPr>
          <t>Roberts, Cynthia (Research):</t>
        </r>
        <r>
          <rPr>
            <sz val="9"/>
            <color indexed="81"/>
            <rFont val="Tahoma"/>
            <family val="2"/>
          </rPr>
          <t xml:space="preserve">
Assumes 1% benefit from calendar shift related to the reversal of the 53rd week; 4% underlying spread </t>
        </r>
      </text>
    </comment>
    <comment ref="H349" authorId="9">
      <text>
        <r>
          <rPr>
            <b/>
            <sz val="9"/>
            <color indexed="81"/>
            <rFont val="Tahoma"/>
            <family val="2"/>
          </rPr>
          <t>Roberts, Cynthia (Research):</t>
        </r>
        <r>
          <rPr>
            <sz val="9"/>
            <color indexed="81"/>
            <rFont val="Tahoma"/>
            <family val="2"/>
          </rPr>
          <t xml:space="preserve">
Assumes 0.5% benefit from calendar shift related to the reversal of the 53rd week; 4% underlying spread </t>
        </r>
      </text>
    </comment>
    <comment ref="H350" authorId="9">
      <text>
        <r>
          <rPr>
            <b/>
            <sz val="9"/>
            <color indexed="81"/>
            <rFont val="Tahoma"/>
            <family val="2"/>
          </rPr>
          <t xml:space="preserve">Roberts, Cynthia (Research):
</t>
        </r>
        <r>
          <rPr>
            <sz val="9"/>
            <color indexed="81"/>
            <rFont val="Tahoma"/>
            <family val="2"/>
          </rPr>
          <t xml:space="preserve">Assumes underlying +4% comp and 4% comp/total sales spread
Calendar shift loses calendar days equivalent August week 1 (~$658M) and gains calendar days equivalent to November week 1(~$605M) 
Assumes sales proportioned share of loss ~$6M
</t>
        </r>
      </text>
    </comment>
    <comment ref="H351" authorId="9">
      <text>
        <r>
          <rPr>
            <b/>
            <sz val="9"/>
            <color indexed="81"/>
            <rFont val="Tahoma"/>
            <family val="2"/>
          </rPr>
          <t xml:space="preserve">Roberts, Cynthia (Research):
</t>
        </r>
        <r>
          <rPr>
            <sz val="9"/>
            <color indexed="81"/>
            <rFont val="Tahoma"/>
            <family val="2"/>
          </rPr>
          <t>Assumes +4% comp and 4% comp/total sales spread
Reversal of 53rd week loses calendar days equivalent to November week 1 which we estimate is 6% of 4Q sales (~$605M) 
Assumes sales proportioned share of revenue loss ~$56M</t>
        </r>
      </text>
    </comment>
    <comment ref="F352" authorId="9">
      <text>
        <r>
          <rPr>
            <b/>
            <sz val="9"/>
            <color indexed="81"/>
            <rFont val="Tahoma"/>
            <family val="2"/>
          </rPr>
          <t>Roberts, Cynthia (Research):</t>
        </r>
        <r>
          <rPr>
            <sz val="9"/>
            <color indexed="81"/>
            <rFont val="Tahoma"/>
            <family val="2"/>
          </rPr>
          <t xml:space="preserve">
2/28/18: Guidance +2-3% </t>
        </r>
      </text>
    </comment>
    <comment ref="S352" authorId="9">
      <text>
        <r>
          <rPr>
            <b/>
            <sz val="9"/>
            <color indexed="81"/>
            <rFont val="Tahoma"/>
            <family val="2"/>
          </rPr>
          <t>Roberts, Cynthia (Research):</t>
        </r>
        <r>
          <rPr>
            <sz val="9"/>
            <color indexed="81"/>
            <rFont val="Tahoma"/>
            <family val="2"/>
          </rPr>
          <t xml:space="preserve">
2/28/18: Guidance$3.9-4B</t>
        </r>
      </text>
    </comment>
    <comment ref="AY362" authorId="0">
      <text>
        <r>
          <rPr>
            <b/>
            <sz val="9"/>
            <color indexed="81"/>
            <rFont val="Tahoma"/>
            <family val="2"/>
          </rPr>
          <t>Turley, Amber (Research):</t>
        </r>
        <r>
          <rPr>
            <sz val="9"/>
            <color indexed="81"/>
            <rFont val="Tahoma"/>
            <family val="2"/>
          </rPr>
          <t xml:space="preserve">
calculated F/X impact</t>
        </r>
      </text>
    </comment>
    <comment ref="BA362" authorId="0">
      <text>
        <r>
          <rPr>
            <b/>
            <sz val="9"/>
            <color indexed="81"/>
            <rFont val="Tahoma"/>
            <family val="2"/>
          </rPr>
          <t>Turley, Amber (Research):</t>
        </r>
        <r>
          <rPr>
            <sz val="9"/>
            <color indexed="81"/>
            <rFont val="Tahoma"/>
            <family val="2"/>
          </rPr>
          <t xml:space="preserve">
this info is provided per TJX</t>
        </r>
      </text>
    </comment>
    <comment ref="BC362" authorId="0">
      <text>
        <r>
          <rPr>
            <b/>
            <sz val="9"/>
            <color indexed="81"/>
            <rFont val="Tahoma"/>
            <family val="2"/>
          </rPr>
          <t>Turley, Amber (Research):</t>
        </r>
        <r>
          <rPr>
            <sz val="9"/>
            <color indexed="81"/>
            <rFont val="Tahoma"/>
            <family val="2"/>
          </rPr>
          <t xml:space="preserve">
estimated F/X impact (we use actual info as available per TJX and when not provided we use our estimates)</t>
        </r>
      </text>
    </comment>
    <comment ref="F421" authorId="1">
      <text>
        <r>
          <rPr>
            <sz val="8"/>
            <color indexed="81"/>
            <rFont val="Tahoma"/>
            <family val="2"/>
          </rPr>
          <t>6/4/03 guided to +6% on 1Q ccall</t>
        </r>
      </text>
    </comment>
    <comment ref="P421" authorId="1">
      <text>
        <r>
          <rPr>
            <sz val="8"/>
            <color indexed="81"/>
            <rFont val="Tahoma"/>
            <family val="2"/>
          </rPr>
          <t>140</t>
        </r>
      </text>
    </comment>
    <comment ref="F422" authorId="1">
      <text>
        <r>
          <rPr>
            <b/>
            <sz val="8"/>
            <color indexed="81"/>
            <rFont val="Tahoma"/>
            <family val="2"/>
          </rPr>
          <t>lehman:</t>
        </r>
        <r>
          <rPr>
            <sz val="8"/>
            <color indexed="81"/>
            <rFont val="Tahoma"/>
            <family val="2"/>
          </rPr>
          <t xml:space="preserve">
raised to +5 from +3 w/ above plan sept</t>
        </r>
      </text>
    </comment>
    <comment ref="F423" authorId="1">
      <text>
        <r>
          <rPr>
            <b/>
            <sz val="8"/>
            <color indexed="81"/>
            <rFont val="Tahoma"/>
            <family val="2"/>
          </rPr>
          <t>lehman:</t>
        </r>
        <r>
          <rPr>
            <sz val="8"/>
            <color indexed="81"/>
            <rFont val="Tahoma"/>
            <family val="2"/>
          </rPr>
          <t xml:space="preserve">
11/12 guided for +10
12/4 lowered to 7 from 9 due to Nov</t>
        </r>
      </text>
    </comment>
    <comment ref="F424" authorId="1">
      <text>
        <r>
          <rPr>
            <b/>
            <sz val="8"/>
            <color indexed="81"/>
            <rFont val="Tahoma"/>
            <family val="2"/>
          </rPr>
          <t>lehman:</t>
        </r>
        <r>
          <rPr>
            <sz val="8"/>
            <color indexed="81"/>
            <rFont val="Tahoma"/>
            <family val="2"/>
          </rPr>
          <t xml:space="preserve">
mgmt guided to +6% comp for yr on 4q02 conf call</t>
        </r>
      </text>
    </comment>
    <comment ref="F429" authorId="12">
      <text>
        <r>
          <rPr>
            <b/>
            <sz val="8"/>
            <color indexed="81"/>
            <rFont val="Tahoma"/>
            <family val="2"/>
          </rPr>
          <t>MS:</t>
        </r>
        <r>
          <rPr>
            <sz val="8"/>
            <color indexed="81"/>
            <rFont val="Tahoma"/>
            <family val="2"/>
          </rPr>
          <t xml:space="preserve">
8/17 guided for +6-7%</t>
        </r>
      </text>
    </comment>
    <comment ref="F430" authorId="13">
      <text>
        <r>
          <rPr>
            <b/>
            <sz val="8"/>
            <color indexed="81"/>
            <rFont val="Tahoma"/>
            <family val="2"/>
          </rPr>
          <t>SB:</t>
        </r>
        <r>
          <rPr>
            <sz val="8"/>
            <color indexed="81"/>
            <rFont val="Tahoma"/>
            <family val="2"/>
          </rPr>
          <t xml:space="preserve">
11/16 guided for +5% comp</t>
        </r>
      </text>
    </comment>
    <comment ref="F431" authorId="1">
      <text>
        <r>
          <rPr>
            <b/>
            <sz val="8"/>
            <color indexed="81"/>
            <rFont val="Tahoma"/>
            <family val="2"/>
          </rPr>
          <t>lehman:</t>
        </r>
        <r>
          <rPr>
            <sz val="8"/>
            <color indexed="81"/>
            <rFont val="Tahoma"/>
            <family val="2"/>
          </rPr>
          <t xml:space="preserve">
2/25 +5-6% guidance</t>
        </r>
      </text>
    </comment>
    <comment ref="F434" authorId="2">
      <text>
        <r>
          <rPr>
            <b/>
            <sz val="8"/>
            <color indexed="81"/>
            <rFont val="Tahoma"/>
            <family val="2"/>
          </rPr>
          <t>Morry Brown:</t>
        </r>
        <r>
          <rPr>
            <sz val="8"/>
            <color indexed="81"/>
            <rFont val="Tahoma"/>
            <family val="2"/>
          </rPr>
          <t xml:space="preserve">
+3</t>
        </r>
      </text>
    </comment>
    <comment ref="F437" authorId="2">
      <text>
        <r>
          <rPr>
            <b/>
            <sz val="8"/>
            <color indexed="81"/>
            <rFont val="Tahoma"/>
            <family val="2"/>
          </rPr>
          <t>Morry Brown:</t>
        </r>
        <r>
          <rPr>
            <sz val="8"/>
            <color indexed="81"/>
            <rFont val="Tahoma"/>
            <family val="2"/>
          </rPr>
          <t xml:space="preserve">
11/15 +2-4% guidance</t>
        </r>
      </text>
    </comment>
    <comment ref="F452" authorId="3">
      <text>
        <r>
          <rPr>
            <b/>
            <sz val="8"/>
            <color indexed="81"/>
            <rFont val="Tahoma"/>
            <family val="2"/>
          </rPr>
          <t>mm98285:</t>
        </r>
        <r>
          <rPr>
            <sz val="8"/>
            <color indexed="81"/>
            <rFont val="Tahoma"/>
            <family val="2"/>
          </rPr>
          <t xml:space="preserve">
2/07: guided to 4-5% comp</t>
        </r>
      </text>
    </comment>
    <comment ref="S452" authorId="3">
      <text>
        <r>
          <rPr>
            <b/>
            <sz val="8"/>
            <color indexed="81"/>
            <rFont val="Tahoma"/>
            <family val="2"/>
          </rPr>
          <t>mm98285:</t>
        </r>
        <r>
          <rPr>
            <sz val="8"/>
            <color indexed="81"/>
            <rFont val="Tahoma"/>
            <family val="2"/>
          </rPr>
          <t xml:space="preserve">
2/07: guided to $2.1bn</t>
        </r>
      </text>
    </comment>
    <comment ref="AS454" authorId="0">
      <text>
        <r>
          <rPr>
            <b/>
            <sz val="9"/>
            <color indexed="81"/>
            <rFont val="Tahoma"/>
            <family val="2"/>
          </rPr>
          <t>Turley, Amber (Research):</t>
        </r>
        <r>
          <rPr>
            <sz val="9"/>
            <color indexed="81"/>
            <rFont val="Tahoma"/>
            <family val="2"/>
          </rPr>
          <t xml:space="preserve">
Based on number of stores in UK vs. RoE</t>
        </r>
      </text>
    </comment>
    <comment ref="S458" authorId="3">
      <text>
        <r>
          <rPr>
            <b/>
            <sz val="8"/>
            <color indexed="81"/>
            <rFont val="Tahoma"/>
            <family val="2"/>
          </rPr>
          <t>mm98285:</t>
        </r>
        <r>
          <rPr>
            <sz val="8"/>
            <color indexed="81"/>
            <rFont val="Tahoma"/>
            <family val="2"/>
          </rPr>
          <t xml:space="preserve">
12/08: assume $45mm benefit from extra week offset by 20% hit from F/X</t>
        </r>
      </text>
    </comment>
    <comment ref="F459" authorId="3">
      <text>
        <r>
          <rPr>
            <b/>
            <sz val="8"/>
            <color indexed="81"/>
            <rFont val="Tahoma"/>
            <family val="2"/>
          </rPr>
          <t>mm98285:</t>
        </r>
        <r>
          <rPr>
            <sz val="8"/>
            <color indexed="81"/>
            <rFont val="Tahoma"/>
            <family val="2"/>
          </rPr>
          <t xml:space="preserve">
2/08: expect 3-4% comp</t>
        </r>
      </text>
    </comment>
    <comment ref="S459" authorId="3">
      <text>
        <r>
          <rPr>
            <b/>
            <sz val="8"/>
            <color indexed="81"/>
            <rFont val="Tahoma"/>
            <family val="2"/>
          </rPr>
          <t>mm98285:</t>
        </r>
        <r>
          <rPr>
            <sz val="8"/>
            <color indexed="81"/>
            <rFont val="Tahoma"/>
            <family val="2"/>
          </rPr>
          <t xml:space="preserve">
2/08: expect $2.5b</t>
        </r>
      </text>
    </comment>
    <comment ref="BA459" authorId="0">
      <text>
        <r>
          <rPr>
            <b/>
            <sz val="9"/>
            <color indexed="81"/>
            <rFont val="Tahoma"/>
            <family val="2"/>
          </rPr>
          <t>Turley, Amber (Research):</t>
        </r>
        <r>
          <rPr>
            <sz val="9"/>
            <color indexed="81"/>
            <rFont val="Tahoma"/>
            <family val="2"/>
          </rPr>
          <t xml:space="preserve">
Currency exchange rate translation negatively affected fiscal 2009 net sales by approximately $282 million.</t>
        </r>
      </text>
    </comment>
    <comment ref="BI459" authorId="0">
      <text>
        <r>
          <rPr>
            <b/>
            <sz val="9"/>
            <color indexed="81"/>
            <rFont val="Tahoma"/>
            <family val="2"/>
          </rPr>
          <t>Turley, Amber (Research):</t>
        </r>
        <r>
          <rPr>
            <sz val="9"/>
            <color indexed="81"/>
            <rFont val="Tahoma"/>
            <family val="2"/>
          </rPr>
          <t xml:space="preserve">
Currency exchange rate translation negatively affected segment profit by approximately $26 million in fiscal 2009 as compared to fiscal 2008. The increase in segment margin in fiscal 2009 reflected improved merchandise margins, partially offset by an increase in occupancy costs as a percentage of sales and the cost of operations in Germany. During fiscal 2009, T.K. Maxx added 4 more stores in Germany, following the opening of its first 5 stores in Germany in fiscal 2008. In fiscal 2009, T.K. Maxx also introduced the HomeSense concept into the U.K. with 7 new stores.</t>
        </r>
      </text>
    </comment>
    <comment ref="AS461" authorId="0">
      <text>
        <r>
          <rPr>
            <b/>
            <sz val="9"/>
            <color indexed="81"/>
            <rFont val="Tahoma"/>
            <family val="2"/>
          </rPr>
          <t>Turley, Amber (Research):</t>
        </r>
        <r>
          <rPr>
            <sz val="9"/>
            <color indexed="81"/>
            <rFont val="Tahoma"/>
            <family val="2"/>
          </rPr>
          <t xml:space="preserve">
Based on number of stores in UK vs. RoE</t>
        </r>
      </text>
    </comment>
    <comment ref="D462" authorId="3">
      <text>
        <r>
          <rPr>
            <b/>
            <sz val="8"/>
            <color indexed="81"/>
            <rFont val="Tahoma"/>
            <family val="2"/>
          </rPr>
          <t>mm98285:</t>
        </r>
        <r>
          <rPr>
            <sz val="8"/>
            <color indexed="81"/>
            <rFont val="Tahoma"/>
            <family val="2"/>
          </rPr>
          <t xml:space="preserve">
5/09: F/X had ~30% impact to sales
12/08: assume roughly 22% hit from F/X</t>
        </r>
      </text>
    </comment>
    <comment ref="BA462" authorId="0">
      <text>
        <r>
          <rPr>
            <b/>
            <sz val="9"/>
            <color indexed="81"/>
            <rFont val="Tahoma"/>
            <family val="2"/>
          </rPr>
          <t>Turley, Amber (Research):</t>
        </r>
        <r>
          <rPr>
            <sz val="9"/>
            <color indexed="81"/>
            <rFont val="Tahoma"/>
            <family val="2"/>
          </rPr>
          <t xml:space="preserve">
currency exchange translation negatively affecting fiscal 2010 sales by approximately $151 million</t>
        </r>
      </text>
    </comment>
    <comment ref="BI462" authorId="0">
      <text>
        <r>
          <rPr>
            <b/>
            <sz val="9"/>
            <color indexed="81"/>
            <rFont val="Tahoma"/>
            <family val="2"/>
          </rPr>
          <t>Turley, Amber (Research):</t>
        </r>
        <r>
          <rPr>
            <sz val="9"/>
            <color indexed="81"/>
            <rFont val="Tahoma"/>
            <family val="2"/>
          </rPr>
          <t xml:space="preserve">
Currency exchange translation negatively affected segment profit by approximately $5 million in the first quarter of fiscal 2010 compared to a year earlier. The increase in segment margin reflected improved merchandise margins, as well as expense leverage in occupancy costs and distribution center costs, partially offset by expansion costs for European development. T.K. Maxx anticipates opening three stores in Poland during the second half of fiscal 2010 and has planned an additional 5 store openings for Germany, bringing the total planned new stores in Europe (including the U.K. and Ireland) for fiscal 2010 to 35.</t>
        </r>
      </text>
    </comment>
    <comment ref="D463" authorId="3">
      <text>
        <r>
          <rPr>
            <b/>
            <sz val="8"/>
            <color indexed="81"/>
            <rFont val="Tahoma"/>
            <family val="2"/>
          </rPr>
          <t>mm98285:</t>
        </r>
        <r>
          <rPr>
            <sz val="8"/>
            <color indexed="81"/>
            <rFont val="Tahoma"/>
            <family val="2"/>
          </rPr>
          <t xml:space="preserve">
12/08: assume roughly 22% hit from F/X</t>
        </r>
      </text>
    </comment>
    <comment ref="BA463" authorId="0">
      <text>
        <r>
          <rPr>
            <b/>
            <sz val="9"/>
            <color indexed="81"/>
            <rFont val="Tahoma"/>
            <family val="2"/>
          </rPr>
          <t>Turley, Amber (Research):</t>
        </r>
        <r>
          <rPr>
            <sz val="9"/>
            <color indexed="81"/>
            <rFont val="Tahoma"/>
            <family val="2"/>
          </rPr>
          <t xml:space="preserve">
Currency exchange translation negatively impacted the fiscal 2010 results. European net sales were reduced by $112 million and $263 million for the second quarter and six-month periods of fiscal 2010, respectively, due to currency exchange translation. </t>
        </r>
      </text>
    </comment>
    <comment ref="BI463" authorId="0">
      <text>
        <r>
          <rPr>
            <b/>
            <sz val="9"/>
            <color indexed="81"/>
            <rFont val="Tahoma"/>
            <family val="2"/>
          </rPr>
          <t>Turley, Amber (Research):</t>
        </r>
        <r>
          <rPr>
            <sz val="9"/>
            <color indexed="81"/>
            <rFont val="Tahoma"/>
            <family val="2"/>
          </rPr>
          <t xml:space="preserve">
Currency exchange translation negatively affected segment profit by approximately $6 million in the second quarter of fiscal 2010 and $11 million for the six-month period compared to prior year. The mark-to-market adjustment for inventory-related hedges had virtually no impact on fiscal 2010 segment profit and segment margin comparisons. The increases in segment margin reflected improved merchandise margins, as well as expense leverage in occupancy costs and distribution center costs, partially offset by expansion costs for European development.</t>
        </r>
      </text>
    </comment>
    <comment ref="D464" authorId="3">
      <text>
        <r>
          <rPr>
            <b/>
            <sz val="8"/>
            <color indexed="81"/>
            <rFont val="Tahoma"/>
            <family val="2"/>
          </rPr>
          <t>mm98285:</t>
        </r>
        <r>
          <rPr>
            <sz val="8"/>
            <color indexed="81"/>
            <rFont val="Tahoma"/>
            <family val="2"/>
          </rPr>
          <t xml:space="preserve">
12/08: assume roughly 10% hit from F/X</t>
        </r>
      </text>
    </comment>
    <comment ref="BA464" authorId="0">
      <text>
        <r>
          <rPr>
            <b/>
            <sz val="9"/>
            <color indexed="81"/>
            <rFont val="Tahoma"/>
            <family val="2"/>
          </rPr>
          <t>Turley, Amber (Research):</t>
        </r>
        <r>
          <rPr>
            <sz val="9"/>
            <color indexed="81"/>
            <rFont val="Tahoma"/>
            <family val="2"/>
          </rPr>
          <t xml:space="preserve">
Currency exchange translation negatively impacted the fiscal 2010 results for both periods, reducing net sales in the third quarter by $58 million and reduced net sales in the nine-month period by $320 million. </t>
        </r>
      </text>
    </comment>
    <comment ref="BI464" authorId="0">
      <text>
        <r>
          <rPr>
            <b/>
            <sz val="9"/>
            <color indexed="81"/>
            <rFont val="Tahoma"/>
            <family val="2"/>
          </rPr>
          <t>Turley, Amber (Research):</t>
        </r>
        <r>
          <rPr>
            <sz val="9"/>
            <color indexed="81"/>
            <rFont val="Tahoma"/>
            <family val="2"/>
          </rPr>
          <t xml:space="preserve">
Currency exchange translation negatively affected segment profit by approximately $5 million in the third quarter of fiscal 2010 and $14 million for the nine-month period compared to prior year. Segment margin decreased to 8.1% for the third quarter of fiscal 2010 and increased to 5.4% for the first nine months of fiscal 2010 as compared to the same periods last year. Segment margin for the fiscal 2010 third quarter reflected improved merchandise margins which were more than offset by the impact of the mark-to-market adjustment on inventory-related hedges and de-levering of expenses, primarily occupancy costs, on the 1% same store sales increase. The increases in segment margin for the nine months ended October 31, 2009 reflected improved merchandise margins, as well as expense leverage in distribution center costs, partially offset by the impact of the mark-to-market adjustment on inventory-related hedges and expansion costs for European development. In addition, like our other segments, segment margin was unfavorably impacted by higher accruals for performance-based benefit and incentive plans.</t>
        </r>
      </text>
    </comment>
    <comment ref="BA466" authorId="0">
      <text>
        <r>
          <rPr>
            <b/>
            <sz val="9"/>
            <color indexed="81"/>
            <rFont val="Tahoma"/>
            <family val="2"/>
          </rPr>
          <t>Turley, Amber (Research):</t>
        </r>
        <r>
          <rPr>
            <sz val="9"/>
            <color indexed="81"/>
            <rFont val="Tahoma"/>
            <family val="2"/>
          </rPr>
          <t xml:space="preserve">
Currency exchange rate translation reduced fiscal 2010 sales by approximately $252 million, or 11%, as compared to fiscal 2009. </t>
        </r>
      </text>
    </comment>
    <comment ref="BI466" authorId="0">
      <text>
        <r>
          <rPr>
            <b/>
            <sz val="9"/>
            <color indexed="81"/>
            <rFont val="Tahoma"/>
            <family val="2"/>
          </rPr>
          <t>Turley, Amber (Research):</t>
        </r>
        <r>
          <rPr>
            <sz val="9"/>
            <color indexed="81"/>
            <rFont val="Tahoma"/>
            <family val="2"/>
          </rPr>
          <t xml:space="preserve">
Foreign currency had an immaterial impact on fiscal 2010 segment profit, while segment profit for fiscal 2009 included a favorable mark-to-market adjustment of $10 million, primarily relating to the conversion of Euros to Pound Sterling.</t>
        </r>
      </text>
    </comment>
    <comment ref="AS468" authorId="0">
      <text>
        <r>
          <rPr>
            <b/>
            <sz val="9"/>
            <color indexed="81"/>
            <rFont val="Tahoma"/>
            <family val="2"/>
          </rPr>
          <t>Turley, Amber (Research):</t>
        </r>
        <r>
          <rPr>
            <sz val="9"/>
            <color indexed="81"/>
            <rFont val="Tahoma"/>
            <family val="2"/>
          </rPr>
          <t xml:space="preserve">
Based on number of stores in UK vs. RoE</t>
        </r>
      </text>
    </comment>
    <comment ref="BI469" authorId="0">
      <text>
        <r>
          <rPr>
            <b/>
            <sz val="9"/>
            <color indexed="81"/>
            <rFont val="Tahoma"/>
            <family val="2"/>
          </rPr>
          <t>Turley, Amber (Research):</t>
        </r>
        <r>
          <rPr>
            <sz val="9"/>
            <color indexed="81"/>
            <rFont val="Tahoma"/>
            <family val="2"/>
          </rPr>
          <t xml:space="preserve">
The impact of currency exchange rates was immaterial to segment profit in the first quarters of fiscal 2011 and fiscal 2010.</t>
        </r>
      </text>
    </comment>
    <comment ref="BA470" authorId="0">
      <text>
        <r>
          <rPr>
            <b/>
            <sz val="9"/>
            <color indexed="81"/>
            <rFont val="Tahoma"/>
            <family val="2"/>
          </rPr>
          <t>Turley, Amber (Research):</t>
        </r>
        <r>
          <rPr>
            <sz val="9"/>
            <color indexed="81"/>
            <rFont val="Tahoma"/>
            <family val="2"/>
          </rPr>
          <t xml:space="preserve">
Currency exchange rate translation negatively impacted the fiscal 2011 results for both periods, reducing net sales in the second quarter by $44 million and in the six-month period by $17 million. </t>
        </r>
      </text>
    </comment>
    <comment ref="BI470" authorId="0">
      <text>
        <r>
          <rPr>
            <b/>
            <sz val="9"/>
            <color indexed="81"/>
            <rFont val="Tahoma"/>
            <family val="2"/>
          </rPr>
          <t>Turley, Amber (Research):</t>
        </r>
        <r>
          <rPr>
            <sz val="9"/>
            <color indexed="81"/>
            <rFont val="Tahoma"/>
            <family val="2"/>
          </rPr>
          <t xml:space="preserve">
Segment profit decreased to $2.1 million for the second quarter ended July 31, 2010 and to $8.0 million for the first six months of fiscal 2011. Although unseasonable weather and economic uncertainty in the U.K. and Ireland affected sales, we believe that execution issues in the U.K. and Ireland were the primary reasons for below-plan sales. Segment profit and margin were also impacted by the expansion of T.K. Maxx in Germany and Poland and HomeSense in the U.K. We continue to be encouraged by the performance of these stores, but as newer operations, they reduce segment margin generated by the more established T.K. Maxx stores in the U.K. and Ireland. We also invested in strengthening the shared services infrastructure for our ongoing European expansion in the fiscal 2011 first quarter, which impacted segment profit for the six-month period ended July 31, 2010. Currency exchange translation had an immaterial impact on segment profit in the fiscal 2011 periods. However, the impact of the mark-to-market adjustment on inventory-related hedges decreased segment profit by $6 million in the fiscal 2011 second quarter compared to no impact last year. On a year-to-date basis the mark-to-market adjustment on inventory-related hedges decreased segment profit by $7 million this year versus a decrease of $1 million last year. The unfavorable change in the mark-to-market adjustment of our inventory hedges accounted for 1.1 percentage points of the decline in the fiscal 2011 second quarter segment margin and 0.6 percentage points of the decline in segment margin for the six-month period ended July 31, 2010. The balance of the change was primarily in merchandise margin.</t>
        </r>
      </text>
    </comment>
    <comment ref="BA471" authorId="0">
      <text>
        <r>
          <rPr>
            <b/>
            <sz val="9"/>
            <color indexed="81"/>
            <rFont val="Tahoma"/>
            <family val="2"/>
          </rPr>
          <t>Turley, Amber (Research):</t>
        </r>
        <r>
          <rPr>
            <sz val="9"/>
            <color indexed="81"/>
            <rFont val="Tahoma"/>
            <family val="2"/>
          </rPr>
          <t xml:space="preserve">
Currency translation negatively impacted the fiscal 2011 results for both periods, reducing net sales in the third quarter by $33 million and in the nine-month period by $52 million.</t>
        </r>
      </text>
    </comment>
    <comment ref="BI471" authorId="0">
      <text>
        <r>
          <rPr>
            <b/>
            <sz val="9"/>
            <color indexed="81"/>
            <rFont val="Tahoma"/>
            <family val="2"/>
          </rPr>
          <t>Turley, Amber (Research):</t>
        </r>
        <r>
          <rPr>
            <sz val="9"/>
            <color indexed="81"/>
            <rFont val="Tahoma"/>
            <family val="2"/>
          </rPr>
          <t xml:space="preserve">
Currency translation reduced segment profit in both the fiscal 2011 third quarter and nine-month periods by $1 million. The impact of the mark-to-market adjustment on inventory-related hedges increased segment profit by $3 million in the fiscal 2011 third quarter compared to a decrease of $1 million in the same period last year. For the nine months ended October 30, 2010, the mark-to-market adjustment on inventory-related hedges decreased segment profit by $4 million this year versus a decrease of $2 million last year.</t>
        </r>
      </text>
    </comment>
    <comment ref="BA473" authorId="0">
      <text>
        <r>
          <rPr>
            <b/>
            <sz val="9"/>
            <color indexed="81"/>
            <rFont val="Tahoma"/>
            <family val="2"/>
          </rPr>
          <t>Turley, Amber (Research):</t>
        </r>
        <r>
          <rPr>
            <sz val="9"/>
            <color indexed="81"/>
            <rFont val="Tahoma"/>
            <family val="2"/>
          </rPr>
          <t xml:space="preserve">
Currency translation negatively impacted the FY11 results, reducing net sales by $86M</t>
        </r>
      </text>
    </comment>
    <comment ref="BI473" authorId="0">
      <text>
        <r>
          <rPr>
            <b/>
            <sz val="9"/>
            <color indexed="81"/>
            <rFont val="Tahoma"/>
            <family val="2"/>
          </rPr>
          <t>Turley, Amber (Research):</t>
        </r>
        <r>
          <rPr>
            <sz val="9"/>
            <color indexed="81"/>
            <rFont val="Tahoma"/>
            <family val="2"/>
          </rPr>
          <t xml:space="preserve">
Foreign currency had an immaterial impact on fiscal 2010 segment profit, while segment profit for fiscal 2009 included a favorable mark-to-market adjustment of $10 million, primarily relating to the conversion of Euros to Pound Sterling.</t>
        </r>
      </text>
    </comment>
    <comment ref="AS475" authorId="0">
      <text>
        <r>
          <rPr>
            <b/>
            <sz val="9"/>
            <color indexed="81"/>
            <rFont val="Tahoma"/>
            <family val="2"/>
          </rPr>
          <t>Turley, Amber (Research):</t>
        </r>
        <r>
          <rPr>
            <sz val="9"/>
            <color indexed="81"/>
            <rFont val="Tahoma"/>
            <family val="2"/>
          </rPr>
          <t xml:space="preserve">
Based on number of stores in UK vs. RoE</t>
        </r>
      </text>
    </comment>
    <comment ref="BA476" authorId="0">
      <text>
        <r>
          <rPr>
            <b/>
            <sz val="9"/>
            <color indexed="81"/>
            <rFont val="Tahoma"/>
            <family val="2"/>
          </rPr>
          <t>Turley, Amber (Research):</t>
        </r>
        <r>
          <rPr>
            <sz val="9"/>
            <color indexed="81"/>
            <rFont val="Tahoma"/>
            <family val="2"/>
          </rPr>
          <t xml:space="preserve">
translation benefited fiscal 2012 first quarter net sales by $30 million. </t>
        </r>
      </text>
    </comment>
    <comment ref="BA477" authorId="0">
      <text>
        <r>
          <rPr>
            <b/>
            <sz val="9"/>
            <color indexed="81"/>
            <rFont val="Tahoma"/>
            <family val="2"/>
          </rPr>
          <t>Turley, Amber (Research):</t>
        </r>
        <r>
          <rPr>
            <sz val="9"/>
            <color indexed="81"/>
            <rFont val="Tahoma"/>
            <family val="2"/>
          </rPr>
          <t xml:space="preserve">
Currency translation benefited the fiscal 2012 results for both periods, increasing net sales in the second quarter by $61 million and in the six-month period by $90 million</t>
        </r>
      </text>
    </comment>
    <comment ref="BA478" authorId="0">
      <text>
        <r>
          <rPr>
            <b/>
            <sz val="9"/>
            <color indexed="81"/>
            <rFont val="Tahoma"/>
            <family val="2"/>
          </rPr>
          <t>Turley, Amber (Research):</t>
        </r>
        <r>
          <rPr>
            <sz val="9"/>
            <color indexed="81"/>
            <rFont val="Tahoma"/>
            <family val="2"/>
          </rPr>
          <t xml:space="preserve">
Foreign currency translation benefited third quarter sales growth by approximately 2 percentage points and benefited nine-month sales growth by approximately 6 percentage points, as compared to the same periods last year</t>
        </r>
      </text>
    </comment>
    <comment ref="F480" authorId="4">
      <text>
        <r>
          <rPr>
            <b/>
            <sz val="8"/>
            <color indexed="81"/>
            <rFont val="Tahoma"/>
            <family val="2"/>
          </rPr>
          <t xml:space="preserve">5/17/11: </t>
        </r>
        <r>
          <rPr>
            <sz val="8"/>
            <color indexed="81"/>
            <rFont val="Tahoma"/>
            <family val="2"/>
          </rPr>
          <t>guidance</t>
        </r>
        <r>
          <rPr>
            <b/>
            <sz val="8"/>
            <color indexed="81"/>
            <rFont val="Tahoma"/>
            <family val="2"/>
          </rPr>
          <t xml:space="preserve"> e</t>
        </r>
        <r>
          <rPr>
            <sz val="8"/>
            <color indexed="81"/>
            <rFont val="Tahoma"/>
            <family val="2"/>
          </rPr>
          <t>xpect Flat - 2% comp</t>
        </r>
        <r>
          <rPr>
            <sz val="8"/>
            <color indexed="81"/>
            <rFont val="Tahoma"/>
            <family val="2"/>
          </rPr>
          <t xml:space="preserve">
</t>
        </r>
        <r>
          <rPr>
            <b/>
            <sz val="8"/>
            <color indexed="81"/>
            <rFont val="Tahoma"/>
            <family val="2"/>
          </rPr>
          <t>2/11:</t>
        </r>
        <r>
          <rPr>
            <sz val="8"/>
            <color indexed="81"/>
            <rFont val="Tahoma"/>
            <family val="2"/>
          </rPr>
          <t xml:space="preserve"> guidance 2-3%</t>
        </r>
      </text>
    </comment>
    <comment ref="AS482" authorId="0">
      <text>
        <r>
          <rPr>
            <b/>
            <sz val="9"/>
            <color indexed="81"/>
            <rFont val="Tahoma"/>
            <family val="2"/>
          </rPr>
          <t>Turley, Amber (Research):</t>
        </r>
        <r>
          <rPr>
            <sz val="9"/>
            <color indexed="81"/>
            <rFont val="Tahoma"/>
            <family val="2"/>
          </rPr>
          <t xml:space="preserve">
Based on number of stores in UK vs. RoE</t>
        </r>
      </text>
    </comment>
    <comment ref="BA484" authorId="0">
      <text>
        <r>
          <rPr>
            <b/>
            <sz val="9"/>
            <color indexed="81"/>
            <rFont val="Tahoma"/>
            <family val="2"/>
          </rPr>
          <t>Turley, Amber (Research):</t>
        </r>
        <r>
          <rPr>
            <sz val="9"/>
            <color indexed="81"/>
            <rFont val="Tahoma"/>
            <family val="2"/>
          </rPr>
          <t xml:space="preserve">
Currency translation negatively impacted the fiscal 2013 results for both periods, decreasing net sales in the second quarter by $44 million and in the six-month period by $67 million</t>
        </r>
      </text>
    </comment>
    <comment ref="F487" authorId="6">
      <text>
        <r>
          <rPr>
            <b/>
            <sz val="8"/>
            <color indexed="81"/>
            <rFont val="Tahoma"/>
            <family val="2"/>
          </rPr>
          <t>11/13/2012: +</t>
        </r>
        <r>
          <rPr>
            <sz val="8"/>
            <color indexed="81"/>
            <rFont val="Tahoma"/>
            <family val="2"/>
          </rPr>
          <t>8-9% guidance</t>
        </r>
        <r>
          <rPr>
            <b/>
            <sz val="8"/>
            <color indexed="81"/>
            <rFont val="Tahoma"/>
            <family val="2"/>
          </rPr>
          <t xml:space="preserve">
8/14/12:</t>
        </r>
        <r>
          <rPr>
            <sz val="8"/>
            <color indexed="81"/>
            <rFont val="Tahoma"/>
            <family val="2"/>
          </rPr>
          <t xml:space="preserve"> guidance Eur SSS FY +8-9% </t>
        </r>
        <r>
          <rPr>
            <sz val="8"/>
            <color indexed="81"/>
            <rFont val="Tahoma"/>
            <family val="2"/>
          </rPr>
          <t xml:space="preserve">
</t>
        </r>
      </text>
    </comment>
    <comment ref="BA487" authorId="0">
      <text>
        <r>
          <rPr>
            <b/>
            <sz val="9"/>
            <color indexed="81"/>
            <rFont val="Tahoma"/>
            <family val="2"/>
          </rPr>
          <t>Turley, Amber (Research):</t>
        </r>
        <r>
          <rPr>
            <sz val="9"/>
            <color indexed="81"/>
            <rFont val="Tahoma"/>
            <family val="2"/>
          </rPr>
          <t xml:space="preserve">
Currency translation negatively impacted fiscal 2013 sales growth by 2 percentage points. </t>
        </r>
      </text>
    </comment>
    <comment ref="AS489" authorId="0">
      <text>
        <r>
          <rPr>
            <b/>
            <sz val="9"/>
            <color indexed="81"/>
            <rFont val="Tahoma"/>
            <family val="2"/>
          </rPr>
          <t>Turley, Amber (Research):</t>
        </r>
        <r>
          <rPr>
            <sz val="9"/>
            <color indexed="81"/>
            <rFont val="Tahoma"/>
            <family val="2"/>
          </rPr>
          <t xml:space="preserve">
Based on number of stores in UK vs. RoE</t>
        </r>
      </text>
    </comment>
    <comment ref="F494" authorId="6">
      <text>
        <r>
          <rPr>
            <b/>
            <sz val="8"/>
            <color indexed="81"/>
            <rFont val="Tahoma"/>
            <family val="2"/>
          </rPr>
          <t xml:space="preserve">8/20/2013 guidance: </t>
        </r>
        <r>
          <rPr>
            <sz val="8"/>
            <color indexed="81"/>
            <rFont val="Tahoma"/>
            <family val="2"/>
          </rPr>
          <t>+4-5%</t>
        </r>
        <r>
          <rPr>
            <b/>
            <sz val="8"/>
            <color indexed="81"/>
            <rFont val="Tahoma"/>
            <family val="2"/>
          </rPr>
          <t xml:space="preserve">
5/21/2013 guidance: </t>
        </r>
        <r>
          <rPr>
            <sz val="8"/>
            <color indexed="81"/>
            <rFont val="Tahoma"/>
            <family val="2"/>
          </rPr>
          <t>+3-5%</t>
        </r>
        <r>
          <rPr>
            <b/>
            <sz val="8"/>
            <color indexed="81"/>
            <rFont val="Tahoma"/>
            <family val="2"/>
          </rPr>
          <t xml:space="preserve">
2/28/2013 guidance: </t>
        </r>
        <r>
          <rPr>
            <sz val="8"/>
            <color indexed="81"/>
            <rFont val="Tahoma"/>
            <family val="2"/>
          </rPr>
          <t>+2-4%</t>
        </r>
      </text>
    </comment>
    <comment ref="S494" authorId="6">
      <text>
        <r>
          <rPr>
            <b/>
            <sz val="8"/>
            <color indexed="81"/>
            <rFont val="Tahoma"/>
            <family val="2"/>
          </rPr>
          <t xml:space="preserve">8/20/2013 guidance: </t>
        </r>
        <r>
          <rPr>
            <sz val="8"/>
            <color indexed="81"/>
            <rFont val="Tahoma"/>
            <family val="2"/>
          </rPr>
          <t>$3.4Bn</t>
        </r>
        <r>
          <rPr>
            <b/>
            <sz val="8"/>
            <color indexed="81"/>
            <rFont val="Tahoma"/>
            <family val="2"/>
          </rPr>
          <t xml:space="preserve">
5/21/2013 guidance: </t>
        </r>
        <r>
          <rPr>
            <sz val="8"/>
            <color indexed="81"/>
            <rFont val="Tahoma"/>
            <family val="2"/>
          </rPr>
          <t>$3.4Bn</t>
        </r>
        <r>
          <rPr>
            <b/>
            <sz val="8"/>
            <color indexed="81"/>
            <rFont val="Tahoma"/>
            <family val="2"/>
          </rPr>
          <t xml:space="preserve">
2/28/2013 guidance: </t>
        </r>
        <r>
          <rPr>
            <sz val="8"/>
            <color indexed="81"/>
            <rFont val="Tahoma"/>
            <family val="2"/>
          </rPr>
          <t>$3.4-3.5Bn</t>
        </r>
      </text>
    </comment>
    <comment ref="BA494" authorId="0">
      <text>
        <r>
          <rPr>
            <b/>
            <sz val="9"/>
            <color indexed="81"/>
            <rFont val="Tahoma"/>
            <family val="2"/>
          </rPr>
          <t>Turley, Amber (Research):</t>
        </r>
        <r>
          <rPr>
            <sz val="9"/>
            <color indexed="81"/>
            <rFont val="Tahoma"/>
            <family val="2"/>
          </rPr>
          <t xml:space="preserve">
Currency translation had an immaterial impact on sales growth in fiscal 2014. </t>
        </r>
      </text>
    </comment>
    <comment ref="AS496" authorId="0">
      <text>
        <r>
          <rPr>
            <b/>
            <sz val="9"/>
            <color indexed="81"/>
            <rFont val="Tahoma"/>
            <family val="2"/>
          </rPr>
          <t>Turley, Amber (Research):</t>
        </r>
        <r>
          <rPr>
            <sz val="9"/>
            <color indexed="81"/>
            <rFont val="Tahoma"/>
            <family val="2"/>
          </rPr>
          <t xml:space="preserve">
Based on number of stores in UK vs. RoE as of 10-K '14</t>
        </r>
      </text>
    </comment>
    <comment ref="AS503" authorId="0">
      <text>
        <r>
          <rPr>
            <b/>
            <sz val="9"/>
            <color indexed="81"/>
            <rFont val="Tahoma"/>
            <family val="2"/>
          </rPr>
          <t>Turley, Amber (Research):</t>
        </r>
        <r>
          <rPr>
            <sz val="9"/>
            <color indexed="81"/>
            <rFont val="Tahoma"/>
            <family val="2"/>
          </rPr>
          <t xml:space="preserve">
Based on number of stores in UK vs. RoE as of 10-K '14</t>
        </r>
      </text>
    </comment>
    <comment ref="F507" authorId="8">
      <text>
        <r>
          <rPr>
            <b/>
            <sz val="9"/>
            <color indexed="81"/>
            <rFont val="Tahoma"/>
            <family val="2"/>
          </rPr>
          <t>Baglione, Gregory  (Research):</t>
        </r>
        <r>
          <rPr>
            <sz val="9"/>
            <color indexed="81"/>
            <rFont val="Tahoma"/>
            <family val="2"/>
          </rPr>
          <t xml:space="preserve">
11/17/15
Lowering to +3.5% comp</t>
        </r>
      </text>
    </comment>
    <comment ref="F508" authorId="0">
      <text>
        <r>
          <rPr>
            <b/>
            <sz val="9"/>
            <color indexed="81"/>
            <rFont val="Tahoma"/>
            <family val="2"/>
          </rPr>
          <t>Turley, Amber (Research):</t>
        </r>
        <r>
          <rPr>
            <sz val="9"/>
            <color indexed="81"/>
            <rFont val="Tahoma"/>
            <family val="2"/>
          </rPr>
          <t xml:space="preserve">
2/25/15 guidance: 3-4% comp
8/18/15
Europe 3-4% comp for FY
</t>
        </r>
      </text>
    </comment>
    <comment ref="S508" authorId="0">
      <text>
        <r>
          <rPr>
            <b/>
            <sz val="9"/>
            <color indexed="81"/>
            <rFont val="Tahoma"/>
            <family val="2"/>
          </rPr>
          <t>Turley, Amber (Research):</t>
        </r>
        <r>
          <rPr>
            <sz val="9"/>
            <color indexed="81"/>
            <rFont val="Tahoma"/>
            <family val="2"/>
          </rPr>
          <t xml:space="preserve">
2/25/15 guidance: $4.1B</t>
        </r>
      </text>
    </comment>
    <comment ref="AS510" authorId="0">
      <text>
        <r>
          <rPr>
            <b/>
            <sz val="9"/>
            <color indexed="81"/>
            <rFont val="Tahoma"/>
            <family val="2"/>
          </rPr>
          <t>Turley, Amber (Research):</t>
        </r>
        <r>
          <rPr>
            <sz val="9"/>
            <color indexed="81"/>
            <rFont val="Tahoma"/>
            <family val="2"/>
          </rPr>
          <t xml:space="preserve">
Based on number of stores in UK vs. RoE as of 10-K '14</t>
        </r>
      </text>
    </comment>
    <comment ref="F511" authorId="8">
      <text>
        <r>
          <rPr>
            <b/>
            <sz val="9"/>
            <color indexed="81"/>
            <rFont val="Tahoma"/>
            <family val="2"/>
          </rPr>
          <t>Baglione, Gregory  (Research):</t>
        </r>
        <r>
          <rPr>
            <sz val="9"/>
            <color indexed="81"/>
            <rFont val="Tahoma"/>
            <family val="2"/>
          </rPr>
          <t xml:space="preserve">
2/24/16
Reducing Euro comp to 2% from 3.5
</t>
        </r>
      </text>
    </comment>
    <comment ref="P511" authorId="8">
      <text>
        <r>
          <rPr>
            <b/>
            <sz val="9"/>
            <color indexed="81"/>
            <rFont val="Tahoma"/>
            <family val="2"/>
          </rPr>
          <t>Baglione, Gregory  (Research):</t>
        </r>
        <r>
          <rPr>
            <sz val="9"/>
            <color indexed="81"/>
            <rFont val="Tahoma"/>
            <family val="2"/>
          </rPr>
          <t xml:space="preserve">
2/24/16
At prevailing rates 
Euro ~ flat y/y
Uk 
1Q: -6%
2Q:-8%
3Q: -9%
4Q: -5%
Spreads reflect expansion partially offset by FX
</t>
        </r>
      </text>
    </comment>
    <comment ref="F512" authorId="8">
      <text>
        <r>
          <rPr>
            <b/>
            <sz val="9"/>
            <color indexed="81"/>
            <rFont val="Tahoma"/>
            <family val="2"/>
          </rPr>
          <t>Baglione, Gregory  (Research):</t>
        </r>
        <r>
          <rPr>
            <sz val="9"/>
            <color indexed="81"/>
            <rFont val="Tahoma"/>
            <family val="2"/>
          </rPr>
          <t xml:space="preserve">
2/24/16
Previous 3.5%</t>
        </r>
      </text>
    </comment>
    <comment ref="P512" authorId="8">
      <text>
        <r>
          <rPr>
            <b/>
            <sz val="9"/>
            <color indexed="81"/>
            <rFont val="Tahoma"/>
            <family val="2"/>
          </rPr>
          <t>Baglione, Gregory  (Research):</t>
        </r>
        <r>
          <rPr>
            <sz val="9"/>
            <color indexed="81"/>
            <rFont val="Tahoma"/>
            <family val="2"/>
          </rPr>
          <t xml:space="preserve">
2/24/16
At prevailing rates 
Euro ~ flat y/y
Uk 
1Q: -6%
2Q:-8%
3Q: -9%
4Q: -5%
Spreads reflect expansion partially offset by FX
5/17/16
Assumes y/y change Pound vs. Dollar stays relatively consisten until 4Q when spread becomes less favorable
</t>
        </r>
      </text>
    </comment>
    <comment ref="F513" authorId="10">
      <text>
        <r>
          <rPr>
            <b/>
            <sz val="9"/>
            <color indexed="81"/>
            <rFont val="Tahoma"/>
            <family val="2"/>
          </rPr>
          <t>Baglione, Gregory (Research):</t>
        </r>
        <r>
          <rPr>
            <sz val="9"/>
            <color indexed="81"/>
            <rFont val="Tahoma"/>
            <family val="2"/>
          </rPr>
          <t xml:space="preserve">
11/15/16
Held up better than most major European retailers, weather was a headwind as well.</t>
        </r>
      </text>
    </comment>
    <comment ref="P513" authorId="8">
      <text>
        <r>
          <rPr>
            <b/>
            <sz val="9"/>
            <color indexed="81"/>
            <rFont val="Tahoma"/>
            <family val="2"/>
          </rPr>
          <t>Baglione, Gregory  (Research):</t>
        </r>
        <r>
          <rPr>
            <sz val="9"/>
            <color indexed="81"/>
            <rFont val="Tahoma"/>
            <family val="2"/>
          </rPr>
          <t xml:space="preserve">
2/24/16
At prevailing rates 
Euro ~ flat y/y
Uk 
1Q: -6%
2Q:-8%
3Q: -9%
4Q: -5%
Spreads reflect expansion partially offset by FX
</t>
        </r>
      </text>
    </comment>
    <comment ref="P514" authorId="8">
      <text>
        <r>
          <rPr>
            <b/>
            <sz val="9"/>
            <color indexed="81"/>
            <rFont val="Tahoma"/>
            <family val="2"/>
          </rPr>
          <t>Baglione, Gregory  (Research):</t>
        </r>
        <r>
          <rPr>
            <sz val="9"/>
            <color indexed="81"/>
            <rFont val="Tahoma"/>
            <family val="2"/>
          </rPr>
          <t xml:space="preserve">
2/24/16
At prevailing rates 
Euro ~ flat y/y
Uk 
1Q: -6%
2Q:-8%
3Q: -9%
4Q: -5%
Spreads reflect expansion partially offset by FX
</t>
        </r>
      </text>
    </comment>
    <comment ref="F515" authorId="0">
      <text>
        <r>
          <rPr>
            <b/>
            <sz val="9"/>
            <color indexed="81"/>
            <rFont val="Tahoma"/>
            <family val="2"/>
          </rPr>
          <t>Turley, Amber (Research):
11/16/16
At TJX International, we're expecting comp growth of about 2% on sales of $4.4 billion and adjusted segment profit margin excluding foreign currency to be about 5.8%.</t>
        </r>
        <r>
          <rPr>
            <sz val="9"/>
            <color indexed="81"/>
            <rFont val="Tahoma"/>
            <family val="2"/>
          </rPr>
          <t xml:space="preserve">
8/16/16
At TJX International, we are expecting comp growth of 2% to 3% on sales of $4.4 billion to $4.5 billion
5/17/16
At TJX International, we're expecting comp growth of 2% to 3% on sales of $4.6 billion to $4.7 billion. 
8/18/15
Europe 3-4% comp for FY
2/25/15 guidance: 3-4% comp
</t>
        </r>
      </text>
    </comment>
    <comment ref="S515" authorId="0">
      <text>
        <r>
          <rPr>
            <b/>
            <sz val="9"/>
            <color indexed="81"/>
            <rFont val="Tahoma"/>
            <family val="2"/>
          </rPr>
          <t>Turley, Amber (Research):
11/16/16
At TJX International, we're expecting comp growth of about 2% on sales of $4.4 billion and adjusted segment profit margin excluding foreign currency to be about 5.8%.</t>
        </r>
        <r>
          <rPr>
            <sz val="9"/>
            <color indexed="81"/>
            <rFont val="Tahoma"/>
            <family val="2"/>
          </rPr>
          <t xml:space="preserve">
8/16/16
At TJX International, we are expecting comp growth of 2% to 3% on sales of $4.4 billion to $4.5 billion
5/17/16
At TJX International, we're expecting comp growth of 2% to 3% on sales of $4.6 billion to $4.7 billion. 
8/18/15
Europe 3-4% comp for FY
2/25/15 guidance: 3-4% comp
</t>
        </r>
      </text>
    </comment>
    <comment ref="AS517" authorId="0">
      <text>
        <r>
          <rPr>
            <b/>
            <sz val="9"/>
            <color indexed="81"/>
            <rFont val="Tahoma"/>
            <family val="2"/>
          </rPr>
          <t>Turley, Amber (Research):</t>
        </r>
        <r>
          <rPr>
            <sz val="9"/>
            <color indexed="81"/>
            <rFont val="Tahoma"/>
            <family val="2"/>
          </rPr>
          <t xml:space="preserve">
Based on number of stores in UK vs. RoE as of 10-K '14</t>
        </r>
      </text>
    </comment>
    <comment ref="F522" authorId="9">
      <text>
        <r>
          <rPr>
            <b/>
            <sz val="9"/>
            <color indexed="81"/>
            <rFont val="Tahoma"/>
            <family val="2"/>
          </rPr>
          <t>Roberts, Cynthia (Research):</t>
        </r>
        <r>
          <rPr>
            <sz val="9"/>
            <color indexed="81"/>
            <rFont val="Tahoma"/>
            <family val="2"/>
          </rPr>
          <t xml:space="preserve">
11/14/17: Guidance +1%
8/15/17: Guidance +1-2%
5/16/17: Guidance: +1-2%
2/22/17: Guidance: +1-2%</t>
        </r>
      </text>
    </comment>
    <comment ref="S522" authorId="10">
      <text>
        <r>
          <rPr>
            <b/>
            <sz val="9"/>
            <color indexed="81"/>
            <rFont val="Tahoma"/>
            <family val="2"/>
          </rPr>
          <t xml:space="preserve">Baglione, Gregory (Research):
</t>
        </r>
        <r>
          <rPr>
            <sz val="9"/>
            <color indexed="81"/>
            <rFont val="Tahoma"/>
            <family val="2"/>
          </rPr>
          <t>11/14/17: Guidance $4.8B</t>
        </r>
        <r>
          <rPr>
            <b/>
            <sz val="9"/>
            <color indexed="81"/>
            <rFont val="Tahoma"/>
            <family val="2"/>
          </rPr>
          <t xml:space="preserve">
</t>
        </r>
        <r>
          <rPr>
            <sz val="9"/>
            <color indexed="81"/>
            <rFont val="Tahoma"/>
            <family val="2"/>
          </rPr>
          <t>8/15/17: Guidance $4.8B</t>
        </r>
        <r>
          <rPr>
            <b/>
            <sz val="9"/>
            <color indexed="81"/>
            <rFont val="Tahoma"/>
            <family val="2"/>
          </rPr>
          <t xml:space="preserve">
</t>
        </r>
        <r>
          <rPr>
            <sz val="9"/>
            <color indexed="81"/>
            <rFont val="Tahoma"/>
            <family val="2"/>
          </rPr>
          <t>5/16/17: Guidance $4.7B 
2/22/17: Guidance: $4.5B-$4.6B
MS estimates 53rd week contributes 1-1.5% to total sales growth. ~475-$500M. 4.5%-5% boost to 4Q17.</t>
        </r>
      </text>
    </comment>
    <comment ref="AS524" authorId="0">
      <text>
        <r>
          <rPr>
            <b/>
            <sz val="9"/>
            <color indexed="81"/>
            <rFont val="Tahoma"/>
            <family val="2"/>
          </rPr>
          <t>Turley, Amber (Research):</t>
        </r>
        <r>
          <rPr>
            <sz val="9"/>
            <color indexed="81"/>
            <rFont val="Tahoma"/>
            <family val="2"/>
          </rPr>
          <t xml:space="preserve">
Based on number of stores in UK vs. RoE as of 10-K '14</t>
        </r>
      </text>
    </comment>
    <comment ref="H525" authorId="9">
      <text>
        <r>
          <rPr>
            <b/>
            <sz val="9"/>
            <color indexed="81"/>
            <rFont val="Tahoma"/>
            <family val="2"/>
          </rPr>
          <t>Roberts, Cynthia (Research):</t>
        </r>
        <r>
          <rPr>
            <sz val="9"/>
            <color indexed="81"/>
            <rFont val="Tahoma"/>
            <family val="2"/>
          </rPr>
          <t xml:space="preserve">
Assumes 1% benefit from calendar shift related to the reversal of the 53rd week; 4% underlying spread </t>
        </r>
      </text>
    </comment>
    <comment ref="H526" authorId="9">
      <text>
        <r>
          <rPr>
            <b/>
            <sz val="9"/>
            <color indexed="81"/>
            <rFont val="Tahoma"/>
            <family val="2"/>
          </rPr>
          <t>Roberts, Cynthia (Research):</t>
        </r>
        <r>
          <rPr>
            <sz val="9"/>
            <color indexed="81"/>
            <rFont val="Tahoma"/>
            <family val="2"/>
          </rPr>
          <t xml:space="preserve">
Assumes 0.5% benefit from calendar shift related to the reversal of the 53rd week; 4% underlying spread </t>
        </r>
      </text>
    </comment>
    <comment ref="H527" authorId="9">
      <text>
        <r>
          <rPr>
            <b/>
            <sz val="9"/>
            <color indexed="81"/>
            <rFont val="Tahoma"/>
            <family val="2"/>
          </rPr>
          <t xml:space="preserve">Roberts, Cynthia (Research):
</t>
        </r>
        <r>
          <rPr>
            <sz val="9"/>
            <color indexed="81"/>
            <rFont val="Tahoma"/>
            <family val="2"/>
          </rPr>
          <t xml:space="preserve">Assumes underlying +2% comp and 4% comp/total sales spread
Calendar shift loses calendar days equivalent August week 1 (~$658M) and gains calendar days equivalent to November week 1(~$605M) 
Assumes sales proportioned share of loss ~$7M
</t>
        </r>
      </text>
    </comment>
    <comment ref="H528" authorId="9">
      <text>
        <r>
          <rPr>
            <b/>
            <sz val="9"/>
            <color indexed="81"/>
            <rFont val="Tahoma"/>
            <family val="2"/>
          </rPr>
          <t xml:space="preserve">Roberts, Cynthia (Research):
</t>
        </r>
        <r>
          <rPr>
            <sz val="9"/>
            <color indexed="81"/>
            <rFont val="Tahoma"/>
            <family val="2"/>
          </rPr>
          <t>Assumes +1% comp and 3% comp/total sales spread
Reversal of 53rd week loses calendar days equivalent to November week 1 which we estimate is 6% of 4Q sales (~$605M) 
Assumes sales proportioned share of revenue loss ~$81M</t>
        </r>
      </text>
    </comment>
    <comment ref="F529" authorId="9">
      <text>
        <r>
          <rPr>
            <b/>
            <sz val="9"/>
            <color indexed="81"/>
            <rFont val="Tahoma"/>
            <family val="2"/>
          </rPr>
          <t>Roberts, Cynthia (Research):</t>
        </r>
        <r>
          <rPr>
            <sz val="9"/>
            <color indexed="81"/>
            <rFont val="Tahoma"/>
            <family val="2"/>
          </rPr>
          <t xml:space="preserve">
2/28/18: Guidance +1-2%</t>
        </r>
      </text>
    </comment>
    <comment ref="S529" authorId="9">
      <text>
        <r>
          <rPr>
            <b/>
            <sz val="9"/>
            <color indexed="81"/>
            <rFont val="Tahoma"/>
            <family val="2"/>
          </rPr>
          <t>Roberts, Cynthia (Research):</t>
        </r>
        <r>
          <rPr>
            <sz val="9"/>
            <color indexed="81"/>
            <rFont val="Tahoma"/>
            <family val="2"/>
          </rPr>
          <t xml:space="preserve">
2/28/18: Guidance $5.4B</t>
        </r>
      </text>
    </comment>
    <comment ref="F598" authorId="1">
      <text>
        <r>
          <rPr>
            <sz val="8"/>
            <color indexed="81"/>
            <rFont val="Tahoma"/>
            <family val="2"/>
          </rPr>
          <t>6/4/03 guided to +5% on 1Q ccall
7/14 had +5, lowered after below plan june</t>
        </r>
      </text>
    </comment>
    <comment ref="P598" authorId="1">
      <text>
        <r>
          <rPr>
            <sz val="8"/>
            <color indexed="81"/>
            <rFont val="Tahoma"/>
            <family val="2"/>
          </rPr>
          <t>90</t>
        </r>
      </text>
    </comment>
    <comment ref="F599" authorId="1">
      <text>
        <r>
          <rPr>
            <b/>
            <sz val="8"/>
            <color indexed="81"/>
            <rFont val="Tahoma"/>
            <family val="2"/>
          </rPr>
          <t>lehman:</t>
        </r>
        <r>
          <rPr>
            <sz val="8"/>
            <color indexed="81"/>
            <rFont val="Tahoma"/>
            <family val="2"/>
          </rPr>
          <t xml:space="preserve">
9/24 had +3, lowered due to Aug result
+2</t>
        </r>
      </text>
    </comment>
    <comment ref="F600" authorId="1">
      <text>
        <r>
          <rPr>
            <b/>
            <sz val="8"/>
            <color indexed="81"/>
            <rFont val="Tahoma"/>
            <family val="2"/>
          </rPr>
          <t>lehman:</t>
        </r>
        <r>
          <rPr>
            <sz val="8"/>
            <color indexed="81"/>
            <rFont val="Tahoma"/>
            <family val="2"/>
          </rPr>
          <t xml:space="preserve">
11/12 guided +8</t>
        </r>
      </text>
    </comment>
    <comment ref="F601" authorId="1">
      <text>
        <r>
          <rPr>
            <sz val="8"/>
            <color indexed="81"/>
            <rFont val="Tahoma"/>
            <family val="2"/>
          </rPr>
          <t>mgmt guided to +5% comp for yr on 4q02 conf call</t>
        </r>
      </text>
    </comment>
    <comment ref="F606" authorId="12">
      <text>
        <r>
          <rPr>
            <b/>
            <sz val="8"/>
            <color indexed="81"/>
            <rFont val="Tahoma"/>
            <family val="2"/>
          </rPr>
          <t>MS:</t>
        </r>
        <r>
          <rPr>
            <sz val="8"/>
            <color indexed="81"/>
            <rFont val="Tahoma"/>
            <family val="2"/>
          </rPr>
          <t xml:space="preserve">
8/17 guided for +2% comp down from +6-7%</t>
        </r>
      </text>
    </comment>
    <comment ref="F607" authorId="13">
      <text>
        <r>
          <rPr>
            <b/>
            <sz val="8"/>
            <color indexed="81"/>
            <rFont val="Tahoma"/>
            <family val="2"/>
          </rPr>
          <t>SB:</t>
        </r>
        <r>
          <rPr>
            <sz val="8"/>
            <color indexed="81"/>
            <rFont val="Tahoma"/>
            <family val="2"/>
          </rPr>
          <t xml:space="preserve">
11/16 guided for +2-4% comp, down from +4</t>
        </r>
      </text>
    </comment>
    <comment ref="F611" authorId="2">
      <text>
        <r>
          <rPr>
            <b/>
            <sz val="8"/>
            <color indexed="81"/>
            <rFont val="Tahoma"/>
            <family val="2"/>
          </rPr>
          <t>Morry Brown:</t>
        </r>
        <r>
          <rPr>
            <sz val="8"/>
            <color indexed="81"/>
            <rFont val="Tahoma"/>
            <family val="2"/>
          </rPr>
          <t xml:space="preserve">
+3</t>
        </r>
      </text>
    </comment>
    <comment ref="F614" authorId="2">
      <text>
        <r>
          <rPr>
            <b/>
            <sz val="8"/>
            <color indexed="81"/>
            <rFont val="Tahoma"/>
            <family val="2"/>
          </rPr>
          <t>Morry Brown:</t>
        </r>
        <r>
          <rPr>
            <sz val="8"/>
            <color indexed="81"/>
            <rFont val="Tahoma"/>
            <family val="2"/>
          </rPr>
          <t xml:space="preserve">
11/15 +0-2% guidance</t>
        </r>
      </text>
    </comment>
    <comment ref="F629" authorId="3">
      <text>
        <r>
          <rPr>
            <b/>
            <sz val="8"/>
            <color indexed="81"/>
            <rFont val="Tahoma"/>
            <family val="2"/>
          </rPr>
          <t>mm98285:</t>
        </r>
        <r>
          <rPr>
            <sz val="8"/>
            <color indexed="81"/>
            <rFont val="Tahoma"/>
            <family val="2"/>
          </rPr>
          <t xml:space="preserve">
2/07: guided to +3-4%</t>
        </r>
      </text>
    </comment>
    <comment ref="S629" authorId="3">
      <text>
        <r>
          <rPr>
            <b/>
            <sz val="8"/>
            <color indexed="81"/>
            <rFont val="Tahoma"/>
            <family val="2"/>
          </rPr>
          <t>mm98285:</t>
        </r>
        <r>
          <rPr>
            <sz val="8"/>
            <color indexed="81"/>
            <rFont val="Tahoma"/>
            <family val="2"/>
          </rPr>
          <t xml:space="preserve">
2/07: guided to $1.5bn</t>
        </r>
      </text>
    </comment>
    <comment ref="S635" authorId="3">
      <text>
        <r>
          <rPr>
            <b/>
            <sz val="8"/>
            <color indexed="81"/>
            <rFont val="Tahoma"/>
            <family val="2"/>
          </rPr>
          <t>mm98285:</t>
        </r>
        <r>
          <rPr>
            <sz val="8"/>
            <color indexed="81"/>
            <rFont val="Tahoma"/>
            <family val="2"/>
          </rPr>
          <t xml:space="preserve">
12/08: assume $20-$25mm benefit from extra week</t>
        </r>
      </text>
    </comment>
    <comment ref="F636" authorId="3">
      <text>
        <r>
          <rPr>
            <b/>
            <sz val="8"/>
            <color indexed="81"/>
            <rFont val="Tahoma"/>
            <family val="2"/>
          </rPr>
          <t>mm98285:</t>
        </r>
        <r>
          <rPr>
            <sz val="8"/>
            <color indexed="81"/>
            <rFont val="Tahoma"/>
            <family val="2"/>
          </rPr>
          <t xml:space="preserve">
2/08: expect 3% comp</t>
        </r>
      </text>
    </comment>
    <comment ref="S636" authorId="3">
      <text>
        <r>
          <rPr>
            <b/>
            <sz val="8"/>
            <color indexed="81"/>
            <rFont val="Tahoma"/>
            <family val="2"/>
          </rPr>
          <t>mm98285:</t>
        </r>
        <r>
          <rPr>
            <sz val="8"/>
            <color indexed="81"/>
            <rFont val="Tahoma"/>
            <family val="2"/>
          </rPr>
          <t xml:space="preserve">
2/08: expect $1.7b</t>
        </r>
      </text>
    </comment>
    <comment ref="F657" authorId="4">
      <text>
        <r>
          <rPr>
            <b/>
            <sz val="8"/>
            <color indexed="81"/>
            <rFont val="Tahoma"/>
            <family val="2"/>
          </rPr>
          <t xml:space="preserve">5/17/11: </t>
        </r>
        <r>
          <rPr>
            <sz val="8"/>
            <color indexed="81"/>
            <rFont val="Tahoma"/>
            <family val="2"/>
          </rPr>
          <t>guidance exp 3-4% comp</t>
        </r>
        <r>
          <rPr>
            <sz val="8"/>
            <color indexed="81"/>
            <rFont val="Tahoma"/>
            <family val="2"/>
          </rPr>
          <t xml:space="preserve">
</t>
        </r>
        <r>
          <rPr>
            <b/>
            <sz val="8"/>
            <color indexed="81"/>
            <rFont val="Tahoma"/>
            <family val="2"/>
          </rPr>
          <t xml:space="preserve">2/11: </t>
        </r>
        <r>
          <rPr>
            <sz val="8"/>
            <color indexed="81"/>
            <rFont val="Tahoma"/>
            <family val="2"/>
          </rPr>
          <t xml:space="preserve">guidance </t>
        </r>
        <r>
          <rPr>
            <sz val="8"/>
            <color indexed="81"/>
            <rFont val="Tahoma"/>
            <family val="2"/>
          </rPr>
          <t>exp 1-2%</t>
        </r>
      </text>
    </comment>
    <comment ref="F664" authorId="6">
      <text>
        <r>
          <rPr>
            <b/>
            <sz val="8"/>
            <color indexed="81"/>
            <rFont val="Tahoma"/>
            <family val="2"/>
          </rPr>
          <t xml:space="preserve">11/13/2012: </t>
        </r>
        <r>
          <rPr>
            <sz val="8"/>
            <color indexed="81"/>
            <rFont val="Tahoma"/>
            <family val="2"/>
          </rPr>
          <t>+6-7% guidance</t>
        </r>
        <r>
          <rPr>
            <b/>
            <sz val="8"/>
            <color indexed="81"/>
            <rFont val="Tahoma"/>
            <family val="2"/>
          </rPr>
          <t xml:space="preserve">
8/14/2012: </t>
        </r>
        <r>
          <rPr>
            <sz val="8"/>
            <color indexed="81"/>
            <rFont val="Tahoma"/>
            <family val="2"/>
          </rPr>
          <t>HG FY SSS +5-6% guidance</t>
        </r>
      </text>
    </comment>
    <comment ref="F671" authorId="6">
      <text>
        <r>
          <rPr>
            <sz val="8"/>
            <color indexed="81"/>
            <rFont val="Tahoma"/>
            <family val="2"/>
          </rPr>
          <t>5/21/2013 guidance: +4-5%</t>
        </r>
        <r>
          <rPr>
            <b/>
            <sz val="8"/>
            <color indexed="81"/>
            <rFont val="Tahoma"/>
            <family val="2"/>
          </rPr>
          <t xml:space="preserve">
5/21/2013 guidance: </t>
        </r>
        <r>
          <rPr>
            <sz val="8"/>
            <color indexed="81"/>
            <rFont val="Tahoma"/>
            <family val="2"/>
          </rPr>
          <t>+2-4%</t>
        </r>
        <r>
          <rPr>
            <b/>
            <sz val="8"/>
            <color indexed="81"/>
            <rFont val="Tahoma"/>
            <family val="2"/>
          </rPr>
          <t xml:space="preserve">
2/28/2013 guidance: </t>
        </r>
        <r>
          <rPr>
            <sz val="8"/>
            <color indexed="81"/>
            <rFont val="Tahoma"/>
            <family val="2"/>
          </rPr>
          <t>0-2%</t>
        </r>
      </text>
    </comment>
    <comment ref="S671" authorId="6">
      <text>
        <r>
          <rPr>
            <b/>
            <sz val="8"/>
            <color indexed="81"/>
            <rFont val="Tahoma"/>
            <family val="2"/>
          </rPr>
          <t xml:space="preserve">8/20/2013 guidance: </t>
        </r>
        <r>
          <rPr>
            <sz val="8"/>
            <color indexed="81"/>
            <rFont val="Tahoma"/>
            <family val="2"/>
          </rPr>
          <t>$2.9Bn</t>
        </r>
        <r>
          <rPr>
            <b/>
            <sz val="8"/>
            <color indexed="81"/>
            <rFont val="Tahoma"/>
            <family val="2"/>
          </rPr>
          <t xml:space="preserve">
5/21/2013 guidance: </t>
        </r>
        <r>
          <rPr>
            <sz val="8"/>
            <color indexed="81"/>
            <rFont val="Tahoma"/>
            <family val="2"/>
          </rPr>
          <t>$2.8-2.9Bn</t>
        </r>
        <r>
          <rPr>
            <b/>
            <sz val="8"/>
            <color indexed="81"/>
            <rFont val="Tahoma"/>
            <family val="2"/>
          </rPr>
          <t xml:space="preserve">
2/28/2013 guidance: </t>
        </r>
        <r>
          <rPr>
            <sz val="8"/>
            <color indexed="81"/>
            <rFont val="Tahoma"/>
            <family val="2"/>
          </rPr>
          <t>$2.8Bn</t>
        </r>
      </text>
    </comment>
    <comment ref="F684" authorId="8">
      <text>
        <r>
          <rPr>
            <b/>
            <sz val="9"/>
            <color indexed="81"/>
            <rFont val="Tahoma"/>
            <family val="2"/>
          </rPr>
          <t>Baglione, Gregory  (Research):</t>
        </r>
        <r>
          <rPr>
            <sz val="9"/>
            <color indexed="81"/>
            <rFont val="Tahoma"/>
            <family val="2"/>
          </rPr>
          <t xml:space="preserve">
11/17/15
Maintaining +3.0% Home comp</t>
        </r>
      </text>
    </comment>
    <comment ref="F685" authorId="0">
      <text>
        <r>
          <rPr>
            <b/>
            <sz val="9"/>
            <color indexed="81"/>
            <rFont val="Tahoma"/>
            <family val="2"/>
          </rPr>
          <t>Turley, Amber (Research):</t>
        </r>
        <r>
          <rPr>
            <sz val="9"/>
            <color indexed="81"/>
            <rFont val="Tahoma"/>
            <family val="2"/>
          </rPr>
          <t xml:space="preserve">
2/25/15 guidance: 2-3% comp
8/18/15
Home Goods 5-6% Comp $3.8B for FY</t>
        </r>
      </text>
    </comment>
    <comment ref="S685" authorId="0">
      <text>
        <r>
          <rPr>
            <b/>
            <sz val="9"/>
            <color indexed="81"/>
            <rFont val="Tahoma"/>
            <family val="2"/>
          </rPr>
          <t>Turley, Amber (Research):</t>
        </r>
        <r>
          <rPr>
            <sz val="9"/>
            <color indexed="81"/>
            <rFont val="Tahoma"/>
            <family val="2"/>
          </rPr>
          <t xml:space="preserve">
2/25/15 guidance: $3.7B</t>
        </r>
      </text>
    </comment>
    <comment ref="F688" authorId="8">
      <text>
        <r>
          <rPr>
            <b/>
            <sz val="9"/>
            <color indexed="81"/>
            <rFont val="Tahoma"/>
            <family val="2"/>
          </rPr>
          <t>Baglione, Gregory  (Research):</t>
        </r>
        <r>
          <rPr>
            <sz val="9"/>
            <color indexed="81"/>
            <rFont val="Tahoma"/>
            <family val="2"/>
          </rPr>
          <t xml:space="preserve">
11/16/15
Assumes +12.0% 2-year stack
</t>
        </r>
      </text>
    </comment>
    <comment ref="F689" authorId="8">
      <text>
        <r>
          <rPr>
            <b/>
            <sz val="9"/>
            <color indexed="81"/>
            <rFont val="Tahoma"/>
            <family val="2"/>
          </rPr>
          <t>Baglione, Gregory  (Research):</t>
        </r>
        <r>
          <rPr>
            <sz val="9"/>
            <color indexed="81"/>
            <rFont val="Tahoma"/>
            <family val="2"/>
          </rPr>
          <t xml:space="preserve">
11/16/15
Assumes +12.0% 2-year stack
</t>
        </r>
      </text>
    </comment>
    <comment ref="F690" authorId="8">
      <text>
        <r>
          <rPr>
            <b/>
            <sz val="9"/>
            <color indexed="81"/>
            <rFont val="Tahoma"/>
            <family val="2"/>
          </rPr>
          <t>Baglione, Gregory  (Research):</t>
        </r>
        <r>
          <rPr>
            <sz val="9"/>
            <color indexed="81"/>
            <rFont val="Tahoma"/>
            <family val="2"/>
          </rPr>
          <t xml:space="preserve">
11/16/15
Assumes +12.0% 2-year stack
Traffic primary driver of comp</t>
        </r>
      </text>
    </comment>
    <comment ref="F691" authorId="8">
      <text>
        <r>
          <rPr>
            <b/>
            <sz val="9"/>
            <color indexed="81"/>
            <rFont val="Tahoma"/>
            <family val="2"/>
          </rPr>
          <t>Baglione, Gregory  (Research):</t>
        </r>
        <r>
          <rPr>
            <sz val="9"/>
            <color indexed="81"/>
            <rFont val="Tahoma"/>
            <family val="2"/>
          </rPr>
          <t xml:space="preserve">
11/16/15
Assumes +12.0% 2-year stack
</t>
        </r>
      </text>
    </comment>
    <comment ref="F692" authorId="0">
      <text>
        <r>
          <rPr>
            <b/>
            <sz val="9"/>
            <color indexed="81"/>
            <rFont val="Tahoma"/>
            <family val="2"/>
          </rPr>
          <t>Turley, Amber (Research):</t>
        </r>
        <r>
          <rPr>
            <sz val="9"/>
            <color indexed="81"/>
            <rFont val="Tahoma"/>
            <family val="2"/>
          </rPr>
          <t xml:space="preserve">
11/16/16
At HomeGoods we now expect comps to increase 5% to 6% on sales of $4.4 billion. We now expect segment profit margin to be in the range of 13.4% to 13.5%.
8/16/16
At HomeGoods, we continue to expect comps to increase 4% to 5% on sales of $4.3 billion.
5/17/16
At HomeGoods, we now expect comps to increase 4% to 5% on sales of $4.3 billion.
8/18/15
Home Goods 5-6% Comp $3.8B for FY
2/25/15 guidance: 2-3% comp
</t>
        </r>
      </text>
    </comment>
    <comment ref="S692" authorId="0">
      <text>
        <r>
          <rPr>
            <b/>
            <sz val="9"/>
            <color indexed="81"/>
            <rFont val="Tahoma"/>
            <family val="2"/>
          </rPr>
          <t>Turley, Amber (Research):</t>
        </r>
        <r>
          <rPr>
            <sz val="9"/>
            <color indexed="81"/>
            <rFont val="Tahoma"/>
            <family val="2"/>
          </rPr>
          <t xml:space="preserve">
2/25/15 guidance: $3.7B
5/17/16
At HomeGoods, we now expect comps to increase 4% to 5% on sales of $4.3 billion.
8/16/16
At HomeGoods, we continue to expect comps to increase 4% to 5% on sales of $4.3 billion.</t>
        </r>
      </text>
    </comment>
    <comment ref="P698" authorId="10">
      <text>
        <r>
          <rPr>
            <b/>
            <sz val="9"/>
            <color indexed="81"/>
            <rFont val="Tahoma"/>
            <family val="2"/>
          </rPr>
          <t>Baglione, Gregory (Research):</t>
        </r>
        <r>
          <rPr>
            <sz val="9"/>
            <color indexed="81"/>
            <rFont val="Tahoma"/>
            <family val="2"/>
          </rPr>
          <t xml:space="preserve">
Productivity to 250 to reflect 5 points from 53rd week. Looking at 2012 this looks like a sound estimate. </t>
        </r>
      </text>
    </comment>
    <comment ref="F699" authorId="9">
      <text>
        <r>
          <rPr>
            <b/>
            <sz val="9"/>
            <color indexed="81"/>
            <rFont val="Tahoma"/>
            <family val="2"/>
          </rPr>
          <t>Roberts, Cynthia (Research):</t>
        </r>
        <r>
          <rPr>
            <sz val="9"/>
            <color indexed="81"/>
            <rFont val="Tahoma"/>
            <family val="2"/>
          </rPr>
          <t xml:space="preserve">
11/14/17: Guidance +4%
8/15/17: Guidance +3-4%
5/16/17; Guidance +2-3%
2/22/17: Guidance: +2-3% </t>
        </r>
      </text>
    </comment>
    <comment ref="S699" authorId="10">
      <text>
        <r>
          <rPr>
            <b/>
            <sz val="9"/>
            <color indexed="81"/>
            <rFont val="Tahoma"/>
            <family val="2"/>
          </rPr>
          <t xml:space="preserve">Baglione, Gregory (Research):
</t>
        </r>
        <r>
          <rPr>
            <sz val="9"/>
            <color indexed="81"/>
            <rFont val="Tahoma"/>
            <family val="2"/>
          </rPr>
          <t>11/14/17: Guidance $5.1B</t>
        </r>
        <r>
          <rPr>
            <b/>
            <sz val="9"/>
            <color indexed="81"/>
            <rFont val="Tahoma"/>
            <family val="2"/>
          </rPr>
          <t xml:space="preserve">
</t>
        </r>
        <r>
          <rPr>
            <sz val="9"/>
            <color indexed="81"/>
            <rFont val="Tahoma"/>
            <family val="2"/>
          </rPr>
          <t>8/15/17: Guidance $5.1B</t>
        </r>
        <r>
          <rPr>
            <b/>
            <sz val="9"/>
            <color indexed="81"/>
            <rFont val="Tahoma"/>
            <family val="2"/>
          </rPr>
          <t xml:space="preserve">
</t>
        </r>
        <r>
          <rPr>
            <sz val="9"/>
            <color indexed="81"/>
            <rFont val="Tahoma"/>
            <family val="2"/>
          </rPr>
          <t>5/16/17 Guidance $5.0B-$5.1B</t>
        </r>
        <r>
          <rPr>
            <b/>
            <sz val="9"/>
            <color indexed="81"/>
            <rFont val="Tahoma"/>
            <family val="2"/>
          </rPr>
          <t xml:space="preserve">
</t>
        </r>
        <r>
          <rPr>
            <sz val="9"/>
            <color indexed="81"/>
            <rFont val="Tahoma"/>
            <family val="2"/>
          </rPr>
          <t>2/22/17: Guidance: $5.0B-$5.1B
MS estimates 53rd week contributes 1-1.5% to total sales growth. ~475-$500M. 4.5%-5% boost to 4Q17.</t>
        </r>
      </text>
    </comment>
    <comment ref="H702" authorId="9">
      <text>
        <r>
          <rPr>
            <b/>
            <sz val="9"/>
            <color indexed="81"/>
            <rFont val="Tahoma"/>
            <family val="2"/>
          </rPr>
          <t>Roberts, Cynthia (Research):</t>
        </r>
        <r>
          <rPr>
            <sz val="9"/>
            <color indexed="81"/>
            <rFont val="Tahoma"/>
            <family val="2"/>
          </rPr>
          <t xml:space="preserve">
Assumes 1% benefit from calendar shift related to the reversal of the 53rd week; 10% underlying spread </t>
        </r>
      </text>
    </comment>
    <comment ref="H703" authorId="9">
      <text>
        <r>
          <rPr>
            <b/>
            <sz val="9"/>
            <color indexed="81"/>
            <rFont val="Tahoma"/>
            <family val="2"/>
          </rPr>
          <t>Roberts, Cynthia (Research):</t>
        </r>
        <r>
          <rPr>
            <sz val="9"/>
            <color indexed="81"/>
            <rFont val="Tahoma"/>
            <family val="2"/>
          </rPr>
          <t xml:space="preserve">
Assumes 0.5% benefit from calendar shift related to the reversal of the 53rd week; 10% underlying spread </t>
        </r>
      </text>
    </comment>
    <comment ref="H704" authorId="9">
      <text>
        <r>
          <rPr>
            <b/>
            <sz val="9"/>
            <color indexed="81"/>
            <rFont val="Tahoma"/>
            <family val="2"/>
          </rPr>
          <t xml:space="preserve">Roberts, Cynthia (Research):
</t>
        </r>
        <r>
          <rPr>
            <sz val="9"/>
            <color indexed="81"/>
            <rFont val="Tahoma"/>
            <family val="2"/>
          </rPr>
          <t>Assumes underlying +5% comp and 10% comp/total sales spread
Calendar shift loses calendar days equivalent August week 1 (~$658M) and gains calendar days equivalent to November week 1(~$605M) 
Assumes sales proportioned share of loss ~$8M</t>
        </r>
      </text>
    </comment>
    <comment ref="H705" authorId="9">
      <text>
        <r>
          <rPr>
            <b/>
            <sz val="9"/>
            <color indexed="81"/>
            <rFont val="Tahoma"/>
            <family val="2"/>
          </rPr>
          <t xml:space="preserve">Roberts, Cynthia (Research):
</t>
        </r>
        <r>
          <rPr>
            <sz val="9"/>
            <color indexed="81"/>
            <rFont val="Tahoma"/>
            <family val="2"/>
          </rPr>
          <t>Assumes +5% comp and 10% comp/total sales spread
Reversal of 53rd week loses calendar days equivalent to November week 1 which we estimate is 6% of 4Q sales (~$605M) 
Assumes sales proportioned share of revenue loss ~$99M</t>
        </r>
      </text>
    </comment>
    <comment ref="F706" authorId="9">
      <text>
        <r>
          <rPr>
            <b/>
            <sz val="9"/>
            <color indexed="81"/>
            <rFont val="Tahoma"/>
            <family val="2"/>
          </rPr>
          <t>Roberts, Cynthia (Research):</t>
        </r>
        <r>
          <rPr>
            <sz val="9"/>
            <color indexed="81"/>
            <rFont val="Tahoma"/>
            <family val="2"/>
          </rPr>
          <t xml:space="preserve">
2/28/18: Guidance +2-3%</t>
        </r>
      </text>
    </comment>
    <comment ref="S706" authorId="9">
      <text>
        <r>
          <rPr>
            <b/>
            <sz val="9"/>
            <color indexed="81"/>
            <rFont val="Tahoma"/>
            <family val="2"/>
          </rPr>
          <t>Roberts, Cynthia (Research):</t>
        </r>
        <r>
          <rPr>
            <sz val="9"/>
            <color indexed="81"/>
            <rFont val="Tahoma"/>
            <family val="2"/>
          </rPr>
          <t xml:space="preserve">
2/28/18: Guidance $5.7B</t>
        </r>
      </text>
    </comment>
  </commentList>
</comments>
</file>

<file path=xl/comments5.xml><?xml version="1.0" encoding="utf-8"?>
<comments xmlns="http://schemas.openxmlformats.org/spreadsheetml/2006/main">
  <authors>
    <author>Baglione, Gregory (Research)</author>
    <author>lehman</author>
    <author>Lehman Brothers</author>
    <author>mm98285</author>
    <author>kgreenbe</author>
    <author>MS</author>
    <author>Morry Brown</author>
    <author>MB33100</author>
    <author>oc48540</author>
    <author>OC48540</author>
    <author>ns66486</author>
    <author>Margaret Marchant</author>
    <author>lauraro</author>
    <author>lr73192</author>
    <author>solejay</author>
    <author>balskyh</author>
    <author>duol</author>
    <author>Baglione, Gregory  (Research)</author>
    <author>Turley, Amber (Research)</author>
    <author>Roberts, Cynthia (Research)</author>
  </authors>
  <commentList>
    <comment ref="AC7" authorId="0">
      <text>
        <r>
          <rPr>
            <b/>
            <sz val="9"/>
            <color indexed="81"/>
            <rFont val="Tahoma"/>
            <family val="2"/>
          </rPr>
          <t>Baglione, Gregory (Research):</t>
        </r>
        <r>
          <rPr>
            <sz val="9"/>
            <color indexed="81"/>
            <rFont val="Tahoma"/>
            <family val="2"/>
          </rPr>
          <t xml:space="preserve">
2016 Changed from TJX Europe</t>
        </r>
      </text>
    </comment>
    <comment ref="BO7" authorId="1">
      <text>
        <r>
          <rPr>
            <b/>
            <sz val="8"/>
            <color indexed="81"/>
            <rFont val="Tahoma"/>
            <family val="2"/>
          </rPr>
          <t>lehman:</t>
        </r>
        <r>
          <rPr>
            <sz val="8"/>
            <color indexed="81"/>
            <rFont val="Tahoma"/>
            <family val="2"/>
          </rPr>
          <t xml:space="preserve">
TJ Maxx and Winners</t>
        </r>
      </text>
    </comment>
    <comment ref="BJ25" authorId="1">
      <text>
        <r>
          <rPr>
            <b/>
            <sz val="8"/>
            <color indexed="81"/>
            <rFont val="Tahoma"/>
            <family val="2"/>
          </rPr>
          <t>lehman:</t>
        </r>
        <r>
          <rPr>
            <sz val="8"/>
            <color indexed="81"/>
            <rFont val="Tahoma"/>
            <family val="2"/>
          </rPr>
          <t xml:space="preserve">
includes net opearting results of homegoods and value mart</t>
        </r>
      </text>
    </comment>
    <comment ref="BJ28" authorId="1">
      <text>
        <r>
          <rPr>
            <b/>
            <sz val="8"/>
            <color indexed="81"/>
            <rFont val="Tahoma"/>
            <family val="2"/>
          </rPr>
          <t>lehman:</t>
        </r>
        <r>
          <rPr>
            <sz val="8"/>
            <color indexed="81"/>
            <rFont val="Tahoma"/>
            <family val="2"/>
          </rPr>
          <t xml:space="preserve">
includes net opearting results of homegoods and value mart</t>
        </r>
      </text>
    </comment>
    <comment ref="BJ29" authorId="1">
      <text>
        <r>
          <rPr>
            <b/>
            <sz val="8"/>
            <color indexed="81"/>
            <rFont val="Tahoma"/>
            <family val="2"/>
          </rPr>
          <t>lehman:</t>
        </r>
        <r>
          <rPr>
            <sz val="8"/>
            <color indexed="81"/>
            <rFont val="Tahoma"/>
            <family val="2"/>
          </rPr>
          <t xml:space="preserve">
Includes net operating results of Homegoods</t>
        </r>
      </text>
    </comment>
    <comment ref="BJ32" authorId="1">
      <text>
        <r>
          <rPr>
            <b/>
            <sz val="8"/>
            <color indexed="81"/>
            <rFont val="Tahoma"/>
            <family val="2"/>
          </rPr>
          <t>lehman:</t>
        </r>
        <r>
          <rPr>
            <sz val="8"/>
            <color indexed="81"/>
            <rFont val="Tahoma"/>
            <family val="2"/>
          </rPr>
          <t xml:space="preserve">
includes net opearting results of homegoods and value mart</t>
        </r>
      </text>
    </comment>
    <comment ref="BJ33" authorId="1">
      <text>
        <r>
          <rPr>
            <b/>
            <sz val="8"/>
            <color indexed="81"/>
            <rFont val="Tahoma"/>
            <family val="2"/>
          </rPr>
          <t>lehman:</t>
        </r>
        <r>
          <rPr>
            <sz val="8"/>
            <color indexed="81"/>
            <rFont val="Tahoma"/>
            <family val="2"/>
          </rPr>
          <t xml:space="preserve">
includes net opearting results of homegoods and value mart</t>
        </r>
      </text>
    </comment>
    <comment ref="BJ34" authorId="1">
      <text>
        <r>
          <rPr>
            <b/>
            <sz val="8"/>
            <color indexed="81"/>
            <rFont val="Tahoma"/>
            <family val="2"/>
          </rPr>
          <t>lehman:</t>
        </r>
        <r>
          <rPr>
            <sz val="8"/>
            <color indexed="81"/>
            <rFont val="Tahoma"/>
            <family val="2"/>
          </rPr>
          <t xml:space="preserve">
includes net opearting results of homegoods and value mart</t>
        </r>
      </text>
    </comment>
    <comment ref="BJ35" authorId="1">
      <text>
        <r>
          <rPr>
            <b/>
            <sz val="8"/>
            <color indexed="81"/>
            <rFont val="Tahoma"/>
            <family val="2"/>
          </rPr>
          <t>lehman:</t>
        </r>
        <r>
          <rPr>
            <sz val="8"/>
            <color indexed="81"/>
            <rFont val="Tahoma"/>
            <family val="2"/>
          </rPr>
          <t xml:space="preserve">
includes net opearting results of homegoods and value mart</t>
        </r>
      </text>
    </comment>
    <comment ref="BJ36" authorId="1">
      <text>
        <r>
          <rPr>
            <b/>
            <sz val="8"/>
            <color indexed="81"/>
            <rFont val="Tahoma"/>
            <family val="2"/>
          </rPr>
          <t>lehman:</t>
        </r>
        <r>
          <rPr>
            <sz val="8"/>
            <color indexed="81"/>
            <rFont val="Tahoma"/>
            <family val="2"/>
          </rPr>
          <t xml:space="preserve">
Includes net operating results of Homegoods</t>
        </r>
      </text>
    </comment>
    <comment ref="BJ39" authorId="1">
      <text>
        <r>
          <rPr>
            <b/>
            <sz val="8"/>
            <color indexed="81"/>
            <rFont val="Tahoma"/>
            <family val="2"/>
          </rPr>
          <t>lehman:</t>
        </r>
        <r>
          <rPr>
            <sz val="8"/>
            <color indexed="81"/>
            <rFont val="Tahoma"/>
            <family val="2"/>
          </rPr>
          <t xml:space="preserve">
Includes net operating results of both TK Maxx and Homegoods as well as a reserve for value mart</t>
        </r>
      </text>
    </comment>
    <comment ref="BJ40" authorId="1">
      <text>
        <r>
          <rPr>
            <b/>
            <sz val="8"/>
            <color indexed="81"/>
            <rFont val="Tahoma"/>
            <family val="2"/>
          </rPr>
          <t>lehman:</t>
        </r>
        <r>
          <rPr>
            <sz val="8"/>
            <color indexed="81"/>
            <rFont val="Tahoma"/>
            <family val="2"/>
          </rPr>
          <t xml:space="preserve">
Includes net operating results of both TK Maxx and Homegoods</t>
        </r>
      </text>
    </comment>
    <comment ref="BJ41" authorId="1">
      <text>
        <r>
          <rPr>
            <b/>
            <sz val="8"/>
            <color indexed="81"/>
            <rFont val="Tahoma"/>
            <family val="2"/>
          </rPr>
          <t>lehman:</t>
        </r>
        <r>
          <rPr>
            <sz val="8"/>
            <color indexed="81"/>
            <rFont val="Tahoma"/>
            <family val="2"/>
          </rPr>
          <t xml:space="preserve">
Includes net operating results of both TK Maxx and Homegoods</t>
        </r>
      </text>
    </comment>
    <comment ref="BJ42" authorId="1">
      <text>
        <r>
          <rPr>
            <b/>
            <sz val="8"/>
            <color indexed="81"/>
            <rFont val="Tahoma"/>
            <family val="2"/>
          </rPr>
          <t>lehman:</t>
        </r>
        <r>
          <rPr>
            <sz val="8"/>
            <color indexed="81"/>
            <rFont val="Tahoma"/>
            <family val="2"/>
          </rPr>
          <t xml:space="preserve">
Includes net operating results of both TK Maxx and Homegoods</t>
        </r>
      </text>
    </comment>
    <comment ref="BJ43" authorId="1">
      <text>
        <r>
          <rPr>
            <b/>
            <sz val="8"/>
            <color indexed="81"/>
            <rFont val="Tahoma"/>
            <family val="2"/>
          </rPr>
          <t>lehman:</t>
        </r>
        <r>
          <rPr>
            <sz val="8"/>
            <color indexed="81"/>
            <rFont val="Tahoma"/>
            <family val="2"/>
          </rPr>
          <t xml:space="preserve">
Includes net operating results of Homegoods</t>
        </r>
      </text>
    </comment>
    <comment ref="BJ46" authorId="1">
      <text>
        <r>
          <rPr>
            <b/>
            <sz val="8"/>
            <color indexed="81"/>
            <rFont val="Tahoma"/>
            <family val="2"/>
          </rPr>
          <t>lehman:</t>
        </r>
        <r>
          <rPr>
            <sz val="8"/>
            <color indexed="81"/>
            <rFont val="Tahoma"/>
            <family val="2"/>
          </rPr>
          <t xml:space="preserve">
Includes net operating results of TK Maxx </t>
        </r>
      </text>
    </comment>
    <comment ref="AC53" authorId="1">
      <text>
        <r>
          <rPr>
            <b/>
            <sz val="8"/>
            <color indexed="81"/>
            <rFont val="Tahoma"/>
            <family val="2"/>
          </rPr>
          <t>lehman:</t>
        </r>
        <r>
          <rPr>
            <sz val="8"/>
            <color indexed="81"/>
            <rFont val="Tahoma"/>
            <family val="2"/>
          </rPr>
          <t xml:space="preserve">
Included in corporate expense line for 1996</t>
        </r>
      </text>
    </comment>
    <comment ref="BJ56" authorId="1">
      <text>
        <r>
          <rPr>
            <b/>
            <sz val="8"/>
            <color indexed="81"/>
            <rFont val="Tahoma"/>
            <family val="2"/>
          </rPr>
          <t>lehman:</t>
        </r>
        <r>
          <rPr>
            <sz val="8"/>
            <color indexed="81"/>
            <rFont val="Tahoma"/>
            <family val="2"/>
          </rPr>
          <t xml:space="preserve">
includes the net operating results of TK Maxx.</t>
        </r>
      </text>
    </comment>
    <comment ref="BK60" authorId="2">
      <text>
        <r>
          <rPr>
            <b/>
            <sz val="8"/>
            <color indexed="81"/>
            <rFont val="Tahoma"/>
            <family val="2"/>
          </rPr>
          <t>Lehman Brothers:</t>
        </r>
        <r>
          <rPr>
            <sz val="8"/>
            <color indexed="81"/>
            <rFont val="Tahoma"/>
            <family val="2"/>
          </rPr>
          <t xml:space="preserve">
if exclude tk maxx, adds up</t>
        </r>
      </text>
    </comment>
    <comment ref="AO74" authorId="2">
      <text>
        <r>
          <rPr>
            <b/>
            <sz val="8"/>
            <color indexed="81"/>
            <rFont val="Tahoma"/>
            <family val="2"/>
          </rPr>
          <t>Lehman Brothers:</t>
        </r>
        <r>
          <rPr>
            <sz val="8"/>
            <color indexed="81"/>
            <rFont val="Tahoma"/>
            <family val="2"/>
          </rPr>
          <t xml:space="preserve">
per 26 week total less 2q 13 week total</t>
        </r>
      </text>
    </comment>
    <comment ref="AR74" authorId="2">
      <text>
        <r>
          <rPr>
            <b/>
            <sz val="8"/>
            <color indexed="81"/>
            <rFont val="Tahoma"/>
            <family val="2"/>
          </rPr>
          <t>Lehman Brothers:</t>
        </r>
        <r>
          <rPr>
            <sz val="8"/>
            <color indexed="81"/>
            <rFont val="Tahoma"/>
            <family val="2"/>
          </rPr>
          <t xml:space="preserve">
per 26 week total less 2q 13 week total</t>
        </r>
      </text>
    </comment>
    <comment ref="AF85" authorId="2">
      <text>
        <r>
          <rPr>
            <b/>
            <sz val="8"/>
            <color indexed="81"/>
            <rFont val="Tahoma"/>
            <family val="2"/>
          </rPr>
          <t>Lehman Brothers:</t>
        </r>
        <r>
          <rPr>
            <sz val="8"/>
            <color indexed="81"/>
            <rFont val="Tahoma"/>
            <family val="2"/>
          </rPr>
          <t xml:space="preserve">
includes charge of $6.3 million related to estimated cost of closing 3 stores in netherlands</t>
        </r>
      </text>
    </comment>
    <comment ref="BJ97" authorId="1">
      <text>
        <r>
          <rPr>
            <b/>
            <sz val="8"/>
            <color indexed="81"/>
            <rFont val="Tahoma"/>
            <family val="2"/>
          </rPr>
          <t>lehman:</t>
        </r>
        <r>
          <rPr>
            <sz val="8"/>
            <color indexed="81"/>
            <rFont val="Tahoma"/>
            <family val="2"/>
          </rPr>
          <t xml:space="preserve">
increase YoY related to increase in pension and retirement related costs - reduced rate of return assumption ($2MM)</t>
        </r>
      </text>
    </comment>
    <comment ref="I98" authorId="1">
      <text>
        <r>
          <rPr>
            <b/>
            <sz val="8"/>
            <color indexed="81"/>
            <rFont val="Tahoma"/>
            <family val="2"/>
          </rPr>
          <t>lehman:</t>
        </r>
        <r>
          <rPr>
            <sz val="8"/>
            <color indexed="81"/>
            <rFont val="Tahoma"/>
            <family val="2"/>
          </rPr>
          <t xml:space="preserve">
180 bps decline, MM performance flat to '01 Below plan comp further pressured GM as take aggressive markdowns if underperforming with occupancy/dist as % sales higher.  Also higher costs (benefits and insurance)</t>
        </r>
      </text>
    </comment>
    <comment ref="I99" authorId="1">
      <text>
        <r>
          <rPr>
            <b/>
            <sz val="8"/>
            <color indexed="81"/>
            <rFont val="Tahoma"/>
            <family val="2"/>
          </rPr>
          <t>lehman:</t>
        </r>
        <r>
          <rPr>
            <sz val="8"/>
            <color indexed="81"/>
            <rFont val="Tahoma"/>
            <family val="2"/>
          </rPr>
          <t xml:space="preserve">
mgmt had planned for 9.8% OM, higher than expected benefit and insurance costs drove 30bps of differential</t>
        </r>
      </text>
    </comment>
    <comment ref="G102" authorId="3">
      <text>
        <r>
          <rPr>
            <b/>
            <sz val="8"/>
            <color indexed="81"/>
            <rFont val="Tahoma"/>
            <family val="2"/>
          </rPr>
          <t>mm98285:</t>
        </r>
        <r>
          <rPr>
            <sz val="8"/>
            <color indexed="81"/>
            <rFont val="Tahoma"/>
            <family val="2"/>
          </rPr>
          <t xml:space="preserve">
2/2/06: revised from $193.885mm for early adoption of stock expense accounting</t>
        </r>
      </text>
    </comment>
    <comment ref="I102" authorId="1">
      <text>
        <r>
          <rPr>
            <b/>
            <sz val="8"/>
            <color indexed="81"/>
            <rFont val="Tahoma"/>
            <family val="2"/>
          </rPr>
          <t>lehman:</t>
        </r>
        <r>
          <rPr>
            <sz val="8"/>
            <color indexed="81"/>
            <rFont val="Tahoma"/>
            <family val="2"/>
          </rPr>
          <t xml:space="preserve">
ahead of plan</t>
        </r>
      </text>
    </comment>
    <comment ref="Z102" authorId="3">
      <text>
        <r>
          <rPr>
            <b/>
            <sz val="8"/>
            <color indexed="81"/>
            <rFont val="Tahoma"/>
            <family val="2"/>
          </rPr>
          <t>mm98285:</t>
        </r>
        <r>
          <rPr>
            <sz val="8"/>
            <color indexed="81"/>
            <rFont val="Tahoma"/>
            <family val="2"/>
          </rPr>
          <t xml:space="preserve">
2/2/06: revised from $11.793mm for early adoption of stock expense accounting</t>
        </r>
      </text>
    </comment>
    <comment ref="AF102" authorId="3">
      <text>
        <r>
          <rPr>
            <b/>
            <sz val="8"/>
            <color indexed="81"/>
            <rFont val="Tahoma"/>
            <family val="2"/>
          </rPr>
          <t>mm98285:</t>
        </r>
        <r>
          <rPr>
            <sz val="8"/>
            <color indexed="81"/>
            <rFont val="Tahoma"/>
            <family val="2"/>
          </rPr>
          <t xml:space="preserve">
2/2/06: revised from $0.916mm for early adoption of stock expense accounting</t>
        </r>
      </text>
    </comment>
    <comment ref="AL102" authorId="3">
      <text>
        <r>
          <rPr>
            <b/>
            <sz val="8"/>
            <color indexed="81"/>
            <rFont val="Tahoma"/>
            <family val="2"/>
          </rPr>
          <t>mm98285:</t>
        </r>
        <r>
          <rPr>
            <sz val="8"/>
            <color indexed="81"/>
            <rFont val="Tahoma"/>
            <family val="2"/>
          </rPr>
          <t xml:space="preserve">
2/2/06: revised from $4.532mm for early adoption of stock expense accounting</t>
        </r>
      </text>
    </comment>
    <comment ref="AR102" authorId="3">
      <text>
        <r>
          <rPr>
            <b/>
            <sz val="8"/>
            <color indexed="81"/>
            <rFont val="Tahoma"/>
            <family val="2"/>
          </rPr>
          <t>mm98285:</t>
        </r>
        <r>
          <rPr>
            <sz val="8"/>
            <color indexed="81"/>
            <rFont val="Tahoma"/>
            <family val="2"/>
          </rPr>
          <t xml:space="preserve">
2/2/06: revised from ($2.345)mm for early adoption of stock expense accounting</t>
        </r>
      </text>
    </comment>
    <comment ref="BJ102" authorId="3">
      <text>
        <r>
          <rPr>
            <b/>
            <sz val="8"/>
            <color indexed="81"/>
            <rFont val="Tahoma"/>
            <family val="2"/>
          </rPr>
          <t>mm98285:</t>
        </r>
        <r>
          <rPr>
            <sz val="8"/>
            <color indexed="81"/>
            <rFont val="Tahoma"/>
            <family val="2"/>
          </rPr>
          <t xml:space="preserve">
2/2/06: revised from $16.597mm for early adoption of stock expense accounting</t>
        </r>
      </text>
    </comment>
    <comment ref="D103" authorId="1">
      <text>
        <r>
          <rPr>
            <b/>
            <sz val="8"/>
            <color indexed="81"/>
            <rFont val="Tahoma"/>
            <family val="2"/>
          </rPr>
          <t>lehman:</t>
        </r>
        <r>
          <rPr>
            <sz val="8"/>
            <color indexed="81"/>
            <rFont val="Tahoma"/>
            <family val="2"/>
          </rPr>
          <t xml:space="preserve">
2305.5</t>
        </r>
      </text>
    </comment>
    <comment ref="G103" authorId="3">
      <text>
        <r>
          <rPr>
            <b/>
            <sz val="8"/>
            <color indexed="81"/>
            <rFont val="Tahoma"/>
            <family val="2"/>
          </rPr>
          <t>mm98285:</t>
        </r>
        <r>
          <rPr>
            <sz val="8"/>
            <color indexed="81"/>
            <rFont val="Tahoma"/>
            <family val="2"/>
          </rPr>
          <t xml:space="preserve">
2/2/06: revised from $191.8mm for early adoption of stock expense accounting</t>
        </r>
      </text>
    </comment>
    <comment ref="I103" authorId="1">
      <text>
        <r>
          <rPr>
            <b/>
            <sz val="8"/>
            <color indexed="81"/>
            <rFont val="Tahoma"/>
            <family val="2"/>
          </rPr>
          <t>lehman:</t>
        </r>
        <r>
          <rPr>
            <sz val="8"/>
            <color indexed="81"/>
            <rFont val="Tahoma"/>
            <family val="2"/>
          </rPr>
          <t xml:space="preserve">
8.8</t>
        </r>
      </text>
    </comment>
    <comment ref="W103" authorId="1">
      <text>
        <r>
          <rPr>
            <b/>
            <sz val="8"/>
            <color indexed="81"/>
            <rFont val="Tahoma"/>
            <family val="2"/>
          </rPr>
          <t>lehman:</t>
        </r>
        <r>
          <rPr>
            <sz val="8"/>
            <color indexed="81"/>
            <rFont val="Tahoma"/>
            <family val="2"/>
          </rPr>
          <t xml:space="preserve">
226.3</t>
        </r>
      </text>
    </comment>
    <comment ref="Z103" authorId="3">
      <text>
        <r>
          <rPr>
            <b/>
            <sz val="8"/>
            <color indexed="81"/>
            <rFont val="Tahoma"/>
            <family val="2"/>
          </rPr>
          <t>mm98285:</t>
        </r>
        <r>
          <rPr>
            <sz val="8"/>
            <color indexed="81"/>
            <rFont val="Tahoma"/>
            <family val="2"/>
          </rPr>
          <t xml:space="preserve">
2/2/06: revised from $18.138mm for early adoption of stock expense accounting</t>
        </r>
      </text>
    </comment>
    <comment ref="AA103" authorId="1">
      <text>
        <r>
          <rPr>
            <b/>
            <sz val="8"/>
            <color indexed="81"/>
            <rFont val="Tahoma"/>
            <family val="2"/>
          </rPr>
          <t>lehman:</t>
        </r>
        <r>
          <rPr>
            <sz val="8"/>
            <color indexed="81"/>
            <rFont val="Tahoma"/>
            <family val="2"/>
          </rPr>
          <t xml:space="preserve">
6.0</t>
        </r>
      </text>
    </comment>
    <comment ref="AC103" authorId="1">
      <text>
        <r>
          <rPr>
            <b/>
            <sz val="8"/>
            <color indexed="81"/>
            <rFont val="Tahoma"/>
            <family val="2"/>
          </rPr>
          <t>lehman:</t>
        </r>
        <r>
          <rPr>
            <sz val="8"/>
            <color indexed="81"/>
            <rFont val="Tahoma"/>
            <family val="2"/>
          </rPr>
          <t xml:space="preserve">
201.3</t>
        </r>
      </text>
    </comment>
    <comment ref="AF103" authorId="3">
      <text>
        <r>
          <rPr>
            <b/>
            <sz val="8"/>
            <color indexed="81"/>
            <rFont val="Tahoma"/>
            <family val="2"/>
          </rPr>
          <t>mm98285:</t>
        </r>
        <r>
          <rPr>
            <sz val="8"/>
            <color indexed="81"/>
            <rFont val="Tahoma"/>
            <family val="2"/>
          </rPr>
          <t xml:space="preserve">
2/2/06: revised from $8.184mm for early adoption of stock expense accounting</t>
        </r>
      </text>
    </comment>
    <comment ref="AG103" authorId="1">
      <text>
        <r>
          <rPr>
            <b/>
            <sz val="8"/>
            <color indexed="81"/>
            <rFont val="Tahoma"/>
            <family val="2"/>
          </rPr>
          <t>lehman:</t>
        </r>
        <r>
          <rPr>
            <sz val="8"/>
            <color indexed="81"/>
            <rFont val="Tahoma"/>
            <family val="2"/>
          </rPr>
          <t xml:space="preserve">
4.5</t>
        </r>
      </text>
    </comment>
    <comment ref="AI103" authorId="1">
      <text>
        <r>
          <rPr>
            <b/>
            <sz val="8"/>
            <color indexed="81"/>
            <rFont val="Tahoma"/>
            <family val="2"/>
          </rPr>
          <t>lehman:</t>
        </r>
        <r>
          <rPr>
            <sz val="8"/>
            <color indexed="81"/>
            <rFont val="Tahoma"/>
            <family val="2"/>
          </rPr>
          <t xml:space="preserve">
190</t>
        </r>
      </text>
    </comment>
    <comment ref="AL103" authorId="3">
      <text>
        <r>
          <rPr>
            <b/>
            <sz val="8"/>
            <color indexed="81"/>
            <rFont val="Tahoma"/>
            <family val="2"/>
          </rPr>
          <t>mm98285:</t>
        </r>
        <r>
          <rPr>
            <sz val="8"/>
            <color indexed="81"/>
            <rFont val="Tahoma"/>
            <family val="2"/>
          </rPr>
          <t xml:space="preserve">
2/2/06: revised from $6.114mm for early adoption of stock expense accounting</t>
        </r>
      </text>
    </comment>
    <comment ref="AM103" authorId="1">
      <text>
        <r>
          <rPr>
            <b/>
            <sz val="8"/>
            <color indexed="81"/>
            <rFont val="Tahoma"/>
            <family val="2"/>
          </rPr>
          <t>lehman:</t>
        </r>
        <r>
          <rPr>
            <sz val="8"/>
            <color indexed="81"/>
            <rFont val="Tahoma"/>
            <family val="2"/>
          </rPr>
          <t xml:space="preserve">
1.2</t>
        </r>
      </text>
    </comment>
    <comment ref="AO103" authorId="1">
      <text>
        <r>
          <rPr>
            <b/>
            <sz val="8"/>
            <color indexed="81"/>
            <rFont val="Tahoma"/>
            <family val="2"/>
          </rPr>
          <t>lehman:</t>
        </r>
        <r>
          <rPr>
            <sz val="8"/>
            <color indexed="81"/>
            <rFont val="Tahoma"/>
            <family val="2"/>
          </rPr>
          <t xml:space="preserve">
98.1</t>
        </r>
      </text>
    </comment>
    <comment ref="AR103" authorId="3">
      <text>
        <r>
          <rPr>
            <b/>
            <sz val="8"/>
            <color indexed="81"/>
            <rFont val="Tahoma"/>
            <family val="2"/>
          </rPr>
          <t>mm98285:</t>
        </r>
        <r>
          <rPr>
            <sz val="8"/>
            <color indexed="81"/>
            <rFont val="Tahoma"/>
            <family val="2"/>
          </rPr>
          <t xml:space="preserve">
2/2/06: revised from $1.839mm for early adoption of stock expense accounting</t>
        </r>
      </text>
    </comment>
    <comment ref="AS103" authorId="1">
      <text>
        <r>
          <rPr>
            <b/>
            <sz val="8"/>
            <color indexed="81"/>
            <rFont val="Tahoma"/>
            <family val="2"/>
          </rPr>
          <t>lehman:</t>
        </r>
        <r>
          <rPr>
            <sz val="8"/>
            <color indexed="81"/>
            <rFont val="Tahoma"/>
            <family val="2"/>
          </rPr>
          <t xml:space="preserve">
-2.0</t>
        </r>
      </text>
    </comment>
    <comment ref="BJ103" authorId="3">
      <text>
        <r>
          <rPr>
            <b/>
            <sz val="8"/>
            <color indexed="81"/>
            <rFont val="Tahoma"/>
            <family val="2"/>
          </rPr>
          <t>mm98285:</t>
        </r>
        <r>
          <rPr>
            <sz val="8"/>
            <color indexed="81"/>
            <rFont val="Tahoma"/>
            <family val="2"/>
          </rPr>
          <t xml:space="preserve">
2/2/06: revised from $17.767mm for early adoption of stock expense accounting</t>
        </r>
      </text>
    </comment>
    <comment ref="D104" authorId="1">
      <text>
        <r>
          <rPr>
            <b/>
            <sz val="8"/>
            <color indexed="81"/>
            <rFont val="Tahoma"/>
            <family val="2"/>
          </rPr>
          <t>lehman:</t>
        </r>
        <r>
          <rPr>
            <sz val="8"/>
            <color indexed="81"/>
            <rFont val="Tahoma"/>
            <family val="2"/>
          </rPr>
          <t xml:space="preserve">
2511.7</t>
        </r>
      </text>
    </comment>
    <comment ref="G104" authorId="3">
      <text>
        <r>
          <rPr>
            <b/>
            <sz val="8"/>
            <color indexed="81"/>
            <rFont val="Tahoma"/>
            <family val="2"/>
          </rPr>
          <t>mm98285:</t>
        </r>
        <r>
          <rPr>
            <sz val="8"/>
            <color indexed="81"/>
            <rFont val="Tahoma"/>
            <family val="2"/>
          </rPr>
          <t xml:space="preserve">
2/2/06: revised from $264.878mm for early adoption of stock expense accounting</t>
        </r>
      </text>
    </comment>
    <comment ref="I104" authorId="1">
      <text>
        <r>
          <rPr>
            <b/>
            <sz val="8"/>
            <color indexed="81"/>
            <rFont val="Tahoma"/>
            <family val="2"/>
          </rPr>
          <t>lehman:</t>
        </r>
        <r>
          <rPr>
            <sz val="8"/>
            <color indexed="81"/>
            <rFont val="Tahoma"/>
            <family val="2"/>
          </rPr>
          <t xml:space="preserve">
8/12 guided for 9.7-10.3
9.9</t>
        </r>
      </text>
    </comment>
    <comment ref="W104" authorId="1">
      <text>
        <r>
          <rPr>
            <b/>
            <sz val="8"/>
            <color indexed="81"/>
            <rFont val="Tahoma"/>
            <family val="2"/>
          </rPr>
          <t>lehman:</t>
        </r>
        <r>
          <rPr>
            <sz val="8"/>
            <color indexed="81"/>
            <rFont val="Tahoma"/>
            <family val="2"/>
          </rPr>
          <t xml:space="preserve">
274</t>
        </r>
      </text>
    </comment>
    <comment ref="Z104" authorId="3">
      <text>
        <r>
          <rPr>
            <b/>
            <sz val="8"/>
            <color indexed="81"/>
            <rFont val="Tahoma"/>
            <family val="2"/>
          </rPr>
          <t>mm98285:</t>
        </r>
        <r>
          <rPr>
            <sz val="8"/>
            <color indexed="81"/>
            <rFont val="Tahoma"/>
            <family val="2"/>
          </rPr>
          <t xml:space="preserve">
2/2/06: revised from $36.295mm for early adoption of stock expense accounting</t>
        </r>
      </text>
    </comment>
    <comment ref="AA104" authorId="1">
      <text>
        <r>
          <rPr>
            <b/>
            <sz val="8"/>
            <color indexed="81"/>
            <rFont val="Tahoma"/>
            <family val="2"/>
          </rPr>
          <t>lehman:</t>
        </r>
        <r>
          <rPr>
            <sz val="8"/>
            <color indexed="81"/>
            <rFont val="Tahoma"/>
            <family val="2"/>
          </rPr>
          <t xml:space="preserve">
8/12 guided for 14%</t>
        </r>
      </text>
    </comment>
    <comment ref="AC104" authorId="1">
      <text>
        <r>
          <rPr>
            <b/>
            <sz val="8"/>
            <color indexed="81"/>
            <rFont val="Tahoma"/>
            <family val="2"/>
          </rPr>
          <t>lehman:</t>
        </r>
        <r>
          <rPr>
            <sz val="8"/>
            <color indexed="81"/>
            <rFont val="Tahoma"/>
            <family val="2"/>
          </rPr>
          <t xml:space="preserve">
247.3</t>
        </r>
      </text>
    </comment>
    <comment ref="AF104" authorId="3">
      <text>
        <r>
          <rPr>
            <b/>
            <sz val="8"/>
            <color indexed="81"/>
            <rFont val="Tahoma"/>
            <family val="2"/>
          </rPr>
          <t>mm98285:</t>
        </r>
        <r>
          <rPr>
            <sz val="8"/>
            <color indexed="81"/>
            <rFont val="Tahoma"/>
            <family val="2"/>
          </rPr>
          <t xml:space="preserve">
2/2/06: revised from $17.507mm for early adoption of stock expense accounting</t>
        </r>
      </text>
    </comment>
    <comment ref="AG104" authorId="1">
      <text>
        <r>
          <rPr>
            <b/>
            <sz val="8"/>
            <color indexed="81"/>
            <rFont val="Tahoma"/>
            <family val="2"/>
          </rPr>
          <t>lehman:</t>
        </r>
        <r>
          <rPr>
            <sz val="8"/>
            <color indexed="81"/>
            <rFont val="Tahoma"/>
            <family val="2"/>
          </rPr>
          <t xml:space="preserve">
8/12 guided for 7.2%
7.0</t>
        </r>
      </text>
    </comment>
    <comment ref="AI104" authorId="1">
      <text>
        <r>
          <rPr>
            <b/>
            <sz val="8"/>
            <color indexed="81"/>
            <rFont val="Tahoma"/>
            <family val="2"/>
          </rPr>
          <t>lehman:</t>
        </r>
        <r>
          <rPr>
            <sz val="8"/>
            <color indexed="81"/>
            <rFont val="Tahoma"/>
            <family val="2"/>
          </rPr>
          <t xml:space="preserve">
221.4</t>
        </r>
      </text>
    </comment>
    <comment ref="AL104" authorId="3">
      <text>
        <r>
          <rPr>
            <b/>
            <sz val="8"/>
            <color indexed="81"/>
            <rFont val="Tahoma"/>
            <family val="2"/>
          </rPr>
          <t>mm98285:</t>
        </r>
        <r>
          <rPr>
            <sz val="8"/>
            <color indexed="81"/>
            <rFont val="Tahoma"/>
            <family val="2"/>
          </rPr>
          <t xml:space="preserve">
2/2/06: revised from $16.438mm for early adoption of stock expense accounting</t>
        </r>
      </text>
    </comment>
    <comment ref="AM104" authorId="1">
      <text>
        <r>
          <rPr>
            <b/>
            <sz val="8"/>
            <color indexed="81"/>
            <rFont val="Tahoma"/>
            <family val="2"/>
          </rPr>
          <t>lehman:</t>
        </r>
        <r>
          <rPr>
            <sz val="8"/>
            <color indexed="81"/>
            <rFont val="Tahoma"/>
            <family val="2"/>
          </rPr>
          <t xml:space="preserve">
8/12 guided for 5.8%
6.5</t>
        </r>
      </text>
    </comment>
    <comment ref="AO104" authorId="1">
      <text>
        <r>
          <rPr>
            <b/>
            <sz val="8"/>
            <color indexed="81"/>
            <rFont val="Tahoma"/>
            <family val="2"/>
          </rPr>
          <t>lehman:</t>
        </r>
        <r>
          <rPr>
            <sz val="8"/>
            <color indexed="81"/>
            <rFont val="Tahoma"/>
            <family val="2"/>
          </rPr>
          <t xml:space="preserve">
104.2</t>
        </r>
      </text>
    </comment>
    <comment ref="AR104" authorId="1">
      <text>
        <r>
          <rPr>
            <b/>
            <sz val="8"/>
            <color indexed="81"/>
            <rFont val="Tahoma"/>
            <family val="2"/>
          </rPr>
          <t>lehman:</t>
        </r>
        <r>
          <rPr>
            <sz val="8"/>
            <color indexed="81"/>
            <rFont val="Tahoma"/>
            <family val="2"/>
          </rPr>
          <t xml:space="preserve">
2/2/06: revised from ($1.913)mm for early adoption of stock expense accounting
8/12 guided for 4mil loss but said conservative</t>
        </r>
      </text>
    </comment>
    <comment ref="AS104" authorId="1">
      <text>
        <r>
          <rPr>
            <b/>
            <sz val="8"/>
            <color indexed="81"/>
            <rFont val="Tahoma"/>
            <family val="2"/>
          </rPr>
          <t>lehman:</t>
        </r>
        <r>
          <rPr>
            <sz val="8"/>
            <color indexed="81"/>
            <rFont val="Tahoma"/>
            <family val="2"/>
          </rPr>
          <t xml:space="preserve">
-1</t>
        </r>
      </text>
    </comment>
    <comment ref="BJ104" authorId="3">
      <text>
        <r>
          <rPr>
            <b/>
            <sz val="8"/>
            <color indexed="81"/>
            <rFont val="Tahoma"/>
            <family val="2"/>
          </rPr>
          <t>mm98285:</t>
        </r>
        <r>
          <rPr>
            <sz val="8"/>
            <color indexed="81"/>
            <rFont val="Tahoma"/>
            <family val="2"/>
          </rPr>
          <t xml:space="preserve">
2/2/06: revised from $25.944mm for early adoption of stock expense accounting</t>
        </r>
      </text>
    </comment>
    <comment ref="G105" authorId="3">
      <text>
        <r>
          <rPr>
            <b/>
            <sz val="8"/>
            <color indexed="81"/>
            <rFont val="Tahoma"/>
            <family val="2"/>
          </rPr>
          <t>mm98285:</t>
        </r>
        <r>
          <rPr>
            <sz val="8"/>
            <color indexed="81"/>
            <rFont val="Tahoma"/>
            <family val="2"/>
          </rPr>
          <t xml:space="preserve">
2/2/06: revised from $311.069mm for early adoption of stock expense accounting</t>
        </r>
      </text>
    </comment>
    <comment ref="I105" authorId="1">
      <text>
        <r>
          <rPr>
            <b/>
            <sz val="8"/>
            <color indexed="81"/>
            <rFont val="Tahoma"/>
            <family val="2"/>
          </rPr>
          <t>lehman:</t>
        </r>
        <r>
          <rPr>
            <sz val="8"/>
            <color indexed="81"/>
            <rFont val="Tahoma"/>
            <family val="2"/>
          </rPr>
          <t xml:space="preserve">
8/12 guided for 8.5-9.1
11/12 guided still 8.5-9.1</t>
        </r>
      </text>
    </comment>
    <comment ref="Z105" authorId="3">
      <text>
        <r>
          <rPr>
            <b/>
            <sz val="8"/>
            <color indexed="81"/>
            <rFont val="Tahoma"/>
            <family val="2"/>
          </rPr>
          <t>mm98285:</t>
        </r>
        <r>
          <rPr>
            <sz val="8"/>
            <color indexed="81"/>
            <rFont val="Tahoma"/>
            <family val="2"/>
          </rPr>
          <t xml:space="preserve">
2/2/06: revised from $40.519mm for early adoption of stock expense accounting</t>
        </r>
      </text>
    </comment>
    <comment ref="AA105" authorId="1">
      <text>
        <r>
          <rPr>
            <b/>
            <sz val="8"/>
            <color indexed="81"/>
            <rFont val="Tahoma"/>
            <family val="2"/>
          </rPr>
          <t>lehman:</t>
        </r>
        <r>
          <rPr>
            <sz val="8"/>
            <color indexed="81"/>
            <rFont val="Tahoma"/>
            <family val="2"/>
          </rPr>
          <t xml:space="preserve">
8/12 guided for 12%
11/12 guided 12.3</t>
        </r>
      </text>
    </comment>
    <comment ref="AF105" authorId="3">
      <text>
        <r>
          <rPr>
            <b/>
            <sz val="8"/>
            <color indexed="81"/>
            <rFont val="Tahoma"/>
            <family val="2"/>
          </rPr>
          <t>mm98285:</t>
        </r>
        <r>
          <rPr>
            <sz val="8"/>
            <color indexed="81"/>
            <rFont val="Tahoma"/>
            <family val="2"/>
          </rPr>
          <t xml:space="preserve">
2/2/06: revised from $32.452mm for early adoption of stock expense accounting</t>
        </r>
      </text>
    </comment>
    <comment ref="AG105" authorId="1">
      <text>
        <r>
          <rPr>
            <b/>
            <sz val="8"/>
            <color indexed="81"/>
            <rFont val="Tahoma"/>
            <family val="2"/>
          </rPr>
          <t>lehman:</t>
        </r>
        <r>
          <rPr>
            <sz val="8"/>
            <color indexed="81"/>
            <rFont val="Tahoma"/>
            <family val="2"/>
          </rPr>
          <t xml:space="preserve">
8/12 guided for 9.7%
11/12 guided for 9.8%</t>
        </r>
      </text>
    </comment>
    <comment ref="AL105" authorId="3">
      <text>
        <r>
          <rPr>
            <b/>
            <sz val="8"/>
            <color indexed="81"/>
            <rFont val="Tahoma"/>
            <family val="2"/>
          </rPr>
          <t>mm98285:</t>
        </r>
        <r>
          <rPr>
            <sz val="8"/>
            <color indexed="81"/>
            <rFont val="Tahoma"/>
            <family val="2"/>
          </rPr>
          <t xml:space="preserve">
2/2/06: revised from $22.752mm for early adoption of stock expense accounting</t>
        </r>
      </text>
    </comment>
    <comment ref="AM105" authorId="1">
      <text>
        <r>
          <rPr>
            <b/>
            <sz val="8"/>
            <color indexed="81"/>
            <rFont val="Tahoma"/>
            <family val="2"/>
          </rPr>
          <t>lehman:</t>
        </r>
        <r>
          <rPr>
            <sz val="8"/>
            <color indexed="81"/>
            <rFont val="Tahoma"/>
            <family val="2"/>
          </rPr>
          <t xml:space="preserve">
8/12 guided for 8.8%
8/12 guided for 8.4%</t>
        </r>
      </text>
    </comment>
    <comment ref="AR105" authorId="1">
      <text>
        <r>
          <rPr>
            <b/>
            <sz val="8"/>
            <color indexed="81"/>
            <rFont val="Tahoma"/>
            <family val="2"/>
          </rPr>
          <t xml:space="preserve">lehman:
</t>
        </r>
        <r>
          <rPr>
            <sz val="8"/>
            <color indexed="81"/>
            <rFont val="Tahoma"/>
            <family val="2"/>
          </rPr>
          <t>2/2/06: revised from $4.111mm for early adoption of stock expense accounting</t>
        </r>
        <r>
          <rPr>
            <sz val="8"/>
            <color indexed="81"/>
            <rFont val="Tahoma"/>
            <family val="2"/>
          </rPr>
          <t xml:space="preserve">
8/12 guided for 2 mil gain</t>
        </r>
      </text>
    </comment>
    <comment ref="AS105" authorId="1">
      <text>
        <r>
          <rPr>
            <b/>
            <sz val="8"/>
            <color indexed="81"/>
            <rFont val="Tahoma"/>
            <family val="2"/>
          </rPr>
          <t>lehman:</t>
        </r>
        <r>
          <rPr>
            <sz val="8"/>
            <color indexed="81"/>
            <rFont val="Tahoma"/>
            <family val="2"/>
          </rPr>
          <t xml:space="preserve">
had 0.3
11/12 guided for $1.8m profit</t>
        </r>
      </text>
    </comment>
    <comment ref="AV105" authorId="1">
      <text>
        <r>
          <rPr>
            <b/>
            <sz val="8"/>
            <color indexed="81"/>
            <rFont val="Tahoma"/>
            <family val="2"/>
          </rPr>
          <t>lehman:</t>
        </r>
        <r>
          <rPr>
            <sz val="8"/>
            <color indexed="81"/>
            <rFont val="Tahoma"/>
            <family val="2"/>
          </rPr>
          <t xml:space="preserve">
4/20/04 Contribution as of completion of acquisition on 12/24/03</t>
        </r>
      </text>
    </comment>
    <comment ref="AY105" authorId="3">
      <text>
        <r>
          <rPr>
            <b/>
            <sz val="8"/>
            <color indexed="81"/>
            <rFont val="Tahoma"/>
            <family val="2"/>
          </rPr>
          <t>mm98285:</t>
        </r>
        <r>
          <rPr>
            <sz val="8"/>
            <color indexed="81"/>
            <rFont val="Tahoma"/>
            <family val="2"/>
          </rPr>
          <t xml:space="preserve">
2/2/06: revised from ($4.970)mm for early adoption of stock expense accounting</t>
        </r>
      </text>
    </comment>
    <comment ref="BJ105" authorId="3">
      <text>
        <r>
          <rPr>
            <b/>
            <sz val="8"/>
            <color indexed="81"/>
            <rFont val="Tahoma"/>
            <family val="2"/>
          </rPr>
          <t>mm98285:</t>
        </r>
        <r>
          <rPr>
            <sz val="8"/>
            <color indexed="81"/>
            <rFont val="Tahoma"/>
            <family val="2"/>
          </rPr>
          <t xml:space="preserve">
2/2/06: revised from $18.108mm for early adoption of stock expense accounting</t>
        </r>
      </text>
    </comment>
    <comment ref="D106" authorId="1">
      <text>
        <r>
          <rPr>
            <b/>
            <sz val="8"/>
            <color indexed="81"/>
            <rFont val="Tahoma"/>
            <family val="2"/>
          </rPr>
          <t>lehman:</t>
        </r>
        <r>
          <rPr>
            <sz val="8"/>
            <color indexed="81"/>
            <rFont val="Tahoma"/>
            <family val="2"/>
          </rPr>
          <t xml:space="preserve">
plan at $10.25</t>
        </r>
      </text>
    </comment>
    <comment ref="I106" authorId="1">
      <text>
        <r>
          <rPr>
            <b/>
            <sz val="8"/>
            <color indexed="81"/>
            <rFont val="Tahoma"/>
            <family val="2"/>
          </rPr>
          <t>lehman:</t>
        </r>
        <r>
          <rPr>
            <sz val="8"/>
            <color indexed="81"/>
            <rFont val="Tahoma"/>
            <family val="2"/>
          </rPr>
          <t xml:space="preserve">
mgmt guided to 9.5% OM for the year on 4q02 conf call</t>
        </r>
      </text>
    </comment>
    <comment ref="W106" authorId="1">
      <text>
        <r>
          <rPr>
            <b/>
            <sz val="8"/>
            <color indexed="81"/>
            <rFont val="Tahoma"/>
            <family val="2"/>
          </rPr>
          <t>lehman:</t>
        </r>
        <r>
          <rPr>
            <sz val="8"/>
            <color indexed="81"/>
            <rFont val="Tahoma"/>
            <family val="2"/>
          </rPr>
          <t xml:space="preserve">
plan for $975</t>
        </r>
      </text>
    </comment>
    <comment ref="AA106" authorId="1">
      <text>
        <r>
          <rPr>
            <b/>
            <sz val="8"/>
            <color indexed="81"/>
            <rFont val="Tahoma"/>
            <family val="2"/>
          </rPr>
          <t>lehman:</t>
        </r>
        <r>
          <rPr>
            <sz val="8"/>
            <color indexed="81"/>
            <rFont val="Tahoma"/>
            <family val="2"/>
          </rPr>
          <t xml:space="preserve">
mgmt guided to 10.8% OM for the year on 4q02 conf call</t>
        </r>
      </text>
    </comment>
    <comment ref="AC106" authorId="1">
      <text>
        <r>
          <rPr>
            <b/>
            <sz val="8"/>
            <color indexed="81"/>
            <rFont val="Tahoma"/>
            <family val="2"/>
          </rPr>
          <t>lehman:</t>
        </r>
        <r>
          <rPr>
            <sz val="8"/>
            <color indexed="81"/>
            <rFont val="Tahoma"/>
            <family val="2"/>
          </rPr>
          <t xml:space="preserve">
plan for $960</t>
        </r>
      </text>
    </comment>
    <comment ref="AG106" authorId="1">
      <text>
        <r>
          <rPr>
            <b/>
            <sz val="8"/>
            <color indexed="81"/>
            <rFont val="Tahoma"/>
            <family val="2"/>
          </rPr>
          <t>lehman:</t>
        </r>
        <r>
          <rPr>
            <sz val="8"/>
            <color indexed="81"/>
            <rFont val="Tahoma"/>
            <family val="2"/>
          </rPr>
          <t xml:space="preserve">
mgmt guided to 6% OM on 4q02 conf call</t>
        </r>
      </text>
    </comment>
    <comment ref="AI106" authorId="1">
      <text>
        <r>
          <rPr>
            <b/>
            <sz val="8"/>
            <color indexed="81"/>
            <rFont val="Tahoma"/>
            <family val="2"/>
          </rPr>
          <t>lehman:</t>
        </r>
        <r>
          <rPr>
            <sz val="8"/>
            <color indexed="81"/>
            <rFont val="Tahoma"/>
            <family val="2"/>
          </rPr>
          <t xml:space="preserve">
plan for $900</t>
        </r>
      </text>
    </comment>
    <comment ref="AM106" authorId="1">
      <text>
        <r>
          <rPr>
            <b/>
            <sz val="8"/>
            <color indexed="81"/>
            <rFont val="Tahoma"/>
            <family val="2"/>
          </rPr>
          <t>lehman:</t>
        </r>
        <r>
          <rPr>
            <sz val="8"/>
            <color indexed="81"/>
            <rFont val="Tahoma"/>
            <family val="2"/>
          </rPr>
          <t xml:space="preserve">
mgmt guided to 5% OM on 4q02 conf call</t>
        </r>
      </text>
    </comment>
    <comment ref="AO106" authorId="1">
      <text>
        <r>
          <rPr>
            <b/>
            <sz val="8"/>
            <color indexed="81"/>
            <rFont val="Tahoma"/>
            <family val="2"/>
          </rPr>
          <t>lehman:</t>
        </r>
        <r>
          <rPr>
            <sz val="8"/>
            <color indexed="81"/>
            <rFont val="Tahoma"/>
            <family val="2"/>
          </rPr>
          <t xml:space="preserve">
plan for $410</t>
        </r>
      </text>
    </comment>
    <comment ref="AR106" authorId="1">
      <text>
        <r>
          <rPr>
            <b/>
            <sz val="8"/>
            <color indexed="81"/>
            <rFont val="Tahoma"/>
            <family val="2"/>
          </rPr>
          <t>lehman:</t>
        </r>
        <r>
          <rPr>
            <sz val="8"/>
            <color indexed="81"/>
            <rFont val="Tahoma"/>
            <family val="2"/>
          </rPr>
          <t xml:space="preserve">
on 4q02 call, mgmt stated expects to narrow loss to $(9) million</t>
        </r>
      </text>
    </comment>
    <comment ref="G109" authorId="3">
      <text>
        <r>
          <rPr>
            <b/>
            <sz val="8"/>
            <color indexed="81"/>
            <rFont val="Tahoma"/>
            <family val="2"/>
          </rPr>
          <t>mm98285:</t>
        </r>
        <r>
          <rPr>
            <sz val="8"/>
            <color indexed="81"/>
            <rFont val="Tahoma"/>
            <family val="2"/>
          </rPr>
          <t xml:space="preserve">
2/2/06: revised from $271.914mm for early adoption of stock expense accounting</t>
        </r>
      </text>
    </comment>
    <comment ref="Z109" authorId="3">
      <text>
        <r>
          <rPr>
            <b/>
            <sz val="8"/>
            <color indexed="81"/>
            <rFont val="Tahoma"/>
            <family val="2"/>
          </rPr>
          <t>mm98285:</t>
        </r>
        <r>
          <rPr>
            <sz val="8"/>
            <color indexed="81"/>
            <rFont val="Tahoma"/>
            <family val="2"/>
          </rPr>
          <t xml:space="preserve">
2/2/06: revised from $24.393mm for early adoption of stock expense accounting</t>
        </r>
      </text>
    </comment>
    <comment ref="AF109" authorId="3">
      <text>
        <r>
          <rPr>
            <b/>
            <sz val="8"/>
            <color indexed="81"/>
            <rFont val="Tahoma"/>
            <family val="2"/>
          </rPr>
          <t>mm98285:</t>
        </r>
        <r>
          <rPr>
            <sz val="8"/>
            <color indexed="81"/>
            <rFont val="Tahoma"/>
            <family val="2"/>
          </rPr>
          <t xml:space="preserve">
2/2/06: revised from $1.943mm for early adoption of stock expense accounting</t>
        </r>
      </text>
    </comment>
    <comment ref="AL109" authorId="3">
      <text>
        <r>
          <rPr>
            <b/>
            <sz val="8"/>
            <color indexed="81"/>
            <rFont val="Tahoma"/>
            <family val="2"/>
          </rPr>
          <t>mm98285:</t>
        </r>
        <r>
          <rPr>
            <sz val="8"/>
            <color indexed="81"/>
            <rFont val="Tahoma"/>
            <family val="2"/>
          </rPr>
          <t xml:space="preserve">
2/2/06: revised from $5.161mm for early adoption of stock expense accounting</t>
        </r>
      </text>
    </comment>
    <comment ref="AR109" authorId="3">
      <text>
        <r>
          <rPr>
            <b/>
            <sz val="8"/>
            <color indexed="81"/>
            <rFont val="Tahoma"/>
            <family val="2"/>
          </rPr>
          <t>mm98285:</t>
        </r>
        <r>
          <rPr>
            <sz val="8"/>
            <color indexed="81"/>
            <rFont val="Tahoma"/>
            <family val="2"/>
          </rPr>
          <t xml:space="preserve">
2/2/06: revised from ($2.953)mm for early adoption of stock expense accounting</t>
        </r>
      </text>
    </comment>
    <comment ref="AY109" authorId="3">
      <text>
        <r>
          <rPr>
            <b/>
            <sz val="8"/>
            <color indexed="81"/>
            <rFont val="Tahoma"/>
            <family val="2"/>
          </rPr>
          <t>mm98285:</t>
        </r>
        <r>
          <rPr>
            <sz val="8"/>
            <color indexed="81"/>
            <rFont val="Tahoma"/>
            <family val="2"/>
          </rPr>
          <t xml:space="preserve">
2/2/06: revised from $1.25mm for early adoption of stock expense accounting</t>
        </r>
      </text>
    </comment>
    <comment ref="BJ109" authorId="3">
      <text>
        <r>
          <rPr>
            <b/>
            <sz val="8"/>
            <color indexed="81"/>
            <rFont val="Tahoma"/>
            <family val="2"/>
          </rPr>
          <t>mm98285:</t>
        </r>
        <r>
          <rPr>
            <sz val="8"/>
            <color indexed="81"/>
            <rFont val="Tahoma"/>
            <family val="2"/>
          </rPr>
          <t xml:space="preserve">
2/2/06: revised from $20.791mm for early adoption of stock expense accounting</t>
        </r>
      </text>
    </comment>
    <comment ref="G110" authorId="3">
      <text>
        <r>
          <rPr>
            <b/>
            <sz val="8"/>
            <color indexed="81"/>
            <rFont val="Tahoma"/>
            <family val="2"/>
          </rPr>
          <t>mm98285:</t>
        </r>
        <r>
          <rPr>
            <sz val="8"/>
            <color indexed="81"/>
            <rFont val="Tahoma"/>
            <family val="2"/>
          </rPr>
          <t xml:space="preserve">
2/2/06: revised from $202.582mm for early adoption of stock expense accounting</t>
        </r>
      </text>
    </comment>
    <comment ref="I110" authorId="4">
      <text>
        <r>
          <rPr>
            <b/>
            <sz val="10"/>
            <color indexed="81"/>
            <rFont val="Tahoma"/>
            <family val="2"/>
          </rPr>
          <t>kgreenbe:</t>
        </r>
        <r>
          <rPr>
            <sz val="10"/>
            <color indexed="81"/>
            <rFont val="Tahoma"/>
            <family val="2"/>
          </rPr>
          <t xml:space="preserve">
profit margin usually declines 130-200 bps sequentially 1Q to 2Q. Margin should probably be at least 9.2-9.5% vs. orig est of 8.8%.
8/17 had 7.8</t>
        </r>
      </text>
    </comment>
    <comment ref="Z110" authorId="3">
      <text>
        <r>
          <rPr>
            <b/>
            <sz val="8"/>
            <color indexed="81"/>
            <rFont val="Tahoma"/>
            <family val="2"/>
          </rPr>
          <t>mm98285:</t>
        </r>
        <r>
          <rPr>
            <sz val="8"/>
            <color indexed="81"/>
            <rFont val="Tahoma"/>
            <family val="2"/>
          </rPr>
          <t xml:space="preserve">
2/2/06: revised from $21.101mm for early adoption of stock expense accounting</t>
        </r>
      </text>
    </comment>
    <comment ref="AA110" authorId="5">
      <text>
        <r>
          <rPr>
            <b/>
            <sz val="8"/>
            <color indexed="81"/>
            <rFont val="Tahoma"/>
            <family val="2"/>
          </rPr>
          <t>MS:</t>
        </r>
        <r>
          <rPr>
            <sz val="8"/>
            <color indexed="81"/>
            <rFont val="Tahoma"/>
            <family val="2"/>
          </rPr>
          <t xml:space="preserve">
8/17 7.6</t>
        </r>
      </text>
    </comment>
    <comment ref="AF110" authorId="3">
      <text>
        <r>
          <rPr>
            <b/>
            <sz val="8"/>
            <color indexed="81"/>
            <rFont val="Tahoma"/>
            <family val="2"/>
          </rPr>
          <t>mm98285:</t>
        </r>
        <r>
          <rPr>
            <sz val="8"/>
            <color indexed="81"/>
            <rFont val="Tahoma"/>
            <family val="2"/>
          </rPr>
          <t xml:space="preserve">
2/2/06: revised from $9.553mm for early adoption of stock expense accounting</t>
        </r>
      </text>
    </comment>
    <comment ref="AG110" authorId="5">
      <text>
        <r>
          <rPr>
            <b/>
            <sz val="8"/>
            <color indexed="81"/>
            <rFont val="Tahoma"/>
            <family val="2"/>
          </rPr>
          <t>MS:</t>
        </r>
        <r>
          <rPr>
            <sz val="8"/>
            <color indexed="81"/>
            <rFont val="Tahoma"/>
            <family val="2"/>
          </rPr>
          <t xml:space="preserve">
8/17 2.5</t>
        </r>
      </text>
    </comment>
    <comment ref="AL110" authorId="3">
      <text>
        <r>
          <rPr>
            <b/>
            <sz val="8"/>
            <color indexed="81"/>
            <rFont val="Tahoma"/>
            <family val="2"/>
          </rPr>
          <t>mm98285:</t>
        </r>
        <r>
          <rPr>
            <sz val="8"/>
            <color indexed="81"/>
            <rFont val="Tahoma"/>
            <family val="2"/>
          </rPr>
          <t xml:space="preserve">
2/2/06: revised from ($0.626)mm for early adoption of stock expense accounting</t>
        </r>
      </text>
    </comment>
    <comment ref="AM110" authorId="5">
      <text>
        <r>
          <rPr>
            <b/>
            <sz val="8"/>
            <color indexed="81"/>
            <rFont val="Tahoma"/>
            <family val="2"/>
          </rPr>
          <t>MS:</t>
        </r>
        <r>
          <rPr>
            <sz val="8"/>
            <color indexed="81"/>
            <rFont val="Tahoma"/>
            <family val="2"/>
          </rPr>
          <t xml:space="preserve">
1.5</t>
        </r>
      </text>
    </comment>
    <comment ref="AR110" authorId="3">
      <text>
        <r>
          <rPr>
            <b/>
            <sz val="8"/>
            <color indexed="81"/>
            <rFont val="Tahoma"/>
            <family val="2"/>
          </rPr>
          <t>mm98285:</t>
        </r>
        <r>
          <rPr>
            <sz val="8"/>
            <color indexed="81"/>
            <rFont val="Tahoma"/>
            <family val="2"/>
          </rPr>
          <t xml:space="preserve">
2/2/06: revised from ($3.239)mm for early adoption of stock expense accounting</t>
        </r>
      </text>
    </comment>
    <comment ref="AS110" authorId="5">
      <text>
        <r>
          <rPr>
            <b/>
            <sz val="8"/>
            <color indexed="81"/>
            <rFont val="Tahoma"/>
            <family val="2"/>
          </rPr>
          <t>MS:</t>
        </r>
        <r>
          <rPr>
            <sz val="8"/>
            <color indexed="81"/>
            <rFont val="Tahoma"/>
            <family val="2"/>
          </rPr>
          <t xml:space="preserve">
8/17 had flat</t>
        </r>
      </text>
    </comment>
    <comment ref="AY110" authorId="3">
      <text>
        <r>
          <rPr>
            <b/>
            <sz val="8"/>
            <color indexed="81"/>
            <rFont val="Tahoma"/>
            <family val="2"/>
          </rPr>
          <t>mm98285:</t>
        </r>
        <r>
          <rPr>
            <sz val="8"/>
            <color indexed="81"/>
            <rFont val="Tahoma"/>
            <family val="2"/>
          </rPr>
          <t xml:space="preserve">
2/2/06: revised from ($8.231)mm for early adoption of stock expense accounting</t>
        </r>
      </text>
    </comment>
    <comment ref="AZ110" authorId="5">
      <text>
        <r>
          <rPr>
            <b/>
            <sz val="8"/>
            <color indexed="81"/>
            <rFont val="Tahoma"/>
            <family val="2"/>
          </rPr>
          <t>MS:</t>
        </r>
        <r>
          <rPr>
            <sz val="8"/>
            <color indexed="81"/>
            <rFont val="Tahoma"/>
            <family val="2"/>
          </rPr>
          <t xml:space="preserve">
8/17 est loss of 6 mil</t>
        </r>
      </text>
    </comment>
    <comment ref="BJ110" authorId="3">
      <text>
        <r>
          <rPr>
            <b/>
            <sz val="8"/>
            <color indexed="81"/>
            <rFont val="Tahoma"/>
            <family val="2"/>
          </rPr>
          <t>mm98285:</t>
        </r>
        <r>
          <rPr>
            <sz val="8"/>
            <color indexed="81"/>
            <rFont val="Tahoma"/>
            <family val="2"/>
          </rPr>
          <t xml:space="preserve">
2/2/06: revised from $20.791mm for early adoption of stock expense accounting</t>
        </r>
      </text>
    </comment>
    <comment ref="G111" authorId="3">
      <text>
        <r>
          <rPr>
            <b/>
            <sz val="8"/>
            <color indexed="81"/>
            <rFont val="Tahoma"/>
            <family val="2"/>
          </rPr>
          <t>mm98285:</t>
        </r>
        <r>
          <rPr>
            <sz val="8"/>
            <color indexed="81"/>
            <rFont val="Tahoma"/>
            <family val="2"/>
          </rPr>
          <t xml:space="preserve">
2/2/06: revised from $284.329mm for early adoption of stock expense accounting</t>
        </r>
      </text>
    </comment>
    <comment ref="I111" authorId="4">
      <text>
        <r>
          <rPr>
            <b/>
            <sz val="10"/>
            <color indexed="81"/>
            <rFont val="Tahoma"/>
            <family val="2"/>
          </rPr>
          <t>SB:</t>
        </r>
        <r>
          <rPr>
            <sz val="10"/>
            <color indexed="81"/>
            <rFont val="Tahoma"/>
            <family val="2"/>
          </rPr>
          <t xml:space="preserve">
profit margin usually flattish w/ 1Q. Margin should probably be at least 10.5-11% vs. orig est of 10.2%.
8/17 guided for 9.5-10%
11/16 10.0% est</t>
        </r>
      </text>
    </comment>
    <comment ref="Z111" authorId="3">
      <text>
        <r>
          <rPr>
            <b/>
            <sz val="8"/>
            <color indexed="81"/>
            <rFont val="Tahoma"/>
            <family val="2"/>
          </rPr>
          <t>mm98285:</t>
        </r>
        <r>
          <rPr>
            <sz val="8"/>
            <color indexed="81"/>
            <rFont val="Tahoma"/>
            <family val="2"/>
          </rPr>
          <t xml:space="preserve">
2/2/06: revised from $39.002mm for early adoption of stock expense accounting</t>
        </r>
      </text>
    </comment>
    <comment ref="AA111" authorId="5">
      <text>
        <r>
          <rPr>
            <b/>
            <sz val="8"/>
            <color indexed="81"/>
            <rFont val="Tahoma"/>
            <family val="2"/>
          </rPr>
          <t>MS:</t>
        </r>
        <r>
          <rPr>
            <sz val="8"/>
            <color indexed="81"/>
            <rFont val="Tahoma"/>
            <family val="2"/>
          </rPr>
          <t xml:space="preserve">
8/17 guided for 14.5-15%
11/16 14.5% est</t>
        </r>
      </text>
    </comment>
    <comment ref="AF111" authorId="3">
      <text>
        <r>
          <rPr>
            <b/>
            <sz val="8"/>
            <color indexed="81"/>
            <rFont val="Tahoma"/>
            <family val="2"/>
          </rPr>
          <t>mm98285:</t>
        </r>
        <r>
          <rPr>
            <sz val="8"/>
            <color indexed="81"/>
            <rFont val="Tahoma"/>
            <family val="2"/>
          </rPr>
          <t xml:space="preserve">
2/2/06: revised from $29.828mm for early adoption of stock expense accounting</t>
        </r>
      </text>
    </comment>
    <comment ref="AG111" authorId="5">
      <text>
        <r>
          <rPr>
            <b/>
            <sz val="8"/>
            <color indexed="81"/>
            <rFont val="Tahoma"/>
            <family val="2"/>
          </rPr>
          <t>MS:</t>
        </r>
        <r>
          <rPr>
            <sz val="8"/>
            <color indexed="81"/>
            <rFont val="Tahoma"/>
            <family val="2"/>
          </rPr>
          <t xml:space="preserve">
8/17 Guided for low 9% range
11/16 8.0% est</t>
        </r>
      </text>
    </comment>
    <comment ref="AL111" authorId="3">
      <text>
        <r>
          <rPr>
            <b/>
            <sz val="8"/>
            <color indexed="81"/>
            <rFont val="Tahoma"/>
            <family val="2"/>
          </rPr>
          <t>mm98285:</t>
        </r>
        <r>
          <rPr>
            <sz val="8"/>
            <color indexed="81"/>
            <rFont val="Tahoma"/>
            <family val="2"/>
          </rPr>
          <t xml:space="preserve">
2/2/06: revised from $11.753mm for early adoption of stock expense accounting</t>
        </r>
      </text>
    </comment>
    <comment ref="AM111" authorId="5">
      <text>
        <r>
          <rPr>
            <b/>
            <sz val="8"/>
            <color indexed="81"/>
            <rFont val="Tahoma"/>
            <family val="2"/>
          </rPr>
          <t>MS:</t>
        </r>
        <r>
          <rPr>
            <sz val="8"/>
            <color indexed="81"/>
            <rFont val="Tahoma"/>
            <family val="2"/>
          </rPr>
          <t xml:space="preserve">
8/17 guided for 7% range
11/16 4.0% est</t>
        </r>
      </text>
    </comment>
    <comment ref="AR111" authorId="3">
      <text>
        <r>
          <rPr>
            <b/>
            <sz val="8"/>
            <color indexed="81"/>
            <rFont val="Tahoma"/>
            <family val="2"/>
          </rPr>
          <t>mm98285:</t>
        </r>
        <r>
          <rPr>
            <sz val="8"/>
            <color indexed="81"/>
            <rFont val="Tahoma"/>
            <family val="2"/>
          </rPr>
          <t xml:space="preserve">
2/2/06: revised from ($5.773)mm for early adoption of stock expense accounting</t>
        </r>
      </text>
    </comment>
    <comment ref="AS111" authorId="5">
      <text>
        <r>
          <rPr>
            <b/>
            <sz val="8"/>
            <color indexed="81"/>
            <rFont val="Tahoma"/>
            <family val="2"/>
          </rPr>
          <t>MS:</t>
        </r>
        <r>
          <rPr>
            <sz val="8"/>
            <color indexed="81"/>
            <rFont val="Tahoma"/>
            <family val="2"/>
          </rPr>
          <t xml:space="preserve">
8/17 guided for $3-4 mm loss
11/16 -1.5% est</t>
        </r>
      </text>
    </comment>
    <comment ref="AY111" authorId="3">
      <text>
        <r>
          <rPr>
            <b/>
            <sz val="8"/>
            <color indexed="81"/>
            <rFont val="Tahoma"/>
            <family val="2"/>
          </rPr>
          <t>mm98285:</t>
        </r>
        <r>
          <rPr>
            <sz val="8"/>
            <color indexed="81"/>
            <rFont val="Tahoma"/>
            <family val="2"/>
          </rPr>
          <t xml:space="preserve">
2/2/06: revised from ($2.392)mm for early adoption of stock expense accounting</t>
        </r>
      </text>
    </comment>
    <comment ref="AZ111" authorId="5">
      <text>
        <r>
          <rPr>
            <b/>
            <sz val="8"/>
            <color indexed="81"/>
            <rFont val="Tahoma"/>
            <family val="2"/>
          </rPr>
          <t>MS:</t>
        </r>
        <r>
          <rPr>
            <sz val="8"/>
            <color indexed="81"/>
            <rFont val="Tahoma"/>
            <family val="2"/>
          </rPr>
          <t xml:space="preserve">
8/17 guided for $3 mm loss
11/16 -3.0% est</t>
        </r>
      </text>
    </comment>
    <comment ref="BJ111" authorId="3">
      <text>
        <r>
          <rPr>
            <b/>
            <sz val="8"/>
            <color indexed="81"/>
            <rFont val="Tahoma"/>
            <family val="2"/>
          </rPr>
          <t>mm98285:</t>
        </r>
        <r>
          <rPr>
            <sz val="8"/>
            <color indexed="81"/>
            <rFont val="Tahoma"/>
            <family val="2"/>
          </rPr>
          <t xml:space="preserve">
2/2/06: revised from $22.489mm for early adoption of stock expense accounting</t>
        </r>
      </text>
    </comment>
    <comment ref="G112" authorId="3">
      <text>
        <r>
          <rPr>
            <b/>
            <sz val="8"/>
            <color indexed="81"/>
            <rFont val="Tahoma"/>
            <family val="2"/>
          </rPr>
          <t>mm98285:</t>
        </r>
        <r>
          <rPr>
            <sz val="8"/>
            <color indexed="81"/>
            <rFont val="Tahoma"/>
            <family val="2"/>
          </rPr>
          <t xml:space="preserve">
2/2/06: revised from $264.699mm for early adoption of stock expense accounting</t>
        </r>
      </text>
    </comment>
    <comment ref="I112" authorId="6">
      <text>
        <r>
          <rPr>
            <b/>
            <sz val="8"/>
            <color indexed="81"/>
            <rFont val="Tahoma"/>
            <family val="2"/>
          </rPr>
          <t>Morry Brown:</t>
        </r>
        <r>
          <rPr>
            <sz val="8"/>
            <color indexed="81"/>
            <rFont val="Tahoma"/>
            <family val="2"/>
          </rPr>
          <t xml:space="preserve">
had 8.7%</t>
        </r>
      </text>
    </comment>
    <comment ref="Z112" authorId="3">
      <text>
        <r>
          <rPr>
            <b/>
            <sz val="8"/>
            <color indexed="81"/>
            <rFont val="Tahoma"/>
            <family val="2"/>
          </rPr>
          <t>mm98285:</t>
        </r>
        <r>
          <rPr>
            <sz val="8"/>
            <color indexed="81"/>
            <rFont val="Tahoma"/>
            <family val="2"/>
          </rPr>
          <t xml:space="preserve">
2/2/06: revised from $24.388mm for early adoption of stock expense accounting</t>
        </r>
      </text>
    </comment>
    <comment ref="AA112" authorId="6">
      <text>
        <r>
          <rPr>
            <b/>
            <sz val="8"/>
            <color indexed="81"/>
            <rFont val="Tahoma"/>
            <family val="2"/>
          </rPr>
          <t>Morry Brown:</t>
        </r>
        <r>
          <rPr>
            <sz val="8"/>
            <color indexed="81"/>
            <rFont val="Tahoma"/>
            <family val="2"/>
          </rPr>
          <t xml:space="preserve">
had 10.9%</t>
        </r>
      </text>
    </comment>
    <comment ref="AF112" authorId="3">
      <text>
        <r>
          <rPr>
            <b/>
            <sz val="8"/>
            <color indexed="81"/>
            <rFont val="Tahoma"/>
            <family val="2"/>
          </rPr>
          <t>mm98285:</t>
        </r>
        <r>
          <rPr>
            <sz val="8"/>
            <color indexed="81"/>
            <rFont val="Tahoma"/>
            <family val="2"/>
          </rPr>
          <t xml:space="preserve">
2/2/06: revised from $29.420mm for early adoption of stock expense accounting</t>
        </r>
      </text>
    </comment>
    <comment ref="AG112" authorId="6">
      <text>
        <r>
          <rPr>
            <b/>
            <sz val="8"/>
            <color indexed="81"/>
            <rFont val="Tahoma"/>
            <family val="2"/>
          </rPr>
          <t>Morry Brown:</t>
        </r>
        <r>
          <rPr>
            <sz val="8"/>
            <color indexed="81"/>
            <rFont val="Tahoma"/>
            <family val="2"/>
          </rPr>
          <t xml:space="preserve">
9.5% estimate</t>
        </r>
      </text>
    </comment>
    <comment ref="AL112" authorId="3">
      <text>
        <r>
          <rPr>
            <b/>
            <sz val="8"/>
            <color indexed="81"/>
            <rFont val="Tahoma"/>
            <family val="2"/>
          </rPr>
          <t>mm98285:</t>
        </r>
        <r>
          <rPr>
            <sz val="8"/>
            <color indexed="81"/>
            <rFont val="Tahoma"/>
            <family val="2"/>
          </rPr>
          <t xml:space="preserve">
2/2/06: revised from $6.844mm for early adoption of stock expense accounting</t>
        </r>
      </text>
    </comment>
    <comment ref="AM112" authorId="6">
      <text>
        <r>
          <rPr>
            <b/>
            <sz val="8"/>
            <color indexed="81"/>
            <rFont val="Tahoma"/>
            <family val="2"/>
          </rPr>
          <t>Morry Brown:</t>
        </r>
        <r>
          <rPr>
            <sz val="8"/>
            <color indexed="81"/>
            <rFont val="Tahoma"/>
            <family val="2"/>
          </rPr>
          <t xml:space="preserve">
est. 5.5%</t>
        </r>
      </text>
    </comment>
    <comment ref="AR112" authorId="3">
      <text>
        <r>
          <rPr>
            <b/>
            <sz val="8"/>
            <color indexed="81"/>
            <rFont val="Tahoma"/>
            <family val="2"/>
          </rPr>
          <t>mm98285:</t>
        </r>
        <r>
          <rPr>
            <sz val="8"/>
            <color indexed="81"/>
            <rFont val="Tahoma"/>
            <family val="2"/>
          </rPr>
          <t xml:space="preserve">
2/2/06: revised from ($3.067)mm for early adoption of stock expense accounting</t>
        </r>
      </text>
    </comment>
    <comment ref="AS112" authorId="6">
      <text>
        <r>
          <rPr>
            <b/>
            <sz val="8"/>
            <color indexed="81"/>
            <rFont val="Tahoma"/>
            <family val="2"/>
          </rPr>
          <t>Morry Brown:</t>
        </r>
        <r>
          <rPr>
            <sz val="8"/>
            <color indexed="81"/>
            <rFont val="Tahoma"/>
            <family val="2"/>
          </rPr>
          <t xml:space="preserve">
est. 1.5%</t>
        </r>
      </text>
    </comment>
    <comment ref="AV112" authorId="6">
      <text>
        <r>
          <rPr>
            <b/>
            <sz val="8"/>
            <color indexed="81"/>
            <rFont val="Tahoma"/>
            <family val="2"/>
          </rPr>
          <t>Morry Brown:</t>
        </r>
        <r>
          <rPr>
            <sz val="8"/>
            <color indexed="81"/>
            <rFont val="Tahoma"/>
            <family val="2"/>
          </rPr>
          <t xml:space="preserve">
85.0 est</t>
        </r>
      </text>
    </comment>
    <comment ref="AY112" authorId="3">
      <text>
        <r>
          <rPr>
            <b/>
            <sz val="8"/>
            <color indexed="81"/>
            <rFont val="Tahoma"/>
            <family val="2"/>
          </rPr>
          <t>mm98285:</t>
        </r>
        <r>
          <rPr>
            <sz val="8"/>
            <color indexed="81"/>
            <rFont val="Tahoma"/>
            <family val="2"/>
          </rPr>
          <t xml:space="preserve">
2/2/06: revised from ($7.896)mm for early adoption of stock expense accounting</t>
        </r>
      </text>
    </comment>
    <comment ref="AZ112" authorId="6">
      <text>
        <r>
          <rPr>
            <b/>
            <sz val="8"/>
            <color indexed="81"/>
            <rFont val="Tahoma"/>
            <family val="2"/>
          </rPr>
          <t>Morry Brown:</t>
        </r>
        <r>
          <rPr>
            <sz val="8"/>
            <color indexed="81"/>
            <rFont val="Tahoma"/>
            <family val="2"/>
          </rPr>
          <t xml:space="preserve">
-3.0% est</t>
        </r>
      </text>
    </comment>
    <comment ref="BJ112" authorId="3">
      <text>
        <r>
          <rPr>
            <b/>
            <sz val="8"/>
            <color indexed="81"/>
            <rFont val="Tahoma"/>
            <family val="2"/>
          </rPr>
          <t>mm98285:</t>
        </r>
        <r>
          <rPr>
            <sz val="8"/>
            <color indexed="81"/>
            <rFont val="Tahoma"/>
            <family val="2"/>
          </rPr>
          <t xml:space="preserve">
2/2/06: revised from $24.442mm for early adoption of stock expense accounting</t>
        </r>
      </text>
    </comment>
    <comment ref="I113" authorId="1">
      <text>
        <r>
          <rPr>
            <b/>
            <sz val="8"/>
            <color indexed="81"/>
            <rFont val="Tahoma"/>
            <family val="2"/>
          </rPr>
          <t>lehman:</t>
        </r>
        <r>
          <rPr>
            <sz val="8"/>
            <color indexed="81"/>
            <rFont val="Tahoma"/>
            <family val="2"/>
          </rPr>
          <t xml:space="preserve">
2/25 guided for 9.3-9.5%</t>
        </r>
      </text>
    </comment>
    <comment ref="AA113" authorId="1">
      <text>
        <r>
          <rPr>
            <b/>
            <sz val="8"/>
            <color indexed="81"/>
            <rFont val="Tahoma"/>
            <family val="2"/>
          </rPr>
          <t>lehman:</t>
        </r>
        <r>
          <rPr>
            <sz val="8"/>
            <color indexed="81"/>
            <rFont val="Tahoma"/>
            <family val="2"/>
          </rPr>
          <t xml:space="preserve">
2/25 guided for 10%</t>
        </r>
      </text>
    </comment>
    <comment ref="AG113" authorId="1">
      <text>
        <r>
          <rPr>
            <b/>
            <sz val="8"/>
            <color indexed="81"/>
            <rFont val="Tahoma"/>
            <family val="2"/>
          </rPr>
          <t>lehman:</t>
        </r>
        <r>
          <rPr>
            <sz val="8"/>
            <color indexed="81"/>
            <rFont val="Tahoma"/>
            <family val="2"/>
          </rPr>
          <t xml:space="preserve">
2/25 guided for 7%</t>
        </r>
      </text>
    </comment>
    <comment ref="AM113" authorId="1">
      <text>
        <r>
          <rPr>
            <b/>
            <sz val="8"/>
            <color indexed="81"/>
            <rFont val="Tahoma"/>
            <family val="2"/>
          </rPr>
          <t>lehman:</t>
        </r>
        <r>
          <rPr>
            <sz val="8"/>
            <color indexed="81"/>
            <rFont val="Tahoma"/>
            <family val="2"/>
          </rPr>
          <t xml:space="preserve">
2/25 guided for 5.9%</t>
        </r>
      </text>
    </comment>
    <comment ref="AS113" authorId="1">
      <text>
        <r>
          <rPr>
            <b/>
            <sz val="8"/>
            <color indexed="81"/>
            <rFont val="Tahoma"/>
            <family val="2"/>
          </rPr>
          <t>lehman:</t>
        </r>
        <r>
          <rPr>
            <sz val="8"/>
            <color indexed="81"/>
            <rFont val="Tahoma"/>
            <family val="2"/>
          </rPr>
          <t xml:space="preserve">
2/25 guided for 6-7 mil profit</t>
        </r>
      </text>
    </comment>
    <comment ref="AZ113" authorId="1">
      <text>
        <r>
          <rPr>
            <b/>
            <sz val="8"/>
            <color indexed="81"/>
            <rFont val="Tahoma"/>
            <family val="2"/>
          </rPr>
          <t>lehman:</t>
        </r>
        <r>
          <rPr>
            <sz val="8"/>
            <color indexed="81"/>
            <rFont val="Tahoma"/>
            <family val="2"/>
          </rPr>
          <t xml:space="preserve">
2/25 guided for 5-7 mill loss</t>
        </r>
      </text>
    </comment>
    <comment ref="D116" authorId="6">
      <text>
        <r>
          <rPr>
            <b/>
            <sz val="8"/>
            <color indexed="81"/>
            <rFont val="Tahoma"/>
            <family val="2"/>
          </rPr>
          <t>Morry Brown:</t>
        </r>
        <r>
          <rPr>
            <sz val="8"/>
            <color indexed="81"/>
            <rFont val="Tahoma"/>
            <family val="2"/>
          </rPr>
          <t xml:space="preserve">
2547.4 est</t>
        </r>
      </text>
    </comment>
    <comment ref="G116" authorId="6">
      <text>
        <r>
          <rPr>
            <b/>
            <sz val="8"/>
            <color indexed="81"/>
            <rFont val="Tahoma"/>
            <family val="2"/>
          </rPr>
          <t>Morry Brown:</t>
        </r>
        <r>
          <rPr>
            <sz val="8"/>
            <color indexed="81"/>
            <rFont val="Tahoma"/>
            <family val="2"/>
          </rPr>
          <t xml:space="preserve">
2/2/06: revised from $267.66mm for early adoption of stock expense accounting
282</t>
        </r>
      </text>
    </comment>
    <comment ref="I116" authorId="6">
      <text>
        <r>
          <rPr>
            <b/>
            <sz val="8"/>
            <color indexed="81"/>
            <rFont val="Tahoma"/>
            <family val="2"/>
          </rPr>
          <t>Morry Brown:</t>
        </r>
        <r>
          <rPr>
            <sz val="8"/>
            <color indexed="81"/>
            <rFont val="Tahoma"/>
            <family val="2"/>
          </rPr>
          <t xml:space="preserve">
11.0</t>
        </r>
      </text>
    </comment>
    <comment ref="Z116" authorId="3">
      <text>
        <r>
          <rPr>
            <b/>
            <sz val="8"/>
            <color indexed="81"/>
            <rFont val="Tahoma"/>
            <family val="2"/>
          </rPr>
          <t>mm98285:</t>
        </r>
        <r>
          <rPr>
            <sz val="8"/>
            <color indexed="81"/>
            <rFont val="Tahoma"/>
            <family val="2"/>
          </rPr>
          <t xml:space="preserve">
2/2/06: revised from $12.344mm for early adoption of stock expense accounting</t>
        </r>
      </text>
    </comment>
    <comment ref="AA116" authorId="6">
      <text>
        <r>
          <rPr>
            <b/>
            <sz val="8"/>
            <color indexed="81"/>
            <rFont val="Tahoma"/>
            <family val="2"/>
          </rPr>
          <t>Morry Brown:</t>
        </r>
        <r>
          <rPr>
            <sz val="8"/>
            <color indexed="81"/>
            <rFont val="Tahoma"/>
            <family val="2"/>
          </rPr>
          <t xml:space="preserve">
6.5</t>
        </r>
      </text>
    </comment>
    <comment ref="AF116" authorId="3">
      <text>
        <r>
          <rPr>
            <b/>
            <sz val="8"/>
            <color indexed="81"/>
            <rFont val="Tahoma"/>
            <family val="2"/>
          </rPr>
          <t>mm98285:</t>
        </r>
        <r>
          <rPr>
            <sz val="8"/>
            <color indexed="81"/>
            <rFont val="Tahoma"/>
            <family val="2"/>
          </rPr>
          <t xml:space="preserve">
2/2/06: revised from 
-$0.341mm for early adoption of stock expense accounting</t>
        </r>
      </text>
    </comment>
    <comment ref="AG116" authorId="6">
      <text>
        <r>
          <rPr>
            <b/>
            <sz val="8"/>
            <color indexed="81"/>
            <rFont val="Tahoma"/>
            <family val="2"/>
          </rPr>
          <t>Morry Brown:</t>
        </r>
        <r>
          <rPr>
            <sz val="8"/>
            <color indexed="81"/>
            <rFont val="Tahoma"/>
            <family val="2"/>
          </rPr>
          <t xml:space="preserve">
1.6</t>
        </r>
      </text>
    </comment>
    <comment ref="AL116" authorId="3">
      <text>
        <r>
          <rPr>
            <b/>
            <sz val="8"/>
            <color indexed="81"/>
            <rFont val="Tahoma"/>
            <family val="2"/>
          </rPr>
          <t>mm98285:</t>
        </r>
        <r>
          <rPr>
            <sz val="8"/>
            <color indexed="81"/>
            <rFont val="Tahoma"/>
            <family val="2"/>
          </rPr>
          <t xml:space="preserve">
2/2/06: revised from $0.623mm for early adoption of stock expense accounting</t>
        </r>
      </text>
    </comment>
    <comment ref="AM116" authorId="6">
      <text>
        <r>
          <rPr>
            <b/>
            <sz val="8"/>
            <color indexed="81"/>
            <rFont val="Tahoma"/>
            <family val="2"/>
          </rPr>
          <t>Morry Brown:</t>
        </r>
        <r>
          <rPr>
            <sz val="8"/>
            <color indexed="81"/>
            <rFont val="Tahoma"/>
            <family val="2"/>
          </rPr>
          <t xml:space="preserve">
1.1</t>
        </r>
      </text>
    </comment>
    <comment ref="AR116" authorId="3">
      <text>
        <r>
          <rPr>
            <b/>
            <sz val="8"/>
            <color indexed="81"/>
            <rFont val="Tahoma"/>
            <family val="2"/>
          </rPr>
          <t>mm98285:</t>
        </r>
        <r>
          <rPr>
            <sz val="8"/>
            <color indexed="81"/>
            <rFont val="Tahoma"/>
            <family val="2"/>
          </rPr>
          <t xml:space="preserve">
2/2/06: revised from
-$2.96mm for early adoption of stock expense accounting</t>
        </r>
      </text>
    </comment>
    <comment ref="AS116" authorId="6">
      <text>
        <r>
          <rPr>
            <b/>
            <sz val="8"/>
            <color indexed="81"/>
            <rFont val="Tahoma"/>
            <family val="2"/>
          </rPr>
          <t>Morry Brown:</t>
        </r>
        <r>
          <rPr>
            <sz val="8"/>
            <color indexed="81"/>
            <rFont val="Tahoma"/>
            <family val="2"/>
          </rPr>
          <t xml:space="preserve">
-2.2</t>
        </r>
      </text>
    </comment>
    <comment ref="AY116" authorId="3">
      <text>
        <r>
          <rPr>
            <b/>
            <sz val="8"/>
            <color indexed="81"/>
            <rFont val="Tahoma"/>
            <family val="2"/>
          </rPr>
          <t>mm98285:</t>
        </r>
        <r>
          <rPr>
            <sz val="8"/>
            <color indexed="81"/>
            <rFont val="Tahoma"/>
            <family val="2"/>
          </rPr>
          <t xml:space="preserve">
2/2/06: revised from ($6.523)mm for early adoption of stock expense accounting</t>
        </r>
      </text>
    </comment>
    <comment ref="AZ116" authorId="6">
      <text>
        <r>
          <rPr>
            <b/>
            <sz val="8"/>
            <color indexed="81"/>
            <rFont val="Tahoma"/>
            <family val="2"/>
          </rPr>
          <t>Morry Brown:</t>
        </r>
        <r>
          <rPr>
            <sz val="8"/>
            <color indexed="81"/>
            <rFont val="Tahoma"/>
            <family val="2"/>
          </rPr>
          <t xml:space="preserve">
-10</t>
        </r>
      </text>
    </comment>
    <comment ref="BJ116" authorId="3">
      <text>
        <r>
          <rPr>
            <b/>
            <sz val="8"/>
            <color indexed="81"/>
            <rFont val="Tahoma"/>
            <family val="2"/>
          </rPr>
          <t>mm98285:</t>
        </r>
        <r>
          <rPr>
            <sz val="8"/>
            <color indexed="81"/>
            <rFont val="Tahoma"/>
            <family val="2"/>
          </rPr>
          <t xml:space="preserve">
2/2/06: revised from $22.049mm for early adoption of stock expense accounting</t>
        </r>
      </text>
    </comment>
    <comment ref="D117" authorId="6">
      <text>
        <r>
          <rPr>
            <b/>
            <sz val="8"/>
            <color indexed="81"/>
            <rFont val="Tahoma"/>
            <family val="2"/>
          </rPr>
          <t>Morry Brown:</t>
        </r>
        <r>
          <rPr>
            <sz val="8"/>
            <color indexed="81"/>
            <rFont val="Tahoma"/>
            <family val="2"/>
          </rPr>
          <t xml:space="preserve">
2567 est</t>
        </r>
      </text>
    </comment>
    <comment ref="G117" authorId="3">
      <text>
        <r>
          <rPr>
            <b/>
            <sz val="8"/>
            <color indexed="81"/>
            <rFont val="Tahoma"/>
            <family val="2"/>
          </rPr>
          <t>mm98285:</t>
        </r>
        <r>
          <rPr>
            <sz val="8"/>
            <color indexed="81"/>
            <rFont val="Tahoma"/>
            <family val="2"/>
          </rPr>
          <t xml:space="preserve">
2/2/06: revised from $211.581mm for early adoption of stock expense accounting</t>
        </r>
      </text>
    </comment>
    <comment ref="I117" authorId="6">
      <text>
        <r>
          <rPr>
            <b/>
            <sz val="8"/>
            <color indexed="81"/>
            <rFont val="Tahoma"/>
            <family val="2"/>
          </rPr>
          <t>Morry Brown:</t>
        </r>
        <r>
          <rPr>
            <sz val="8"/>
            <color indexed="81"/>
            <rFont val="Tahoma"/>
            <family val="2"/>
          </rPr>
          <t xml:space="preserve">
8.3 est</t>
        </r>
      </text>
    </comment>
    <comment ref="W117" authorId="6">
      <text>
        <r>
          <rPr>
            <b/>
            <sz val="8"/>
            <color indexed="81"/>
            <rFont val="Tahoma"/>
            <family val="2"/>
          </rPr>
          <t>Morry Brown:</t>
        </r>
        <r>
          <rPr>
            <sz val="8"/>
            <color indexed="81"/>
            <rFont val="Tahoma"/>
            <family val="2"/>
          </rPr>
          <t xml:space="preserve">
341.6</t>
        </r>
      </text>
    </comment>
    <comment ref="Z117" authorId="3">
      <text>
        <r>
          <rPr>
            <b/>
            <sz val="8"/>
            <color indexed="81"/>
            <rFont val="Tahoma"/>
            <family val="2"/>
          </rPr>
          <t>mm98285:</t>
        </r>
        <r>
          <rPr>
            <sz val="8"/>
            <color indexed="81"/>
            <rFont val="Tahoma"/>
            <family val="2"/>
          </rPr>
          <t xml:space="preserve">
2/2/06: revised from $20.567mm for early adoption of stock expense accounting</t>
        </r>
      </text>
    </comment>
    <comment ref="AA117" authorId="6">
      <text>
        <r>
          <rPr>
            <b/>
            <sz val="8"/>
            <color indexed="81"/>
            <rFont val="Tahoma"/>
            <family val="2"/>
          </rPr>
          <t>Morry Brown:</t>
        </r>
        <r>
          <rPr>
            <sz val="8"/>
            <color indexed="81"/>
            <rFont val="Tahoma"/>
            <family val="2"/>
          </rPr>
          <t xml:space="preserve">
7.9</t>
        </r>
      </text>
    </comment>
    <comment ref="AF117" authorId="3">
      <text>
        <r>
          <rPr>
            <b/>
            <sz val="8"/>
            <color indexed="81"/>
            <rFont val="Tahoma"/>
            <family val="2"/>
          </rPr>
          <t>mm98285:</t>
        </r>
        <r>
          <rPr>
            <sz val="8"/>
            <color indexed="81"/>
            <rFont val="Tahoma"/>
            <family val="2"/>
          </rPr>
          <t xml:space="preserve">
2/2/06: revised from $10.484mm for early adoption of stock expense accounting</t>
        </r>
      </text>
    </comment>
    <comment ref="AG117" authorId="6">
      <text>
        <r>
          <rPr>
            <b/>
            <sz val="8"/>
            <color indexed="81"/>
            <rFont val="Tahoma"/>
            <family val="2"/>
          </rPr>
          <t>Morry Brown:</t>
        </r>
        <r>
          <rPr>
            <sz val="8"/>
            <color indexed="81"/>
            <rFont val="Tahoma"/>
            <family val="2"/>
          </rPr>
          <t xml:space="preserve">
4.9</t>
        </r>
      </text>
    </comment>
    <comment ref="AL117" authorId="3">
      <text>
        <r>
          <rPr>
            <b/>
            <sz val="8"/>
            <color indexed="81"/>
            <rFont val="Tahoma"/>
            <family val="2"/>
          </rPr>
          <t>mm98285:</t>
        </r>
        <r>
          <rPr>
            <sz val="8"/>
            <color indexed="81"/>
            <rFont val="Tahoma"/>
            <family val="2"/>
          </rPr>
          <t xml:space="preserve">
2/2/06: revised from 
-$3.7mm for early adoption of stock expense accounting</t>
        </r>
      </text>
    </comment>
    <comment ref="AM117" authorId="6">
      <text>
        <r>
          <rPr>
            <b/>
            <sz val="8"/>
            <color indexed="81"/>
            <rFont val="Tahoma"/>
            <family val="2"/>
          </rPr>
          <t>Morry Brown:</t>
        </r>
        <r>
          <rPr>
            <sz val="8"/>
            <color indexed="81"/>
            <rFont val="Tahoma"/>
            <family val="2"/>
          </rPr>
          <t xml:space="preserve">
+1.9</t>
        </r>
      </text>
    </comment>
    <comment ref="AR117" authorId="3">
      <text>
        <r>
          <rPr>
            <b/>
            <sz val="8"/>
            <color indexed="81"/>
            <rFont val="Tahoma"/>
            <family val="2"/>
          </rPr>
          <t>mm98285:</t>
        </r>
        <r>
          <rPr>
            <sz val="8"/>
            <color indexed="81"/>
            <rFont val="Tahoma"/>
            <family val="2"/>
          </rPr>
          <t xml:space="preserve">
2/2/06: revised from 
-$1.587mm for early adoption of stock expense accounting</t>
        </r>
      </text>
    </comment>
    <comment ref="AS117" authorId="6">
      <text>
        <r>
          <rPr>
            <b/>
            <sz val="8"/>
            <color indexed="81"/>
            <rFont val="Tahoma"/>
            <family val="2"/>
          </rPr>
          <t>Morry Brown:</t>
        </r>
        <r>
          <rPr>
            <sz val="8"/>
            <color indexed="81"/>
            <rFont val="Tahoma"/>
            <family val="2"/>
          </rPr>
          <t xml:space="preserve">
-0.2</t>
        </r>
      </text>
    </comment>
    <comment ref="AY117" authorId="3">
      <text>
        <r>
          <rPr>
            <b/>
            <sz val="8"/>
            <color indexed="81"/>
            <rFont val="Tahoma"/>
            <family val="2"/>
          </rPr>
          <t>mm98285:</t>
        </r>
        <r>
          <rPr>
            <sz val="8"/>
            <color indexed="81"/>
            <rFont val="Tahoma"/>
            <family val="2"/>
          </rPr>
          <t xml:space="preserve">
2/2/06: revised from ($8.743)mm for early adoption of stock expense accounting</t>
        </r>
      </text>
    </comment>
    <comment ref="AZ117" authorId="6">
      <text>
        <r>
          <rPr>
            <b/>
            <sz val="8"/>
            <color indexed="81"/>
            <rFont val="Tahoma"/>
            <family val="2"/>
          </rPr>
          <t>Morry Brown:</t>
        </r>
        <r>
          <rPr>
            <sz val="8"/>
            <color indexed="81"/>
            <rFont val="Tahoma"/>
            <family val="2"/>
          </rPr>
          <t xml:space="preserve">
</t>
        </r>
      </text>
    </comment>
    <comment ref="BJ117" authorId="3">
      <text>
        <r>
          <rPr>
            <b/>
            <sz val="8"/>
            <color indexed="81"/>
            <rFont val="Tahoma"/>
            <family val="2"/>
          </rPr>
          <t>mm98285:</t>
        </r>
        <r>
          <rPr>
            <sz val="8"/>
            <color indexed="81"/>
            <rFont val="Tahoma"/>
            <family val="2"/>
          </rPr>
          <t xml:space="preserve">
2/2/06: revised from $20.194mm for early adoption of stock expense accounting</t>
        </r>
      </text>
    </comment>
    <comment ref="D118" authorId="6">
      <text>
        <r>
          <rPr>
            <b/>
            <sz val="8"/>
            <color indexed="81"/>
            <rFont val="Tahoma"/>
            <family val="2"/>
          </rPr>
          <t>Morry Brown:</t>
        </r>
        <r>
          <rPr>
            <sz val="8"/>
            <color indexed="81"/>
            <rFont val="Tahoma"/>
            <family val="2"/>
          </rPr>
          <t xml:space="preserve">
2766.7</t>
        </r>
      </text>
    </comment>
    <comment ref="G118" authorId="3">
      <text>
        <r>
          <rPr>
            <b/>
            <sz val="8"/>
            <color indexed="81"/>
            <rFont val="Tahoma"/>
            <family val="2"/>
          </rPr>
          <t>mm98285:</t>
        </r>
        <r>
          <rPr>
            <sz val="8"/>
            <color indexed="81"/>
            <rFont val="Tahoma"/>
            <family val="2"/>
          </rPr>
          <t xml:space="preserve">
2/2/06: revised from $251.104mm for early adoption of stock expense accounting</t>
        </r>
      </text>
    </comment>
    <comment ref="I118" authorId="6">
      <text>
        <r>
          <rPr>
            <b/>
            <sz val="8"/>
            <color indexed="81"/>
            <rFont val="Tahoma"/>
            <family val="2"/>
          </rPr>
          <t>Morry Brown:</t>
        </r>
        <r>
          <rPr>
            <sz val="8"/>
            <color indexed="81"/>
            <rFont val="Tahoma"/>
            <family val="2"/>
          </rPr>
          <t xml:space="preserve">
8/16 guidance 10.3-10.7</t>
        </r>
      </text>
    </comment>
    <comment ref="W118" authorId="6">
      <text>
        <r>
          <rPr>
            <b/>
            <sz val="8"/>
            <color indexed="81"/>
            <rFont val="Tahoma"/>
            <family val="2"/>
          </rPr>
          <t>Morry Brown:</t>
        </r>
        <r>
          <rPr>
            <sz val="8"/>
            <color indexed="81"/>
            <rFont val="Tahoma"/>
            <family val="2"/>
          </rPr>
          <t xml:space="preserve">
389.5</t>
        </r>
      </text>
    </comment>
    <comment ref="Z118" authorId="3">
      <text>
        <r>
          <rPr>
            <b/>
            <sz val="8"/>
            <color indexed="81"/>
            <rFont val="Tahoma"/>
            <family val="2"/>
          </rPr>
          <t>mm98285:</t>
        </r>
        <r>
          <rPr>
            <sz val="8"/>
            <color indexed="81"/>
            <rFont val="Tahoma"/>
            <family val="2"/>
          </rPr>
          <t xml:space="preserve">
2/2/06: revised from $52.237mm for early adoption of stock expense accounting</t>
        </r>
      </text>
    </comment>
    <comment ref="AA118" authorId="6">
      <text>
        <r>
          <rPr>
            <b/>
            <sz val="8"/>
            <color indexed="81"/>
            <rFont val="Tahoma"/>
            <family val="2"/>
          </rPr>
          <t>Morry Brown:</t>
        </r>
        <r>
          <rPr>
            <sz val="8"/>
            <color indexed="81"/>
            <rFont val="Tahoma"/>
            <family val="2"/>
          </rPr>
          <t xml:space="preserve">
8/16 guidance 10.9-11.3</t>
        </r>
      </text>
    </comment>
    <comment ref="AC118" authorId="6">
      <text>
        <r>
          <rPr>
            <b/>
            <sz val="8"/>
            <color indexed="81"/>
            <rFont val="Tahoma"/>
            <family val="2"/>
          </rPr>
          <t>Morry Brown:</t>
        </r>
        <r>
          <rPr>
            <sz val="8"/>
            <color indexed="81"/>
            <rFont val="Tahoma"/>
            <family val="2"/>
          </rPr>
          <t xml:space="preserve">
408.1</t>
        </r>
      </text>
    </comment>
    <comment ref="AF118" authorId="3">
      <text>
        <r>
          <rPr>
            <b/>
            <sz val="8"/>
            <color indexed="81"/>
            <rFont val="Tahoma"/>
            <family val="2"/>
          </rPr>
          <t>mm98285:</t>
        </r>
        <r>
          <rPr>
            <sz val="8"/>
            <color indexed="81"/>
            <rFont val="Tahoma"/>
            <family val="2"/>
          </rPr>
          <t xml:space="preserve">
2/2/06: revised from $22.679mm for early adoption of stock expense accounting</t>
        </r>
      </text>
    </comment>
    <comment ref="AG118" authorId="6">
      <text>
        <r>
          <rPr>
            <b/>
            <sz val="8"/>
            <color indexed="81"/>
            <rFont val="Tahoma"/>
            <family val="2"/>
          </rPr>
          <t>Morry Brown:</t>
        </r>
        <r>
          <rPr>
            <sz val="8"/>
            <color indexed="81"/>
            <rFont val="Tahoma"/>
            <family val="2"/>
          </rPr>
          <t xml:space="preserve">
8/16 guidance 8.1-8.5</t>
        </r>
      </text>
    </comment>
    <comment ref="AI118" authorId="6">
      <text>
        <r>
          <rPr>
            <b/>
            <sz val="8"/>
            <color indexed="81"/>
            <rFont val="Tahoma"/>
            <family val="2"/>
          </rPr>
          <t>Morry Brown:</t>
        </r>
        <r>
          <rPr>
            <sz val="8"/>
            <color indexed="81"/>
            <rFont val="Tahoma"/>
            <family val="2"/>
          </rPr>
          <t xml:space="preserve">
305.8</t>
        </r>
      </text>
    </comment>
    <comment ref="AL118" authorId="3">
      <text>
        <r>
          <rPr>
            <b/>
            <sz val="8"/>
            <color indexed="81"/>
            <rFont val="Tahoma"/>
            <family val="2"/>
          </rPr>
          <t>mm98285:</t>
        </r>
        <r>
          <rPr>
            <sz val="8"/>
            <color indexed="81"/>
            <rFont val="Tahoma"/>
            <family val="2"/>
          </rPr>
          <t xml:space="preserve">
2/2/06: revised from $8.053mm for early adoption of stock expense accounting</t>
        </r>
      </text>
    </comment>
    <comment ref="AM118" authorId="6">
      <text>
        <r>
          <rPr>
            <b/>
            <sz val="8"/>
            <color indexed="81"/>
            <rFont val="Tahoma"/>
            <family val="2"/>
          </rPr>
          <t>Morry Brown:</t>
        </r>
        <r>
          <rPr>
            <sz val="8"/>
            <color indexed="81"/>
            <rFont val="Tahoma"/>
            <family val="2"/>
          </rPr>
          <t xml:space="preserve">
8/16 guidance to 3.1-3.7</t>
        </r>
      </text>
    </comment>
    <comment ref="AO118" authorId="6">
      <text>
        <r>
          <rPr>
            <b/>
            <sz val="8"/>
            <color indexed="81"/>
            <rFont val="Tahoma"/>
            <family val="2"/>
          </rPr>
          <t>Morry Brown:</t>
        </r>
        <r>
          <rPr>
            <sz val="8"/>
            <color indexed="81"/>
            <rFont val="Tahoma"/>
            <family val="2"/>
          </rPr>
          <t xml:space="preserve">
161.6</t>
        </r>
      </text>
    </comment>
    <comment ref="AR118" authorId="3">
      <text>
        <r>
          <rPr>
            <b/>
            <sz val="8"/>
            <color indexed="81"/>
            <rFont val="Tahoma"/>
            <family val="2"/>
          </rPr>
          <t>mm98285:</t>
        </r>
        <r>
          <rPr>
            <sz val="8"/>
            <color indexed="81"/>
            <rFont val="Tahoma"/>
            <family val="2"/>
          </rPr>
          <t xml:space="preserve">
2/2/06: revised from 
-$2.466mm for early adoption of stock expense accounting</t>
        </r>
      </text>
    </comment>
    <comment ref="AS118" authorId="6">
      <text>
        <r>
          <rPr>
            <b/>
            <sz val="8"/>
            <color indexed="81"/>
            <rFont val="Tahoma"/>
            <family val="2"/>
          </rPr>
          <t>Morry Brown:</t>
        </r>
        <r>
          <rPr>
            <sz val="8"/>
            <color indexed="81"/>
            <rFont val="Tahoma"/>
            <family val="2"/>
          </rPr>
          <t xml:space="preserve">
8/16 guidance to -2mm to breakeven</t>
        </r>
      </text>
    </comment>
    <comment ref="AV118" authorId="6">
      <text>
        <r>
          <rPr>
            <b/>
            <sz val="8"/>
            <color indexed="81"/>
            <rFont val="Tahoma"/>
            <family val="2"/>
          </rPr>
          <t>Morry Brown:</t>
        </r>
        <r>
          <rPr>
            <sz val="8"/>
            <color indexed="81"/>
            <rFont val="Tahoma"/>
            <family val="2"/>
          </rPr>
          <t xml:space="preserve">
81.3</t>
        </r>
      </text>
    </comment>
    <comment ref="AY118" authorId="3">
      <text>
        <r>
          <rPr>
            <b/>
            <sz val="8"/>
            <color indexed="81"/>
            <rFont val="Tahoma"/>
            <family val="2"/>
          </rPr>
          <t>mm98285:</t>
        </r>
        <r>
          <rPr>
            <sz val="8"/>
            <color indexed="81"/>
            <rFont val="Tahoma"/>
            <family val="2"/>
          </rPr>
          <t xml:space="preserve">
2/2/06: revised from ($6.736)mm for early adoption of stock expense accounting</t>
        </r>
      </text>
    </comment>
    <comment ref="AZ118" authorId="6">
      <text>
        <r>
          <rPr>
            <b/>
            <sz val="8"/>
            <color indexed="81"/>
            <rFont val="Tahoma"/>
            <family val="2"/>
          </rPr>
          <t>Morry Brown:</t>
        </r>
        <r>
          <rPr>
            <sz val="8"/>
            <color indexed="81"/>
            <rFont val="Tahoma"/>
            <family val="2"/>
          </rPr>
          <t xml:space="preserve">
8/16 guidance of loss of 3mm</t>
        </r>
      </text>
    </comment>
    <comment ref="BJ118" authorId="6">
      <text>
        <r>
          <rPr>
            <b/>
            <sz val="8"/>
            <color indexed="81"/>
            <rFont val="Tahoma"/>
            <family val="2"/>
          </rPr>
          <t>Morry Brown:</t>
        </r>
        <r>
          <rPr>
            <sz val="8"/>
            <color indexed="81"/>
            <rFont val="Tahoma"/>
            <family val="2"/>
          </rPr>
          <t xml:space="preserve">
2/2/06: revised from $35.408mm for early adoption of stock expense accounting
8/16 guided to 22
11/23/05 note inclusion of CEO severance (and other 1x items?)???</t>
        </r>
      </text>
    </comment>
    <comment ref="D119" authorId="7">
      <text>
        <r>
          <rPr>
            <b/>
            <sz val="8"/>
            <color indexed="81"/>
            <rFont val="Tahoma"/>
            <family val="2"/>
          </rPr>
          <t>MB33100:</t>
        </r>
        <r>
          <rPr>
            <sz val="8"/>
            <color indexed="81"/>
            <rFont val="Tahoma"/>
            <family val="2"/>
          </rPr>
          <t xml:space="preserve">
3131.7</t>
        </r>
      </text>
    </comment>
    <comment ref="G119" authorId="6">
      <text>
        <r>
          <rPr>
            <b/>
            <sz val="8"/>
            <color indexed="81"/>
            <rFont val="Tahoma"/>
            <family val="2"/>
          </rPr>
          <t>Morry Brown:</t>
        </r>
        <r>
          <rPr>
            <sz val="8"/>
            <color indexed="81"/>
            <rFont val="Tahoma"/>
            <family val="2"/>
          </rPr>
          <t xml:space="preserve">
11/15 guidance of 245-255</t>
        </r>
      </text>
    </comment>
    <comment ref="I119" authorId="6">
      <text>
        <r>
          <rPr>
            <b/>
            <sz val="8"/>
            <color indexed="81"/>
            <rFont val="Tahoma"/>
            <family val="2"/>
          </rPr>
          <t>Morry Brown:</t>
        </r>
        <r>
          <rPr>
            <sz val="8"/>
            <color indexed="81"/>
            <rFont val="Tahoma"/>
            <family val="2"/>
          </rPr>
          <t xml:space="preserve">
8/16 guidance 8.7-8.9
</t>
        </r>
      </text>
    </comment>
    <comment ref="W119" authorId="7">
      <text>
        <r>
          <rPr>
            <b/>
            <sz val="8"/>
            <color indexed="81"/>
            <rFont val="Tahoma"/>
            <family val="2"/>
          </rPr>
          <t>MB33100:</t>
        </r>
        <r>
          <rPr>
            <sz val="8"/>
            <color indexed="81"/>
            <rFont val="Tahoma"/>
            <family val="2"/>
          </rPr>
          <t xml:space="preserve">
428.7</t>
        </r>
      </text>
    </comment>
    <comment ref="Z119" authorId="6">
      <text>
        <r>
          <rPr>
            <b/>
            <sz val="8"/>
            <color indexed="81"/>
            <rFont val="Tahoma"/>
            <family val="2"/>
          </rPr>
          <t>Morry Brown:</t>
        </r>
        <r>
          <rPr>
            <sz val="8"/>
            <color indexed="81"/>
            <rFont val="Tahoma"/>
            <family val="2"/>
          </rPr>
          <t xml:space="preserve">
11/15 guidance of 42-44</t>
        </r>
      </text>
    </comment>
    <comment ref="AA119" authorId="6">
      <text>
        <r>
          <rPr>
            <b/>
            <sz val="8"/>
            <color indexed="81"/>
            <rFont val="Tahoma"/>
            <family val="2"/>
          </rPr>
          <t>Morry Brown:</t>
        </r>
        <r>
          <rPr>
            <sz val="8"/>
            <color indexed="81"/>
            <rFont val="Tahoma"/>
            <family val="2"/>
          </rPr>
          <t xml:space="preserve">
8/16 guidance 8.6-8.7
</t>
        </r>
      </text>
    </comment>
    <comment ref="AC119" authorId="7">
      <text>
        <r>
          <rPr>
            <b/>
            <sz val="8"/>
            <color indexed="81"/>
            <rFont val="Tahoma"/>
            <family val="2"/>
          </rPr>
          <t>MB33100:</t>
        </r>
        <r>
          <rPr>
            <sz val="8"/>
            <color indexed="81"/>
            <rFont val="Tahoma"/>
            <family val="2"/>
          </rPr>
          <t xml:space="preserve">
497.6</t>
        </r>
      </text>
    </comment>
    <comment ref="AF119" authorId="6">
      <text>
        <r>
          <rPr>
            <b/>
            <sz val="8"/>
            <color indexed="81"/>
            <rFont val="Tahoma"/>
            <family val="2"/>
          </rPr>
          <t>Morry Brown:</t>
        </r>
        <r>
          <rPr>
            <sz val="8"/>
            <color indexed="81"/>
            <rFont val="Tahoma"/>
            <family val="2"/>
          </rPr>
          <t xml:space="preserve">
11/15 guidance of 37-40</t>
        </r>
      </text>
    </comment>
    <comment ref="AG119" authorId="6">
      <text>
        <r>
          <rPr>
            <b/>
            <sz val="8"/>
            <color indexed="81"/>
            <rFont val="Tahoma"/>
            <family val="2"/>
          </rPr>
          <t>Morry Brown:</t>
        </r>
        <r>
          <rPr>
            <sz val="8"/>
            <color indexed="81"/>
            <rFont val="Tahoma"/>
            <family val="2"/>
          </rPr>
          <t xml:space="preserve">
guidance to 8.1-8.3
</t>
        </r>
      </text>
    </comment>
    <comment ref="AI119" authorId="7">
      <text>
        <r>
          <rPr>
            <b/>
            <sz val="8"/>
            <color indexed="81"/>
            <rFont val="Tahoma"/>
            <family val="2"/>
          </rPr>
          <t>MB33100:</t>
        </r>
        <r>
          <rPr>
            <sz val="8"/>
            <color indexed="81"/>
            <rFont val="Tahoma"/>
            <family val="2"/>
          </rPr>
          <t xml:space="preserve">
381.6</t>
        </r>
      </text>
    </comment>
    <comment ref="AL119" authorId="6">
      <text>
        <r>
          <rPr>
            <b/>
            <sz val="8"/>
            <color indexed="81"/>
            <rFont val="Tahoma"/>
            <family val="2"/>
          </rPr>
          <t>Morry Brown:</t>
        </r>
        <r>
          <rPr>
            <sz val="8"/>
            <color indexed="81"/>
            <rFont val="Tahoma"/>
            <family val="2"/>
          </rPr>
          <t xml:space="preserve">
11/15 guidance of 19-21</t>
        </r>
      </text>
    </comment>
    <comment ref="AM119" authorId="6">
      <text>
        <r>
          <rPr>
            <b/>
            <sz val="8"/>
            <color indexed="81"/>
            <rFont val="Tahoma"/>
            <family val="2"/>
          </rPr>
          <t>Morry Brown:</t>
        </r>
        <r>
          <rPr>
            <sz val="8"/>
            <color indexed="81"/>
            <rFont val="Tahoma"/>
            <family val="2"/>
          </rPr>
          <t xml:space="preserve">
8/16 guidance to 5.5-5.8</t>
        </r>
      </text>
    </comment>
    <comment ref="AO119" authorId="7">
      <text>
        <r>
          <rPr>
            <b/>
            <sz val="8"/>
            <color indexed="81"/>
            <rFont val="Tahoma"/>
            <family val="2"/>
          </rPr>
          <t>MB33100:</t>
        </r>
        <r>
          <rPr>
            <sz val="8"/>
            <color indexed="81"/>
            <rFont val="Tahoma"/>
            <family val="2"/>
          </rPr>
          <t xml:space="preserve">
$205.757 prior to restatement
204.0</t>
        </r>
      </text>
    </comment>
    <comment ref="AR119" authorId="6">
      <text>
        <r>
          <rPr>
            <b/>
            <sz val="8"/>
            <color indexed="81"/>
            <rFont val="Tahoma"/>
            <family val="2"/>
          </rPr>
          <t>Morry Brown:</t>
        </r>
        <r>
          <rPr>
            <sz val="8"/>
            <color indexed="81"/>
            <rFont val="Tahoma"/>
            <family val="2"/>
          </rPr>
          <t xml:space="preserve">
$8.241 prior to restatement
11/15 guidance of 4-5</t>
        </r>
      </text>
    </comment>
    <comment ref="AS119" authorId="6">
      <text>
        <r>
          <rPr>
            <b/>
            <sz val="8"/>
            <color indexed="81"/>
            <rFont val="Tahoma"/>
            <family val="2"/>
          </rPr>
          <t>Morry Brown:</t>
        </r>
        <r>
          <rPr>
            <sz val="8"/>
            <color indexed="81"/>
            <rFont val="Tahoma"/>
            <family val="2"/>
          </rPr>
          <t xml:space="preserve">
8/16 guidance to 5-6mm</t>
        </r>
      </text>
    </comment>
    <comment ref="AV119" authorId="7">
      <text>
        <r>
          <rPr>
            <b/>
            <sz val="8"/>
            <color indexed="81"/>
            <rFont val="Tahoma"/>
            <family val="2"/>
          </rPr>
          <t>MB33100:</t>
        </r>
        <r>
          <rPr>
            <sz val="8"/>
            <color indexed="81"/>
            <rFont val="Tahoma"/>
            <family val="2"/>
          </rPr>
          <t xml:space="preserve">
90.1</t>
        </r>
      </text>
    </comment>
    <comment ref="AY119" authorId="6">
      <text>
        <r>
          <rPr>
            <b/>
            <sz val="8"/>
            <color indexed="81"/>
            <rFont val="Tahoma"/>
            <family val="2"/>
          </rPr>
          <t>Morry Brown:</t>
        </r>
        <r>
          <rPr>
            <sz val="8"/>
            <color indexed="81"/>
            <rFont val="Tahoma"/>
            <family val="2"/>
          </rPr>
          <t xml:space="preserve">
11/15 guidance of (3)-(2)</t>
        </r>
      </text>
    </comment>
    <comment ref="AZ119" authorId="6">
      <text>
        <r>
          <rPr>
            <b/>
            <sz val="8"/>
            <color indexed="81"/>
            <rFont val="Tahoma"/>
            <family val="2"/>
          </rPr>
          <t>Morry Brown:</t>
        </r>
        <r>
          <rPr>
            <sz val="8"/>
            <color indexed="81"/>
            <rFont val="Tahoma"/>
            <family val="2"/>
          </rPr>
          <t xml:space="preserve">
guidnace of flat to loss of $1mm</t>
        </r>
      </text>
    </comment>
    <comment ref="BJ119" authorId="6">
      <text>
        <r>
          <rPr>
            <b/>
            <sz val="8"/>
            <color indexed="81"/>
            <rFont val="Tahoma"/>
            <family val="2"/>
          </rPr>
          <t>Morry Brown:</t>
        </r>
        <r>
          <rPr>
            <sz val="8"/>
            <color indexed="81"/>
            <rFont val="Tahoma"/>
            <family val="2"/>
          </rPr>
          <t xml:space="preserve">
8/16 guided to 25</t>
        </r>
      </text>
    </comment>
    <comment ref="G120" authorId="3">
      <text>
        <r>
          <rPr>
            <b/>
            <sz val="8"/>
            <color indexed="81"/>
            <rFont val="Tahoma"/>
            <family val="2"/>
          </rPr>
          <t>mm98285:</t>
        </r>
        <r>
          <rPr>
            <sz val="8"/>
            <color indexed="81"/>
            <rFont val="Tahoma"/>
            <family val="2"/>
          </rPr>
          <t xml:space="preserve">
2/22/06: early adoption of option expense with the modified retrospective transiition method reduced segment profit from what was previously reported</t>
        </r>
      </text>
    </comment>
    <comment ref="I120" authorId="6">
      <text>
        <r>
          <rPr>
            <b/>
            <sz val="8"/>
            <color indexed="81"/>
            <rFont val="Tahoma"/>
            <family val="2"/>
          </rPr>
          <t>Morry Brown:</t>
        </r>
        <r>
          <rPr>
            <sz val="8"/>
            <color indexed="81"/>
            <rFont val="Tahoma"/>
            <family val="2"/>
          </rPr>
          <t xml:space="preserve">
2/23 guided to 9.5-9.8% on 4Q conf call</t>
        </r>
      </text>
    </comment>
    <comment ref="AA120" authorId="6">
      <text>
        <r>
          <rPr>
            <b/>
            <sz val="8"/>
            <color indexed="81"/>
            <rFont val="Tahoma"/>
            <family val="2"/>
          </rPr>
          <t>Morry Brown:</t>
        </r>
        <r>
          <rPr>
            <sz val="8"/>
            <color indexed="81"/>
            <rFont val="Tahoma"/>
            <family val="2"/>
          </rPr>
          <t xml:space="preserve">
2/23 guided to 9.0-9.3% on 4Q call</t>
        </r>
      </text>
    </comment>
    <comment ref="AG120" authorId="6">
      <text>
        <r>
          <rPr>
            <b/>
            <sz val="8"/>
            <color indexed="81"/>
            <rFont val="Tahoma"/>
            <family val="2"/>
          </rPr>
          <t>Morry Brown:</t>
        </r>
        <r>
          <rPr>
            <sz val="8"/>
            <color indexed="81"/>
            <rFont val="Tahoma"/>
            <family val="2"/>
          </rPr>
          <t xml:space="preserve">
2/23 guided to 6.3% on 4Q call</t>
        </r>
      </text>
    </comment>
    <comment ref="AM120" authorId="6">
      <text>
        <r>
          <rPr>
            <b/>
            <sz val="8"/>
            <color indexed="81"/>
            <rFont val="Tahoma"/>
            <family val="2"/>
          </rPr>
          <t>Morry Brown:</t>
        </r>
        <r>
          <rPr>
            <sz val="8"/>
            <color indexed="81"/>
            <rFont val="Tahoma"/>
            <family val="2"/>
          </rPr>
          <t xml:space="preserve">
2/23 guided to 3.5-4.0% on 4Q call</t>
        </r>
      </text>
    </comment>
    <comment ref="AS120" authorId="6">
      <text>
        <r>
          <rPr>
            <b/>
            <sz val="8"/>
            <color indexed="81"/>
            <rFont val="Tahoma"/>
            <family val="2"/>
          </rPr>
          <t>Morry Brown:</t>
        </r>
        <r>
          <rPr>
            <sz val="8"/>
            <color indexed="81"/>
            <rFont val="Tahoma"/>
            <family val="2"/>
          </rPr>
          <t xml:space="preserve">
2/23 guided to breakeven to $3mm operating profit on 4Q call</t>
        </r>
      </text>
    </comment>
    <comment ref="AZ120" authorId="6">
      <text>
        <r>
          <rPr>
            <b/>
            <sz val="8"/>
            <color indexed="81"/>
            <rFont val="Tahoma"/>
            <family val="2"/>
          </rPr>
          <t>Morry Brown:</t>
        </r>
        <r>
          <rPr>
            <sz val="8"/>
            <color indexed="81"/>
            <rFont val="Tahoma"/>
            <family val="2"/>
          </rPr>
          <t xml:space="preserve">
2/23 guided to -$13-15mm loss on 4Q call</t>
        </r>
      </text>
    </comment>
    <comment ref="AO123" authorId="8">
      <text>
        <r>
          <rPr>
            <b/>
            <sz val="8"/>
            <color indexed="81"/>
            <rFont val="Tahoma"/>
            <family val="2"/>
          </rPr>
          <t>oc48540:</t>
        </r>
        <r>
          <rPr>
            <sz val="8"/>
            <color indexed="81"/>
            <rFont val="Tahoma"/>
            <family val="2"/>
          </rPr>
          <t xml:space="preserve">
Excludes 34 AJW</t>
        </r>
      </text>
    </comment>
    <comment ref="AR123" authorId="8">
      <text>
        <r>
          <rPr>
            <b/>
            <sz val="8"/>
            <color indexed="81"/>
            <rFont val="Tahoma"/>
            <family val="2"/>
          </rPr>
          <t>oc48540:</t>
        </r>
        <r>
          <rPr>
            <sz val="8"/>
            <color indexed="81"/>
            <rFont val="Tahoma"/>
            <family val="2"/>
          </rPr>
          <t xml:space="preserve">
Excludes 34 AJW</t>
        </r>
      </text>
    </comment>
    <comment ref="AO124" authorId="8">
      <text>
        <r>
          <rPr>
            <b/>
            <sz val="8"/>
            <color indexed="81"/>
            <rFont val="Tahoma"/>
            <family val="2"/>
          </rPr>
          <t>oc48540:</t>
        </r>
        <r>
          <rPr>
            <sz val="8"/>
            <color indexed="81"/>
            <rFont val="Tahoma"/>
            <family val="2"/>
          </rPr>
          <t xml:space="preserve">
excludes 34 AJW</t>
        </r>
      </text>
    </comment>
    <comment ref="AR124" authorId="8">
      <text>
        <r>
          <rPr>
            <b/>
            <sz val="8"/>
            <color indexed="81"/>
            <rFont val="Tahoma"/>
            <family val="2"/>
          </rPr>
          <t>oc48540:</t>
        </r>
        <r>
          <rPr>
            <sz val="8"/>
            <color indexed="81"/>
            <rFont val="Tahoma"/>
            <family val="2"/>
          </rPr>
          <t xml:space="preserve">
Excludes 34 AJW</t>
        </r>
      </text>
    </comment>
    <comment ref="BI124" authorId="3">
      <text>
        <r>
          <rPr>
            <b/>
            <sz val="8"/>
            <color indexed="81"/>
            <rFont val="Tahoma"/>
            <family val="2"/>
          </rPr>
          <t>mm98285:</t>
        </r>
        <r>
          <rPr>
            <sz val="8"/>
            <color indexed="81"/>
            <rFont val="Tahoma"/>
            <family val="2"/>
          </rPr>
          <t xml:space="preserve">
5/06: guided seg. profit margin (operating margin + corp exp) to 5.8%-6.0%</t>
        </r>
      </text>
    </comment>
    <comment ref="BJ124" authorId="3">
      <text>
        <r>
          <rPr>
            <b/>
            <sz val="8"/>
            <color indexed="81"/>
            <rFont val="Tahoma"/>
            <family val="2"/>
          </rPr>
          <t>mm98285:</t>
        </r>
        <r>
          <rPr>
            <sz val="8"/>
            <color indexed="81"/>
            <rFont val="Tahoma"/>
            <family val="2"/>
          </rPr>
          <t xml:space="preserve">
5/06: guided to $27m-$28m</t>
        </r>
      </text>
    </comment>
    <comment ref="I125" authorId="3">
      <text>
        <r>
          <rPr>
            <b/>
            <sz val="8"/>
            <color indexed="81"/>
            <rFont val="Tahoma"/>
            <family val="2"/>
          </rPr>
          <t>mm98285:</t>
        </r>
        <r>
          <rPr>
            <sz val="8"/>
            <color indexed="81"/>
            <rFont val="Tahoma"/>
            <family val="2"/>
          </rPr>
          <t xml:space="preserve">
+60 bps distribution &amp; admin costs improvement
+50 bps store payroll &amp; benefit cost improvement
+40 bps merch margin
+20-30 bps favorable insurance claims</t>
        </r>
      </text>
    </comment>
    <comment ref="AA125" authorId="3">
      <text>
        <r>
          <rPr>
            <b/>
            <sz val="8"/>
            <color indexed="81"/>
            <rFont val="Tahoma"/>
            <family val="2"/>
          </rPr>
          <t>mm98285:</t>
        </r>
        <r>
          <rPr>
            <sz val="8"/>
            <color indexed="81"/>
            <rFont val="Tahoma"/>
            <family val="2"/>
          </rPr>
          <t xml:space="preserve">
+leverage on exp due to 5% comp and cost initiatives partially offset by incr in advertising &amp; slightly lower merch margins
8/06: guided 11.5-12%</t>
        </r>
      </text>
    </comment>
    <comment ref="AG125" authorId="3">
      <text>
        <r>
          <rPr>
            <b/>
            <sz val="8"/>
            <color indexed="81"/>
            <rFont val="Tahoma"/>
            <family val="2"/>
          </rPr>
          <t>mm98285:</t>
        </r>
        <r>
          <rPr>
            <sz val="8"/>
            <color indexed="81"/>
            <rFont val="Tahoma"/>
            <family val="2"/>
          </rPr>
          <t xml:space="preserve">
+190 bps merch margin
+leverage on strong comp
- incr. marketing</t>
        </r>
      </text>
    </comment>
    <comment ref="AM125" authorId="3">
      <text>
        <r>
          <rPr>
            <b/>
            <sz val="8"/>
            <color indexed="81"/>
            <rFont val="Tahoma"/>
            <family val="2"/>
          </rPr>
          <t>mm98285:</t>
        </r>
        <r>
          <rPr>
            <sz val="8"/>
            <color indexed="81"/>
            <rFont val="Tahoma"/>
            <family val="2"/>
          </rPr>
          <t xml:space="preserve">
+ merch margin (higher markon), leverage (reduction in distribution costs)</t>
        </r>
      </text>
    </comment>
    <comment ref="AO125" authorId="9">
      <text>
        <r>
          <rPr>
            <b/>
            <sz val="8"/>
            <color indexed="81"/>
            <rFont val="Tahoma"/>
            <family val="2"/>
          </rPr>
          <t>OC48540:</t>
        </r>
        <r>
          <rPr>
            <sz val="8"/>
            <color indexed="81"/>
            <rFont val="Tahoma"/>
            <family val="2"/>
          </rPr>
          <t xml:space="preserve">
176.629</t>
        </r>
      </text>
    </comment>
    <comment ref="AR125" authorId="9">
      <text>
        <r>
          <rPr>
            <b/>
            <sz val="8"/>
            <color indexed="81"/>
            <rFont val="Tahoma"/>
            <family val="2"/>
          </rPr>
          <t>OC48540:</t>
        </r>
        <r>
          <rPr>
            <sz val="8"/>
            <color indexed="81"/>
            <rFont val="Tahoma"/>
            <family val="2"/>
          </rPr>
          <t xml:space="preserve">
-2.623</t>
        </r>
      </text>
    </comment>
    <comment ref="AZ125" authorId="3">
      <text>
        <r>
          <rPr>
            <b/>
            <sz val="8"/>
            <color indexed="81"/>
            <rFont val="Tahoma"/>
            <family val="2"/>
          </rPr>
          <t>mm98285:</t>
        </r>
        <r>
          <rPr>
            <sz val="8"/>
            <color indexed="81"/>
            <rFont val="Tahoma"/>
            <family val="2"/>
          </rPr>
          <t xml:space="preserve">
+merch margin (improved mark-on)</t>
        </r>
      </text>
    </comment>
    <comment ref="BJ125" authorId="3">
      <text>
        <r>
          <rPr>
            <b/>
            <sz val="8"/>
            <color indexed="81"/>
            <rFont val="Tahoma"/>
            <family val="2"/>
          </rPr>
          <t>mm98285:</t>
        </r>
        <r>
          <rPr>
            <sz val="8"/>
            <color indexed="81"/>
            <rFont val="Tahoma"/>
            <family val="2"/>
          </rPr>
          <t xml:space="preserve">
8/06: guided to $31m-$32m</t>
        </r>
      </text>
    </comment>
    <comment ref="BJ126" authorId="3">
      <text>
        <r>
          <rPr>
            <b/>
            <sz val="8"/>
            <color indexed="81"/>
            <rFont val="Tahoma"/>
            <family val="2"/>
          </rPr>
          <t>mm98285:</t>
        </r>
        <r>
          <rPr>
            <sz val="8"/>
            <color indexed="81"/>
            <rFont val="Tahoma"/>
            <family val="2"/>
          </rPr>
          <t xml:space="preserve">
11/06: expect to be $34M</t>
        </r>
      </text>
    </comment>
    <comment ref="BM126" authorId="3">
      <text>
        <r>
          <rPr>
            <b/>
            <sz val="8"/>
            <color indexed="81"/>
            <rFont val="Tahoma"/>
            <family val="2"/>
          </rPr>
          <t>mm98285:</t>
        </r>
        <r>
          <rPr>
            <sz val="8"/>
            <color indexed="81"/>
            <rFont val="Tahoma"/>
            <family val="2"/>
          </rPr>
          <t xml:space="preserve">
guid 7.4%-7.7%</t>
        </r>
      </text>
    </comment>
    <comment ref="I127" authorId="3">
      <text>
        <r>
          <rPr>
            <b/>
            <sz val="8"/>
            <color indexed="81"/>
            <rFont val="Tahoma"/>
            <family val="2"/>
          </rPr>
          <t>mm98285:</t>
        </r>
        <r>
          <rPr>
            <sz val="8"/>
            <color indexed="81"/>
            <rFont val="Tahoma"/>
            <family val="2"/>
          </rPr>
          <t xml:space="preserve">
3/08: +20 bps increase in merch margin (lower MDs) and exp levg across most cat's due to cost containment initiatives, &amp; favorable impact of favorable claims experience partially offset by +20 bps increase in occup costs and +10 bps planned increase in marketing</t>
        </r>
      </text>
    </comment>
    <comment ref="AA127" authorId="3">
      <text>
        <r>
          <rPr>
            <b/>
            <sz val="8"/>
            <color indexed="81"/>
            <rFont val="Tahoma"/>
            <family val="2"/>
          </rPr>
          <t>mm98285:</t>
        </r>
        <r>
          <rPr>
            <sz val="8"/>
            <color indexed="81"/>
            <rFont val="Tahoma"/>
            <family val="2"/>
          </rPr>
          <t xml:space="preserve">
3/08: 140 bps increased merch margin (higher markon, lower MDs) combined with improved exp ratios (levg and cost containment initiatives); partially offset by planned 20 bps increase in ad costs</t>
        </r>
      </text>
    </comment>
    <comment ref="AG127" authorId="3">
      <text>
        <r>
          <rPr>
            <b/>
            <sz val="8"/>
            <color indexed="81"/>
            <rFont val="Tahoma"/>
            <family val="2"/>
          </rPr>
          <t>mm98285:</t>
        </r>
        <r>
          <rPr>
            <sz val="8"/>
            <color indexed="81"/>
            <rFont val="Tahoma"/>
            <family val="2"/>
          </rPr>
          <t xml:space="preserve">
3/08: +90 bps merch margin (lower MDs) &amp; exp levg on 9% comp, offset by incrase in occupc'y exp (higher rent, utilities, property taxes &amp; store relo's)</t>
        </r>
      </text>
    </comment>
    <comment ref="BJ127" authorId="3">
      <text>
        <r>
          <rPr>
            <b/>
            <sz val="8"/>
            <color indexed="81"/>
            <rFont val="Tahoma"/>
            <family val="2"/>
          </rPr>
          <t>mm98285:</t>
        </r>
        <r>
          <rPr>
            <sz val="8"/>
            <color indexed="81"/>
            <rFont val="Tahoma"/>
            <family val="2"/>
          </rPr>
          <t xml:space="preserve">
3/08: $136.4 ex $5mm charge relating to cost of workforce reduction and other termination benefits at the corp level</t>
        </r>
      </text>
    </comment>
    <comment ref="BJ130" authorId="3">
      <text>
        <r>
          <rPr>
            <b/>
            <sz val="8"/>
            <color indexed="81"/>
            <rFont val="Tahoma"/>
            <family val="2"/>
          </rPr>
          <t>mm98285:</t>
        </r>
        <r>
          <rPr>
            <sz val="8"/>
            <color indexed="81"/>
            <rFont val="Tahoma"/>
            <family val="2"/>
          </rPr>
          <t xml:space="preserve">
$23 ex 1-time items</t>
        </r>
      </text>
    </comment>
    <comment ref="BJ131" authorId="3">
      <text>
        <r>
          <rPr>
            <b/>
            <sz val="8"/>
            <color indexed="81"/>
            <rFont val="Tahoma"/>
            <family val="2"/>
          </rPr>
          <t>mm98285:</t>
        </r>
        <r>
          <rPr>
            <sz val="8"/>
            <color indexed="81"/>
            <rFont val="Tahoma"/>
            <family val="2"/>
          </rPr>
          <t xml:space="preserve">
$33 ex. 1-time items</t>
        </r>
      </text>
    </comment>
    <comment ref="Y132" authorId="3">
      <text>
        <r>
          <rPr>
            <b/>
            <sz val="8"/>
            <color indexed="81"/>
            <rFont val="Tahoma"/>
            <family val="2"/>
          </rPr>
          <t>mm98285:</t>
        </r>
        <r>
          <rPr>
            <sz val="8"/>
            <color indexed="81"/>
            <rFont val="Tahoma"/>
            <family val="2"/>
          </rPr>
          <t xml:space="preserve">
+15% US$</t>
        </r>
      </text>
    </comment>
    <comment ref="Z132" authorId="3">
      <text>
        <r>
          <rPr>
            <b/>
            <sz val="8"/>
            <color indexed="81"/>
            <rFont val="Tahoma"/>
            <family val="2"/>
          </rPr>
          <t>mm98285:</t>
        </r>
        <r>
          <rPr>
            <sz val="8"/>
            <color indexed="81"/>
            <rFont val="Tahoma"/>
            <family val="2"/>
          </rPr>
          <t xml:space="preserve">
10Q: mark-to-market adjustments of inventory-related hedges negatively impacted segment profit by ~$12M</t>
        </r>
      </text>
    </comment>
    <comment ref="AA132" authorId="3">
      <text>
        <r>
          <rPr>
            <b/>
            <sz val="8"/>
            <color indexed="81"/>
            <rFont val="Tahoma"/>
            <family val="2"/>
          </rPr>
          <t>mm98285:</t>
        </r>
        <r>
          <rPr>
            <sz val="8"/>
            <color indexed="81"/>
            <rFont val="Tahoma"/>
            <family val="2"/>
          </rPr>
          <t xml:space="preserve">
2/08: -30 bps mark-to-market adjustment on inventory-related foreign currency hedges </t>
        </r>
      </text>
    </comment>
    <comment ref="AE132" authorId="3">
      <text>
        <r>
          <rPr>
            <b/>
            <sz val="8"/>
            <color indexed="81"/>
            <rFont val="Tahoma"/>
            <family val="2"/>
          </rPr>
          <t>mm98285:</t>
        </r>
        <r>
          <rPr>
            <sz val="8"/>
            <color indexed="81"/>
            <rFont val="Tahoma"/>
            <family val="2"/>
          </rPr>
          <t xml:space="preserve">
+13% US$</t>
        </r>
      </text>
    </comment>
    <comment ref="AF132" authorId="9">
      <text>
        <r>
          <rPr>
            <sz val="8"/>
            <color indexed="81"/>
            <rFont val="Tahoma"/>
            <family val="2"/>
          </rPr>
          <t>3Q07: T.K. Maxx opened  first 5 stores in Germany which reduced segment profit for TY's 3Q07 &amp; YTD  periods by $5mm &amp; reduced 3Q07 segment margin by 0.9% and YTD segment margin by 0.3% points.</t>
        </r>
      </text>
    </comment>
    <comment ref="AG132" authorId="3">
      <text>
        <r>
          <rPr>
            <b/>
            <sz val="8"/>
            <color indexed="81"/>
            <rFont val="Tahoma"/>
            <family val="2"/>
          </rPr>
          <t>mm98285:</t>
        </r>
        <r>
          <rPr>
            <sz val="8"/>
            <color indexed="81"/>
            <rFont val="Tahoma"/>
            <family val="2"/>
          </rPr>
          <t xml:space="preserve">
7.9% excluding European investments</t>
        </r>
      </text>
    </comment>
    <comment ref="AA133" authorId="3">
      <text>
        <r>
          <rPr>
            <b/>
            <sz val="8"/>
            <color indexed="81"/>
            <rFont val="Tahoma"/>
            <family val="2"/>
          </rPr>
          <t>mm98285:</t>
        </r>
        <r>
          <rPr>
            <sz val="8"/>
            <color indexed="81"/>
            <rFont val="Tahoma"/>
            <family val="2"/>
          </rPr>
          <t xml:space="preserve">
2/08: includes 290 bps benefit from foreign currency impact of inventory related hedges</t>
        </r>
      </text>
    </comment>
    <comment ref="AY133" authorId="3">
      <text>
        <r>
          <rPr>
            <b/>
            <sz val="8"/>
            <color indexed="81"/>
            <rFont val="Tahoma"/>
            <family val="2"/>
          </rPr>
          <t>mm98285:</t>
        </r>
        <r>
          <rPr>
            <sz val="8"/>
            <color indexed="81"/>
            <rFont val="Tahoma"/>
            <family val="2"/>
          </rPr>
          <t xml:space="preserve">
2/08: includes $5mm after tax or $0.01 per share impairment charge</t>
        </r>
      </text>
    </comment>
    <comment ref="AZ133" authorId="3">
      <text>
        <r>
          <rPr>
            <b/>
            <sz val="8"/>
            <color indexed="81"/>
            <rFont val="Tahoma"/>
            <family val="2"/>
          </rPr>
          <t>mm98285:</t>
        </r>
        <r>
          <rPr>
            <sz val="8"/>
            <color indexed="81"/>
            <rFont val="Tahoma"/>
            <family val="2"/>
          </rPr>
          <t xml:space="preserve">
+3.8% excluding $5mm after tax impairment charge</t>
        </r>
      </text>
    </comment>
    <comment ref="BJ133" authorId="9">
      <text>
        <r>
          <rPr>
            <b/>
            <sz val="8"/>
            <color indexed="81"/>
            <rFont val="Tahoma"/>
            <family val="2"/>
          </rPr>
          <t>OC48540:</t>
        </r>
        <r>
          <rPr>
            <sz val="8"/>
            <color indexed="81"/>
            <rFont val="Tahoma"/>
            <family val="2"/>
          </rPr>
          <t xml:space="preserve">
3Q07: guidance flat or slightly up</t>
        </r>
      </text>
    </comment>
    <comment ref="F134" authorId="3">
      <text>
        <r>
          <rPr>
            <b/>
            <sz val="8"/>
            <color indexed="81"/>
            <rFont val="Tahoma"/>
            <family val="2"/>
          </rPr>
          <t>mm98285:</t>
        </r>
        <r>
          <rPr>
            <sz val="8"/>
            <color indexed="81"/>
            <rFont val="Tahoma"/>
            <family val="2"/>
          </rPr>
          <t xml:space="preserve">
3/08: strong increases in less weather sensitive cat's such as dresses, F/W, and access, while home underperformed</t>
        </r>
      </text>
    </comment>
    <comment ref="I134" authorId="3">
      <text>
        <r>
          <rPr>
            <b/>
            <sz val="8"/>
            <color indexed="81"/>
            <rFont val="Tahoma"/>
            <family val="2"/>
          </rPr>
          <t>mm98285:</t>
        </r>
        <r>
          <rPr>
            <sz val="8"/>
            <color indexed="81"/>
            <rFont val="Tahoma"/>
            <family val="2"/>
          </rPr>
          <t xml:space="preserve">
3/08: +40 bps merch margin (lower MDs and higher markon) &amp; exp levg due to cost containment measures, partly offset by -20 bps increase in occup costs and -10 bps planned inrease in adv exp
2/07: guided to 9.4%</t>
        </r>
      </text>
    </comment>
    <comment ref="Y134" authorId="3">
      <text>
        <r>
          <rPr>
            <b/>
            <sz val="8"/>
            <color indexed="81"/>
            <rFont val="Tahoma"/>
            <family val="2"/>
          </rPr>
          <t>mm98285:</t>
        </r>
        <r>
          <rPr>
            <sz val="8"/>
            <color indexed="81"/>
            <rFont val="Tahoma"/>
            <family val="2"/>
          </rPr>
          <t xml:space="preserve">
3/08: strength in home fashions, F/W, jewelry, access</t>
        </r>
      </text>
    </comment>
    <comment ref="AA134" authorId="3">
      <text>
        <r>
          <rPr>
            <b/>
            <sz val="8"/>
            <color indexed="81"/>
            <rFont val="Tahoma"/>
            <family val="2"/>
          </rPr>
          <t>mm98285:</t>
        </r>
        <r>
          <rPr>
            <sz val="8"/>
            <color indexed="81"/>
            <rFont val="Tahoma"/>
            <family val="2"/>
          </rPr>
          <t xml:space="preserve">
3/08: improved exp (levg &amp; cost containment initiatives), curency exchange rates (+30 bps mark-to-market adjustment of inv. hedge contracts), increase merch margin (higher markon &amp; cost containment initiatives &amp; strong comps)
2/07: guided to 10.4-10.5%</t>
        </r>
      </text>
    </comment>
    <comment ref="AE134" authorId="3">
      <text>
        <r>
          <rPr>
            <b/>
            <sz val="8"/>
            <color indexed="81"/>
            <rFont val="Tahoma"/>
            <family val="2"/>
          </rPr>
          <t>mm98285:</t>
        </r>
        <r>
          <rPr>
            <sz val="8"/>
            <color indexed="81"/>
            <rFont val="Tahoma"/>
            <family val="2"/>
          </rPr>
          <t xml:space="preserve">
3/08: strength in home fashions, F/W, access, &amp; dresses while other apparel cat's were bleow chain avg</t>
        </r>
      </text>
    </comment>
    <comment ref="AG134" authorId="3">
      <text>
        <r>
          <rPr>
            <b/>
            <sz val="8"/>
            <color indexed="81"/>
            <rFont val="Tahoma"/>
            <family val="2"/>
          </rPr>
          <t>mm98285:</t>
        </r>
        <r>
          <rPr>
            <sz val="8"/>
            <color indexed="81"/>
            <rFont val="Tahoma"/>
            <family val="2"/>
          </rPr>
          <t xml:space="preserve">
3/08: U.K. &amp; Ireland stores +40 bps from higher merch margin, expense levg on +6% SSS and cost containment efforts, offset by -60 bps from 5 Germany stores
2/07: guided to 5.9-6.1%</t>
        </r>
      </text>
    </comment>
    <comment ref="AM134" authorId="3">
      <text>
        <r>
          <rPr>
            <b/>
            <sz val="8"/>
            <color indexed="81"/>
            <rFont val="Tahoma"/>
            <family val="2"/>
          </rPr>
          <t>mm98285:</t>
        </r>
        <r>
          <rPr>
            <sz val="8"/>
            <color indexed="81"/>
            <rFont val="Tahoma"/>
            <family val="2"/>
          </rPr>
          <t xml:space="preserve">
3/08: improved merch margin, levg of exp (occup) offset by increase in ad exp
2/07: guided to 4.8-5%</t>
        </r>
      </text>
    </comment>
    <comment ref="AS134" authorId="3">
      <text>
        <r>
          <rPr>
            <b/>
            <sz val="8"/>
            <color indexed="81"/>
            <rFont val="Tahoma"/>
            <family val="2"/>
          </rPr>
          <t>mm98285:</t>
        </r>
        <r>
          <rPr>
            <sz val="8"/>
            <color indexed="81"/>
            <rFont val="Tahoma"/>
            <family val="2"/>
          </rPr>
          <t xml:space="preserve">
3/08: stronger merch margin, reduction in occup costs and impact of cost containment intiatives
2/07: guided to breakeven</t>
        </r>
      </text>
    </comment>
    <comment ref="AX134" authorId="3">
      <text>
        <r>
          <rPr>
            <b/>
            <sz val="8"/>
            <color indexed="81"/>
            <rFont val="Tahoma"/>
            <family val="2"/>
          </rPr>
          <t>mm98285:</t>
        </r>
        <r>
          <rPr>
            <sz val="8"/>
            <color indexed="81"/>
            <rFont val="Tahoma"/>
            <family val="2"/>
          </rPr>
          <t xml:space="preserve">
3/08: footwear strong</t>
        </r>
      </text>
    </comment>
    <comment ref="AY134" authorId="3">
      <text>
        <r>
          <rPr>
            <b/>
            <sz val="8"/>
            <color indexed="81"/>
            <rFont val="Tahoma"/>
            <family val="2"/>
          </rPr>
          <t>mm98285:</t>
        </r>
        <r>
          <rPr>
            <sz val="8"/>
            <color indexed="81"/>
            <rFont val="Tahoma"/>
            <family val="2"/>
          </rPr>
          <t xml:space="preserve">
2/07: guided to -$8-$9m loss</t>
        </r>
      </text>
    </comment>
    <comment ref="AZ134" authorId="3">
      <text>
        <r>
          <rPr>
            <b/>
            <sz val="8"/>
            <color indexed="81"/>
            <rFont val="Tahoma"/>
            <family val="2"/>
          </rPr>
          <t>mm98285:</t>
        </r>
        <r>
          <rPr>
            <sz val="8"/>
            <color indexed="81"/>
            <rFont val="Tahoma"/>
            <family val="2"/>
          </rPr>
          <t xml:space="preserve">
3/08: higher markon, given better buying more than offset by increased promot'l MDs as sig increased level of promos and 4Q recorded an impariment charge of ~$8mm (related to certain long lived assets and intangible asets at Bob's given excess of recorded carrying values over the estimated fair value) </t>
        </r>
      </text>
    </comment>
    <comment ref="BJ134" authorId="3">
      <text>
        <r>
          <rPr>
            <b/>
            <sz val="8"/>
            <color indexed="81"/>
            <rFont val="Tahoma"/>
            <family val="2"/>
          </rPr>
          <t>mm98285:</t>
        </r>
        <r>
          <rPr>
            <sz val="8"/>
            <color indexed="81"/>
            <rFont val="Tahoma"/>
            <family val="2"/>
          </rPr>
          <t xml:space="preserve">
$139.4 ex one-time charges</t>
        </r>
      </text>
    </comment>
    <comment ref="BK134" authorId="9">
      <text>
        <r>
          <rPr>
            <b/>
            <sz val="8"/>
            <color indexed="81"/>
            <rFont val="Tahoma"/>
            <family val="2"/>
          </rPr>
          <t>OC48540:</t>
        </r>
        <r>
          <rPr>
            <sz val="8"/>
            <color indexed="81"/>
            <rFont val="Tahoma"/>
            <family val="2"/>
          </rPr>
          <t xml:space="preserve">
ex charges of $20mm and $195.918</t>
        </r>
      </text>
    </comment>
    <comment ref="BJ137" authorId="3">
      <text>
        <r>
          <rPr>
            <b/>
            <sz val="8"/>
            <color indexed="81"/>
            <rFont val="Tahoma"/>
            <family val="2"/>
          </rPr>
          <t>mm98285:</t>
        </r>
        <r>
          <rPr>
            <sz val="8"/>
            <color indexed="81"/>
            <rFont val="Tahoma"/>
            <family val="2"/>
          </rPr>
          <t xml:space="preserve">
increase vs. LY's $23mm due to professional fees and corporate support costs, some of which was due to timing issues</t>
        </r>
      </text>
    </comment>
    <comment ref="I138" authorId="8">
      <text>
        <r>
          <rPr>
            <b/>
            <sz val="8"/>
            <color indexed="81"/>
            <rFont val="Tahoma"/>
            <family val="2"/>
          </rPr>
          <t>oc48540:</t>
        </r>
        <r>
          <rPr>
            <sz val="8"/>
            <color indexed="81"/>
            <rFont val="Tahoma"/>
            <family val="2"/>
          </rPr>
          <t xml:space="preserve">
+70 bps merchandise margins despite higher fuel costs given reduced MDs
+Strong expense controls, esp. in store operating costs &amp; admin. exp's
-increased B&amp;O
est 9.7%</t>
        </r>
      </text>
    </comment>
    <comment ref="W138" authorId="3">
      <text>
        <r>
          <rPr>
            <b/>
            <sz val="8"/>
            <color indexed="81"/>
            <rFont val="Tahoma"/>
            <family val="2"/>
          </rPr>
          <t>mm98285:</t>
        </r>
        <r>
          <rPr>
            <sz val="8"/>
            <color indexed="81"/>
            <rFont val="Tahoma"/>
            <family val="2"/>
          </rPr>
          <t xml:space="preserve">
Currency exchange accounted for ~50% of the sales increase in both 2Q and 1H</t>
        </r>
      </text>
    </comment>
    <comment ref="AA138" authorId="8">
      <text>
        <r>
          <rPr>
            <b/>
            <sz val="8"/>
            <color indexed="81"/>
            <rFont val="Tahoma"/>
            <family val="2"/>
          </rPr>
          <t>oc48540:</t>
        </r>
        <r>
          <rPr>
            <sz val="8"/>
            <color indexed="81"/>
            <rFont val="Tahoma"/>
            <family val="2"/>
          </rPr>
          <t xml:space="preserve">
1/3 of profit increase or 80 bps from favorable currency exchange rates
+merchandise margins up given increased markon and lower MDs partially offset by higher distribution costs 
est 10.7%</t>
        </r>
      </text>
    </comment>
    <comment ref="AG138" authorId="8">
      <text>
        <r>
          <rPr>
            <b/>
            <sz val="8"/>
            <color indexed="81"/>
            <rFont val="Tahoma"/>
            <family val="2"/>
          </rPr>
          <t>oc48540:</t>
        </r>
        <r>
          <rPr>
            <sz val="8"/>
            <color indexed="81"/>
            <rFont val="Tahoma"/>
            <family val="2"/>
          </rPr>
          <t xml:space="preserve">
-140 bps due to expansion of T.K. Maxx into Germany &amp; HomeSense into U.K. 
+merchandise margins at T.K. Maxx stores in U.K. and Ireland
(currency had no major impact)
est 3.8%</t>
        </r>
      </text>
    </comment>
    <comment ref="AM138" authorId="8">
      <text>
        <r>
          <rPr>
            <b/>
            <sz val="8"/>
            <color indexed="81"/>
            <rFont val="Tahoma"/>
            <family val="2"/>
          </rPr>
          <t>oc48540:</t>
        </r>
        <r>
          <rPr>
            <sz val="8"/>
            <color indexed="81"/>
            <rFont val="Tahoma"/>
            <family val="2"/>
          </rPr>
          <t xml:space="preserve">
Despite increased traffic, HG had merchandise mix issues (too large % of high-ticket items), esp. in regions hit hard by weak housing market resulting in aggressive MDs in July to improve inventory position entering 3Q.
-merchandise margins given higher MDs and fuel, which affect HG to greater extent given higher freight costs for shipping home goods (initiatives in place to mitigate fuel increase, expected begin to benefit HG in 2H) 
-deleverage on operating costs given -1% comp.
est 2.7%</t>
        </r>
      </text>
    </comment>
    <comment ref="AS138" authorId="8">
      <text>
        <r>
          <rPr>
            <b/>
            <sz val="8"/>
            <color indexed="81"/>
            <rFont val="Tahoma"/>
            <family val="2"/>
          </rPr>
          <t>oc48540:</t>
        </r>
        <r>
          <rPr>
            <sz val="8"/>
            <color indexed="81"/>
            <rFont val="Tahoma"/>
            <family val="2"/>
          </rPr>
          <t xml:space="preserve">
+merchandise margin 
+reduction in occupancy costs 
+impact of cost containment initiatives 
(continues to improve merchandising and advertising effectiveness)
est -0.8%</t>
        </r>
      </text>
    </comment>
    <comment ref="I139" authorId="3">
      <text>
        <r>
          <rPr>
            <b/>
            <sz val="8"/>
            <color indexed="81"/>
            <rFont val="Tahoma"/>
            <family val="2"/>
          </rPr>
          <t>mm98285:</t>
        </r>
        <r>
          <rPr>
            <sz val="8"/>
            <color indexed="81"/>
            <rFont val="Tahoma"/>
            <family val="2"/>
          </rPr>
          <t xml:space="preserve">
deleverage on flat comp, +70bps occupancy costs &amp; +30bps store payroll; Merchandise margin held essentially flat despite higher fuel costs. Also negatively impacted by LY's expense benefit relating to casualty insurance </t>
        </r>
      </text>
    </comment>
    <comment ref="Y139" authorId="3">
      <text>
        <r>
          <rPr>
            <b/>
            <sz val="8"/>
            <color indexed="81"/>
            <rFont val="Tahoma"/>
            <family val="2"/>
          </rPr>
          <t>mm98285:</t>
        </r>
        <r>
          <rPr>
            <sz val="8"/>
            <color indexed="81"/>
            <rFont val="Tahoma"/>
            <family val="2"/>
          </rPr>
          <t xml:space="preserve">
-1% US$</t>
        </r>
      </text>
    </comment>
    <comment ref="Z139" authorId="3">
      <text>
        <r>
          <rPr>
            <b/>
            <sz val="8"/>
            <color indexed="81"/>
            <rFont val="Tahoma"/>
            <family val="2"/>
          </rPr>
          <t>mm98285:</t>
        </r>
        <r>
          <rPr>
            <sz val="8"/>
            <color indexed="81"/>
            <rFont val="Tahoma"/>
            <family val="2"/>
          </rPr>
          <t xml:space="preserve">
10Q: translating Winners’ results to U.S. $s TY vs, LY reduced seg. profit by ~$5M; $28M benefit for the mark-to-market adjustments of inventory-related hedges </t>
        </r>
      </text>
    </comment>
    <comment ref="AE139" authorId="3">
      <text>
        <r>
          <rPr>
            <b/>
            <sz val="8"/>
            <color indexed="81"/>
            <rFont val="Tahoma"/>
            <family val="2"/>
          </rPr>
          <t>mm98285:</t>
        </r>
        <r>
          <rPr>
            <sz val="8"/>
            <color indexed="81"/>
            <rFont val="Tahoma"/>
            <family val="2"/>
          </rPr>
          <t xml:space="preserve">
-8% US$</t>
        </r>
      </text>
    </comment>
    <comment ref="AF139" authorId="3">
      <text>
        <r>
          <rPr>
            <b/>
            <sz val="8"/>
            <color indexed="81"/>
            <rFont val="Tahoma"/>
            <family val="2"/>
          </rPr>
          <t>mm98285:</t>
        </r>
        <r>
          <rPr>
            <sz val="8"/>
            <color indexed="81"/>
            <rFont val="Tahoma"/>
            <family val="2"/>
          </rPr>
          <t xml:space="preserve">
10Q: ~$1M of the growth is attributable to the net favorable effect of F/X which includes a mark-to-market adjustment of inventory hedges of $7 million</t>
        </r>
      </text>
    </comment>
    <comment ref="AG139" authorId="3">
      <text>
        <r>
          <rPr>
            <b/>
            <sz val="8"/>
            <color indexed="81"/>
            <rFont val="Tahoma"/>
            <family val="2"/>
          </rPr>
          <t>mm98285:</t>
        </r>
        <r>
          <rPr>
            <sz val="8"/>
            <color indexed="81"/>
            <rFont val="Tahoma"/>
            <family val="2"/>
          </rPr>
          <t xml:space="preserve">
9.6% including Germany investments</t>
        </r>
      </text>
    </comment>
    <comment ref="BK139" authorId="3">
      <text>
        <r>
          <rPr>
            <b/>
            <sz val="8"/>
            <color indexed="81"/>
            <rFont val="Tahoma"/>
            <family val="2"/>
          </rPr>
          <t>mm98285:</t>
        </r>
        <r>
          <rPr>
            <sz val="8"/>
            <color indexed="81"/>
            <rFont val="Tahoma"/>
            <family val="2"/>
          </rPr>
          <t xml:space="preserve">
includes $7mm provision (credit) for Computer intrusion related costs</t>
        </r>
      </text>
    </comment>
    <comment ref="I140" authorId="3">
      <text>
        <r>
          <rPr>
            <b/>
            <sz val="8"/>
            <color indexed="81"/>
            <rFont val="Tahoma"/>
            <family val="2"/>
          </rPr>
          <t>mm98285:</t>
        </r>
        <r>
          <rPr>
            <sz val="8"/>
            <color indexed="81"/>
            <rFont val="Tahoma"/>
            <family val="2"/>
          </rPr>
          <t xml:space="preserve">
11/08: 8.6%-8.9% ex 53rd week and mark to market</t>
        </r>
      </text>
    </comment>
    <comment ref="AA140" authorId="3">
      <text>
        <r>
          <rPr>
            <b/>
            <sz val="8"/>
            <color indexed="81"/>
            <rFont val="Tahoma"/>
            <family val="2"/>
          </rPr>
          <t>mm98285:</t>
        </r>
        <r>
          <rPr>
            <sz val="8"/>
            <color indexed="81"/>
            <rFont val="Tahoma"/>
            <family val="2"/>
          </rPr>
          <t xml:space="preserve">
7.6% impact from F/X inv. hedge
11/08: 10.3-10.5% ex 53rd week and mark to market</t>
        </r>
      </text>
    </comment>
    <comment ref="AG140" authorId="3">
      <text>
        <r>
          <rPr>
            <b/>
            <sz val="8"/>
            <color indexed="81"/>
            <rFont val="Tahoma"/>
            <family val="2"/>
          </rPr>
          <t>mm98285:</t>
        </r>
        <r>
          <rPr>
            <sz val="8"/>
            <color indexed="81"/>
            <rFont val="Tahoma"/>
            <family val="2"/>
          </rPr>
          <t xml:space="preserve">
11/08: 9.7-10.2% ex 53rd week and mark to market
(11.2-11.4%  ex invstmts in Germany)</t>
        </r>
      </text>
    </comment>
    <comment ref="AM140" authorId="3">
      <text>
        <r>
          <rPr>
            <b/>
            <sz val="8"/>
            <color indexed="81"/>
            <rFont val="Tahoma"/>
            <family val="2"/>
          </rPr>
          <t>mm98285:</t>
        </r>
        <r>
          <rPr>
            <sz val="8"/>
            <color indexed="81"/>
            <rFont val="Tahoma"/>
            <family val="2"/>
          </rPr>
          <t xml:space="preserve">
11/08: 4.2-4.6% ex 53rd week and mark to market</t>
        </r>
      </text>
    </comment>
    <comment ref="AS140" authorId="3">
      <text>
        <r>
          <rPr>
            <b/>
            <sz val="8"/>
            <color indexed="81"/>
            <rFont val="Tahoma"/>
            <family val="2"/>
          </rPr>
          <t>mm98285:</t>
        </r>
        <r>
          <rPr>
            <sz val="8"/>
            <color indexed="81"/>
            <rFont val="Tahoma"/>
            <family val="2"/>
          </rPr>
          <t xml:space="preserve">
11/08: 2.4-2.6% ex 53rd week and mark to market</t>
        </r>
      </text>
    </comment>
    <comment ref="D141" authorId="3">
      <text>
        <r>
          <rPr>
            <b/>
            <sz val="8"/>
            <color indexed="81"/>
            <rFont val="Tahoma"/>
            <family val="2"/>
          </rPr>
          <t>mm98285:</t>
        </r>
        <r>
          <rPr>
            <sz val="8"/>
            <color indexed="81"/>
            <rFont val="Tahoma"/>
            <family val="2"/>
          </rPr>
          <t xml:space="preserve">
2/08: expect $12.6b</t>
        </r>
      </text>
    </comment>
    <comment ref="F141" authorId="3">
      <text>
        <r>
          <rPr>
            <b/>
            <sz val="8"/>
            <color indexed="81"/>
            <rFont val="Tahoma"/>
            <family val="2"/>
          </rPr>
          <t>mm98285:</t>
        </r>
        <r>
          <rPr>
            <sz val="8"/>
            <color indexed="81"/>
            <rFont val="Tahoma"/>
            <family val="2"/>
          </rPr>
          <t xml:space="preserve">
2/08: expect 2% comp</t>
        </r>
      </text>
    </comment>
    <comment ref="I141" authorId="3">
      <text>
        <r>
          <rPr>
            <b/>
            <sz val="8"/>
            <color indexed="81"/>
            <rFont val="Tahoma"/>
            <family val="2"/>
          </rPr>
          <t>mm98285:</t>
        </r>
        <r>
          <rPr>
            <sz val="8"/>
            <color indexed="81"/>
            <rFont val="Tahoma"/>
            <family val="2"/>
          </rPr>
          <t xml:space="preserve">
10K: -50bps increased occup, +10 merch margin from +IMU
2/08: expect 9.9-10%</t>
        </r>
      </text>
    </comment>
    <comment ref="W141" authorId="3">
      <text>
        <r>
          <rPr>
            <b/>
            <sz val="8"/>
            <color indexed="81"/>
            <rFont val="Tahoma"/>
            <family val="2"/>
          </rPr>
          <t>mm98285:</t>
        </r>
        <r>
          <rPr>
            <sz val="8"/>
            <color indexed="81"/>
            <rFont val="Tahoma"/>
            <family val="2"/>
          </rPr>
          <t xml:space="preserve">
F/X reduced sales by ~$68M or ~3%
2/08: expect $2.3b</t>
        </r>
      </text>
    </comment>
    <comment ref="Y141" authorId="3">
      <text>
        <r>
          <rPr>
            <b/>
            <sz val="8"/>
            <color indexed="81"/>
            <rFont val="Tahoma"/>
            <family val="2"/>
          </rPr>
          <t>mm98285:</t>
        </r>
        <r>
          <rPr>
            <sz val="8"/>
            <color indexed="81"/>
            <rFont val="Tahoma"/>
            <family val="2"/>
          </rPr>
          <t xml:space="preserve">
2/08: expect 2-3% comp</t>
        </r>
      </text>
    </comment>
    <comment ref="AA141" authorId="3">
      <text>
        <r>
          <rPr>
            <b/>
            <sz val="8"/>
            <color indexed="81"/>
            <rFont val="Tahoma"/>
            <family val="2"/>
          </rPr>
          <t>mm98285:</t>
        </r>
        <r>
          <rPr>
            <sz val="8"/>
            <color indexed="81"/>
            <rFont val="Tahoma"/>
            <family val="2"/>
          </rPr>
          <t xml:space="preserve">
10K: Mark to market adj -30 bps (-$1M TY vs. +$5M LY), increases in DC &amp; store payroll, partially offset by increased merch margin
2/08: expect 10.8-11% (yoy comparisons are neg. impacted by nonrecurring benefit of 50 bps from fx rates) </t>
        </r>
      </text>
    </comment>
    <comment ref="AC141" authorId="3">
      <text>
        <r>
          <rPr>
            <b/>
            <sz val="8"/>
            <color indexed="81"/>
            <rFont val="Tahoma"/>
            <family val="2"/>
          </rPr>
          <t>mm98285:</t>
        </r>
        <r>
          <rPr>
            <sz val="8"/>
            <color indexed="81"/>
            <rFont val="Tahoma"/>
            <family val="2"/>
          </rPr>
          <t xml:space="preserve">
10K: F/X reduced sales by ~$282M or ~12.6%
2/08: expect $2.5b</t>
        </r>
      </text>
    </comment>
    <comment ref="AE141" authorId="3">
      <text>
        <r>
          <rPr>
            <b/>
            <sz val="8"/>
            <color indexed="81"/>
            <rFont val="Tahoma"/>
            <family val="2"/>
          </rPr>
          <t>mm98285:</t>
        </r>
        <r>
          <rPr>
            <sz val="8"/>
            <color indexed="81"/>
            <rFont val="Tahoma"/>
            <family val="2"/>
          </rPr>
          <t xml:space="preserve">
2/08: expect 3-4% comp</t>
        </r>
      </text>
    </comment>
    <comment ref="AG141" authorId="3">
      <text>
        <r>
          <rPr>
            <b/>
            <sz val="8"/>
            <color indexed="81"/>
            <rFont val="Tahoma"/>
            <family val="2"/>
          </rPr>
          <t>mm98285:</t>
        </r>
        <r>
          <rPr>
            <sz val="8"/>
            <color indexed="81"/>
            <rFont val="Tahoma"/>
            <family val="2"/>
          </rPr>
          <t xml:space="preserve">
10K:  higher merch margin, partially offset by higher occup costs &amp; cost of Germany ops
2/08: expect 5.7-5.8% incl Germany and new HomeSense buisiness or 6.7-6.8% excluding these costs</t>
        </r>
      </text>
    </comment>
    <comment ref="AI141" authorId="3">
      <text>
        <r>
          <rPr>
            <b/>
            <sz val="8"/>
            <color indexed="81"/>
            <rFont val="Tahoma"/>
            <family val="2"/>
          </rPr>
          <t>mm98285:</t>
        </r>
        <r>
          <rPr>
            <sz val="8"/>
            <color indexed="81"/>
            <rFont val="Tahoma"/>
            <family val="2"/>
          </rPr>
          <t xml:space="preserve">
2/08: expect $1.7b</t>
        </r>
      </text>
    </comment>
    <comment ref="AK141" authorId="3">
      <text>
        <r>
          <rPr>
            <b/>
            <sz val="8"/>
            <color indexed="81"/>
            <rFont val="Tahoma"/>
            <family val="2"/>
          </rPr>
          <t>mm98285:</t>
        </r>
        <r>
          <rPr>
            <sz val="8"/>
            <color indexed="81"/>
            <rFont val="Tahoma"/>
            <family val="2"/>
          </rPr>
          <t xml:space="preserve">
2/08: expect 3% comp</t>
        </r>
      </text>
    </comment>
    <comment ref="AM141" authorId="3">
      <text>
        <r>
          <rPr>
            <b/>
            <sz val="8"/>
            <color indexed="81"/>
            <rFont val="Tahoma"/>
            <family val="2"/>
          </rPr>
          <t>mm98285:</t>
        </r>
        <r>
          <rPr>
            <sz val="8"/>
            <color indexed="81"/>
            <rFont val="Tahoma"/>
            <family val="2"/>
          </rPr>
          <t xml:space="preserve">
10K: lower merch margins &amp; delevg on -comp
2/08: expect 5.5-5.7%</t>
        </r>
      </text>
    </comment>
    <comment ref="AO141" authorId="3">
      <text>
        <r>
          <rPr>
            <b/>
            <sz val="8"/>
            <color indexed="81"/>
            <rFont val="Tahoma"/>
            <family val="2"/>
          </rPr>
          <t>mm98285:</t>
        </r>
        <r>
          <rPr>
            <sz val="8"/>
            <color indexed="81"/>
            <rFont val="Tahoma"/>
            <family val="2"/>
          </rPr>
          <t xml:space="preserve">
2/08: expect $674-$679mm</t>
        </r>
      </text>
    </comment>
    <comment ref="AQ141" authorId="3">
      <text>
        <r>
          <rPr>
            <b/>
            <sz val="8"/>
            <color indexed="81"/>
            <rFont val="Tahoma"/>
            <family val="2"/>
          </rPr>
          <t>mm98285:</t>
        </r>
        <r>
          <rPr>
            <sz val="8"/>
            <color indexed="81"/>
            <rFont val="Tahoma"/>
            <family val="2"/>
          </rPr>
          <t xml:space="preserve">
2/08: expect 3-4% comp</t>
        </r>
      </text>
    </comment>
    <comment ref="AR141" authorId="3">
      <text>
        <r>
          <rPr>
            <b/>
            <sz val="8"/>
            <color indexed="81"/>
            <rFont val="Tahoma"/>
            <family val="2"/>
          </rPr>
          <t>mm98285:</t>
        </r>
        <r>
          <rPr>
            <sz val="8"/>
            <color indexed="81"/>
            <rFont val="Tahoma"/>
            <family val="2"/>
          </rPr>
          <t xml:space="preserve">
2/08: expect $1-$4m profit</t>
        </r>
      </text>
    </comment>
    <comment ref="AV141" authorId="3">
      <text>
        <r>
          <rPr>
            <b/>
            <sz val="8"/>
            <color indexed="81"/>
            <rFont val="Tahoma"/>
            <family val="2"/>
          </rPr>
          <t>mm98285:</t>
        </r>
        <r>
          <rPr>
            <sz val="8"/>
            <color indexed="81"/>
            <rFont val="Tahoma"/>
            <family val="2"/>
          </rPr>
          <t xml:space="preserve">
2/08: expect $321-$323mm</t>
        </r>
      </text>
    </comment>
    <comment ref="AY141" authorId="3">
      <text>
        <r>
          <rPr>
            <b/>
            <sz val="8"/>
            <color indexed="81"/>
            <rFont val="Tahoma"/>
            <family val="2"/>
          </rPr>
          <t>mm98285:</t>
        </r>
        <r>
          <rPr>
            <sz val="8"/>
            <color indexed="81"/>
            <rFont val="Tahoma"/>
            <family val="2"/>
          </rPr>
          <t xml:space="preserve">
2/08: expect $4-5mm loss</t>
        </r>
      </text>
    </comment>
    <comment ref="BJ141" authorId="3">
      <text>
        <r>
          <rPr>
            <b/>
            <sz val="8"/>
            <color indexed="81"/>
            <rFont val="Tahoma"/>
            <family val="2"/>
          </rPr>
          <t>mm98285:</t>
        </r>
        <r>
          <rPr>
            <sz val="8"/>
            <color indexed="81"/>
            <rFont val="Tahoma"/>
            <family val="2"/>
          </rPr>
          <t xml:space="preserve">
2/08: expect $139-142mm</t>
        </r>
      </text>
    </comment>
    <comment ref="I144" authorId="3">
      <text>
        <r>
          <rPr>
            <b/>
            <sz val="8"/>
            <color indexed="81"/>
            <rFont val="Tahoma"/>
            <family val="2"/>
          </rPr>
          <t>mm98285:</t>
        </r>
        <r>
          <rPr>
            <sz val="8"/>
            <color indexed="81"/>
            <rFont val="Tahoma"/>
            <family val="2"/>
          </rPr>
          <t xml:space="preserve">
merch margin +140 bps
occup delevg -20 bps</t>
        </r>
      </text>
    </comment>
    <comment ref="W144" authorId="3">
      <text>
        <r>
          <rPr>
            <b/>
            <sz val="8"/>
            <color indexed="81"/>
            <rFont val="Tahoma"/>
            <family val="2"/>
          </rPr>
          <t>mm98285:</t>
        </r>
        <r>
          <rPr>
            <sz val="8"/>
            <color indexed="81"/>
            <rFont val="Tahoma"/>
            <family val="2"/>
          </rPr>
          <t xml:space="preserve">
10Q: currency trans. reduced 1Q sales by ~$100M</t>
        </r>
      </text>
    </comment>
    <comment ref="Z144" authorId="3">
      <text>
        <r>
          <rPr>
            <b/>
            <sz val="8"/>
            <color indexed="81"/>
            <rFont val="Tahoma"/>
            <family val="2"/>
          </rPr>
          <t>mm98285:</t>
        </r>
        <r>
          <rPr>
            <sz val="8"/>
            <color indexed="81"/>
            <rFont val="Tahoma"/>
            <family val="2"/>
          </rPr>
          <t xml:space="preserve">
10Q: $18mm decline from F/X translation (~$8M) &amp; mark to market adjustment on inventory related hedges (~$9M)</t>
        </r>
      </text>
    </comment>
    <comment ref="AA144" authorId="3">
      <text>
        <r>
          <rPr>
            <b/>
            <sz val="8"/>
            <color indexed="81"/>
            <rFont val="Tahoma"/>
            <family val="2"/>
          </rPr>
          <t>mm98285:</t>
        </r>
        <r>
          <rPr>
            <sz val="8"/>
            <color indexed="81"/>
            <rFont val="Tahoma"/>
            <family val="2"/>
          </rPr>
          <t xml:space="preserve">
10Q: F/X transalction has no impact to margin (impacts sales &amp; exp's) mark-to-market inv. hedge reduced seg. Profit by ~$14M vs. $5M LY (or 250 bps neg. impact); reduction in merch margin due to higher cost for merch purchases denominated in US dollars as result of weaker Canadian dollar</t>
        </r>
      </text>
    </comment>
    <comment ref="AC144" authorId="3">
      <text>
        <r>
          <rPr>
            <b/>
            <sz val="8"/>
            <color indexed="81"/>
            <rFont val="Tahoma"/>
            <family val="2"/>
          </rPr>
          <t>mm98285:</t>
        </r>
        <r>
          <rPr>
            <sz val="8"/>
            <color indexed="81"/>
            <rFont val="Tahoma"/>
            <family val="2"/>
          </rPr>
          <t xml:space="preserve">
F/X neg. impacted slaes by ~$151M</t>
        </r>
      </text>
    </comment>
    <comment ref="AF144" authorId="3">
      <text>
        <r>
          <rPr>
            <b/>
            <sz val="8"/>
            <color indexed="81"/>
            <rFont val="Tahoma"/>
            <family val="2"/>
          </rPr>
          <t>mm98285:</t>
        </r>
        <r>
          <rPr>
            <sz val="8"/>
            <color indexed="81"/>
            <rFont val="Tahoma"/>
            <family val="2"/>
          </rPr>
          <t xml:space="preserve">
10Q: currency exch trans neg. affected segment profit by ~$5M</t>
        </r>
      </text>
    </comment>
    <comment ref="AG144" authorId="3">
      <text>
        <r>
          <rPr>
            <b/>
            <sz val="8"/>
            <color indexed="81"/>
            <rFont val="Tahoma"/>
            <family val="2"/>
          </rPr>
          <t>mm98285:</t>
        </r>
        <r>
          <rPr>
            <sz val="8"/>
            <color indexed="81"/>
            <rFont val="Tahoma"/>
            <family val="2"/>
          </rPr>
          <t xml:space="preserve">
10Q: improved merch margins, exp levg in occup. &amp; DC costs partially offset by European development expansion costs. </t>
        </r>
      </text>
    </comment>
    <comment ref="AM144" authorId="3">
      <text>
        <r>
          <rPr>
            <b/>
            <sz val="8"/>
            <color indexed="81"/>
            <rFont val="Tahoma"/>
            <family val="2"/>
          </rPr>
          <t>mm98285:</t>
        </r>
        <r>
          <rPr>
            <sz val="8"/>
            <color indexed="81"/>
            <rFont val="Tahoma"/>
            <family val="2"/>
          </rPr>
          <t xml:space="preserve">
higher merch margins, offset by delevg on op exp. (primarily occup.)</t>
        </r>
      </text>
    </comment>
    <comment ref="AS144" authorId="3">
      <text>
        <r>
          <rPr>
            <b/>
            <sz val="8"/>
            <color indexed="81"/>
            <rFont val="Tahoma"/>
            <family val="2"/>
          </rPr>
          <t>mm98285:</t>
        </r>
        <r>
          <rPr>
            <sz val="8"/>
            <color indexed="81"/>
            <rFont val="Tahoma"/>
            <family val="2"/>
          </rPr>
          <t xml:space="preserve">
~200 bps merch margin
~100 bps exp levg.</t>
        </r>
      </text>
    </comment>
    <comment ref="I145" authorId="3">
      <text>
        <r>
          <rPr>
            <b/>
            <sz val="8"/>
            <color indexed="81"/>
            <rFont val="Tahoma"/>
            <family val="2"/>
          </rPr>
          <t>mm98285:</t>
        </r>
        <r>
          <rPr>
            <sz val="8"/>
            <color indexed="81"/>
            <rFont val="Tahoma"/>
            <family val="2"/>
          </rPr>
          <t xml:space="preserve">
merch margin +170 bps partially offset by higher admin costs (increased incentive and benefit plans tied to perf)</t>
        </r>
      </text>
    </comment>
    <comment ref="AA145" authorId="3">
      <text>
        <r>
          <rPr>
            <b/>
            <sz val="8"/>
            <color indexed="81"/>
            <rFont val="Tahoma"/>
            <family val="2"/>
          </rPr>
          <t>mm98285:</t>
        </r>
        <r>
          <rPr>
            <sz val="8"/>
            <color indexed="81"/>
            <rFont val="Tahoma"/>
            <family val="2"/>
          </rPr>
          <t xml:space="preserve">
-120 bps from mark-to-market adjustment on inventory related hedges</t>
        </r>
      </text>
    </comment>
    <comment ref="AG145" authorId="3">
      <text>
        <r>
          <rPr>
            <b/>
            <sz val="8"/>
            <color indexed="81"/>
            <rFont val="Tahoma"/>
            <family val="2"/>
          </rPr>
          <t>mm98285:</t>
        </r>
        <r>
          <rPr>
            <sz val="8"/>
            <color indexed="81"/>
            <rFont val="Tahoma"/>
            <family val="2"/>
          </rPr>
          <t xml:space="preserve">
higher merch margin and exp. levg (mark to market inv hedges had virtually no impact on margin)</t>
        </r>
      </text>
    </comment>
    <comment ref="AM145" authorId="3">
      <text>
        <r>
          <rPr>
            <b/>
            <sz val="8"/>
            <color indexed="81"/>
            <rFont val="Tahoma"/>
            <family val="2"/>
          </rPr>
          <t>mm98285:</t>
        </r>
        <r>
          <rPr>
            <sz val="8"/>
            <color indexed="81"/>
            <rFont val="Tahoma"/>
            <family val="2"/>
          </rPr>
          <t xml:space="preserve">
higher merch margin on improved inventory mgmt resulting in lower MDs and higher markon; effective exp. control and levg of exp. </t>
        </r>
      </text>
    </comment>
    <comment ref="AS145" authorId="3">
      <text>
        <r>
          <rPr>
            <b/>
            <sz val="8"/>
            <color indexed="81"/>
            <rFont val="Tahoma"/>
            <family val="2"/>
          </rPr>
          <t>mm98285:</t>
        </r>
        <r>
          <rPr>
            <sz val="8"/>
            <color indexed="81"/>
            <rFont val="Tahoma"/>
            <family val="2"/>
          </rPr>
          <t xml:space="preserve">
higher merch margin and expense leverage</t>
        </r>
      </text>
    </comment>
    <comment ref="I146" authorId="3">
      <text>
        <r>
          <rPr>
            <b/>
            <sz val="8"/>
            <color indexed="81"/>
            <rFont val="Tahoma"/>
            <family val="2"/>
          </rPr>
          <t>mm98285:</t>
        </r>
        <r>
          <rPr>
            <sz val="8"/>
            <color indexed="81"/>
            <rFont val="Tahoma"/>
            <family val="2"/>
          </rPr>
          <t xml:space="preserve">
10Q: merch margin +270 bps and exp levg on strong comps primarily occupancy and store op. costs, partially offset by higher admin. costs primarily due to higher accruals for perf based benefit and incentive plans
10/19/09: 11.8-12%</t>
        </r>
      </text>
    </comment>
    <comment ref="AM146" authorId="3">
      <text>
        <r>
          <rPr>
            <b/>
            <sz val="8"/>
            <color indexed="81"/>
            <rFont val="Tahoma"/>
            <family val="2"/>
          </rPr>
          <t>mm98285:</t>
        </r>
        <r>
          <rPr>
            <sz val="8"/>
            <color indexed="81"/>
            <rFont val="Tahoma"/>
            <family val="2"/>
          </rPr>
          <t xml:space="preserve">
over half increase due to higher merch margin given improved inv'ty mgmt, resulting in lower MDs &amp; higher markon. Balance due to levering of exp. given +13% comp &amp; effective exp control (operational efficiencies), partially offest by higher accruals for perf based benefit &amp; incentive plans</t>
        </r>
      </text>
    </comment>
    <comment ref="AS146" authorId="3">
      <text>
        <r>
          <rPr>
            <b/>
            <sz val="8"/>
            <color indexed="81"/>
            <rFont val="Tahoma"/>
            <family val="2"/>
          </rPr>
          <t>mm98285:</t>
        </r>
        <r>
          <rPr>
            <sz val="8"/>
            <color indexed="81"/>
            <rFont val="Tahoma"/>
            <family val="2"/>
          </rPr>
          <t xml:space="preserve">
increase primarily due to higher merch margins (better merchandising and advertising effectiveness due to improved understanding of customers' tastes and spending habits)</t>
        </r>
      </text>
    </comment>
    <comment ref="I148" authorId="3">
      <text>
        <r>
          <rPr>
            <b/>
            <sz val="8"/>
            <color indexed="81"/>
            <rFont val="Tahoma"/>
            <family val="2"/>
          </rPr>
          <t>10K:</t>
        </r>
        <r>
          <rPr>
            <sz val="8"/>
            <color indexed="81"/>
            <rFont val="Tahoma"/>
            <family val="2"/>
          </rPr>
          <t xml:space="preserve">
increase in segment margin for fiscal 2010 was primarily due to an increase in merchandise margin of 2.4 percentage points driven by lower markdowns and higher markon. In addition, the 7% increase in same store sales provided expense leverage as a percentage of net sales, particularly occupancy costs, which improved by 0.3 percentage points. These increases were partially offset by an increase in administrative costs as a percentage of sales, primarily due to higher accruals for performance-based incentive compensation as a result of operating performance well ahead of objectives.</t>
        </r>
        <r>
          <rPr>
            <b/>
            <sz val="8"/>
            <color indexed="81"/>
            <rFont val="Tahoma"/>
            <family val="2"/>
          </rPr>
          <t xml:space="preserve">
mm98285:</t>
        </r>
        <r>
          <rPr>
            <sz val="8"/>
            <color indexed="81"/>
            <rFont val="Tahoma"/>
            <family val="2"/>
          </rPr>
          <t xml:space="preserve">
11/09: expect 11.1-11.2%
10/19/09: 10.7-10.9%
</t>
        </r>
      </text>
    </comment>
    <comment ref="AA148" authorId="3">
      <text>
        <r>
          <rPr>
            <b/>
            <sz val="8"/>
            <color indexed="81"/>
            <rFont val="Tahoma"/>
            <family val="2"/>
          </rPr>
          <t>mm98285:</t>
        </r>
        <r>
          <rPr>
            <sz val="8"/>
            <color indexed="81"/>
            <rFont val="Tahoma"/>
            <family val="2"/>
          </rPr>
          <t xml:space="preserve">
10/09: expect 10.8%
4/09: expect 2009 merch margins down given F/X impact</t>
        </r>
      </text>
    </comment>
    <comment ref="AM148" authorId="3">
      <text>
        <r>
          <rPr>
            <b/>
            <sz val="8"/>
            <color indexed="81"/>
            <rFont val="Tahoma"/>
            <family val="2"/>
          </rPr>
          <t>mm98285:</t>
        </r>
        <r>
          <rPr>
            <sz val="8"/>
            <color indexed="81"/>
            <rFont val="Tahoma"/>
            <family val="2"/>
          </rPr>
          <t xml:space="preserve">
10/09: expect 6.4%</t>
        </r>
      </text>
    </comment>
    <comment ref="AS148" authorId="3">
      <text>
        <r>
          <rPr>
            <b/>
            <sz val="8"/>
            <color indexed="81"/>
            <rFont val="Tahoma"/>
            <family val="2"/>
          </rPr>
          <t>mm98285:</t>
        </r>
        <r>
          <rPr>
            <sz val="8"/>
            <color indexed="81"/>
            <rFont val="Tahoma"/>
            <family val="2"/>
          </rPr>
          <t xml:space="preserve">
10/09: expect 2.1%</t>
        </r>
      </text>
    </comment>
    <comment ref="BJ148" authorId="10">
      <text>
        <r>
          <rPr>
            <b/>
            <sz val="8"/>
            <color indexed="81"/>
            <rFont val="Tahoma"/>
            <family val="2"/>
          </rPr>
          <t>ns66486:</t>
        </r>
        <r>
          <rPr>
            <sz val="8"/>
            <color indexed="81"/>
            <rFont val="Tahoma"/>
            <family val="2"/>
          </rPr>
          <t xml:space="preserve">
includes $18mm one-time donation to TJX foundation</t>
        </r>
      </text>
    </comment>
    <comment ref="AA152" authorId="11">
      <text>
        <r>
          <rPr>
            <b/>
            <sz val="8"/>
            <color indexed="81"/>
            <rFont val="Tahoma"/>
            <family val="2"/>
          </rPr>
          <t>Margaret Marchant:</t>
        </r>
        <r>
          <rPr>
            <sz val="8"/>
            <color indexed="81"/>
            <rFont val="Tahoma"/>
            <family val="2"/>
          </rPr>
          <t xml:space="preserve">
+270 bps excluding currency benefit</t>
        </r>
      </text>
    </comment>
    <comment ref="AG152" authorId="11">
      <text>
        <r>
          <rPr>
            <b/>
            <sz val="8"/>
            <color indexed="81"/>
            <rFont val="Tahoma"/>
            <family val="2"/>
          </rPr>
          <t>Margaret Marchant:</t>
        </r>
        <r>
          <rPr>
            <sz val="8"/>
            <color indexed="81"/>
            <rFont val="Tahoma"/>
            <family val="2"/>
          </rPr>
          <t xml:space="preserve">
8/10: ~-130 bps hit from currency ($9M profit excl currency impact)</t>
        </r>
      </text>
    </comment>
    <comment ref="AS152" authorId="12">
      <text>
        <r>
          <rPr>
            <b/>
            <sz val="8"/>
            <color indexed="81"/>
            <rFont val="Tahoma"/>
            <family val="2"/>
          </rPr>
          <t>lauraro:</t>
        </r>
        <r>
          <rPr>
            <sz val="8"/>
            <color indexed="81"/>
            <rFont val="Tahoma"/>
            <family val="2"/>
          </rPr>
          <t xml:space="preserve">
July &amp; August calls: AJW has a very "buy now, wear now" customer and the weather was extremely warm, sales suffered</t>
        </r>
      </text>
    </comment>
    <comment ref="BJ152" authorId="13">
      <text>
        <r>
          <rPr>
            <b/>
            <sz val="8"/>
            <color indexed="81"/>
            <rFont val="Tahoma"/>
            <family val="2"/>
          </rPr>
          <t>lr73192:</t>
        </r>
        <r>
          <rPr>
            <sz val="8"/>
            <color indexed="81"/>
            <rFont val="Tahoma"/>
            <family val="2"/>
          </rPr>
          <t xml:space="preserve">
5/10: $39 to $41 million</t>
        </r>
      </text>
    </comment>
    <comment ref="I153" authorId="12">
      <text>
        <r>
          <rPr>
            <b/>
            <sz val="8"/>
            <color indexed="81"/>
            <rFont val="Tahoma"/>
            <family val="2"/>
          </rPr>
          <t>lauraro:</t>
        </r>
        <r>
          <rPr>
            <sz val="8"/>
            <color indexed="81"/>
            <rFont val="Tahoma"/>
            <family val="2"/>
          </rPr>
          <t xml:space="preserve">
The increase in segment margin was driven by strong merchandise margins, which increased 0.4 percentage points for the third quarter. Saw improvement in expense ratios in the quarter, which also benefited segment profit margin. This was due to cost containment programs.</t>
        </r>
      </text>
    </comment>
    <comment ref="AA153" authorId="12">
      <text>
        <r>
          <rPr>
            <b/>
            <sz val="8"/>
            <color indexed="81"/>
            <rFont val="Tahoma"/>
            <family val="2"/>
          </rPr>
          <t>lauraro:</t>
        </r>
        <r>
          <rPr>
            <sz val="8"/>
            <color indexed="81"/>
            <rFont val="Tahoma"/>
            <family val="2"/>
          </rPr>
          <t xml:space="preserve">
The impact of foreign currency translation increased segment profit by $5M in 3Q10. The mark-to-market adjustment on inventory-related hedges reduced segment profit in the fiscal 2011 3Q by $2 million compared to an increase of $19M vs. LY. The unfavorable change in the mark-to-market adjustment of our inventory hedges
accounted for 3.3 percentage points of the decrease in third quarter segment margin. Merchandise margin improvement was favorably impacted by a reduction in the cost of merchandise denominated in U.S. dollars due to the change in currency rates year-over-year
3Q09 $19M benefit from mark-to-market adjustments. 3Q10=$0. So $19M LY didn't anniversary. Impacted both the profit growth and it has a significant impact on the operating margin. And how we calc -140 bps decline on a reported basis vs a 200 bps improvement ex FX because there is almost 3 points of margin last year that -- benefit to Winners that came from this mark-to-market adjustment</t>
        </r>
      </text>
    </comment>
    <comment ref="AF153" authorId="11">
      <text>
        <r>
          <rPr>
            <b/>
            <sz val="8"/>
            <color indexed="81"/>
            <rFont val="Tahoma"/>
            <family val="2"/>
          </rPr>
          <t>Margaret Marchant:</t>
        </r>
        <r>
          <rPr>
            <sz val="8"/>
            <color indexed="81"/>
            <rFont val="Tahoma"/>
            <family val="2"/>
          </rPr>
          <t xml:space="preserve">
8/10: expect 16-20% segment profit growth in europe on comps flat to +slightly </t>
        </r>
      </text>
    </comment>
    <comment ref="AG153" authorId="11">
      <text>
        <r>
          <rPr>
            <sz val="8"/>
            <color indexed="81"/>
            <rFont val="Tahoma"/>
            <family val="2"/>
          </rPr>
          <t>execution issues in the U.K. and Ireland were the primary reasons for below-plan sales and segment profit. Segment profit and margin were also negatively impacted by the expansion of T.K. Maxx in Germany and Poland, and HomeSense in the U.K. In aggregate these newer businesses had only a slight loss in the third quarter, and we expect them to be profitable in the fourth quarter of fiscal 2011. We intend to slow square footage growth for TJX Europe next year. Merchandise margins were down due to higher markdowns. Currency translation reduced segment profit by $1 million. The impact of the mark-to-market adjustment on inventory-related hedges increased segment profit by $3 million in the fiscal 2011 third quarter.</t>
        </r>
        <r>
          <rPr>
            <b/>
            <sz val="8"/>
            <color indexed="81"/>
            <rFont val="Tahoma"/>
            <family val="2"/>
          </rPr>
          <t xml:space="preserve">
Margaret Marchant:</t>
        </r>
        <r>
          <rPr>
            <sz val="8"/>
            <color indexed="81"/>
            <rFont val="Tahoma"/>
            <family val="2"/>
          </rPr>
          <t xml:space="preserve">
8/10: expect 16-20% segment profit growth in europe on comps flat to +slightly </t>
        </r>
      </text>
    </comment>
    <comment ref="AL153" authorId="12">
      <text>
        <r>
          <rPr>
            <b/>
            <sz val="8"/>
            <color indexed="81"/>
            <rFont val="Tahoma"/>
            <family val="2"/>
          </rPr>
          <t>lauraro:</t>
        </r>
        <r>
          <rPr>
            <sz val="8"/>
            <color indexed="81"/>
            <rFont val="Tahoma"/>
            <family val="2"/>
          </rPr>
          <t xml:space="preserve">
Segment margin for the fiscal 2011 third quarter and nine-month periods was up from the same periods last year due to improved merchandise margins, the levering of expenses due to the strong same store sales increase as well as operational efficiencies. The improvement in merch margins accounted for more than half of the growth in 3Q segment margin and ~1/2 of the nine-month growth in segment margin. The levering of expenses, particularly occupancy costs, on strong SSS growth also contributed to the increase in segment margin in both periods</t>
        </r>
      </text>
    </comment>
    <comment ref="AM153" authorId="12">
      <text>
        <r>
          <rPr>
            <b/>
            <sz val="8"/>
            <color indexed="81"/>
            <rFont val="Tahoma"/>
            <family val="2"/>
          </rPr>
          <t>lauraro:</t>
        </r>
        <r>
          <rPr>
            <sz val="8"/>
            <color indexed="81"/>
            <rFont val="Tahoma"/>
            <family val="2"/>
          </rPr>
          <t xml:space="preserve">
Segment margin for the fiscal 2011 third quarter was up from the same periods last year due to improved merchandise margins, the levering of expenses due to the strong same store sales increase as well as operational efficiencies. The improvement in merchandise margins accounted for more than half of the growth in the third quarter segment margin. The levering of expenses, particularly occupancy costs, on strong same store sales growth also contributed to the increase in segment margin in the quarter.</t>
        </r>
      </text>
    </comment>
    <comment ref="AS153" authorId="12">
      <text>
        <r>
          <rPr>
            <b/>
            <sz val="8"/>
            <color indexed="81"/>
            <rFont val="Tahoma"/>
            <family val="2"/>
          </rPr>
          <t>lauraro:</t>
        </r>
        <r>
          <rPr>
            <sz val="8"/>
            <color indexed="81"/>
            <rFont val="Tahoma"/>
            <family val="2"/>
          </rPr>
          <t xml:space="preserve">
Loss largely due to the impact of weather. A.J Wright has a heavy concentration of stores in the Northeast and the warm weather in September and October in that area negatively impacted weather-sensitive categories, resulting in increased markdown</t>
        </r>
      </text>
    </comment>
    <comment ref="BJ153" authorId="12">
      <text>
        <r>
          <rPr>
            <b/>
            <sz val="8"/>
            <color indexed="81"/>
            <rFont val="Tahoma"/>
            <family val="2"/>
          </rPr>
          <t>lauraro:</t>
        </r>
        <r>
          <rPr>
            <sz val="8"/>
            <color indexed="81"/>
            <rFont val="Tahoma"/>
            <family val="2"/>
          </rPr>
          <t xml:space="preserve">
8/10: mgmt guided to $44-46M</t>
        </r>
      </text>
    </comment>
    <comment ref="BJ154" authorId="12">
      <text>
        <r>
          <rPr>
            <b/>
            <sz val="8"/>
            <color indexed="81"/>
            <rFont val="Tahoma"/>
            <family val="2"/>
          </rPr>
          <t>lauraro:</t>
        </r>
        <r>
          <rPr>
            <sz val="8"/>
            <color indexed="81"/>
            <rFont val="Tahoma"/>
            <family val="2"/>
          </rPr>
          <t xml:space="preserve">
11/10: exp $51-54M</t>
        </r>
      </text>
    </comment>
    <comment ref="BL154" authorId="12">
      <text>
        <r>
          <rPr>
            <sz val="8"/>
            <color indexed="81"/>
            <rFont val="Tahoma"/>
            <family val="2"/>
          </rPr>
          <t>AJW not in 4Q creating some discrepancy</t>
        </r>
        <r>
          <rPr>
            <sz val="8"/>
            <color indexed="81"/>
            <rFont val="Tahoma"/>
            <family val="2"/>
          </rPr>
          <t xml:space="preserve">
</t>
        </r>
      </text>
    </comment>
    <comment ref="I155" authorId="12">
      <text>
        <r>
          <rPr>
            <b/>
            <sz val="8"/>
            <color indexed="81"/>
            <rFont val="Tahoma"/>
            <family val="2"/>
          </rPr>
          <t xml:space="preserve">10K:
</t>
        </r>
        <r>
          <rPr>
            <sz val="8"/>
            <color indexed="81"/>
            <rFont val="Tahoma"/>
            <family val="2"/>
          </rPr>
          <t>increase in segment margin for fiscal 2011 was primarily due to an increase in merchandise margin of  0.8 percentage points driven primarily by lower markdowns. In addition, the 4% increase in same store sales provided expense leverage as a % of net sales, particularly occupancy costs which improved by 0.2 percentage points</t>
        </r>
        <r>
          <rPr>
            <sz val="8"/>
            <color indexed="81"/>
            <rFont val="Tahoma"/>
            <family val="2"/>
          </rPr>
          <t xml:space="preserve">
</t>
        </r>
      </text>
    </comment>
    <comment ref="AA155" authorId="12">
      <text>
        <r>
          <rPr>
            <b/>
            <sz val="8"/>
            <color indexed="81"/>
            <rFont val="Tahoma"/>
            <family val="2"/>
          </rPr>
          <t xml:space="preserve">10K: </t>
        </r>
        <r>
          <rPr>
            <sz val="8"/>
            <color indexed="81"/>
            <rFont val="Tahoma"/>
            <family val="2"/>
          </rPr>
          <t>impact of foreign currency translation increased segment profit by $25 million in fiscal 2011 as compared to fiscal 2010. The mark-to-market adjustment on inventory-related hedges reduced segment profit in fiscal 2011 by $7 million compared to an immaterial impact in fiscal 2010. The unfavorable change in the mark-to-market adjustment of our inventory hedges reduced fiscal 2011 segment margin by 0.3 percentage points. TJX Canada segment margin increased 2.2 percentage points to 14.0% in fiscal 2011, compared to 11.8% in fiscal 2010. The segment margin improvement in fiscal 2011 was driven by a strong improvement in merchandise margins</t>
        </r>
        <r>
          <rPr>
            <sz val="8"/>
            <color indexed="81"/>
            <rFont val="Tahoma"/>
            <family val="2"/>
          </rPr>
          <t xml:space="preserve">
</t>
        </r>
      </text>
    </comment>
    <comment ref="AC155" authorId="12">
      <text>
        <r>
          <rPr>
            <b/>
            <sz val="8"/>
            <color indexed="81"/>
            <rFont val="Tahoma"/>
            <family val="2"/>
          </rPr>
          <t xml:space="preserve">10K: </t>
        </r>
        <r>
          <rPr>
            <sz val="8"/>
            <color indexed="81"/>
            <rFont val="Tahoma"/>
            <family val="2"/>
          </rPr>
          <t>Currency translation negatively impacted the fiscal 2011 results, reducing net sales by $86 million.</t>
        </r>
        <r>
          <rPr>
            <sz val="8"/>
            <color indexed="81"/>
            <rFont val="Tahoma"/>
            <family val="2"/>
          </rPr>
          <t xml:space="preserve">
</t>
        </r>
      </text>
    </comment>
    <comment ref="AG155" authorId="10">
      <text>
        <r>
          <rPr>
            <b/>
            <sz val="8"/>
            <color indexed="81"/>
            <rFont val="Tahoma"/>
            <family val="2"/>
          </rPr>
          <t xml:space="preserve">10K: </t>
        </r>
        <r>
          <rPr>
            <sz val="8"/>
            <color indexed="81"/>
            <rFont val="Tahoma"/>
            <family val="2"/>
          </rPr>
          <t>Execution issues at TJX Europe were the primary reasons for below-plan sales and segment profit. We believe that our expansion in Europe took management’s focus off of the proper execution of the fundamentals of our off-price strategy and that as a result, consumers did not find the values they had come to expect at our stores. This led to same store sales declines, reduced merchandise margins, as a result of increased markdowns, and the de-levering of expenses. We intend to slow store growth for TJX Europe in fiscal 2012 and focus on correcting the execution issues. Despite this setback, we remain confident that Europe holds significant growth potential for TJX.</t>
        </r>
        <r>
          <rPr>
            <sz val="8"/>
            <color indexed="81"/>
            <rFont val="Tahoma"/>
            <family val="2"/>
          </rPr>
          <t xml:space="preserve">
</t>
        </r>
        <r>
          <rPr>
            <b/>
            <sz val="8"/>
            <color indexed="81"/>
            <rFont val="Tahoma"/>
            <family val="2"/>
          </rPr>
          <t>2/2010:</t>
        </r>
        <r>
          <rPr>
            <sz val="8"/>
            <color indexed="81"/>
            <rFont val="Tahoma"/>
            <family val="2"/>
          </rPr>
          <t xml:space="preserve"> now see TKMaxx in the 9-10% operating margin range</t>
        </r>
      </text>
    </comment>
    <comment ref="AK155" authorId="12">
      <text>
        <r>
          <rPr>
            <b/>
            <sz val="8"/>
            <color indexed="81"/>
            <rFont val="Tahoma"/>
            <family val="2"/>
          </rPr>
          <t>10K:</t>
        </r>
        <r>
          <rPr>
            <sz val="8"/>
            <color indexed="81"/>
            <rFont val="Tahoma"/>
            <family val="2"/>
          </rPr>
          <t xml:space="preserve">
driven by continued strong growth in customer traffic</t>
        </r>
      </text>
    </comment>
    <comment ref="AM155" authorId="12">
      <text>
        <r>
          <rPr>
            <b/>
            <sz val="8"/>
            <color indexed="81"/>
            <rFont val="Tahoma"/>
            <family val="2"/>
          </rPr>
          <t xml:space="preserve">10K:
</t>
        </r>
        <r>
          <rPr>
            <sz val="8"/>
            <color indexed="81"/>
            <rFont val="Tahoma"/>
            <family val="2"/>
          </rPr>
          <t>increased merchandise margins, driven by decreased markdowns, levering of expenses on the 6% same store sales and operational efficiencies. The merchandise margin improvements were driven by our continuing to manage this business with much lower inventory levels and increasing inventory turns.</t>
        </r>
      </text>
    </comment>
    <comment ref="F158" authorId="12">
      <text>
        <r>
          <rPr>
            <b/>
            <sz val="8"/>
            <color indexed="81"/>
            <rFont val="Tahoma"/>
            <family val="2"/>
          </rPr>
          <t>lauraro:</t>
        </r>
        <r>
          <rPr>
            <sz val="8"/>
            <color indexed="81"/>
            <rFont val="Tahoma"/>
            <family val="2"/>
          </rPr>
          <t xml:space="preserve">
Driven by traffic</t>
        </r>
      </text>
    </comment>
    <comment ref="G158" authorId="12">
      <text>
        <r>
          <rPr>
            <b/>
            <sz val="8"/>
            <color indexed="81"/>
            <rFont val="Tahoma"/>
            <family val="2"/>
          </rPr>
          <t>lauraro:</t>
        </r>
        <r>
          <rPr>
            <sz val="8"/>
            <color indexed="81"/>
            <rFont val="Tahoma"/>
            <family val="2"/>
          </rPr>
          <t xml:space="preserve">
The majority of the costs to consolidate A.J. Wright were recognized in the fourth quarter of fiscal 2011. Because of the timing of the store closings the remainder of the closing costs (primarily lease related obligations) and additional operating losses were reported as a $49 million A.J. Wright segment loss in the first quarter of fiscal 2012. In addition, the first quarter of fiscal 2012 includes costs related to the conversion of the 90 A.J. Wright stores to other banners (primarily store payroll and occupancy costs during the approximate eight to twelve week period in which the stores were closed) and costs related to grand opening events when the stores re-opened. These costs totaled $20 million with $17 million reflected in the Marmaxx segment and $3 million in the HomeGoods segment. 
</t>
        </r>
      </text>
    </comment>
    <comment ref="I158" authorId="12">
      <text>
        <r>
          <rPr>
            <b/>
            <sz val="8"/>
            <color indexed="81"/>
            <rFont val="Tahoma"/>
            <family val="2"/>
          </rPr>
          <t xml:space="preserve">10Q: </t>
        </r>
        <r>
          <rPr>
            <sz val="8"/>
            <color indexed="81"/>
            <rFont val="Tahoma"/>
            <family val="2"/>
          </rPr>
          <t xml:space="preserve"> -20bps merch margin more than offset b&amp;o occ lvg
Marmaxx’s segment profit margin (14.4%) improved +10bps on top of LY’s peak 
-13.9% without adjustment</t>
        </r>
      </text>
    </comment>
    <comment ref="X158" authorId="12">
      <text>
        <r>
          <rPr>
            <b/>
            <sz val="8"/>
            <color indexed="81"/>
            <rFont val="Tahoma"/>
            <family val="2"/>
          </rPr>
          <t>lauraro:</t>
        </r>
        <r>
          <rPr>
            <sz val="8"/>
            <color indexed="81"/>
            <rFont val="Tahoma"/>
            <family val="2"/>
          </rPr>
          <t xml:space="preserve">
FX +6%</t>
        </r>
      </text>
    </comment>
    <comment ref="Y158" authorId="12">
      <text>
        <r>
          <rPr>
            <b/>
            <sz val="8"/>
            <color indexed="81"/>
            <rFont val="Tahoma"/>
            <family val="2"/>
          </rPr>
          <t>lauraro:</t>
        </r>
        <r>
          <rPr>
            <sz val="8"/>
            <color indexed="81"/>
            <rFont val="Tahoma"/>
            <family val="2"/>
          </rPr>
          <t xml:space="preserve">
primarily due to negative impact of unseasonably cold weather</t>
        </r>
      </text>
    </comment>
    <comment ref="AA158" authorId="12">
      <text>
        <r>
          <rPr>
            <b/>
            <sz val="8"/>
            <color indexed="81"/>
            <rFont val="Tahoma"/>
            <family val="2"/>
          </rPr>
          <t xml:space="preserve">5/17/11: </t>
        </r>
        <r>
          <rPr>
            <sz val="8"/>
            <color indexed="81"/>
            <rFont val="Tahoma"/>
            <family val="2"/>
          </rPr>
          <t>Excl mark-to-market adjustment due to inv-related hedge, 8.1% or -170 bp decline vs. LY (not -370bp decline)</t>
        </r>
        <r>
          <rPr>
            <sz val="8"/>
            <color indexed="81"/>
            <rFont val="Tahoma"/>
            <family val="2"/>
          </rPr>
          <t xml:space="preserve">
</t>
        </r>
      </text>
    </comment>
    <comment ref="AD158" authorId="12">
      <text>
        <r>
          <rPr>
            <b/>
            <sz val="8"/>
            <color indexed="81"/>
            <rFont val="Tahoma"/>
            <family val="2"/>
          </rPr>
          <t>lauraro:</t>
        </r>
        <r>
          <rPr>
            <sz val="8"/>
            <color indexed="81"/>
            <rFont val="Tahoma"/>
            <family val="2"/>
          </rPr>
          <t xml:space="preserve">
FX ~6%</t>
        </r>
      </text>
    </comment>
    <comment ref="AK158" authorId="12">
      <text>
        <r>
          <rPr>
            <b/>
            <sz val="8"/>
            <color indexed="81"/>
            <rFont val="Tahoma"/>
            <family val="2"/>
          </rPr>
          <t>lauraro:</t>
        </r>
        <r>
          <rPr>
            <sz val="8"/>
            <color indexed="81"/>
            <rFont val="Tahoma"/>
            <family val="2"/>
          </rPr>
          <t xml:space="preserve">
driven by traffic</t>
        </r>
      </text>
    </comment>
    <comment ref="AM158" authorId="12">
      <text>
        <r>
          <rPr>
            <b/>
            <sz val="8"/>
            <color indexed="81"/>
            <rFont val="Tahoma"/>
            <family val="2"/>
          </rPr>
          <t>lauraro:</t>
        </r>
        <r>
          <rPr>
            <sz val="8"/>
            <color indexed="81"/>
            <rFont val="Tahoma"/>
            <family val="2"/>
          </rPr>
          <t xml:space="preserve">
The majority of the costs to consolidate A.J. Wright were recognized in the fourth quarter of fiscal 2011. Because of the timing of the store closings the remainder of the closing costs (primarily lease related obligations) and additional operating losses were reported as a $49 million A.J. Wright segment loss in the first quarter of fiscal 2012. In addition, the first quarter of fiscal 2012 includes costs related to the conversion of the 90 A.J. Wright stores to other banners (primarily store payroll and occupancy costs during the approximate eight to twelve week period in which the stores were closed) and costs related to grand opening events when the stores re-opened. These costs totaled $20 million with $17 million reflected in the Marmaxx segment and $3 million in the HomeGoods segment. 
</t>
        </r>
      </text>
    </comment>
    <comment ref="AR158" authorId="12">
      <text>
        <r>
          <rPr>
            <b/>
            <sz val="8"/>
            <color indexed="81"/>
            <rFont val="Tahoma"/>
            <family val="2"/>
          </rPr>
          <t>lauraro:</t>
        </r>
        <r>
          <rPr>
            <sz val="8"/>
            <color indexed="81"/>
            <rFont val="Tahoma"/>
            <family val="2"/>
          </rPr>
          <t xml:space="preserve">
The majority of the costs to consolidate A.J. Wright were recognized in the fourth quarter of fiscal 2011. Because of the timing of the store closings, the remainder of the closing costs (primarily lease related obligations) and additional operating losses were reported as
the A.J. Wright segment loss in the first quarter of fiscal 2012.</t>
        </r>
      </text>
    </comment>
    <comment ref="BJ158" authorId="12">
      <text>
        <r>
          <rPr>
            <b/>
            <sz val="8"/>
            <color indexed="81"/>
            <rFont val="Tahoma"/>
            <family val="2"/>
          </rPr>
          <t>lauraro:</t>
        </r>
        <r>
          <rPr>
            <sz val="8"/>
            <color indexed="81"/>
            <rFont val="Tahoma"/>
            <family val="2"/>
          </rPr>
          <t xml:space="preserve">
</t>
        </r>
        <r>
          <rPr>
            <b/>
            <sz val="8"/>
            <color indexed="81"/>
            <rFont val="Tahoma"/>
            <family val="2"/>
          </rPr>
          <t>5/17/11:</t>
        </r>
        <r>
          <rPr>
            <sz val="8"/>
            <color indexed="81"/>
            <rFont val="Tahoma"/>
            <family val="2"/>
          </rPr>
          <t xml:space="preserve">
1. $6M in one-time items (largest lease write-off due to moving offices);
2. talent / headcount / the bench, much of that cost is hitting corporate. a) Carol talked about e-com and building a team there b) We have TJX University that we are aggressively using to teach people going forward
3. we have some costs in corporate that are related to our data center. We are in the process of moving our data center.  We will see those as we go through the year
All this candidly is all baked into the guidance that we have given you on G&amp;A for both Q2 and the back half of the year.
</t>
        </r>
        <r>
          <rPr>
            <b/>
            <sz val="8"/>
            <color indexed="81"/>
            <rFont val="Tahoma"/>
            <family val="2"/>
          </rPr>
          <t>10Q:</t>
        </r>
        <r>
          <rPr>
            <sz val="8"/>
            <color indexed="81"/>
            <rFont val="Tahoma"/>
            <family val="2"/>
          </rPr>
          <t xml:space="preserve"> up vs. LY due to a variety of factors including cost of talent retained from A.J. Wright, an increase in stock-based compensation, increased investment in associate training, costs related to a new data center and other systems investments, and the relocation of a buying office.</t>
        </r>
      </text>
    </comment>
    <comment ref="F159" authorId="12">
      <text>
        <r>
          <rPr>
            <b/>
            <sz val="8"/>
            <color indexed="81"/>
            <rFont val="Tahoma"/>
            <family val="2"/>
          </rPr>
          <t>lauraro:</t>
        </r>
        <r>
          <rPr>
            <sz val="8"/>
            <color indexed="81"/>
            <rFont val="Tahoma"/>
            <family val="2"/>
          </rPr>
          <t xml:space="preserve">
7/7: Expect 4-5%</t>
        </r>
      </text>
    </comment>
    <comment ref="Z159" authorId="12">
      <text>
        <r>
          <rPr>
            <b/>
            <sz val="8"/>
            <color indexed="81"/>
            <rFont val="Tahoma"/>
            <family val="2"/>
          </rPr>
          <t>lauraro:</t>
        </r>
        <r>
          <rPr>
            <sz val="8"/>
            <color indexed="81"/>
            <rFont val="Tahoma"/>
            <family val="2"/>
          </rPr>
          <t xml:space="preserve">
ex currency, seg profit declined by $3M, margin declined ~70bps, very strong on 3% comp stores decline</t>
        </r>
      </text>
    </comment>
    <comment ref="AE159" authorId="12">
      <text>
        <r>
          <rPr>
            <b/>
            <sz val="8"/>
            <color indexed="81"/>
            <rFont val="Tahoma"/>
            <family val="2"/>
          </rPr>
          <t>lauraro:</t>
        </r>
        <r>
          <rPr>
            <sz val="8"/>
            <color indexed="81"/>
            <rFont val="Tahoma"/>
            <family val="2"/>
          </rPr>
          <t xml:space="preserve">
5/17: 0-2%</t>
        </r>
      </text>
    </comment>
    <comment ref="AF159" authorId="12">
      <text>
        <r>
          <rPr>
            <b/>
            <sz val="8"/>
            <color indexed="81"/>
            <rFont val="Tahoma"/>
            <family val="2"/>
          </rPr>
          <t>lauraro:</t>
        </r>
        <r>
          <rPr>
            <sz val="8"/>
            <color indexed="81"/>
            <rFont val="Tahoma"/>
            <family val="2"/>
          </rPr>
          <t xml:space="preserve">
ex currency, seg profit declined by $3M ot $5M, margin declined ~70bps, very strong on flat comp</t>
        </r>
      </text>
    </comment>
    <comment ref="AM159" authorId="12">
      <text>
        <r>
          <rPr>
            <b/>
            <sz val="8"/>
            <color indexed="81"/>
            <rFont val="Tahoma"/>
            <family val="2"/>
          </rPr>
          <t>lauraro:</t>
        </r>
        <r>
          <rPr>
            <sz val="8"/>
            <color indexed="81"/>
            <rFont val="Tahoma"/>
            <family val="2"/>
          </rPr>
          <t xml:space="preserve">
8/16: Timing issues increasing SG&amp;A here, weighing on profit margin</t>
        </r>
      </text>
    </comment>
    <comment ref="F160" authorId="12">
      <text>
        <r>
          <rPr>
            <b/>
            <sz val="8"/>
            <color indexed="81"/>
            <rFont val="Tahoma"/>
            <family val="2"/>
          </rPr>
          <t>lauraro:</t>
        </r>
        <r>
          <rPr>
            <sz val="8"/>
            <color indexed="81"/>
            <rFont val="Tahoma"/>
            <family val="2"/>
          </rPr>
          <t xml:space="preserve">
8/16/11: 2H: 1-2%</t>
        </r>
      </text>
    </comment>
    <comment ref="I160" authorId="12">
      <text>
        <r>
          <rPr>
            <b/>
            <sz val="8"/>
            <color indexed="81"/>
            <rFont val="Tahoma"/>
            <family val="2"/>
          </rPr>
          <t>lauraro:</t>
        </r>
        <r>
          <rPr>
            <sz val="8"/>
            <color indexed="81"/>
            <rFont val="Tahoma"/>
            <family val="2"/>
          </rPr>
          <t xml:space="preserve">
8/16/11: 2H: Flat profit margin</t>
        </r>
      </text>
    </comment>
    <comment ref="W160" authorId="14">
      <text>
        <r>
          <rPr>
            <b/>
            <sz val="8"/>
            <color indexed="81"/>
            <rFont val="Tahoma"/>
            <family val="2"/>
          </rPr>
          <t>$21 mil positive fx impact</t>
        </r>
        <r>
          <rPr>
            <sz val="8"/>
            <color indexed="81"/>
            <rFont val="Tahoma"/>
            <family val="2"/>
          </rPr>
          <t xml:space="preserve">
Foreign currency translation benefited third quarter sales growth by approximately 3 percentage points</t>
        </r>
      </text>
    </comment>
    <comment ref="Y160" authorId="12">
      <text>
        <r>
          <rPr>
            <b/>
            <sz val="8"/>
            <color indexed="81"/>
            <rFont val="Tahoma"/>
            <family val="2"/>
          </rPr>
          <t>lauraro:</t>
        </r>
        <r>
          <rPr>
            <sz val="8"/>
            <color indexed="81"/>
            <rFont val="Tahoma"/>
            <family val="2"/>
          </rPr>
          <t xml:space="preserve">
We believe the same store sales decreases are largely due to the previously disclosed execution issues in our women’s and, to a lesser extent, children’s categories, but were also impacted by unseasonably warm weather during much of the third quarter. 
</t>
        </r>
        <r>
          <rPr>
            <b/>
            <sz val="8"/>
            <color indexed="81"/>
            <rFont val="Tahoma"/>
            <family val="2"/>
          </rPr>
          <t>8/16/11:</t>
        </r>
        <r>
          <rPr>
            <sz val="8"/>
            <color indexed="81"/>
            <rFont val="Tahoma"/>
            <family val="2"/>
          </rPr>
          <t xml:space="preserve"> 2H: 0-1%</t>
        </r>
      </text>
    </comment>
    <comment ref="Z160" authorId="14">
      <text>
        <r>
          <rPr>
            <b/>
            <sz val="8"/>
            <color indexed="81"/>
            <rFont val="Tahoma"/>
            <family val="2"/>
          </rPr>
          <t>$3 mil positive fx impact</t>
        </r>
        <r>
          <rPr>
            <sz val="8"/>
            <color indexed="81"/>
            <rFont val="Tahoma"/>
            <family val="2"/>
          </rPr>
          <t xml:space="preserve">
</t>
        </r>
        <r>
          <rPr>
            <b/>
            <sz val="8"/>
            <color indexed="81"/>
            <rFont val="Tahoma"/>
            <family val="2"/>
          </rPr>
          <t>$14 mil positive mark-to-market impact of inventory derivatives</t>
        </r>
      </text>
    </comment>
    <comment ref="AA160" authorId="12">
      <text>
        <r>
          <rPr>
            <b/>
            <sz val="8"/>
            <color indexed="81"/>
            <rFont val="Tahoma"/>
            <family val="2"/>
          </rPr>
          <t>lauraro:</t>
        </r>
        <r>
          <rPr>
            <sz val="8"/>
            <color indexed="81"/>
            <rFont val="Tahoma"/>
            <family val="2"/>
          </rPr>
          <t xml:space="preserve">
The increase in segment margin was entirely due to the favorable year-over-year impact of the change in the mark-to-market adjustment of inventory-related hedges, partially offset by lower merchandise margins and expense deleverage on the same store sales decrease. 
</t>
        </r>
        <r>
          <rPr>
            <b/>
            <sz val="8"/>
            <color indexed="81"/>
            <rFont val="Tahoma"/>
            <family val="2"/>
          </rPr>
          <t>8/16/11:</t>
        </r>
        <r>
          <rPr>
            <sz val="8"/>
            <color indexed="81"/>
            <rFont val="Tahoma"/>
            <family val="2"/>
          </rPr>
          <t xml:space="preserve"> 2H: -70 to -80bp, ex FX down -160 to -170bp (down 120bps YTD)</t>
        </r>
      </text>
    </comment>
    <comment ref="AC160" authorId="14">
      <text>
        <r>
          <rPr>
            <b/>
            <sz val="8"/>
            <color indexed="81"/>
            <rFont val="Tahoma"/>
            <family val="2"/>
          </rPr>
          <t>$13 mil positive fx impact</t>
        </r>
        <r>
          <rPr>
            <sz val="8"/>
            <color indexed="81"/>
            <rFont val="Tahoma"/>
            <family val="2"/>
          </rPr>
          <t xml:space="preserve">
</t>
        </r>
      </text>
    </comment>
    <comment ref="AE160" authorId="12">
      <text>
        <r>
          <rPr>
            <b/>
            <sz val="8"/>
            <color indexed="81"/>
            <rFont val="Tahoma"/>
            <family val="2"/>
          </rPr>
          <t>lauraro:</t>
        </r>
        <r>
          <rPr>
            <sz val="8"/>
            <color indexed="81"/>
            <rFont val="Tahoma"/>
            <family val="2"/>
          </rPr>
          <t xml:space="preserve">
8/16/11: 2H: 2-4%
5/17/11: 2H: 2-4%</t>
        </r>
      </text>
    </comment>
    <comment ref="AF160" authorId="14">
      <text>
        <r>
          <rPr>
            <b/>
            <sz val="8"/>
            <color indexed="81"/>
            <rFont val="Tahoma"/>
            <family val="2"/>
          </rPr>
          <t>$2 mil positive fx impact</t>
        </r>
        <r>
          <rPr>
            <sz val="8"/>
            <color indexed="81"/>
            <rFont val="Tahoma"/>
            <family val="2"/>
          </rPr>
          <t xml:space="preserve">
</t>
        </r>
        <r>
          <rPr>
            <b/>
            <sz val="8"/>
            <color indexed="81"/>
            <rFont val="Tahoma"/>
            <family val="2"/>
          </rPr>
          <t>$0 mil positive mark-to-market impact of inventory derivatives</t>
        </r>
      </text>
    </comment>
    <comment ref="AG160" authorId="12">
      <text>
        <r>
          <rPr>
            <b/>
            <sz val="8"/>
            <color indexed="81"/>
            <rFont val="Tahoma"/>
            <family val="2"/>
          </rPr>
          <t>lauraro:</t>
        </r>
        <r>
          <rPr>
            <sz val="8"/>
            <color indexed="81"/>
            <rFont val="Tahoma"/>
            <family val="2"/>
          </rPr>
          <t xml:space="preserve">
8/16/11: 2H: inc FX +220 to +270bp +6.9%-7.4%; ex FX +270 to +320bp 7.4% - 7.9%
5/17/11: in the back half of the year we had almost a 400bps hit on the gross margin line in the back half at Europe. Q1 this year was down pretty significantly, due to high MDs, but we were up against basically a flat margin last year. Whats happening here is, as we move from Q1 into Q2 and into the second half, the margin comparisons get significantly easier.</t>
        </r>
      </text>
    </comment>
    <comment ref="AK160" authorId="12">
      <text>
        <r>
          <rPr>
            <b/>
            <sz val="8"/>
            <color indexed="81"/>
            <rFont val="Tahoma"/>
            <family val="2"/>
          </rPr>
          <t>lauraro:</t>
        </r>
        <r>
          <rPr>
            <sz val="8"/>
            <color indexed="81"/>
            <rFont val="Tahoma"/>
            <family val="2"/>
          </rPr>
          <t xml:space="preserve">
8/16/11: 2H: 2-3%</t>
        </r>
      </text>
    </comment>
    <comment ref="AM160" authorId="12">
      <text>
        <r>
          <rPr>
            <b/>
            <sz val="8"/>
            <color indexed="81"/>
            <rFont val="Tahoma"/>
            <family val="2"/>
          </rPr>
          <t>lauraro:</t>
        </r>
        <r>
          <rPr>
            <sz val="8"/>
            <color indexed="81"/>
            <rFont val="Tahoma"/>
            <family val="2"/>
          </rPr>
          <t xml:space="preserve">
8/16/11: 2H: -10 to +20bps vs LY</t>
        </r>
      </text>
    </comment>
    <comment ref="F161" authorId="12">
      <text>
        <r>
          <rPr>
            <b/>
            <sz val="8"/>
            <color indexed="81"/>
            <rFont val="Tahoma"/>
            <family val="2"/>
          </rPr>
          <t>lauraro:</t>
        </r>
        <r>
          <rPr>
            <sz val="8"/>
            <color indexed="81"/>
            <rFont val="Tahoma"/>
            <family val="2"/>
          </rPr>
          <t xml:space="preserve">
8/16/11: 2H: 1-2%</t>
        </r>
      </text>
    </comment>
    <comment ref="I161" authorId="12">
      <text>
        <r>
          <rPr>
            <b/>
            <sz val="8"/>
            <color indexed="81"/>
            <rFont val="Tahoma"/>
            <family val="2"/>
          </rPr>
          <t>lauraro:</t>
        </r>
        <r>
          <rPr>
            <sz val="8"/>
            <color indexed="81"/>
            <rFont val="Tahoma"/>
            <family val="2"/>
          </rPr>
          <t xml:space="preserve">
8/16/11: 2H: Flat profit margin</t>
        </r>
      </text>
    </comment>
    <comment ref="Y161" authorId="12">
      <text>
        <r>
          <rPr>
            <b/>
            <sz val="8"/>
            <color indexed="81"/>
            <rFont val="Tahoma"/>
            <family val="2"/>
          </rPr>
          <t>lauraro:</t>
        </r>
        <r>
          <rPr>
            <sz val="8"/>
            <color indexed="81"/>
            <rFont val="Tahoma"/>
            <family val="2"/>
          </rPr>
          <t xml:space="preserve">
8/16/11: 2H: 0-1%</t>
        </r>
      </text>
    </comment>
    <comment ref="AA161" authorId="12">
      <text>
        <r>
          <rPr>
            <b/>
            <sz val="8"/>
            <color indexed="81"/>
            <rFont val="Tahoma"/>
            <family val="2"/>
          </rPr>
          <t>lauraro:</t>
        </r>
        <r>
          <rPr>
            <sz val="8"/>
            <color indexed="81"/>
            <rFont val="Tahoma"/>
            <family val="2"/>
          </rPr>
          <t xml:space="preserve">
</t>
        </r>
        <r>
          <rPr>
            <b/>
            <sz val="8"/>
            <color indexed="81"/>
            <rFont val="Tahoma"/>
            <family val="2"/>
          </rPr>
          <t xml:space="preserve">2/22/12: </t>
        </r>
        <r>
          <rPr>
            <sz val="8"/>
            <color indexed="81"/>
            <rFont val="Tahoma"/>
            <family val="2"/>
          </rPr>
          <t xml:space="preserve">Anomolies that impacted Canada 4Q OM:  1) we closed STYLESENSE which is a piece of the fourth quarter, 2) and a little bit of merchandise margin due to cold weather merchandise that we wanted to clean out and 3) we had an increase in advertising.
</t>
        </r>
        <r>
          <rPr>
            <b/>
            <sz val="8"/>
            <color indexed="81"/>
            <rFont val="Tahoma"/>
            <family val="2"/>
          </rPr>
          <t xml:space="preserve">8/16/11: </t>
        </r>
        <r>
          <rPr>
            <sz val="8"/>
            <color indexed="81"/>
            <rFont val="Tahoma"/>
            <family val="2"/>
          </rPr>
          <t>2H: -70 to -80bp, ex FX down -160 to -170bp (down 120bps YTD)</t>
        </r>
      </text>
    </comment>
    <comment ref="AE161" authorId="12">
      <text>
        <r>
          <rPr>
            <b/>
            <sz val="8"/>
            <color indexed="81"/>
            <rFont val="Tahoma"/>
            <family val="2"/>
          </rPr>
          <t>lauraro:</t>
        </r>
        <r>
          <rPr>
            <sz val="8"/>
            <color indexed="81"/>
            <rFont val="Tahoma"/>
            <family val="2"/>
          </rPr>
          <t xml:space="preserve">
8/16/11: 2H: 2-4%
5/17/11: 2H: 2-4%</t>
        </r>
      </text>
    </comment>
    <comment ref="AG161" authorId="12">
      <text>
        <r>
          <rPr>
            <b/>
            <sz val="8"/>
            <color indexed="81"/>
            <rFont val="Tahoma"/>
            <family val="2"/>
          </rPr>
          <t xml:space="preserve">lauraro:
2/22/12: </t>
        </r>
        <r>
          <rPr>
            <sz val="8"/>
            <color indexed="81"/>
            <rFont val="Tahoma"/>
            <family val="2"/>
          </rPr>
          <t>Adjusting for currency, 4Q10 2.9% to 4Q11 5.7%, +280bps, plus ~200bps hit due to "items affecting comparability"</t>
        </r>
        <r>
          <rPr>
            <sz val="8"/>
            <color indexed="81"/>
            <rFont val="Tahoma"/>
            <family val="2"/>
          </rPr>
          <t xml:space="preserve">
</t>
        </r>
        <r>
          <rPr>
            <b/>
            <sz val="8"/>
            <color indexed="81"/>
            <rFont val="Tahoma"/>
            <family val="2"/>
          </rPr>
          <t xml:space="preserve">2/2/12: </t>
        </r>
        <r>
          <rPr>
            <sz val="8"/>
            <color indexed="81"/>
            <rFont val="Tahoma"/>
            <family val="2"/>
          </rPr>
          <t>still expect strong operating results in Europe
8/16/11: 2H: inc FX +220 to +270bp +6.9%-7.4%; ex FX +270 to +320bp 7.4% - 7.9%
5/17/11: in the back half of the year we had almost a 400bps hit on the gross margin line in the back half at Europe. Q1 this year was down pretty significantly, due to high MDs, but we were up against basically a flat margin last year. Whats happening here is, as we move from Q1 into Q2 and into the second half, the margin comparisons get significantly easier.</t>
        </r>
      </text>
    </comment>
    <comment ref="AK161" authorId="12">
      <text>
        <r>
          <rPr>
            <b/>
            <sz val="8"/>
            <color indexed="81"/>
            <rFont val="Tahoma"/>
            <family val="2"/>
          </rPr>
          <t>lauraro:</t>
        </r>
        <r>
          <rPr>
            <sz val="8"/>
            <color indexed="81"/>
            <rFont val="Tahoma"/>
            <family val="2"/>
          </rPr>
          <t xml:space="preserve">
8/16/11: 2H: 2-3%</t>
        </r>
      </text>
    </comment>
    <comment ref="AM161" authorId="12">
      <text>
        <r>
          <rPr>
            <b/>
            <sz val="8"/>
            <color indexed="81"/>
            <rFont val="Tahoma"/>
            <family val="2"/>
          </rPr>
          <t>lauraro:</t>
        </r>
        <r>
          <rPr>
            <sz val="8"/>
            <color indexed="81"/>
            <rFont val="Tahoma"/>
            <family val="2"/>
          </rPr>
          <t xml:space="preserve">
8/16/11: 2H: -10 to +20bps vs LY</t>
        </r>
      </text>
    </comment>
    <comment ref="F162" authorId="12">
      <text>
        <r>
          <rPr>
            <b/>
            <sz val="8"/>
            <color indexed="81"/>
            <rFont val="Tahoma"/>
            <family val="2"/>
          </rPr>
          <t xml:space="preserve">5/17/11: </t>
        </r>
        <r>
          <rPr>
            <sz val="8"/>
            <color indexed="81"/>
            <rFont val="Tahoma"/>
            <family val="2"/>
          </rPr>
          <t>2-3% comp</t>
        </r>
        <r>
          <rPr>
            <sz val="8"/>
            <color indexed="81"/>
            <rFont val="Tahoma"/>
            <family val="2"/>
          </rPr>
          <t xml:space="preserve">
flat segment profit margin for Marmaxx on a 1.5% to 2% comp.</t>
        </r>
      </text>
    </comment>
    <comment ref="I162" authorId="12">
      <text>
        <r>
          <rPr>
            <b/>
            <sz val="8"/>
            <color indexed="81"/>
            <rFont val="Tahoma"/>
            <family val="2"/>
          </rPr>
          <t xml:space="preserve">10/26/11: </t>
        </r>
        <r>
          <rPr>
            <sz val="8"/>
            <color indexed="81"/>
            <rFont val="Tahoma"/>
            <family val="2"/>
          </rPr>
          <t>13.4-13.5%</t>
        </r>
        <r>
          <rPr>
            <b/>
            <sz val="8"/>
            <color indexed="81"/>
            <rFont val="Tahoma"/>
            <family val="2"/>
          </rPr>
          <t xml:space="preserve">
5/17/11: </t>
        </r>
        <r>
          <rPr>
            <sz val="8"/>
            <color indexed="81"/>
            <rFont val="Tahoma"/>
            <family val="2"/>
          </rPr>
          <t xml:space="preserve">Exp flat vs. LY </t>
        </r>
        <r>
          <rPr>
            <sz val="8"/>
            <color indexed="81"/>
            <rFont val="Tahoma"/>
            <family val="2"/>
          </rPr>
          <t xml:space="preserve">
2/11: Exp 12.9-13.1%</t>
        </r>
      </text>
    </comment>
    <comment ref="Y162" authorId="12">
      <text>
        <r>
          <rPr>
            <b/>
            <sz val="8"/>
            <color indexed="81"/>
            <rFont val="Tahoma"/>
            <family val="2"/>
          </rPr>
          <t xml:space="preserve">5/17/11: </t>
        </r>
        <r>
          <rPr>
            <sz val="8"/>
            <color indexed="81"/>
            <rFont val="Tahoma"/>
            <family val="2"/>
          </rPr>
          <t>Flat comp</t>
        </r>
        <r>
          <rPr>
            <sz val="8"/>
            <color indexed="81"/>
            <rFont val="Tahoma"/>
            <family val="2"/>
          </rPr>
          <t xml:space="preserve">
</t>
        </r>
      </text>
    </comment>
    <comment ref="AA162" authorId="12">
      <text>
        <r>
          <rPr>
            <b/>
            <sz val="8"/>
            <color indexed="81"/>
            <rFont val="Tahoma"/>
            <family val="2"/>
          </rPr>
          <t xml:space="preserve">10/26/11: </t>
        </r>
        <r>
          <rPr>
            <sz val="8"/>
            <color indexed="81"/>
            <rFont val="Tahoma"/>
            <family val="2"/>
          </rPr>
          <t>12.9-13.0%</t>
        </r>
        <r>
          <rPr>
            <b/>
            <sz val="8"/>
            <color indexed="81"/>
            <rFont val="Tahoma"/>
            <family val="2"/>
          </rPr>
          <t xml:space="preserve">
5/17/11:</t>
        </r>
        <r>
          <rPr>
            <sz val="8"/>
            <color indexed="81"/>
            <rFont val="Tahoma"/>
            <family val="2"/>
          </rPr>
          <t xml:space="preserve"> 13.2-13.3%</t>
        </r>
        <r>
          <rPr>
            <sz val="8"/>
            <color indexed="81"/>
            <rFont val="Tahoma"/>
            <family val="2"/>
          </rPr>
          <t xml:space="preserve">
2/11: Exp 14.0-14.2%</t>
        </r>
      </text>
    </comment>
    <comment ref="AE162" authorId="12">
      <text>
        <r>
          <rPr>
            <b/>
            <sz val="8"/>
            <color indexed="81"/>
            <rFont val="Tahoma"/>
            <family val="2"/>
          </rPr>
          <t xml:space="preserve">5/17/11: </t>
        </r>
        <r>
          <rPr>
            <sz val="8"/>
            <color indexed="81"/>
            <rFont val="Tahoma"/>
            <family val="2"/>
          </rPr>
          <t>Flat to 2% comp</t>
        </r>
        <r>
          <rPr>
            <sz val="8"/>
            <color indexed="81"/>
            <rFont val="Tahoma"/>
            <family val="2"/>
          </rPr>
          <t xml:space="preserve">
</t>
        </r>
      </text>
    </comment>
    <comment ref="AF162" authorId="12">
      <text>
        <r>
          <rPr>
            <b/>
            <sz val="8"/>
            <color indexed="81"/>
            <rFont val="Tahoma"/>
            <family val="2"/>
          </rPr>
          <t xml:space="preserve">11/15/11: </t>
        </r>
        <r>
          <rPr>
            <sz val="8"/>
            <color indexed="81"/>
            <rFont val="Tahoma"/>
            <family val="2"/>
          </rPr>
          <t>$95-$102M</t>
        </r>
        <r>
          <rPr>
            <b/>
            <sz val="8"/>
            <color indexed="81"/>
            <rFont val="Tahoma"/>
            <family val="2"/>
          </rPr>
          <t xml:space="preserve">
5/17/11: </t>
        </r>
        <r>
          <rPr>
            <sz val="8"/>
            <color indexed="81"/>
            <rFont val="Tahoma"/>
            <family val="2"/>
          </rPr>
          <t>$100-$110M</t>
        </r>
        <r>
          <rPr>
            <sz val="8"/>
            <color indexed="81"/>
            <rFont val="Tahoma"/>
            <family val="2"/>
          </rPr>
          <t xml:space="preserve">
</t>
        </r>
      </text>
    </comment>
    <comment ref="AG162" authorId="12">
      <text>
        <r>
          <rPr>
            <b/>
            <sz val="8"/>
            <color indexed="81"/>
            <rFont val="Tahoma"/>
            <family val="2"/>
          </rPr>
          <t xml:space="preserve">10/26/11: </t>
        </r>
        <r>
          <rPr>
            <sz val="8"/>
            <color indexed="81"/>
            <rFont val="Tahoma"/>
            <family val="2"/>
          </rPr>
          <t>3.1-3.5%</t>
        </r>
        <r>
          <rPr>
            <b/>
            <sz val="8"/>
            <color indexed="81"/>
            <rFont val="Tahoma"/>
            <family val="2"/>
          </rPr>
          <t xml:space="preserve">
5/17/11: </t>
        </r>
        <r>
          <rPr>
            <sz val="8"/>
            <color indexed="81"/>
            <rFont val="Tahoma"/>
            <family val="2"/>
          </rPr>
          <t>3.4-3.6%</t>
        </r>
        <r>
          <rPr>
            <sz val="8"/>
            <color indexed="81"/>
            <rFont val="Tahoma"/>
            <family val="2"/>
          </rPr>
          <t xml:space="preserve">
2/11: Exp 4.6-5.0%</t>
        </r>
      </text>
    </comment>
    <comment ref="AK162" authorId="12">
      <text>
        <r>
          <rPr>
            <b/>
            <sz val="8"/>
            <color indexed="81"/>
            <rFont val="Tahoma"/>
            <family val="2"/>
          </rPr>
          <t xml:space="preserve">5/17/11: </t>
        </r>
        <r>
          <rPr>
            <sz val="8"/>
            <color indexed="81"/>
            <rFont val="Tahoma"/>
            <family val="2"/>
          </rPr>
          <t>Exp 3-4% comp</t>
        </r>
        <r>
          <rPr>
            <sz val="8"/>
            <color indexed="81"/>
            <rFont val="Tahoma"/>
            <family val="2"/>
          </rPr>
          <t xml:space="preserve">
</t>
        </r>
      </text>
    </comment>
    <comment ref="AM162" authorId="12">
      <text>
        <r>
          <rPr>
            <b/>
            <sz val="8"/>
            <color indexed="81"/>
            <rFont val="Tahoma"/>
            <family val="2"/>
          </rPr>
          <t xml:space="preserve">10/26/11: </t>
        </r>
        <r>
          <rPr>
            <sz val="8"/>
            <color indexed="81"/>
            <rFont val="Tahoma"/>
            <family val="2"/>
          </rPr>
          <t>9.5-9.7%</t>
        </r>
        <r>
          <rPr>
            <b/>
            <sz val="8"/>
            <color indexed="81"/>
            <rFont val="Tahoma"/>
            <family val="2"/>
          </rPr>
          <t xml:space="preserve">
5/17/11: </t>
        </r>
        <r>
          <rPr>
            <sz val="8"/>
            <color indexed="81"/>
            <rFont val="Tahoma"/>
            <family val="2"/>
          </rPr>
          <t>Exp 9.7-9.9%</t>
        </r>
        <r>
          <rPr>
            <sz val="8"/>
            <color indexed="81"/>
            <rFont val="Tahoma"/>
            <family val="2"/>
          </rPr>
          <t xml:space="preserve">
2/11: We exp 9.1-9.4%</t>
        </r>
      </text>
    </comment>
    <comment ref="AB166" authorId="15">
      <text>
        <r>
          <rPr>
            <b/>
            <sz val="8"/>
            <color indexed="81"/>
            <rFont val="Tahoma"/>
            <family val="2"/>
          </rPr>
          <t xml:space="preserve">8/14/2012 
</t>
        </r>
        <r>
          <rPr>
            <sz val="8"/>
            <color indexed="81"/>
            <rFont val="Tahoma"/>
            <family val="2"/>
          </rPr>
          <t>Ex Fx +80 bps</t>
        </r>
        <r>
          <rPr>
            <b/>
            <sz val="8"/>
            <color indexed="81"/>
            <rFont val="Tahoma"/>
            <family val="2"/>
          </rPr>
          <t xml:space="preserve">
</t>
        </r>
      </text>
    </comment>
    <comment ref="AH166" authorId="15">
      <text>
        <r>
          <rPr>
            <b/>
            <sz val="8"/>
            <color indexed="81"/>
            <rFont val="Tahoma"/>
            <family val="2"/>
          </rPr>
          <t xml:space="preserve">8/14/2012
</t>
        </r>
        <r>
          <rPr>
            <sz val="8"/>
            <color indexed="81"/>
            <rFont val="Tahoma"/>
            <family val="2"/>
          </rPr>
          <t>Ex FX +240 bps</t>
        </r>
      </text>
    </comment>
    <comment ref="BJ166" authorId="12">
      <text>
        <r>
          <rPr>
            <b/>
            <sz val="8"/>
            <color indexed="81"/>
            <rFont val="Tahoma"/>
            <family val="2"/>
          </rPr>
          <t>lauraro:</t>
        </r>
        <r>
          <rPr>
            <sz val="8"/>
            <color indexed="81"/>
            <rFont val="Tahoma"/>
            <family val="2"/>
          </rPr>
          <t xml:space="preserve">
Expect ~$20M higher dollars</t>
        </r>
      </text>
    </comment>
    <comment ref="J167" authorId="15">
      <text>
        <r>
          <rPr>
            <b/>
            <sz val="8"/>
            <color indexed="81"/>
            <rFont val="Tahoma"/>
            <family val="2"/>
          </rPr>
          <t>11/13/2012:</t>
        </r>
        <r>
          <rPr>
            <sz val="8"/>
            <color indexed="81"/>
            <rFont val="Tahoma"/>
            <family val="2"/>
          </rPr>
          <t xml:space="preserve"> +70 bps</t>
        </r>
      </text>
    </comment>
    <comment ref="AA167" authorId="12">
      <text>
        <r>
          <rPr>
            <b/>
            <sz val="8"/>
            <color indexed="81"/>
            <rFont val="Tahoma"/>
            <family val="2"/>
          </rPr>
          <t xml:space="preserve">8/30/2012: </t>
        </r>
        <r>
          <rPr>
            <sz val="8"/>
            <color indexed="81"/>
            <rFont val="Tahoma"/>
            <family val="2"/>
          </rPr>
          <t>Less clearance y/y in August, a positive for merch mgns</t>
        </r>
        <r>
          <rPr>
            <b/>
            <sz val="8"/>
            <color indexed="81"/>
            <rFont val="Tahoma"/>
            <family val="2"/>
          </rPr>
          <t xml:space="preserve">
lauraro:</t>
        </r>
        <r>
          <rPr>
            <sz val="8"/>
            <color indexed="81"/>
            <rFont val="Tahoma"/>
            <family val="2"/>
          </rPr>
          <t xml:space="preserve">
~16.3% ex FX LY</t>
        </r>
      </text>
    </comment>
    <comment ref="AB167" authorId="15">
      <text>
        <r>
          <rPr>
            <b/>
            <sz val="8"/>
            <color indexed="81"/>
            <rFont val="Tahoma"/>
            <family val="2"/>
          </rPr>
          <t xml:space="preserve">11/13/2012: </t>
        </r>
        <r>
          <rPr>
            <sz val="8"/>
            <color indexed="81"/>
            <rFont val="Tahoma"/>
            <family val="2"/>
          </rPr>
          <t>Ex Fx +40 bps</t>
        </r>
        <r>
          <rPr>
            <b/>
            <sz val="8"/>
            <color indexed="81"/>
            <rFont val="Tahoma"/>
            <family val="2"/>
          </rPr>
          <t xml:space="preserve">
8/14/2012 
</t>
        </r>
        <r>
          <rPr>
            <sz val="8"/>
            <color indexed="81"/>
            <rFont val="Tahoma"/>
            <family val="2"/>
          </rPr>
          <t>Ex Fx +80 bps</t>
        </r>
        <r>
          <rPr>
            <b/>
            <sz val="8"/>
            <color indexed="81"/>
            <rFont val="Tahoma"/>
            <family val="2"/>
          </rPr>
          <t xml:space="preserve">
</t>
        </r>
      </text>
    </comment>
    <comment ref="AH167" authorId="15">
      <text>
        <r>
          <rPr>
            <b/>
            <sz val="8"/>
            <color indexed="81"/>
            <rFont val="Tahoma"/>
            <family val="2"/>
          </rPr>
          <t xml:space="preserve">11/13/2012: </t>
        </r>
        <r>
          <rPr>
            <sz val="8"/>
            <color indexed="81"/>
            <rFont val="Tahoma"/>
            <family val="2"/>
          </rPr>
          <t>+360 bps ex FX</t>
        </r>
      </text>
    </comment>
    <comment ref="AN167" authorId="15">
      <text>
        <r>
          <rPr>
            <b/>
            <sz val="8"/>
            <color indexed="81"/>
            <rFont val="Tahoma"/>
            <family val="2"/>
          </rPr>
          <t xml:space="preserve">11/13/2012 </t>
        </r>
        <r>
          <rPr>
            <sz val="8"/>
            <color indexed="81"/>
            <rFont val="Tahoma"/>
            <family val="2"/>
          </rPr>
          <t>+50 bps</t>
        </r>
      </text>
    </comment>
    <comment ref="I168" authorId="12">
      <text>
        <r>
          <rPr>
            <b/>
            <sz val="8"/>
            <color indexed="81"/>
            <rFont val="Tahoma"/>
            <family val="2"/>
          </rPr>
          <t>lauraro:</t>
        </r>
        <r>
          <rPr>
            <sz val="8"/>
            <color indexed="81"/>
            <rFont val="Tahoma"/>
            <family val="2"/>
          </rPr>
          <t xml:space="preserve">
53rd week benefit here</t>
        </r>
      </text>
    </comment>
    <comment ref="F169" authorId="12">
      <text>
        <r>
          <rPr>
            <b/>
            <sz val="8"/>
            <color indexed="81"/>
            <rFont val="Tahoma"/>
            <family val="2"/>
          </rPr>
          <t>lauraro:</t>
        </r>
        <r>
          <rPr>
            <sz val="8"/>
            <color indexed="81"/>
            <rFont val="Tahoma"/>
            <family val="2"/>
          </rPr>
          <t xml:space="preserve">
1-2%</t>
        </r>
      </text>
    </comment>
    <comment ref="I169" authorId="12">
      <text>
        <r>
          <rPr>
            <b/>
            <sz val="7"/>
            <color indexed="81"/>
            <rFont val="Tahoma"/>
            <family val="2"/>
          </rPr>
          <t xml:space="preserve">11/13/2012: </t>
        </r>
        <r>
          <rPr>
            <sz val="7"/>
            <color indexed="81"/>
            <rFont val="Tahoma"/>
            <family val="2"/>
          </rPr>
          <t>14.4%, +80 bps</t>
        </r>
        <r>
          <rPr>
            <b/>
            <sz val="7"/>
            <color indexed="81"/>
            <rFont val="Tahoma"/>
            <family val="2"/>
          </rPr>
          <t xml:space="preserve">
8/14/12: </t>
        </r>
        <r>
          <rPr>
            <sz val="7"/>
            <color indexed="81"/>
            <rFont val="Tahoma"/>
            <family val="2"/>
          </rPr>
          <t>FY 14.3-14.4%, +70-80 bps</t>
        </r>
        <r>
          <rPr>
            <b/>
            <sz val="7"/>
            <color indexed="81"/>
            <rFont val="Tahoma"/>
            <family val="2"/>
          </rPr>
          <t xml:space="preserve">
lauraro:</t>
        </r>
        <r>
          <rPr>
            <sz val="7"/>
            <color indexed="81"/>
            <rFont val="Tahoma"/>
            <family val="2"/>
          </rPr>
          <t xml:space="preserve">
13.6-13.9%, 10-20bps improvement due to 53rd week
52 wk basis we are planning the pretax margins down slightly to up slightly on a 1% to 2% comp, again what you would expect</t>
        </r>
      </text>
    </comment>
    <comment ref="Y169" authorId="12">
      <text>
        <r>
          <rPr>
            <b/>
            <sz val="8"/>
            <color indexed="81"/>
            <rFont val="Tahoma"/>
            <family val="2"/>
          </rPr>
          <t>lauraro:</t>
        </r>
        <r>
          <rPr>
            <sz val="8"/>
            <color indexed="81"/>
            <rFont val="Tahoma"/>
            <family val="2"/>
          </rPr>
          <t xml:space="preserve">
2-3% comp</t>
        </r>
      </text>
    </comment>
    <comment ref="AA169" authorId="12">
      <text>
        <r>
          <rPr>
            <b/>
            <sz val="8"/>
            <color indexed="81"/>
            <rFont val="Tahoma"/>
            <family val="2"/>
          </rPr>
          <t xml:space="preserve">11/13/2012: </t>
        </r>
        <r>
          <rPr>
            <sz val="8"/>
            <color indexed="81"/>
            <rFont val="Tahoma"/>
            <family val="2"/>
          </rPr>
          <t>13.6-13.7%, +80-90 bps</t>
        </r>
        <r>
          <rPr>
            <b/>
            <sz val="8"/>
            <color indexed="81"/>
            <rFont val="Tahoma"/>
            <family val="2"/>
          </rPr>
          <t xml:space="preserve">
8/14/12: </t>
        </r>
        <r>
          <rPr>
            <sz val="8"/>
            <color indexed="81"/>
            <rFont val="Tahoma"/>
            <family val="2"/>
          </rPr>
          <t>13.5-13.6%, +70-80 bps (ex FX)</t>
        </r>
        <r>
          <rPr>
            <b/>
            <sz val="8"/>
            <color indexed="81"/>
            <rFont val="Tahoma"/>
            <family val="2"/>
          </rPr>
          <t xml:space="preserve">
lauraro:</t>
        </r>
        <r>
          <rPr>
            <sz val="8"/>
            <color indexed="81"/>
            <rFont val="Tahoma"/>
            <family val="2"/>
          </rPr>
          <t xml:space="preserve">
12.9-13.1%, 10bps from 53rd week, but hit 20bps by FX at current rates
52 week basis flat to +20bps on 2-3% comp</t>
        </r>
      </text>
    </comment>
    <comment ref="AE169" authorId="12">
      <text>
        <r>
          <rPr>
            <b/>
            <sz val="8"/>
            <color indexed="81"/>
            <rFont val="Tahoma"/>
            <family val="2"/>
          </rPr>
          <t>lauraro:</t>
        </r>
        <r>
          <rPr>
            <sz val="8"/>
            <color indexed="81"/>
            <rFont val="Tahoma"/>
            <family val="2"/>
          </rPr>
          <t xml:space="preserve">
</t>
        </r>
        <r>
          <rPr>
            <b/>
            <sz val="8"/>
            <color indexed="81"/>
            <rFont val="Tahoma"/>
            <family val="2"/>
          </rPr>
          <t xml:space="preserve">5/15: </t>
        </r>
        <r>
          <rPr>
            <sz val="8"/>
            <color indexed="81"/>
            <rFont val="Tahoma"/>
            <family val="2"/>
          </rPr>
          <t>4-5% comp</t>
        </r>
        <r>
          <rPr>
            <sz val="8"/>
            <color indexed="81"/>
            <rFont val="Tahoma"/>
            <family val="2"/>
          </rPr>
          <t xml:space="preserve">
</t>
        </r>
        <r>
          <rPr>
            <b/>
            <sz val="8"/>
            <color indexed="81"/>
            <rFont val="Tahoma"/>
            <family val="2"/>
          </rPr>
          <t xml:space="preserve">2/22: </t>
        </r>
        <r>
          <rPr>
            <sz val="8"/>
            <color indexed="81"/>
            <rFont val="Tahoma"/>
            <family val="2"/>
          </rPr>
          <t>4-5% comp</t>
        </r>
      </text>
    </comment>
    <comment ref="AG169" authorId="12">
      <text>
        <r>
          <rPr>
            <b/>
            <sz val="8"/>
            <color indexed="81"/>
            <rFont val="Tahoma"/>
            <family val="2"/>
          </rPr>
          <t xml:space="preserve">11/13/2012: </t>
        </r>
        <r>
          <rPr>
            <sz val="8"/>
            <color indexed="81"/>
            <rFont val="Tahoma"/>
            <family val="2"/>
          </rPr>
          <t>6-6.2% +360-380 ex FX</t>
        </r>
        <r>
          <rPr>
            <b/>
            <sz val="8"/>
            <color indexed="81"/>
            <rFont val="Tahoma"/>
            <family val="2"/>
          </rPr>
          <t xml:space="preserve">
8/14/12: </t>
        </r>
        <r>
          <rPr>
            <sz val="8"/>
            <color indexed="81"/>
            <rFont val="Tahoma"/>
            <family val="2"/>
          </rPr>
          <t>5.5-5.9%, +310-350</t>
        </r>
        <r>
          <rPr>
            <sz val="8"/>
            <color indexed="81"/>
            <rFont val="Tahoma"/>
            <family val="2"/>
          </rPr>
          <t xml:space="preserve">
</t>
        </r>
        <r>
          <rPr>
            <b/>
            <sz val="8"/>
            <color indexed="81"/>
            <rFont val="Tahoma"/>
            <family val="2"/>
          </rPr>
          <t xml:space="preserve">5/15: </t>
        </r>
        <r>
          <rPr>
            <sz val="8"/>
            <color indexed="81"/>
            <rFont val="Tahoma"/>
            <family val="2"/>
          </rPr>
          <t>5.2-5.8%
Embedded in these numbers for the last nine months is a segment margin of 6.2-6.8% vs. LY's 4.4% on a 2-3% comp
Making progress to 7.2% peak</t>
        </r>
        <r>
          <rPr>
            <sz val="8"/>
            <color indexed="81"/>
            <rFont val="Tahoma"/>
            <family val="2"/>
          </rPr>
          <t xml:space="preserve">
</t>
        </r>
        <r>
          <rPr>
            <b/>
            <sz val="8"/>
            <color indexed="81"/>
            <rFont val="Tahoma"/>
            <family val="2"/>
          </rPr>
          <t xml:space="preserve">2/22: </t>
        </r>
        <r>
          <rPr>
            <sz val="8"/>
            <color indexed="81"/>
            <rFont val="Tahoma"/>
            <family val="2"/>
          </rPr>
          <t>4.9-5.4 with 53rd week, incl 20bps due to 53rd week
4.7-5.2 ex 53rd week
no structural reasons that we can't get back to 8% and above on the segment profit margin for Europe</t>
        </r>
      </text>
    </comment>
    <comment ref="AK169" authorId="12">
      <text>
        <r>
          <rPr>
            <b/>
            <sz val="8"/>
            <color indexed="81"/>
            <rFont val="Tahoma"/>
            <family val="2"/>
          </rPr>
          <t>lauraro:</t>
        </r>
        <r>
          <rPr>
            <sz val="8"/>
            <color indexed="81"/>
            <rFont val="Tahoma"/>
            <family val="2"/>
          </rPr>
          <t xml:space="preserve">
+1-2%</t>
        </r>
      </text>
    </comment>
    <comment ref="AM169" authorId="12">
      <text>
        <r>
          <rPr>
            <b/>
            <sz val="8"/>
            <color indexed="81"/>
            <rFont val="Tahoma"/>
            <family val="2"/>
          </rPr>
          <t xml:space="preserve">11/13/2012: </t>
        </r>
        <r>
          <rPr>
            <sz val="8"/>
            <color indexed="81"/>
            <rFont val="Tahoma"/>
            <family val="2"/>
          </rPr>
          <t>+11.9-12%, +130-140bps</t>
        </r>
        <r>
          <rPr>
            <b/>
            <sz val="8"/>
            <color indexed="81"/>
            <rFont val="Tahoma"/>
            <family val="2"/>
          </rPr>
          <t xml:space="preserve">
8/14/12: </t>
        </r>
        <r>
          <rPr>
            <sz val="8"/>
            <color indexed="81"/>
            <rFont val="Tahoma"/>
            <family val="2"/>
          </rPr>
          <t>+11.8-11.9%, +120-130 bps</t>
        </r>
        <r>
          <rPr>
            <b/>
            <sz val="8"/>
            <color indexed="81"/>
            <rFont val="Tahoma"/>
            <family val="2"/>
          </rPr>
          <t xml:space="preserve">
lauraro:</t>
        </r>
        <r>
          <rPr>
            <sz val="8"/>
            <color indexed="81"/>
            <rFont val="Tahoma"/>
            <family val="2"/>
          </rPr>
          <t xml:space="preserve">
10.7-10.9% with 20bps benefit from 53rd week</t>
        </r>
      </text>
    </comment>
    <comment ref="BJ169" authorId="12">
      <text>
        <r>
          <rPr>
            <b/>
            <sz val="8"/>
            <color indexed="81"/>
            <rFont val="Tahoma"/>
            <family val="2"/>
          </rPr>
          <t>lauraro:</t>
        </r>
        <r>
          <rPr>
            <sz val="8"/>
            <color indexed="81"/>
            <rFont val="Tahoma"/>
            <family val="2"/>
          </rPr>
          <t xml:space="preserve">
$270-$277M on a 53 week basis
$268-$276M 52 week basis
increase is almost all  the investment in our data center, e-commerce business, and other investment that Carol mentioned partially offset by the fourth quarter items that go away</t>
        </r>
      </text>
    </comment>
    <comment ref="Y173" authorId="14">
      <text>
        <r>
          <rPr>
            <b/>
            <sz val="8"/>
            <color indexed="81"/>
            <rFont val="Tahoma"/>
            <family val="2"/>
          </rPr>
          <t>solejay:</t>
        </r>
        <r>
          <rPr>
            <sz val="8"/>
            <color indexed="81"/>
            <rFont val="Tahoma"/>
            <family val="2"/>
          </rPr>
          <t xml:space="preserve">
8/20/13:  at TJX Canada, our results were a bit less than we would have liked, we're pleased with with the improving comp trend from the first quarter.
US currency exchange rates put some pressure on merchandise margins in the second quarter and we had some deleverage from our investments in talent to support our growth of Marshalls in Canada.
That said, for the first half of the year segment profit margin adjusted for currency was down just 30 basis points on a flat comp
</t>
        </r>
      </text>
    </comment>
    <comment ref="BJ174" authorId="15">
      <text>
        <r>
          <rPr>
            <b/>
            <sz val="8"/>
            <color indexed="81"/>
            <rFont val="Tahoma"/>
            <family val="2"/>
          </rPr>
          <t xml:space="preserve">5/21/2013 guidance: </t>
        </r>
        <r>
          <rPr>
            <sz val="8"/>
            <color indexed="81"/>
            <rFont val="Tahoma"/>
            <family val="2"/>
          </rPr>
          <t>$285M, y/y decrease occurs in 2H</t>
        </r>
      </text>
    </comment>
    <comment ref="BJ175" authorId="15">
      <text>
        <r>
          <rPr>
            <b/>
            <sz val="8"/>
            <color indexed="81"/>
            <rFont val="Tahoma"/>
            <family val="2"/>
          </rPr>
          <t xml:space="preserve">5/21/2013 guidance: </t>
        </r>
        <r>
          <rPr>
            <sz val="8"/>
            <color indexed="81"/>
            <rFont val="Tahoma"/>
            <family val="2"/>
          </rPr>
          <t>$285M, y/y decrease occurs in 2H</t>
        </r>
      </text>
    </comment>
    <comment ref="D176" authorId="15">
      <text>
        <r>
          <rPr>
            <b/>
            <sz val="8"/>
            <color indexed="81"/>
            <rFont val="Tahoma"/>
            <family val="2"/>
          </rPr>
          <t xml:space="preserve">11/19/2013 guidance: </t>
        </r>
        <r>
          <rPr>
            <sz val="8"/>
            <color indexed="81"/>
            <rFont val="Tahoma"/>
            <family val="2"/>
          </rPr>
          <t>$17.8-17.9Bn</t>
        </r>
        <r>
          <rPr>
            <b/>
            <sz val="8"/>
            <color indexed="81"/>
            <rFont val="Tahoma"/>
            <family val="2"/>
          </rPr>
          <t xml:space="preserve">
8/20/2013 guidance: </t>
        </r>
        <r>
          <rPr>
            <sz val="8"/>
            <color indexed="81"/>
            <rFont val="Tahoma"/>
            <family val="2"/>
          </rPr>
          <t>$17.7-17.8Bn</t>
        </r>
        <r>
          <rPr>
            <b/>
            <sz val="8"/>
            <color indexed="81"/>
            <rFont val="Tahoma"/>
            <family val="2"/>
          </rPr>
          <t xml:space="preserve">
5/21/2013 guidance: </t>
        </r>
        <r>
          <rPr>
            <sz val="8"/>
            <color indexed="81"/>
            <rFont val="Tahoma"/>
            <family val="2"/>
          </rPr>
          <t>$17.6-17.8Bn</t>
        </r>
        <r>
          <rPr>
            <b/>
            <sz val="8"/>
            <color indexed="81"/>
            <rFont val="Tahoma"/>
            <family val="2"/>
          </rPr>
          <t xml:space="preserve">
2/28/2013 guidance: </t>
        </r>
        <r>
          <rPr>
            <sz val="8"/>
            <color indexed="81"/>
            <rFont val="Tahoma"/>
            <family val="2"/>
          </rPr>
          <t>$17.6-17.8Bn</t>
        </r>
      </text>
    </comment>
    <comment ref="F176" authorId="15">
      <text>
        <r>
          <rPr>
            <b/>
            <sz val="8"/>
            <color indexed="81"/>
            <rFont val="Tahoma"/>
            <family val="2"/>
          </rPr>
          <t xml:space="preserve">11/19/2013 guidance: </t>
        </r>
        <r>
          <rPr>
            <sz val="8"/>
            <color indexed="81"/>
            <rFont val="Tahoma"/>
            <family val="2"/>
          </rPr>
          <t>2%</t>
        </r>
        <r>
          <rPr>
            <b/>
            <sz val="8"/>
            <color indexed="81"/>
            <rFont val="Tahoma"/>
            <family val="2"/>
          </rPr>
          <t xml:space="preserve">
8/20/2013 guidance: </t>
        </r>
        <r>
          <rPr>
            <sz val="8"/>
            <color indexed="81"/>
            <rFont val="Tahoma"/>
            <family val="2"/>
          </rPr>
          <t>2%</t>
        </r>
        <r>
          <rPr>
            <b/>
            <sz val="8"/>
            <color indexed="81"/>
            <rFont val="Tahoma"/>
            <family val="2"/>
          </rPr>
          <t xml:space="preserve">
5/21/2013 guidance: </t>
        </r>
        <r>
          <rPr>
            <sz val="8"/>
            <color indexed="81"/>
            <rFont val="Tahoma"/>
            <family val="2"/>
          </rPr>
          <t>1-2%</t>
        </r>
        <r>
          <rPr>
            <b/>
            <sz val="8"/>
            <color indexed="81"/>
            <rFont val="Tahoma"/>
            <family val="2"/>
          </rPr>
          <t xml:space="preserve">
2/28/2013 guidance: </t>
        </r>
        <r>
          <rPr>
            <sz val="8"/>
            <color indexed="81"/>
            <rFont val="Tahoma"/>
            <family val="2"/>
          </rPr>
          <t>+1-2%</t>
        </r>
      </text>
    </comment>
    <comment ref="I176" authorId="15">
      <text>
        <r>
          <rPr>
            <b/>
            <sz val="8"/>
            <color indexed="81"/>
            <rFont val="Tahoma"/>
            <family val="2"/>
          </rPr>
          <t xml:space="preserve">11/19/2013 guidance: </t>
        </r>
        <r>
          <rPr>
            <sz val="8"/>
            <color indexed="81"/>
            <rFont val="Tahoma"/>
            <family val="2"/>
          </rPr>
          <t>14.7%. eComm impact is 20 bps</t>
        </r>
        <r>
          <rPr>
            <b/>
            <sz val="8"/>
            <color indexed="81"/>
            <rFont val="Tahoma"/>
            <family val="2"/>
          </rPr>
          <t xml:space="preserve">
8/20/2013 guidance: </t>
        </r>
        <r>
          <rPr>
            <sz val="8"/>
            <color indexed="81"/>
            <rFont val="Tahoma"/>
            <family val="2"/>
          </rPr>
          <t>14.5-14.6%</t>
        </r>
        <r>
          <rPr>
            <b/>
            <sz val="8"/>
            <color indexed="81"/>
            <rFont val="Tahoma"/>
            <family val="2"/>
          </rPr>
          <t xml:space="preserve">
5/21/2013 guidance: </t>
        </r>
        <r>
          <rPr>
            <sz val="8"/>
            <color indexed="81"/>
            <rFont val="Tahoma"/>
            <family val="2"/>
          </rPr>
          <t>14.3-14.4%</t>
        </r>
        <r>
          <rPr>
            <b/>
            <sz val="8"/>
            <color indexed="81"/>
            <rFont val="Tahoma"/>
            <family val="2"/>
          </rPr>
          <t xml:space="preserve">
2/28/2013 guidance: </t>
        </r>
        <r>
          <rPr>
            <sz val="8"/>
            <color indexed="81"/>
            <rFont val="Tahoma"/>
            <family val="2"/>
          </rPr>
          <t>14.1-14.4%</t>
        </r>
      </text>
    </comment>
    <comment ref="W176" authorId="15">
      <text>
        <r>
          <rPr>
            <b/>
            <sz val="8"/>
            <color indexed="81"/>
            <rFont val="Tahoma"/>
            <family val="2"/>
          </rPr>
          <t xml:space="preserve">11/19/2013 guidance: </t>
        </r>
        <r>
          <rPr>
            <sz val="8"/>
            <color indexed="81"/>
            <rFont val="Tahoma"/>
            <family val="2"/>
          </rPr>
          <t>$2.9Bn</t>
        </r>
        <r>
          <rPr>
            <b/>
            <sz val="8"/>
            <color indexed="81"/>
            <rFont val="Tahoma"/>
            <family val="2"/>
          </rPr>
          <t xml:space="preserve">
8/20/2013 guidance: </t>
        </r>
        <r>
          <rPr>
            <sz val="8"/>
            <color indexed="81"/>
            <rFont val="Tahoma"/>
            <family val="2"/>
          </rPr>
          <t>$2.9Bn</t>
        </r>
        <r>
          <rPr>
            <b/>
            <sz val="8"/>
            <color indexed="81"/>
            <rFont val="Tahoma"/>
            <family val="2"/>
          </rPr>
          <t xml:space="preserve">
5/21/2013 guidance: </t>
        </r>
        <r>
          <rPr>
            <sz val="8"/>
            <color indexed="81"/>
            <rFont val="Tahoma"/>
            <family val="2"/>
          </rPr>
          <t>$2.9-3Bn</t>
        </r>
        <r>
          <rPr>
            <b/>
            <sz val="8"/>
            <color indexed="81"/>
            <rFont val="Tahoma"/>
            <family val="2"/>
          </rPr>
          <t xml:space="preserve">
2/28/2013 guidance: </t>
        </r>
        <r>
          <rPr>
            <sz val="8"/>
            <color indexed="81"/>
            <rFont val="Tahoma"/>
            <family val="2"/>
          </rPr>
          <t>$3Bn</t>
        </r>
      </text>
    </comment>
    <comment ref="Y176" authorId="15">
      <text>
        <r>
          <rPr>
            <b/>
            <sz val="8"/>
            <color indexed="81"/>
            <rFont val="Tahoma"/>
            <family val="2"/>
          </rPr>
          <t xml:space="preserve">11/19/2013 guidance: </t>
        </r>
        <r>
          <rPr>
            <sz val="8"/>
            <color indexed="81"/>
            <rFont val="Tahoma"/>
            <family val="2"/>
          </rPr>
          <t>+0-1%</t>
        </r>
        <r>
          <rPr>
            <b/>
            <sz val="8"/>
            <color indexed="81"/>
            <rFont val="Tahoma"/>
            <family val="2"/>
          </rPr>
          <t xml:space="preserve">
8/20/2013 guidance: </t>
        </r>
        <r>
          <rPr>
            <sz val="8"/>
            <color indexed="81"/>
            <rFont val="Tahoma"/>
            <family val="2"/>
          </rPr>
          <t>+0-1%</t>
        </r>
        <r>
          <rPr>
            <b/>
            <sz val="8"/>
            <color indexed="81"/>
            <rFont val="Tahoma"/>
            <family val="2"/>
          </rPr>
          <t xml:space="preserve">
5/21/2013 guidance: </t>
        </r>
        <r>
          <rPr>
            <sz val="8"/>
            <color indexed="81"/>
            <rFont val="Tahoma"/>
            <family val="2"/>
          </rPr>
          <t>+0-1%</t>
        </r>
        <r>
          <rPr>
            <b/>
            <sz val="8"/>
            <color indexed="81"/>
            <rFont val="Tahoma"/>
            <family val="2"/>
          </rPr>
          <t xml:space="preserve">
2/28/2013 Guidance: </t>
        </r>
        <r>
          <rPr>
            <sz val="8"/>
            <color indexed="81"/>
            <rFont val="Tahoma"/>
            <family val="2"/>
          </rPr>
          <t>-1/+1%</t>
        </r>
      </text>
    </comment>
    <comment ref="AA176" authorId="15">
      <text>
        <r>
          <rPr>
            <b/>
            <sz val="8"/>
            <color indexed="81"/>
            <rFont val="Tahoma"/>
            <family val="2"/>
          </rPr>
          <t xml:space="preserve">11/19/2013 guidance: </t>
        </r>
        <r>
          <rPr>
            <sz val="8"/>
            <color indexed="81"/>
            <rFont val="Tahoma"/>
            <family val="2"/>
          </rPr>
          <t>13.6-13.7%</t>
        </r>
        <r>
          <rPr>
            <b/>
            <sz val="8"/>
            <color indexed="81"/>
            <rFont val="Tahoma"/>
            <family val="2"/>
          </rPr>
          <t xml:space="preserve">
8/20/2013 guidance: </t>
        </r>
        <r>
          <rPr>
            <sz val="8"/>
            <color indexed="81"/>
            <rFont val="Tahoma"/>
            <family val="2"/>
          </rPr>
          <t>13.2-13.4%</t>
        </r>
        <r>
          <rPr>
            <b/>
            <sz val="8"/>
            <color indexed="81"/>
            <rFont val="Tahoma"/>
            <family val="2"/>
          </rPr>
          <t xml:space="preserve">
5/21/2013 guidance: </t>
        </r>
        <r>
          <rPr>
            <sz val="8"/>
            <color indexed="81"/>
            <rFont val="Tahoma"/>
            <family val="2"/>
          </rPr>
          <t>13.7-13.9%</t>
        </r>
        <r>
          <rPr>
            <b/>
            <sz val="8"/>
            <color indexed="81"/>
            <rFont val="Tahoma"/>
            <family val="2"/>
          </rPr>
          <t xml:space="preserve">
2/28/2013 guidance: </t>
        </r>
        <r>
          <rPr>
            <sz val="8"/>
            <color indexed="81"/>
            <rFont val="Tahoma"/>
            <family val="2"/>
          </rPr>
          <t>13.6-14%</t>
        </r>
      </text>
    </comment>
    <comment ref="AC176" authorId="15">
      <text>
        <r>
          <rPr>
            <b/>
            <sz val="8"/>
            <color indexed="81"/>
            <rFont val="Tahoma"/>
            <family val="2"/>
          </rPr>
          <t xml:space="preserve">11/19/2013 guidance: </t>
        </r>
        <r>
          <rPr>
            <sz val="8"/>
            <color indexed="81"/>
            <rFont val="Tahoma"/>
            <family val="2"/>
          </rPr>
          <t>$3.5-3.6Bn</t>
        </r>
        <r>
          <rPr>
            <b/>
            <sz val="8"/>
            <color indexed="81"/>
            <rFont val="Tahoma"/>
            <family val="2"/>
          </rPr>
          <t xml:space="preserve">
8/20/2013 guidance: </t>
        </r>
        <r>
          <rPr>
            <sz val="8"/>
            <color indexed="81"/>
            <rFont val="Tahoma"/>
            <family val="2"/>
          </rPr>
          <t>$3.4Bn</t>
        </r>
        <r>
          <rPr>
            <b/>
            <sz val="8"/>
            <color indexed="81"/>
            <rFont val="Tahoma"/>
            <family val="2"/>
          </rPr>
          <t xml:space="preserve">
5/21/2013 guidance: </t>
        </r>
        <r>
          <rPr>
            <sz val="8"/>
            <color indexed="81"/>
            <rFont val="Tahoma"/>
            <family val="2"/>
          </rPr>
          <t>$3.4Bn</t>
        </r>
        <r>
          <rPr>
            <b/>
            <sz val="8"/>
            <color indexed="81"/>
            <rFont val="Tahoma"/>
            <family val="2"/>
          </rPr>
          <t xml:space="preserve">
2/28/2013 guidance: </t>
        </r>
        <r>
          <rPr>
            <sz val="8"/>
            <color indexed="81"/>
            <rFont val="Tahoma"/>
            <family val="2"/>
          </rPr>
          <t>$3.4-3.5Bn</t>
        </r>
      </text>
    </comment>
    <comment ref="AE176" authorId="15">
      <text>
        <r>
          <rPr>
            <b/>
            <sz val="8"/>
            <color indexed="81"/>
            <rFont val="Tahoma"/>
            <family val="2"/>
          </rPr>
          <t xml:space="preserve">11/19/2013 guidance: </t>
        </r>
        <r>
          <rPr>
            <sz val="8"/>
            <color indexed="81"/>
            <rFont val="Tahoma"/>
            <family val="2"/>
          </rPr>
          <t>+4-5%</t>
        </r>
        <r>
          <rPr>
            <b/>
            <sz val="8"/>
            <color indexed="81"/>
            <rFont val="Tahoma"/>
            <family val="2"/>
          </rPr>
          <t xml:space="preserve">
8/20/2013 guidance: </t>
        </r>
        <r>
          <rPr>
            <sz val="8"/>
            <color indexed="81"/>
            <rFont val="Tahoma"/>
            <family val="2"/>
          </rPr>
          <t>+4-5%</t>
        </r>
        <r>
          <rPr>
            <b/>
            <sz val="8"/>
            <color indexed="81"/>
            <rFont val="Tahoma"/>
            <family val="2"/>
          </rPr>
          <t xml:space="preserve">
5/21/2013 guidance: </t>
        </r>
        <r>
          <rPr>
            <sz val="8"/>
            <color indexed="81"/>
            <rFont val="Tahoma"/>
            <family val="2"/>
          </rPr>
          <t>+3-5%</t>
        </r>
        <r>
          <rPr>
            <b/>
            <sz val="8"/>
            <color indexed="81"/>
            <rFont val="Tahoma"/>
            <family val="2"/>
          </rPr>
          <t xml:space="preserve">
2/28/2013 guidance: </t>
        </r>
        <r>
          <rPr>
            <sz val="8"/>
            <color indexed="81"/>
            <rFont val="Tahoma"/>
            <family val="2"/>
          </rPr>
          <t>+2-4%</t>
        </r>
      </text>
    </comment>
    <comment ref="AG176" authorId="15">
      <text>
        <r>
          <rPr>
            <b/>
            <sz val="8"/>
            <color indexed="81"/>
            <rFont val="Tahoma"/>
            <family val="2"/>
          </rPr>
          <t xml:space="preserve">11/19/2013 guidance: </t>
        </r>
        <r>
          <rPr>
            <sz val="8"/>
            <color indexed="81"/>
            <rFont val="Tahoma"/>
            <family val="2"/>
          </rPr>
          <t>7.3-7.5%, +90-110 bps</t>
        </r>
        <r>
          <rPr>
            <b/>
            <sz val="8"/>
            <color indexed="81"/>
            <rFont val="Tahoma"/>
            <family val="2"/>
          </rPr>
          <t xml:space="preserve">
8/20/2013 guidance: </t>
        </r>
        <r>
          <rPr>
            <sz val="8"/>
            <color indexed="81"/>
            <rFont val="Tahoma"/>
            <family val="2"/>
          </rPr>
          <t>7.1-7.4%, +70-100 bps</t>
        </r>
        <r>
          <rPr>
            <b/>
            <sz val="8"/>
            <color indexed="81"/>
            <rFont val="Tahoma"/>
            <family val="2"/>
          </rPr>
          <t xml:space="preserve">
5/21/2013 guidance: </t>
        </r>
        <r>
          <rPr>
            <sz val="8"/>
            <color indexed="81"/>
            <rFont val="Tahoma"/>
            <family val="2"/>
          </rPr>
          <t>6.8-7.2%, +40-80 bps</t>
        </r>
        <r>
          <rPr>
            <b/>
            <sz val="8"/>
            <color indexed="81"/>
            <rFont val="Tahoma"/>
            <family val="2"/>
          </rPr>
          <t xml:space="preserve">
2/28/2013 guidance: </t>
        </r>
        <r>
          <rPr>
            <sz val="8"/>
            <color indexed="81"/>
            <rFont val="Tahoma"/>
            <family val="2"/>
          </rPr>
          <t>6.7-7.2%</t>
        </r>
      </text>
    </comment>
    <comment ref="AI176" authorId="15">
      <text>
        <r>
          <rPr>
            <b/>
            <sz val="8"/>
            <color indexed="81"/>
            <rFont val="Tahoma"/>
            <family val="2"/>
          </rPr>
          <t xml:space="preserve">11/19/2013 guidance: 
8/20/2013 guidance: </t>
        </r>
        <r>
          <rPr>
            <sz val="8"/>
            <color indexed="81"/>
            <rFont val="Tahoma"/>
            <family val="2"/>
          </rPr>
          <t>$2.9Bn</t>
        </r>
        <r>
          <rPr>
            <b/>
            <sz val="8"/>
            <color indexed="81"/>
            <rFont val="Tahoma"/>
            <family val="2"/>
          </rPr>
          <t xml:space="preserve">
5/21/2013 guidance: </t>
        </r>
        <r>
          <rPr>
            <sz val="8"/>
            <color indexed="81"/>
            <rFont val="Tahoma"/>
            <family val="2"/>
          </rPr>
          <t>$2.8-2.9Bn</t>
        </r>
        <r>
          <rPr>
            <b/>
            <sz val="8"/>
            <color indexed="81"/>
            <rFont val="Tahoma"/>
            <family val="2"/>
          </rPr>
          <t xml:space="preserve">
2/28/2013 guidance: </t>
        </r>
        <r>
          <rPr>
            <sz val="8"/>
            <color indexed="81"/>
            <rFont val="Tahoma"/>
            <family val="2"/>
          </rPr>
          <t>$2.8Bn</t>
        </r>
      </text>
    </comment>
    <comment ref="AK176" authorId="15">
      <text>
        <r>
          <rPr>
            <b/>
            <sz val="8"/>
            <color indexed="81"/>
            <rFont val="Tahoma"/>
            <family val="2"/>
          </rPr>
          <t>11/19/2013 guidance</t>
        </r>
        <r>
          <rPr>
            <sz val="8"/>
            <color indexed="81"/>
            <rFont val="Tahoma"/>
            <family val="2"/>
          </rPr>
          <t xml:space="preserve">: +6-7%
</t>
        </r>
        <r>
          <rPr>
            <b/>
            <sz val="8"/>
            <color indexed="81"/>
            <rFont val="Tahoma"/>
            <family val="2"/>
          </rPr>
          <t>8/20/2013 guidance</t>
        </r>
        <r>
          <rPr>
            <sz val="8"/>
            <color indexed="81"/>
            <rFont val="Tahoma"/>
            <family val="2"/>
          </rPr>
          <t>: +4-5%</t>
        </r>
        <r>
          <rPr>
            <b/>
            <sz val="8"/>
            <color indexed="81"/>
            <rFont val="Tahoma"/>
            <family val="2"/>
          </rPr>
          <t xml:space="preserve">
5/21/2013 guidance: </t>
        </r>
        <r>
          <rPr>
            <sz val="8"/>
            <color indexed="81"/>
            <rFont val="Tahoma"/>
            <family val="2"/>
          </rPr>
          <t>+2-4%</t>
        </r>
        <r>
          <rPr>
            <b/>
            <sz val="8"/>
            <color indexed="81"/>
            <rFont val="Tahoma"/>
            <family val="2"/>
          </rPr>
          <t xml:space="preserve">
2/28/2013 guidance: </t>
        </r>
        <r>
          <rPr>
            <sz val="8"/>
            <color indexed="81"/>
            <rFont val="Tahoma"/>
            <family val="2"/>
          </rPr>
          <t>0-2%</t>
        </r>
      </text>
    </comment>
    <comment ref="AM176" authorId="15">
      <text>
        <r>
          <rPr>
            <b/>
            <sz val="8"/>
            <color indexed="81"/>
            <rFont val="Tahoma"/>
            <family val="2"/>
          </rPr>
          <t xml:space="preserve">11/19/2013 guidance: </t>
        </r>
        <r>
          <rPr>
            <sz val="8"/>
            <color indexed="81"/>
            <rFont val="Tahoma"/>
            <family val="2"/>
          </rPr>
          <t>12.8-13%, +80-100bps</t>
        </r>
        <r>
          <rPr>
            <b/>
            <sz val="8"/>
            <color indexed="81"/>
            <rFont val="Tahoma"/>
            <family val="2"/>
          </rPr>
          <t xml:space="preserve">
8/20/2013 guidance: </t>
        </r>
        <r>
          <rPr>
            <sz val="8"/>
            <color indexed="81"/>
            <rFont val="Tahoma"/>
            <family val="2"/>
          </rPr>
          <t>12.6-12.8%, +60-80bps</t>
        </r>
        <r>
          <rPr>
            <b/>
            <sz val="8"/>
            <color indexed="81"/>
            <rFont val="Tahoma"/>
            <family val="2"/>
          </rPr>
          <t xml:space="preserve">
5/21/2013 guidance: </t>
        </r>
        <r>
          <rPr>
            <sz val="8"/>
            <color indexed="81"/>
            <rFont val="Tahoma"/>
            <family val="2"/>
          </rPr>
          <t>12.3-12.5%, +30-50bps</t>
        </r>
        <r>
          <rPr>
            <b/>
            <sz val="8"/>
            <color indexed="81"/>
            <rFont val="Tahoma"/>
            <family val="2"/>
          </rPr>
          <t xml:space="preserve">
2/28/2013 guidance: </t>
        </r>
        <r>
          <rPr>
            <sz val="8"/>
            <color indexed="81"/>
            <rFont val="Tahoma"/>
            <family val="2"/>
          </rPr>
          <t xml:space="preserve">11.8-12.1%
</t>
        </r>
      </text>
    </comment>
    <comment ref="BD176" authorId="14">
      <text>
        <r>
          <rPr>
            <b/>
            <sz val="8"/>
            <color indexed="81"/>
            <rFont val="Tahoma"/>
            <family val="2"/>
          </rPr>
          <t xml:space="preserve">11/19/2013 guide:  </t>
        </r>
        <r>
          <rPr>
            <sz val="8"/>
            <color indexed="81"/>
            <rFont val="Tahoma"/>
            <family val="2"/>
          </rPr>
          <t>up to $27.3B</t>
        </r>
        <r>
          <rPr>
            <b/>
            <sz val="8"/>
            <color indexed="81"/>
            <rFont val="Tahoma"/>
            <family val="2"/>
          </rPr>
          <t xml:space="preserve">
8/20/2013 guide: </t>
        </r>
        <r>
          <rPr>
            <sz val="8"/>
            <color indexed="81"/>
            <rFont val="Tahoma"/>
            <family val="2"/>
          </rPr>
          <t xml:space="preserve"> up to $27.1B</t>
        </r>
      </text>
    </comment>
    <comment ref="BI176" authorId="14">
      <text>
        <r>
          <rPr>
            <b/>
            <sz val="8"/>
            <color indexed="81"/>
            <rFont val="Tahoma"/>
            <family val="2"/>
          </rPr>
          <t xml:space="preserve">11/19/2013 guide:  </t>
        </r>
        <r>
          <rPr>
            <sz val="8"/>
            <color indexed="81"/>
            <rFont val="Tahoma"/>
            <family val="2"/>
          </rPr>
          <t>12.1-12.2%</t>
        </r>
        <r>
          <rPr>
            <b/>
            <sz val="8"/>
            <color indexed="81"/>
            <rFont val="Tahoma"/>
            <family val="2"/>
          </rPr>
          <t xml:space="preserve">
8/20/2013 guide: </t>
        </r>
        <r>
          <rPr>
            <sz val="8"/>
            <color indexed="81"/>
            <rFont val="Tahoma"/>
            <family val="2"/>
          </rPr>
          <t xml:space="preserve"> 11.9-12.1%</t>
        </r>
      </text>
    </comment>
    <comment ref="BJ176" authorId="15">
      <text>
        <r>
          <rPr>
            <b/>
            <sz val="8"/>
            <color indexed="81"/>
            <rFont val="Tahoma"/>
            <family val="2"/>
          </rPr>
          <t xml:space="preserve">5/21/2013 guidance: </t>
        </r>
        <r>
          <rPr>
            <sz val="8"/>
            <color indexed="81"/>
            <rFont val="Tahoma"/>
            <family val="2"/>
          </rPr>
          <t>$285M, y/y decrease occurs in 2H</t>
        </r>
      </text>
    </comment>
    <comment ref="D183" authorId="16">
      <text>
        <r>
          <rPr>
            <b/>
            <sz val="8"/>
            <color indexed="81"/>
            <rFont val="Tahoma"/>
            <family val="2"/>
          </rPr>
          <t>2/26/14 guidance: $18.6-18.8B</t>
        </r>
        <r>
          <rPr>
            <sz val="8"/>
            <color indexed="81"/>
            <rFont val="Tahoma"/>
            <family val="2"/>
          </rPr>
          <t xml:space="preserve">
</t>
        </r>
        <r>
          <rPr>
            <b/>
            <sz val="8"/>
            <color indexed="81"/>
            <rFont val="Tahoma"/>
            <family val="2"/>
          </rPr>
          <t>11/18/14 guidance: $18.6-18.7B</t>
        </r>
      </text>
    </comment>
    <comment ref="F183" authorId="16">
      <text>
        <r>
          <rPr>
            <b/>
            <sz val="8"/>
            <color indexed="81"/>
            <rFont val="Tahoma"/>
            <family val="2"/>
          </rPr>
          <t xml:space="preserve">2/26/14 guidance: </t>
        </r>
        <r>
          <rPr>
            <sz val="8"/>
            <color indexed="81"/>
            <rFont val="Tahoma"/>
            <family val="2"/>
          </rPr>
          <t xml:space="preserve">1-2%
</t>
        </r>
        <r>
          <rPr>
            <b/>
            <sz val="8"/>
            <color indexed="81"/>
            <rFont val="Tahoma"/>
            <family val="2"/>
          </rPr>
          <t xml:space="preserve">11/18/14 guidance: </t>
        </r>
        <r>
          <rPr>
            <sz val="8"/>
            <color indexed="81"/>
            <rFont val="Tahoma"/>
            <family val="2"/>
          </rPr>
          <t>1%</t>
        </r>
        <r>
          <rPr>
            <sz val="8"/>
            <color indexed="81"/>
            <rFont val="Tahoma"/>
            <family val="2"/>
          </rPr>
          <t xml:space="preserve">
</t>
        </r>
      </text>
    </comment>
    <comment ref="I183" authorId="16">
      <text>
        <r>
          <rPr>
            <b/>
            <sz val="8"/>
            <color indexed="81"/>
            <rFont val="Tahoma"/>
            <family val="2"/>
          </rPr>
          <t>2/26/14 guidance: 14.4-14.8%
11/18/14 guidance: 14.6-14.7%</t>
        </r>
        <r>
          <rPr>
            <sz val="8"/>
            <color indexed="81"/>
            <rFont val="Tahoma"/>
            <family val="2"/>
          </rPr>
          <t xml:space="preserve">
</t>
        </r>
      </text>
    </comment>
    <comment ref="W183" authorId="16">
      <text>
        <r>
          <rPr>
            <b/>
            <sz val="8"/>
            <color indexed="81"/>
            <rFont val="Tahoma"/>
            <family val="2"/>
          </rPr>
          <t>2/26/14 guidance: $2.9-3.0B
11/18/14 guidance: $2.8-2.9B</t>
        </r>
        <r>
          <rPr>
            <sz val="8"/>
            <color indexed="81"/>
            <rFont val="Tahoma"/>
            <family val="2"/>
          </rPr>
          <t xml:space="preserve">
</t>
        </r>
      </text>
    </comment>
    <comment ref="Y183" authorId="16">
      <text>
        <r>
          <rPr>
            <b/>
            <sz val="8"/>
            <color indexed="81"/>
            <rFont val="Tahoma"/>
            <family val="2"/>
          </rPr>
          <t>2/26/14 guidance: 0-2%
11/18/14 guidance: 1-2%</t>
        </r>
        <r>
          <rPr>
            <sz val="8"/>
            <color indexed="81"/>
            <rFont val="Tahoma"/>
            <family val="2"/>
          </rPr>
          <t xml:space="preserve">
</t>
        </r>
      </text>
    </comment>
    <comment ref="AA183" authorId="16">
      <text>
        <r>
          <rPr>
            <b/>
            <sz val="8"/>
            <color indexed="81"/>
            <rFont val="Tahoma"/>
            <family val="2"/>
          </rPr>
          <t>2/26/14 guidance: 12.7-13.1%</t>
        </r>
        <r>
          <rPr>
            <sz val="8"/>
            <color indexed="81"/>
            <rFont val="Tahoma"/>
            <family val="2"/>
          </rPr>
          <t xml:space="preserve">
</t>
        </r>
        <r>
          <rPr>
            <b/>
            <sz val="8"/>
            <color indexed="81"/>
            <rFont val="Tahoma"/>
            <family val="2"/>
          </rPr>
          <t>11/18/14 guidance: 13.1-13.2%</t>
        </r>
      </text>
    </comment>
    <comment ref="AC183" authorId="16">
      <text>
        <r>
          <rPr>
            <b/>
            <sz val="8"/>
            <color indexed="81"/>
            <rFont val="Tahoma"/>
            <family val="2"/>
          </rPr>
          <t>2/26/14 guidance: $4.1-4.2B
11/18/14 guidance: $4.1-4.2B</t>
        </r>
        <r>
          <rPr>
            <sz val="8"/>
            <color indexed="81"/>
            <rFont val="Tahoma"/>
            <family val="2"/>
          </rPr>
          <t xml:space="preserve">
</t>
        </r>
      </text>
    </comment>
    <comment ref="AE183" authorId="16">
      <text>
        <r>
          <rPr>
            <b/>
            <sz val="8"/>
            <color indexed="81"/>
            <rFont val="Tahoma"/>
            <family val="2"/>
          </rPr>
          <t>2/26/14 guidance: 3-4%
11/18/14 guidance: 3-4%</t>
        </r>
        <r>
          <rPr>
            <sz val="8"/>
            <color indexed="81"/>
            <rFont val="Tahoma"/>
            <family val="2"/>
          </rPr>
          <t xml:space="preserve">
</t>
        </r>
      </text>
    </comment>
    <comment ref="AG183" authorId="16">
      <text>
        <r>
          <rPr>
            <b/>
            <sz val="8"/>
            <color indexed="81"/>
            <rFont val="Tahoma"/>
            <family val="2"/>
          </rPr>
          <t>2/26/14 guidance: 8.3-8.7%
11/18/14 guidance: 8.2-8.3%</t>
        </r>
      </text>
    </comment>
    <comment ref="AI183" authorId="16">
      <text>
        <r>
          <rPr>
            <b/>
            <sz val="8"/>
            <color indexed="81"/>
            <rFont val="Tahoma"/>
            <family val="2"/>
          </rPr>
          <t>2/26/14 guidance: $3.2B
11/18/14 guidance: $3.3-3.4B</t>
        </r>
      </text>
    </comment>
    <comment ref="AK183" authorId="16">
      <text>
        <r>
          <rPr>
            <b/>
            <sz val="8"/>
            <color indexed="81"/>
            <rFont val="Tahoma"/>
            <family val="2"/>
          </rPr>
          <t>2/26/14 guidance: 1-2%</t>
        </r>
        <r>
          <rPr>
            <sz val="8"/>
            <color indexed="81"/>
            <rFont val="Tahoma"/>
            <family val="2"/>
          </rPr>
          <t xml:space="preserve">
</t>
        </r>
        <r>
          <rPr>
            <b/>
            <sz val="8"/>
            <color indexed="81"/>
            <rFont val="Tahoma"/>
            <family val="2"/>
          </rPr>
          <t>11/18/14 guidance: 4-5%</t>
        </r>
      </text>
    </comment>
    <comment ref="AM183" authorId="16">
      <text>
        <r>
          <rPr>
            <b/>
            <sz val="8"/>
            <color indexed="81"/>
            <rFont val="Tahoma"/>
            <family val="2"/>
          </rPr>
          <t>2/26/14 guidance:12.6-12.9%
11/18/14 guidance:13.1-13.2%</t>
        </r>
        <r>
          <rPr>
            <sz val="8"/>
            <color indexed="81"/>
            <rFont val="Tahoma"/>
            <family val="2"/>
          </rPr>
          <t xml:space="preserve">
</t>
        </r>
      </text>
    </comment>
    <comment ref="BJ187" authorId="17">
      <text>
        <r>
          <rPr>
            <b/>
            <sz val="9"/>
            <color indexed="81"/>
            <rFont val="Tahoma"/>
            <family val="2"/>
          </rPr>
          <t>Baglione, Gregory  (Research):</t>
        </r>
        <r>
          <rPr>
            <sz val="9"/>
            <color indexed="81"/>
            <rFont val="Tahoma"/>
            <family val="2"/>
          </rPr>
          <t xml:space="preserve">
Half of increase due to contribution, other increaes related to pension, systems, incentive accruals</t>
        </r>
      </text>
    </comment>
    <comment ref="BJ188" authorId="17">
      <text>
        <r>
          <rPr>
            <b/>
            <sz val="9"/>
            <color indexed="81"/>
            <rFont val="Tahoma"/>
            <family val="2"/>
          </rPr>
          <t>Baglione, Gregory  (Research):</t>
        </r>
        <r>
          <rPr>
            <sz val="9"/>
            <color indexed="81"/>
            <rFont val="Tahoma"/>
            <family val="2"/>
          </rPr>
          <t xml:space="preserve">
8/18/15
No large increases in 2H15, general inflation increase "in the ball park"</t>
        </r>
      </text>
    </comment>
    <comment ref="BJ189" authorId="17">
      <text>
        <r>
          <rPr>
            <b/>
            <sz val="9"/>
            <color indexed="81"/>
            <rFont val="Tahoma"/>
            <family val="2"/>
          </rPr>
          <t>Baglione, Gregory  (Research):</t>
        </r>
        <r>
          <rPr>
            <sz val="9"/>
            <color indexed="81"/>
            <rFont val="Tahoma"/>
            <family val="2"/>
          </rPr>
          <t xml:space="preserve">
8/18/15
No large increases in 2H15, general inflation increase "in the ball park"</t>
        </r>
      </text>
    </comment>
    <comment ref="D190" authorId="18">
      <text>
        <r>
          <rPr>
            <b/>
            <sz val="9"/>
            <color indexed="81"/>
            <rFont val="Tahoma"/>
            <family val="2"/>
          </rPr>
          <t>Turley, Amber (Research):</t>
        </r>
        <r>
          <rPr>
            <sz val="9"/>
            <color indexed="81"/>
            <rFont val="Tahoma"/>
            <family val="2"/>
          </rPr>
          <t xml:space="preserve">
2/25/15 guidance: $19.4B-$19.6B</t>
        </r>
      </text>
    </comment>
    <comment ref="I190" authorId="18">
      <text>
        <r>
          <rPr>
            <b/>
            <sz val="9"/>
            <color indexed="81"/>
            <rFont val="Tahoma"/>
            <family val="2"/>
          </rPr>
          <t>Turley, Amber (Research):</t>
        </r>
        <r>
          <rPr>
            <sz val="9"/>
            <color indexed="81"/>
            <rFont val="Tahoma"/>
            <family val="2"/>
          </rPr>
          <t xml:space="preserve">
2/25/15 guidance: 14.2-14.4%</t>
        </r>
      </text>
    </comment>
    <comment ref="W190" authorId="18">
      <text>
        <r>
          <rPr>
            <b/>
            <sz val="9"/>
            <color indexed="81"/>
            <rFont val="Tahoma"/>
            <family val="2"/>
          </rPr>
          <t>Turley, Amber (Research):</t>
        </r>
        <r>
          <rPr>
            <sz val="9"/>
            <color indexed="81"/>
            <rFont val="Tahoma"/>
            <family val="2"/>
          </rPr>
          <t xml:space="preserve">
2/25/15 guidance: $2.7B</t>
        </r>
      </text>
    </comment>
    <comment ref="AA190" authorId="18">
      <text>
        <r>
          <rPr>
            <b/>
            <sz val="9"/>
            <color indexed="81"/>
            <rFont val="Tahoma"/>
            <family val="2"/>
          </rPr>
          <t>Turley, Amber (Research):</t>
        </r>
        <r>
          <rPr>
            <sz val="9"/>
            <color indexed="81"/>
            <rFont val="Tahoma"/>
            <family val="2"/>
          </rPr>
          <t xml:space="preserve">
2/25/15 guidance: 11.3-11.5%</t>
        </r>
      </text>
    </comment>
    <comment ref="AC190" authorId="18">
      <text>
        <r>
          <rPr>
            <b/>
            <sz val="9"/>
            <color indexed="81"/>
            <rFont val="Tahoma"/>
            <family val="2"/>
          </rPr>
          <t>Turley, Amber (Research):</t>
        </r>
        <r>
          <rPr>
            <sz val="9"/>
            <color indexed="81"/>
            <rFont val="Tahoma"/>
            <family val="2"/>
          </rPr>
          <t xml:space="preserve">
2/25/15 Guidance: $4.1B</t>
        </r>
      </text>
    </comment>
    <comment ref="AG190" authorId="18">
      <text>
        <r>
          <rPr>
            <b/>
            <sz val="9"/>
            <color indexed="81"/>
            <rFont val="Tahoma"/>
            <family val="2"/>
          </rPr>
          <t>Turley, Amber (Research):</t>
        </r>
        <r>
          <rPr>
            <sz val="9"/>
            <color indexed="81"/>
            <rFont val="Tahoma"/>
            <family val="2"/>
          </rPr>
          <t xml:space="preserve">
2/25/15 guidance: 7.9-8.1%</t>
        </r>
      </text>
    </comment>
    <comment ref="AI190" authorId="18">
      <text>
        <r>
          <rPr>
            <b/>
            <sz val="9"/>
            <color indexed="81"/>
            <rFont val="Tahoma"/>
            <family val="2"/>
          </rPr>
          <t>Turley, Amber (Research):</t>
        </r>
        <r>
          <rPr>
            <sz val="9"/>
            <color indexed="81"/>
            <rFont val="Tahoma"/>
            <family val="2"/>
          </rPr>
          <t xml:space="preserve">
2/25/15 guidance: $3.7B</t>
        </r>
      </text>
    </comment>
    <comment ref="AM190" authorId="18">
      <text>
        <r>
          <rPr>
            <b/>
            <sz val="9"/>
            <color indexed="81"/>
            <rFont val="Tahoma"/>
            <family val="2"/>
          </rPr>
          <t>Turley, Amber (Research):</t>
        </r>
        <r>
          <rPr>
            <sz val="9"/>
            <color indexed="81"/>
            <rFont val="Tahoma"/>
            <family val="2"/>
          </rPr>
          <t xml:space="preserve">
2/25/15 guidance: 13.2-13.4%</t>
        </r>
      </text>
    </comment>
    <comment ref="AG193" authorId="17">
      <text>
        <r>
          <rPr>
            <b/>
            <sz val="9"/>
            <color indexed="81"/>
            <rFont val="Tahoma"/>
            <family val="2"/>
          </rPr>
          <t>Baglione, Gregory  (Research):</t>
        </r>
        <r>
          <rPr>
            <sz val="9"/>
            <color indexed="81"/>
            <rFont val="Tahoma"/>
            <family val="2"/>
          </rPr>
          <t xml:space="preserve">
5/17/16
Adjusted segment profit margin, excluding foreign currency, was down 60 basis points. The decline was due to integrating Trade Secret in Australia into our business.
</t>
        </r>
      </text>
    </comment>
    <comment ref="F195" authorId="17">
      <text>
        <r>
          <rPr>
            <b/>
            <sz val="9"/>
            <color indexed="81"/>
            <rFont val="Tahoma"/>
            <family val="2"/>
          </rPr>
          <t>Baglione, Gregory  (Research):</t>
        </r>
        <r>
          <rPr>
            <sz val="9"/>
            <color indexed="81"/>
            <rFont val="Tahoma"/>
            <family val="2"/>
          </rPr>
          <t xml:space="preserve">
11/16/2016
"Marmaxx's strong momentum continued with comps up 5% on top of last year's 3% increase. Again this quarter, customer traffic was the primary driver of the comp and unit sales were up, both of which are a nice indication of the
strength of our largest division. </t>
        </r>
      </text>
    </comment>
    <comment ref="I195" authorId="0">
      <text>
        <r>
          <rPr>
            <b/>
            <sz val="9"/>
            <color indexed="81"/>
            <rFont val="Tahoma"/>
            <family val="2"/>
          </rPr>
          <t>Baglione, Gregory (Research):</t>
        </r>
        <r>
          <rPr>
            <sz val="9"/>
            <color indexed="81"/>
            <rFont val="Tahoma"/>
            <family val="2"/>
          </rPr>
          <t xml:space="preserve">
MM increase by wage increase and costs associated with lower ticket strategy.</t>
        </r>
      </text>
    </comment>
    <comment ref="AG195" authorId="0">
      <text>
        <r>
          <rPr>
            <b/>
            <sz val="9"/>
            <color indexed="81"/>
            <rFont val="Tahoma"/>
            <family val="2"/>
          </rPr>
          <t>Baglione, Gregory (Research):</t>
        </r>
        <r>
          <rPr>
            <sz val="9"/>
            <color indexed="81"/>
            <rFont val="Tahoma"/>
            <family val="2"/>
          </rPr>
          <t xml:space="preserve">
11/15/16
Pressure from trade secret, and B&amp;O deleverage on flat comp.</t>
        </r>
      </text>
    </comment>
    <comment ref="AK195" authorId="0">
      <text>
        <r>
          <rPr>
            <b/>
            <sz val="9"/>
            <color indexed="81"/>
            <rFont val="Tahoma"/>
            <family val="2"/>
          </rPr>
          <t>Baglione, Gregory (Research):</t>
        </r>
        <r>
          <rPr>
            <sz val="9"/>
            <color indexed="81"/>
            <rFont val="Tahoma"/>
            <family val="2"/>
          </rPr>
          <t xml:space="preserve">
11/16/16
Traffic was the primary driver of the comp increase.</t>
        </r>
      </text>
    </comment>
    <comment ref="AM195" authorId="0">
      <text>
        <r>
          <rPr>
            <b/>
            <sz val="9"/>
            <color indexed="81"/>
            <rFont val="Tahoma"/>
            <family val="2"/>
          </rPr>
          <t>Baglione, Gregory (Research):</t>
        </r>
        <r>
          <rPr>
            <sz val="9"/>
            <color indexed="81"/>
            <rFont val="Tahoma"/>
            <family val="2"/>
          </rPr>
          <t xml:space="preserve">
11/16/16
wage increases had negative impact on margin, as well as costs associated with DC center openned last year.
</t>
        </r>
      </text>
    </comment>
    <comment ref="I196" authorId="19">
      <text>
        <r>
          <rPr>
            <b/>
            <sz val="9"/>
            <color indexed="81"/>
            <rFont val="Tahoma"/>
            <family val="2"/>
          </rPr>
          <t>Roberts, Cynthia (Research):</t>
        </r>
        <r>
          <rPr>
            <sz val="9"/>
            <color indexed="81"/>
            <rFont val="Tahoma"/>
            <family val="2"/>
          </rPr>
          <t xml:space="preserve">
2/22/17: Merchandise margin was up significantly but was more than offset due to the negative impact from wage increases as expected and additional
supply chain cost.</t>
        </r>
      </text>
    </comment>
    <comment ref="D197" authorId="18">
      <text>
        <r>
          <rPr>
            <b/>
            <sz val="9"/>
            <color indexed="81"/>
            <rFont val="Tahoma"/>
            <family val="2"/>
          </rPr>
          <t>Turley, Amber (Research):</t>
        </r>
        <r>
          <rPr>
            <sz val="9"/>
            <color indexed="81"/>
            <rFont val="Tahoma"/>
            <family val="2"/>
          </rPr>
          <t xml:space="preserve">
8/16/16
At Marmaxx, we are planning a comp growth of 3% on sales of $20.9 billion to $21 billion. Additionally,
we now expect segment profit margin to be in the range of 13.9% to 14%. For the second half of FY17, we are now planning Marmaxx's average ticket to decrease slightly versus last year.
5/17/16
At Marmaxx we are now planning comp growth of 2% to 3% on sales of $20.7 billion to $20.9 billion.
Additionally, we now expect segment profit margin to be in the range of 13.7% to 13.9%.
2/24/16 Guidance
At Marmaxx we're planning a comp growth of 1% to 2% on sales of $20.5 billion to $20.7 billion and segment profit margin in the range of 13.6% to 13.8%. As reminder, in fiscal 2017 we're planning Marmaxx's average ticket lower in the first half of the year and essentially flat for the second half. 
2/25/15 guidance: $19.4B-$19.6B
</t>
        </r>
      </text>
    </comment>
    <comment ref="G197" authorId="18">
      <text>
        <r>
          <rPr>
            <b/>
            <sz val="9"/>
            <color indexed="81"/>
            <rFont val="Tahoma"/>
            <family val="2"/>
          </rPr>
          <t>Turley, Amber (Research):</t>
        </r>
        <r>
          <rPr>
            <sz val="9"/>
            <color indexed="81"/>
            <rFont val="Tahoma"/>
            <family val="2"/>
          </rPr>
          <t xml:space="preserve">
8/16/16
At Marmaxx, we are planning a comp growth of 3% on sales of $20.9 billion to $21 billion. Additionally,
we now expect segment profit margin to be in the range of 13.9% to 14%. For the second half of FY17, we are now planning Marmaxx's average
ticket to decrease slightly versus last year.
2/24/16 Guidance
At Marmaxx we're planning a comp growth of 1% to 2% on sales of $20.5 billion to $20.7 billion and segment profit margin in the range of 13.6% to 13.8%. As reminder, in fiscal 2017 we're planning Marmaxx's average ticket lower in the first half of the year and essentially flat for the second half. 
2/25/15 guidance: $19.4B-$19.6B
</t>
        </r>
      </text>
    </comment>
    <comment ref="I197" authorId="18">
      <text>
        <r>
          <rPr>
            <b/>
            <sz val="9"/>
            <color indexed="81"/>
            <rFont val="Tahoma"/>
            <family val="2"/>
          </rPr>
          <t>Turley, Amber (Research):</t>
        </r>
        <r>
          <rPr>
            <sz val="9"/>
            <color indexed="81"/>
            <rFont val="Tahoma"/>
            <family val="2"/>
          </rPr>
          <t xml:space="preserve">
11/15/16
At Marmaxx we are now planning comp growth of 4% on sales of $21.1 billion. Additionally, we expect segment profit margin to be about 14%.
8/16/16
Additionally,
we now expect segment profit margin to be in the range of 13.9% to 14%.
5/17/16
Additionally, we now expect segment profit margin to be in the range of 13.7% to 13.9%.
</t>
        </r>
      </text>
    </comment>
    <comment ref="W197" authorId="18">
      <text>
        <r>
          <rPr>
            <b/>
            <sz val="9"/>
            <color indexed="81"/>
            <rFont val="Tahoma"/>
            <family val="2"/>
          </rPr>
          <t xml:space="preserve">Turley, Amber (Research):
11/16/16
At TJX Canada, we are now planning a comp increase of 8% to 9% on sales of $3.2 billion. We now expect adjusted segment profit margin excluding foreign currency to be in the range of 13.6% to 13.7%.
</t>
        </r>
        <r>
          <rPr>
            <sz val="9"/>
            <color indexed="81"/>
            <rFont val="Tahoma"/>
            <family val="2"/>
          </rPr>
          <t xml:space="preserve">
8/16/16
At TJX Canada, we are now planning a comp increase of 7% to 8% on sales of $3.1 billion to $3.2 billion. We now expect adjusted segment profit margin, excluding foreign currency, to be in the range of 13.5% to 13.6%.
5/17/16
At TJX Canada, we're now planning a comp increase of 6% on sales of $3.1 billion to $3.2 billion. We now expect adjusted segment profit margin, excluding foreign currency, to be in the range of 12.9% to 13.1%.
2/26/16
For TJX Canada, we are planning a comp increase of 3% to 4% on sales of $2.9 billion, and adjusted segment profit margin excluding foreign currency to be in the range of 12.1% to 12.3%.
2/25/15 guidance: $2.7B
</t>
        </r>
      </text>
    </comment>
    <comment ref="Z197" authorId="18">
      <text>
        <r>
          <rPr>
            <b/>
            <sz val="9"/>
            <color indexed="81"/>
            <rFont val="Tahoma"/>
            <family val="2"/>
          </rPr>
          <t xml:space="preserve">Turley, Amber (Research):
11/16/16
At TJX Canada, we are now planning a comp increase of 8% to 9% on sales of $3.2 billion. We now expect adjusted segment profit margin excluding foreign currency to be in the range of 13.6% to 13.7%.
</t>
        </r>
        <r>
          <rPr>
            <sz val="9"/>
            <color indexed="81"/>
            <rFont val="Tahoma"/>
            <family val="2"/>
          </rPr>
          <t xml:space="preserve">
8/16/16
At TJX Canada, we are now planning a comp increase of 7% to 8% on sales of $3.1 billion to $3.2 billion. We now expect adjusted segment profit margin, excluding foreign currency, to be in the range of 13.5% to 13.6%.
5/17/16
At TJX Canada, we're now planning a comp increase of 6% on sales of $3.1 billion to $3.2 billion. We now expect adjusted segment profit margin, excluding foreign currency, to be in the range of 12.9% to 13.1%.
2/26/16
For TJX Canada, we are planning a comp increase of 3% to 4% on sales of $2.9 billion, and adjusted segment profit margin excluding foreign currency to be in the range of 12.1% to 12.3%.
2/25/15 guidance: $2.7B</t>
        </r>
      </text>
    </comment>
    <comment ref="AA197" authorId="18">
      <text>
        <r>
          <rPr>
            <b/>
            <sz val="9"/>
            <color indexed="81"/>
            <rFont val="Tahoma"/>
            <family val="2"/>
          </rPr>
          <t>Turley, Amber (Research):</t>
        </r>
        <r>
          <rPr>
            <sz val="9"/>
            <color indexed="81"/>
            <rFont val="Tahoma"/>
            <family val="2"/>
          </rPr>
          <t xml:space="preserve">
11/6/16
We now expect adjusted segment profit margin excluding foreign currency to be in the range of 13.6% to 13.7%.
8/16/16
We now expect adjusted segment profit margin, excluding foreign currency, to be in the range of 13.5% to 13.6%.
5/17/16
We now expect adjusted segment profit margin,
excluding foreign currency, to be in the range of 12.9% to 13.1%.
</t>
        </r>
      </text>
    </comment>
    <comment ref="AC197" authorId="17">
      <text>
        <r>
          <rPr>
            <b/>
            <sz val="9"/>
            <color indexed="81"/>
            <rFont val="Tahoma"/>
            <family val="2"/>
          </rPr>
          <t>Baglione, Gregory  (Research):</t>
        </r>
        <r>
          <rPr>
            <sz val="9"/>
            <color indexed="81"/>
            <rFont val="Tahoma"/>
            <family val="2"/>
          </rPr>
          <t xml:space="preserve">
11/6/16
At TJX International, we're expecting comp growth of about 2% on sales of $4.4 billion and adjusted segment profit margin excluding foreign currency to be about 5.8%.
8/16/16: At TJX International, we are expecting comp growth of 2% to 3% on sales of $4.4 billion to $4.5 billion and adjusted segment profit margin, excluding
foreign currency, to be in the range of 5.5% to 5.6%.
5/17/16
At TJX International, we're expecting comp growth of 2% to 3% on sales of $4.6 billion to $4.7 billion. And adjusted segment profit margin, excluding foreign currency, to be in the range of 5.6% to 5.8%.
2/24/16
At TJX international, we're expecting a comp increase of 2% to 3% on sales of $4.6 billion and adjusted pretax margin excluding foreign currency to be in the range of 5.6% to 5.8%.
</t>
        </r>
      </text>
    </comment>
    <comment ref="AF197" authorId="17">
      <text>
        <r>
          <rPr>
            <b/>
            <sz val="9"/>
            <color indexed="81"/>
            <rFont val="Tahoma"/>
            <family val="2"/>
          </rPr>
          <t>Baglione, Gregory  (Research):</t>
        </r>
        <r>
          <rPr>
            <sz val="9"/>
            <color indexed="81"/>
            <rFont val="Tahoma"/>
            <family val="2"/>
          </rPr>
          <t xml:space="preserve">
11/6/16
At TJX International, we're expecting comp growth of about 2% on sales of $4.4 billion and adjusted segment profit margin excluding foreign currency to be about 5.8%.
8/16/16: At TJX International, we are expecting comp growth of 2% to 3% on sales of $4.4 billion to $4.5 billion and adjusted segment profit margin, excluding
foreign currency, to be in the range of 5.5% to 5.6%.
5/17/16
At TJX International, we're expecting comp growth of 2% to 3% on sales of $4.6 billion to $4.7 billion. And adjusted segment profit margin, excluding foreign currency, to be in the range of 5.6% to 5.8%.
2/24/16
At TJX international, we're expecting a comp increase of 2% to 3% on sales of $4.6 billion and adjusted pretax margin excluding foreign currency to be in the range of 5.6% to 5.8%.
</t>
        </r>
      </text>
    </comment>
    <comment ref="AG197" authorId="17">
      <text>
        <r>
          <rPr>
            <b/>
            <sz val="9"/>
            <color indexed="81"/>
            <rFont val="Tahoma"/>
            <family val="2"/>
          </rPr>
          <t>Baglione, Gregory  (Research):</t>
        </r>
        <r>
          <rPr>
            <sz val="9"/>
            <color indexed="81"/>
            <rFont val="Tahoma"/>
            <family val="2"/>
          </rPr>
          <t xml:space="preserve">
8/16/16
adjusted segment profit margin, excluding foreign currency, to be
in the range of 5.5% to 5.6%.</t>
        </r>
      </text>
    </comment>
    <comment ref="AI197" authorId="17">
      <text>
        <r>
          <rPr>
            <b/>
            <sz val="9"/>
            <color indexed="81"/>
            <rFont val="Tahoma"/>
            <family val="2"/>
          </rPr>
          <t>Baglione, Gregory  (Research):</t>
        </r>
        <r>
          <rPr>
            <sz val="9"/>
            <color indexed="81"/>
            <rFont val="Tahoma"/>
            <family val="2"/>
          </rPr>
          <t xml:space="preserve">
11/16/16
11/16/16
At HomeGoods we now expect comps to increase 5% to 6% on sales of $4.4 billion. We now expect segment profit margin to be in the range of 13.4% to 13.5%.
8/16/16
At HomeGoods, we continue to expect comps to increase 4% to 5% on sales of $4.3 billion. We now expect segment profit margin to be in therange of 13.1% to 13.3%.
2/24/16
At HomeGoods we expect comp increases -- comps to increase 3% to 4% on sales of $4.2 billion to $4.3 billion. And segment profit margin to be in the range of 12.9% to 13.1%</t>
        </r>
      </text>
    </comment>
    <comment ref="AM197" authorId="17">
      <text>
        <r>
          <rPr>
            <b/>
            <sz val="9"/>
            <color indexed="81"/>
            <rFont val="Tahoma"/>
            <family val="2"/>
          </rPr>
          <t xml:space="preserve">Baglione, Gregory  (Research):
</t>
        </r>
        <r>
          <rPr>
            <sz val="9"/>
            <color indexed="81"/>
            <rFont val="Tahoma"/>
            <family val="2"/>
          </rPr>
          <t xml:space="preserve">
11/15/16
We now expect segment profit margin to be in the range of 13.4% to 13.5%.
8/16/16
At HomeGoods, we continue to expect comps to increase 4% to 5% on sales of $4.3 billion. We now expect segment profit margin to be in therange of 13.1% to 13.3%.
5/17/16
We expect segment profit margin to be in the range of 12.9%
to 13.1%
2/24/16
At HomeGoods we expect comp increases -- comps to increase 3% to 4% on sales of $4.2 billion to $4.3 billion. And segment profit margin to be in the range of 12.9% to 13.1%
</t>
        </r>
      </text>
    </comment>
    <comment ref="BM197" authorId="17">
      <text>
        <r>
          <rPr>
            <b/>
            <sz val="9"/>
            <color indexed="81"/>
            <rFont val="Tahoma"/>
            <family val="2"/>
          </rPr>
          <t>Baglione, Gregory  (Research):</t>
        </r>
        <r>
          <rPr>
            <sz val="9"/>
            <color indexed="81"/>
            <rFont val="Tahoma"/>
            <family val="2"/>
          </rPr>
          <t xml:space="preserve">
8/16/16
We now expect a comp increase of 3% to
4% on a consolidated basis in FY17. For the year, pre-tax profit margin is planned to be in the 11.2% to 11.3% range versus 11.8% last year.</t>
        </r>
      </text>
    </comment>
    <comment ref="F200" authorId="19">
      <text>
        <r>
          <rPr>
            <b/>
            <sz val="9"/>
            <color indexed="81"/>
            <rFont val="Tahoma"/>
            <family val="2"/>
          </rPr>
          <t>Roberts, Cynthia (Research):</t>
        </r>
        <r>
          <rPr>
            <sz val="9"/>
            <color indexed="81"/>
            <rFont val="Tahoma"/>
            <family val="2"/>
          </rPr>
          <t xml:space="preserve">
positive traffic and UPT offset by decrease in AUR
"We believe unfavorable weather through much of the first quarter in fiscal 2018, compared to last year, had a negative impact on sales, especially apparel. Home fashions outperformed apparel in the first quarter."</t>
        </r>
      </text>
    </comment>
    <comment ref="I200" authorId="19">
      <text>
        <r>
          <rPr>
            <b/>
            <sz val="9"/>
            <color indexed="81"/>
            <rFont val="Tahoma"/>
            <family val="2"/>
          </rPr>
          <t>Roberts, Cynthia (Research):</t>
        </r>
        <r>
          <rPr>
            <sz val="9"/>
            <color indexed="81"/>
            <rFont val="Tahoma"/>
            <family val="2"/>
          </rPr>
          <t xml:space="preserve">
10-Q: merchandise margin +30 bps and a benefit from a reduction in legal and credit card chargeback costs y/y. This is more than offset by decrease in segment margin due to wage increases and addtl supply chain costs as a result of processing more units, together -80 bps, as well as expense deleverage, particularly occupancy, on a flat comp. eComm (&lt;2%), had no significant impact.
5/16/17: declined -80 bps y/y driven by expense deleverage on a flat comp, negative impact of wage increases, and supply chain costs of flowing more units at a lower avg ticket; merch margin increased</t>
        </r>
      </text>
    </comment>
    <comment ref="Y200" authorId="19">
      <text>
        <r>
          <rPr>
            <b/>
            <sz val="9"/>
            <color indexed="81"/>
            <rFont val="Tahoma"/>
            <family val="2"/>
          </rPr>
          <t>Roberts, Cynthia (Research):</t>
        </r>
        <r>
          <rPr>
            <sz val="9"/>
            <color indexed="81"/>
            <rFont val="Tahoma"/>
            <family val="2"/>
          </rPr>
          <t xml:space="preserve">
10-Q: primarily traffic</t>
        </r>
      </text>
    </comment>
    <comment ref="AA200" authorId="19">
      <text>
        <r>
          <rPr>
            <b/>
            <sz val="9"/>
            <color indexed="81"/>
            <rFont val="Tahoma"/>
            <family val="2"/>
          </rPr>
          <t>Roberts, Cynthia (Research):</t>
        </r>
        <r>
          <rPr>
            <sz val="9"/>
            <color indexed="81"/>
            <rFont val="Tahoma"/>
            <family val="2"/>
          </rPr>
          <t xml:space="preserve">
10-Q: +690 bps y/y favorable impact from mark to market impact of inventory derivatives. Merchandise margin also increased, partially offset an increase in supply chain and distribution costs, primarily due to new DC opening LY, and negative impact from transactional FX (gain in 1Q16 and neutral in 1Q17). 
ex-FX adjusted margin 12.1% vs. 13.4% LY
5/16/17 Adjusted segment profit margin, excluding foreign currency, was down 130 basis points. This was primarily due to costs related to opening our new distribution center, which opened last year as well as transactional foreign exchange.</t>
        </r>
      </text>
    </comment>
    <comment ref="AD200" authorId="19">
      <text>
        <r>
          <rPr>
            <b/>
            <sz val="9"/>
            <color indexed="81"/>
            <rFont val="Tahoma"/>
            <family val="2"/>
          </rPr>
          <t>Roberts, Cynthia (Research):</t>
        </r>
        <r>
          <rPr>
            <sz val="9"/>
            <color indexed="81"/>
            <rFont val="Tahoma"/>
            <family val="2"/>
          </rPr>
          <t xml:space="preserve">
FX translation -10% negative impact</t>
        </r>
      </text>
    </comment>
    <comment ref="AE200" authorId="19">
      <text>
        <r>
          <rPr>
            <b/>
            <sz val="9"/>
            <color indexed="81"/>
            <rFont val="Tahoma"/>
            <family val="2"/>
          </rPr>
          <t>Roberts, Cynthia (Research):</t>
        </r>
        <r>
          <rPr>
            <sz val="9"/>
            <color indexed="81"/>
            <rFont val="Tahoma"/>
            <family val="2"/>
          </rPr>
          <t xml:space="preserve">
10-Q: increase in traffic offset by decline in ATV</t>
        </r>
      </text>
    </comment>
    <comment ref="AG200" authorId="19">
      <text>
        <r>
          <rPr>
            <b/>
            <sz val="9"/>
            <color indexed="81"/>
            <rFont val="Tahoma"/>
            <family val="2"/>
          </rPr>
          <t>Roberts, Cynthia (Research):</t>
        </r>
        <r>
          <rPr>
            <sz val="9"/>
            <color indexed="81"/>
            <rFont val="Tahoma"/>
            <family val="2"/>
          </rPr>
          <t xml:space="preserve">
10-Q: FX +100 bps favorable impact y/y, offset by expense deleverage on a flat comp and supply chain and systems investments to support growth
ex-FX adjusted margin 1.3% vs. 3.1% LY
5/16/17 Adjusted segment profit margin, excluding foreign currency, was down 180 basis points. This was primarily due to expense deleverage on the flat comp, supply chain and IT investments to support growth and wage increases.</t>
        </r>
      </text>
    </comment>
    <comment ref="AK200" authorId="19">
      <text>
        <r>
          <rPr>
            <b/>
            <sz val="9"/>
            <color indexed="81"/>
            <rFont val="Tahoma"/>
            <family val="2"/>
          </rPr>
          <t>Roberts, Cynthia (Research):</t>
        </r>
        <r>
          <rPr>
            <sz val="9"/>
            <color indexed="81"/>
            <rFont val="Tahoma"/>
            <family val="2"/>
          </rPr>
          <t xml:space="preserve">
10-Q: largely driven by traffic</t>
        </r>
      </text>
    </comment>
    <comment ref="AM200" authorId="19">
      <text>
        <r>
          <rPr>
            <b/>
            <sz val="9"/>
            <color indexed="81"/>
            <rFont val="Tahoma"/>
            <family val="2"/>
          </rPr>
          <t>Roberts, Cynthia (Research):</t>
        </r>
        <r>
          <rPr>
            <sz val="9"/>
            <color indexed="81"/>
            <rFont val="Tahoma"/>
            <family val="2"/>
          </rPr>
          <t xml:space="preserve">
10-Q: favorably impacted by increase in merchandise margin as well a reduction in legal and credit card chargeback costs. More than offset by higher store payroll costs due to wage increases and an increase in supply chain costs, primarily related to costs of operating HG new DC
5/16/17: margin down -10 bps driven by wage increases and supply chain costs assoc with new DC</t>
        </r>
      </text>
    </comment>
    <comment ref="F201" authorId="19">
      <text>
        <r>
          <rPr>
            <b/>
            <sz val="9"/>
            <color indexed="81"/>
            <rFont val="Tahoma"/>
            <family val="2"/>
          </rPr>
          <t>Roberts, Cynthia (Research):</t>
        </r>
        <r>
          <rPr>
            <sz val="9"/>
            <color indexed="81"/>
            <rFont val="Tahoma"/>
            <family val="2"/>
          </rPr>
          <t xml:space="preserve">
10-Q: mainly driven by traffic, and increase in units sold was more than offset by a decrease in the average ticket (AUR). Geographically most regions neat the divisional average. Home outperformed apparel.</t>
        </r>
      </text>
    </comment>
    <comment ref="I201" authorId="19">
      <text>
        <r>
          <rPr>
            <b/>
            <sz val="9"/>
            <color indexed="81"/>
            <rFont val="Tahoma"/>
            <family val="2"/>
          </rPr>
          <t>Roberts, Cynthia (Research):</t>
        </r>
        <r>
          <rPr>
            <sz val="9"/>
            <color indexed="81"/>
            <rFont val="Tahoma"/>
            <family val="2"/>
          </rPr>
          <t xml:space="preserve">
10-Q: decline driven by wage increases, addtl supply chain costs as a result of processing more units and deleverage on a 2% comp.</t>
        </r>
      </text>
    </comment>
    <comment ref="X201" authorId="19">
      <text>
        <r>
          <rPr>
            <b/>
            <sz val="9"/>
            <color indexed="81"/>
            <rFont val="Tahoma"/>
            <family val="2"/>
          </rPr>
          <t>Roberts, Cynthia (Research):</t>
        </r>
        <r>
          <rPr>
            <sz val="9"/>
            <color indexed="81"/>
            <rFont val="Tahoma"/>
            <family val="2"/>
          </rPr>
          <t xml:space="preserve">
FX -2% negative impact</t>
        </r>
      </text>
    </comment>
    <comment ref="Y201" authorId="19">
      <text>
        <r>
          <rPr>
            <b/>
            <sz val="9"/>
            <color indexed="81"/>
            <rFont val="Tahoma"/>
            <family val="2"/>
          </rPr>
          <t>Roberts, Cynthia (Research):</t>
        </r>
        <r>
          <rPr>
            <sz val="9"/>
            <color indexed="81"/>
            <rFont val="Tahoma"/>
            <family val="2"/>
          </rPr>
          <t xml:space="preserve">
10-Q: primarily driven by an increase in traffic and ATV</t>
        </r>
      </text>
    </comment>
    <comment ref="AA201" authorId="19">
      <text>
        <r>
          <rPr>
            <b/>
            <sz val="9"/>
            <color indexed="81"/>
            <rFont val="Tahoma"/>
            <family val="2"/>
          </rPr>
          <t>Roberts, Cynthia (Research):</t>
        </r>
        <r>
          <rPr>
            <sz val="9"/>
            <color indexed="81"/>
            <rFont val="Tahoma"/>
            <family val="2"/>
          </rPr>
          <t xml:space="preserve">
10-Q: -790 bps unfavorable impact from mark to market impact of inventory derivatives. Also impacted by increases in supply chain and DC costs, primarily from costs of operating new DC that opened LY. Partially offset by an increase in merchandise margin, which benefited from a y/y increase in CAD. 
ex-FX adjusted margin 14.6% vs. 12.8% LY</t>
        </r>
      </text>
    </comment>
    <comment ref="AD201" authorId="19">
      <text>
        <r>
          <rPr>
            <b/>
            <sz val="9"/>
            <color indexed="81"/>
            <rFont val="Tahoma"/>
            <family val="2"/>
          </rPr>
          <t>Roberts, Cynthia (Research):</t>
        </r>
        <r>
          <rPr>
            <sz val="9"/>
            <color indexed="81"/>
            <rFont val="Tahoma"/>
            <family val="2"/>
          </rPr>
          <t xml:space="preserve">
FX -6% negative impact</t>
        </r>
      </text>
    </comment>
    <comment ref="AE201" authorId="19">
      <text>
        <r>
          <rPr>
            <b/>
            <sz val="9"/>
            <color indexed="81"/>
            <rFont val="Tahoma"/>
            <family val="2"/>
          </rPr>
          <t>Roberts, Cynthia (Research):</t>
        </r>
        <r>
          <rPr>
            <sz val="9"/>
            <color indexed="81"/>
            <rFont val="Tahoma"/>
            <family val="2"/>
          </rPr>
          <t xml:space="preserve">
</t>
        </r>
      </text>
    </comment>
    <comment ref="AG201" authorId="19">
      <text>
        <r>
          <rPr>
            <b/>
            <sz val="9"/>
            <color indexed="81"/>
            <rFont val="Tahoma"/>
            <family val="2"/>
          </rPr>
          <t>Roberts, Cynthia (Research):</t>
        </r>
        <r>
          <rPr>
            <sz val="9"/>
            <color indexed="81"/>
            <rFont val="Tahoma"/>
            <family val="2"/>
          </rPr>
          <t xml:space="preserve">
10-Q: FX -110 bps negative impact. Also negatively impacted by wage increases, higher DC costs, expense deleverage on a 1% comp, and transactional FX losses. Merchandise margin +90 bps. 
ex-FX adjusted margin 3.6% vs. 3.0% LY</t>
        </r>
      </text>
    </comment>
    <comment ref="AK201" authorId="19">
      <text>
        <r>
          <rPr>
            <b/>
            <sz val="9"/>
            <color indexed="81"/>
            <rFont val="Tahoma"/>
            <family val="2"/>
          </rPr>
          <t xml:space="preserve">Roberts, Cynthia (Research):
</t>
        </r>
        <r>
          <rPr>
            <sz val="9"/>
            <color indexed="81"/>
            <rFont val="Tahoma"/>
            <family val="2"/>
          </rPr>
          <t>10-Q:</t>
        </r>
        <r>
          <rPr>
            <b/>
            <sz val="9"/>
            <color indexed="81"/>
            <rFont val="Tahoma"/>
            <family val="2"/>
          </rPr>
          <t xml:space="preserve"> </t>
        </r>
        <r>
          <rPr>
            <sz val="9"/>
            <color indexed="81"/>
            <rFont val="Tahoma"/>
            <family val="2"/>
          </rPr>
          <t>largely driven by an increase in customer traffic and units sold.</t>
        </r>
      </text>
    </comment>
    <comment ref="AM201" authorId="19">
      <text>
        <r>
          <rPr>
            <b/>
            <sz val="9"/>
            <color indexed="81"/>
            <rFont val="Tahoma"/>
            <family val="2"/>
          </rPr>
          <t>Roberts, Cynthia (Research):</t>
        </r>
        <r>
          <rPr>
            <sz val="9"/>
            <color indexed="81"/>
            <rFont val="Tahoma"/>
            <family val="2"/>
          </rPr>
          <t xml:space="preserve">
overall decline driven by a decline in merchandise margin, from an increase in freight costs from new DC. Also impacted by wage increases, higher DC costs, and costs associated with opening an increased number of HomeGoods stores as well as start up costs associated with the new HomeSense chain. These costs were partially offset by expense leverage on a strong comp.</t>
        </r>
      </text>
    </comment>
    <comment ref="F202" authorId="19">
      <text>
        <r>
          <rPr>
            <b/>
            <sz val="9"/>
            <color indexed="81"/>
            <rFont val="Tahoma"/>
            <family val="2"/>
          </rPr>
          <t>Roberts, Cynthia (Research):</t>
        </r>
        <r>
          <rPr>
            <sz val="9"/>
            <color indexed="81"/>
            <rFont val="Tahoma"/>
            <family val="2"/>
          </rPr>
          <t xml:space="preserve">
10-Q: "negatively impacted by the hurricanes and, we believe, unseasonably warm weather, which particularly impacted apparel. To a lesser degree, we believe execution issues in certain categories had an additional negative impact on apparel sales. Despite the third quarter decline in same store sales, customer traffic continued to increase (2% growth), which was more than offset by a decline in the average ticket. Home fashions outperformed apparel in both periods."</t>
        </r>
      </text>
    </comment>
    <comment ref="I202" authorId="19">
      <text>
        <r>
          <rPr>
            <b/>
            <sz val="9"/>
            <color indexed="81"/>
            <rFont val="Tahoma"/>
            <family val="2"/>
          </rPr>
          <t>Roberts, Cynthia (Research):</t>
        </r>
        <r>
          <rPr>
            <sz val="9"/>
            <color indexed="81"/>
            <rFont val="Tahoma"/>
            <family val="2"/>
          </rPr>
          <t xml:space="preserve">
10-Q: primarily expense deleverage on a negative comp as well as wage increases, addtl supply chain costs as a result of processing more units and costs related to the hurricanes. These factors more than offset an increase in merchandise margin. eComm business did not have a significant impact. </t>
        </r>
      </text>
    </comment>
    <comment ref="X202" authorId="19">
      <text>
        <r>
          <rPr>
            <b/>
            <sz val="9"/>
            <color indexed="81"/>
            <rFont val="Tahoma"/>
            <family val="2"/>
          </rPr>
          <t>Roberts, Cynthia (Research):</t>
        </r>
        <r>
          <rPr>
            <sz val="9"/>
            <color indexed="81"/>
            <rFont val="Tahoma"/>
            <family val="2"/>
          </rPr>
          <t xml:space="preserve">
FX +5% positive impact</t>
        </r>
      </text>
    </comment>
    <comment ref="Y202" authorId="19">
      <text>
        <r>
          <rPr>
            <b/>
            <sz val="9"/>
            <color indexed="81"/>
            <rFont val="Tahoma"/>
            <family val="2"/>
          </rPr>
          <t>Roberts, Cynthia (Research):</t>
        </r>
        <r>
          <rPr>
            <sz val="9"/>
            <color indexed="81"/>
            <rFont val="Tahoma"/>
            <family val="2"/>
          </rPr>
          <t xml:space="preserve">
10-Q: mainly driven by traffic</t>
        </r>
      </text>
    </comment>
    <comment ref="AA202" authorId="19">
      <text>
        <r>
          <rPr>
            <b/>
            <sz val="9"/>
            <color indexed="81"/>
            <rFont val="Tahoma"/>
            <family val="2"/>
          </rPr>
          <t>Roberts, Cynthia (Research):</t>
        </r>
        <r>
          <rPr>
            <sz val="9"/>
            <color indexed="81"/>
            <rFont val="Tahoma"/>
            <family val="2"/>
          </rPr>
          <t xml:space="preserve">
10-Q: +190 favorable impact from mark to market impact of inventory derivatives. Also favorably impacted by transactional FX, improved merchandise margin and reduced supply chain costs. 
ex-FX adjusted margin 18.0% vs. 15.6% LY</t>
        </r>
      </text>
    </comment>
    <comment ref="AD202" authorId="19">
      <text>
        <r>
          <rPr>
            <b/>
            <sz val="9"/>
            <color indexed="81"/>
            <rFont val="Tahoma"/>
            <family val="2"/>
          </rPr>
          <t>Roberts, Cynthia (Research):</t>
        </r>
        <r>
          <rPr>
            <sz val="9"/>
            <color indexed="81"/>
            <rFont val="Tahoma"/>
            <family val="2"/>
          </rPr>
          <t xml:space="preserve">
FX +4% positive impact</t>
        </r>
      </text>
    </comment>
    <comment ref="AE202" authorId="19">
      <text>
        <r>
          <rPr>
            <b/>
            <sz val="9"/>
            <color indexed="81"/>
            <rFont val="Tahoma"/>
            <family val="2"/>
          </rPr>
          <t>Roberts, Cynthia (Research):</t>
        </r>
        <r>
          <rPr>
            <sz val="9"/>
            <color indexed="81"/>
            <rFont val="Tahoma"/>
            <family val="2"/>
          </rPr>
          <t xml:space="preserve">
10-Q: driven by an increase in traffic, partially offset by a decline in ATV</t>
        </r>
      </text>
    </comment>
    <comment ref="AG202" authorId="19">
      <text>
        <r>
          <rPr>
            <b/>
            <sz val="9"/>
            <color indexed="81"/>
            <rFont val="Tahoma"/>
            <family val="2"/>
          </rPr>
          <t>Roberts, Cynthia (Research):</t>
        </r>
        <r>
          <rPr>
            <sz val="9"/>
            <color indexed="81"/>
            <rFont val="Tahoma"/>
            <family val="2"/>
          </rPr>
          <t xml:space="preserve">
10-Q: +130 bps favorable impact from mark to market impact of inventory derivatives. This was more than offset by higher supply chain costs associated with the opening of a new distribution center, a decline in merchandise margin, and deleverage on a 1% comp. 
ex-FX adjusted margin 6.2% vs. 8.4%  LY</t>
        </r>
      </text>
    </comment>
    <comment ref="AK202" authorId="19">
      <text>
        <r>
          <rPr>
            <b/>
            <sz val="9"/>
            <color indexed="81"/>
            <rFont val="Tahoma"/>
            <family val="2"/>
          </rPr>
          <t>Roberts, Cynthia (Research):</t>
        </r>
        <r>
          <rPr>
            <sz val="9"/>
            <color indexed="81"/>
            <rFont val="Tahoma"/>
            <family val="2"/>
          </rPr>
          <t xml:space="preserve">
10-Q: largely driven by traffic</t>
        </r>
      </text>
    </comment>
    <comment ref="AM202" authorId="19">
      <text>
        <r>
          <rPr>
            <b/>
            <sz val="9"/>
            <color indexed="81"/>
            <rFont val="Tahoma"/>
            <family val="2"/>
          </rPr>
          <t>Roberts, Cynthia (Research):</t>
        </r>
        <r>
          <rPr>
            <sz val="9"/>
            <color indexed="81"/>
            <rFont val="Tahoma"/>
            <family val="2"/>
          </rPr>
          <t xml:space="preserve">
10-Q: decline driven primarily by an increase in supply chain and freight costs. Also impacted wage increases and higher preopening costs due to an increase in new store openings, including start up costs associated with HomeSense. </t>
        </r>
      </text>
    </comment>
    <comment ref="F203" authorId="19">
      <text>
        <r>
          <rPr>
            <b/>
            <sz val="9"/>
            <color indexed="81"/>
            <rFont val="Tahoma"/>
            <family val="2"/>
          </rPr>
          <t>Roberts, Cynthia (Research):</t>
        </r>
        <r>
          <rPr>
            <sz val="9"/>
            <color indexed="81"/>
            <rFont val="Tahoma"/>
            <family val="2"/>
          </rPr>
          <t xml:space="preserve">
2/28/18: driven by traffic, average ticket decreased as expected, but moderated vs. 3Q</t>
        </r>
      </text>
    </comment>
    <comment ref="I203" authorId="19">
      <text>
        <r>
          <rPr>
            <b/>
            <sz val="9"/>
            <color indexed="81"/>
            <rFont val="Tahoma"/>
            <family val="2"/>
          </rPr>
          <t>Roberts, Cynthia (Research):</t>
        </r>
        <r>
          <rPr>
            <sz val="9"/>
            <color indexed="81"/>
            <rFont val="Tahoma"/>
            <family val="2"/>
          </rPr>
          <t xml:space="preserve">
2/28/18: Includes Sierra Trading Post impairment charge ($99.205M). Excluding charge profit margin -10 bps, driven</t>
        </r>
      </text>
    </comment>
    <comment ref="AA203" authorId="19">
      <text>
        <r>
          <rPr>
            <b/>
            <sz val="9"/>
            <color indexed="81"/>
            <rFont val="Tahoma"/>
            <family val="2"/>
          </rPr>
          <t>Roberts, Cynthia (Research):</t>
        </r>
        <r>
          <rPr>
            <sz val="9"/>
            <color indexed="81"/>
            <rFont val="Tahoma"/>
            <family val="2"/>
          </rPr>
          <t xml:space="preserve">
2/28/18: margin ex-FX up 90 bps, primarily expense leverage on a +7% comp</t>
        </r>
      </text>
    </comment>
    <comment ref="AM203" authorId="19">
      <text>
        <r>
          <rPr>
            <b/>
            <sz val="9"/>
            <color indexed="81"/>
            <rFont val="Tahoma"/>
            <family val="2"/>
          </rPr>
          <t>Roberts, Cynthia (Research):</t>
        </r>
        <r>
          <rPr>
            <sz val="9"/>
            <color indexed="81"/>
            <rFont val="Tahoma"/>
            <family val="2"/>
          </rPr>
          <t xml:space="preserve">
2/28/18 decline driven by merchandise margin and investments to support growth. Unanticipated capacity constraints drove increased freight costs and product delays. Delays in gift giving items particularly drove additional markdowns. Looking ahead the flow and timeliness of goods are back to expectations, and management anticipates minimal additional markdown activity in 1Q18.</t>
        </r>
      </text>
    </comment>
    <comment ref="I204" authorId="19">
      <text>
        <r>
          <rPr>
            <b/>
            <sz val="9"/>
            <color indexed="81"/>
            <rFont val="Tahoma"/>
            <family val="2"/>
          </rPr>
          <t>Roberts, Cynthia (Research):</t>
        </r>
        <r>
          <rPr>
            <sz val="9"/>
            <color indexed="81"/>
            <rFont val="Tahoma"/>
            <family val="2"/>
          </rPr>
          <t xml:space="preserve">
5/16/17: Guidance 13.7-13.9%
2/22/17: Guidance: 13.7-13.9%</t>
        </r>
      </text>
    </comment>
    <comment ref="AA204" authorId="19">
      <text>
        <r>
          <rPr>
            <b/>
            <sz val="9"/>
            <color indexed="81"/>
            <rFont val="Tahoma"/>
            <family val="2"/>
          </rPr>
          <t>Roberts, Cynthia (Research):</t>
        </r>
        <r>
          <rPr>
            <sz val="9"/>
            <color indexed="81"/>
            <rFont val="Tahoma"/>
            <family val="2"/>
          </rPr>
          <t xml:space="preserve">
5/16/17: Guidance 14.0-14.2%
2/22/17: Guidance: 13.8-14.0%  excluding FX</t>
        </r>
      </text>
    </comment>
    <comment ref="AG204" authorId="19">
      <text>
        <r>
          <rPr>
            <b/>
            <sz val="9"/>
            <color indexed="81"/>
            <rFont val="Tahoma"/>
            <family val="2"/>
          </rPr>
          <t>Roberts, Cynthia (Research):</t>
        </r>
        <r>
          <rPr>
            <sz val="9"/>
            <color indexed="81"/>
            <rFont val="Tahoma"/>
            <family val="2"/>
          </rPr>
          <t xml:space="preserve">
2/22/17: Guidance: 4.3-4.5% excluding FX</t>
        </r>
      </text>
    </comment>
    <comment ref="AM204" authorId="19">
      <text>
        <r>
          <rPr>
            <b/>
            <sz val="9"/>
            <color indexed="81"/>
            <rFont val="Tahoma"/>
            <family val="2"/>
          </rPr>
          <t>Roberts, Cynthia (Research):</t>
        </r>
        <r>
          <rPr>
            <sz val="9"/>
            <color indexed="81"/>
            <rFont val="Tahoma"/>
            <family val="2"/>
          </rPr>
          <t xml:space="preserve">
5/16/17: Guidance 13.4-13.6%</t>
        </r>
      </text>
    </comment>
    <comment ref="I211" authorId="19">
      <text>
        <r>
          <rPr>
            <b/>
            <sz val="9"/>
            <color indexed="81"/>
            <rFont val="Tahoma"/>
            <family val="2"/>
          </rPr>
          <t>Roberts, Cynthia (Research):</t>
        </r>
        <r>
          <rPr>
            <sz val="9"/>
            <color indexed="81"/>
            <rFont val="Tahoma"/>
            <family val="2"/>
          </rPr>
          <t xml:space="preserve">
2/28/18: Guidance 13.0-13.2%</t>
        </r>
      </text>
    </comment>
    <comment ref="AM211" authorId="19">
      <text>
        <r>
          <rPr>
            <b/>
            <sz val="9"/>
            <color indexed="81"/>
            <rFont val="Tahoma"/>
            <family val="2"/>
          </rPr>
          <t>Roberts, Cynthia (Research):</t>
        </r>
        <r>
          <rPr>
            <sz val="9"/>
            <color indexed="81"/>
            <rFont val="Tahoma"/>
            <family val="2"/>
          </rPr>
          <t xml:space="preserve">
2/28/18: Guidance 12.0-12.2%</t>
        </r>
      </text>
    </comment>
    <comment ref="F220" authorId="12">
      <text>
        <r>
          <rPr>
            <b/>
            <sz val="8"/>
            <color indexed="81"/>
            <rFont val="Tahoma"/>
            <family val="2"/>
          </rPr>
          <t>lauraro:</t>
        </r>
        <r>
          <rPr>
            <sz val="8"/>
            <color indexed="81"/>
            <rFont val="Tahoma"/>
            <family val="2"/>
          </rPr>
          <t xml:space="preserve">
8/16/11: 1-2%</t>
        </r>
      </text>
    </comment>
    <comment ref="I220" authorId="12">
      <text>
        <r>
          <rPr>
            <b/>
            <sz val="8"/>
            <color indexed="81"/>
            <rFont val="Tahoma"/>
            <family val="2"/>
          </rPr>
          <t>lauraro:</t>
        </r>
        <r>
          <rPr>
            <sz val="8"/>
            <color indexed="81"/>
            <rFont val="Tahoma"/>
            <family val="2"/>
          </rPr>
          <t xml:space="preserve">
8/16/11: Flat profit margin</t>
        </r>
      </text>
    </comment>
    <comment ref="Y220" authorId="12">
      <text>
        <r>
          <rPr>
            <b/>
            <sz val="8"/>
            <color indexed="81"/>
            <rFont val="Tahoma"/>
            <family val="2"/>
          </rPr>
          <t>lauraro:</t>
        </r>
        <r>
          <rPr>
            <sz val="8"/>
            <color indexed="81"/>
            <rFont val="Tahoma"/>
            <family val="2"/>
          </rPr>
          <t xml:space="preserve">
8/16/11: 0-1%</t>
        </r>
      </text>
    </comment>
    <comment ref="AA220" authorId="12">
      <text>
        <r>
          <rPr>
            <b/>
            <sz val="8"/>
            <color indexed="81"/>
            <rFont val="Tahoma"/>
            <family val="2"/>
          </rPr>
          <t>lauraro:</t>
        </r>
        <r>
          <rPr>
            <sz val="8"/>
            <color indexed="81"/>
            <rFont val="Tahoma"/>
            <family val="2"/>
          </rPr>
          <t xml:space="preserve">
8/16/11: -70 to -80bp, ex FX down -160 to -170bp (down 120bps YTD)</t>
        </r>
      </text>
    </comment>
    <comment ref="AE220" authorId="12">
      <text>
        <r>
          <rPr>
            <b/>
            <sz val="8"/>
            <color indexed="81"/>
            <rFont val="Tahoma"/>
            <family val="2"/>
          </rPr>
          <t>lauraro:</t>
        </r>
        <r>
          <rPr>
            <sz val="8"/>
            <color indexed="81"/>
            <rFont val="Tahoma"/>
            <family val="2"/>
          </rPr>
          <t xml:space="preserve">
8/16/11: 2-4%</t>
        </r>
      </text>
    </comment>
    <comment ref="AG220" authorId="12">
      <text>
        <r>
          <rPr>
            <b/>
            <sz val="8"/>
            <color indexed="81"/>
            <rFont val="Tahoma"/>
            <family val="2"/>
          </rPr>
          <t>lauraro:</t>
        </r>
        <r>
          <rPr>
            <sz val="8"/>
            <color indexed="81"/>
            <rFont val="Tahoma"/>
            <family val="2"/>
          </rPr>
          <t xml:space="preserve">
8/16/11: inc FX +220 to +270bp +6.9%-7.4%; ex FX +270 to +320bp 7.4% - 7.9%</t>
        </r>
      </text>
    </comment>
    <comment ref="AK220" authorId="12">
      <text>
        <r>
          <rPr>
            <b/>
            <sz val="8"/>
            <color indexed="81"/>
            <rFont val="Tahoma"/>
            <family val="2"/>
          </rPr>
          <t>lauraro:</t>
        </r>
        <r>
          <rPr>
            <sz val="8"/>
            <color indexed="81"/>
            <rFont val="Tahoma"/>
            <family val="2"/>
          </rPr>
          <t xml:space="preserve">
8/16/11: 2-3%</t>
        </r>
      </text>
    </comment>
    <comment ref="AM220" authorId="12">
      <text>
        <r>
          <rPr>
            <b/>
            <sz val="8"/>
            <color indexed="81"/>
            <rFont val="Tahoma"/>
            <family val="2"/>
          </rPr>
          <t>lauraro:</t>
        </r>
        <r>
          <rPr>
            <sz val="8"/>
            <color indexed="81"/>
            <rFont val="Tahoma"/>
            <family val="2"/>
          </rPr>
          <t xml:space="preserve">
8/16/11: -10 to +20bps vs LY</t>
        </r>
      </text>
    </comment>
    <comment ref="AG231" authorId="12">
      <text>
        <r>
          <rPr>
            <b/>
            <sz val="8"/>
            <color indexed="81"/>
            <rFont val="Tahoma"/>
            <family val="2"/>
          </rPr>
          <t>lauraro:</t>
        </r>
        <r>
          <rPr>
            <sz val="8"/>
            <color indexed="81"/>
            <rFont val="Tahoma"/>
            <family val="2"/>
          </rPr>
          <t xml:space="preserve">
</t>
        </r>
        <r>
          <rPr>
            <b/>
            <sz val="8"/>
            <color indexed="81"/>
            <rFont val="Tahoma"/>
            <family val="2"/>
          </rPr>
          <t xml:space="preserve">5/15: </t>
        </r>
        <r>
          <rPr>
            <sz val="8"/>
            <color indexed="81"/>
            <rFont val="Tahoma"/>
            <family val="2"/>
          </rPr>
          <t>5.2-5.8%
Embedded in these numbers for the last nine months is a segment margin of 6.2-6.8% vs. LY's 4.4% on a 2-3% comp
Making progress to 7.2% peak</t>
        </r>
        <r>
          <rPr>
            <sz val="8"/>
            <color indexed="81"/>
            <rFont val="Tahoma"/>
            <family val="2"/>
          </rPr>
          <t xml:space="preserve">
</t>
        </r>
        <r>
          <rPr>
            <b/>
            <sz val="8"/>
            <color indexed="81"/>
            <rFont val="Tahoma"/>
            <family val="2"/>
          </rPr>
          <t xml:space="preserve">2/22: </t>
        </r>
        <r>
          <rPr>
            <sz val="8"/>
            <color indexed="81"/>
            <rFont val="Tahoma"/>
            <family val="2"/>
          </rPr>
          <t>4.9-5.4 with 53rd week, incl 20bps due to 53rd week
4.7-5.2 ex 53rd week
no structural reasons that we can't get back to 8% and above on the segment profit margin for Europe</t>
        </r>
      </text>
    </comment>
  </commentList>
</comments>
</file>

<file path=xl/comments6.xml><?xml version="1.0" encoding="utf-8"?>
<comments xmlns="http://schemas.openxmlformats.org/spreadsheetml/2006/main">
  <authors>
    <author>lehman</author>
    <author>Morry Brown</author>
    <author>mm98285</author>
    <author>lauraro</author>
    <author>nicholjs</author>
    <author>balskyh</author>
    <author>duol</author>
    <author>Turley, Amber (Research)</author>
    <author>Mains, Spencer (Research)</author>
    <author>Baglione, Gregory  (Research)</author>
    <author>Roberts, Cynthia (Research)</author>
    <author>Melissa Sefl</author>
    <author>oc48540</author>
    <author>OC48540</author>
    <author>lr73192</author>
    <author>solejay</author>
    <author>DL</author>
    <author>casselau</author>
    <author>Baglione, Gregory (Research)</author>
    <author>Margaret Marchant</author>
    <author>Lehman Brothers</author>
    <author>kimberlg</author>
    <author>kgreenbe</author>
    <author>MS</author>
    <author>P Kahng</author>
    <author>MB33100</author>
    <author>Kimberly Greenberger</author>
    <author>Cassel, Lauren (Research)</author>
    <author>TI23070</author>
    <author>SB</author>
    <author>kg51925</author>
    <author>sancfa</author>
  </authors>
  <commentList>
    <comment ref="Z6" authorId="0">
      <text>
        <r>
          <rPr>
            <b/>
            <sz val="8"/>
            <color indexed="81"/>
            <rFont val="Tahoma"/>
            <family val="2"/>
          </rPr>
          <t>lehman:</t>
        </r>
        <r>
          <rPr>
            <sz val="8"/>
            <color indexed="81"/>
            <rFont val="Tahoma"/>
            <family val="2"/>
          </rPr>
          <t xml:space="preserve">
Sold Hit or Miss July 1995</t>
        </r>
      </text>
    </comment>
    <comment ref="AD6" authorId="0">
      <text>
        <r>
          <rPr>
            <b/>
            <sz val="8"/>
            <color indexed="81"/>
            <rFont val="Tahoma"/>
            <family val="2"/>
          </rPr>
          <t>lehman:</t>
        </r>
        <r>
          <rPr>
            <sz val="8"/>
            <color indexed="81"/>
            <rFont val="Tahoma"/>
            <family val="2"/>
          </rPr>
          <t xml:space="preserve">
Sold Chadwicks December 1996</t>
        </r>
      </text>
    </comment>
    <comment ref="AL6" authorId="0">
      <text>
        <r>
          <rPr>
            <sz val="8"/>
            <color indexed="81"/>
            <rFont val="Tahoma"/>
            <family val="2"/>
          </rPr>
          <t>Restated for accounting change for layaways</t>
        </r>
      </text>
    </comment>
    <comment ref="AP6" authorId="0">
      <text>
        <r>
          <rPr>
            <sz val="8"/>
            <color indexed="81"/>
            <rFont val="Tahoma"/>
            <family val="2"/>
          </rPr>
          <t>Restated for accounting change for layaways</t>
        </r>
      </text>
    </comment>
    <comment ref="F10" authorId="0">
      <text>
        <r>
          <rPr>
            <b/>
            <sz val="8"/>
            <color indexed="81"/>
            <rFont val="Tahoma"/>
            <family val="2"/>
          </rPr>
          <t>lehman:</t>
        </r>
        <r>
          <rPr>
            <sz val="8"/>
            <color indexed="81"/>
            <rFont val="Tahoma"/>
            <family val="2"/>
          </rPr>
          <t xml:space="preserve">
398.883</t>
        </r>
      </text>
    </comment>
    <comment ref="J10" authorId="0">
      <text>
        <r>
          <rPr>
            <b/>
            <sz val="8"/>
            <color indexed="81"/>
            <rFont val="Tahoma"/>
            <family val="2"/>
          </rPr>
          <t>lehman:</t>
        </r>
        <r>
          <rPr>
            <sz val="8"/>
            <color indexed="81"/>
            <rFont val="Tahoma"/>
            <family val="2"/>
          </rPr>
          <t xml:space="preserve">
467.502</t>
        </r>
      </text>
    </comment>
    <comment ref="N10" authorId="0">
      <text>
        <r>
          <rPr>
            <b/>
            <sz val="8"/>
            <color indexed="81"/>
            <rFont val="Tahoma"/>
            <family val="2"/>
          </rPr>
          <t>lehman:</t>
        </r>
        <r>
          <rPr>
            <sz val="8"/>
            <color indexed="81"/>
            <rFont val="Tahoma"/>
            <family val="2"/>
          </rPr>
          <t xml:space="preserve">
526.062</t>
        </r>
      </text>
    </comment>
    <comment ref="BN10" authorId="1">
      <text>
        <r>
          <rPr>
            <b/>
            <sz val="8"/>
            <color indexed="81"/>
            <rFont val="Tahoma"/>
            <family val="2"/>
          </rPr>
          <t>Morry Brown:</t>
        </r>
        <r>
          <rPr>
            <sz val="8"/>
            <color indexed="81"/>
            <rFont val="Tahoma"/>
            <family val="2"/>
          </rPr>
          <t xml:space="preserve">
3693.3 est
co said $3.7 bil up 9%</t>
        </r>
      </text>
    </comment>
    <comment ref="BP10" authorId="1">
      <text>
        <r>
          <rPr>
            <b/>
            <sz val="8"/>
            <color indexed="81"/>
            <rFont val="Tahoma"/>
            <family val="2"/>
          </rPr>
          <t>Morry Brown:</t>
        </r>
        <r>
          <rPr>
            <sz val="8"/>
            <color indexed="81"/>
            <rFont val="Tahoma"/>
            <family val="2"/>
          </rPr>
          <t xml:space="preserve">
Increase primarily due to A$S, though # of trans. also up slightly</t>
        </r>
      </text>
    </comment>
    <comment ref="BV10" authorId="2">
      <text>
        <r>
          <rPr>
            <b/>
            <sz val="8"/>
            <color indexed="81"/>
            <rFont val="Tahoma"/>
            <family val="2"/>
          </rPr>
          <t>mm98285:</t>
        </r>
        <r>
          <rPr>
            <sz val="8"/>
            <color indexed="81"/>
            <rFont val="Tahoma"/>
            <family val="2"/>
          </rPr>
          <t xml:space="preserve">
2/07: guided to $4.1-$4.2bn</t>
        </r>
      </text>
    </comment>
    <comment ref="BX10" authorId="2">
      <text>
        <r>
          <rPr>
            <b/>
            <sz val="8"/>
            <color indexed="81"/>
            <rFont val="Tahoma"/>
            <family val="2"/>
          </rPr>
          <t>mm98285:</t>
        </r>
        <r>
          <rPr>
            <sz val="8"/>
            <color indexed="81"/>
            <rFont val="Tahoma"/>
            <family val="2"/>
          </rPr>
          <t xml:space="preserve">
FX benefited comp by 1%.
2/07: guided to +3%</t>
        </r>
      </text>
    </comment>
    <comment ref="BZ10" authorId="2">
      <text>
        <r>
          <rPr>
            <b/>
            <sz val="8"/>
            <color indexed="81"/>
            <rFont val="Tahoma"/>
            <family val="2"/>
          </rPr>
          <t>mm98285:</t>
        </r>
        <r>
          <rPr>
            <sz val="8"/>
            <color indexed="81"/>
            <rFont val="Tahoma"/>
            <family val="2"/>
          </rPr>
          <t xml:space="preserve">
2/08: expect $4.4b</t>
        </r>
      </text>
    </comment>
    <comment ref="CB10" authorId="2">
      <text>
        <r>
          <rPr>
            <b/>
            <sz val="8"/>
            <color indexed="81"/>
            <rFont val="Tahoma"/>
            <family val="2"/>
          </rPr>
          <t>mm98285:</t>
        </r>
        <r>
          <rPr>
            <sz val="8"/>
            <color indexed="81"/>
            <rFont val="Tahoma"/>
            <family val="2"/>
          </rPr>
          <t xml:space="preserve">
2/08: EPS guid based on +4-5% comp (includes 2% due to fx rates)
3/16/16
Restating to +2% vs. +3%</t>
        </r>
      </text>
    </comment>
    <comment ref="CD10" authorId="2">
      <text>
        <r>
          <rPr>
            <b/>
            <sz val="8"/>
            <color indexed="81"/>
            <rFont val="Tahoma"/>
            <family val="2"/>
          </rPr>
          <t>mm98285:</t>
        </r>
        <r>
          <rPr>
            <sz val="8"/>
            <color indexed="81"/>
            <rFont val="Tahoma"/>
            <family val="2"/>
          </rPr>
          <t xml:space="preserve">
5/09: -6% impact from F/X
expect $4.2BN</t>
        </r>
      </text>
    </comment>
    <comment ref="CF10" authorId="2">
      <text>
        <r>
          <rPr>
            <b/>
            <sz val="8"/>
            <color indexed="81"/>
            <rFont val="Tahoma"/>
            <family val="2"/>
          </rPr>
          <t>mm98285:</t>
        </r>
        <r>
          <rPr>
            <sz val="8"/>
            <color indexed="81"/>
            <rFont val="Tahoma"/>
            <family val="2"/>
          </rPr>
          <t xml:space="preserve">
2/09: guid. (2)-(4)%
12/08: assume F/X ~-5%</t>
        </r>
      </text>
    </comment>
    <comment ref="CH10" authorId="2">
      <text>
        <r>
          <rPr>
            <b/>
            <sz val="8"/>
            <color indexed="81"/>
            <rFont val="Tahoma"/>
            <family val="2"/>
          </rPr>
          <t>mm98285:</t>
        </r>
        <r>
          <rPr>
            <sz val="8"/>
            <color indexed="81"/>
            <rFont val="Tahoma"/>
            <family val="2"/>
          </rPr>
          <t xml:space="preserve">
5/10: prv est $4,972.1BN
2/10: $4.8BN</t>
        </r>
      </text>
    </comment>
    <comment ref="CJ10" authorId="2">
      <text>
        <r>
          <rPr>
            <b/>
            <sz val="8"/>
            <color indexed="81"/>
            <rFont val="Tahoma"/>
            <family val="2"/>
          </rPr>
          <t>mm98285:</t>
        </r>
        <r>
          <rPr>
            <sz val="8"/>
            <color indexed="81"/>
            <rFont val="Tahoma"/>
            <family val="2"/>
          </rPr>
          <t xml:space="preserve">
5/10: prv est 9%
2/10: +3-5%</t>
        </r>
      </text>
    </comment>
    <comment ref="CL10" authorId="3">
      <text>
        <r>
          <rPr>
            <b/>
            <sz val="8"/>
            <color indexed="81"/>
            <rFont val="Tahoma"/>
            <family val="2"/>
          </rPr>
          <t>lauraro:</t>
        </r>
        <r>
          <rPr>
            <sz val="8"/>
            <color indexed="81"/>
            <rFont val="Tahoma"/>
            <family val="2"/>
          </rPr>
          <t xml:space="preserve">
2/11: Exp $5.0-$5.1Bn</t>
        </r>
      </text>
    </comment>
    <comment ref="CM10" authorId="3">
      <text>
        <r>
          <rPr>
            <b/>
            <sz val="8"/>
            <color indexed="81"/>
            <rFont val="Tahoma"/>
            <family val="2"/>
          </rPr>
          <t>10Q:</t>
        </r>
        <r>
          <rPr>
            <sz val="8"/>
            <color indexed="81"/>
            <rFont val="Tahoma"/>
            <family val="2"/>
          </rPr>
          <t xml:space="preserve"> +4% incr from new stores, 2% comp incr, +1% FX benefit, offset by -3% due to AJW sales</t>
        </r>
        <r>
          <rPr>
            <sz val="8"/>
            <color indexed="81"/>
            <rFont val="Tahoma"/>
            <family val="2"/>
          </rPr>
          <t xml:space="preserve">
</t>
        </r>
      </text>
    </comment>
    <comment ref="CN10" authorId="4">
      <text>
        <r>
          <rPr>
            <b/>
            <sz val="8"/>
            <color indexed="81"/>
            <rFont val="Tahoma"/>
            <family val="2"/>
          </rPr>
          <t>nicholjs:</t>
        </r>
        <r>
          <rPr>
            <sz val="8"/>
            <color indexed="81"/>
            <rFont val="Tahoma"/>
            <family val="2"/>
          </rPr>
          <t xml:space="preserve">
2/2011: expect (1)% to +2%
Spread narrow due to loss of AJW sales</t>
        </r>
      </text>
    </comment>
    <comment ref="CP10" authorId="3">
      <text>
        <r>
          <rPr>
            <b/>
            <sz val="8"/>
            <color indexed="81"/>
            <rFont val="Tahoma"/>
            <family val="2"/>
          </rPr>
          <t>lauraro:</t>
        </r>
        <r>
          <rPr>
            <sz val="8"/>
            <color indexed="81"/>
            <rFont val="Tahoma"/>
            <family val="2"/>
          </rPr>
          <t xml:space="preserve">
5/3: $5.8B, +11% vs LY
$5.5-$5.6B</t>
        </r>
      </text>
    </comment>
    <comment ref="CR10" authorId="3">
      <text>
        <r>
          <rPr>
            <b/>
            <sz val="8"/>
            <color indexed="81"/>
            <rFont val="Tahoma"/>
            <family val="2"/>
          </rPr>
          <t>lauraro:</t>
        </r>
        <r>
          <rPr>
            <sz val="8"/>
            <color indexed="81"/>
            <rFont val="Tahoma"/>
            <family val="2"/>
          </rPr>
          <t xml:space="preserve">
1Q 2-4% consolidated: 2-3% at Marmaxx </t>
        </r>
      </text>
    </comment>
    <comment ref="CT10" authorId="5">
      <text>
        <r>
          <rPr>
            <b/>
            <sz val="8"/>
            <color indexed="81"/>
            <rFont val="Tahoma"/>
            <family val="2"/>
          </rPr>
          <t xml:space="preserve">5/9/2013: </t>
        </r>
        <r>
          <rPr>
            <sz val="8"/>
            <color indexed="81"/>
            <rFont val="Tahoma"/>
            <family val="2"/>
          </rPr>
          <t>was $6,212.5M</t>
        </r>
        <r>
          <rPr>
            <b/>
            <sz val="8"/>
            <color indexed="81"/>
            <rFont val="Tahoma"/>
            <family val="2"/>
          </rPr>
          <t xml:space="preserve">
2/27/2013 guidance: </t>
        </r>
        <r>
          <rPr>
            <sz val="8"/>
            <color indexed="81"/>
            <rFont val="Tahoma"/>
            <family val="2"/>
          </rPr>
          <t>$6.2Bn</t>
        </r>
      </text>
    </comment>
    <comment ref="CX10" authorId="6">
      <text>
        <r>
          <rPr>
            <b/>
            <sz val="8"/>
            <color indexed="81"/>
            <rFont val="Tahoma"/>
            <family val="2"/>
          </rPr>
          <t>2/26/14: $6.5-6.6B</t>
        </r>
        <r>
          <rPr>
            <sz val="8"/>
            <color indexed="81"/>
            <rFont val="Tahoma"/>
            <family val="2"/>
          </rPr>
          <t xml:space="preserve">
</t>
        </r>
      </text>
    </comment>
    <comment ref="CZ10" authorId="6">
      <text>
        <r>
          <rPr>
            <b/>
            <sz val="8"/>
            <color indexed="81"/>
            <rFont val="Tahoma"/>
            <family val="2"/>
          </rPr>
          <t xml:space="preserve">2/26/14 guidance: </t>
        </r>
        <r>
          <rPr>
            <sz val="8"/>
            <color indexed="81"/>
            <rFont val="Tahoma"/>
            <family val="2"/>
          </rPr>
          <t>1-2%. Marmaxx 1-2%</t>
        </r>
        <r>
          <rPr>
            <sz val="8"/>
            <color indexed="81"/>
            <rFont val="Tahoma"/>
            <family val="2"/>
          </rPr>
          <t xml:space="preserve">
</t>
        </r>
      </text>
    </comment>
    <comment ref="DB10" authorId="7">
      <text>
        <r>
          <rPr>
            <b/>
            <sz val="9"/>
            <color indexed="81"/>
            <rFont val="Tahoma"/>
            <family val="2"/>
          </rPr>
          <t>Turley, Amber (Research):</t>
        </r>
        <r>
          <rPr>
            <sz val="9"/>
            <color indexed="81"/>
            <rFont val="Tahoma"/>
            <family val="2"/>
          </rPr>
          <t xml:space="preserve">
2/28/15 guidance: $6.7-$6.8B (assumes 3% F/X translational hit)</t>
        </r>
      </text>
    </comment>
    <comment ref="DC10" authorId="8">
      <text>
        <r>
          <rPr>
            <b/>
            <sz val="9"/>
            <color indexed="81"/>
            <rFont val="Tahoma"/>
            <family val="2"/>
          </rPr>
          <t>Mains, Spencer (Research):</t>
        </r>
        <r>
          <rPr>
            <sz val="9"/>
            <color indexed="81"/>
            <rFont val="Tahoma"/>
            <family val="2"/>
          </rPr>
          <t xml:space="preserve">
5/19/15: The movement in FX exchange rates had a -3% impact on consolidated net sales growth vs. the prior year</t>
        </r>
      </text>
    </comment>
    <comment ref="DD10" authorId="7">
      <text>
        <r>
          <rPr>
            <sz val="9"/>
            <color indexed="81"/>
            <rFont val="Tahoma"/>
            <family val="2"/>
          </rPr>
          <t xml:space="preserve">
5/19/15: Comp sales were almost entirely driven by customer traffic and we had a significant increase in units sold.
</t>
        </r>
        <r>
          <rPr>
            <b/>
            <sz val="9"/>
            <color indexed="81"/>
            <rFont val="Tahoma"/>
            <family val="2"/>
          </rPr>
          <t>2/25/15 guidance: 2-3%</t>
        </r>
      </text>
    </comment>
    <comment ref="DF10" authorId="9">
      <text>
        <r>
          <rPr>
            <b/>
            <sz val="9"/>
            <color indexed="81"/>
            <rFont val="Tahoma"/>
            <family val="2"/>
          </rPr>
          <t>Baglione, Gregory  (Research):</t>
        </r>
        <r>
          <rPr>
            <sz val="9"/>
            <color indexed="81"/>
            <rFont val="Tahoma"/>
            <family val="2"/>
          </rPr>
          <t xml:space="preserve">
2/24/16
$7.2-$7.3B</t>
        </r>
      </text>
    </comment>
    <comment ref="DH10" authorId="9">
      <text>
        <r>
          <rPr>
            <b/>
            <sz val="9"/>
            <color indexed="81"/>
            <rFont val="Tahoma"/>
            <family val="2"/>
          </rPr>
          <t>Baglione, Gregory  (Research):</t>
        </r>
        <r>
          <rPr>
            <sz val="9"/>
            <color indexed="81"/>
            <rFont val="Tahoma"/>
            <family val="2"/>
          </rPr>
          <t xml:space="preserve">
5/17/16
We are particularly pleased with our very strong customer traffic, which drove the comp increases at every division
traffic was the primary driver of our comp increases at every division. We also saw a strong increase in our
units sold again this quarter. As we anticipated, overall average ticket decreased.
2/24/16</t>
        </r>
        <r>
          <rPr>
            <b/>
            <sz val="9"/>
            <color indexed="81"/>
            <rFont val="Tahoma"/>
            <family val="2"/>
          </rPr>
          <t xml:space="preserve">
</t>
        </r>
        <r>
          <rPr>
            <sz val="9"/>
            <color indexed="81"/>
            <rFont val="Tahoma"/>
            <family val="2"/>
          </rPr>
          <t xml:space="preserve">2-3% comp gains
</t>
        </r>
      </text>
    </comment>
    <comment ref="DJ10" authorId="10">
      <text>
        <r>
          <rPr>
            <b/>
            <sz val="9"/>
            <color indexed="81"/>
            <rFont val="Tahoma"/>
            <family val="2"/>
          </rPr>
          <t>Roberts, Cynthia (Research):</t>
        </r>
        <r>
          <rPr>
            <sz val="9"/>
            <color indexed="81"/>
            <rFont val="Tahoma"/>
            <family val="2"/>
          </rPr>
          <t xml:space="preserve">
2/22/17: Guidance: $7.8B</t>
        </r>
      </text>
    </comment>
    <comment ref="DL10" authorId="10">
      <text>
        <r>
          <rPr>
            <b/>
            <sz val="9"/>
            <color indexed="81"/>
            <rFont val="Tahoma"/>
            <family val="2"/>
          </rPr>
          <t>Roberts, Cynthia (Research):</t>
        </r>
        <r>
          <rPr>
            <sz val="9"/>
            <color indexed="81"/>
            <rFont val="Tahoma"/>
            <family val="2"/>
          </rPr>
          <t xml:space="preserve">
5/16/17: trends improved throughout the quarter; comp driven by traffic
2/22/17: Guidance: flat to +1%; </t>
        </r>
      </text>
    </comment>
    <comment ref="DN10" authorId="10">
      <text>
        <r>
          <rPr>
            <b/>
            <sz val="9"/>
            <color indexed="81"/>
            <rFont val="Tahoma"/>
            <family val="2"/>
          </rPr>
          <t>Roberts, Cynthia (Research):</t>
        </r>
        <r>
          <rPr>
            <sz val="9"/>
            <color indexed="81"/>
            <rFont val="Tahoma"/>
            <family val="2"/>
          </rPr>
          <t xml:space="preserve">
2/28/18: Guidance $8.5-8.6B, +2% FX benefit</t>
        </r>
      </text>
    </comment>
    <comment ref="DP10" authorId="10">
      <text>
        <r>
          <rPr>
            <b/>
            <sz val="9"/>
            <color indexed="81"/>
            <rFont val="Tahoma"/>
            <family val="2"/>
          </rPr>
          <t>Roberts, Cynthia (Research):</t>
        </r>
        <r>
          <rPr>
            <sz val="9"/>
            <color indexed="81"/>
            <rFont val="Tahoma"/>
            <family val="2"/>
          </rPr>
          <t xml:space="preserve">
2/28/18: Guidance +1-2%</t>
        </r>
      </text>
    </comment>
    <comment ref="F11" authorId="0">
      <text>
        <r>
          <rPr>
            <b/>
            <sz val="8"/>
            <color indexed="81"/>
            <rFont val="Tahoma"/>
            <family val="2"/>
          </rPr>
          <t>lehman:</t>
        </r>
        <r>
          <rPr>
            <sz val="8"/>
            <color indexed="81"/>
            <rFont val="Tahoma"/>
            <family val="2"/>
          </rPr>
          <t xml:space="preserve">
441.66</t>
        </r>
      </text>
    </comment>
    <comment ref="J11" authorId="0">
      <text>
        <r>
          <rPr>
            <b/>
            <sz val="8"/>
            <color indexed="81"/>
            <rFont val="Tahoma"/>
            <family val="2"/>
          </rPr>
          <t>lehman:</t>
        </r>
        <r>
          <rPr>
            <sz val="8"/>
            <color indexed="81"/>
            <rFont val="Tahoma"/>
            <family val="2"/>
          </rPr>
          <t xml:space="preserve">
503.972</t>
        </r>
      </text>
    </comment>
    <comment ref="N11" authorId="0">
      <text>
        <r>
          <rPr>
            <b/>
            <sz val="8"/>
            <color indexed="81"/>
            <rFont val="Tahoma"/>
            <family val="2"/>
          </rPr>
          <t>lehman:</t>
        </r>
        <r>
          <rPr>
            <sz val="8"/>
            <color indexed="81"/>
            <rFont val="Tahoma"/>
            <family val="2"/>
          </rPr>
          <t xml:space="preserve">
591.244</t>
        </r>
      </text>
    </comment>
    <comment ref="BF11" authorId="0">
      <text>
        <r>
          <rPr>
            <sz val="8"/>
            <color indexed="81"/>
            <rFont val="Tahoma"/>
            <family val="2"/>
          </rPr>
          <t>3021.9,3109.3</t>
        </r>
      </text>
    </comment>
    <comment ref="BJ11" authorId="11">
      <text>
        <r>
          <rPr>
            <b/>
            <sz val="8"/>
            <color indexed="81"/>
            <rFont val="Tahoma"/>
            <family val="2"/>
          </rPr>
          <t>Melissa Sefl:</t>
        </r>
        <r>
          <rPr>
            <sz val="8"/>
            <color indexed="81"/>
            <rFont val="Tahoma"/>
            <family val="2"/>
          </rPr>
          <t xml:space="preserve">
3419</t>
        </r>
      </text>
    </comment>
    <comment ref="BN11" authorId="1">
      <text>
        <r>
          <rPr>
            <b/>
            <sz val="8"/>
            <color indexed="81"/>
            <rFont val="Tahoma"/>
            <family val="2"/>
          </rPr>
          <t>Morry Brown:</t>
        </r>
        <r>
          <rPr>
            <sz val="8"/>
            <color indexed="81"/>
            <rFont val="Tahoma"/>
            <family val="2"/>
          </rPr>
          <t xml:space="preserve">
3703.3 est
company gave sales for 1H as $7.3 billion in release</t>
        </r>
      </text>
    </comment>
    <comment ref="BP11" authorId="1">
      <text>
        <r>
          <rPr>
            <b/>
            <sz val="8"/>
            <color indexed="81"/>
            <rFont val="Tahoma"/>
            <family val="2"/>
          </rPr>
          <t>Morry Brown:</t>
        </r>
        <r>
          <rPr>
            <sz val="8"/>
            <color indexed="81"/>
            <rFont val="Tahoma"/>
            <family val="2"/>
          </rPr>
          <t xml:space="preserve">
+2</t>
        </r>
      </text>
    </comment>
    <comment ref="BV11" authorId="12">
      <text>
        <r>
          <rPr>
            <sz val="8"/>
            <color indexed="81"/>
            <rFont val="Tahoma"/>
            <family val="2"/>
          </rPr>
          <t>est $4292.9</t>
        </r>
        <r>
          <rPr>
            <b/>
            <sz val="8"/>
            <color indexed="81"/>
            <rFont val="Tahoma"/>
            <family val="2"/>
          </rPr>
          <t xml:space="preserve">
oc48540:</t>
        </r>
        <r>
          <rPr>
            <sz val="8"/>
            <color indexed="81"/>
            <rFont val="Tahoma"/>
            <family val="2"/>
          </rPr>
          <t xml:space="preserve">
1Q07: Guided to $4.2bn-$4.3bn</t>
        </r>
      </text>
    </comment>
    <comment ref="BX11" authorId="2">
      <text>
        <r>
          <rPr>
            <b/>
            <sz val="8"/>
            <color indexed="81"/>
            <rFont val="Tahoma"/>
            <family val="2"/>
          </rPr>
          <t>mm98285:</t>
        </r>
        <r>
          <rPr>
            <sz val="8"/>
            <color indexed="81"/>
            <rFont val="Tahoma"/>
            <family val="2"/>
          </rPr>
          <t xml:space="preserve">
FX benefited total comp sales by 1%.</t>
        </r>
      </text>
    </comment>
    <comment ref="BZ11" authorId="13">
      <text>
        <r>
          <rPr>
            <b/>
            <sz val="8"/>
            <color indexed="81"/>
            <rFont val="Tahoma"/>
            <family val="2"/>
          </rPr>
          <t>OC48540:</t>
        </r>
        <r>
          <rPr>
            <sz val="8"/>
            <color indexed="81"/>
            <rFont val="Tahoma"/>
            <family val="2"/>
          </rPr>
          <t xml:space="preserve">
$4621.292M prior to restatement
5/13/08: exp. $4.6bn</t>
        </r>
      </text>
    </comment>
    <comment ref="CB11" authorId="13">
      <text>
        <r>
          <rPr>
            <b/>
            <sz val="8"/>
            <color indexed="81"/>
            <rFont val="Tahoma"/>
            <family val="2"/>
          </rPr>
          <t>OC48540:</t>
        </r>
        <r>
          <rPr>
            <sz val="8"/>
            <color indexed="81"/>
            <rFont val="Tahoma"/>
            <family val="2"/>
          </rPr>
          <t xml:space="preserve">
FX benefit = 0.5%
5/08: EPS guid based on +3% comp (includes +0.5% due to fx rates)
3/16/16
Restating to +3% vs. +4% per management</t>
        </r>
      </text>
    </comment>
    <comment ref="CD11" authorId="2">
      <text>
        <r>
          <rPr>
            <b/>
            <sz val="8"/>
            <color indexed="81"/>
            <rFont val="Tahoma"/>
            <family val="2"/>
          </rPr>
          <t>mm98285:</t>
        </r>
        <r>
          <rPr>
            <sz val="8"/>
            <color indexed="81"/>
            <rFont val="Tahoma"/>
            <family val="2"/>
          </rPr>
          <t xml:space="preserve">
5/09: $4.4-$4.5BN</t>
        </r>
      </text>
    </comment>
    <comment ref="CF11" authorId="2">
      <text>
        <r>
          <rPr>
            <b/>
            <sz val="8"/>
            <color indexed="81"/>
            <rFont val="Tahoma"/>
            <family val="2"/>
          </rPr>
          <t>mm98285:</t>
        </r>
        <r>
          <rPr>
            <sz val="8"/>
            <color indexed="81"/>
            <rFont val="Tahoma"/>
            <family val="2"/>
          </rPr>
          <t xml:space="preserve">
5/09: guide to flat to -2%
12/08: assume F/X ~-5%</t>
        </r>
      </text>
    </comment>
    <comment ref="CJ11" authorId="14">
      <text>
        <r>
          <rPr>
            <b/>
            <sz val="8"/>
            <color indexed="81"/>
            <rFont val="Tahoma"/>
            <family val="2"/>
          </rPr>
          <t xml:space="preserve">lr73192:
</t>
        </r>
        <r>
          <rPr>
            <sz val="8"/>
            <color indexed="81"/>
            <rFont val="Tahoma"/>
            <family val="2"/>
          </rPr>
          <t>8/7: +4%</t>
        </r>
        <r>
          <rPr>
            <b/>
            <sz val="8"/>
            <color indexed="81"/>
            <rFont val="Tahoma"/>
            <family val="2"/>
          </rPr>
          <t xml:space="preserve">
</t>
        </r>
        <r>
          <rPr>
            <sz val="8"/>
            <color indexed="81"/>
            <rFont val="Tahoma"/>
            <family val="2"/>
          </rPr>
          <t>6/2/10: @ 4%</t>
        </r>
        <r>
          <rPr>
            <b/>
            <sz val="8"/>
            <color indexed="81"/>
            <rFont val="Tahoma"/>
            <family val="2"/>
          </rPr>
          <t xml:space="preserve">
</t>
        </r>
        <r>
          <rPr>
            <sz val="8"/>
            <color indexed="81"/>
            <rFont val="Tahoma"/>
            <family val="2"/>
          </rPr>
          <t>5/10: 2-4%</t>
        </r>
      </text>
    </comment>
    <comment ref="CL11" authorId="3">
      <text>
        <r>
          <rPr>
            <b/>
            <sz val="8"/>
            <color indexed="81"/>
            <rFont val="Tahoma"/>
            <family val="2"/>
          </rPr>
          <t xml:space="preserve">5/17/11: </t>
        </r>
        <r>
          <rPr>
            <sz val="8"/>
            <color indexed="81"/>
            <rFont val="Tahoma"/>
            <family val="2"/>
          </rPr>
          <t>$5.4-$5.5Bn</t>
        </r>
        <r>
          <rPr>
            <sz val="8"/>
            <color indexed="81"/>
            <rFont val="Tahoma"/>
            <family val="2"/>
          </rPr>
          <t xml:space="preserve">
</t>
        </r>
      </text>
    </comment>
    <comment ref="CN11" authorId="3">
      <text>
        <r>
          <rPr>
            <b/>
            <sz val="8"/>
            <color indexed="81"/>
            <rFont val="Tahoma"/>
            <family val="2"/>
          </rPr>
          <t xml:space="preserve">7/7: </t>
        </r>
        <r>
          <rPr>
            <sz val="8"/>
            <color indexed="81"/>
            <rFont val="Tahoma"/>
            <family val="2"/>
          </rPr>
          <t>2Q comp raised to 3-4%</t>
        </r>
        <r>
          <rPr>
            <b/>
            <sz val="8"/>
            <color indexed="81"/>
            <rFont val="Tahoma"/>
            <family val="2"/>
          </rPr>
          <t xml:space="preserve">
5/17/11: </t>
        </r>
        <r>
          <rPr>
            <sz val="8"/>
            <color indexed="81"/>
            <rFont val="Tahoma"/>
            <family val="2"/>
          </rPr>
          <t>Exp 1-3% comp</t>
        </r>
        <r>
          <rPr>
            <sz val="8"/>
            <color indexed="81"/>
            <rFont val="Tahoma"/>
            <family val="2"/>
          </rPr>
          <t xml:space="preserve">
</t>
        </r>
        <r>
          <rPr>
            <b/>
            <sz val="8"/>
            <color indexed="81"/>
            <rFont val="Tahoma"/>
            <family val="2"/>
          </rPr>
          <t>2/11:</t>
        </r>
        <r>
          <rPr>
            <sz val="8"/>
            <color indexed="81"/>
            <rFont val="Tahoma"/>
            <family val="2"/>
          </rPr>
          <t xml:space="preserve"> Exp 2-3% comp</t>
        </r>
      </text>
    </comment>
    <comment ref="CP11" authorId="3">
      <text>
        <r>
          <rPr>
            <b/>
            <sz val="8"/>
            <color indexed="81"/>
            <rFont val="Tahoma"/>
            <family val="2"/>
          </rPr>
          <t>8/14/2012</t>
        </r>
        <r>
          <rPr>
            <sz val="8"/>
            <color indexed="81"/>
            <rFont val="Tahoma"/>
            <family val="2"/>
          </rPr>
          <t xml:space="preserve">:
-$78M FX impact; $6,023M on constact currency basis (no impact LY)
</t>
        </r>
        <r>
          <rPr>
            <b/>
            <sz val="8"/>
            <color indexed="81"/>
            <rFont val="Tahoma"/>
            <family val="2"/>
          </rPr>
          <t>lauraro:</t>
        </r>
        <r>
          <rPr>
            <sz val="8"/>
            <color indexed="81"/>
            <rFont val="Tahoma"/>
            <family val="2"/>
          </rPr>
          <t xml:space="preserve">
$5.7-$5.8Bn</t>
        </r>
      </text>
    </comment>
    <comment ref="CR11" authorId="3">
      <text>
        <r>
          <rPr>
            <b/>
            <sz val="8"/>
            <color indexed="81"/>
            <rFont val="Tahoma"/>
            <family val="2"/>
          </rPr>
          <t xml:space="preserve">8/14/2012: </t>
        </r>
        <r>
          <rPr>
            <sz val="8"/>
            <color indexed="81"/>
            <rFont val="Tahoma"/>
            <family val="2"/>
          </rPr>
          <t xml:space="preserve">comparable stores sales +7%
</t>
        </r>
        <r>
          <rPr>
            <b/>
            <sz val="8"/>
            <color indexed="81"/>
            <rFont val="Tahoma"/>
            <family val="2"/>
          </rPr>
          <t xml:space="preserve">
lauraro:</t>
        </r>
        <r>
          <rPr>
            <sz val="8"/>
            <color indexed="81"/>
            <rFont val="Tahoma"/>
            <family val="2"/>
          </rPr>
          <t xml:space="preserve">
</t>
        </r>
        <r>
          <rPr>
            <b/>
            <sz val="8"/>
            <color indexed="81"/>
            <rFont val="Tahoma"/>
            <family val="2"/>
          </rPr>
          <t xml:space="preserve">5/15: </t>
        </r>
        <r>
          <rPr>
            <sz val="8"/>
            <color indexed="81"/>
            <rFont val="Tahoma"/>
            <family val="2"/>
          </rPr>
          <t>expect 2-4%</t>
        </r>
      </text>
    </comment>
    <comment ref="CT11" authorId="5">
      <text>
        <r>
          <rPr>
            <b/>
            <sz val="8"/>
            <color indexed="81"/>
            <rFont val="Tahoma"/>
            <family val="2"/>
          </rPr>
          <t xml:space="preserve">5/21/2013 guidance: </t>
        </r>
        <r>
          <rPr>
            <sz val="8"/>
            <color indexed="81"/>
            <rFont val="Tahoma"/>
            <family val="2"/>
          </rPr>
          <t>$6.3-$6.4Bn range</t>
        </r>
      </text>
    </comment>
    <comment ref="CU11" authorId="15">
      <text>
        <r>
          <rPr>
            <sz val="8"/>
            <color indexed="81"/>
            <rFont val="Tahoma"/>
            <family val="2"/>
          </rPr>
          <t xml:space="preserve">8/20/13: The movement in foreign currency exchange rates had a one percentage point negative impact on consolidated net sales growth in the second quarter of Fiscal 2014 versus the prior year. </t>
        </r>
      </text>
    </comment>
    <comment ref="CV11" authorId="5">
      <text>
        <r>
          <rPr>
            <b/>
            <sz val="8"/>
            <color indexed="81"/>
            <rFont val="Tahoma"/>
            <family val="2"/>
          </rPr>
          <t xml:space="preserve">5/21/2013 guidance: </t>
        </r>
        <r>
          <rPr>
            <sz val="8"/>
            <color indexed="81"/>
            <rFont val="Tahoma"/>
            <family val="2"/>
          </rPr>
          <t>2-3%</t>
        </r>
      </text>
    </comment>
    <comment ref="CX11" authorId="16">
      <text>
        <r>
          <rPr>
            <b/>
            <sz val="9"/>
            <color indexed="81"/>
            <rFont val="Tahoma"/>
            <family val="2"/>
          </rPr>
          <t xml:space="preserve">5/20/14 guidance: </t>
        </r>
        <r>
          <rPr>
            <sz val="9"/>
            <color indexed="81"/>
            <rFont val="Tahoma"/>
            <family val="2"/>
          </rPr>
          <t>$6.8-6.9B</t>
        </r>
      </text>
    </comment>
    <comment ref="CZ11" authorId="16">
      <text>
        <r>
          <rPr>
            <b/>
            <sz val="9"/>
            <color indexed="81"/>
            <rFont val="Tahoma"/>
            <family val="2"/>
          </rPr>
          <t>8/19/14 Guidance:</t>
        </r>
        <r>
          <rPr>
            <sz val="9"/>
            <color indexed="81"/>
            <rFont val="Tahoma"/>
            <family val="2"/>
          </rPr>
          <t xml:space="preserve"> Driven by ticket. Traffic was flat, positive in July. Carol: "For our brick and mortar businesses only, merchandise margins were slightly up. Customer traffic improved every month of the quarter versus last year and was slightly positive in July. We were also very pleased with the improvement of our apparel businesses particularly ladies apparel as we discussed on our last call in the First Quarter, we had execution issues in juniors and dresses. I'm happy to say that we saw improvement in those categories in the Second Quarter"
</t>
        </r>
        <r>
          <rPr>
            <b/>
            <sz val="9"/>
            <color indexed="81"/>
            <rFont val="Tahoma"/>
            <family val="2"/>
          </rPr>
          <t xml:space="preserve">
5/20/14 Guidance: </t>
        </r>
        <r>
          <rPr>
            <sz val="9"/>
            <color indexed="81"/>
            <rFont val="Tahoma"/>
            <family val="2"/>
          </rPr>
          <t xml:space="preserve">+2-3%
</t>
        </r>
      </text>
    </comment>
    <comment ref="DB11" authorId="8">
      <text>
        <r>
          <rPr>
            <b/>
            <sz val="9"/>
            <color indexed="81"/>
            <rFont val="Tahoma"/>
            <family val="2"/>
          </rPr>
          <t>Mains, Spencer (Research):</t>
        </r>
        <r>
          <rPr>
            <sz val="9"/>
            <color indexed="81"/>
            <rFont val="Tahoma"/>
            <family val="2"/>
          </rPr>
          <t xml:space="preserve">
5/19/15: 7.1-7.2B guidance, assumes 2 percentage point impact from FX</t>
        </r>
      </text>
    </comment>
    <comment ref="DD11" authorId="8">
      <text>
        <r>
          <rPr>
            <b/>
            <sz val="9"/>
            <color indexed="81"/>
            <rFont val="Tahoma"/>
            <family val="2"/>
          </rPr>
          <t>Mains, Spencer (Research):</t>
        </r>
        <r>
          <rPr>
            <sz val="9"/>
            <color indexed="81"/>
            <rFont val="Tahoma"/>
            <family val="2"/>
          </rPr>
          <t xml:space="preserve">
5/19/15: guidance 2-3%</t>
        </r>
      </text>
    </comment>
    <comment ref="DF11" authorId="9">
      <text>
        <r>
          <rPr>
            <b/>
            <sz val="9"/>
            <color indexed="81"/>
            <rFont val="Tahoma"/>
            <family val="2"/>
          </rPr>
          <t>Baglione, Gregory  (Research):</t>
        </r>
        <r>
          <rPr>
            <sz val="9"/>
            <color indexed="81"/>
            <rFont val="Tahoma"/>
            <family val="2"/>
          </rPr>
          <t xml:space="preserve">
 We're modeling second quarter consolidated sales of $7.7 billion to $7.8 billion.
~1% FX headwind
8/16/16
The movement in foreign currency exchange rates had a two percentage point negative impact on consolidated net sales growth in the second quarter of Fiscal 2017. The overall net impact of foreign currency exchange rates had a $.03 positive impact on second quarter Fiscal 2017 earnings per share, compared with a $.02 positive impact last year.</t>
        </r>
      </text>
    </comment>
    <comment ref="DH11" authorId="9">
      <text>
        <r>
          <rPr>
            <b/>
            <sz val="9"/>
            <color indexed="81"/>
            <rFont val="Tahoma"/>
            <family val="2"/>
          </rPr>
          <t>Baglione, Gregory  (Research):</t>
        </r>
        <r>
          <rPr>
            <sz val="9"/>
            <color indexed="81"/>
            <rFont val="Tahoma"/>
            <family val="2"/>
          </rPr>
          <t xml:space="preserve">
8/16/16
Comp was primarily driven by traffic. Apparel &amp; Home strong.
Traffic increased, units increased, average ticket decreased slightly more than planned. 
5/17/16
comparable store sales growth of 2% to 3%.
</t>
        </r>
      </text>
    </comment>
    <comment ref="DJ11" authorId="10">
      <text>
        <r>
          <rPr>
            <b/>
            <sz val="9"/>
            <color indexed="81"/>
            <rFont val="Tahoma"/>
            <family val="2"/>
          </rPr>
          <t>Roberts, Cynthia (Research):</t>
        </r>
        <r>
          <rPr>
            <sz val="9"/>
            <color indexed="81"/>
            <rFont val="Tahoma"/>
            <family val="2"/>
          </rPr>
          <t xml:space="preserve">
8/15/17: -1% FX impact
5/16/17: Guidance $8.2B, -1% FX impact</t>
        </r>
      </text>
    </comment>
    <comment ref="DL11" authorId="10">
      <text>
        <r>
          <rPr>
            <b/>
            <sz val="9"/>
            <color indexed="81"/>
            <rFont val="Tahoma"/>
            <family val="2"/>
          </rPr>
          <t>Roberts, Cynthia (Research):</t>
        </r>
        <r>
          <rPr>
            <sz val="9"/>
            <color indexed="81"/>
            <rFont val="Tahoma"/>
            <family val="2"/>
          </rPr>
          <t xml:space="preserve">
8/15/17: traffic positive and primary driver of comp at every division
5/16/17: Guidance +1-2%</t>
        </r>
      </text>
    </comment>
    <comment ref="F12" authorId="0">
      <text>
        <r>
          <rPr>
            <b/>
            <sz val="8"/>
            <color indexed="81"/>
            <rFont val="Tahoma"/>
            <family val="2"/>
          </rPr>
          <t>lehman:</t>
        </r>
        <r>
          <rPr>
            <sz val="8"/>
            <color indexed="81"/>
            <rFont val="Tahoma"/>
            <family val="2"/>
          </rPr>
          <t xml:space="preserve">
517.508</t>
        </r>
      </text>
    </comment>
    <comment ref="J12" authorId="0">
      <text>
        <r>
          <rPr>
            <b/>
            <sz val="8"/>
            <color indexed="81"/>
            <rFont val="Tahoma"/>
            <family val="2"/>
          </rPr>
          <t>lehman:</t>
        </r>
        <r>
          <rPr>
            <sz val="8"/>
            <color indexed="81"/>
            <rFont val="Tahoma"/>
            <family val="2"/>
          </rPr>
          <t xml:space="preserve">
571.978</t>
        </r>
      </text>
    </comment>
    <comment ref="N12" authorId="0">
      <text>
        <r>
          <rPr>
            <b/>
            <sz val="8"/>
            <color indexed="81"/>
            <rFont val="Tahoma"/>
            <family val="2"/>
          </rPr>
          <t>lehman:</t>
        </r>
        <r>
          <rPr>
            <sz val="8"/>
            <color indexed="81"/>
            <rFont val="Tahoma"/>
            <family val="2"/>
          </rPr>
          <t xml:space="preserve">
669.18</t>
        </r>
      </text>
    </comment>
    <comment ref="BF12" authorId="0">
      <text>
        <r>
          <rPr>
            <sz val="8"/>
            <color indexed="81"/>
            <rFont val="Tahoma"/>
            <family val="2"/>
          </rPr>
          <t>3388.2
3411 based on sum of months, did not give actual</t>
        </r>
      </text>
    </comment>
    <comment ref="BJ12" authorId="11">
      <text>
        <r>
          <rPr>
            <sz val="8"/>
            <color indexed="81"/>
            <rFont val="Tahoma"/>
            <family val="2"/>
          </rPr>
          <t>3,780.7</t>
        </r>
      </text>
    </comment>
    <comment ref="BN12" authorId="1">
      <text>
        <r>
          <rPr>
            <b/>
            <sz val="8"/>
            <color indexed="81"/>
            <rFont val="Tahoma"/>
            <family val="2"/>
          </rPr>
          <t>Morry Brown:</t>
        </r>
        <r>
          <rPr>
            <sz val="8"/>
            <color indexed="81"/>
            <rFont val="Tahoma"/>
            <family val="2"/>
          </rPr>
          <t xml:space="preserve">
do not give number in PR… 4,020 is sum of months, they will give actual during earnings</t>
        </r>
      </text>
    </comment>
    <comment ref="BP12" authorId="1">
      <text>
        <r>
          <rPr>
            <b/>
            <sz val="8"/>
            <color indexed="81"/>
            <rFont val="Tahoma"/>
            <family val="2"/>
          </rPr>
          <t>Morry Brown:</t>
        </r>
        <r>
          <rPr>
            <sz val="8"/>
            <color indexed="81"/>
            <rFont val="Tahoma"/>
            <family val="2"/>
          </rPr>
          <t xml:space="preserve">
+1</t>
        </r>
      </text>
    </comment>
    <comment ref="BR12" authorId="2">
      <text>
        <r>
          <rPr>
            <b/>
            <sz val="8"/>
            <color indexed="81"/>
            <rFont val="Tahoma"/>
            <family val="2"/>
          </rPr>
          <t>mm98285:</t>
        </r>
        <r>
          <rPr>
            <sz val="8"/>
            <color indexed="81"/>
            <rFont val="Tahoma"/>
            <family val="2"/>
          </rPr>
          <t xml:space="preserve">
8/06: expect $4.4B</t>
        </r>
      </text>
    </comment>
    <comment ref="BT12" authorId="2">
      <text>
        <r>
          <rPr>
            <b/>
            <sz val="8"/>
            <color indexed="81"/>
            <rFont val="Tahoma"/>
            <family val="2"/>
          </rPr>
          <t>mm98285:</t>
        </r>
        <r>
          <rPr>
            <sz val="8"/>
            <color indexed="81"/>
            <rFont val="Tahoma"/>
            <family val="2"/>
          </rPr>
          <t xml:space="preserve">
8/06: 3Q EPS guidance based on +3-4% comp</t>
        </r>
      </text>
    </comment>
    <comment ref="BV12" authorId="12">
      <text>
        <r>
          <rPr>
            <b/>
            <sz val="8"/>
            <color indexed="81"/>
            <rFont val="Tahoma"/>
            <family val="2"/>
          </rPr>
          <t>oc48540:</t>
        </r>
        <r>
          <rPr>
            <sz val="8"/>
            <color indexed="81"/>
            <rFont val="Tahoma"/>
            <family val="2"/>
          </rPr>
          <t xml:space="preserve">
$4737.491 before restatement
@2Q07: Expects ~$4.8bn</t>
        </r>
      </text>
    </comment>
    <comment ref="BX12" authorId="12">
      <text>
        <r>
          <rPr>
            <b/>
            <sz val="8"/>
            <color indexed="81"/>
            <rFont val="Tahoma"/>
            <family val="2"/>
          </rPr>
          <t>oc48540:</t>
        </r>
        <r>
          <rPr>
            <sz val="8"/>
            <color indexed="81"/>
            <rFont val="Tahoma"/>
            <family val="2"/>
          </rPr>
          <t xml:space="preserve">
FX benefited comp by 2%
@ Aug: guided to +2-3% (flat to 1% at MM)</t>
        </r>
      </text>
    </comment>
    <comment ref="BZ12" authorId="2">
      <text>
        <r>
          <rPr>
            <b/>
            <sz val="8"/>
            <color indexed="81"/>
            <rFont val="Tahoma"/>
            <family val="2"/>
          </rPr>
          <t>mm98285:</t>
        </r>
        <r>
          <rPr>
            <sz val="8"/>
            <color indexed="81"/>
            <rFont val="Tahoma"/>
            <family val="2"/>
          </rPr>
          <t xml:space="preserve">
8/08: guided to $5.1B</t>
        </r>
      </text>
    </comment>
    <comment ref="CB12" authorId="2">
      <text>
        <r>
          <rPr>
            <b/>
            <sz val="8"/>
            <color indexed="81"/>
            <rFont val="Tahoma"/>
            <family val="2"/>
          </rPr>
          <t>mm98285:</t>
        </r>
        <r>
          <rPr>
            <sz val="8"/>
            <color indexed="81"/>
            <rFont val="Tahoma"/>
            <family val="2"/>
          </rPr>
          <t xml:space="preserve">
-2% F/X impact
10/08: expect flat to +1%
8/08: guid assumes +2-3% comp w/neutral F/X impact (MM +2-3%)
3/16/16
Per management restating to +1% vs. -1%</t>
        </r>
      </text>
    </comment>
    <comment ref="CD12" authorId="2">
      <text>
        <r>
          <rPr>
            <b/>
            <sz val="8"/>
            <color indexed="81"/>
            <rFont val="Tahoma"/>
            <family val="2"/>
          </rPr>
          <t>mm98285:</t>
        </r>
        <r>
          <rPr>
            <sz val="8"/>
            <color indexed="81"/>
            <rFont val="Tahoma"/>
            <family val="2"/>
          </rPr>
          <t xml:space="preserve">
8/09: $5.0-$5.1BN</t>
        </r>
      </text>
    </comment>
    <comment ref="CF12" authorId="2">
      <text>
        <r>
          <rPr>
            <b/>
            <sz val="8"/>
            <color indexed="81"/>
            <rFont val="Tahoma"/>
            <family val="2"/>
          </rPr>
          <t>mm98285:</t>
        </r>
        <r>
          <rPr>
            <sz val="8"/>
            <color indexed="81"/>
            <rFont val="Tahoma"/>
            <family val="2"/>
          </rPr>
          <t xml:space="preserve">
excl. -1% F/X impact
8/09: +2-4%
12/08: assume F/X ~-2-3%</t>
        </r>
      </text>
    </comment>
    <comment ref="CH12" authorId="3">
      <text>
        <r>
          <rPr>
            <b/>
            <sz val="8"/>
            <color indexed="81"/>
            <rFont val="Tahoma"/>
            <family val="2"/>
          </rPr>
          <t>lauraro:</t>
        </r>
        <r>
          <rPr>
            <sz val="8"/>
            <color indexed="81"/>
            <rFont val="Tahoma"/>
            <family val="2"/>
          </rPr>
          <t xml:space="preserve">
11/10: we est $5,478.9
8/10: mgmt guided to $5.5Bn</t>
        </r>
      </text>
    </comment>
    <comment ref="CJ12" authorId="3">
      <text>
        <r>
          <rPr>
            <b/>
            <sz val="8"/>
            <color indexed="81"/>
            <rFont val="Tahoma"/>
            <family val="2"/>
          </rPr>
          <t xml:space="preserve">11/10: </t>
        </r>
        <r>
          <rPr>
            <sz val="8"/>
            <color indexed="81"/>
            <rFont val="Tahoma"/>
            <family val="2"/>
          </rPr>
          <t>+1%</t>
        </r>
        <r>
          <rPr>
            <b/>
            <sz val="8"/>
            <color indexed="81"/>
            <rFont val="Tahoma"/>
            <family val="2"/>
          </rPr>
          <t xml:space="preserve">
lauraro:</t>
        </r>
        <r>
          <rPr>
            <sz val="8"/>
            <color indexed="81"/>
            <rFont val="Tahoma"/>
            <family val="2"/>
          </rPr>
          <t xml:space="preserve">
8/10: expect +0-2%
expect 2H flat to -1% </t>
        </r>
      </text>
    </comment>
    <comment ref="CL12" authorId="3">
      <text>
        <r>
          <rPr>
            <b/>
            <sz val="8"/>
            <color indexed="81"/>
            <rFont val="Tahoma"/>
            <family val="2"/>
          </rPr>
          <t>lauraro:</t>
        </r>
        <r>
          <rPr>
            <sz val="8"/>
            <color indexed="81"/>
            <rFont val="Tahoma"/>
            <family val="2"/>
          </rPr>
          <t xml:space="preserve">
3Q: $5.8B-$5.9B
2H: $12.3-$12.5B</t>
        </r>
      </text>
    </comment>
    <comment ref="CM12" authorId="15">
      <text>
        <r>
          <rPr>
            <b/>
            <sz val="8"/>
            <color indexed="81"/>
            <rFont val="Tahoma"/>
            <family val="2"/>
          </rPr>
          <t>solejay:</t>
        </r>
        <r>
          <rPr>
            <sz val="8"/>
            <color indexed="81"/>
            <rFont val="Tahoma"/>
            <family val="2"/>
          </rPr>
          <t xml:space="preserve">
11/15: CEO - The movement in foreign currency exchange rates had a 1 percentage point positive impact on consolidated net sales growth in the third quarter of Fiscal 2012.</t>
        </r>
      </text>
    </comment>
    <comment ref="CN12" authorId="3">
      <text>
        <r>
          <rPr>
            <b/>
            <sz val="8"/>
            <color indexed="81"/>
            <rFont val="Tahoma"/>
            <family val="2"/>
          </rPr>
          <t xml:space="preserve">lauraro:
10/25/11: </t>
        </r>
        <r>
          <rPr>
            <sz val="8"/>
            <color indexed="81"/>
            <rFont val="Tahoma"/>
            <family val="2"/>
          </rPr>
          <t>+2% to +3%</t>
        </r>
        <r>
          <rPr>
            <sz val="8"/>
            <color indexed="81"/>
            <rFont val="Tahoma"/>
            <family val="2"/>
          </rPr>
          <t xml:space="preserve">
8/16/11: +2% to +3%</t>
        </r>
      </text>
    </comment>
    <comment ref="CP12" authorId="5">
      <text>
        <r>
          <rPr>
            <b/>
            <sz val="8"/>
            <color indexed="81"/>
            <rFont val="Tahoma"/>
            <family val="2"/>
          </rPr>
          <t xml:space="preserve">8/14/12: </t>
        </r>
        <r>
          <rPr>
            <sz val="8"/>
            <color indexed="81"/>
            <rFont val="Tahoma"/>
            <family val="2"/>
          </rPr>
          <t>$6.1-6.2Bn</t>
        </r>
      </text>
    </comment>
    <comment ref="CR12" authorId="3">
      <text>
        <r>
          <rPr>
            <b/>
            <sz val="8"/>
            <color indexed="81"/>
            <rFont val="Tahoma"/>
            <family val="2"/>
          </rPr>
          <t xml:space="preserve">8/14/12: </t>
        </r>
        <r>
          <rPr>
            <sz val="8"/>
            <color indexed="81"/>
            <rFont val="Tahoma"/>
            <family val="2"/>
          </rPr>
          <t>2H +1-3% guidance</t>
        </r>
        <r>
          <rPr>
            <b/>
            <sz val="8"/>
            <color indexed="81"/>
            <rFont val="Tahoma"/>
            <family val="2"/>
          </rPr>
          <t xml:space="preserve">
</t>
        </r>
        <r>
          <rPr>
            <b/>
            <sz val="8"/>
            <color indexed="81"/>
            <rFont val="Tahoma"/>
            <family val="2"/>
          </rPr>
          <t xml:space="preserve">5/15 guidance </t>
        </r>
        <r>
          <rPr>
            <sz val="8"/>
            <color indexed="81"/>
            <rFont val="Tahoma"/>
            <family val="2"/>
          </rPr>
          <t>2H +0-1% increase; 3Q +2-4% w/ sales $6.1-6.2Bn</t>
        </r>
      </text>
    </comment>
    <comment ref="CT12" authorId="15">
      <text>
        <r>
          <rPr>
            <b/>
            <sz val="8"/>
            <color indexed="81"/>
            <rFont val="Tahoma"/>
            <family val="2"/>
          </rPr>
          <t>solejay:</t>
        </r>
        <r>
          <rPr>
            <sz val="8"/>
            <color indexed="81"/>
            <rFont val="Tahoma"/>
            <family val="2"/>
          </rPr>
          <t xml:space="preserve">
8/20/13 guide = $6.8-$6.9B</t>
        </r>
      </text>
    </comment>
    <comment ref="CV12" authorId="17">
      <text>
        <r>
          <rPr>
            <b/>
            <sz val="8"/>
            <color indexed="81"/>
            <rFont val="Tahoma"/>
            <family val="2"/>
          </rPr>
          <t>casselau:</t>
        </r>
        <r>
          <rPr>
            <sz val="8"/>
            <color indexed="81"/>
            <rFont val="Tahoma"/>
            <family val="2"/>
          </rPr>
          <t xml:space="preserve">
8/20/13: guidance +2-3%</t>
        </r>
      </text>
    </comment>
    <comment ref="CX12" authorId="16">
      <text>
        <r>
          <rPr>
            <b/>
            <sz val="9"/>
            <color indexed="81"/>
            <rFont val="Tahoma"/>
            <family val="2"/>
          </rPr>
          <t xml:space="preserve">8/19/14 guidance: </t>
        </r>
        <r>
          <rPr>
            <sz val="9"/>
            <color indexed="81"/>
            <rFont val="Tahoma"/>
            <family val="2"/>
          </rPr>
          <t>$7.3-7.5B</t>
        </r>
      </text>
    </comment>
    <comment ref="CZ12" authorId="16">
      <text>
        <r>
          <rPr>
            <b/>
            <sz val="9"/>
            <color indexed="81"/>
            <rFont val="Tahoma"/>
            <family val="2"/>
          </rPr>
          <t>11/18/14</t>
        </r>
        <r>
          <rPr>
            <sz val="9"/>
            <color indexed="81"/>
            <rFont val="Tahoma"/>
            <family val="2"/>
          </rPr>
          <t>: Driven by an increase in units sold, while customer traffic was slightly up and ticket was essentially flat. 
Carol: "we believe they would have been stronger without the negative impact of the weather in the US and Europe. At Marmaxx, we saw solid trends in August and September but with unseasonably warm temperatures across the country in October, apparel sales turned softer. That said, our Marmaxx home, Jewelry and Accessory businesses which are less weather sensitive were outstanding for the quarter. Similarly, the weather turned extraordinarily warm across our European regions in September, which we believe hurt sales, with temperatures starting to cool in November, the fourth quarter is off to a very strong start for TJX overall. "
8/19/14 guidance: +1-2%</t>
        </r>
      </text>
    </comment>
    <comment ref="DD12" authorId="9">
      <text>
        <r>
          <rPr>
            <b/>
            <sz val="9"/>
            <color indexed="81"/>
            <rFont val="Tahoma"/>
            <family val="2"/>
          </rPr>
          <t>Baglione, Gregory  (Research):</t>
        </r>
        <r>
          <rPr>
            <sz val="9"/>
            <color indexed="81"/>
            <rFont val="Tahoma"/>
            <family val="2"/>
          </rPr>
          <t xml:space="preserve">
11/17/15
"The comp was entirely driven by customer traffic. This marks the fourth consecutive quarter that traffic was the primary driver of our comp sales growth."
8/18/15
+2-3% comps vs. prior 1-2%
The Company expects the foreign currency impact to third quarter EPS growth to be significantly greater than originally planned due to the continued decline of the Canadian Dollar.
Total sales $7.6-7.7B range 
Negative 3% hadwind to FX
</t>
        </r>
      </text>
    </comment>
    <comment ref="DF12" authorId="9">
      <text>
        <r>
          <rPr>
            <b/>
            <sz val="9"/>
            <color indexed="81"/>
            <rFont val="Tahoma"/>
            <family val="2"/>
          </rPr>
          <t>Baglione, Gregory  (Research):</t>
        </r>
        <r>
          <rPr>
            <sz val="9"/>
            <color indexed="81"/>
            <rFont val="Tahoma"/>
            <family val="2"/>
          </rPr>
          <t xml:space="preserve">
11/15/16
The movement in foreign currency exchange rates had a two percentage point negative impact on consolidated net sales growth in the third quarter of Fiscal 2017. The overall net impact of foreign currency exchange rates had a $.01 negative impact on third quarter Fiscal 2017 earnings per share, compared with a $.01 negative impact last year. </t>
        </r>
      </text>
    </comment>
    <comment ref="DH12" authorId="18">
      <text>
        <r>
          <rPr>
            <b/>
            <sz val="9"/>
            <color indexed="81"/>
            <rFont val="Tahoma"/>
            <family val="2"/>
          </rPr>
          <t>Baglione, Gregory (Research):</t>
        </r>
        <r>
          <rPr>
            <sz val="9"/>
            <color indexed="81"/>
            <rFont val="Tahoma"/>
            <family val="2"/>
          </rPr>
          <t xml:space="preserve">
11/16/16
Traffic was the continued driver of comp
8/16/16 guidance For the third quarter of Fiscal 2017, the Company expects diluted earnings per share to be in the range of $.83 to $.85 compared to $.86 last year. This guidance reflects an assumption that wage increases will negatively impact EPS growth by 3%. The Company also expects the combination of foreign currency and transactional foreign exchange will have an additional 3% negative impact on EPS growth. This EPS outlook is based upon estimated consolidated</t>
        </r>
        <r>
          <rPr>
            <b/>
            <sz val="9"/>
            <color indexed="81"/>
            <rFont val="Tahoma"/>
            <family val="2"/>
          </rPr>
          <t xml:space="preserve"> comparable store sales growth of 2% to 3%
</t>
        </r>
      </text>
    </comment>
    <comment ref="DJ12" authorId="10">
      <text>
        <r>
          <rPr>
            <b/>
            <sz val="9"/>
            <color indexed="81"/>
            <rFont val="Tahoma"/>
            <family val="2"/>
          </rPr>
          <t>Roberts, Cynthia (Research):</t>
        </r>
        <r>
          <rPr>
            <sz val="9"/>
            <color indexed="81"/>
            <rFont val="Tahoma"/>
            <family val="2"/>
          </rPr>
          <t xml:space="preserve">
8/15/17: Guidance $8.8-8.9B, +1% positive impact from FX </t>
        </r>
      </text>
    </comment>
    <comment ref="DK12" authorId="10">
      <text>
        <r>
          <rPr>
            <b/>
            <sz val="9"/>
            <color indexed="81"/>
            <rFont val="Tahoma"/>
            <family val="2"/>
          </rPr>
          <t>Roberts, Cynthia (Research):</t>
        </r>
        <r>
          <rPr>
            <sz val="9"/>
            <color indexed="81"/>
            <rFont val="Tahoma"/>
            <family val="2"/>
          </rPr>
          <t xml:space="preserve">
8/15/17: +1% positive impact from FX </t>
        </r>
      </text>
    </comment>
    <comment ref="DL12" authorId="10">
      <text>
        <r>
          <rPr>
            <b/>
            <sz val="9"/>
            <color indexed="81"/>
            <rFont val="Tahoma"/>
            <family val="2"/>
          </rPr>
          <t>Roberts, Cynthia (Research):</t>
        </r>
        <r>
          <rPr>
            <sz val="9"/>
            <color indexed="81"/>
            <rFont val="Tahoma"/>
            <family val="2"/>
          </rPr>
          <t xml:space="preserve">
11/14/17: Traffic positive
8/15/17: Guidance 1-2%</t>
        </r>
      </text>
    </comment>
    <comment ref="F13" authorId="0">
      <text>
        <r>
          <rPr>
            <b/>
            <sz val="8"/>
            <color indexed="81"/>
            <rFont val="Tahoma"/>
            <family val="2"/>
          </rPr>
          <t>lehman:</t>
        </r>
        <r>
          <rPr>
            <sz val="8"/>
            <color indexed="81"/>
            <rFont val="Tahoma"/>
            <family val="2"/>
          </rPr>
          <t xml:space="preserve">
589.606</t>
        </r>
      </text>
    </comment>
    <comment ref="J13" authorId="0">
      <text>
        <r>
          <rPr>
            <b/>
            <sz val="8"/>
            <color indexed="81"/>
            <rFont val="Tahoma"/>
            <family val="2"/>
          </rPr>
          <t>lehman:</t>
        </r>
        <r>
          <rPr>
            <sz val="8"/>
            <color indexed="81"/>
            <rFont val="Tahoma"/>
            <family val="2"/>
          </rPr>
          <t xml:space="preserve">
663.78</t>
        </r>
      </text>
    </comment>
    <comment ref="N13" authorId="0">
      <text>
        <r>
          <rPr>
            <b/>
            <sz val="8"/>
            <color indexed="81"/>
            <rFont val="Tahoma"/>
            <family val="2"/>
          </rPr>
          <t>lehman:</t>
        </r>
        <r>
          <rPr>
            <sz val="8"/>
            <color indexed="81"/>
            <rFont val="Tahoma"/>
            <family val="2"/>
          </rPr>
          <t xml:space="preserve">
802.117</t>
        </r>
      </text>
    </comment>
    <comment ref="Z13" authorId="0">
      <text>
        <r>
          <rPr>
            <b/>
            <sz val="8"/>
            <color indexed="81"/>
            <rFont val="Tahoma"/>
            <family val="2"/>
          </rPr>
          <t>lehman:</t>
        </r>
        <r>
          <rPr>
            <sz val="8"/>
            <color indexed="81"/>
            <rFont val="Tahoma"/>
            <family val="2"/>
          </rPr>
          <t xml:space="preserve">
Reflects acquition of Marshalls</t>
        </r>
      </text>
    </comment>
    <comment ref="BF13" authorId="0">
      <text>
        <r>
          <rPr>
            <sz val="8"/>
            <color indexed="81"/>
            <rFont val="Tahoma"/>
            <family val="2"/>
          </rPr>
          <t>53rd week adds approx $315 mil in sales</t>
        </r>
      </text>
    </comment>
    <comment ref="BN13" authorId="1">
      <text>
        <r>
          <rPr>
            <b/>
            <sz val="8"/>
            <color indexed="81"/>
            <rFont val="Tahoma"/>
            <family val="2"/>
          </rPr>
          <t>Morry Brown:</t>
        </r>
        <r>
          <rPr>
            <sz val="8"/>
            <color indexed="81"/>
            <rFont val="Tahoma"/>
            <family val="2"/>
          </rPr>
          <t xml:space="preserve">
did not give actual on Jan sales release.. this is sum of months
11/15 guidance of 4.600-4.650</t>
        </r>
      </text>
    </comment>
    <comment ref="BT13" authorId="2">
      <text>
        <r>
          <rPr>
            <b/>
            <sz val="8"/>
            <color indexed="81"/>
            <rFont val="Tahoma"/>
            <family val="2"/>
          </rPr>
          <t>mm98285:</t>
        </r>
        <r>
          <rPr>
            <sz val="8"/>
            <color indexed="81"/>
            <rFont val="Tahoma"/>
            <family val="2"/>
          </rPr>
          <t xml:space="preserve">
11/06: guid 3-4%</t>
        </r>
      </text>
    </comment>
    <comment ref="BV13" authorId="13">
      <text>
        <r>
          <rPr>
            <sz val="8"/>
            <color indexed="81"/>
            <rFont val="Tahoma"/>
            <family val="2"/>
          </rPr>
          <t>Guidance issued at 3Q07: ~$5500mm</t>
        </r>
      </text>
    </comment>
    <comment ref="BX13" authorId="2">
      <text>
        <r>
          <rPr>
            <b/>
            <sz val="8"/>
            <color indexed="81"/>
            <rFont val="Tahoma"/>
            <family val="2"/>
          </rPr>
          <t>mm98285:</t>
        </r>
        <r>
          <rPr>
            <sz val="8"/>
            <color indexed="81"/>
            <rFont val="Tahoma"/>
            <family val="2"/>
          </rPr>
          <t xml:space="preserve">
2/08: fx benefit by 2%
11/07: guided to +4%</t>
        </r>
      </text>
    </comment>
    <comment ref="BZ13" authorId="2">
      <text>
        <r>
          <rPr>
            <b/>
            <sz val="8"/>
            <color indexed="81"/>
            <rFont val="Tahoma"/>
            <family val="2"/>
          </rPr>
          <t>mm98285:</t>
        </r>
        <r>
          <rPr>
            <sz val="8"/>
            <color indexed="81"/>
            <rFont val="Tahoma"/>
            <family val="2"/>
          </rPr>
          <t xml:space="preserve">
2/09: rev. for 13 week ended 1/31: $4.95B + assume extra week ended Nov. 1 ~$370M
11/08: $5.5-$5.6bn
guidance implies 4Q rev. of $6.0-$6.1B</t>
        </r>
      </text>
    </comment>
    <comment ref="CB13" authorId="2">
      <text>
        <r>
          <rPr>
            <b/>
            <sz val="8"/>
            <color indexed="81"/>
            <rFont val="Tahoma"/>
            <family val="2"/>
          </rPr>
          <t>mm98285:</t>
        </r>
        <r>
          <rPr>
            <sz val="8"/>
            <color indexed="81"/>
            <rFont val="Tahoma"/>
            <family val="2"/>
          </rPr>
          <t xml:space="preserve">
-2% on constant currency basis 
11/08: expect (5)-(7)% including -5% F/X impact
3/16/16
Restating to -2% from -7% per management</t>
        </r>
      </text>
    </comment>
    <comment ref="CD13" authorId="2">
      <text>
        <r>
          <rPr>
            <b/>
            <sz val="8"/>
            <color indexed="81"/>
            <rFont val="Tahoma"/>
            <family val="2"/>
          </rPr>
          <t>mm98285:</t>
        </r>
        <r>
          <rPr>
            <sz val="8"/>
            <color indexed="81"/>
            <rFont val="Tahoma"/>
            <family val="2"/>
          </rPr>
          <t xml:space="preserve">
11/09: $5.6-$5.8BN</t>
        </r>
      </text>
    </comment>
    <comment ref="CF13" authorId="2">
      <text>
        <r>
          <rPr>
            <b/>
            <sz val="8"/>
            <color indexed="81"/>
            <rFont val="Tahoma"/>
            <family val="2"/>
          </rPr>
          <t>mm98285:</t>
        </r>
        <r>
          <rPr>
            <sz val="8"/>
            <color indexed="81"/>
            <rFont val="Tahoma"/>
            <family val="2"/>
          </rPr>
          <t xml:space="preserve">
excludes +3% FX impact
11/09: +5-7%
8/09: +2-4%</t>
        </r>
      </text>
    </comment>
    <comment ref="CH13" authorId="3">
      <text>
        <r>
          <rPr>
            <b/>
            <sz val="8"/>
            <color indexed="81"/>
            <rFont val="Tahoma"/>
            <family val="2"/>
          </rPr>
          <t xml:space="preserve">2/11: </t>
        </r>
        <r>
          <rPr>
            <sz val="8"/>
            <color indexed="81"/>
            <rFont val="Tahoma"/>
            <family val="2"/>
          </rPr>
          <t>$278.942 AJW sales excluded</t>
        </r>
        <r>
          <rPr>
            <b/>
            <sz val="8"/>
            <color indexed="81"/>
            <rFont val="Tahoma"/>
            <family val="2"/>
          </rPr>
          <t xml:space="preserve">
lauraro:</t>
        </r>
        <r>
          <rPr>
            <sz val="8"/>
            <color indexed="81"/>
            <rFont val="Tahoma"/>
            <family val="2"/>
          </rPr>
          <t xml:space="preserve">
11/10: </t>
        </r>
        <r>
          <rPr>
            <sz val="8"/>
            <color indexed="81"/>
            <rFont val="Tahoma"/>
            <family val="2"/>
          </rPr>
          <t>$6.1-6.2Bn
looking for average ticket to be flat to slightly up in the fourth quarter</t>
        </r>
      </text>
    </comment>
    <comment ref="CI13" authorId="3">
      <text>
        <r>
          <rPr>
            <b/>
            <sz val="8"/>
            <color indexed="81"/>
            <rFont val="Tahoma"/>
            <family val="2"/>
          </rPr>
          <t>lauraro:</t>
        </r>
        <r>
          <rPr>
            <sz val="8"/>
            <color indexed="81"/>
            <rFont val="Tahoma"/>
            <family val="2"/>
          </rPr>
          <t xml:space="preserve">
2/11: FX had no effect on total sales growth</t>
        </r>
      </text>
    </comment>
    <comment ref="CJ13" authorId="19">
      <text>
        <r>
          <rPr>
            <b/>
            <sz val="8"/>
            <color indexed="81"/>
            <rFont val="Tahoma"/>
            <family val="2"/>
          </rPr>
          <t xml:space="preserve">1/11: </t>
        </r>
        <r>
          <rPr>
            <sz val="8"/>
            <color indexed="81"/>
            <rFont val="Tahoma"/>
            <family val="2"/>
          </rPr>
          <t>Exp +2%</t>
        </r>
        <r>
          <rPr>
            <b/>
            <sz val="8"/>
            <color indexed="81"/>
            <rFont val="Tahoma"/>
            <family val="2"/>
          </rPr>
          <t xml:space="preserve">
11/10:</t>
        </r>
        <r>
          <rPr>
            <sz val="8"/>
            <color indexed="81"/>
            <rFont val="Tahoma"/>
            <family val="2"/>
          </rPr>
          <t xml:space="preserve"> Exp 4Q comps (-1%) to (-3%) </t>
        </r>
        <r>
          <rPr>
            <b/>
            <sz val="8"/>
            <color indexed="81"/>
            <rFont val="Tahoma"/>
            <family val="2"/>
          </rPr>
          <t xml:space="preserve">
Margaret Marchant:</t>
        </r>
        <r>
          <rPr>
            <sz val="8"/>
            <color indexed="81"/>
            <rFont val="Tahoma"/>
            <family val="2"/>
          </rPr>
          <t xml:space="preserve">
8/10: expect 2H comps flat to -1%</t>
        </r>
      </text>
    </comment>
    <comment ref="CL13" authorId="15">
      <text>
        <r>
          <rPr>
            <b/>
            <sz val="8"/>
            <color indexed="81"/>
            <rFont val="Tahoma"/>
            <family val="2"/>
          </rPr>
          <t>solejay:</t>
        </r>
        <r>
          <rPr>
            <sz val="8"/>
            <color indexed="81"/>
            <rFont val="Tahoma"/>
            <family val="2"/>
          </rPr>
          <t xml:space="preserve">
11/15: 6,500-6,600</t>
        </r>
      </text>
    </comment>
    <comment ref="CN13" authorId="3">
      <text>
        <r>
          <rPr>
            <b/>
            <sz val="8"/>
            <color indexed="81"/>
            <rFont val="Tahoma"/>
            <family val="2"/>
          </rPr>
          <t xml:space="preserve">11/15/11: </t>
        </r>
        <r>
          <rPr>
            <sz val="8"/>
            <color indexed="81"/>
            <rFont val="Tahoma"/>
            <family val="2"/>
          </rPr>
          <t>2-3% comp</t>
        </r>
        <r>
          <rPr>
            <b/>
            <sz val="8"/>
            <color indexed="81"/>
            <rFont val="Tahoma"/>
            <family val="2"/>
          </rPr>
          <t xml:space="preserve">
lauraro:</t>
        </r>
        <r>
          <rPr>
            <sz val="8"/>
            <color indexed="81"/>
            <rFont val="Tahoma"/>
            <family val="2"/>
          </rPr>
          <t xml:space="preserve">
</t>
        </r>
        <r>
          <rPr>
            <b/>
            <sz val="8"/>
            <color indexed="81"/>
            <rFont val="Tahoma"/>
            <family val="2"/>
          </rPr>
          <t>8/16/11:</t>
        </r>
        <r>
          <rPr>
            <sz val="8"/>
            <color indexed="81"/>
            <rFont val="Tahoma"/>
            <family val="2"/>
          </rPr>
          <t xml:space="preserve"> 1-2% comp</t>
        </r>
      </text>
    </comment>
    <comment ref="CP13" authorId="5">
      <text>
        <r>
          <rPr>
            <b/>
            <sz val="8"/>
            <color indexed="81"/>
            <rFont val="Tahoma"/>
            <family val="2"/>
          </rPr>
          <t>hbalsky:</t>
        </r>
        <r>
          <rPr>
            <sz val="8"/>
            <color indexed="81"/>
            <rFont val="Tahoma"/>
            <family val="2"/>
          </rPr>
          <t xml:space="preserve"> IR not disclosing extra week impact</t>
        </r>
        <r>
          <rPr>
            <b/>
            <sz val="8"/>
            <color indexed="81"/>
            <rFont val="Tahoma"/>
            <family val="2"/>
          </rPr>
          <t xml:space="preserve">
11/13/2012: </t>
        </r>
        <r>
          <rPr>
            <sz val="8"/>
            <color indexed="81"/>
            <rFont val="Tahoma"/>
            <family val="2"/>
          </rPr>
          <t>$7.4-7.5Bn</t>
        </r>
      </text>
    </comment>
    <comment ref="CR13" authorId="3">
      <text>
        <r>
          <rPr>
            <b/>
            <sz val="8"/>
            <color indexed="81"/>
            <rFont val="Tahoma"/>
            <family val="2"/>
          </rPr>
          <t xml:space="preserve">2/7/2013 </t>
        </r>
        <r>
          <rPr>
            <sz val="8"/>
            <color indexed="81"/>
            <rFont val="Tahoma"/>
            <family val="2"/>
          </rPr>
          <t>mgmt commentary: traffic drove comp across all divisions</t>
        </r>
        <r>
          <rPr>
            <b/>
            <sz val="8"/>
            <color indexed="81"/>
            <rFont val="Tahoma"/>
            <family val="2"/>
          </rPr>
          <t xml:space="preserve">
1/13/2012 </t>
        </r>
        <r>
          <rPr>
            <sz val="8"/>
            <color indexed="81"/>
            <rFont val="Tahoma"/>
            <family val="2"/>
          </rPr>
          <t>+0-2% guidance</t>
        </r>
        <r>
          <rPr>
            <b/>
            <sz val="8"/>
            <color indexed="81"/>
            <rFont val="Tahoma"/>
            <family val="2"/>
          </rPr>
          <t xml:space="preserve">
8/14/12:</t>
        </r>
        <r>
          <rPr>
            <sz val="8"/>
            <color indexed="81"/>
            <rFont val="Tahoma"/>
            <family val="2"/>
          </rPr>
          <t xml:space="preserve"> 2H +1-3%, implies 4Q: +0-2%</t>
        </r>
        <r>
          <rPr>
            <sz val="8"/>
            <color indexed="81"/>
            <rFont val="Tahoma"/>
            <family val="2"/>
          </rPr>
          <t xml:space="preserve">
</t>
        </r>
        <r>
          <rPr>
            <b/>
            <sz val="8"/>
            <color indexed="81"/>
            <rFont val="Tahoma"/>
            <family val="2"/>
          </rPr>
          <t xml:space="preserve">5/15: </t>
        </r>
        <r>
          <rPr>
            <sz val="8"/>
            <color indexed="81"/>
            <rFont val="Tahoma"/>
            <family val="2"/>
          </rPr>
          <t>2H Flat to +1% increase</t>
        </r>
      </text>
    </comment>
    <comment ref="CT13" authorId="6">
      <text>
        <r>
          <rPr>
            <b/>
            <sz val="8"/>
            <color indexed="81"/>
            <rFont val="Tahoma"/>
            <family val="2"/>
          </rPr>
          <t xml:space="preserve">11/19/13: </t>
        </r>
        <r>
          <rPr>
            <sz val="8"/>
            <color indexed="81"/>
            <rFont val="Tahoma"/>
            <family val="2"/>
          </rPr>
          <t>guidance 7.6B - 7.7B</t>
        </r>
        <r>
          <rPr>
            <sz val="8"/>
            <color indexed="81"/>
            <rFont val="Tahoma"/>
            <family val="2"/>
          </rPr>
          <t xml:space="preserve">
7607 to 7719 (-1.5% to -0.1%)</t>
        </r>
      </text>
    </comment>
    <comment ref="CV13" authorId="15">
      <text>
        <r>
          <rPr>
            <b/>
            <sz val="8"/>
            <color indexed="81"/>
            <rFont val="Tahoma"/>
            <family val="2"/>
          </rPr>
          <t>11/19/13:</t>
        </r>
        <r>
          <rPr>
            <sz val="8"/>
            <color indexed="81"/>
            <rFont val="Tahoma"/>
            <family val="2"/>
          </rPr>
          <t xml:space="preserve"> guidance 1-2% (reflects 6 fewer selling days than last year)
</t>
        </r>
        <r>
          <rPr>
            <b/>
            <sz val="8"/>
            <color indexed="81"/>
            <rFont val="Tahoma"/>
            <family val="2"/>
          </rPr>
          <t>8/20/2013:</t>
        </r>
        <r>
          <rPr>
            <sz val="8"/>
            <color indexed="81"/>
            <rFont val="Tahoma"/>
            <family val="2"/>
          </rPr>
          <t xml:space="preserve"> implied guidance = 1-2% (Xmas season has 6 fewer selling days this year)</t>
        </r>
      </text>
    </comment>
    <comment ref="CX13" authorId="16">
      <text>
        <r>
          <rPr>
            <b/>
            <sz val="9"/>
            <color indexed="81"/>
            <rFont val="Tahoma"/>
            <family val="2"/>
          </rPr>
          <t xml:space="preserve">2/25/15: </t>
        </r>
        <r>
          <rPr>
            <sz val="9"/>
            <color indexed="81"/>
            <rFont val="Tahoma"/>
            <family val="2"/>
          </rPr>
          <t xml:space="preserve"> F/X had a 2% negative impact to sales. </t>
        </r>
        <r>
          <rPr>
            <b/>
            <sz val="9"/>
            <color indexed="81"/>
            <rFont val="Tahoma"/>
            <family val="2"/>
          </rPr>
          <t xml:space="preserve">
11/18/14 guidance: </t>
        </r>
        <r>
          <rPr>
            <sz val="9"/>
            <color indexed="81"/>
            <rFont val="Tahoma"/>
            <family val="2"/>
          </rPr>
          <t xml:space="preserve">$8.1-8.2B
</t>
        </r>
      </text>
    </comment>
    <comment ref="CZ13" authorId="16">
      <text>
        <r>
          <rPr>
            <b/>
            <sz val="9"/>
            <color indexed="81"/>
            <rFont val="Tahoma"/>
            <family val="2"/>
          </rPr>
          <t>2/25/15:</t>
        </r>
        <r>
          <rPr>
            <sz val="9"/>
            <color indexed="81"/>
            <rFont val="Tahoma"/>
            <family val="2"/>
          </rPr>
          <t xml:space="preserve"> comps were almost entirely driven
by customer traffic, as consumers responded to our exciting merchandise
assortments, amazing values and effective marketing</t>
        </r>
        <r>
          <rPr>
            <b/>
            <sz val="9"/>
            <color indexed="81"/>
            <rFont val="Tahoma"/>
            <family val="2"/>
          </rPr>
          <t xml:space="preserve">
11/18/14: </t>
        </r>
        <r>
          <rPr>
            <sz val="9"/>
            <color indexed="81"/>
            <rFont val="Tahoma"/>
            <family val="2"/>
          </rPr>
          <t xml:space="preserve">guidance 1-2%
</t>
        </r>
      </text>
    </comment>
    <comment ref="DC13" authorId="9">
      <text>
        <r>
          <rPr>
            <b/>
            <sz val="9"/>
            <color indexed="81"/>
            <rFont val="Tahoma"/>
            <family val="2"/>
          </rPr>
          <t>Baglione, Gregory  (Research):</t>
        </r>
        <r>
          <rPr>
            <sz val="9"/>
            <color indexed="81"/>
            <rFont val="Tahoma"/>
            <family val="2"/>
          </rPr>
          <t xml:space="preserve">
11/17/15
Guidance
We're modeling fourth-quarter consolidated sales in the $8.6 billion to $8.7 billion range.
This guidance assumes a 2% negative impact to reported revenue due to translational FX.</t>
        </r>
      </text>
    </comment>
    <comment ref="DD13" authorId="9">
      <text>
        <r>
          <rPr>
            <b/>
            <sz val="9"/>
            <color indexed="81"/>
            <rFont val="Tahoma"/>
            <family val="2"/>
          </rPr>
          <t>Baglione, Gregory  (Research):</t>
        </r>
        <r>
          <rPr>
            <sz val="9"/>
            <color indexed="81"/>
            <rFont val="Tahoma"/>
            <family val="2"/>
          </rPr>
          <t xml:space="preserve">
11/17/15
"Traffic increases have continued in 4Q"
Updated guidance:
We're assuming comp sales growth of 2% to 3% on both a consolidated basis and at Marmaxx.</t>
        </r>
      </text>
    </comment>
    <comment ref="DF13" authorId="18">
      <text>
        <r>
          <rPr>
            <b/>
            <sz val="9"/>
            <color indexed="81"/>
            <rFont val="Tahoma"/>
            <family val="2"/>
          </rPr>
          <t>Baglione, Gregory (Research):</t>
        </r>
        <r>
          <rPr>
            <sz val="9"/>
            <color indexed="81"/>
            <rFont val="Tahoma"/>
            <family val="2"/>
          </rPr>
          <t xml:space="preserve">
2/22/17
FX impact -1% impact on net sales growth
11/16/16
"We're modeling fourth quarter consolidated sales of $9.3 billion to $9.4 billion. This guidance assumes a 2% negative impact to revenue due to
translational FX. For comp store sales, we're assuming growth in the 1% to 2% range on both a consolidated basis and at Marmaxx."</t>
        </r>
      </text>
    </comment>
    <comment ref="DH13" authorId="18">
      <text>
        <r>
          <rPr>
            <b/>
            <sz val="9"/>
            <color indexed="81"/>
            <rFont val="Tahoma"/>
            <family val="2"/>
          </rPr>
          <t>Baglione, Gregory (Research):</t>
        </r>
        <r>
          <rPr>
            <sz val="9"/>
            <color indexed="81"/>
            <rFont val="Tahoma"/>
            <family val="2"/>
          </rPr>
          <t xml:space="preserve">
2/22/17: traffic primary driver of comp at every major division
11/16/16
"We're modeling fourth quarter consolidated sales of $9.3 billion to $9.4 billion. This guidance assumes a 2% negative impact to revenue due to
translational FX. For comp store sales, we're assuming growth in the 1% to 2% range on both a consolidated basis and at Marmaxx."</t>
        </r>
      </text>
    </comment>
    <comment ref="DJ13" authorId="10">
      <text>
        <r>
          <rPr>
            <b/>
            <sz val="9"/>
            <color indexed="81"/>
            <rFont val="Tahoma"/>
            <family val="2"/>
          </rPr>
          <t>Roberts, Cynthia (Research):</t>
        </r>
        <r>
          <rPr>
            <sz val="9"/>
            <color indexed="81"/>
            <rFont val="Tahoma"/>
            <family val="2"/>
          </rPr>
          <t xml:space="preserve">
11/14/17 Guidance $10.6B-10.8B</t>
        </r>
      </text>
    </comment>
    <comment ref="DK13" authorId="18">
      <text>
        <r>
          <rPr>
            <sz val="9"/>
            <color indexed="81"/>
            <rFont val="Tahoma"/>
            <family val="2"/>
          </rPr>
          <t>11/14/17: +6% benefit from 53rd week, +2% benefit from FX</t>
        </r>
        <r>
          <rPr>
            <b/>
            <sz val="9"/>
            <color indexed="81"/>
            <rFont val="Tahoma"/>
            <family val="2"/>
          </rPr>
          <t xml:space="preserve">
5.3% benefit from extra week</t>
        </r>
      </text>
    </comment>
    <comment ref="DL13" authorId="10">
      <text>
        <r>
          <rPr>
            <b/>
            <sz val="9"/>
            <color indexed="81"/>
            <rFont val="Tahoma"/>
            <family val="2"/>
          </rPr>
          <t>Roberts, Cynthia (Research):</t>
        </r>
        <r>
          <rPr>
            <sz val="9"/>
            <color indexed="81"/>
            <rFont val="Tahoma"/>
            <family val="2"/>
          </rPr>
          <t xml:space="preserve">
2/28/18: Strength in Apparel and Home, traffic up overall and primary comp driver at all 4 divisions
11/14/17: Guidance +1-2%
8/15/17: Guidance +1-2%</t>
        </r>
      </text>
    </comment>
    <comment ref="Z14" authorId="20">
      <text>
        <r>
          <rPr>
            <b/>
            <sz val="8"/>
            <color indexed="81"/>
            <rFont val="Tahoma"/>
            <family val="2"/>
          </rPr>
          <t>Lehman Brothers:</t>
        </r>
        <r>
          <rPr>
            <sz val="8"/>
            <color indexed="81"/>
            <rFont val="Tahoma"/>
            <family val="2"/>
          </rPr>
          <t xml:space="preserve">
restated without chadwicks ($472.434m)</t>
        </r>
      </text>
    </comment>
    <comment ref="AL14" authorId="20">
      <text>
        <r>
          <rPr>
            <sz val="8"/>
            <color indexed="81"/>
            <rFont val="Tahoma"/>
            <family val="2"/>
          </rPr>
          <t>in 1999 10k provides restated quarterly sales data, but does not tie to total on annual income statement</t>
        </r>
      </text>
    </comment>
    <comment ref="BF14" authorId="0">
      <text>
        <r>
          <rPr>
            <sz val="8"/>
            <color indexed="81"/>
            <rFont val="Tahoma"/>
            <family val="2"/>
          </rPr>
          <t>13305</t>
        </r>
      </text>
    </comment>
    <comment ref="BJ14" authorId="12">
      <text>
        <r>
          <rPr>
            <b/>
            <sz val="8"/>
            <color indexed="81"/>
            <rFont val="Tahoma"/>
            <family val="2"/>
          </rPr>
          <t>10-K 2006:</t>
        </r>
        <r>
          <rPr>
            <sz val="8"/>
            <color indexed="81"/>
            <rFont val="Tahoma"/>
            <family val="2"/>
          </rPr>
          <t xml:space="preserve"> During 4Q of 2007 identified 34 underforming AJWright store to be closed, now classified as discont. Operations: $14,860.783 excluding AJ</t>
        </r>
      </text>
    </comment>
    <comment ref="BN14" authorId="12">
      <text>
        <r>
          <rPr>
            <b/>
            <sz val="8"/>
            <color indexed="81"/>
            <rFont val="Tahoma"/>
            <family val="2"/>
          </rPr>
          <t>10-K 2006:</t>
        </r>
        <r>
          <rPr>
            <sz val="8"/>
            <color indexed="81"/>
            <rFont val="Tahoma"/>
            <family val="2"/>
          </rPr>
          <t xml:space="preserve"> During 4Q of 2007 identified 34 underforming AJWright store to be closed, now classified as discont. Operations; $15,955.935 ex AJ</t>
        </r>
      </text>
    </comment>
    <comment ref="BR14" authorId="12">
      <text>
        <r>
          <rPr>
            <b/>
            <sz val="8"/>
            <color indexed="81"/>
            <rFont val="Tahoma"/>
            <family val="2"/>
          </rPr>
          <t>10-K 2006:</t>
        </r>
        <r>
          <rPr>
            <sz val="8"/>
            <color indexed="81"/>
            <rFont val="Tahoma"/>
            <family val="2"/>
          </rPr>
          <t xml:space="preserve"> During 4Q of 2007 identified 34 underforming AJWright store to be closed, now classified as discont. Operations: $17326.637 ex AJ</t>
        </r>
      </text>
    </comment>
    <comment ref="BT14" authorId="2">
      <text>
        <r>
          <rPr>
            <b/>
            <sz val="8"/>
            <color indexed="81"/>
            <rFont val="Tahoma"/>
            <family val="2"/>
          </rPr>
          <t>mm98285:</t>
        </r>
        <r>
          <rPr>
            <sz val="8"/>
            <color indexed="81"/>
            <rFont val="Tahoma"/>
            <family val="2"/>
          </rPr>
          <t xml:space="preserve">
11/06: +4% comp
8/06: EPS guidance based on 3% comps for year
3/16/16
Changing to +3% vs. +2% per management</t>
        </r>
      </text>
    </comment>
    <comment ref="BV14" authorId="2">
      <text>
        <r>
          <rPr>
            <b/>
            <sz val="8"/>
            <color indexed="81"/>
            <rFont val="Tahoma"/>
            <family val="2"/>
          </rPr>
          <t>mm98285:</t>
        </r>
        <r>
          <rPr>
            <sz val="8"/>
            <color indexed="81"/>
            <rFont val="Tahoma"/>
            <family val="2"/>
          </rPr>
          <t xml:space="preserve">
2/07: guided to $18.5-$18.6bn</t>
        </r>
      </text>
    </comment>
    <comment ref="BW14" authorId="2">
      <text>
        <r>
          <rPr>
            <b/>
            <sz val="8"/>
            <color indexed="81"/>
            <rFont val="Tahoma"/>
            <family val="2"/>
          </rPr>
          <t>mm98285:</t>
        </r>
        <r>
          <rPr>
            <sz val="8"/>
            <color indexed="81"/>
            <rFont val="Tahoma"/>
            <family val="2"/>
          </rPr>
          <t xml:space="preserve">
10K: +7% given +3% new stores, +2% comps, and +2% F/X</t>
        </r>
      </text>
    </comment>
    <comment ref="BX14" authorId="2">
      <text>
        <r>
          <rPr>
            <b/>
            <sz val="8"/>
            <color indexed="81"/>
            <rFont val="Tahoma"/>
            <family val="2"/>
          </rPr>
          <t>mm98285:</t>
        </r>
        <r>
          <rPr>
            <sz val="8"/>
            <color indexed="81"/>
            <rFont val="Tahoma"/>
            <family val="2"/>
          </rPr>
          <t xml:space="preserve">
2/08: benefit by 2% fx
2/07: guided to 3%
3/16/16
Changing to +2% vs. +4% per management</t>
        </r>
      </text>
    </comment>
    <comment ref="BZ14" authorId="2">
      <text>
        <r>
          <rPr>
            <b/>
            <sz val="8"/>
            <color indexed="81"/>
            <rFont val="Tahoma"/>
            <family val="2"/>
          </rPr>
          <t>mm98285:</t>
        </r>
        <r>
          <rPr>
            <sz val="8"/>
            <color indexed="81"/>
            <rFont val="Tahoma"/>
            <family val="2"/>
          </rPr>
          <t xml:space="preserve">
$18.7BN sales for 52 weeks ended 1/31/09
2/08: $20.1-$20.2b</t>
        </r>
      </text>
    </comment>
    <comment ref="CA14" authorId="2">
      <text>
        <r>
          <rPr>
            <b/>
            <sz val="8"/>
            <color indexed="81"/>
            <rFont val="Tahoma"/>
            <family val="2"/>
          </rPr>
          <t>mm98285:</t>
        </r>
        <r>
          <rPr>
            <sz val="8"/>
            <color indexed="81"/>
            <rFont val="Tahoma"/>
            <family val="2"/>
          </rPr>
          <t xml:space="preserve">
Total sales increase reflected +4% new stores, +1% 53rd week, +1% comps, offset by -2% F/X
+8% growth</t>
        </r>
      </text>
    </comment>
    <comment ref="CB14" authorId="2">
      <text>
        <r>
          <rPr>
            <b/>
            <sz val="8"/>
            <color indexed="81"/>
            <rFont val="Tahoma"/>
            <family val="2"/>
          </rPr>
          <t xml:space="preserve">mm98285:
</t>
        </r>
        <r>
          <rPr>
            <sz val="8"/>
            <color indexed="81"/>
            <rFont val="Tahoma"/>
            <family val="2"/>
          </rPr>
          <t>-2% F/X impact</t>
        </r>
        <r>
          <rPr>
            <b/>
            <sz val="8"/>
            <color indexed="81"/>
            <rFont val="Tahoma"/>
            <family val="2"/>
          </rPr>
          <t xml:space="preserve">
</t>
        </r>
        <r>
          <rPr>
            <sz val="8"/>
            <color indexed="81"/>
            <rFont val="Tahoma"/>
            <family val="2"/>
          </rPr>
          <t>10/08: +2%</t>
        </r>
        <r>
          <rPr>
            <b/>
            <sz val="8"/>
            <color indexed="81"/>
            <rFont val="Tahoma"/>
            <family val="2"/>
          </rPr>
          <t xml:space="preserve">
</t>
        </r>
        <r>
          <rPr>
            <sz val="8"/>
            <color indexed="81"/>
            <rFont val="Tahoma"/>
            <family val="2"/>
          </rPr>
          <t>5/08: EPS guid based on +2-3% comp (includes +0.5% due to fx rates)</t>
        </r>
        <r>
          <rPr>
            <sz val="8"/>
            <color indexed="81"/>
            <rFont val="Tahoma"/>
            <family val="2"/>
          </rPr>
          <t xml:space="preserve">
+2-3% comp
3/16/16
Changing to +1% vs. -1% per management</t>
        </r>
      </text>
    </comment>
    <comment ref="CD14" authorId="2">
      <text>
        <r>
          <rPr>
            <b/>
            <sz val="8"/>
            <color indexed="81"/>
            <rFont val="Tahoma"/>
            <family val="2"/>
          </rPr>
          <t>mm98285:</t>
        </r>
        <r>
          <rPr>
            <sz val="8"/>
            <color indexed="81"/>
            <rFont val="Tahoma"/>
            <family val="2"/>
          </rPr>
          <t xml:space="preserve">
assume sales of $18.4BN assuming 3% F/X hit, flat comps and 1-2% growth from sq. ft. vs. 2008's $18.7BN sales for 52 weeks ended Jan. 31, 2009</t>
        </r>
      </text>
    </comment>
    <comment ref="CF14" authorId="2">
      <text>
        <r>
          <rPr>
            <b/>
            <sz val="8"/>
            <color indexed="81"/>
            <rFont val="Tahoma"/>
            <family val="2"/>
          </rPr>
          <t>mm98285:</t>
        </r>
        <r>
          <rPr>
            <sz val="8"/>
            <color indexed="81"/>
            <rFont val="Tahoma"/>
            <family val="2"/>
          </rPr>
          <t xml:space="preserve">
excludes -2% FX impact
11/09: +5%
8/09: +2-3%
12/08: comp includes F/X impact (estimated at -2-3%)</t>
        </r>
      </text>
    </comment>
    <comment ref="CH14" authorId="2">
      <text>
        <r>
          <rPr>
            <b/>
            <sz val="8"/>
            <color indexed="81"/>
            <rFont val="Tahoma"/>
            <family val="2"/>
          </rPr>
          <t>mm98285:</t>
        </r>
        <r>
          <rPr>
            <sz val="8"/>
            <color indexed="81"/>
            <rFont val="Tahoma"/>
            <family val="2"/>
          </rPr>
          <t xml:space="preserve">
2/10: $21.5-$21.7M</t>
        </r>
      </text>
    </comment>
    <comment ref="CI14" authorId="3">
      <text>
        <r>
          <rPr>
            <b/>
            <sz val="8"/>
            <color indexed="81"/>
            <rFont val="Tahoma"/>
            <family val="2"/>
          </rPr>
          <t>lauraro:</t>
        </r>
        <r>
          <rPr>
            <sz val="8"/>
            <color indexed="81"/>
            <rFont val="Tahoma"/>
            <family val="2"/>
          </rPr>
          <t xml:space="preserve">
2/11: FX had +1% benefit on total sales growth</t>
        </r>
      </text>
    </comment>
    <comment ref="CJ14" authorId="2">
      <text>
        <r>
          <rPr>
            <b/>
            <sz val="8"/>
            <color indexed="81"/>
            <rFont val="Tahoma"/>
            <family val="2"/>
          </rPr>
          <t>1/11:</t>
        </r>
        <r>
          <rPr>
            <sz val="8"/>
            <color indexed="81"/>
            <rFont val="Tahoma"/>
            <family val="2"/>
          </rPr>
          <t xml:space="preserve"> +3-4%</t>
        </r>
        <r>
          <rPr>
            <b/>
            <sz val="8"/>
            <color indexed="81"/>
            <rFont val="Tahoma"/>
            <family val="2"/>
          </rPr>
          <t xml:space="preserve">
11/10: </t>
        </r>
        <r>
          <rPr>
            <sz val="8"/>
            <color indexed="81"/>
            <rFont val="Tahoma"/>
            <family val="2"/>
          </rPr>
          <t>2-3%</t>
        </r>
        <r>
          <rPr>
            <b/>
            <sz val="8"/>
            <color indexed="81"/>
            <rFont val="Tahoma"/>
            <family val="2"/>
          </rPr>
          <t xml:space="preserve">
8/10: </t>
        </r>
        <r>
          <rPr>
            <sz val="8"/>
            <color indexed="81"/>
            <rFont val="Tahoma"/>
            <family val="2"/>
          </rPr>
          <t>2-3%</t>
        </r>
        <r>
          <rPr>
            <b/>
            <sz val="8"/>
            <color indexed="81"/>
            <rFont val="Tahoma"/>
            <family val="2"/>
          </rPr>
          <t xml:space="preserve">
5/10: </t>
        </r>
        <r>
          <rPr>
            <sz val="8"/>
            <color indexed="81"/>
            <rFont val="Tahoma"/>
            <family val="2"/>
          </rPr>
          <t>2-3%</t>
        </r>
        <r>
          <rPr>
            <b/>
            <sz val="8"/>
            <color indexed="81"/>
            <rFont val="Tahoma"/>
            <family val="2"/>
          </rPr>
          <t xml:space="preserve">
mm98285:</t>
        </r>
        <r>
          <rPr>
            <sz val="8"/>
            <color indexed="81"/>
            <rFont val="Tahoma"/>
            <family val="2"/>
          </rPr>
          <t xml:space="preserve">
2/10: +1-2%</t>
        </r>
      </text>
    </comment>
    <comment ref="CL14" authorId="3">
      <text>
        <r>
          <rPr>
            <b/>
            <sz val="8"/>
            <color indexed="81"/>
            <rFont val="Tahoma"/>
            <family val="2"/>
          </rPr>
          <t xml:space="preserve">11/15: </t>
        </r>
        <r>
          <rPr>
            <sz val="8"/>
            <color indexed="81"/>
            <rFont val="Tahoma"/>
            <family val="2"/>
          </rPr>
          <t>23.0-23.1</t>
        </r>
        <r>
          <rPr>
            <b/>
            <sz val="8"/>
            <color indexed="81"/>
            <rFont val="Tahoma"/>
            <family val="2"/>
          </rPr>
          <t xml:space="preserve">
2/11:</t>
        </r>
        <r>
          <rPr>
            <sz val="8"/>
            <color indexed="81"/>
            <rFont val="Tahoma"/>
            <family val="2"/>
          </rPr>
          <t xml:space="preserve"> Exp $22.6-$22.8Bn</t>
        </r>
      </text>
    </comment>
    <comment ref="CN14" authorId="3">
      <text>
        <r>
          <rPr>
            <b/>
            <sz val="8"/>
            <color indexed="81"/>
            <rFont val="Tahoma"/>
            <family val="2"/>
          </rPr>
          <t xml:space="preserve">11/15/11: </t>
        </r>
        <r>
          <rPr>
            <sz val="8"/>
            <color indexed="81"/>
            <rFont val="Tahoma"/>
            <family val="2"/>
          </rPr>
          <t>+3%</t>
        </r>
        <r>
          <rPr>
            <b/>
            <sz val="8"/>
            <color indexed="81"/>
            <rFont val="Tahoma"/>
            <family val="2"/>
          </rPr>
          <t xml:space="preserve">
10/25/11:</t>
        </r>
        <r>
          <rPr>
            <sz val="8"/>
            <color indexed="81"/>
            <rFont val="Tahoma"/>
            <family val="2"/>
          </rPr>
          <t xml:space="preserve"> +2% to +3%</t>
        </r>
        <r>
          <rPr>
            <b/>
            <sz val="8"/>
            <color indexed="81"/>
            <rFont val="Tahoma"/>
            <family val="2"/>
          </rPr>
          <t xml:space="preserve">
8/16/11: </t>
        </r>
        <r>
          <rPr>
            <sz val="8"/>
            <color indexed="81"/>
            <rFont val="Tahoma"/>
            <family val="2"/>
          </rPr>
          <t>+2% to +3%</t>
        </r>
        <r>
          <rPr>
            <b/>
            <sz val="8"/>
            <color indexed="81"/>
            <rFont val="Tahoma"/>
            <family val="2"/>
          </rPr>
          <t xml:space="preserve">
5/17/11: </t>
        </r>
        <r>
          <rPr>
            <sz val="8"/>
            <color indexed="81"/>
            <rFont val="Tahoma"/>
            <family val="2"/>
          </rPr>
          <t>Reit expect 1-2% comp</t>
        </r>
        <r>
          <rPr>
            <sz val="8"/>
            <color indexed="81"/>
            <rFont val="Tahoma"/>
            <family val="2"/>
          </rPr>
          <t xml:space="preserve">
</t>
        </r>
        <r>
          <rPr>
            <b/>
            <sz val="8"/>
            <color indexed="81"/>
            <rFont val="Tahoma"/>
            <family val="2"/>
          </rPr>
          <t>2/11:</t>
        </r>
        <r>
          <rPr>
            <sz val="8"/>
            <color indexed="81"/>
            <rFont val="Tahoma"/>
            <family val="2"/>
          </rPr>
          <t xml:space="preserve"> Exp 1-2% comp
MM: 1-2%
TJX Can: 1-2%
HG: 1-2%
TJX Europe: 2-3%</t>
        </r>
      </text>
    </comment>
    <comment ref="CP14" authorId="3">
      <text>
        <r>
          <rPr>
            <b/>
            <sz val="8"/>
            <color indexed="81"/>
            <rFont val="Tahoma"/>
            <family val="2"/>
          </rPr>
          <t xml:space="preserve">hbalsky: </t>
        </r>
        <r>
          <rPr>
            <sz val="8"/>
            <color indexed="81"/>
            <rFont val="Tahoma"/>
            <family val="2"/>
          </rPr>
          <t>IR not disclosing extra week impact</t>
        </r>
        <r>
          <rPr>
            <b/>
            <sz val="8"/>
            <color indexed="81"/>
            <rFont val="Tahoma"/>
            <family val="2"/>
          </rPr>
          <t xml:space="preserve">
lauraro:</t>
        </r>
        <r>
          <rPr>
            <sz val="8"/>
            <color indexed="81"/>
            <rFont val="Tahoma"/>
            <family val="2"/>
          </rPr>
          <t xml:space="preserve">
2/22/12: $24.5-$24.8Bn, 53rd week contributes 1-1.5% of sales increase</t>
        </r>
      </text>
    </comment>
    <comment ref="CR14" authorId="3">
      <text>
        <r>
          <rPr>
            <b/>
            <sz val="8"/>
            <color indexed="81"/>
            <rFont val="Tahoma"/>
            <family val="2"/>
          </rPr>
          <t xml:space="preserve">11/13/2012 </t>
        </r>
        <r>
          <rPr>
            <sz val="8"/>
            <color indexed="81"/>
            <rFont val="Tahoma"/>
            <family val="2"/>
          </rPr>
          <t>+5-6% guidance</t>
        </r>
        <r>
          <rPr>
            <b/>
            <sz val="8"/>
            <color indexed="81"/>
            <rFont val="Tahoma"/>
            <family val="2"/>
          </rPr>
          <t xml:space="preserve">
8/14/2012: </t>
        </r>
        <r>
          <rPr>
            <sz val="8"/>
            <color indexed="81"/>
            <rFont val="Tahoma"/>
            <family val="2"/>
          </rPr>
          <t>+4-5% guidance</t>
        </r>
        <r>
          <rPr>
            <sz val="8"/>
            <color indexed="81"/>
            <rFont val="Tahoma"/>
            <family val="2"/>
          </rPr>
          <t xml:space="preserve">
</t>
        </r>
        <r>
          <rPr>
            <b/>
            <sz val="8"/>
            <color indexed="81"/>
            <rFont val="Tahoma"/>
            <family val="2"/>
          </rPr>
          <t xml:space="preserve">5/15: </t>
        </r>
        <r>
          <rPr>
            <sz val="8"/>
            <color indexed="81"/>
            <rFont val="Tahoma"/>
            <family val="2"/>
          </rPr>
          <t>+2-3% guidance</t>
        </r>
        <r>
          <rPr>
            <sz val="8"/>
            <color indexed="81"/>
            <rFont val="Tahoma"/>
            <family val="2"/>
          </rPr>
          <t xml:space="preserve">
</t>
        </r>
        <r>
          <rPr>
            <b/>
            <sz val="8"/>
            <color indexed="81"/>
            <rFont val="Tahoma"/>
            <family val="2"/>
          </rPr>
          <t>2/22/12:</t>
        </r>
        <r>
          <rPr>
            <sz val="8"/>
            <color indexed="81"/>
            <rFont val="Tahoma"/>
            <family val="2"/>
          </rPr>
          <t xml:space="preserve"> +1-2% comp</t>
        </r>
      </text>
    </comment>
    <comment ref="CT14" authorId="5">
      <text>
        <r>
          <rPr>
            <b/>
            <sz val="8"/>
            <color indexed="81"/>
            <rFont val="Tahoma"/>
            <family val="2"/>
          </rPr>
          <t xml:space="preserve">2/27/2013 Guidance: </t>
        </r>
        <r>
          <rPr>
            <sz val="8"/>
            <color indexed="81"/>
            <rFont val="Tahoma"/>
            <family val="2"/>
          </rPr>
          <t>$26.8-$27.1Bn +3-5%</t>
        </r>
      </text>
    </comment>
    <comment ref="CV14" authorId="5">
      <text>
        <r>
          <rPr>
            <b/>
            <sz val="8"/>
            <color indexed="81"/>
            <rFont val="Tahoma"/>
            <family val="2"/>
          </rPr>
          <t xml:space="preserve">11/19/13: </t>
        </r>
        <r>
          <rPr>
            <sz val="8"/>
            <color indexed="81"/>
            <rFont val="Tahoma"/>
            <family val="2"/>
          </rPr>
          <t>Guidance 3%</t>
        </r>
        <r>
          <rPr>
            <b/>
            <sz val="8"/>
            <color indexed="81"/>
            <rFont val="Tahoma"/>
            <family val="2"/>
          </rPr>
          <t xml:space="preserve">
8/20/2013:</t>
        </r>
        <r>
          <rPr>
            <sz val="8"/>
            <color indexed="81"/>
            <rFont val="Tahoma"/>
            <family val="2"/>
          </rPr>
          <t xml:space="preserve"> FY guidance +2-3%, back half guide is 1-3%</t>
        </r>
        <r>
          <rPr>
            <b/>
            <sz val="8"/>
            <color indexed="81"/>
            <rFont val="Tahoma"/>
            <family val="2"/>
          </rPr>
          <t xml:space="preserve">
5/21/2013 guidance: </t>
        </r>
        <r>
          <rPr>
            <sz val="8"/>
            <color indexed="81"/>
            <rFont val="Tahoma"/>
            <family val="2"/>
          </rPr>
          <t>+1-2%</t>
        </r>
      </text>
    </comment>
    <comment ref="CX14" authorId="6">
      <text>
        <r>
          <rPr>
            <b/>
            <sz val="8"/>
            <color indexed="81"/>
            <rFont val="Tahoma"/>
            <family val="2"/>
          </rPr>
          <t xml:space="preserve">2/25/15: </t>
        </r>
        <r>
          <rPr>
            <sz val="8"/>
            <color indexed="81"/>
            <rFont val="Tahoma"/>
            <family val="2"/>
          </rPr>
          <t>F/X had a 1% negative impact to sales</t>
        </r>
        <r>
          <rPr>
            <b/>
            <sz val="8"/>
            <color indexed="81"/>
            <rFont val="Tahoma"/>
            <family val="2"/>
          </rPr>
          <t xml:space="preserve">
2/25/14 guidance: </t>
        </r>
        <r>
          <rPr>
            <sz val="8"/>
            <color indexed="81"/>
            <rFont val="Tahoma"/>
            <family val="2"/>
          </rPr>
          <t>$28.8-29.2B</t>
        </r>
        <r>
          <rPr>
            <sz val="8"/>
            <color indexed="81"/>
            <rFont val="Tahoma"/>
            <family val="2"/>
          </rPr>
          <t xml:space="preserve">
</t>
        </r>
      </text>
    </comment>
    <comment ref="CZ14" authorId="6">
      <text>
        <r>
          <rPr>
            <b/>
            <sz val="8"/>
            <color indexed="81"/>
            <rFont val="Tahoma"/>
            <family val="2"/>
          </rPr>
          <t>2/26/14</t>
        </r>
        <r>
          <rPr>
            <sz val="8"/>
            <color indexed="81"/>
            <rFont val="Tahoma"/>
            <family val="2"/>
          </rPr>
          <t xml:space="preserve"> </t>
        </r>
        <r>
          <rPr>
            <b/>
            <sz val="8"/>
            <color indexed="81"/>
            <rFont val="Tahoma"/>
            <family val="2"/>
          </rPr>
          <t>guidance:</t>
        </r>
        <r>
          <rPr>
            <b/>
            <sz val="8"/>
            <color indexed="81"/>
            <rFont val="Tahoma"/>
            <family val="2"/>
          </rPr>
          <t xml:space="preserve"> </t>
        </r>
        <r>
          <rPr>
            <sz val="8"/>
            <color indexed="81"/>
            <rFont val="Tahoma"/>
            <family val="2"/>
          </rPr>
          <t>1-2%</t>
        </r>
        <r>
          <rPr>
            <sz val="8"/>
            <color indexed="81"/>
            <rFont val="Tahoma"/>
            <family val="2"/>
          </rPr>
          <t xml:space="preserve">
</t>
        </r>
        <r>
          <rPr>
            <b/>
            <sz val="8"/>
            <color indexed="81"/>
            <rFont val="Tahoma"/>
            <family val="2"/>
          </rPr>
          <t>5/20/14 guidance:</t>
        </r>
        <r>
          <rPr>
            <sz val="8"/>
            <color indexed="81"/>
            <rFont val="Tahoma"/>
            <family val="2"/>
          </rPr>
          <t xml:space="preserve"> 1-2%
</t>
        </r>
        <r>
          <rPr>
            <b/>
            <sz val="8"/>
            <color indexed="81"/>
            <rFont val="Tahoma"/>
            <family val="2"/>
          </rPr>
          <t>11/18/14 guidance</t>
        </r>
        <r>
          <rPr>
            <sz val="8"/>
            <color indexed="81"/>
            <rFont val="Tahoma"/>
            <family val="2"/>
          </rPr>
          <t>: 1-2%</t>
        </r>
      </text>
    </comment>
    <comment ref="DB14" authorId="7">
      <text>
        <r>
          <rPr>
            <sz val="9"/>
            <color indexed="81"/>
            <rFont val="Tahoma"/>
            <family val="2"/>
          </rPr>
          <t xml:space="preserve">8/18/15 
3-4% comp growth, 3% comps at Marmaxx
5/19/15: Expect to surpass $30B in sales
$29.8-$30.2B (assumes 3% F/X tranlational hit)
</t>
        </r>
      </text>
    </comment>
    <comment ref="DD14" authorId="16">
      <text>
        <r>
          <rPr>
            <sz val="9"/>
            <color indexed="81"/>
            <rFont val="Tahoma"/>
            <family val="2"/>
          </rPr>
          <t xml:space="preserve">11/17/15
Updated guidance comparable store sales growth of 4% to 5%.
8/18/15: FY comps +3-4%, including 3% comps at Marmaxx
5/19/15: guidance 2-3%
2/25/15:  guidance 1-2%
We are continuing to plan comp sales increases conservatively
while we simultaneously strive to surpass our goals.
</t>
        </r>
      </text>
    </comment>
    <comment ref="DH14" authorId="9">
      <text>
        <r>
          <rPr>
            <b/>
            <sz val="9"/>
            <color indexed="81"/>
            <rFont val="Tahoma"/>
            <family val="2"/>
          </rPr>
          <t>Baglione, Gregory  (Research):</t>
        </r>
        <r>
          <rPr>
            <sz val="9"/>
            <color indexed="81"/>
            <rFont val="Tahoma"/>
            <family val="2"/>
          </rPr>
          <t xml:space="preserve">
11/15/16
Updated sales outlook is based on comps 3-4%
Implie sales guidance is ~$33.1B, reflecting 
-At Marmaxx we are now planning comp growth of 4% on sales of $21.1 billion.
-At HomeGoods we now expect comps to increase 5% to 6% on sales of $4.4 billion.
-At TJX Canada, we are now planning a comp increase of 8% to 9% on sales of $3.2 billion.
-At TJX International, we're expecting comp growth of about 2% on sales of $4.4 .
8/16/16
Updated outlook represents comparable store sales growth of 3% to 4%.
5/17/16
Expect 2-3% comp for FY vs. prior 1-2%
</t>
        </r>
      </text>
    </comment>
    <comment ref="DJ14" authorId="18">
      <text>
        <r>
          <rPr>
            <b/>
            <sz val="9"/>
            <color indexed="81"/>
            <rFont val="Tahoma"/>
            <family val="2"/>
          </rPr>
          <t>Baglione, Gregory (Research):</t>
        </r>
        <r>
          <rPr>
            <sz val="9"/>
            <color indexed="81"/>
            <rFont val="Tahoma"/>
            <family val="2"/>
          </rPr>
          <t xml:space="preserve">
11/14/17: Guidance $35.6-$35.7B; 1.5% 53rd week, neutral FX
8/15/17: Guidance $35.6-$35.8B</t>
        </r>
        <r>
          <rPr>
            <b/>
            <sz val="9"/>
            <color indexed="81"/>
            <rFont val="Tahoma"/>
            <family val="2"/>
          </rPr>
          <t xml:space="preserve">
</t>
        </r>
        <r>
          <rPr>
            <sz val="9"/>
            <color indexed="81"/>
            <rFont val="Tahoma"/>
            <family val="2"/>
          </rPr>
          <t>5/16/17: Guidance $35.3-$35.6B</t>
        </r>
        <r>
          <rPr>
            <b/>
            <sz val="9"/>
            <color indexed="81"/>
            <rFont val="Tahoma"/>
            <family val="2"/>
          </rPr>
          <t xml:space="preserve">
</t>
        </r>
        <r>
          <rPr>
            <sz val="9"/>
            <color indexed="81"/>
            <rFont val="Tahoma"/>
            <family val="2"/>
          </rPr>
          <t>2/22/17: Guidance: $35.2B-36B.</t>
        </r>
        <r>
          <rPr>
            <b/>
            <sz val="9"/>
            <color indexed="81"/>
            <rFont val="Tahoma"/>
            <family val="2"/>
          </rPr>
          <t xml:space="preserve"> </t>
        </r>
        <r>
          <rPr>
            <sz val="9"/>
            <color indexed="81"/>
            <rFont val="Tahoma"/>
            <family val="2"/>
          </rPr>
          <t>Assumes +1.5% benefit to revenue from 53rd week and -1% impact from translational FX. 
MS estimates 53rd week contributes 1-1.5% to total sales growth. ~475-$500M. 4.5%-5% boost to 4Q17.</t>
        </r>
      </text>
    </comment>
    <comment ref="DL14" authorId="10">
      <text>
        <r>
          <rPr>
            <b/>
            <sz val="9"/>
            <color indexed="81"/>
            <rFont val="Tahoma"/>
            <family val="2"/>
          </rPr>
          <t>Roberts, Cynthia (Research):</t>
        </r>
        <r>
          <rPr>
            <sz val="9"/>
            <color indexed="81"/>
            <rFont val="Tahoma"/>
            <family val="2"/>
          </rPr>
          <t xml:space="preserve">
11/14/17: Guidanec +1-2%
8/15/17: Guidance +1-2%
5/16/17: Guidance +1-2% 
2/22/17: Guidance: +1-2% 
</t>
        </r>
      </text>
    </comment>
    <comment ref="DN14" authorId="10">
      <text>
        <r>
          <rPr>
            <b/>
            <sz val="9"/>
            <color indexed="81"/>
            <rFont val="Tahoma"/>
            <family val="2"/>
          </rPr>
          <t>Roberts, Cynthia (Research):</t>
        </r>
        <r>
          <rPr>
            <sz val="9"/>
            <color indexed="81"/>
            <rFont val="Tahoma"/>
            <family val="2"/>
          </rPr>
          <t xml:space="preserve">
2/28/18: $37.6-37.8B</t>
        </r>
      </text>
    </comment>
    <comment ref="DP14" authorId="10">
      <text>
        <r>
          <rPr>
            <b/>
            <sz val="9"/>
            <color indexed="81"/>
            <rFont val="Tahoma"/>
            <family val="2"/>
          </rPr>
          <t>Roberts, Cynthia (Research):</t>
        </r>
        <r>
          <rPr>
            <sz val="9"/>
            <color indexed="81"/>
            <rFont val="Tahoma"/>
            <family val="2"/>
          </rPr>
          <t xml:space="preserve">
2/28/18: Guidance +1-2%</t>
        </r>
      </text>
    </comment>
    <comment ref="CP15" authorId="5">
      <text>
        <r>
          <rPr>
            <b/>
            <sz val="8"/>
            <color indexed="81"/>
            <rFont val="Tahoma"/>
            <family val="2"/>
          </rPr>
          <t xml:space="preserve">8/2/2012
</t>
        </r>
        <r>
          <rPr>
            <sz val="8"/>
            <color indexed="81"/>
            <rFont val="Tahoma"/>
            <family val="2"/>
          </rPr>
          <t>$11.8Bn in 1H12, +10% vs. $10.7Bn LY</t>
        </r>
      </text>
    </comment>
    <comment ref="CQ15" authorId="5">
      <text>
        <r>
          <rPr>
            <b/>
            <sz val="8"/>
            <color indexed="81"/>
            <rFont val="Tahoma"/>
            <family val="2"/>
          </rPr>
          <t xml:space="preserve">8/2/2012
</t>
        </r>
        <r>
          <rPr>
            <sz val="8"/>
            <color indexed="81"/>
            <rFont val="Tahoma"/>
            <family val="2"/>
          </rPr>
          <t>$11.8Bn in 1H12, +10% vs. $10.7Bn LY</t>
        </r>
      </text>
    </comment>
    <comment ref="CL17" authorId="5">
      <text>
        <r>
          <rPr>
            <b/>
            <sz val="8"/>
            <color indexed="81"/>
            <rFont val="Tahoma"/>
            <family val="2"/>
          </rPr>
          <t xml:space="preserve">8/2/2012
</t>
        </r>
        <r>
          <rPr>
            <sz val="8"/>
            <color indexed="81"/>
            <rFont val="Tahoma"/>
            <family val="2"/>
          </rPr>
          <t>$11.8Bn in 1H12, +10% vs. $10.7Bn LY</t>
        </r>
      </text>
    </comment>
    <comment ref="CP17" authorId="5">
      <text>
        <r>
          <rPr>
            <b/>
            <sz val="8"/>
            <color indexed="81"/>
            <rFont val="Tahoma"/>
            <family val="2"/>
          </rPr>
          <t xml:space="preserve">8/2/2012
</t>
        </r>
        <r>
          <rPr>
            <sz val="8"/>
            <color indexed="81"/>
            <rFont val="Tahoma"/>
            <family val="2"/>
          </rPr>
          <t>$11.8Bn in 1H12, +10% vs. $10.7Bn LY</t>
        </r>
      </text>
    </comment>
    <comment ref="CR17" authorId="3">
      <text>
        <r>
          <rPr>
            <b/>
            <sz val="8"/>
            <color indexed="81"/>
            <rFont val="Tahoma"/>
            <family val="2"/>
          </rPr>
          <t xml:space="preserve">8/14/12: </t>
        </r>
        <r>
          <rPr>
            <sz val="8"/>
            <color indexed="81"/>
            <rFont val="Tahoma"/>
            <family val="2"/>
          </rPr>
          <t>2H +1-3%</t>
        </r>
        <r>
          <rPr>
            <b/>
            <sz val="8"/>
            <color indexed="81"/>
            <rFont val="Tahoma"/>
            <family val="2"/>
          </rPr>
          <t xml:space="preserve">
</t>
        </r>
        <r>
          <rPr>
            <b/>
            <sz val="8"/>
            <color indexed="81"/>
            <rFont val="Tahoma"/>
            <family val="2"/>
          </rPr>
          <t xml:space="preserve">5/15: </t>
        </r>
        <r>
          <rPr>
            <sz val="8"/>
            <color indexed="81"/>
            <rFont val="Tahoma"/>
            <family val="2"/>
          </rPr>
          <t>2H Flat to +1% increase; 3Q +2-4% w/ sales $6.1-6.2Bn</t>
        </r>
      </text>
    </comment>
    <comment ref="BG21" authorId="0">
      <text>
        <r>
          <rPr>
            <sz val="8"/>
            <color indexed="81"/>
            <rFont val="Tahoma"/>
            <family val="2"/>
          </rPr>
          <t>120 bps decrease in GM due to negative leverage of occupancy and depr (80 bps), distribution costs (30 bps), and medical costs. MM up in 1Q. Distribution costs impacted by new TJ Maxx DC in Pittston, PA</t>
        </r>
      </text>
    </comment>
    <comment ref="BS21" authorId="2">
      <text>
        <r>
          <rPr>
            <b/>
            <sz val="8"/>
            <color indexed="81"/>
            <rFont val="Tahoma"/>
            <family val="2"/>
          </rPr>
          <t xml:space="preserve">90bps better:  </t>
        </r>
        <r>
          <rPr>
            <sz val="8"/>
            <color indexed="81"/>
            <rFont val="Tahoma"/>
            <family val="2"/>
          </rPr>
          <t>5/06: +100 bps mdse mrgn (+500 bps from Winners div. helped consol by +50bps) &amp; decline in dist &amp; admin cost partly offset by -50 bps in delvge on occ.</t>
        </r>
      </text>
    </comment>
    <comment ref="BV21" authorId="2">
      <text>
        <r>
          <rPr>
            <b/>
            <sz val="8"/>
            <color indexed="81"/>
            <rFont val="Tahoma"/>
            <family val="2"/>
          </rPr>
          <t>mm98285:</t>
        </r>
        <r>
          <rPr>
            <sz val="8"/>
            <color indexed="81"/>
            <rFont val="Tahoma"/>
            <family val="2"/>
          </rPr>
          <t xml:space="preserve">
4/09:  excluded Bob's $6.6M loss (assume half GM, half SGA)</t>
        </r>
      </text>
    </comment>
    <comment ref="BW21" authorId="2">
      <text>
        <r>
          <rPr>
            <sz val="8"/>
            <color indexed="81"/>
            <rFont val="Tahoma"/>
            <family val="2"/>
          </rPr>
          <t xml:space="preserve">GM fell by ~40 bps versus LY primarily due to slightly higher markdowns on apparel merchandise because of cool March/April weather conditions.  </t>
        </r>
      </text>
    </comment>
    <comment ref="BZ21" authorId="2">
      <text>
        <r>
          <rPr>
            <b/>
            <sz val="8"/>
            <color indexed="81"/>
            <rFont val="Tahoma"/>
            <family val="2"/>
          </rPr>
          <t>mm98285:</t>
        </r>
        <r>
          <rPr>
            <sz val="8"/>
            <color indexed="81"/>
            <rFont val="Tahoma"/>
            <family val="2"/>
          </rPr>
          <t xml:space="preserve">
$3315.735M prior to restate to ex Bobs 
excluded Bob's $6.9M loss (assume half GM, half SGA)</t>
        </r>
      </text>
    </comment>
    <comment ref="CA21" authorId="2">
      <text>
        <r>
          <rPr>
            <b/>
            <sz val="7"/>
            <color indexed="81"/>
            <rFont val="Tahoma"/>
            <family val="2"/>
          </rPr>
          <t>mm98285:</t>
        </r>
        <r>
          <rPr>
            <sz val="7"/>
            <color indexed="81"/>
            <rFont val="Tahoma"/>
            <family val="2"/>
          </rPr>
          <t xml:space="preserve">
+30 bps merch margins (inclusive of partially offsetting fuel costs) 
-30 bps buying &amp; occupancy delvge 
-10 bps investments in Europe 
Merch margin Feb: we est. up; March "very strong", April we est up
2/08: expect 24.2-24.3%</t>
        </r>
      </text>
    </comment>
    <comment ref="CE21" authorId="2">
      <text>
        <r>
          <rPr>
            <b/>
            <sz val="8"/>
            <color indexed="81"/>
            <rFont val="Tahoma"/>
            <family val="2"/>
          </rPr>
          <t>mm98285:</t>
        </r>
        <r>
          <rPr>
            <sz val="8"/>
            <color indexed="81"/>
            <rFont val="Tahoma"/>
            <family val="2"/>
          </rPr>
          <t xml:space="preserve">
5/09: merch. margin +110 bps partially offset by -20 bps from mark to market impact of inventory hedge.  B&amp;O costs were ~flat as % of sales
MM: April - we est up; March MM - we est up "very good shape"; February MM - we est up
2/09: guid. to 23.5-24% (expect merch mgn up)</t>
        </r>
      </text>
    </comment>
    <comment ref="CI21" authorId="2">
      <text>
        <r>
          <rPr>
            <b/>
            <sz val="8"/>
            <color indexed="81"/>
            <rFont val="Tahoma"/>
            <family val="2"/>
          </rPr>
          <t>mm98285:</t>
        </r>
        <r>
          <rPr>
            <sz val="8"/>
            <color indexed="81"/>
            <rFont val="Tahoma"/>
            <family val="2"/>
          </rPr>
          <t xml:space="preserve">
2/10: 25.8-26.2%
Merch margin:
Feb: we est up
March: we est up
April: up</t>
        </r>
      </text>
    </comment>
    <comment ref="CM21" authorId="3">
      <text>
        <r>
          <rPr>
            <b/>
            <sz val="8"/>
            <color indexed="81"/>
            <rFont val="Tahoma"/>
            <family val="2"/>
          </rPr>
          <t xml:space="preserve">5/17/11: </t>
        </r>
        <r>
          <rPr>
            <sz val="8"/>
            <color indexed="81"/>
            <rFont val="Tahoma"/>
            <family val="2"/>
          </rPr>
          <t>-30bps due to mark to market adj due to inv-related hedge, -10bps Euro MD's partially offset by B&amp;O lvg</t>
        </r>
        <r>
          <rPr>
            <sz val="8"/>
            <color indexed="81"/>
            <rFont val="Tahoma"/>
            <family val="2"/>
          </rPr>
          <t xml:space="preserve">
</t>
        </r>
        <r>
          <rPr>
            <b/>
            <sz val="8"/>
            <color indexed="81"/>
            <rFont val="Tahoma"/>
            <family val="2"/>
          </rPr>
          <t>2/11:</t>
        </r>
        <r>
          <rPr>
            <sz val="8"/>
            <color indexed="81"/>
            <rFont val="Tahoma"/>
            <family val="2"/>
          </rPr>
          <t xml:space="preserve"> Exp 26.8%-27.2% (10)-(50)bps due to B&amp;O delvg
(26.6-27.1% including AJW)</t>
        </r>
      </text>
    </comment>
    <comment ref="CN21" authorId="3">
      <text>
        <r>
          <rPr>
            <b/>
            <sz val="8"/>
            <color indexed="81"/>
            <rFont val="Tahoma"/>
            <family val="2"/>
          </rPr>
          <t>lauraro:</t>
        </r>
        <r>
          <rPr>
            <sz val="8"/>
            <color indexed="81"/>
            <rFont val="Tahoma"/>
            <family val="2"/>
          </rPr>
          <t xml:space="preserve">
~50bps due to 3c/share hit from M2M inv-related adjustment</t>
        </r>
      </text>
    </comment>
    <comment ref="CQ21" authorId="21">
      <text>
        <r>
          <rPr>
            <b/>
            <sz val="8"/>
            <color indexed="81"/>
            <rFont val="Tahoma"/>
            <family val="2"/>
          </rPr>
          <t xml:space="preserve">2/22/12: </t>
        </r>
        <r>
          <rPr>
            <sz val="8"/>
            <color indexed="81"/>
            <rFont val="Tahoma"/>
            <family val="2"/>
          </rPr>
          <t>27.5-27.7% due to strong margins and non-anniversarying m2m impact</t>
        </r>
        <r>
          <rPr>
            <b/>
            <sz val="8"/>
            <color indexed="81"/>
            <rFont val="Tahoma"/>
            <family val="2"/>
          </rPr>
          <t xml:space="preserve">
kimberlg:</t>
        </r>
        <r>
          <rPr>
            <sz val="8"/>
            <color indexed="81"/>
            <rFont val="Tahoma"/>
            <family val="2"/>
          </rPr>
          <t xml:space="preserve">
assume they get back the 30bps hit from mark-to-mkt inv hedge LY</t>
        </r>
      </text>
    </comment>
    <comment ref="CU21" authorId="5">
      <text>
        <r>
          <rPr>
            <b/>
            <sz val="8"/>
            <color indexed="81"/>
            <rFont val="Tahoma"/>
            <family val="2"/>
          </rPr>
          <t xml:space="preserve">4/11/2013: </t>
        </r>
        <r>
          <rPr>
            <sz val="8"/>
            <color indexed="81"/>
            <rFont val="Tahoma"/>
            <family val="2"/>
          </rPr>
          <t>merch margins guided to be higher y/y</t>
        </r>
        <r>
          <rPr>
            <b/>
            <sz val="8"/>
            <color indexed="81"/>
            <rFont val="Tahoma"/>
            <family val="2"/>
          </rPr>
          <t xml:space="preserve">
2/27/2013 guidance: </t>
        </r>
        <r>
          <rPr>
            <sz val="8"/>
            <color indexed="81"/>
            <rFont val="Tahoma"/>
            <family val="2"/>
          </rPr>
          <t>28.1-28.4%, -10 to +20 bps</t>
        </r>
      </text>
    </comment>
    <comment ref="CW21" authorId="6">
      <text>
        <r>
          <rPr>
            <b/>
            <sz val="8"/>
            <color indexed="81"/>
            <rFont val="Tahoma"/>
            <family val="2"/>
          </rPr>
          <t>Need +~2% comp to levg B&amp;O</t>
        </r>
        <r>
          <rPr>
            <sz val="8"/>
            <color indexed="81"/>
            <rFont val="Tahoma"/>
            <family val="2"/>
          </rPr>
          <t xml:space="preserve">
</t>
        </r>
      </text>
    </comment>
    <comment ref="CY21" authorId="6">
      <text>
        <r>
          <rPr>
            <b/>
            <sz val="8"/>
            <color indexed="81"/>
            <rFont val="Tahoma"/>
            <family val="2"/>
          </rPr>
          <t xml:space="preserve">2/25/14: </t>
        </r>
        <r>
          <rPr>
            <sz val="8"/>
            <color indexed="81"/>
            <rFont val="Tahoma"/>
            <family val="2"/>
          </rPr>
          <t>28.1-28.2%. Down 30-20 bps</t>
        </r>
        <r>
          <rPr>
            <sz val="8"/>
            <color indexed="81"/>
            <rFont val="Tahoma"/>
            <family val="2"/>
          </rPr>
          <t xml:space="preserve">
</t>
        </r>
      </text>
    </comment>
    <comment ref="DA21" authorId="6">
      <text>
        <r>
          <rPr>
            <b/>
            <sz val="8"/>
            <color indexed="81"/>
            <rFont val="Tahoma"/>
            <family val="2"/>
          </rPr>
          <t>Need +~2% comp to levg B&amp;O</t>
        </r>
        <r>
          <rPr>
            <sz val="8"/>
            <color indexed="81"/>
            <rFont val="Tahoma"/>
            <family val="2"/>
          </rPr>
          <t xml:space="preserve">
</t>
        </r>
      </text>
    </comment>
    <comment ref="DC21" authorId="7">
      <text>
        <r>
          <rPr>
            <sz val="9"/>
            <color indexed="81"/>
            <rFont val="Tahoma"/>
            <family val="2"/>
          </rPr>
          <t xml:space="preserve">
5/19/15: Increase driven by a strong increase in merchandise margins and, to a lesser extent, B&amp;O leverage
</t>
        </r>
        <r>
          <rPr>
            <b/>
            <sz val="9"/>
            <color indexed="81"/>
            <rFont val="Tahoma"/>
            <family val="2"/>
          </rPr>
          <t>2/25/15 guidance:</t>
        </r>
        <r>
          <rPr>
            <sz val="9"/>
            <color indexed="81"/>
            <rFont val="Tahoma"/>
            <family val="2"/>
          </rPr>
          <t xml:space="preserve"> 27.9-28.0% (expect increased merch margins)</t>
        </r>
      </text>
    </comment>
    <comment ref="DE21" authorId="6">
      <text>
        <r>
          <rPr>
            <b/>
            <sz val="8"/>
            <color indexed="81"/>
            <rFont val="Tahoma"/>
            <family val="2"/>
          </rPr>
          <t>Need +~2% comp to levg B&amp;O</t>
        </r>
        <r>
          <rPr>
            <sz val="8"/>
            <color indexed="81"/>
            <rFont val="Tahoma"/>
            <family val="2"/>
          </rPr>
          <t xml:space="preserve">
</t>
        </r>
      </text>
    </comment>
    <comment ref="DG21" authorId="9">
      <text>
        <r>
          <rPr>
            <b/>
            <sz val="9"/>
            <color indexed="81"/>
            <rFont val="Tahoma"/>
            <family val="2"/>
          </rPr>
          <t>Baglione, Gregory  (Research):</t>
        </r>
        <r>
          <rPr>
            <sz val="9"/>
            <color indexed="81"/>
            <rFont val="Tahoma"/>
            <family val="2"/>
          </rPr>
          <t xml:space="preserve">
5/17/16
Gross profit margin was 28.8%, up 50 basis points versus last year. This was primarily due to buying and occupancy leverage on the 7% comp, partially offset by the mark-to-market adjustments on our inventory hedges. Despite the negative impact from transactional foreign exchange at TJX Canada and TJX International, merchandise margins remained strong.
2/24/16 Guidance
28.2-28.3%, flat to down 10 bps
</t>
        </r>
      </text>
    </comment>
    <comment ref="DI21" authorId="6">
      <text>
        <r>
          <rPr>
            <b/>
            <sz val="8"/>
            <color indexed="81"/>
            <rFont val="Tahoma"/>
            <family val="2"/>
          </rPr>
          <t>Need +~2% comp to levg B&amp;O</t>
        </r>
        <r>
          <rPr>
            <sz val="8"/>
            <color indexed="81"/>
            <rFont val="Tahoma"/>
            <family val="2"/>
          </rPr>
          <t xml:space="preserve">
</t>
        </r>
      </text>
    </comment>
    <comment ref="DK21" authorId="10">
      <text>
        <r>
          <rPr>
            <b/>
            <sz val="9"/>
            <color indexed="81"/>
            <rFont val="Tahoma"/>
            <family val="2"/>
          </rPr>
          <t>Roberts, Cynthia (Research):</t>
        </r>
        <r>
          <rPr>
            <sz val="9"/>
            <color indexed="81"/>
            <rFont val="Tahoma"/>
            <family val="2"/>
          </rPr>
          <t xml:space="preserve">
5/16/17: Merch margin up
2/22/17: Guidance: 28.7-28.8%</t>
        </r>
      </text>
    </comment>
    <comment ref="DM21" authorId="6">
      <text>
        <r>
          <rPr>
            <b/>
            <sz val="8"/>
            <color indexed="81"/>
            <rFont val="Tahoma"/>
            <family val="2"/>
          </rPr>
          <t>Need +~2% comp to levg B&amp;O</t>
        </r>
        <r>
          <rPr>
            <sz val="8"/>
            <color indexed="81"/>
            <rFont val="Tahoma"/>
            <family val="2"/>
          </rPr>
          <t xml:space="preserve">
</t>
        </r>
      </text>
    </comment>
    <comment ref="DO21" authorId="10">
      <text>
        <r>
          <rPr>
            <b/>
            <sz val="9"/>
            <color indexed="81"/>
            <rFont val="Tahoma"/>
            <family val="2"/>
          </rPr>
          <t>Roberts, Cynthia (Research):</t>
        </r>
        <r>
          <rPr>
            <sz val="9"/>
            <color indexed="81"/>
            <rFont val="Tahoma"/>
            <family val="2"/>
          </rPr>
          <t xml:space="preserve">
2/28/18: Guidance 28.5-28.6%</t>
        </r>
      </text>
    </comment>
    <comment ref="BC22" authorId="0">
      <text>
        <r>
          <rPr>
            <sz val="8"/>
            <color indexed="81"/>
            <rFont val="Tahoma"/>
            <family val="2"/>
          </rPr>
          <t>MM up 160 bps, occ up 40 bps</t>
        </r>
      </text>
    </comment>
    <comment ref="BG22" authorId="0">
      <text>
        <r>
          <rPr>
            <sz val="8"/>
            <color indexed="81"/>
            <rFont val="Tahoma"/>
            <family val="2"/>
          </rPr>
          <t>24, 24.2
MM down 100 bps, higher dist cost associated with new pittston DC (June 02)</t>
        </r>
      </text>
    </comment>
    <comment ref="BK22" authorId="0">
      <text>
        <r>
          <rPr>
            <sz val="8"/>
            <color indexed="81"/>
            <rFont val="Tahoma"/>
            <family val="2"/>
          </rPr>
          <t>7/8/04 had 23.7
GM will take most of the hit for 3c miss in 2Q04</t>
        </r>
      </text>
    </comment>
    <comment ref="BO22" authorId="1">
      <text>
        <r>
          <rPr>
            <b/>
            <sz val="8"/>
            <color indexed="81"/>
            <rFont val="Tahoma"/>
            <family val="2"/>
          </rPr>
          <t>Morry Brown:</t>
        </r>
        <r>
          <rPr>
            <sz val="8"/>
            <color indexed="81"/>
            <rFont val="Tahoma"/>
            <family val="2"/>
          </rPr>
          <t xml:space="preserve">
23.6% est</t>
        </r>
      </text>
    </comment>
    <comment ref="BS22" authorId="2">
      <text>
        <r>
          <rPr>
            <b/>
            <sz val="8"/>
            <color indexed="81"/>
            <rFont val="Tahoma"/>
            <family val="2"/>
          </rPr>
          <t>40bps better:</t>
        </r>
        <r>
          <rPr>
            <sz val="8"/>
            <color indexed="81"/>
            <rFont val="Tahoma"/>
            <family val="2"/>
          </rPr>
          <t xml:space="preserve"> </t>
        </r>
        <r>
          <rPr>
            <u/>
            <sz val="8"/>
            <color indexed="81"/>
            <rFont val="Tahoma"/>
            <family val="2"/>
          </rPr>
          <t xml:space="preserve">+30 </t>
        </r>
        <r>
          <rPr>
            <sz val="8"/>
            <color indexed="81"/>
            <rFont val="Tahoma"/>
            <family val="2"/>
          </rPr>
          <t xml:space="preserve">bps D.C. productivity imprv. &amp; buying leverage  </t>
        </r>
        <r>
          <rPr>
            <u/>
            <sz val="8"/>
            <color indexed="81"/>
            <rFont val="Tahoma"/>
            <family val="2"/>
          </rPr>
          <t xml:space="preserve">~+10 </t>
        </r>
        <r>
          <rPr>
            <sz val="8"/>
            <color indexed="81"/>
            <rFont val="Tahoma"/>
            <family val="2"/>
          </rPr>
          <t>bps mdse mgn
(partially offset by occupancy delvg) (8/06)</t>
        </r>
      </text>
    </comment>
    <comment ref="BV22" authorId="2">
      <text>
        <r>
          <rPr>
            <b/>
            <sz val="8"/>
            <color indexed="81"/>
            <rFont val="Tahoma"/>
            <family val="2"/>
          </rPr>
          <t>mm98285:</t>
        </r>
        <r>
          <rPr>
            <sz val="8"/>
            <color indexed="81"/>
            <rFont val="Tahoma"/>
            <family val="2"/>
          </rPr>
          <t xml:space="preserve">
4/09: excluded Bob's $3.5M loss (assume half GM, half SGA)</t>
        </r>
      </text>
    </comment>
    <comment ref="BW22" authorId="12">
      <text>
        <r>
          <rPr>
            <sz val="8"/>
            <color indexed="81"/>
            <rFont val="Tahoma"/>
            <family val="2"/>
          </rPr>
          <t>GM increased primarily due to improved merchandise
margins as well as buying occupancy expense leverage.</t>
        </r>
        <r>
          <rPr>
            <b/>
            <sz val="8"/>
            <color indexed="81"/>
            <rFont val="Tahoma"/>
            <family val="2"/>
          </rPr>
          <t xml:space="preserve">
oc48540:</t>
        </r>
        <r>
          <rPr>
            <sz val="8"/>
            <color indexed="81"/>
            <rFont val="Tahoma"/>
            <family val="2"/>
          </rPr>
          <t xml:space="preserve">
May: "in good shape"
1Q07: Guided to 23.3-23.5%
June: "Ahead of plan" we est up to LY 
July: "Margins strong"</t>
        </r>
      </text>
    </comment>
    <comment ref="BZ22" authorId="2">
      <text>
        <r>
          <rPr>
            <b/>
            <sz val="8"/>
            <color indexed="81"/>
            <rFont val="Tahoma"/>
            <family val="2"/>
          </rPr>
          <t>mm98285:</t>
        </r>
        <r>
          <rPr>
            <sz val="8"/>
            <color indexed="81"/>
            <rFont val="Tahoma"/>
            <family val="2"/>
          </rPr>
          <t xml:space="preserve">
$3492.815M prior to restatement
excluded Bob's $3.8M loss (assume half GM, half SGA)</t>
        </r>
      </text>
    </comment>
    <comment ref="CA22" authorId="13">
      <text>
        <r>
          <rPr>
            <b/>
            <sz val="8"/>
            <color indexed="81"/>
            <rFont val="Tahoma"/>
            <family val="2"/>
          </rPr>
          <t>OC48540:</t>
        </r>
        <r>
          <rPr>
            <sz val="8"/>
            <color indexed="81"/>
            <rFont val="Tahoma"/>
            <family val="2"/>
          </rPr>
          <t xml:space="preserve">
5/09: estimate 24.3% ex Bob's
GM up above plan driven by +80 bps merch margins (incl. higher fuel costs) offset by higher B&amp;O
5/13/08: exp. 23.9%-24%</t>
        </r>
      </text>
    </comment>
    <comment ref="CE22" authorId="2">
      <text>
        <r>
          <rPr>
            <b/>
            <sz val="8"/>
            <color indexed="81"/>
            <rFont val="Tahoma"/>
            <family val="2"/>
          </rPr>
          <t>mm98285:</t>
        </r>
        <r>
          <rPr>
            <sz val="8"/>
            <color indexed="81"/>
            <rFont val="Tahoma"/>
            <family val="2"/>
          </rPr>
          <t xml:space="preserve">
+130 bps primarily given +140 bps higher merch margin (~50% higher IMU, ~50% lower MDs) offset by -10 bps mark to market impact of inventory hedge.  Buying and occupancy cost leverage was largely offset by higher incentive compensation.  
Merch. margin: May &amp; June: we est up
July MM we est up &amp; strong
5/09: 24.3-24.8% vs. 24.3% LY (ex Bob's)
expect to get reversal of mark to market adj (+20 bps in 2Q)</t>
        </r>
      </text>
    </comment>
    <comment ref="CI22" authorId="14">
      <text>
        <r>
          <rPr>
            <b/>
            <sz val="8"/>
            <color indexed="81"/>
            <rFont val="Tahoma"/>
            <family val="2"/>
          </rPr>
          <t>lr73192:</t>
        </r>
        <r>
          <rPr>
            <sz val="8"/>
            <color indexed="81"/>
            <rFont val="Tahoma"/>
            <family val="2"/>
          </rPr>
          <t xml:space="preserve">
+80 bps higher merch margin and ~20 bps B&amp;O levg
5/10: 25.9-26.2%</t>
        </r>
      </text>
    </comment>
    <comment ref="CM22" authorId="3">
      <text>
        <r>
          <rPr>
            <b/>
            <sz val="8"/>
            <color indexed="81"/>
            <rFont val="Tahoma"/>
            <family val="2"/>
          </rPr>
          <t xml:space="preserve">8/16/11: </t>
        </r>
        <r>
          <rPr>
            <sz val="8"/>
            <color indexed="81"/>
            <rFont val="Tahoma"/>
            <family val="2"/>
          </rPr>
          <t>B&amp;O lvg, merch margin flat (in NA merch margin up 10-20bps), mark to market adjustment benefit</t>
        </r>
        <r>
          <rPr>
            <b/>
            <sz val="8"/>
            <color indexed="81"/>
            <rFont val="Tahoma"/>
            <family val="2"/>
          </rPr>
          <t xml:space="preserve">
5/17/11: </t>
        </r>
        <r>
          <rPr>
            <sz val="8"/>
            <color indexed="81"/>
            <rFont val="Tahoma"/>
            <family val="2"/>
          </rPr>
          <t>26.7-27.1%</t>
        </r>
        <r>
          <rPr>
            <sz val="8"/>
            <color indexed="81"/>
            <rFont val="Tahoma"/>
            <family val="2"/>
          </rPr>
          <t xml:space="preserve">
</t>
        </r>
        <r>
          <rPr>
            <b/>
            <sz val="8"/>
            <color indexed="81"/>
            <rFont val="Tahoma"/>
            <family val="2"/>
          </rPr>
          <t>2/11:</t>
        </r>
        <r>
          <rPr>
            <sz val="8"/>
            <color indexed="81"/>
            <rFont val="Tahoma"/>
            <family val="2"/>
          </rPr>
          <t xml:space="preserve"> Assume ~30bps lift ex AJW</t>
        </r>
      </text>
    </comment>
    <comment ref="CN22" authorId="3">
      <text>
        <r>
          <rPr>
            <b/>
            <sz val="8"/>
            <color indexed="81"/>
            <rFont val="Tahoma"/>
            <family val="2"/>
          </rPr>
          <t>lauraro:</t>
        </r>
        <r>
          <rPr>
            <sz val="8"/>
            <color indexed="81"/>
            <rFont val="Tahoma"/>
            <family val="2"/>
          </rPr>
          <t xml:space="preserve">
2/11: ~10bps delvg on 2% comp, +30bps ex AJW</t>
        </r>
      </text>
    </comment>
    <comment ref="CQ22" authorId="21">
      <text>
        <r>
          <rPr>
            <b/>
            <sz val="8"/>
            <color indexed="81"/>
            <rFont val="Tahoma"/>
            <family val="2"/>
          </rPr>
          <t xml:space="preserve">8/2/12: </t>
        </r>
        <r>
          <rPr>
            <sz val="8"/>
            <color indexed="81"/>
            <rFont val="Tahoma"/>
            <family val="2"/>
          </rPr>
          <t>adj to 27.6% on higher 2Q EPS guidance</t>
        </r>
        <r>
          <rPr>
            <b/>
            <sz val="8"/>
            <color indexed="81"/>
            <rFont val="Tahoma"/>
            <family val="2"/>
          </rPr>
          <t xml:space="preserve">
7/5/12: </t>
        </r>
        <r>
          <rPr>
            <sz val="8"/>
            <color indexed="81"/>
            <rFont val="Tahoma"/>
            <family val="2"/>
          </rPr>
          <t>adj to 27.42% to get FY EPS to match</t>
        </r>
        <r>
          <rPr>
            <b/>
            <sz val="8"/>
            <color indexed="81"/>
            <rFont val="Tahoma"/>
            <family val="2"/>
          </rPr>
          <t xml:space="preserve">
5/15/12: </t>
        </r>
        <r>
          <rPr>
            <sz val="8"/>
            <color indexed="81"/>
            <rFont val="Tahoma"/>
            <family val="2"/>
          </rPr>
          <t>27.2-27.4%, merch margins up offset by 10bps FX</t>
        </r>
        <r>
          <rPr>
            <b/>
            <sz val="8"/>
            <color indexed="81"/>
            <rFont val="Tahoma"/>
            <family val="2"/>
          </rPr>
          <t xml:space="preserve">
kimberlg:</t>
        </r>
        <r>
          <rPr>
            <sz val="8"/>
            <color indexed="81"/>
            <rFont val="Tahoma"/>
            <family val="2"/>
          </rPr>
          <t xml:space="preserve">
reversal of LY's MTM inv hedge (~20bps)…LY said did not get the full 30bps back, offset by minimal B&amp;O lvg and mdse margin expansion</t>
        </r>
      </text>
    </comment>
    <comment ref="CU22" authorId="5">
      <text>
        <r>
          <rPr>
            <b/>
            <sz val="8"/>
            <color indexed="81"/>
            <rFont val="Tahoma"/>
            <family val="2"/>
          </rPr>
          <t xml:space="preserve">8/20/13: </t>
        </r>
        <r>
          <rPr>
            <sz val="8"/>
            <color indexed="81"/>
            <rFont val="Tahoma"/>
            <family val="2"/>
          </rPr>
          <t>the increase was driven primarily by strong merch margin improvement and B&amp;O leverage on above-plan sales</t>
        </r>
        <r>
          <rPr>
            <b/>
            <sz val="8"/>
            <color indexed="81"/>
            <rFont val="Tahoma"/>
            <family val="2"/>
          </rPr>
          <t xml:space="preserve">
5/21/2013 
guidance: </t>
        </r>
        <r>
          <rPr>
            <sz val="8"/>
            <color indexed="81"/>
            <rFont val="Tahoma"/>
            <family val="2"/>
          </rPr>
          <t>28.2%-28.4%m +10-30 bps</t>
        </r>
      </text>
    </comment>
    <comment ref="CY22" authorId="16">
      <text>
        <r>
          <rPr>
            <b/>
            <sz val="9"/>
            <color indexed="81"/>
            <rFont val="Tahoma"/>
            <family val="2"/>
          </rPr>
          <t xml:space="preserve">8/19/14: </t>
        </r>
        <r>
          <rPr>
            <sz val="9"/>
            <color indexed="81"/>
            <rFont val="Tahoma"/>
            <family val="2"/>
          </rPr>
          <t xml:space="preserve">The decrease was primarily due to the negative impact of mark-to-market adjustments on our hedging instruments as well as the impact of e-commerce on merchandise margins. Merchandise margins were flat for the second quarter. 
Carol: "Merch margin for brick and mortar stores was slightly up"
</t>
        </r>
        <r>
          <rPr>
            <b/>
            <sz val="9"/>
            <color indexed="81"/>
            <rFont val="Tahoma"/>
            <family val="2"/>
          </rPr>
          <t xml:space="preserve">
5/20/14 guidance: </t>
        </r>
        <r>
          <rPr>
            <sz val="9"/>
            <color indexed="81"/>
            <rFont val="Tahoma"/>
            <family val="2"/>
          </rPr>
          <t xml:space="preserve">28.5-28.8%, -30 bps to flat
</t>
        </r>
      </text>
    </comment>
    <comment ref="DC22" authorId="8">
      <text>
        <r>
          <rPr>
            <b/>
            <sz val="9"/>
            <color indexed="81"/>
            <rFont val="Tahoma"/>
            <family val="2"/>
          </rPr>
          <t>Mains, Spencer (Research):</t>
        </r>
        <r>
          <rPr>
            <sz val="9"/>
            <color indexed="81"/>
            <rFont val="Tahoma"/>
            <family val="2"/>
          </rPr>
          <t xml:space="preserve">
8/18/15
Gross profit margin for the second quarter of Fiscal 2016 was 29.1%, up 0.5 percentage points versus the prior year, primarily due to buying and occupancy leverage on the 6% comp growth. 
5/19/15: guidance 28.5-28.6%, FX and addl supply chain cost pressure. Expect Merch margins to be slightly up
</t>
        </r>
      </text>
    </comment>
    <comment ref="DG22" authorId="9">
      <text>
        <r>
          <rPr>
            <b/>
            <sz val="9"/>
            <color indexed="81"/>
            <rFont val="Tahoma"/>
            <family val="2"/>
          </rPr>
          <t>Baglione, Gregory  (Research):</t>
        </r>
        <r>
          <rPr>
            <sz val="9"/>
            <color indexed="81"/>
            <rFont val="Tahoma"/>
            <family val="2"/>
          </rPr>
          <t xml:space="preserve">
8/16/16
Gross profit margin for the second quarter of Fiscal 2017 was 29.4%, up 0.3 percentage points versus the prior year, primarily due to a strong increase in merchandise margins and gains related to the Company’s inventory hedges.
5/17/16
28.7%-28.8%</t>
        </r>
      </text>
    </comment>
    <comment ref="DK22" authorId="10">
      <text>
        <r>
          <rPr>
            <b/>
            <sz val="9"/>
            <color indexed="81"/>
            <rFont val="Tahoma"/>
            <family val="2"/>
          </rPr>
          <t>Roberts, Cynthia (Research):</t>
        </r>
        <r>
          <rPr>
            <sz val="9"/>
            <color indexed="81"/>
            <rFont val="Tahoma"/>
            <family val="2"/>
          </rPr>
          <t xml:space="preserve">
8/15/17: -90 bps driven by losses in inventory hedges. Merch margin up
5/16/17: Guidance 28.6-28.7%</t>
        </r>
      </text>
    </comment>
    <comment ref="BG23" authorId="0">
      <text>
        <r>
          <rPr>
            <sz val="8"/>
            <color indexed="81"/>
            <rFont val="Tahoma"/>
            <family val="2"/>
          </rPr>
          <t>25.3</t>
        </r>
      </text>
    </comment>
    <comment ref="BK23" authorId="11">
      <text>
        <r>
          <rPr>
            <b/>
            <sz val="8"/>
            <color indexed="81"/>
            <rFont val="Tahoma"/>
            <family val="2"/>
          </rPr>
          <t>MS:</t>
        </r>
        <r>
          <rPr>
            <sz val="8"/>
            <color indexed="81"/>
            <rFont val="Tahoma"/>
            <family val="2"/>
          </rPr>
          <t xml:space="preserve">
10/7 Had 25.4. Lowered to assume slightly lower MM</t>
        </r>
      </text>
    </comment>
    <comment ref="BO23" authorId="1">
      <text>
        <r>
          <rPr>
            <b/>
            <sz val="8"/>
            <color indexed="81"/>
            <rFont val="Tahoma"/>
            <family val="2"/>
          </rPr>
          <t>Morry Brown:</t>
        </r>
        <r>
          <rPr>
            <sz val="8"/>
            <color indexed="81"/>
            <rFont val="Tahoma"/>
            <family val="2"/>
          </rPr>
          <t xml:space="preserve">
+20 bps merch margin
-110 bps delvge in B&amp;O (primarily occupancy) 
-10 bps of one-time items
24.6</t>
        </r>
      </text>
    </comment>
    <comment ref="BS23" authorId="2">
      <text>
        <r>
          <rPr>
            <b/>
            <sz val="8"/>
            <color indexed="81"/>
            <rFont val="Tahoma"/>
            <family val="2"/>
          </rPr>
          <t>140 bps better:</t>
        </r>
        <r>
          <rPr>
            <sz val="8"/>
            <color indexed="81"/>
            <rFont val="Tahoma"/>
            <family val="2"/>
          </rPr>
          <t xml:space="preserve">
+70 bps buying, occup levg
+60 bps merch margins
+10 bps one-time item in 3Q05</t>
        </r>
      </text>
    </comment>
    <comment ref="BV23" authorId="2">
      <text>
        <r>
          <rPr>
            <b/>
            <sz val="8"/>
            <color indexed="81"/>
            <rFont val="Tahoma"/>
            <family val="2"/>
          </rPr>
          <t>mm98285:</t>
        </r>
        <r>
          <rPr>
            <sz val="8"/>
            <color indexed="81"/>
            <rFont val="Tahoma"/>
            <family val="2"/>
          </rPr>
          <t xml:space="preserve">
$3541.498 before restatement</t>
        </r>
      </text>
    </comment>
    <comment ref="BW23" authorId="12">
      <text>
        <r>
          <rPr>
            <sz val="8"/>
            <color indexed="81"/>
            <rFont val="Tahoma"/>
            <family val="2"/>
          </rPr>
          <t>Merchandise margin +20bps
B&amp;O deleverage -10bps
Mark-to-market  -30bps
total = -20bps
GM increased primarily due to improved merch.
margins and buying occupancy exp. leverage.</t>
        </r>
        <r>
          <rPr>
            <b/>
            <sz val="8"/>
            <color indexed="81"/>
            <rFont val="Tahoma"/>
            <family val="2"/>
          </rPr>
          <t xml:space="preserve">
oc48540:</t>
        </r>
        <r>
          <rPr>
            <sz val="8"/>
            <color indexed="81"/>
            <rFont val="Tahoma"/>
            <family val="2"/>
          </rPr>
          <t xml:space="preserve">
May: "in good shape"
1Q07: Guided to 23.3-23.5%
June: "Ahead of plan" we est up to LY 
July: "Margins strong"</t>
        </r>
      </text>
    </comment>
    <comment ref="BZ23" authorId="2">
      <text>
        <r>
          <rPr>
            <b/>
            <sz val="8"/>
            <color indexed="81"/>
            <rFont val="Tahoma"/>
            <family val="2"/>
          </rPr>
          <t>mm98285:</t>
        </r>
        <r>
          <rPr>
            <sz val="8"/>
            <color indexed="81"/>
            <rFont val="Tahoma"/>
            <family val="2"/>
          </rPr>
          <t xml:space="preserve">
$3528.009M prior to restatement</t>
        </r>
      </text>
    </comment>
    <comment ref="CA23" authorId="2">
      <text>
        <r>
          <rPr>
            <b/>
            <sz val="8"/>
            <color indexed="81"/>
            <rFont val="Tahoma"/>
            <family val="2"/>
          </rPr>
          <t>mm98285:</t>
        </r>
        <r>
          <rPr>
            <sz val="8"/>
            <color indexed="81"/>
            <rFont val="Tahoma"/>
            <family val="2"/>
          </rPr>
          <t xml:space="preserve">
10Q: +100 bps due to favorable impact of mark-to-market adjustments on inventory hedges TY vs. unfavorable impact LY; offset by +50 bps occupancy costs; consolidated merchandise margin was flat (despite fuel increases)
11/08: GM up due to mark-to-market inventory hedge adjstm't (or -30 bps ex-adjm't) &amp; merch margin +20 bps; offset by -20 bps increase in fuel &amp; -30 bps buying &amp; occupancy delevg
MM: Sept: "strong"; Aug: We est. up (less clearance vs. LY)
8/08: guided to 25.2-25.4%</t>
        </r>
      </text>
    </comment>
    <comment ref="CE23" authorId="2">
      <text>
        <r>
          <rPr>
            <b/>
            <sz val="8"/>
            <color indexed="81"/>
            <rFont val="Tahoma"/>
            <family val="2"/>
          </rPr>
          <t>mm98285:</t>
        </r>
        <r>
          <rPr>
            <sz val="8"/>
            <color indexed="81"/>
            <rFont val="Tahoma"/>
            <family val="2"/>
          </rPr>
          <t xml:space="preserve">
+240 bps merchandise margin (increased mark on &amp; reductions in MDs)
-40 bps mark to market adj on inv'ty hedges
B&amp;O leverage offset by higher accruals for perf based benefit and incentive plans for associates given perf above objectives
MM: August: strong (up); Sept: we est up
Oct: we est up
8/09: 25.9%-26.4%
anniversary +90bps benefit from mark to market inventory hedge in 3Q08</t>
        </r>
      </text>
    </comment>
    <comment ref="CI23" authorId="3">
      <text>
        <r>
          <rPr>
            <b/>
            <sz val="8"/>
            <color indexed="81"/>
            <rFont val="Tahoma"/>
            <family val="2"/>
          </rPr>
          <t xml:space="preserve">11/10: </t>
        </r>
        <r>
          <rPr>
            <sz val="8"/>
            <color indexed="81"/>
            <rFont val="Tahoma"/>
            <family val="2"/>
          </rPr>
          <t>Merchandise margin improvement and buying and occupancy cost leverage were offset by the impact of mark-to-market adjustments related to the Company’s inventory related hedges.</t>
        </r>
        <r>
          <rPr>
            <b/>
            <sz val="8"/>
            <color indexed="81"/>
            <rFont val="Tahoma"/>
            <family val="2"/>
          </rPr>
          <t xml:space="preserve">
lauraro:</t>
        </r>
        <r>
          <rPr>
            <sz val="8"/>
            <color indexed="81"/>
            <rFont val="Tahoma"/>
            <family val="2"/>
          </rPr>
          <t xml:space="preserve">
10/10: assume merch margin +20 bps offset by mark to market (-20 bps), B&amp;O flat
8/10: mgmt guided to 27.1%-27.4% (incl -20 bps mark-to-market currency adj. on inventory related hedge; merch margin slightly up and slight B&amp;O delevg)</t>
        </r>
      </text>
    </comment>
    <comment ref="CM23" authorId="3">
      <text>
        <r>
          <rPr>
            <b/>
            <sz val="8"/>
            <color indexed="81"/>
            <rFont val="Tahoma"/>
            <family val="2"/>
          </rPr>
          <t xml:space="preserve">11/15/11: Press release - </t>
        </r>
        <r>
          <rPr>
            <sz val="8"/>
            <color indexed="81"/>
            <rFont val="Tahoma"/>
            <family val="2"/>
          </rPr>
          <t>The increase is primarily attributed to buying and occupancy leverage as well as the 0.2 percentage point positive impact from mark-to-market adjustments on the Company’s inventory-related hedges. Merchandise margins were essentially flat on top of significant increases cumulatively over the past three years.</t>
        </r>
        <r>
          <rPr>
            <b/>
            <sz val="8"/>
            <color indexed="81"/>
            <rFont val="Tahoma"/>
            <family val="2"/>
          </rPr>
          <t xml:space="preserve">
8/16/11: </t>
        </r>
        <r>
          <rPr>
            <sz val="8"/>
            <color indexed="81"/>
            <rFont val="Tahoma"/>
            <family val="2"/>
          </rPr>
          <t>exp +30-50bps (27.8-28.0%) &amp; B&amp;O lvg</t>
        </r>
        <r>
          <rPr>
            <b/>
            <sz val="8"/>
            <color indexed="81"/>
            <rFont val="Tahoma"/>
            <family val="2"/>
          </rPr>
          <t xml:space="preserve">
lauraro:</t>
        </r>
        <r>
          <rPr>
            <sz val="8"/>
            <color indexed="81"/>
            <rFont val="Tahoma"/>
            <family val="2"/>
          </rPr>
          <t xml:space="preserve">
2/11: Assume ~30bps lift ex AJW</t>
        </r>
      </text>
    </comment>
    <comment ref="CN23" authorId="3">
      <text>
        <r>
          <rPr>
            <b/>
            <sz val="8"/>
            <color indexed="81"/>
            <rFont val="Tahoma"/>
            <family val="2"/>
          </rPr>
          <t>lauraro:</t>
        </r>
        <r>
          <rPr>
            <sz val="8"/>
            <color indexed="81"/>
            <rFont val="Tahoma"/>
            <family val="2"/>
          </rPr>
          <t xml:space="preserve">
2/11: Essentially flat (+30bps ex AJW)</t>
        </r>
      </text>
    </comment>
    <comment ref="CQ23" authorId="21">
      <text>
        <r>
          <rPr>
            <b/>
            <sz val="8"/>
            <color indexed="81"/>
            <rFont val="Tahoma"/>
            <family val="2"/>
          </rPr>
          <t xml:space="preserve">11/13/2012: </t>
        </r>
        <r>
          <rPr>
            <sz val="8"/>
            <color indexed="81"/>
            <rFont val="Tahoma"/>
            <family val="2"/>
          </rPr>
          <t>incrs driven by mdse margin improvement partially offset by neg. impact from M2M adj on inv. related hedges</t>
        </r>
        <r>
          <rPr>
            <b/>
            <sz val="8"/>
            <color indexed="81"/>
            <rFont val="Tahoma"/>
            <family val="2"/>
          </rPr>
          <t xml:space="preserve">
8/14/12:</t>
        </r>
        <r>
          <rPr>
            <sz val="8"/>
            <color indexed="81"/>
            <rFont val="Tahoma"/>
            <family val="2"/>
          </rPr>
          <t xml:space="preserve"> 28.1-28.3%, flat to +20 bps; incl. -20bps impact from M2M on hedges</t>
        </r>
        <r>
          <rPr>
            <b/>
            <sz val="8"/>
            <color indexed="81"/>
            <rFont val="Tahoma"/>
            <family val="2"/>
          </rPr>
          <t xml:space="preserve">
kimberlg:</t>
        </r>
        <r>
          <rPr>
            <sz val="8"/>
            <color indexed="81"/>
            <rFont val="Tahoma"/>
            <family val="2"/>
          </rPr>
          <t xml:space="preserve">
assume give back the 20bps MTM inv adj LY, offset by B&amp;O lvg, mdse margin improvement</t>
        </r>
      </text>
    </comment>
    <comment ref="CU23" authorId="15">
      <text>
        <r>
          <rPr>
            <b/>
            <sz val="8"/>
            <color indexed="81"/>
            <rFont val="Tahoma"/>
            <family val="2"/>
          </rPr>
          <t>solejay:</t>
        </r>
        <r>
          <rPr>
            <sz val="8"/>
            <color indexed="81"/>
            <rFont val="Tahoma"/>
            <family val="2"/>
          </rPr>
          <t xml:space="preserve">
8/20/13: guide = 28.7-28.9% (TJX indicates could be conservative)</t>
        </r>
      </text>
    </comment>
    <comment ref="CY23" authorId="16">
      <text>
        <r>
          <rPr>
            <b/>
            <sz val="9"/>
            <color indexed="81"/>
            <rFont val="Tahoma"/>
            <family val="2"/>
          </rPr>
          <t xml:space="preserve">8/19/14 guidance: </t>
        </r>
        <r>
          <rPr>
            <sz val="9"/>
            <color indexed="81"/>
            <rFont val="Tahoma"/>
            <family val="2"/>
          </rPr>
          <t xml:space="preserve">29.0-29.3%, -30 bps to flat
</t>
        </r>
      </text>
    </comment>
    <comment ref="CZ23" authorId="16">
      <text>
        <r>
          <rPr>
            <b/>
            <sz val="9"/>
            <color indexed="81"/>
            <rFont val="Tahoma"/>
            <family val="2"/>
          </rPr>
          <t xml:space="preserve">11/18/14: </t>
        </r>
        <r>
          <rPr>
            <sz val="9"/>
            <color indexed="81"/>
            <rFont val="Tahoma"/>
            <family val="2"/>
          </rPr>
          <t xml:space="preserve">Gross profit margin was 29.4%, up 10 basis points versus last year's strong increase. Merchandise margins were slightly down, primarily due to TJX Canada, which was hurt by FX. I should note that our Canadian organization did a great job of mitigating that impact
</t>
        </r>
      </text>
    </comment>
    <comment ref="DC23" authorId="9">
      <text>
        <r>
          <rPr>
            <b/>
            <sz val="9"/>
            <color indexed="81"/>
            <rFont val="Tahoma"/>
            <family val="2"/>
          </rPr>
          <t>Baglione, Gregory  (Research):</t>
        </r>
        <r>
          <rPr>
            <sz val="9"/>
            <color indexed="81"/>
            <rFont val="Tahoma"/>
            <family val="2"/>
          </rPr>
          <t xml:space="preserve">
8/18/15
anticipating third quarter gross profit margin to be in the range of 28.5% to 28.7% versus 29.4% last year.</t>
        </r>
      </text>
    </comment>
    <comment ref="DG23" authorId="9">
      <text>
        <r>
          <rPr>
            <b/>
            <sz val="9"/>
            <color indexed="81"/>
            <rFont val="Tahoma"/>
            <family val="2"/>
          </rPr>
          <t>Baglione, Gregory  (Research):</t>
        </r>
        <r>
          <rPr>
            <sz val="9"/>
            <color indexed="81"/>
            <rFont val="Tahoma"/>
            <family val="2"/>
          </rPr>
          <t xml:space="preserve">
11/15/16
-Gross profit margin for the third quarter of Fiscal 2017 was 29.5%, up 0.5 percentage points versus the prior year, primarily due to a strong increase in merchandise margin and gains related to the Company’s inventory hedges.
-Merchandise margins were up signficantly.
8/16/16
Guidance: We're anticipating third-quarter gross profit margin to be in the range of 28.9% to 29% versus 29% last year. This assumes an increase in merchandise margins, offset by continued transactional
foreign exchange pressure and costs associated with opening new distribution centers to support our growth.
</t>
        </r>
      </text>
    </comment>
    <comment ref="DK23" authorId="10">
      <text>
        <r>
          <rPr>
            <b/>
            <sz val="9"/>
            <color indexed="81"/>
            <rFont val="Tahoma"/>
            <family val="2"/>
          </rPr>
          <t>Roberts, Cynthia (Research):</t>
        </r>
        <r>
          <rPr>
            <sz val="9"/>
            <color indexed="81"/>
            <rFont val="Tahoma"/>
            <family val="2"/>
          </rPr>
          <t xml:space="preserve">
11/14/17: driven by gains in inventory hedges, merchandise margin also up, offset by supply chain costs and deleverage on a flat comp
8/15/17: Guidance 29.2%-29.3%</t>
        </r>
      </text>
    </comment>
    <comment ref="BG24" authorId="22">
      <text>
        <r>
          <rPr>
            <b/>
            <sz val="8"/>
            <color indexed="81"/>
            <rFont val="Arial"/>
            <family val="2"/>
          </rPr>
          <t>kgreenbe:</t>
        </r>
        <r>
          <rPr>
            <sz val="8"/>
            <color indexed="81"/>
            <rFont val="Arial"/>
            <family val="2"/>
          </rPr>
          <t xml:space="preserve">
assume at least 22.8%
add 40 bps for lvg of fixed costs b/c extra week
add 10 bps for DC lvg on lower freight
1/8 now also assuming stronger MM</t>
        </r>
      </text>
    </comment>
    <comment ref="BK24" authorId="23">
      <text>
        <r>
          <rPr>
            <b/>
            <sz val="8"/>
            <color indexed="81"/>
            <rFont val="Tahoma"/>
            <family val="2"/>
          </rPr>
          <t>MS:</t>
        </r>
        <r>
          <rPr>
            <sz val="8"/>
            <color indexed="81"/>
            <rFont val="Tahoma"/>
            <family val="2"/>
          </rPr>
          <t xml:space="preserve">
8/17 had 23.4
2/2305  $19.263 after-tax or $30.723mm pre-tax or 70 bps related to non-cash lease accounting change $0.04 EPS impact</t>
        </r>
      </text>
    </comment>
    <comment ref="BO24" authorId="2">
      <text>
        <r>
          <rPr>
            <b/>
            <sz val="8"/>
            <color indexed="81"/>
            <rFont val="Tahoma"/>
            <family val="2"/>
          </rPr>
          <t>mm98285:</t>
        </r>
        <r>
          <rPr>
            <sz val="8"/>
            <color indexed="81"/>
            <rFont val="Tahoma"/>
            <family val="2"/>
          </rPr>
          <t xml:space="preserve">
+70 bps due to a one-time lease acct charge 4Q04
+30 bps merchandise margin 
</t>
        </r>
      </text>
    </comment>
    <comment ref="BS24" authorId="2">
      <text>
        <r>
          <rPr>
            <b/>
            <sz val="8"/>
            <color indexed="81"/>
            <rFont val="Tahoma"/>
            <family val="2"/>
          </rPr>
          <t>10 bps worse:</t>
        </r>
        <r>
          <rPr>
            <sz val="8"/>
            <color indexed="81"/>
            <rFont val="Tahoma"/>
            <family val="2"/>
          </rPr>
          <t xml:space="preserve">
Occupancy cost deleverage despite +5 comp given a reposit. Of UK real estate to open larger stores driving accelerated depreciation costs
RE: mdse marg - "in fine shape" Nov, "no comment" Dec, we est. flattish in Jan</t>
        </r>
      </text>
    </comment>
    <comment ref="BW24" authorId="13">
      <text>
        <r>
          <rPr>
            <b/>
            <sz val="8"/>
            <color indexed="81"/>
            <rFont val="Tahoma"/>
            <family val="2"/>
          </rPr>
          <t xml:space="preserve">mm98285:
</t>
        </r>
        <r>
          <rPr>
            <sz val="8"/>
            <color indexed="81"/>
            <rFont val="Tahoma"/>
            <family val="2"/>
          </rPr>
          <t xml:space="preserve">3/08: +130 bps merch. margin (incl. +30 bps from fx impact of inventory-related hedges), ~+20 bps from buying and occup. leverage
Nov: We est. "healthy margins"
Dec: We est. up
Jan: "very strong"
Guidance issued at 3Q07: 23.2-23.3% </t>
        </r>
      </text>
    </comment>
    <comment ref="BZ24" authorId="2">
      <text>
        <r>
          <rPr>
            <b/>
            <sz val="8"/>
            <color indexed="81"/>
            <rFont val="Tahoma"/>
            <family val="2"/>
          </rPr>
          <t>mm98285:</t>
        </r>
        <r>
          <rPr>
            <sz val="8"/>
            <color indexed="81"/>
            <rFont val="Tahoma"/>
            <family val="2"/>
          </rPr>
          <t xml:space="preserve">
2/10: restated from $4160.712</t>
        </r>
      </text>
    </comment>
    <comment ref="CA24" authorId="2">
      <text>
        <r>
          <rPr>
            <b/>
            <sz val="8"/>
            <color indexed="81"/>
            <rFont val="Tahoma"/>
            <family val="2"/>
          </rPr>
          <t>mm98285:</t>
        </r>
        <r>
          <rPr>
            <sz val="8"/>
            <color indexed="81"/>
            <rFont val="Tahoma"/>
            <family val="2"/>
          </rPr>
          <t xml:space="preserve">
-100bps inv. hedge, -130 bps B&amp;O delevg, -20 bps Winners mdse marg hit
+70 bps extra week, merch margin flat
2/09: Jan: merch mgn @ MM above expectations 
1/09: merch marg @ MM up
12/08: November merch marg "good shape"
11/08: 23.4-23.6% (incl mark to market)</t>
        </r>
      </text>
    </comment>
    <comment ref="CE24" authorId="2">
      <text>
        <r>
          <rPr>
            <b/>
            <sz val="8"/>
            <color indexed="81"/>
            <rFont val="Tahoma"/>
            <family val="2"/>
          </rPr>
          <t>mm98285:</t>
        </r>
        <r>
          <rPr>
            <sz val="8"/>
            <color indexed="81"/>
            <rFont val="Tahoma"/>
            <family val="2"/>
          </rPr>
          <t xml:space="preserve">
driven primarily by an increase in merchandise margin as well as buying &amp; occupancy cost leverage on +12% comp
11/09: 24-24.3%
anniversary negative impact from mark to market inventory hedge in 4Q08
MM: Nov: we est up; Dec: up; Jan: we est up</t>
        </r>
      </text>
    </comment>
    <comment ref="CI24" authorId="3">
      <text>
        <r>
          <rPr>
            <b/>
            <sz val="8"/>
            <color indexed="81"/>
            <rFont val="Tahoma"/>
            <family val="2"/>
          </rPr>
          <t xml:space="preserve">2/11: </t>
        </r>
        <r>
          <rPr>
            <sz val="8"/>
            <color indexed="81"/>
            <rFont val="Tahoma"/>
            <family val="2"/>
          </rPr>
          <t>Gross Margin increased +30bps to 26.9% vs. 26.6% LY, primarily driven by buying and occupancy leverage, with consolidated merchandise margins flat against large increases LY.</t>
        </r>
        <r>
          <rPr>
            <b/>
            <sz val="8"/>
            <color indexed="81"/>
            <rFont val="Tahoma"/>
            <family val="2"/>
          </rPr>
          <t xml:space="preserve">
</t>
        </r>
        <r>
          <rPr>
            <sz val="8"/>
            <color indexed="81"/>
            <rFont val="Tahoma"/>
            <family val="2"/>
          </rPr>
          <t>AJW &amp; TKM ~17% total sales. If they are -100 bps and rest of div's are flat, would be -20bps
Assume don't lose 40-50bps B&amp;O dlvg on +2% comp vs. expected -LSD comp</t>
        </r>
        <r>
          <rPr>
            <b/>
            <sz val="8"/>
            <color indexed="81"/>
            <rFont val="Tahoma"/>
            <family val="2"/>
          </rPr>
          <t xml:space="preserve">
lauraro:</t>
        </r>
        <r>
          <rPr>
            <sz val="8"/>
            <color indexed="81"/>
            <rFont val="Tahoma"/>
            <family val="2"/>
          </rPr>
          <t xml:space="preserve">
11/10: Exp 25.4-25.8% 
(80)-(100)bps vs LY - reduction evenly split between buying and occupancy deleverage on the negative low single digit comp and merchandise
margins, which are slightly lower than last year</t>
        </r>
      </text>
    </comment>
    <comment ref="CM24" authorId="3">
      <text>
        <r>
          <rPr>
            <b/>
            <sz val="8"/>
            <color indexed="81"/>
            <rFont val="Tahoma"/>
            <family val="2"/>
          </rPr>
          <t xml:space="preserve">2/22/12: </t>
        </r>
        <r>
          <rPr>
            <sz val="8"/>
            <color indexed="81"/>
            <rFont val="Tahoma"/>
            <family val="2"/>
          </rPr>
          <t>primarily due to B&amp;O lvg and slight mdse margin improvement</t>
        </r>
        <r>
          <rPr>
            <b/>
            <sz val="8"/>
            <color indexed="81"/>
            <rFont val="Tahoma"/>
            <family val="2"/>
          </rPr>
          <t xml:space="preserve">
1/5/12: </t>
        </r>
        <r>
          <rPr>
            <sz val="8"/>
            <color indexed="81"/>
            <rFont val="Tahoma"/>
            <family val="2"/>
          </rPr>
          <t>Strategic decision to price aggressively in order to reinforce our value position in a very promotional retail environment, and to clear cold weather apparel in this unseasonably warm winter.</t>
        </r>
        <r>
          <rPr>
            <b/>
            <sz val="8"/>
            <color indexed="81"/>
            <rFont val="Tahoma"/>
            <family val="2"/>
          </rPr>
          <t xml:space="preserve">
11/15: </t>
        </r>
        <r>
          <rPr>
            <sz val="8"/>
            <color indexed="81"/>
            <rFont val="Tahoma"/>
            <family val="2"/>
          </rPr>
          <t>27.2-27.4%</t>
        </r>
        <r>
          <rPr>
            <b/>
            <sz val="8"/>
            <color indexed="81"/>
            <rFont val="Tahoma"/>
            <family val="2"/>
          </rPr>
          <t xml:space="preserve">
lauraro:</t>
        </r>
        <r>
          <rPr>
            <sz val="8"/>
            <color indexed="81"/>
            <rFont val="Tahoma"/>
            <family val="2"/>
          </rPr>
          <t xml:space="preserve">
</t>
        </r>
        <r>
          <rPr>
            <b/>
            <sz val="8"/>
            <color indexed="81"/>
            <rFont val="Tahoma"/>
            <family val="2"/>
          </rPr>
          <t>8/16/11:</t>
        </r>
        <r>
          <rPr>
            <sz val="8"/>
            <color indexed="81"/>
            <rFont val="Tahoma"/>
            <family val="2"/>
          </rPr>
          <t xml:space="preserve"> 2H: Expect +20-40bps PTP driven by GM expansion
2/11: AJW excluded from 4Q10 GM</t>
        </r>
      </text>
    </comment>
    <comment ref="CN24" authorId="3">
      <text>
        <r>
          <rPr>
            <b/>
            <sz val="8"/>
            <color indexed="81"/>
            <rFont val="Tahoma"/>
            <family val="2"/>
          </rPr>
          <t>lauraro:</t>
        </r>
        <r>
          <rPr>
            <sz val="8"/>
            <color indexed="81"/>
            <rFont val="Tahoma"/>
            <family val="2"/>
          </rPr>
          <t xml:space="preserve">
2/11: 10bps B&amp;O leverage</t>
        </r>
      </text>
    </comment>
    <comment ref="CQ24" authorId="3">
      <text>
        <r>
          <rPr>
            <b/>
            <sz val="8"/>
            <color indexed="81"/>
            <rFont val="Tahoma"/>
            <family val="2"/>
          </rPr>
          <t xml:space="preserve">2/27/2013 commentary </t>
        </r>
        <r>
          <rPr>
            <sz val="8"/>
            <color indexed="81"/>
            <rFont val="Tahoma"/>
            <family val="2"/>
          </rPr>
          <t>improvement driven by mdse margin imrpovement as well as expense leverage on above plan sales</t>
        </r>
        <r>
          <rPr>
            <b/>
            <sz val="8"/>
            <color indexed="81"/>
            <rFont val="Tahoma"/>
            <family val="2"/>
          </rPr>
          <t xml:space="preserve">
2/7/2013:</t>
        </r>
        <r>
          <rPr>
            <sz val="8"/>
            <color indexed="81"/>
            <rFont val="Tahoma"/>
            <family val="2"/>
          </rPr>
          <t xml:space="preserve"> mgmt commentary - margins in great shape</t>
        </r>
        <r>
          <rPr>
            <b/>
            <sz val="8"/>
            <color indexed="81"/>
            <rFont val="Tahoma"/>
            <family val="2"/>
          </rPr>
          <t xml:space="preserve">
11/13/2012: </t>
        </r>
        <r>
          <rPr>
            <sz val="8"/>
            <color indexed="81"/>
            <rFont val="Tahoma"/>
            <family val="2"/>
          </rPr>
          <t>guidance</t>
        </r>
        <r>
          <rPr>
            <b/>
            <sz val="8"/>
            <color indexed="81"/>
            <rFont val="Tahoma"/>
            <family val="2"/>
          </rPr>
          <t xml:space="preserve"> </t>
        </r>
        <r>
          <rPr>
            <sz val="8"/>
            <color indexed="81"/>
            <rFont val="Tahoma"/>
            <family val="2"/>
          </rPr>
          <t>27.5-27.7%, +30-50 bps</t>
        </r>
      </text>
    </comment>
    <comment ref="CU24" authorId="6">
      <text>
        <r>
          <rPr>
            <b/>
            <sz val="8"/>
            <color indexed="81"/>
            <rFont val="Tahoma"/>
            <family val="2"/>
          </rPr>
          <t xml:space="preserve">11/19/13: </t>
        </r>
        <r>
          <rPr>
            <sz val="8"/>
            <color indexed="81"/>
            <rFont val="Tahoma"/>
            <family val="2"/>
          </rPr>
          <t>guidance 27.7-27.9%. LY extra week added 60 bps. Also anticipates 10bps negative impact from FX this year</t>
        </r>
        <r>
          <rPr>
            <sz val="8"/>
            <color indexed="81"/>
            <rFont val="Tahoma"/>
            <family val="2"/>
          </rPr>
          <t xml:space="preserve">
</t>
        </r>
      </text>
    </comment>
    <comment ref="CV24" authorId="6">
      <text>
        <r>
          <rPr>
            <b/>
            <sz val="8"/>
            <color indexed="81"/>
            <rFont val="Tahoma"/>
            <family val="2"/>
          </rPr>
          <t xml:space="preserve">2/25/14: </t>
        </r>
        <r>
          <rPr>
            <sz val="8"/>
            <color indexed="81"/>
            <rFont val="Tahoma"/>
            <family val="2"/>
          </rPr>
          <t>This decline primarily reflects the benefit from the extra week last year. Gross margins were also impacted by a decrease in merchandise margins as the Company aggressively priced merchandise in a highly promotional holiday selling environment and took markdowns in January to end the year with very clean inventories</t>
        </r>
        <r>
          <rPr>
            <sz val="8"/>
            <color indexed="81"/>
            <rFont val="Tahoma"/>
            <family val="2"/>
          </rPr>
          <t xml:space="preserve">
</t>
        </r>
      </text>
    </comment>
    <comment ref="CY24" authorId="16">
      <text>
        <r>
          <rPr>
            <b/>
            <sz val="9"/>
            <color indexed="81"/>
            <rFont val="Tahoma"/>
            <family val="2"/>
          </rPr>
          <t xml:space="preserve">2/25/15: </t>
        </r>
        <r>
          <rPr>
            <sz val="9"/>
            <color indexed="81"/>
            <rFont val="Tahoma"/>
            <family val="2"/>
          </rPr>
          <t xml:space="preserve">merch margins very strong. </t>
        </r>
        <r>
          <rPr>
            <b/>
            <sz val="9"/>
            <color indexed="81"/>
            <rFont val="Tahoma"/>
            <family val="2"/>
          </rPr>
          <t xml:space="preserve">
11/18/14 guidance: </t>
        </r>
        <r>
          <rPr>
            <sz val="9"/>
            <color indexed="81"/>
            <rFont val="Tahoma"/>
            <family val="2"/>
          </rPr>
          <t xml:space="preserve">flat to +30 bps.
"We're anticipating fourth quarter gross profit margin to be in the range of 27.6% to 27.9%, flat to up 30 basis points versus the prior year. Again, this guidance continues to assume merchandise margins will be up and reflects our opportunities for improvement based on our learnings from last year."
</t>
        </r>
      </text>
    </comment>
    <comment ref="DC24" authorId="9">
      <text>
        <r>
          <rPr>
            <b/>
            <sz val="9"/>
            <color indexed="81"/>
            <rFont val="Tahoma"/>
            <family val="2"/>
          </rPr>
          <t>Baglione, Gregory  (Research):</t>
        </r>
        <r>
          <rPr>
            <sz val="9"/>
            <color indexed="81"/>
            <rFont val="Tahoma"/>
            <family val="2"/>
          </rPr>
          <t xml:space="preserve">
2/24/16
Gross profit margin for the fourth quarter of Fiscal 2016 was 28.7%, up 0.5 percentage points versus the prior year. The increase was primarily driven by an increase in merchandise margin and strong buying and occupancy leverage on the 6% comp growth. This was partially offset by the negative impact of transactional foreign exchange at TJX Canada and TJX International and increased supply chain costs related to a substantial increase in units sold during the quarter.
2/24/16
GPM increase driven by positive merchandise margin &amp; strong B&amp;O leverage
11/17/15:
Updated guidance: We're anticipating fourth-quarter gross profit margin to be in the range of 27.7% to 27.8%, versus 28.2% last year. 
Headwinds FX Presure and supply chian costs
Merchandise margins remain strong
8/18/15
FY GM "We're anticipating gross profit margin to be approximately 28.5% which would be flat versus fiscal 2015. We are planning for a slight increase in merchandise margin"
</t>
        </r>
      </text>
    </comment>
    <comment ref="DG24" authorId="9">
      <text>
        <r>
          <rPr>
            <b/>
            <sz val="9"/>
            <color indexed="81"/>
            <rFont val="Tahoma"/>
            <family val="2"/>
          </rPr>
          <t xml:space="preserve">Baglione, Gregory  (Research):
</t>
        </r>
        <r>
          <rPr>
            <sz val="9"/>
            <color indexed="81"/>
            <rFont val="Tahoma"/>
            <family val="2"/>
          </rPr>
          <t>2/22/17: Merch margin  up significantly, more than offset by losses related to inventory hedges and incremental  supply chain costs</t>
        </r>
        <r>
          <rPr>
            <b/>
            <sz val="9"/>
            <color indexed="81"/>
            <rFont val="Tahoma"/>
            <family val="2"/>
          </rPr>
          <t xml:space="preserve">
</t>
        </r>
        <r>
          <rPr>
            <sz val="9"/>
            <color indexed="81"/>
            <rFont val="Tahoma"/>
            <family val="2"/>
          </rPr>
          <t xml:space="preserve">
11/16/16
We're anticipating fourth quarter gross profit margin to be in the range of 27.9% to 28.0% versus 28.7% last year.</t>
        </r>
        <r>
          <rPr>
            <b/>
            <sz val="9"/>
            <color indexed="81"/>
            <rFont val="Tahoma"/>
            <family val="2"/>
          </rPr>
          <t xml:space="preserve">
</t>
        </r>
        <r>
          <rPr>
            <sz val="9"/>
            <color indexed="81"/>
            <rFont val="Tahoma"/>
            <family val="2"/>
          </rPr>
          <t xml:space="preserve">
2H16 begin to anniversary costs associate with higher wages.</t>
        </r>
      </text>
    </comment>
    <comment ref="DK24" authorId="10">
      <text>
        <r>
          <rPr>
            <b/>
            <sz val="9"/>
            <color indexed="81"/>
            <rFont val="Tahoma"/>
            <family val="2"/>
          </rPr>
          <t>Roberts, Cynthia (Research):</t>
        </r>
        <r>
          <rPr>
            <sz val="9"/>
            <color indexed="81"/>
            <rFont val="Tahoma"/>
            <family val="2"/>
          </rPr>
          <t xml:space="preserve">
2/28/18: Miss driven by freight and markdowns at HomeGoods; unanticpated capacity constraints  drove increased freight costs and delays which led to sunsequent markdowns. 
11/14/17: Guidance 28.9-29.0%; 53rd week +40 bps</t>
        </r>
      </text>
    </comment>
    <comment ref="BO25" authorId="1">
      <text>
        <r>
          <rPr>
            <b/>
            <sz val="8"/>
            <color indexed="81"/>
            <rFont val="Tahoma"/>
            <family val="2"/>
          </rPr>
          <t>Morry Brown:</t>
        </r>
        <r>
          <rPr>
            <sz val="8"/>
            <color indexed="81"/>
            <rFont val="Tahoma"/>
            <family val="2"/>
          </rPr>
          <t xml:space="preserve">
2/23 guided to 24.0-24.2%</t>
        </r>
      </text>
    </comment>
    <comment ref="BS25" authorId="2">
      <text>
        <r>
          <rPr>
            <b/>
            <sz val="8"/>
            <color indexed="81"/>
            <rFont val="Tahoma"/>
            <family val="2"/>
          </rPr>
          <t>mm98285:</t>
        </r>
        <r>
          <rPr>
            <sz val="8"/>
            <color indexed="81"/>
            <rFont val="Tahoma"/>
            <family val="2"/>
          </rPr>
          <t xml:space="preserve">
3/08: 40 bps merch margin + expense levg (given cost containment initiatives and strong comps) partially offset by increases in occupancy (+20 bps)</t>
        </r>
      </text>
    </comment>
    <comment ref="BW25" authorId="2">
      <text>
        <r>
          <rPr>
            <b/>
            <sz val="8"/>
            <color indexed="81"/>
            <rFont val="Tahoma"/>
            <family val="2"/>
          </rPr>
          <t>mm98285:</t>
        </r>
        <r>
          <rPr>
            <sz val="8"/>
            <color indexed="81"/>
            <rFont val="Tahoma"/>
            <family val="2"/>
          </rPr>
          <t xml:space="preserve">
3/08: merch margin +40 bps (improved markon and lower MDs); offset by slight increase in occupancy
2/07: guided to 24.1-24.2%</t>
        </r>
      </text>
    </comment>
    <comment ref="CA25" authorId="2">
      <text>
        <r>
          <rPr>
            <b/>
            <sz val="8"/>
            <color indexed="81"/>
            <rFont val="Tahoma"/>
            <family val="2"/>
          </rPr>
          <t xml:space="preserve">mm98285:
</t>
        </r>
        <r>
          <rPr>
            <sz val="8"/>
            <color indexed="81"/>
            <rFont val="Tahoma"/>
            <family val="2"/>
          </rPr>
          <t xml:space="preserve">10K: -70bps deleverage of buying and occupancy costs +1% comp offset by +20bps benefit from 53rd week +20bps merch margin 
</t>
        </r>
        <r>
          <rPr>
            <b/>
            <sz val="8"/>
            <color indexed="81"/>
            <rFont val="Tahoma"/>
            <family val="2"/>
          </rPr>
          <t xml:space="preserve">
</t>
        </r>
        <r>
          <rPr>
            <sz val="8"/>
            <color indexed="81"/>
            <rFont val="Tahoma"/>
            <family val="2"/>
          </rPr>
          <t>5/13/08: exp. 24.6%-24.7%</t>
        </r>
        <r>
          <rPr>
            <sz val="8"/>
            <color indexed="81"/>
            <rFont val="Tahoma"/>
            <family val="2"/>
          </rPr>
          <t xml:space="preserve">
2/08: expect 24.6-24.7%</t>
        </r>
      </text>
    </comment>
    <comment ref="CE25" authorId="2">
      <text>
        <r>
          <rPr>
            <b/>
            <sz val="8"/>
            <color indexed="81"/>
            <rFont val="Tahoma"/>
            <family val="2"/>
          </rPr>
          <t>mm98285:</t>
        </r>
        <r>
          <rPr>
            <sz val="8"/>
            <color indexed="81"/>
            <rFont val="Tahoma"/>
            <family val="2"/>
          </rPr>
          <t xml:space="preserve">
2/09: need +2-3% comp to levg B&amp;O; expect higher '09 merch margins (across all divisions)
</t>
        </r>
      </text>
    </comment>
    <comment ref="CI25" authorId="2">
      <text>
        <r>
          <rPr>
            <b/>
            <sz val="8"/>
            <color indexed="81"/>
            <rFont val="Tahoma"/>
            <family val="2"/>
          </rPr>
          <t xml:space="preserve">11/10: </t>
        </r>
        <r>
          <rPr>
            <sz val="8"/>
            <color indexed="81"/>
            <rFont val="Tahoma"/>
            <family val="2"/>
          </rPr>
          <t xml:space="preserve">Exp PTP margin 10.1-10.2% excl 1c non-op benefit due to continued strength in mdse margins as well as some B+O expense leverage, and SG&amp;A ratios that are flat </t>
        </r>
        <r>
          <rPr>
            <b/>
            <sz val="8"/>
            <color indexed="81"/>
            <rFont val="Tahoma"/>
            <family val="2"/>
          </rPr>
          <t xml:space="preserve">
8/10:</t>
        </r>
        <r>
          <rPr>
            <sz val="8"/>
            <color indexed="81"/>
            <rFont val="Tahoma"/>
            <family val="2"/>
          </rPr>
          <t xml:space="preserve"> 2H down 40-70 bps driven by B&amp;O delevg, -10 bps inv'ty hedge &amp; slight merch margin decline but try to beat this; 
2010: +40-50 bps on +merch margin &amp; some B&amp;O levg
5/10: +20-30 bps 
</t>
        </r>
        <r>
          <rPr>
            <b/>
            <sz val="8"/>
            <color indexed="81"/>
            <rFont val="Tahoma"/>
            <family val="2"/>
          </rPr>
          <t xml:space="preserve">mm98285: </t>
        </r>
        <r>
          <rPr>
            <sz val="8"/>
            <color indexed="81"/>
            <rFont val="Tahoma"/>
            <family val="2"/>
          </rPr>
          <t>2/10: flat to up slightly</t>
        </r>
      </text>
    </comment>
    <comment ref="CM25" authorId="3">
      <text>
        <r>
          <rPr>
            <b/>
            <sz val="8"/>
            <color indexed="81"/>
            <rFont val="Tahoma"/>
            <family val="2"/>
          </rPr>
          <t xml:space="preserve">11/15: </t>
        </r>
        <r>
          <rPr>
            <sz val="8"/>
            <color indexed="81"/>
            <rFont val="Tahoma"/>
            <family val="2"/>
          </rPr>
          <t>27.4-27.4%</t>
        </r>
        <r>
          <rPr>
            <b/>
            <sz val="8"/>
            <color indexed="81"/>
            <rFont val="Tahoma"/>
            <family val="2"/>
          </rPr>
          <t xml:space="preserve">
2/11:</t>
        </r>
        <r>
          <rPr>
            <sz val="8"/>
            <color indexed="81"/>
            <rFont val="Tahoma"/>
            <family val="2"/>
          </rPr>
          <t xml:space="preserve"> Exp 27.1-27.3%, primarily due to merch margins, which we are planning slightly up as we continue to reduce inventories and drive faster turns.</t>
        </r>
      </text>
    </comment>
    <comment ref="CQ25" authorId="3">
      <text>
        <r>
          <rPr>
            <b/>
            <sz val="8"/>
            <color indexed="81"/>
            <rFont val="Tahoma"/>
            <family val="2"/>
          </rPr>
          <t xml:space="preserve">2/27/2013 commentary: </t>
        </r>
        <r>
          <rPr>
            <sz val="8"/>
            <color indexed="81"/>
            <rFont val="Tahoma"/>
            <family val="2"/>
          </rPr>
          <t>+100 bps y/y driven by 1) imrpoved mdse margins across all divisions coupled with B&amp;O leverage</t>
        </r>
        <r>
          <rPr>
            <b/>
            <sz val="8"/>
            <color indexed="81"/>
            <rFont val="Tahoma"/>
            <family val="2"/>
          </rPr>
          <t xml:space="preserve">
lauraro:</t>
        </r>
        <r>
          <rPr>
            <sz val="8"/>
            <color indexed="81"/>
            <rFont val="Tahoma"/>
            <family val="2"/>
          </rPr>
          <t xml:space="preserve">
27.6-27.9%, majority of improvement driven by merchandise margins,
10bps due to 53rd week</t>
        </r>
      </text>
    </comment>
    <comment ref="CU25" authorId="5">
      <text>
        <r>
          <rPr>
            <b/>
            <sz val="8"/>
            <color indexed="81"/>
            <rFont val="Tahoma"/>
            <family val="2"/>
          </rPr>
          <t>2/27/2013 guidance:</t>
        </r>
        <r>
          <rPr>
            <sz val="8"/>
            <color indexed="81"/>
            <rFont val="Tahoma"/>
            <family val="2"/>
          </rPr>
          <t xml:space="preserve"> 28.1%-28.3%, -10-30 bps</t>
        </r>
      </text>
    </comment>
    <comment ref="CV25" authorId="5">
      <text>
        <r>
          <rPr>
            <b/>
            <sz val="8"/>
            <color indexed="81"/>
            <rFont val="Tahoma"/>
            <family val="2"/>
          </rPr>
          <t>2/27/2013 guidance:</t>
        </r>
        <r>
          <rPr>
            <sz val="8"/>
            <color indexed="81"/>
            <rFont val="Tahoma"/>
            <family val="2"/>
          </rPr>
          <t xml:space="preserve"> 28.1%-28.3%, -10-30 bps</t>
        </r>
      </text>
    </comment>
    <comment ref="CY25" authorId="6">
      <text>
        <r>
          <rPr>
            <b/>
            <sz val="8"/>
            <color indexed="81"/>
            <rFont val="Tahoma"/>
            <family val="2"/>
          </rPr>
          <t>11/18/14 guidance:</t>
        </r>
        <r>
          <rPr>
            <sz val="8"/>
            <color indexed="81"/>
            <rFont val="Tahoma"/>
            <family val="2"/>
          </rPr>
          <t xml:space="preserve"> 28.4%-28.5%,-10bps to flat. We continue to expect merchandise margins to be slightly up
</t>
        </r>
        <r>
          <rPr>
            <b/>
            <sz val="8"/>
            <color indexed="81"/>
            <rFont val="Tahoma"/>
            <family val="2"/>
          </rPr>
          <t xml:space="preserve">8/19/14 guidance: </t>
        </r>
        <r>
          <rPr>
            <sz val="8"/>
            <color indexed="81"/>
            <rFont val="Tahoma"/>
            <family val="2"/>
          </rPr>
          <t xml:space="preserve">28.3%-28.5%,-20bps to flat
</t>
        </r>
        <r>
          <rPr>
            <b/>
            <sz val="8"/>
            <color indexed="81"/>
            <rFont val="Tahoma"/>
            <family val="2"/>
          </rPr>
          <t xml:space="preserve">5/20/14 guidance: </t>
        </r>
        <r>
          <rPr>
            <sz val="8"/>
            <color indexed="81"/>
            <rFont val="Tahoma"/>
            <family val="2"/>
          </rPr>
          <t xml:space="preserve">28.3%-28.6%,-20bps to +10bps
</t>
        </r>
        <r>
          <rPr>
            <b/>
            <sz val="8"/>
            <color indexed="81"/>
            <rFont val="Tahoma"/>
            <family val="2"/>
          </rPr>
          <t xml:space="preserve">2/25/14 guidance: </t>
        </r>
        <r>
          <rPr>
            <sz val="8"/>
            <color indexed="81"/>
            <rFont val="Tahoma"/>
            <family val="2"/>
          </rPr>
          <t xml:space="preserve">28.4%-28.7%,-10bps to +20bps
</t>
        </r>
      </text>
    </comment>
    <comment ref="DC25" authorId="9">
      <text>
        <r>
          <rPr>
            <b/>
            <sz val="9"/>
            <color indexed="81"/>
            <rFont val="Tahoma"/>
            <family val="2"/>
          </rPr>
          <t>Baglione, Gregory  (Research):</t>
        </r>
        <r>
          <rPr>
            <sz val="9"/>
            <color indexed="81"/>
            <rFont val="Tahoma"/>
            <family val="2"/>
          </rPr>
          <t xml:space="preserve">
8/18/15
FY GM "We're anticipating gross profit margin to be approximately 28.5% which would be flat versus fiscal 2015. We are planning for a slight increase in merchandise margin"
</t>
        </r>
      </text>
    </comment>
    <comment ref="DG25" authorId="9">
      <text>
        <r>
          <rPr>
            <b/>
            <sz val="9"/>
            <color indexed="81"/>
            <rFont val="Tahoma"/>
            <family val="2"/>
          </rPr>
          <t xml:space="preserve">Baglione, Gregory  (Research):
</t>
        </r>
        <r>
          <rPr>
            <sz val="9"/>
            <color indexed="81"/>
            <rFont val="Tahoma"/>
            <family val="2"/>
          </rPr>
          <t>11/15/16
We're looking for gross profit margin to be approximately 28.9% versus 28.8% last year.</t>
        </r>
        <r>
          <rPr>
            <b/>
            <sz val="9"/>
            <color indexed="81"/>
            <rFont val="Tahoma"/>
            <family val="2"/>
          </rPr>
          <t xml:space="preserve">
</t>
        </r>
        <r>
          <rPr>
            <sz val="9"/>
            <color indexed="81"/>
            <rFont val="Tahoma"/>
            <family val="2"/>
          </rPr>
          <t xml:space="preserve">
8/16/16
We're anticipating third-quarter gross profit margin to be in the range of 28.9% to 29% versus 29% last year.
We're looking for gross profit margin to be in the range of 28.6% to 28.7% versus 28.8% last year.
5/17/16
28.4%-28.6% GM
2/24/16 Guidance
FY GM 28.3-28.5T</t>
        </r>
      </text>
    </comment>
    <comment ref="DK25" authorId="10">
      <text>
        <r>
          <rPr>
            <b/>
            <sz val="9"/>
            <color indexed="81"/>
            <rFont val="Tahoma"/>
            <family val="2"/>
          </rPr>
          <t>Roberts, Cynthia (Research):</t>
        </r>
        <r>
          <rPr>
            <sz val="9"/>
            <color indexed="81"/>
            <rFont val="Tahoma"/>
            <family val="2"/>
          </rPr>
          <t xml:space="preserve">
11/14/17: 29.0-29.1% 53rd week +20 bps 
8/15/17: 28.9-29.0%
5/16/17: 28.9-29.0%
2/22/17: Guidance: 28.9-29.0%, plans to maintain strong merch margin</t>
        </r>
      </text>
    </comment>
    <comment ref="DO25" authorId="10">
      <text>
        <r>
          <rPr>
            <b/>
            <sz val="9"/>
            <color indexed="81"/>
            <rFont val="Tahoma"/>
            <family val="2"/>
          </rPr>
          <t>Roberts, Cynthia (Research):</t>
        </r>
        <r>
          <rPr>
            <sz val="9"/>
            <color indexed="81"/>
            <rFont val="Tahoma"/>
            <family val="2"/>
          </rPr>
          <t xml:space="preserve">
2/28/18: Guidance 28.5-28.7%</t>
        </r>
      </text>
    </comment>
    <comment ref="BG31" authorId="0">
      <text>
        <r>
          <rPr>
            <sz val="8"/>
            <color indexed="81"/>
            <rFont val="Tahoma"/>
            <family val="2"/>
          </rPr>
          <t>110 bps increase mainly due to increase in store payroll and benefit costs (60bps)</t>
        </r>
      </text>
    </comment>
    <comment ref="BR31" authorId="2">
      <text>
        <r>
          <rPr>
            <b/>
            <sz val="8"/>
            <color indexed="81"/>
            <rFont val="Tahoma"/>
            <family val="2"/>
          </rPr>
          <t>mm98285:</t>
        </r>
        <r>
          <rPr>
            <sz val="8"/>
            <color indexed="81"/>
            <rFont val="Tahoma"/>
            <family val="2"/>
          </rPr>
          <t xml:space="preserve">
5/06: includes ~$7m (~1c) one-time pre-tax charge related to workforce reduction (severance and outplacemnt services)</t>
        </r>
      </text>
    </comment>
    <comment ref="BS31" authorId="2">
      <text>
        <r>
          <rPr>
            <b/>
            <sz val="8"/>
            <color indexed="81"/>
            <rFont val="Tahoma"/>
            <family val="2"/>
          </rPr>
          <t xml:space="preserve">30bps worse: </t>
        </r>
        <r>
          <rPr>
            <sz val="8"/>
            <color indexed="81"/>
            <rFont val="Tahoma"/>
            <family val="2"/>
          </rPr>
          <t>But SG&amp;A Flat when</t>
        </r>
        <r>
          <rPr>
            <b/>
            <sz val="8"/>
            <color indexed="81"/>
            <rFont val="Tahoma"/>
            <family val="2"/>
          </rPr>
          <t xml:space="preserve"> </t>
        </r>
        <r>
          <rPr>
            <sz val="8"/>
            <color indexed="81"/>
            <rFont val="Tahoma"/>
            <family val="2"/>
          </rPr>
          <t xml:space="preserve"> excluding one-time workforce reduction charge of ~$7m (5/06)</t>
        </r>
      </text>
    </comment>
    <comment ref="BV31" authorId="13">
      <text>
        <r>
          <rPr>
            <b/>
            <sz val="8"/>
            <color indexed="81"/>
            <rFont val="Tahoma"/>
            <family val="2"/>
          </rPr>
          <t>OC48540:</t>
        </r>
        <r>
          <rPr>
            <sz val="8"/>
            <color indexed="81"/>
            <rFont val="Tahoma"/>
            <family val="2"/>
          </rPr>
          <t xml:space="preserve">
4/09: excluded Bob's $6.6M loss (assume half GM, half SGA)
$729.3mm includes $20mm of intrusion costs
17.3% w/o intrusion</t>
        </r>
      </text>
    </comment>
    <comment ref="BW31" authorId="2">
      <text>
        <r>
          <rPr>
            <sz val="8"/>
            <color indexed="81"/>
            <rFont val="Tahoma"/>
            <family val="2"/>
          </rPr>
          <t>(Ex $20M Intrusion Costs) SG&amp;A performed better by ~40 bps due to cost reduction efforts. TJX booked computer intrusion costs of $20M including those costs incurred during 1Q07 in order to: investigate/contain the intrusion, enhance computer security/systems, communicate with customers, and pay for technical/legal/and other fees.</t>
        </r>
      </text>
    </comment>
    <comment ref="BZ31" authorId="2">
      <text>
        <r>
          <rPr>
            <b/>
            <sz val="8"/>
            <color indexed="81"/>
            <rFont val="Tahoma"/>
            <family val="2"/>
          </rPr>
          <t>mm98285:</t>
        </r>
        <r>
          <rPr>
            <sz val="8"/>
            <color indexed="81"/>
            <rFont val="Tahoma"/>
            <family val="2"/>
          </rPr>
          <t xml:space="preserve">
$757.106 prior to restatement to ex Bob's
excluded Bob's $6.9M loss (assume half GM, half SGA)</t>
        </r>
      </text>
    </comment>
    <comment ref="CA31" authorId="2">
      <text>
        <r>
          <rPr>
            <b/>
            <sz val="8"/>
            <color indexed="81"/>
            <rFont val="Tahoma"/>
            <family val="2"/>
          </rPr>
          <t>mm98285:</t>
        </r>
        <r>
          <rPr>
            <sz val="8"/>
            <color indexed="81"/>
            <rFont val="Tahoma"/>
            <family val="2"/>
          </rPr>
          <t xml:space="preserve">
decline due to improved: nonmerchandise procurement, store payroll &amp; supply chain.
2/08: expect 17.5-17.6%</t>
        </r>
      </text>
    </comment>
    <comment ref="CE31" authorId="2">
      <text>
        <r>
          <rPr>
            <b/>
            <sz val="8"/>
            <color indexed="81"/>
            <rFont val="Tahoma"/>
            <family val="2"/>
          </rPr>
          <t>mm98285:</t>
        </r>
        <r>
          <rPr>
            <sz val="8"/>
            <color indexed="81"/>
            <rFont val="Tahoma"/>
            <family val="2"/>
          </rPr>
          <t xml:space="preserve">
5/09: SG&amp;A flat as % of sales as leverage on +2% comp was offset by one-time expenses related to cost reduction initiatives or ~$4M (-$0.01 per share).
2/09: 17.7-18.0% of $4.2BN sales (implies SG&amp;A $s of ~$750M)</t>
        </r>
      </text>
    </comment>
    <comment ref="CI31" authorId="2">
      <text>
        <r>
          <rPr>
            <b/>
            <sz val="8"/>
            <color indexed="81"/>
            <rFont val="Tahoma"/>
            <family val="2"/>
          </rPr>
          <t>mm98285:</t>
        </r>
        <r>
          <rPr>
            <sz val="8"/>
            <color indexed="81"/>
            <rFont val="Tahoma"/>
            <family val="2"/>
          </rPr>
          <t xml:space="preserve">
2/10: 17-17.1% (on $4.8BN rev = $816-821M) given increases in payroll (vs. too deep cuts LY)</t>
        </r>
      </text>
    </comment>
    <comment ref="CM31" authorId="3">
      <text>
        <r>
          <rPr>
            <b/>
            <sz val="8"/>
            <color indexed="81"/>
            <rFont val="Tahoma"/>
            <family val="2"/>
          </rPr>
          <t xml:space="preserve">5/17/11: </t>
        </r>
        <r>
          <rPr>
            <sz val="8"/>
            <color indexed="81"/>
            <rFont val="Tahoma"/>
            <family val="2"/>
          </rPr>
          <t>-70bps absorbing talent &amp; certain costs from the AJW division, Euro deleverage, for most of the quarter did not have benefit of sales from the 90 AJW conversion stores</t>
        </r>
        <r>
          <rPr>
            <sz val="8"/>
            <color indexed="81"/>
            <rFont val="Tahoma"/>
            <family val="2"/>
          </rPr>
          <t xml:space="preserve">
</t>
        </r>
        <r>
          <rPr>
            <b/>
            <sz val="8"/>
            <color indexed="81"/>
            <rFont val="Tahoma"/>
            <family val="2"/>
          </rPr>
          <t>2/11:</t>
        </r>
        <r>
          <rPr>
            <sz val="8"/>
            <color indexed="81"/>
            <rFont val="Tahoma"/>
            <family val="2"/>
          </rPr>
          <t xml:space="preserve"> Exp 16.9%-17.1%, up 50-70bps vs. LY, as a result of further deleverage from Euro biz, loss of AJW sales without full impact of converted store sales on top of heavier heacount earlier in the year as talent from AJW absorbed. Plus some delvg on -1% comp at high end of range. (FY SG&amp;A rates expected to delever only slightly on a 1-2% comp, so delvg in 1Q is due to timing)</t>
        </r>
      </text>
    </comment>
    <comment ref="CQ31" authorId="3">
      <text>
        <r>
          <rPr>
            <b/>
            <sz val="8"/>
            <color indexed="81"/>
            <rFont val="Tahoma"/>
            <family val="2"/>
          </rPr>
          <t>lauraro:</t>
        </r>
        <r>
          <rPr>
            <sz val="8"/>
            <color indexed="81"/>
            <rFont val="Tahoma"/>
            <family val="2"/>
          </rPr>
          <t xml:space="preserve">
17.2-17.3%, 1Q SG&amp;A ratio comparisons to prior year are impacted by the timing of our investment spending which didn't ramp up until the back half of last year leading the less favorable year-over-year comparisons in 1H12. </t>
        </r>
      </text>
    </comment>
    <comment ref="CU31" authorId="5">
      <text>
        <r>
          <rPr>
            <b/>
            <sz val="8"/>
            <color indexed="81"/>
            <rFont val="Tahoma"/>
            <family val="2"/>
          </rPr>
          <t xml:space="preserve">2/28/2013 guidance: </t>
        </r>
        <r>
          <rPr>
            <sz val="8"/>
            <color indexed="81"/>
            <rFont val="Tahoma"/>
            <family val="2"/>
          </rPr>
          <t>+16.4-16.5%, due to timing of investments</t>
        </r>
      </text>
    </comment>
    <comment ref="CY31" authorId="6">
      <text>
        <r>
          <rPr>
            <b/>
            <sz val="8"/>
            <color indexed="81"/>
            <rFont val="Tahoma"/>
            <family val="2"/>
          </rPr>
          <t xml:space="preserve">2/26/14: </t>
        </r>
        <r>
          <rPr>
            <sz val="8"/>
            <color indexed="81"/>
            <rFont val="Tahoma"/>
            <family val="2"/>
          </rPr>
          <t>16.5-16.6%. Flat to +10 bps</t>
        </r>
        <r>
          <rPr>
            <sz val="8"/>
            <color indexed="81"/>
            <rFont val="Tahoma"/>
            <family val="2"/>
          </rPr>
          <t xml:space="preserve">
</t>
        </r>
      </text>
    </comment>
    <comment ref="DC31" authorId="7">
      <text>
        <r>
          <rPr>
            <sz val="9"/>
            <color indexed="81"/>
            <rFont val="Tahoma"/>
            <family val="2"/>
          </rPr>
          <t xml:space="preserve">5/19/15: Up primarily due to a combination of higher employee payroll costs, incremental investments, and pension costs the co had anticipated
</t>
        </r>
        <r>
          <rPr>
            <b/>
            <sz val="9"/>
            <color indexed="81"/>
            <rFont val="Tahoma"/>
            <family val="2"/>
          </rPr>
          <t xml:space="preserve">2/25/15 guidance: </t>
        </r>
        <r>
          <rPr>
            <sz val="9"/>
            <color indexed="81"/>
            <rFont val="Tahoma"/>
            <family val="2"/>
          </rPr>
          <t>17.1-17.2% rate</t>
        </r>
      </text>
    </comment>
    <comment ref="DH31" authorId="9">
      <text>
        <r>
          <rPr>
            <b/>
            <sz val="9"/>
            <color indexed="81"/>
            <rFont val="Tahoma"/>
            <family val="2"/>
          </rPr>
          <t>Baglione, Gregory  (Research):</t>
        </r>
        <r>
          <rPr>
            <sz val="9"/>
            <color indexed="81"/>
            <rFont val="Tahoma"/>
            <family val="2"/>
          </rPr>
          <t xml:space="preserve">
5/17/16
SG&amp;A growth was driven by expense
leverage on the above planned 7% comp. Wage increases continued to be a significant headwind to SG&amp;A and investments to support our growth also had an unfavorable impact.
2/24/16 
Guidance
17.8%-17.9% of sales
11/16/15
~25-30  bps quarterly impact from higher wages
</t>
        </r>
      </text>
    </comment>
    <comment ref="DK31" authorId="10">
      <text>
        <r>
          <rPr>
            <b/>
            <sz val="9"/>
            <color indexed="81"/>
            <rFont val="Tahoma"/>
            <family val="2"/>
          </rPr>
          <t>Roberts, Cynthia (Research):</t>
        </r>
        <r>
          <rPr>
            <sz val="9"/>
            <color indexed="81"/>
            <rFont val="Tahoma"/>
            <family val="2"/>
          </rPr>
          <t xml:space="preserve">
2/22/17: Guidance 18.2-18.3%</t>
        </r>
      </text>
    </comment>
    <comment ref="DO31" authorId="10">
      <text>
        <r>
          <rPr>
            <b/>
            <sz val="9"/>
            <color indexed="81"/>
            <rFont val="Tahoma"/>
            <family val="2"/>
          </rPr>
          <t>Roberts, Cynthia (Research):</t>
        </r>
        <r>
          <rPr>
            <sz val="9"/>
            <color indexed="81"/>
            <rFont val="Tahoma"/>
            <family val="2"/>
          </rPr>
          <t xml:space="preserve">
2/28/18: Guidance 18.3-18.4% </t>
        </r>
      </text>
    </comment>
    <comment ref="BF32" authorId="0">
      <text>
        <r>
          <rPr>
            <sz val="8"/>
            <color indexed="81"/>
            <rFont val="Tahoma"/>
            <family val="2"/>
          </rPr>
          <t>519.8, 530</t>
        </r>
      </text>
    </comment>
    <comment ref="BG32" authorId="0">
      <text>
        <r>
          <rPr>
            <sz val="8"/>
            <color indexed="81"/>
            <rFont val="Tahoma"/>
            <family val="2"/>
          </rPr>
          <t>17.2, 17.4</t>
        </r>
      </text>
    </comment>
    <comment ref="BO32" authorId="1">
      <text>
        <r>
          <rPr>
            <b/>
            <sz val="8"/>
            <color indexed="81"/>
            <rFont val="Tahoma"/>
            <family val="2"/>
          </rPr>
          <t>Morry Brown:</t>
        </r>
        <r>
          <rPr>
            <sz val="8"/>
            <color indexed="81"/>
            <rFont val="Tahoma"/>
            <family val="2"/>
          </rPr>
          <t xml:space="preserve">
17.6% est</t>
        </r>
      </text>
    </comment>
    <comment ref="BS32" authorId="2">
      <text>
        <r>
          <rPr>
            <b/>
            <sz val="8"/>
            <color indexed="81"/>
            <rFont val="Tahoma"/>
            <family val="2"/>
          </rPr>
          <t>40 bps better:</t>
        </r>
        <r>
          <rPr>
            <sz val="8"/>
            <color indexed="81"/>
            <rFont val="Tahoma"/>
            <family val="2"/>
          </rPr>
          <t xml:space="preserve"> 
</t>
        </r>
        <r>
          <rPr>
            <u/>
            <sz val="8"/>
            <color indexed="81"/>
            <rFont val="Tahoma"/>
            <family val="2"/>
          </rPr>
          <t>-50 bps</t>
        </r>
        <r>
          <rPr>
            <sz val="8"/>
            <color indexed="81"/>
            <rFont val="Tahoma"/>
            <family val="2"/>
          </rPr>
          <t xml:space="preserve"> leverage on better than expected comps and cont'd focus on cost mgm
</t>
        </r>
        <r>
          <rPr>
            <u/>
            <sz val="8"/>
            <color indexed="81"/>
            <rFont val="Tahoma"/>
            <family val="2"/>
          </rPr>
          <t>+10 bps</t>
        </r>
        <r>
          <rPr>
            <sz val="8"/>
            <color indexed="81"/>
            <rFont val="Tahoma"/>
            <family val="2"/>
          </rPr>
          <t xml:space="preserve"> marketing spend (8/06)
</t>
        </r>
      </text>
    </comment>
    <comment ref="BV32" authorId="13">
      <text>
        <r>
          <rPr>
            <b/>
            <sz val="8"/>
            <color indexed="81"/>
            <rFont val="Tahoma"/>
            <family val="2"/>
          </rPr>
          <t>OC48540:</t>
        </r>
        <r>
          <rPr>
            <sz val="8"/>
            <color indexed="81"/>
            <rFont val="Tahoma"/>
            <family val="2"/>
          </rPr>
          <t xml:space="preserve">
4/09: excluded Bob's $3.5M loss (assume half GM, half SGA)
$945.0mm includes $196mm of intrusion costs
17.4% w/o intrusion</t>
        </r>
      </text>
    </comment>
    <comment ref="BW32" authorId="12">
      <text>
        <r>
          <rPr>
            <sz val="8"/>
            <color indexed="81"/>
            <rFont val="Tahoma"/>
            <family val="2"/>
          </rPr>
          <t xml:space="preserve">17.4% ex intrusion... (intrusion of $196mm = 4.5% or 450bps) SG&amp;A improved over the prior year primarily due to the company’s cost containment focus as well as leverage on the 5% comparable store sales increase, partially offset by a planned +20bps increase in marketing expense.
</t>
        </r>
        <r>
          <rPr>
            <b/>
            <sz val="8"/>
            <color indexed="81"/>
            <rFont val="Tahoma"/>
            <family val="2"/>
          </rPr>
          <t xml:space="preserve">
oc48540:</t>
        </r>
        <r>
          <rPr>
            <sz val="8"/>
            <color indexed="81"/>
            <rFont val="Tahoma"/>
            <family val="2"/>
          </rPr>
          <t xml:space="preserve">
1Q07: Guided to 17.4-17.5%</t>
        </r>
      </text>
    </comment>
    <comment ref="BZ32" authorId="2">
      <text>
        <r>
          <rPr>
            <b/>
            <sz val="8"/>
            <color indexed="81"/>
            <rFont val="Tahoma"/>
            <family val="2"/>
          </rPr>
          <t>mm98285:</t>
        </r>
        <r>
          <rPr>
            <sz val="8"/>
            <color indexed="81"/>
            <rFont val="Tahoma"/>
            <family val="2"/>
          </rPr>
          <t xml:space="preserve">
$808.277M prior to restatement
excluded Bob's $3.8M loss (assume half GM, half SGA)</t>
        </r>
      </text>
    </comment>
    <comment ref="CA32" authorId="2">
      <text>
        <r>
          <rPr>
            <b/>
            <sz val="8"/>
            <color indexed="81"/>
            <rFont val="Tahoma"/>
            <family val="2"/>
          </rPr>
          <t>mm98285:</t>
        </r>
        <r>
          <rPr>
            <sz val="8"/>
            <color indexed="81"/>
            <rFont val="Tahoma"/>
            <family val="2"/>
          </rPr>
          <t xml:space="preserve">
5/09: estimate $765M or 16.8% ex Bob's
-con't cost reduction focus
excludes $16mm Bob's impairm't charge (+20bps)</t>
        </r>
      </text>
    </comment>
    <comment ref="CD32" authorId="2">
      <text>
        <r>
          <rPr>
            <b/>
            <sz val="8"/>
            <color indexed="81"/>
            <rFont val="Tahoma"/>
            <family val="2"/>
          </rPr>
          <t>mm98285:</t>
        </r>
        <r>
          <rPr>
            <sz val="8"/>
            <color indexed="81"/>
            <rFont val="Tahoma"/>
            <family val="2"/>
          </rPr>
          <t xml:space="preserve">
5/09: use estimate of $765M for 2007 SG&amp;A excluding Bob's</t>
        </r>
      </text>
    </comment>
    <comment ref="CE32" authorId="2">
      <text>
        <r>
          <rPr>
            <b/>
            <sz val="8"/>
            <color indexed="81"/>
            <rFont val="Tahoma"/>
            <family val="2"/>
          </rPr>
          <t>mm98285:</t>
        </r>
        <r>
          <rPr>
            <sz val="8"/>
            <color indexed="81"/>
            <rFont val="Tahoma"/>
            <family val="2"/>
          </rPr>
          <t xml:space="preserve">
leverage on +4% comp offset by ~30 bps higher incentive comp given above plan performance
5/09: guide to 17.0-17.2% of sales ($4.4-4.5BN) or ~$761M at mid point</t>
        </r>
      </text>
    </comment>
    <comment ref="CI32" authorId="14">
      <text>
        <r>
          <rPr>
            <b/>
            <sz val="8"/>
            <color indexed="81"/>
            <rFont val="Tahoma"/>
            <family val="2"/>
          </rPr>
          <t>lr73192:</t>
        </r>
        <r>
          <rPr>
            <sz val="8"/>
            <color indexed="81"/>
            <rFont val="Tahoma"/>
            <family val="2"/>
          </rPr>
          <t xml:space="preserve">
increase due to YOY increase in new stores opened, impact of new European biz on consolidated cost ratios and increased investment in field org offset cost reduction program
5/10: 16.7-16.8%</t>
        </r>
      </text>
    </comment>
    <comment ref="CJ32" authorId="19">
      <text>
        <r>
          <rPr>
            <b/>
            <sz val="7"/>
            <color indexed="81"/>
            <rFont val="Tahoma"/>
            <family val="2"/>
          </rPr>
          <t>Margaret Marchant:</t>
        </r>
        <r>
          <rPr>
            <sz val="7"/>
            <color indexed="81"/>
            <rFont val="Tahoma"/>
            <family val="2"/>
          </rPr>
          <t xml:space="preserve">
8/10: SG&amp;A growth for more new stores, the impact of younger European biz on cost ratios and increased spending in stores org to enhance customer experience and support growing customer base</t>
        </r>
      </text>
    </comment>
    <comment ref="CM32" authorId="3">
      <text>
        <r>
          <rPr>
            <b/>
            <sz val="8"/>
            <color indexed="81"/>
            <rFont val="Tahoma"/>
            <family val="2"/>
          </rPr>
          <t xml:space="preserve">8/16/2011: </t>
        </r>
        <r>
          <rPr>
            <sz val="8"/>
            <color indexed="81"/>
            <rFont val="Tahoma"/>
            <family val="2"/>
          </rPr>
          <t>The increase primarily reflects the Company's increased advertising investment.</t>
        </r>
        <r>
          <rPr>
            <b/>
            <sz val="8"/>
            <color indexed="81"/>
            <rFont val="Tahoma"/>
            <family val="2"/>
          </rPr>
          <t xml:space="preserve">
5/17/11: </t>
        </r>
        <r>
          <rPr>
            <sz val="8"/>
            <color indexed="81"/>
            <rFont val="Tahoma"/>
            <family val="2"/>
          </rPr>
          <t>17.0-17.1%</t>
        </r>
        <r>
          <rPr>
            <sz val="8"/>
            <color indexed="81"/>
            <rFont val="Tahoma"/>
            <family val="2"/>
          </rPr>
          <t xml:space="preserve">
</t>
        </r>
      </text>
    </comment>
    <comment ref="CQ32" authorId="3">
      <text>
        <r>
          <rPr>
            <b/>
            <sz val="8"/>
            <color indexed="81"/>
            <rFont val="Tahoma"/>
            <family val="2"/>
          </rPr>
          <t xml:space="preserve">8/14/2012:
</t>
        </r>
        <r>
          <rPr>
            <sz val="8"/>
            <color indexed="81"/>
            <rFont val="Tahoma"/>
            <family val="2"/>
          </rPr>
          <t>includes -20 bps impact from incremental investment in growth</t>
        </r>
        <r>
          <rPr>
            <b/>
            <sz val="8"/>
            <color indexed="81"/>
            <rFont val="Tahoma"/>
            <family val="2"/>
          </rPr>
          <t xml:space="preserve">
lauraro:</t>
        </r>
        <r>
          <rPr>
            <sz val="8"/>
            <color indexed="81"/>
            <rFont val="Tahoma"/>
            <family val="2"/>
          </rPr>
          <t xml:space="preserve">
17.2-17.3%, 1Q SG&amp;A ratio comparisons to prior year are impacted by the timing of our investment spending which didn't ramp up until the back half of last year leading the less favorable year-over-year comparisons in 1H12. </t>
        </r>
      </text>
    </comment>
    <comment ref="CU32" authorId="5">
      <text>
        <r>
          <rPr>
            <sz val="8"/>
            <color indexed="81"/>
            <rFont val="Tahoma"/>
            <family val="2"/>
          </rPr>
          <t>8/20/13: "The 0.2 percentage point increase over last year’s ratio was primarily due to increased investments in marketing and the Company’s e-commerce businesses, as well as the Company’s contribution to The TJX Foundation."</t>
        </r>
        <r>
          <rPr>
            <b/>
            <sz val="8"/>
            <color indexed="81"/>
            <rFont val="Tahoma"/>
            <family val="2"/>
          </rPr>
          <t xml:space="preserve">
5/21/2013 guidance: </t>
        </r>
        <r>
          <rPr>
            <sz val="8"/>
            <color indexed="81"/>
            <rFont val="Tahoma"/>
            <family val="2"/>
          </rPr>
          <t>16.6%, +10 bps</t>
        </r>
      </text>
    </comment>
    <comment ref="CV32" authorId="5">
      <text>
        <r>
          <rPr>
            <b/>
            <sz val="8"/>
            <color indexed="81"/>
            <rFont val="Tahoma"/>
            <family val="2"/>
          </rPr>
          <t xml:space="preserve">5/21/2013 guidance: </t>
        </r>
        <r>
          <rPr>
            <sz val="8"/>
            <color indexed="81"/>
            <rFont val="Tahoma"/>
            <family val="2"/>
          </rPr>
          <t>16.6%, +10 bps</t>
        </r>
      </text>
    </comment>
    <comment ref="CY32" authorId="16">
      <text>
        <r>
          <rPr>
            <b/>
            <sz val="9"/>
            <color indexed="81"/>
            <rFont val="Tahoma"/>
            <family val="2"/>
          </rPr>
          <t xml:space="preserve">8/19/14: </t>
        </r>
        <r>
          <rPr>
            <sz val="9"/>
            <color indexed="81"/>
            <rFont val="Tahoma"/>
            <family val="2"/>
          </rPr>
          <t xml:space="preserve">Down 0.5 percentage points from the prior year largely due to a favorable adjustment to our insurance reserves based on improved claims experience, as well as other cost savings.
</t>
        </r>
        <r>
          <rPr>
            <b/>
            <sz val="9"/>
            <color indexed="81"/>
            <rFont val="Tahoma"/>
            <family val="2"/>
          </rPr>
          <t xml:space="preserve">
5/20/14 guidance:</t>
        </r>
        <r>
          <rPr>
            <sz val="9"/>
            <color indexed="81"/>
            <rFont val="Tahoma"/>
            <family val="2"/>
          </rPr>
          <t xml:space="preserve"> 16.6%
</t>
        </r>
      </text>
    </comment>
    <comment ref="DC32" authorId="8">
      <text>
        <r>
          <rPr>
            <b/>
            <sz val="9"/>
            <color indexed="81"/>
            <rFont val="Tahoma"/>
            <family val="2"/>
          </rPr>
          <t>Mains, Spencer (Research):</t>
        </r>
        <r>
          <rPr>
            <sz val="9"/>
            <color indexed="81"/>
            <rFont val="Tahoma"/>
            <family val="2"/>
          </rPr>
          <t xml:space="preserve">
8/18/15
up 0.7 percentage points versus the prior year’s ratio, primarily due to a combination of the Company’s wage initiative, incremental investments and pension costs, as the Company had anticipated, as well as a contribution to The TJX Foundation.
5/19/15: 17.1-17.2%
</t>
        </r>
      </text>
    </comment>
    <comment ref="DG32" authorId="9">
      <text>
        <r>
          <rPr>
            <b/>
            <sz val="9"/>
            <color indexed="81"/>
            <rFont val="Tahoma"/>
            <family val="2"/>
          </rPr>
          <t>Baglione, Gregory  (Research):</t>
        </r>
        <r>
          <rPr>
            <sz val="9"/>
            <color indexed="81"/>
            <rFont val="Tahoma"/>
            <family val="2"/>
          </rPr>
          <t xml:space="preserve">
8/16/16
Selling, general and administrative costs as a percent of sales were 17.7%, up 0.8 percentage points versus the prior year’s ratio, primarily due to wage increases and investments to support growth, as the Company had anticipated.
5/17/16
17.8%-17.9%
</t>
        </r>
      </text>
    </comment>
    <comment ref="DH32" authorId="9">
      <text>
        <r>
          <rPr>
            <b/>
            <sz val="9"/>
            <color indexed="81"/>
            <rFont val="Tahoma"/>
            <family val="2"/>
          </rPr>
          <t>Baglione, Gregory  (Research):</t>
        </r>
        <r>
          <rPr>
            <sz val="9"/>
            <color indexed="81"/>
            <rFont val="Tahoma"/>
            <family val="2"/>
          </rPr>
          <t xml:space="preserve">
8/16/16
Wage pressure was a 3% EPS headwind.
Selling, general and administrative costs as a percent of sales were 17.7%, up 0.8 percentage points versus the prior year’s ratio, primarily due to wage increases and investments to support growth, as the Company had anticipated.
5/17/16
SG&amp;A guidance 17.8% to 17.9%
11/16/15
~25-30  bps quarterly impact from higher wages
</t>
        </r>
      </text>
    </comment>
    <comment ref="DK32" authorId="10">
      <text>
        <r>
          <rPr>
            <b/>
            <sz val="9"/>
            <color indexed="81"/>
            <rFont val="Tahoma"/>
            <family val="2"/>
          </rPr>
          <t>Roberts, Cynthia (Research):</t>
        </r>
        <r>
          <rPr>
            <sz val="9"/>
            <color indexed="81"/>
            <rFont val="Tahoma"/>
            <family val="2"/>
          </rPr>
          <t xml:space="preserve">
8/15/17: +10 bps driven by wage increases 
5/16/17: Guidance 18.1-18.2%</t>
        </r>
      </text>
    </comment>
    <comment ref="BB33" authorId="0">
      <text>
        <r>
          <rPr>
            <sz val="8"/>
            <color indexed="81"/>
            <rFont val="Tahoma"/>
            <family val="2"/>
          </rPr>
          <t>$16 mil pre-tax charge for cost of tentative settlement for claims relating to 4 california lawsuits - improper classification of mgrs as exempt from overtime (ex charge 16.2%). All but 75k charged to Marmaxx operating segment.
Also, 60 bps from increase insurance and benefits.</t>
        </r>
      </text>
    </comment>
    <comment ref="BO33" authorId="1">
      <text>
        <r>
          <rPr>
            <b/>
            <sz val="8"/>
            <color indexed="81"/>
            <rFont val="Tahoma"/>
            <family val="2"/>
          </rPr>
          <t>Morry Brown:</t>
        </r>
        <r>
          <rPr>
            <sz val="8"/>
            <color indexed="81"/>
            <rFont val="Tahoma"/>
            <family val="2"/>
          </rPr>
          <t xml:space="preserve">
+30 bps delvge from flat comp
+30 bps several one-time items (hurricanes, discontinue web, etc) 
17.7
includes 3.5c from one time charges, ~70 bps</t>
        </r>
      </text>
    </comment>
    <comment ref="BS33" authorId="2">
      <text>
        <r>
          <rPr>
            <b/>
            <sz val="8"/>
            <color indexed="81"/>
            <rFont val="Tahoma"/>
            <family val="2"/>
          </rPr>
          <t>50 bps better:</t>
        </r>
        <r>
          <rPr>
            <sz val="8"/>
            <color indexed="81"/>
            <rFont val="Tahoma"/>
            <family val="2"/>
          </rPr>
          <t xml:space="preserve">
-~30 levg on above plan comp &amp; cont'd focus on cost mgmt
-30 bps absence of 1-time exp. LY
+~10 marketing spending  
2Q 10Q: planned advertising up for rest of year</t>
        </r>
      </text>
    </comment>
    <comment ref="BV33" authorId="2">
      <text>
        <r>
          <rPr>
            <b/>
            <sz val="8"/>
            <color indexed="81"/>
            <rFont val="Tahoma"/>
            <family val="2"/>
          </rPr>
          <t>mm98285:</t>
        </r>
        <r>
          <rPr>
            <sz val="8"/>
            <color indexed="81"/>
            <rFont val="Tahoma"/>
            <family val="2"/>
          </rPr>
          <t xml:space="preserve">
$792.552 before restatement</t>
        </r>
      </text>
    </comment>
    <comment ref="BW33" authorId="12">
      <text>
        <r>
          <rPr>
            <sz val="8"/>
            <color indexed="81"/>
            <rFont val="Tahoma"/>
            <family val="2"/>
          </rPr>
          <t xml:space="preserve">30bps of SG&amp;A leverage on 1 comp, offset by 10bps spent on advertising = 20bps
</t>
        </r>
        <r>
          <rPr>
            <b/>
            <sz val="8"/>
            <color indexed="81"/>
            <rFont val="Tahoma"/>
            <family val="2"/>
          </rPr>
          <t xml:space="preserve">
oc48540:</t>
        </r>
        <r>
          <rPr>
            <sz val="8"/>
            <color indexed="81"/>
            <rFont val="Tahoma"/>
            <family val="2"/>
          </rPr>
          <t xml:space="preserve">
1Q07: Guided to 17.4-17.5%</t>
        </r>
      </text>
    </comment>
    <comment ref="BZ33" authorId="2">
      <text>
        <r>
          <rPr>
            <b/>
            <sz val="8"/>
            <color indexed="81"/>
            <rFont val="Tahoma"/>
            <family val="2"/>
          </rPr>
          <t>mm98285:</t>
        </r>
        <r>
          <rPr>
            <sz val="8"/>
            <color indexed="81"/>
            <rFont val="Tahoma"/>
            <family val="2"/>
          </rPr>
          <t xml:space="preserve">
$816.814M prior to restatement</t>
        </r>
      </text>
    </comment>
    <comment ref="CA33" authorId="2">
      <text>
        <r>
          <rPr>
            <b/>
            <sz val="8"/>
            <color indexed="81"/>
            <rFont val="Tahoma"/>
            <family val="2"/>
          </rPr>
          <t>mm98285:</t>
        </r>
        <r>
          <rPr>
            <sz val="8"/>
            <color indexed="81"/>
            <rFont val="Tahoma"/>
            <family val="2"/>
          </rPr>
          <t xml:space="preserve">
11/08: deleverage on below plan comp (-1%) &amp; certain favorable exp items LY (lower insurance &amp; benefits accrual adjstm't) that did not recur TY 
8/08: guide to 16.6-16.7%</t>
        </r>
      </text>
    </comment>
    <comment ref="CE33" authorId="2">
      <text>
        <r>
          <rPr>
            <b/>
            <sz val="8"/>
            <color indexed="81"/>
            <rFont val="Tahoma"/>
            <family val="2"/>
          </rPr>
          <t>mm98285:</t>
        </r>
        <r>
          <rPr>
            <sz val="8"/>
            <color indexed="81"/>
            <rFont val="Tahoma"/>
            <family val="2"/>
          </rPr>
          <t xml:space="preserve">
levering of exp and savings from exp. reduction initiatives partially offset by +40 bps higher incentive and benefit plan accruals
8/09: 16.7-16.9% of $5.0-$5.1BN or ~$848M at mid point</t>
        </r>
      </text>
    </comment>
    <comment ref="CI33" authorId="3">
      <text>
        <r>
          <rPr>
            <b/>
            <sz val="8"/>
            <color indexed="81"/>
            <rFont val="Tahoma"/>
            <family val="2"/>
          </rPr>
          <t>lauraro:</t>
        </r>
        <r>
          <rPr>
            <sz val="8"/>
            <color indexed="81"/>
            <rFont val="Tahoma"/>
            <family val="2"/>
          </rPr>
          <t xml:space="preserve">
11/10: benefit of cost-saving initiatives
and lower incentive compensation expense were offset by deleverage from the 1% comp, and increased preopening costs due to larger number of new stores this year vs LY
8/10: mgmt guided to 16.4%-16.5% (incl +20 bps marketing, exp delevg on +0-2% comp, investment in talent and in stores org partialy offset by cost saving initiatives and anniversarying incremental bonus exp LY)</t>
        </r>
      </text>
    </comment>
    <comment ref="CM33" authorId="3">
      <text>
        <r>
          <rPr>
            <b/>
            <sz val="8"/>
            <color indexed="81"/>
            <rFont val="Tahoma"/>
            <family val="2"/>
          </rPr>
          <t>lauraro:</t>
        </r>
        <r>
          <rPr>
            <sz val="8"/>
            <color indexed="81"/>
            <rFont val="Tahoma"/>
            <family val="2"/>
          </rPr>
          <t xml:space="preserve">
</t>
        </r>
        <r>
          <rPr>
            <b/>
            <sz val="8"/>
            <color indexed="81"/>
            <rFont val="Tahoma"/>
            <family val="2"/>
          </rPr>
          <t xml:space="preserve">11/15: </t>
        </r>
        <r>
          <rPr>
            <sz val="8"/>
            <color indexed="81"/>
            <rFont val="Tahoma"/>
            <family val="2"/>
          </rPr>
          <t>SG&amp;A dollars increased +4.5% to $954.2 vs. $912.8 LY. The increase primarily reflects the Company's increased investments in new systems, talent and eCommerce.
8/16/11: Exp 16.5%-16.6%</t>
        </r>
      </text>
    </comment>
    <comment ref="CP33" authorId="24">
      <text>
        <r>
          <rPr>
            <b/>
            <sz val="8"/>
            <color indexed="81"/>
            <rFont val="Tahoma"/>
            <family val="2"/>
          </rPr>
          <t xml:space="preserve">8/14/12: </t>
        </r>
        <r>
          <rPr>
            <sz val="8"/>
            <color indexed="81"/>
            <rFont val="Tahoma"/>
            <family val="2"/>
          </rPr>
          <t xml:space="preserve">16.5-16.8%, flat to +30 bps, incl. 
-30 bps related to incremental investments in growth 
</t>
        </r>
        <r>
          <rPr>
            <b/>
            <sz val="8"/>
            <color indexed="81"/>
            <rFont val="Tahoma"/>
            <family val="2"/>
          </rPr>
          <t xml:space="preserve">
P Kahng:</t>
        </r>
        <r>
          <rPr>
            <sz val="8"/>
            <color indexed="81"/>
            <rFont val="Tahoma"/>
            <family val="2"/>
          </rPr>
          <t xml:space="preserve">
8/2/12: adjusted SGA growth down from 5.3% to 5%</t>
        </r>
      </text>
    </comment>
    <comment ref="CQ33" authorId="5">
      <text>
        <r>
          <rPr>
            <b/>
            <sz val="8"/>
            <color indexed="81"/>
            <rFont val="Tahoma"/>
            <family val="2"/>
          </rPr>
          <t>11/13/2012:</t>
        </r>
        <r>
          <rPr>
            <sz val="8"/>
            <color indexed="81"/>
            <rFont val="Tahoma"/>
            <family val="2"/>
          </rPr>
          <t xml:space="preserve"> negative impact of 110 bps from: 
</t>
        </r>
        <r>
          <rPr>
            <b/>
            <sz val="8"/>
            <color indexed="81"/>
            <rFont val="Tahoma"/>
            <family val="2"/>
          </rPr>
          <t>1)</t>
        </r>
        <r>
          <rPr>
            <sz val="8"/>
            <color indexed="81"/>
            <rFont val="Tahoma"/>
            <family val="2"/>
          </rPr>
          <t xml:space="preserve"> 2c non-cash charge for cumulative impact of a correction to pension accrual for prior years and &amp; non-op charge due to an adjustment in the co's reserve  for former operations relating to closed stores </t>
        </r>
        <r>
          <rPr>
            <b/>
            <sz val="8"/>
            <color indexed="81"/>
            <rFont val="Tahoma"/>
            <family val="2"/>
          </rPr>
          <t>(60  bps)</t>
        </r>
        <r>
          <rPr>
            <sz val="8"/>
            <color indexed="81"/>
            <rFont val="Tahoma"/>
            <family val="2"/>
          </rPr>
          <t>,</t>
        </r>
        <r>
          <rPr>
            <b/>
            <sz val="8"/>
            <color indexed="81"/>
            <rFont val="Tahoma"/>
            <family val="2"/>
          </rPr>
          <t xml:space="preserve"> 2) </t>
        </r>
        <r>
          <rPr>
            <sz val="8"/>
            <color indexed="81"/>
            <rFont val="Tahoma"/>
            <family val="2"/>
          </rPr>
          <t xml:space="preserve">increased incentive comp, </t>
        </r>
        <r>
          <rPr>
            <b/>
            <sz val="8"/>
            <color indexed="81"/>
            <rFont val="Tahoma"/>
            <family val="2"/>
          </rPr>
          <t xml:space="preserve">3) </t>
        </r>
        <r>
          <rPr>
            <sz val="8"/>
            <color indexed="81"/>
            <rFont val="Tahoma"/>
            <family val="2"/>
          </rPr>
          <t>investment to support growth</t>
        </r>
        <r>
          <rPr>
            <b/>
            <sz val="8"/>
            <color indexed="81"/>
            <rFont val="Tahoma"/>
            <family val="2"/>
          </rPr>
          <t xml:space="preserve">
8/14/12:</t>
        </r>
        <r>
          <rPr>
            <sz val="8"/>
            <color indexed="81"/>
            <rFont val="Tahoma"/>
            <family val="2"/>
          </rPr>
          <t xml:space="preserve"> 16.5-16.8%, flat to +30 bps, incl. 
-30 bps related to incremental investments in growth 
</t>
        </r>
      </text>
    </comment>
    <comment ref="CU33" authorId="15">
      <text>
        <r>
          <rPr>
            <b/>
            <sz val="8"/>
            <color indexed="81"/>
            <rFont val="Tahoma"/>
            <family val="2"/>
          </rPr>
          <t>solejay:</t>
        </r>
        <r>
          <rPr>
            <sz val="8"/>
            <color indexed="81"/>
            <rFont val="Tahoma"/>
            <family val="2"/>
          </rPr>
          <t xml:space="preserve">
8/20/13: guide = 16.4%-16.5%.  3Q12 was negatively impacted by several items which had a combines impact of 60 bps</t>
        </r>
      </text>
    </comment>
    <comment ref="CV33" authorId="5">
      <text>
        <r>
          <rPr>
            <sz val="8"/>
            <color indexed="81"/>
            <rFont val="Tahoma"/>
            <family val="2"/>
          </rPr>
          <t xml:space="preserve">Note: lapping -60 bps 1-time impact LY due to  2c non-cash charge for cumulative impact of a correction to pension accrual for prior years and &amp; 1c non-op charge due to an adjustment in the co's reserve  for former operations relating to closed stores </t>
        </r>
      </text>
    </comment>
    <comment ref="CY33" authorId="16">
      <text>
        <r>
          <rPr>
            <b/>
            <sz val="9"/>
            <color indexed="81"/>
            <rFont val="Tahoma"/>
            <family val="2"/>
          </rPr>
          <t xml:space="preserve">8/19/14 guidance: </t>
        </r>
        <r>
          <rPr>
            <sz val="9"/>
            <color indexed="81"/>
            <rFont val="Tahoma"/>
            <family val="2"/>
          </rPr>
          <t xml:space="preserve">16.4%
</t>
        </r>
        <r>
          <rPr>
            <b/>
            <sz val="9"/>
            <color indexed="81"/>
            <rFont val="Tahoma"/>
            <family val="2"/>
          </rPr>
          <t>11/18/14:</t>
        </r>
        <r>
          <rPr>
            <sz val="9"/>
            <color indexed="81"/>
            <rFont val="Tahoma"/>
            <family val="2"/>
          </rPr>
          <t xml:space="preserve"> The favorability versus the prior year was due to items related to our new home office facility last year and expense favorability</t>
        </r>
      </text>
    </comment>
    <comment ref="DB33" authorId="9">
      <text>
        <r>
          <rPr>
            <b/>
            <sz val="9"/>
            <color indexed="81"/>
            <rFont val="Tahoma"/>
            <family val="2"/>
          </rPr>
          <t>Baglione, Gregory  (Research):</t>
        </r>
        <r>
          <rPr>
            <sz val="9"/>
            <color indexed="81"/>
            <rFont val="Tahoma"/>
            <family val="2"/>
          </rPr>
          <t xml:space="preserve">
8/18/15
SG&amp;A as a percent of sales to be in the 16.9% to 17.0% range versus 16.2%
~40 bps due to higher wages</t>
        </r>
      </text>
    </comment>
    <comment ref="DC33" authorId="9">
      <text>
        <r>
          <rPr>
            <b/>
            <sz val="9"/>
            <color indexed="81"/>
            <rFont val="Tahoma"/>
            <family val="2"/>
          </rPr>
          <t>Baglione, Gregory  (Research):</t>
        </r>
        <r>
          <rPr>
            <sz val="9"/>
            <color indexed="81"/>
            <rFont val="Tahoma"/>
            <family val="2"/>
          </rPr>
          <t xml:space="preserve">
8/18/15
-13% headwind from combination of foreign currency, transactional foreign exchange, the Company’s wage initiative, incremental investments to support growth, and pension costs would have a 13% negative impact on EPS growth.</t>
        </r>
      </text>
    </comment>
    <comment ref="DG33" authorId="9">
      <text>
        <r>
          <rPr>
            <b/>
            <sz val="9"/>
            <color indexed="81"/>
            <rFont val="Tahoma"/>
            <family val="2"/>
          </rPr>
          <t>Baglione, Gregory  (Research):</t>
        </r>
        <r>
          <rPr>
            <sz val="9"/>
            <color indexed="81"/>
            <rFont val="Tahoma"/>
            <family val="2"/>
          </rPr>
          <t xml:space="preserve">
8/16/16
Guidance
Previous 17.1%
Updated</t>
        </r>
      </text>
    </comment>
    <comment ref="DH33" authorId="9">
      <text>
        <r>
          <rPr>
            <b/>
            <sz val="9"/>
            <color indexed="81"/>
            <rFont val="Tahoma"/>
            <family val="2"/>
          </rPr>
          <t>Baglione, Gregory  (Research):</t>
        </r>
        <r>
          <rPr>
            <sz val="9"/>
            <color indexed="81"/>
            <rFont val="Tahoma"/>
            <family val="2"/>
          </rPr>
          <t xml:space="preserve">
11/15/16
Selling, general and administrative costs as a percent of sales were 17.6%, up 0.9 percentage points versus the prior year’s ratio, primarily due to wage increases and investments to support growth, as the Company had anticipated.
8/16/16
We're expecting SG&amp;A as a percent of sales to be in the 17.7% to 17.8% range versus 16.7% last year.
</t>
        </r>
      </text>
    </comment>
    <comment ref="DK33" authorId="10">
      <text>
        <r>
          <rPr>
            <b/>
            <sz val="9"/>
            <color indexed="81"/>
            <rFont val="Tahoma"/>
            <family val="2"/>
          </rPr>
          <t>Roberts, Cynthia (Research):</t>
        </r>
        <r>
          <rPr>
            <sz val="9"/>
            <color indexed="81"/>
            <rFont val="Tahoma"/>
            <family val="2"/>
          </rPr>
          <t xml:space="preserve">
11/14/17: increase driven by wages and hurricane expense
8/15/17: Guidance 17.8%</t>
        </r>
      </text>
    </comment>
    <comment ref="Z34" authorId="0">
      <text>
        <r>
          <rPr>
            <b/>
            <sz val="8"/>
            <color indexed="81"/>
            <rFont val="Tahoma"/>
            <family val="2"/>
          </rPr>
          <t>lehman:</t>
        </r>
        <r>
          <rPr>
            <sz val="8"/>
            <color indexed="81"/>
            <rFont val="Tahoma"/>
            <family val="2"/>
          </rPr>
          <t xml:space="preserve">
$35 million is costs related to store closures (30 TJ Maxx stores), after tax is $21 million</t>
        </r>
      </text>
    </comment>
    <comment ref="BK34" authorId="23">
      <text>
        <r>
          <rPr>
            <b/>
            <sz val="8"/>
            <color indexed="81"/>
            <rFont val="Tahoma"/>
            <family val="2"/>
          </rPr>
          <t>MS:</t>
        </r>
        <r>
          <rPr>
            <sz val="8"/>
            <color indexed="81"/>
            <rFont val="Tahoma"/>
            <family val="2"/>
          </rPr>
          <t xml:space="preserve">
8/17 had 15.5</t>
        </r>
      </text>
    </comment>
    <comment ref="BN34" authorId="25">
      <text>
        <r>
          <rPr>
            <b/>
            <sz val="8"/>
            <color indexed="81"/>
            <rFont val="Tahoma"/>
            <family val="2"/>
          </rPr>
          <t>MB33100:</t>
        </r>
        <r>
          <rPr>
            <sz val="8"/>
            <color indexed="81"/>
            <rFont val="Tahoma"/>
            <family val="2"/>
          </rPr>
          <t xml:space="preserve">
includes options expense</t>
        </r>
      </text>
    </comment>
    <comment ref="BR34" authorId="2">
      <text>
        <r>
          <rPr>
            <b/>
            <sz val="8"/>
            <color indexed="81"/>
            <rFont val="Tahoma"/>
            <family val="2"/>
          </rPr>
          <t>mm98285:</t>
        </r>
        <r>
          <rPr>
            <sz val="8"/>
            <color indexed="81"/>
            <rFont val="Tahoma"/>
            <family val="2"/>
          </rPr>
          <t xml:space="preserve">
2/07: includes $5m charge related to computer systems breach ($0.01 per share)</t>
        </r>
      </text>
    </comment>
    <comment ref="BS34" authorId="2">
      <text>
        <r>
          <rPr>
            <b/>
            <sz val="8"/>
            <color indexed="81"/>
            <rFont val="Tahoma"/>
            <family val="2"/>
          </rPr>
          <t>10 bps worse:</t>
        </r>
        <r>
          <rPr>
            <sz val="8"/>
            <color indexed="81"/>
            <rFont val="Tahoma"/>
            <family val="2"/>
          </rPr>
          <t xml:space="preserve">
improved with exp lvg but more than offset by planned inc in mkt exp by </t>
        </r>
        <r>
          <rPr>
            <u/>
            <sz val="8"/>
            <color indexed="81"/>
            <rFont val="Tahoma"/>
            <family val="2"/>
          </rPr>
          <t>20bps</t>
        </r>
        <r>
          <rPr>
            <sz val="8"/>
            <color indexed="81"/>
            <rFont val="Tahoma"/>
            <family val="2"/>
          </rPr>
          <t xml:space="preserve"> and $5m charge related to systems intrusion </t>
        </r>
        <r>
          <rPr>
            <u/>
            <sz val="8"/>
            <color indexed="81"/>
            <rFont val="Tahoma"/>
            <family val="2"/>
          </rPr>
          <t>10bps</t>
        </r>
        <r>
          <rPr>
            <sz val="8"/>
            <color indexed="81"/>
            <rFont val="Tahoma"/>
            <family val="2"/>
          </rPr>
          <t xml:space="preserve">
2Q 10Q: planned advertising up for rest of year</t>
        </r>
      </text>
    </comment>
    <comment ref="BW34" authorId="12">
      <text>
        <r>
          <rPr>
            <b/>
            <sz val="8"/>
            <color indexed="81"/>
            <rFont val="Tahoma"/>
            <family val="2"/>
          </rPr>
          <t>mm98285:</t>
        </r>
        <r>
          <rPr>
            <sz val="8"/>
            <color indexed="81"/>
            <rFont val="Tahoma"/>
            <family val="2"/>
          </rPr>
          <t xml:space="preserve">
3/07: increase given planned increase in marketing, Bob’s Stores impairment charge, &amp; timing of certain corp. exp. items
Guidance issued at 3Q07: 15.3%-15.4% 
</t>
        </r>
        <r>
          <rPr>
            <b/>
            <sz val="8"/>
            <color indexed="81"/>
            <rFont val="Tahoma"/>
            <family val="2"/>
          </rPr>
          <t xml:space="preserve">
oc48540:</t>
        </r>
        <r>
          <rPr>
            <sz val="8"/>
            <color indexed="81"/>
            <rFont val="Tahoma"/>
            <family val="2"/>
          </rPr>
          <t xml:space="preserve">
Assume +30bps of leverage on +5 comp (2Q07 call said 30-40 G&amp;A lvg. On 3-4% comp)</t>
        </r>
      </text>
    </comment>
    <comment ref="BZ34" authorId="2">
      <text>
        <r>
          <rPr>
            <b/>
            <sz val="8"/>
            <color indexed="81"/>
            <rFont val="Tahoma"/>
            <family val="2"/>
          </rPr>
          <t>mm98285:</t>
        </r>
        <r>
          <rPr>
            <sz val="8"/>
            <color indexed="81"/>
            <rFont val="Tahoma"/>
            <family val="2"/>
          </rPr>
          <t xml:space="preserve">
2/10: restated from $839.531
1/09: est. $871-$876mm</t>
        </r>
      </text>
    </comment>
    <comment ref="CA34" authorId="2">
      <text>
        <r>
          <rPr>
            <b/>
            <sz val="8"/>
            <color indexed="81"/>
            <rFont val="Tahoma"/>
            <family val="2"/>
          </rPr>
          <t>mm98285:</t>
        </r>
        <r>
          <rPr>
            <sz val="8"/>
            <color indexed="81"/>
            <rFont val="Tahoma"/>
            <family val="2"/>
          </rPr>
          <t xml:space="preserve">
-10 bps as deleverage on -2% comp was offset by cost cuts
11/08: 15.7-15.8% incl. mark to market</t>
        </r>
      </text>
    </comment>
    <comment ref="CE34" authorId="2">
      <text>
        <r>
          <rPr>
            <b/>
            <sz val="8"/>
            <color indexed="81"/>
            <rFont val="Tahoma"/>
            <family val="2"/>
          </rPr>
          <t>mm98285:</t>
        </r>
        <r>
          <rPr>
            <sz val="8"/>
            <color indexed="81"/>
            <rFont val="Tahoma"/>
            <family val="2"/>
          </rPr>
          <t xml:space="preserve">
leverage on +12% comp and cost reduction efforts were offset by higher incentive compensation given above plan performance and a contribution to the TJX foundation, which combined had a unfavorable +110 bps impact. Excluding this impact, SG&amp;A expenses levered by 80 bps
11/09: $15.7-15.8% or ~$898M</t>
        </r>
      </text>
    </comment>
    <comment ref="CI34" authorId="19">
      <text>
        <r>
          <rPr>
            <b/>
            <sz val="8"/>
            <color indexed="81"/>
            <rFont val="Tahoma"/>
            <family val="2"/>
          </rPr>
          <t xml:space="preserve">11/10: </t>
        </r>
        <r>
          <rPr>
            <sz val="8"/>
            <color indexed="81"/>
            <rFont val="Tahoma"/>
            <family val="2"/>
          </rPr>
          <t>Guid 15.7-15.8%</t>
        </r>
        <r>
          <rPr>
            <b/>
            <sz val="8"/>
            <color indexed="81"/>
            <rFont val="Tahoma"/>
            <family val="2"/>
          </rPr>
          <t xml:space="preserve">
Margaret Marchant:</t>
        </r>
        <r>
          <rPr>
            <sz val="8"/>
            <color indexed="81"/>
            <rFont val="Tahoma"/>
            <family val="2"/>
          </rPr>
          <t xml:space="preserve">
8/10: bigger benefit from anniversarying LY's bonus and contribution to TJX foundation and cost savings offset by natural delvg on comp and higher level of ad spend</t>
        </r>
      </text>
    </comment>
    <comment ref="CM34" authorId="15">
      <text>
        <r>
          <rPr>
            <b/>
            <sz val="8"/>
            <color indexed="81"/>
            <rFont val="Tahoma"/>
            <family val="2"/>
          </rPr>
          <t xml:space="preserve">2/22/12: </t>
        </r>
        <r>
          <rPr>
            <sz val="8"/>
            <color indexed="81"/>
            <rFont val="Tahoma"/>
            <family val="2"/>
          </rPr>
          <t xml:space="preserve">Certain 4Q items include costs related to the closing of the Company's STYLESENSE stores in Canada, an early retirement program, the closure of a European office facility, a separation agreement, and certain write-offs and adjustments at TJX Europe.Those were offset in part by the net benefit of favorable tax adjustments. Combined, these items reduced EPS by $0.02 for both the fourth quarter and the full year and also reduce consolidated pretax profit margins by 20 basis points for fiscal 2012, and by 50 basis points for the fourth quarter.The majority of this margin impact is in SG&amp;A. </t>
        </r>
        <r>
          <rPr>
            <b/>
            <sz val="8"/>
            <color indexed="81"/>
            <rFont val="Tahoma"/>
            <family val="2"/>
          </rPr>
          <t xml:space="preserve">
2/2/12: </t>
        </r>
        <r>
          <rPr>
            <sz val="8"/>
            <color indexed="81"/>
            <rFont val="Tahoma"/>
            <family val="2"/>
          </rPr>
          <t>Assume 7% comp driving SG&amp;A lvg</t>
        </r>
        <r>
          <rPr>
            <b/>
            <sz val="8"/>
            <color indexed="81"/>
            <rFont val="Tahoma"/>
            <family val="2"/>
          </rPr>
          <t xml:space="preserve">
1/5: </t>
        </r>
        <r>
          <rPr>
            <sz val="8"/>
            <color indexed="81"/>
            <rFont val="Tahoma"/>
            <family val="2"/>
          </rPr>
          <t>Estimated $.03 per share negative impact from several items that impact the comparability of results and were not anticipated in the Company’s original guidance provided on November 15, 2011. These items include costs related to closing the Company’s StyleSense stores in Canada, an early retirement program at the Company’s home office, the closure of an office facility in Europe, and a separation agreement.
*Not considered excluded items</t>
        </r>
        <r>
          <rPr>
            <b/>
            <sz val="8"/>
            <color indexed="81"/>
            <rFont val="Tahoma"/>
            <family val="2"/>
          </rPr>
          <t xml:space="preserve">
11/15: </t>
        </r>
        <r>
          <rPr>
            <sz val="8"/>
            <color indexed="81"/>
            <rFont val="Tahoma"/>
            <family val="2"/>
          </rPr>
          <t>15.6-15.7%</t>
        </r>
        <r>
          <rPr>
            <sz val="8"/>
            <color indexed="81"/>
            <rFont val="Tahoma"/>
            <family val="2"/>
          </rPr>
          <t xml:space="preserve">
</t>
        </r>
      </text>
    </comment>
    <comment ref="CQ34" authorId="3">
      <text>
        <r>
          <rPr>
            <b/>
            <sz val="8"/>
            <color indexed="81"/>
            <rFont val="Tahoma"/>
            <family val="2"/>
          </rPr>
          <t xml:space="preserve">2/27/2013 </t>
        </r>
        <r>
          <rPr>
            <sz val="8"/>
            <color indexed="81"/>
            <rFont val="Tahoma"/>
            <family val="2"/>
          </rPr>
          <t>commentary - increase largely due to co's contribution to the TJX Foundation, higher incentive comp accruals w/ above plan results and transaction expenses related to acquisition of Sierra Post Trading</t>
        </r>
        <r>
          <rPr>
            <b/>
            <sz val="8"/>
            <color indexed="81"/>
            <rFont val="Tahoma"/>
            <family val="2"/>
          </rPr>
          <t xml:space="preserve">
2/7/2013:</t>
        </r>
        <r>
          <rPr>
            <sz val="8"/>
            <color indexed="81"/>
            <rFont val="Tahoma"/>
            <family val="2"/>
          </rPr>
          <t xml:space="preserve"> mgmt commentary - margins in great shape</t>
        </r>
        <r>
          <rPr>
            <b/>
            <sz val="8"/>
            <color indexed="81"/>
            <rFont val="Tahoma"/>
            <family val="2"/>
          </rPr>
          <t xml:space="preserve">
11/13/2012: </t>
        </r>
        <r>
          <rPr>
            <sz val="8"/>
            <color indexed="81"/>
            <rFont val="Tahoma"/>
            <family val="2"/>
          </rPr>
          <t>guidance 15.7-15.8%, flat to -10 bps</t>
        </r>
        <r>
          <rPr>
            <b/>
            <sz val="8"/>
            <color indexed="81"/>
            <rFont val="Tahoma"/>
            <family val="2"/>
          </rPr>
          <t xml:space="preserve">
lauraro:</t>
        </r>
        <r>
          <rPr>
            <sz val="8"/>
            <color indexed="81"/>
            <rFont val="Tahoma"/>
            <family val="2"/>
          </rPr>
          <t xml:space="preserve">
Was 15.5% excl 53rd. Assuming +30bps of leverage from 53rd week offsetting deleverage from 2% comp. </t>
        </r>
      </text>
    </comment>
    <comment ref="CU34" authorId="6">
      <text>
        <r>
          <rPr>
            <b/>
            <sz val="8"/>
            <color indexed="81"/>
            <rFont val="Tahoma"/>
            <family val="2"/>
          </rPr>
          <t xml:space="preserve">11/19/13: </t>
        </r>
        <r>
          <rPr>
            <sz val="8"/>
            <color indexed="81"/>
            <rFont val="Tahoma"/>
            <family val="2"/>
          </rPr>
          <t>guidance 15.6-15.7%. LY items had a 50 bps negative impact</t>
        </r>
        <r>
          <rPr>
            <sz val="8"/>
            <color indexed="81"/>
            <rFont val="Tahoma"/>
            <family val="2"/>
          </rPr>
          <t xml:space="preserve">
</t>
        </r>
      </text>
    </comment>
    <comment ref="CV34" authorId="6">
      <text>
        <r>
          <rPr>
            <b/>
            <sz val="8"/>
            <color indexed="81"/>
            <rFont val="Tahoma"/>
            <family val="2"/>
          </rPr>
          <t xml:space="preserve">2/25/14: </t>
        </r>
        <r>
          <rPr>
            <sz val="8"/>
            <color indexed="81"/>
            <rFont val="Tahoma"/>
            <family val="2"/>
          </rPr>
          <t>due to year-over-year favorability from certain one-time expenses detailed in the fourth quarter last year</t>
        </r>
        <r>
          <rPr>
            <sz val="8"/>
            <color indexed="81"/>
            <rFont val="Tahoma"/>
            <family val="2"/>
          </rPr>
          <t xml:space="preserve">
</t>
        </r>
      </text>
    </comment>
    <comment ref="CY34" authorId="16">
      <text>
        <r>
          <rPr>
            <b/>
            <sz val="9"/>
            <color indexed="81"/>
            <rFont val="Tahoma"/>
            <family val="2"/>
          </rPr>
          <t xml:space="preserve">11/18/14: </t>
        </r>
        <r>
          <rPr>
            <sz val="9"/>
            <color indexed="81"/>
            <rFont val="Tahoma"/>
            <family val="2"/>
          </rPr>
          <t xml:space="preserve">We're expecting SG&amp;A as a percent of sales to be about 15.6%, flat with last year
</t>
        </r>
      </text>
    </comment>
    <comment ref="DC34" authorId="9">
      <text>
        <r>
          <rPr>
            <b/>
            <sz val="9"/>
            <color indexed="81"/>
            <rFont val="Tahoma"/>
            <family val="2"/>
          </rPr>
          <t>Baglione, Gregory  (Research):</t>
        </r>
        <r>
          <rPr>
            <sz val="9"/>
            <color indexed="81"/>
            <rFont val="Tahoma"/>
            <family val="2"/>
          </rPr>
          <t xml:space="preserve">
2/24/16
Selling, general and administrative costs as a percent of sales were 16.7%, up 1.0 percentage points versus the prior year’s ratio, primarily due to the Company’s wage initiative, as the Company had anticipated, as well as contributions to TJX’s charitable foundations, higher incentive compensation accruals due to the Company’s above-plan performance and increased supply chain costs.
11/7/15
We're expecting SG&amp;A as a percent of sales to be
approximately 16.2% versus 15.7% last year, primarily due to our wage initiative, costs associated with integrating Trade Secret into our business, and increased supply chain costs.
</t>
        </r>
      </text>
    </comment>
    <comment ref="DG34" authorId="18">
      <text>
        <r>
          <rPr>
            <b/>
            <sz val="9"/>
            <color indexed="81"/>
            <rFont val="Tahoma"/>
            <family val="2"/>
          </rPr>
          <t>Baglione, Gregory (Research):</t>
        </r>
        <r>
          <rPr>
            <sz val="9"/>
            <color indexed="81"/>
            <rFont val="Tahoma"/>
            <family val="2"/>
          </rPr>
          <t xml:space="preserve">
11/16/16
We're expecting SG&amp;A as a percent of sales in the range of 16.8% to 16.9% versus 16.7% last year.</t>
        </r>
      </text>
    </comment>
    <comment ref="DH34" authorId="9">
      <text>
        <r>
          <rPr>
            <b/>
            <sz val="9"/>
            <color indexed="81"/>
            <rFont val="Tahoma"/>
            <family val="2"/>
          </rPr>
          <t>Baglione, Gregory  (Research):</t>
        </r>
        <r>
          <rPr>
            <sz val="9"/>
            <color indexed="81"/>
            <rFont val="Tahoma"/>
            <family val="2"/>
          </rPr>
          <t xml:space="preserve">
11/16/16
We're expecting SG&amp;A as a percent of sales in the range of 16.8% to 16.9% versus 16.7% last year.
10/26/16
SG&amp;A dollar growth 6.5%
11/16/15
~40 bps quarterly impact from higher wages
</t>
        </r>
      </text>
    </comment>
    <comment ref="DK34" authorId="10">
      <text>
        <r>
          <rPr>
            <b/>
            <sz val="9"/>
            <color indexed="81"/>
            <rFont val="Tahoma"/>
            <family val="2"/>
          </rPr>
          <t>Roberts, Cynthia (Research):</t>
        </r>
        <r>
          <rPr>
            <sz val="9"/>
            <color indexed="81"/>
            <rFont val="Tahoma"/>
            <family val="2"/>
          </rPr>
          <t xml:space="preserve">
2/28/18: 90 bps from associate bonus, pension, and charitable contributions
11/14/17: Guidance 16.8%</t>
        </r>
      </text>
    </comment>
    <comment ref="BO35" authorId="1">
      <text>
        <r>
          <rPr>
            <b/>
            <sz val="8"/>
            <color indexed="81"/>
            <rFont val="Tahoma"/>
            <family val="2"/>
          </rPr>
          <t>Morry Brown:</t>
        </r>
        <r>
          <rPr>
            <sz val="8"/>
            <color indexed="81"/>
            <rFont val="Tahoma"/>
            <family val="2"/>
          </rPr>
          <t xml:space="preserve">
2/23 guided to 16.4-16.6%</t>
        </r>
      </text>
    </comment>
    <comment ref="BS35" authorId="2">
      <text>
        <r>
          <rPr>
            <b/>
            <sz val="8"/>
            <color indexed="81"/>
            <rFont val="Tahoma"/>
            <family val="2"/>
          </rPr>
          <t>mm98285:</t>
        </r>
        <r>
          <rPr>
            <sz val="8"/>
            <color indexed="81"/>
            <rFont val="Tahoma"/>
            <family val="2"/>
          </rPr>
          <t xml:space="preserve">
3/08: exp levg across most cat's partially offset by planned increase in marketing +10 bps
5/06: mgmt guided to 20-30 bps of leverage on a +2-3% comp</t>
        </r>
      </text>
    </comment>
    <comment ref="BW35" authorId="2">
      <text>
        <r>
          <rPr>
            <b/>
            <sz val="8"/>
            <color indexed="81"/>
            <rFont val="Tahoma"/>
            <family val="2"/>
          </rPr>
          <t>mm98285:</t>
        </r>
        <r>
          <rPr>
            <sz val="8"/>
            <color indexed="81"/>
            <rFont val="Tahoma"/>
            <family val="2"/>
          </rPr>
          <t xml:space="preserve">
3/08: planned increase in advertising (10 bps) and 4Q Bob's impairment charge (10 bps) offset by con't cost containment initiaves
2/07: guided to 16.6-16.7%</t>
        </r>
      </text>
    </comment>
    <comment ref="CA35" authorId="2">
      <text>
        <r>
          <rPr>
            <b/>
            <sz val="8"/>
            <color indexed="81"/>
            <rFont val="Tahoma"/>
            <family val="2"/>
          </rPr>
          <t>mm98285:</t>
        </r>
        <r>
          <rPr>
            <sz val="8"/>
            <color indexed="81"/>
            <rFont val="Tahoma"/>
            <family val="2"/>
          </rPr>
          <t xml:space="preserve">
10K: deleverage on +1% comp prmarily in store payroll &amp; field costs, partially offset by cost containment initiative savings. Ad costs were flat as % of sales
2/08: expect 16.7%</t>
        </r>
      </text>
    </comment>
    <comment ref="CD35" authorId="2">
      <text>
        <r>
          <rPr>
            <b/>
            <sz val="8"/>
            <color indexed="81"/>
            <rFont val="Tahoma"/>
            <family val="2"/>
          </rPr>
          <t>mm98285:</t>
        </r>
        <r>
          <rPr>
            <sz val="8"/>
            <color indexed="81"/>
            <rFont val="Tahoma"/>
            <family val="2"/>
          </rPr>
          <t xml:space="preserve">
12/09: anticipate $150M savings in 2009 (some of which benefits COGS including B&amp;O costs)
2/09: expect to reduce cost structure by ~$150mm mostly starting in 2Q09; expect flat on constant currency basis and down on reported basis
2/09 expect higher pension &amp; health care costs and expect marketing down slightly</t>
        </r>
      </text>
    </comment>
    <comment ref="CH35" authorId="2">
      <text>
        <r>
          <rPr>
            <b/>
            <sz val="8"/>
            <color indexed="81"/>
            <rFont val="Tahoma"/>
            <family val="2"/>
          </rPr>
          <t>mm98285:</t>
        </r>
        <r>
          <rPr>
            <sz val="8"/>
            <color indexed="81"/>
            <rFont val="Tahoma"/>
            <family val="2"/>
          </rPr>
          <t xml:space="preserve">
2/10: reduce expenses by $50-$75M</t>
        </r>
      </text>
    </comment>
    <comment ref="CI35" authorId="2">
      <text>
        <r>
          <rPr>
            <b/>
            <sz val="8"/>
            <color indexed="81"/>
            <rFont val="Tahoma"/>
            <family val="2"/>
          </rPr>
          <t xml:space="preserve">11/10: </t>
        </r>
        <r>
          <rPr>
            <sz val="8"/>
            <color indexed="81"/>
            <rFont val="Tahoma"/>
            <family val="2"/>
          </rPr>
          <t xml:space="preserve">Exp PTP margin 10.1-10.2% excl 1c non-op benefit due to continued strength in mdse margins as well as some B+O expense leverage, and SG&amp;A ratios that are flat </t>
        </r>
        <r>
          <rPr>
            <b/>
            <sz val="8"/>
            <color indexed="81"/>
            <rFont val="Tahoma"/>
            <family val="2"/>
          </rPr>
          <t xml:space="preserve">
8/10: </t>
        </r>
        <r>
          <rPr>
            <sz val="8"/>
            <color indexed="81"/>
            <rFont val="Tahoma"/>
            <family val="2"/>
          </rPr>
          <t xml:space="preserve">flat to down slightly
</t>
        </r>
        <r>
          <rPr>
            <b/>
            <sz val="8"/>
            <color indexed="81"/>
            <rFont val="Tahoma"/>
            <family val="2"/>
          </rPr>
          <t>5/10: +</t>
        </r>
        <r>
          <rPr>
            <sz val="8"/>
            <color indexed="81"/>
            <rFont val="Tahoma"/>
            <family val="2"/>
          </rPr>
          <t xml:space="preserve">10-20 bps </t>
        </r>
        <r>
          <rPr>
            <b/>
            <sz val="8"/>
            <color indexed="81"/>
            <rFont val="Tahoma"/>
            <family val="2"/>
          </rPr>
          <t>mm98285:</t>
        </r>
        <r>
          <rPr>
            <sz val="8"/>
            <color indexed="81"/>
            <rFont val="Tahoma"/>
            <family val="2"/>
          </rPr>
          <t xml:space="preserve">
2/10: flat to down slightly</t>
        </r>
      </text>
    </comment>
    <comment ref="CM35" authorId="3">
      <text>
        <r>
          <rPr>
            <b/>
            <sz val="8"/>
            <color indexed="81"/>
            <rFont val="Tahoma"/>
            <family val="2"/>
          </rPr>
          <t xml:space="preserve">11/15/11: </t>
        </r>
        <r>
          <rPr>
            <sz val="8"/>
            <color indexed="81"/>
            <rFont val="Tahoma"/>
            <family val="2"/>
          </rPr>
          <t>16.5%-16.5%</t>
        </r>
        <r>
          <rPr>
            <b/>
            <sz val="8"/>
            <color indexed="81"/>
            <rFont val="Tahoma"/>
            <family val="2"/>
          </rPr>
          <t xml:space="preserve">
6/18/11: </t>
        </r>
        <r>
          <rPr>
            <sz val="8"/>
            <color indexed="81"/>
            <rFont val="Tahoma"/>
            <family val="2"/>
          </rPr>
          <t>Cont to expect SG&amp;A rate up very slightly on a 2-3% comp</t>
        </r>
        <r>
          <rPr>
            <b/>
            <sz val="8"/>
            <color indexed="81"/>
            <rFont val="Tahoma"/>
            <family val="2"/>
          </rPr>
          <t xml:space="preserve">
5/17/11: </t>
        </r>
        <r>
          <rPr>
            <sz val="8"/>
            <color indexed="81"/>
            <rFont val="Tahoma"/>
            <family val="2"/>
          </rPr>
          <t>Exp up minimally (10-20bps) vs. LY on 1-2% comp; 10 bps of that deleverage is coming from advertising</t>
        </r>
        <r>
          <rPr>
            <sz val="8"/>
            <color indexed="81"/>
            <rFont val="Tahoma"/>
            <family val="2"/>
          </rPr>
          <t xml:space="preserve">
</t>
        </r>
        <r>
          <rPr>
            <b/>
            <sz val="8"/>
            <color indexed="81"/>
            <rFont val="Tahoma"/>
            <family val="2"/>
          </rPr>
          <t>2/11:</t>
        </r>
        <r>
          <rPr>
            <sz val="8"/>
            <color indexed="81"/>
            <rFont val="Tahoma"/>
            <family val="2"/>
          </rPr>
          <t xml:space="preserve"> FY SG&amp;A rates expected to delever only slightly on a 1-2% comp, so delvg in 1Q is due to timing
Exp 16.4-16.5%</t>
        </r>
      </text>
    </comment>
    <comment ref="CQ35" authorId="3">
      <text>
        <r>
          <rPr>
            <b/>
            <sz val="8"/>
            <color indexed="81"/>
            <rFont val="Tahoma"/>
            <family val="2"/>
          </rPr>
          <t>lauraro:</t>
        </r>
        <r>
          <rPr>
            <sz val="8"/>
            <color indexed="81"/>
            <rFont val="Tahoma"/>
            <family val="2"/>
          </rPr>
          <t xml:space="preserve">
2/22/12: 16.6%, 53rd week benefit by ~10bps and non-anniversarying of 4Q11 items ~15bps offset by 25bps due to investment
remaining 10bp deleverage based on 1-2% comp leverage</t>
        </r>
      </text>
    </comment>
    <comment ref="CU35" authorId="5">
      <text>
        <r>
          <rPr>
            <b/>
            <sz val="8"/>
            <color indexed="81"/>
            <rFont val="Tahoma"/>
            <family val="2"/>
          </rPr>
          <t xml:space="preserve">2/27/2013 Guidance: </t>
        </r>
        <r>
          <rPr>
            <sz val="8"/>
            <color indexed="81"/>
            <rFont val="Tahoma"/>
            <family val="2"/>
          </rPr>
          <t>16.2-16.3%</t>
        </r>
      </text>
    </comment>
    <comment ref="CY35" authorId="6">
      <text>
        <r>
          <rPr>
            <b/>
            <sz val="8"/>
            <color indexed="81"/>
            <rFont val="Tahoma"/>
            <family val="2"/>
          </rPr>
          <t xml:space="preserve">2/25/14 guidance: </t>
        </r>
        <r>
          <rPr>
            <sz val="8"/>
            <color indexed="81"/>
            <rFont val="Tahoma"/>
            <family val="2"/>
          </rPr>
          <t>16.3% flat y/y</t>
        </r>
        <r>
          <rPr>
            <sz val="8"/>
            <color indexed="81"/>
            <rFont val="Tahoma"/>
            <family val="2"/>
          </rPr>
          <t xml:space="preserve">
</t>
        </r>
        <r>
          <rPr>
            <b/>
            <sz val="8"/>
            <color indexed="81"/>
            <rFont val="Tahoma"/>
            <family val="2"/>
          </rPr>
          <t>5/20/14 guidance:</t>
        </r>
        <r>
          <rPr>
            <sz val="8"/>
            <color indexed="81"/>
            <rFont val="Tahoma"/>
            <family val="2"/>
          </rPr>
          <t xml:space="preserve"> 16.2% 
</t>
        </r>
        <r>
          <rPr>
            <b/>
            <sz val="8"/>
            <color indexed="81"/>
            <rFont val="Tahoma"/>
            <family val="2"/>
          </rPr>
          <t>8/19/14 guidance:</t>
        </r>
        <r>
          <rPr>
            <sz val="8"/>
            <color indexed="81"/>
            <rFont val="Tahoma"/>
            <family val="2"/>
          </rPr>
          <t xml:space="preserve"> 16.1% - 16.2% 
</t>
        </r>
        <r>
          <rPr>
            <b/>
            <sz val="8"/>
            <color indexed="81"/>
            <rFont val="Tahoma"/>
            <family val="2"/>
          </rPr>
          <t>11/18/14 guidance:</t>
        </r>
        <r>
          <rPr>
            <sz val="8"/>
            <color indexed="81"/>
            <rFont val="Tahoma"/>
            <family val="2"/>
          </rPr>
          <t xml:space="preserve"> 16.1%</t>
        </r>
      </text>
    </comment>
    <comment ref="DC35" authorId="7">
      <text>
        <r>
          <rPr>
            <sz val="9"/>
            <color indexed="81"/>
            <rFont val="Tahoma"/>
            <family val="2"/>
          </rPr>
          <t xml:space="preserve">5/19/15: Reiterated 16.6%
</t>
        </r>
        <r>
          <rPr>
            <b/>
            <sz val="9"/>
            <color indexed="81"/>
            <rFont val="Tahoma"/>
            <family val="2"/>
          </rPr>
          <t xml:space="preserve">2/25/15 guidance: </t>
        </r>
        <r>
          <rPr>
            <sz val="9"/>
            <color indexed="81"/>
            <rFont val="Tahoma"/>
            <family val="2"/>
          </rPr>
          <t xml:space="preserve"> ~16.6% rate (due to incremental investments, wage increase)</t>
        </r>
      </text>
    </comment>
    <comment ref="DG35" authorId="9">
      <text>
        <r>
          <rPr>
            <b/>
            <sz val="9"/>
            <color indexed="81"/>
            <rFont val="Tahoma"/>
            <family val="2"/>
          </rPr>
          <t>Baglione, Gregory  (Research):</t>
        </r>
        <r>
          <rPr>
            <sz val="9"/>
            <color indexed="81"/>
            <rFont val="Tahoma"/>
            <family val="2"/>
          </rPr>
          <t xml:space="preserve">
11/15/16
We expect SG&amp;A as a percentage of sales to be about 17.4% versus 16.8% last year.
8/17/16
Guidance
We expect SG&amp;A as a percentage of sales to beapproximately 17.3% versus 16.8% last year.
5/17/16
17.2%-17.3%
2/24/16
Model 17.2-17.3% SG&amp;A Rate
</t>
        </r>
      </text>
    </comment>
    <comment ref="DH35" authorId="9">
      <text>
        <r>
          <rPr>
            <b/>
            <sz val="9"/>
            <color indexed="81"/>
            <rFont val="Tahoma"/>
            <family val="2"/>
          </rPr>
          <t>Baglione, Gregory  (Research):</t>
        </r>
        <r>
          <rPr>
            <sz val="9"/>
            <color indexed="81"/>
            <rFont val="Tahoma"/>
            <family val="2"/>
          </rPr>
          <t xml:space="preserve">
8/17/16: We expect SG&amp;A as a percentage of sales to be
approximately 17.3% versus 16.8% last year.
</t>
        </r>
      </text>
    </comment>
    <comment ref="DK35" authorId="10">
      <text>
        <r>
          <rPr>
            <b/>
            <sz val="9"/>
            <color indexed="81"/>
            <rFont val="Tahoma"/>
            <family val="2"/>
          </rPr>
          <t>Roberts, Cynthia (Research):</t>
        </r>
        <r>
          <rPr>
            <sz val="9"/>
            <color indexed="81"/>
            <rFont val="Tahoma"/>
            <family val="2"/>
          </rPr>
          <t xml:space="preserve">
11/14/17: Guidance 17.6%
8/15/17: Guidance 17.6%
5/16/17: Guidance 17.6-17.7%
2/22/17: Guidance: 17.6-17.7%. Mgmt does not expect 53rd week to have a significant impact</t>
        </r>
      </text>
    </comment>
    <comment ref="DO35" authorId="10">
      <text>
        <r>
          <rPr>
            <b/>
            <sz val="9"/>
            <color indexed="81"/>
            <rFont val="Tahoma"/>
            <family val="2"/>
          </rPr>
          <t>Roberts, Cynthia (Research):</t>
        </r>
        <r>
          <rPr>
            <sz val="9"/>
            <color indexed="81"/>
            <rFont val="Tahoma"/>
            <family val="2"/>
          </rPr>
          <t xml:space="preserve">
2/28/18: 17.8-17.9%</t>
        </r>
      </text>
    </comment>
    <comment ref="Z44" authorId="0">
      <text>
        <r>
          <rPr>
            <b/>
            <sz val="8"/>
            <color indexed="81"/>
            <rFont val="Tahoma"/>
            <family val="2"/>
          </rPr>
          <t>lehman:</t>
        </r>
        <r>
          <rPr>
            <sz val="8"/>
            <color indexed="81"/>
            <rFont val="Tahoma"/>
            <family val="2"/>
          </rPr>
          <t xml:space="preserve">
$35 million is costs related to store closures (30 TJ Maxx stores), after tax is $21 million</t>
        </r>
      </text>
    </comment>
    <comment ref="BN44" authorId="25">
      <text>
        <r>
          <rPr>
            <b/>
            <sz val="8"/>
            <color indexed="81"/>
            <rFont val="Tahoma"/>
            <family val="2"/>
          </rPr>
          <t>MB33100:</t>
        </r>
        <r>
          <rPr>
            <sz val="8"/>
            <color indexed="81"/>
            <rFont val="Tahoma"/>
            <family val="2"/>
          </rPr>
          <t xml:space="preserve">
3c impact ($22.9mm) from options expense in 4Q, as the company chose the retrospective method and is restating prior periods for options expense</t>
        </r>
      </text>
    </comment>
    <comment ref="BJ55" authorId="26">
      <text>
        <r>
          <rPr>
            <b/>
            <sz val="8"/>
            <color indexed="81"/>
            <rFont val="Tahoma"/>
            <family val="2"/>
          </rPr>
          <t>Kimberly Greenberger:</t>
        </r>
        <r>
          <rPr>
            <sz val="8"/>
            <color indexed="81"/>
            <rFont val="Tahoma"/>
            <family val="2"/>
          </rPr>
          <t xml:space="preserve">
7/04 confirmed w/ Sherry Lang $289mm</t>
        </r>
      </text>
    </comment>
    <comment ref="BN55" authorId="26">
      <text>
        <r>
          <rPr>
            <b/>
            <sz val="8"/>
            <color indexed="81"/>
            <rFont val="Tahoma"/>
            <family val="2"/>
          </rPr>
          <t>Kimberly Greenberger:</t>
        </r>
        <r>
          <rPr>
            <sz val="8"/>
            <color indexed="81"/>
            <rFont val="Tahoma"/>
            <family val="2"/>
          </rPr>
          <t xml:space="preserve">
7/04 per Sherry s/b $328mm
2/23/05 per 4Q04 conf call, 2005 depc'n s/b $315mm</t>
        </r>
      </text>
    </comment>
    <comment ref="BR55" authorId="25">
      <text>
        <r>
          <rPr>
            <b/>
            <sz val="8"/>
            <color indexed="81"/>
            <rFont val="Tahoma"/>
            <family val="2"/>
          </rPr>
          <t>MB33100:</t>
        </r>
        <r>
          <rPr>
            <sz val="8"/>
            <color indexed="81"/>
            <rFont val="Tahoma"/>
            <family val="2"/>
          </rPr>
          <t xml:space="preserve">
2/06 guided to $350 million for the year</t>
        </r>
      </text>
    </comment>
    <comment ref="BV55" authorId="2">
      <text>
        <r>
          <rPr>
            <b/>
            <sz val="8"/>
            <color indexed="81"/>
            <rFont val="Tahoma"/>
            <family val="2"/>
          </rPr>
          <t>mm98285:</t>
        </r>
        <r>
          <rPr>
            <sz val="8"/>
            <color indexed="81"/>
            <rFont val="Tahoma"/>
            <family val="2"/>
          </rPr>
          <t xml:space="preserve">
2/07: guided to $370mm</t>
        </r>
      </text>
    </comment>
    <comment ref="BZ55" authorId="2">
      <text>
        <r>
          <rPr>
            <b/>
            <sz val="8"/>
            <color indexed="81"/>
            <rFont val="Tahoma"/>
            <family val="2"/>
          </rPr>
          <t>mm98285:</t>
        </r>
        <r>
          <rPr>
            <sz val="8"/>
            <color indexed="81"/>
            <rFont val="Tahoma"/>
            <family val="2"/>
          </rPr>
          <t xml:space="preserve">
2/08: expect $389</t>
        </r>
      </text>
    </comment>
    <comment ref="DL55" authorId="27">
      <text>
        <r>
          <rPr>
            <b/>
            <sz val="9"/>
            <color indexed="81"/>
            <rFont val="Tahoma"/>
            <family val="2"/>
          </rPr>
          <t>Cassel, Lauren (Research):</t>
        </r>
        <r>
          <rPr>
            <sz val="9"/>
            <color indexed="81"/>
            <rFont val="Tahoma"/>
            <family val="2"/>
          </rPr>
          <t xml:space="preserve">
2/22/17: grow a little more than last year per Scott</t>
        </r>
      </text>
    </comment>
    <comment ref="CE61" authorId="2">
      <text>
        <r>
          <rPr>
            <b/>
            <sz val="8"/>
            <color indexed="81"/>
            <rFont val="Tahoma"/>
            <family val="2"/>
          </rPr>
          <t>mm98285:</t>
        </r>
        <r>
          <rPr>
            <sz val="8"/>
            <color indexed="81"/>
            <rFont val="Tahoma"/>
            <family val="2"/>
          </rPr>
          <t xml:space="preserve">
2/09: 5.4-6.2%</t>
        </r>
      </text>
    </comment>
    <comment ref="CA62" authorId="13">
      <text>
        <r>
          <rPr>
            <b/>
            <sz val="8"/>
            <color indexed="81"/>
            <rFont val="Tahoma"/>
            <family val="2"/>
          </rPr>
          <t xml:space="preserve">5/13: </t>
        </r>
        <r>
          <rPr>
            <sz val="8"/>
            <color indexed="81"/>
            <rFont val="Tahoma"/>
            <family val="2"/>
          </rPr>
          <t xml:space="preserve">Pretax profit margins are planned in the 6.5% to 6.7% range, flat to down 20bps points versus the prior year, primarily due to our investments in new European businesses, which we will begin to anniversary in the third quarter. </t>
        </r>
      </text>
    </comment>
    <comment ref="DC62" authorId="8">
      <text>
        <r>
          <rPr>
            <b/>
            <sz val="9"/>
            <color indexed="81"/>
            <rFont val="Tahoma"/>
            <family val="2"/>
          </rPr>
          <t>Mains, Spencer (Research):</t>
        </r>
        <r>
          <rPr>
            <sz val="9"/>
            <color indexed="81"/>
            <rFont val="Tahoma"/>
            <family val="2"/>
          </rPr>
          <t xml:space="preserve">
5/19/15: 11.2-11.4%</t>
        </r>
      </text>
    </comment>
    <comment ref="BW63" authorId="12">
      <text>
        <r>
          <rPr>
            <b/>
            <sz val="8"/>
            <color indexed="81"/>
            <rFont val="Tahoma"/>
            <family val="2"/>
          </rPr>
          <t>oc48540:</t>
        </r>
        <r>
          <rPr>
            <sz val="8"/>
            <color indexed="81"/>
            <rFont val="Tahoma"/>
            <family val="2"/>
          </rPr>
          <t xml:space="preserve">
@2Q07: Guided to 8.4-8.6%</t>
        </r>
      </text>
    </comment>
    <comment ref="CQ63" authorId="5">
      <text>
        <r>
          <rPr>
            <b/>
            <sz val="8"/>
            <color indexed="81"/>
            <rFont val="Tahoma"/>
            <family val="2"/>
          </rPr>
          <t xml:space="preserve">2/7/2013: </t>
        </r>
        <r>
          <rPr>
            <sz val="8"/>
            <color indexed="81"/>
            <rFont val="Tahoma"/>
            <family val="2"/>
          </rPr>
          <t>mgmt commentary - margins in great shape</t>
        </r>
        <r>
          <rPr>
            <b/>
            <sz val="8"/>
            <color indexed="81"/>
            <rFont val="Tahoma"/>
            <family val="2"/>
          </rPr>
          <t xml:space="preserve">
11/13/2012</t>
        </r>
        <r>
          <rPr>
            <sz val="8"/>
            <color indexed="81"/>
            <rFont val="Tahoma"/>
            <family val="2"/>
          </rPr>
          <t xml:space="preserve">: Negative 60 bps impact from </t>
        </r>
        <r>
          <rPr>
            <b/>
            <sz val="8"/>
            <color indexed="81"/>
            <rFont val="Tahoma"/>
            <family val="2"/>
          </rPr>
          <t>1)</t>
        </r>
        <r>
          <rPr>
            <sz val="8"/>
            <color indexed="81"/>
            <rFont val="Tahoma"/>
            <family val="2"/>
          </rPr>
          <t xml:space="preserve"> 2c non-cash charge for cumulative impact of a correction to pension accrual for prior years and</t>
        </r>
        <r>
          <rPr>
            <b/>
            <sz val="8"/>
            <color indexed="81"/>
            <rFont val="Tahoma"/>
            <family val="2"/>
          </rPr>
          <t xml:space="preserve"> 2) </t>
        </r>
        <r>
          <rPr>
            <sz val="8"/>
            <color indexed="81"/>
            <rFont val="Tahoma"/>
            <family val="2"/>
          </rPr>
          <t>non-op charge due to an adjustment in the co's reserve for former operations relating to closed stores</t>
        </r>
      </text>
    </comment>
    <comment ref="CU63" authorId="15">
      <text>
        <r>
          <rPr>
            <b/>
            <sz val="8"/>
            <color indexed="81"/>
            <rFont val="Tahoma"/>
            <family val="2"/>
          </rPr>
          <t>solejay:</t>
        </r>
        <r>
          <rPr>
            <sz val="8"/>
            <color indexed="81"/>
            <rFont val="Tahoma"/>
            <family val="2"/>
          </rPr>
          <t xml:space="preserve">
8/20/13: guide = 12.0-12.3%</t>
        </r>
      </text>
    </comment>
    <comment ref="BN64" authorId="25">
      <text>
        <r>
          <rPr>
            <b/>
            <sz val="8"/>
            <color indexed="81"/>
            <rFont val="Tahoma"/>
            <family val="2"/>
          </rPr>
          <t>MB33100:</t>
        </r>
        <r>
          <rPr>
            <sz val="8"/>
            <color indexed="81"/>
            <rFont val="Tahoma"/>
            <family val="2"/>
          </rPr>
          <t xml:space="preserve">
formula includes options expense, as company retroactively restated previous periods</t>
        </r>
      </text>
    </comment>
    <comment ref="CA64" authorId="2">
      <text>
        <r>
          <rPr>
            <b/>
            <sz val="8"/>
            <color indexed="81"/>
            <rFont val="Tahoma"/>
            <family val="2"/>
          </rPr>
          <t>mm98285:</t>
        </r>
        <r>
          <rPr>
            <sz val="8"/>
            <color indexed="81"/>
            <rFont val="Tahoma"/>
            <family val="2"/>
          </rPr>
          <t xml:space="preserve">
2/08: 53rd week boosts margins by 20 bps</t>
        </r>
      </text>
    </comment>
    <comment ref="DG64" authorId="18">
      <text>
        <r>
          <rPr>
            <b/>
            <sz val="9"/>
            <color indexed="81"/>
            <rFont val="Tahoma"/>
            <family val="2"/>
          </rPr>
          <t>Baglione, Gregory (Research):</t>
        </r>
        <r>
          <rPr>
            <sz val="9"/>
            <color indexed="81"/>
            <rFont val="Tahoma"/>
            <family val="2"/>
          </rPr>
          <t xml:space="preserve">
11/16/16
Fourth quarter pretax profit margin is planned in the 11.0% to 11.1% range versus 11.9% last year.</t>
        </r>
      </text>
    </comment>
    <comment ref="CA65" authorId="2">
      <text>
        <r>
          <rPr>
            <b/>
            <sz val="8"/>
            <color indexed="81"/>
            <rFont val="Tahoma"/>
            <family val="2"/>
          </rPr>
          <t>mm98285:</t>
        </r>
        <r>
          <rPr>
            <sz val="8"/>
            <color indexed="81"/>
            <rFont val="Tahoma"/>
            <family val="2"/>
          </rPr>
          <t xml:space="preserve">
2/08: 53rd week boosts margins by 20 bps</t>
        </r>
      </text>
    </comment>
    <comment ref="CU65" authorId="15">
      <text>
        <r>
          <rPr>
            <b/>
            <sz val="8"/>
            <color indexed="81"/>
            <rFont val="Tahoma"/>
            <family val="2"/>
          </rPr>
          <t>solejay:</t>
        </r>
        <r>
          <rPr>
            <sz val="8"/>
            <color indexed="81"/>
            <rFont val="Tahoma"/>
            <family val="2"/>
          </rPr>
          <t xml:space="preserve">
8/20/13 guide = 12.0%-12.3%</t>
        </r>
      </text>
    </comment>
    <comment ref="DC65" authorId="7">
      <text>
        <r>
          <rPr>
            <sz val="9"/>
            <color indexed="81"/>
            <rFont val="Tahoma"/>
            <family val="2"/>
          </rPr>
          <t xml:space="preserve">5/19/15: Reiterated 11.6-11.8%
</t>
        </r>
        <r>
          <rPr>
            <b/>
            <sz val="9"/>
            <color indexed="81"/>
            <rFont val="Tahoma"/>
            <family val="2"/>
          </rPr>
          <t xml:space="preserve">2/25/15 guidance: </t>
        </r>
        <r>
          <rPr>
            <sz val="9"/>
            <color indexed="81"/>
            <rFont val="Tahoma"/>
            <family val="2"/>
          </rPr>
          <t xml:space="preserve"> 11.6-11.8%</t>
        </r>
      </text>
    </comment>
    <comment ref="BV72" authorId="13">
      <text>
        <r>
          <rPr>
            <sz val="8"/>
            <color indexed="81"/>
            <rFont val="Tahoma"/>
            <family val="2"/>
          </rPr>
          <t>TJX booked computer intrusion costs of $20M including those
costs incurred during 1Q07 in order to: investigate/contain the intrusion,
enhance computer security/systems, communicate with customers, and pay for
technical/legal/and other fees.</t>
        </r>
      </text>
    </comment>
    <comment ref="BV73" authorId="13">
      <text>
        <r>
          <rPr>
            <sz val="8"/>
            <color indexed="81"/>
            <rFont val="Tahoma"/>
            <family val="2"/>
          </rPr>
          <t>$195.9mm, yielding an after-tax cash charge of ~$119mm or $0.25 per share.
2Q07’s charges includes:
1) $11mm (after tax), or $.02 per share, for costs incurred during the quarter.
2) $107mm after tax reserve ($178.1 pre-tax), or $.23 per share, for TJX’s exposure to potential losses. This reserve reflects TJX's estimation of probable losses, in accordance with GAAP, based on info available as of 8/14/07, and includes an estimation of total, potential cash liabilities from pending litigation, proceedings, investigations and other claims, and legal and other costs/expenses, from intrusion</t>
        </r>
      </text>
    </comment>
    <comment ref="CH73" authorId="3">
      <text>
        <r>
          <rPr>
            <b/>
            <sz val="8"/>
            <color indexed="81"/>
            <rFont val="Tahoma"/>
            <family val="2"/>
          </rPr>
          <t>lauraro:</t>
        </r>
        <r>
          <rPr>
            <sz val="8"/>
            <color indexed="81"/>
            <rFont val="Tahoma"/>
            <family val="2"/>
          </rPr>
          <t xml:space="preserve">
8/17: Provision (credit) for Computer Intrusion related costs</t>
        </r>
      </text>
    </comment>
    <comment ref="CP74" authorId="5">
      <text>
        <r>
          <rPr>
            <b/>
            <sz val="8"/>
            <color indexed="81"/>
            <rFont val="Tahoma"/>
            <family val="2"/>
          </rPr>
          <t xml:space="preserve">10/4/2012: </t>
        </r>
        <r>
          <rPr>
            <sz val="8"/>
            <color indexed="81"/>
            <rFont val="Tahoma"/>
            <family val="2"/>
          </rPr>
          <t>Expect 2c 1-time charge related to correction to pension accrual for prior fiscal yrs</t>
        </r>
      </text>
    </comment>
    <comment ref="BR75" authorId="2">
      <text>
        <r>
          <rPr>
            <b/>
            <sz val="8"/>
            <color indexed="81"/>
            <rFont val="Tahoma"/>
            <family val="2"/>
          </rPr>
          <t>mm98285:</t>
        </r>
        <r>
          <rPr>
            <sz val="8"/>
            <color indexed="81"/>
            <rFont val="Tahoma"/>
            <family val="2"/>
          </rPr>
          <t xml:space="preserve">
3/08: $3mm after tax charge related to Computer Intrusion (1c)</t>
        </r>
      </text>
    </comment>
    <comment ref="BV75" authorId="2">
      <text>
        <r>
          <rPr>
            <b/>
            <sz val="8"/>
            <color indexed="81"/>
            <rFont val="Tahoma"/>
            <family val="2"/>
          </rPr>
          <t>mm98285:</t>
        </r>
        <r>
          <rPr>
            <sz val="8"/>
            <color indexed="81"/>
            <rFont val="Tahoma"/>
            <family val="2"/>
          </rPr>
          <t xml:space="preserve">
2/08: credit for computer intrusion related costs</t>
        </r>
      </text>
    </comment>
    <comment ref="BZ75" authorId="2">
      <text>
        <r>
          <rPr>
            <b/>
            <sz val="8"/>
            <color indexed="81"/>
            <rFont val="Tahoma"/>
            <family val="2"/>
          </rPr>
          <t>mm98285:</t>
        </r>
        <r>
          <rPr>
            <sz val="8"/>
            <color indexed="81"/>
            <rFont val="Tahoma"/>
            <family val="2"/>
          </rPr>
          <t xml:space="preserve">
2/09: credit for computer intrusion related costs</t>
        </r>
      </text>
    </comment>
    <comment ref="BN81" authorId="26">
      <text>
        <r>
          <rPr>
            <b/>
            <sz val="8"/>
            <color indexed="81"/>
            <rFont val="Tahoma"/>
            <family val="2"/>
          </rPr>
          <t>Kimberly Greenberger:</t>
        </r>
        <r>
          <rPr>
            <sz val="8"/>
            <color indexed="81"/>
            <rFont val="Tahoma"/>
            <family val="2"/>
          </rPr>
          <t xml:space="preserve">
11/18/04: $7.5mm of interest savings on the CoCo should be spread over 4 quarters - still need to do</t>
        </r>
      </text>
    </comment>
    <comment ref="BZ81" authorId="2">
      <text>
        <r>
          <rPr>
            <b/>
            <sz val="8"/>
            <color indexed="81"/>
            <rFont val="Tahoma"/>
            <family val="2"/>
          </rPr>
          <t>mm98285:</t>
        </r>
        <r>
          <rPr>
            <sz val="8"/>
            <color indexed="81"/>
            <rFont val="Tahoma"/>
            <family val="2"/>
          </rPr>
          <t xml:space="preserve">
10Q: interest income of $7.7M</t>
        </r>
      </text>
    </comment>
    <comment ref="CD81" authorId="2">
      <text>
        <r>
          <rPr>
            <b/>
            <sz val="8"/>
            <color indexed="81"/>
            <rFont val="Tahoma"/>
            <family val="2"/>
          </rPr>
          <t>mm98285:</t>
        </r>
        <r>
          <rPr>
            <sz val="8"/>
            <color indexed="81"/>
            <rFont val="Tahoma"/>
            <family val="2"/>
          </rPr>
          <t xml:space="preserve">
10Q: interest income of $2.3M vs. $7.7M LY</t>
        </r>
      </text>
    </comment>
    <comment ref="CH81" authorId="2">
      <text>
        <r>
          <rPr>
            <b/>
            <sz val="8"/>
            <color indexed="81"/>
            <rFont val="Tahoma"/>
            <family val="2"/>
          </rPr>
          <t>mm98285:</t>
        </r>
        <r>
          <rPr>
            <sz val="8"/>
            <color indexed="81"/>
            <rFont val="Tahoma"/>
            <family val="2"/>
          </rPr>
          <t xml:space="preserve">
2/10: $10-$11M</t>
        </r>
      </text>
    </comment>
    <comment ref="CL81" authorId="3">
      <text>
        <r>
          <rPr>
            <b/>
            <sz val="8"/>
            <color indexed="81"/>
            <rFont val="Tahoma"/>
            <family val="2"/>
          </rPr>
          <t>lauraro:</t>
        </r>
        <r>
          <rPr>
            <sz val="8"/>
            <color indexed="81"/>
            <rFont val="Tahoma"/>
            <family val="2"/>
          </rPr>
          <t xml:space="preserve">
2/11: We exp $10-$11</t>
        </r>
      </text>
    </comment>
    <comment ref="CP81" authorId="3">
      <text>
        <r>
          <rPr>
            <b/>
            <sz val="8"/>
            <color indexed="81"/>
            <rFont val="Tahoma"/>
            <family val="2"/>
          </rPr>
          <t>lauraro:</t>
        </r>
        <r>
          <rPr>
            <sz val="8"/>
            <color indexed="81"/>
            <rFont val="Tahoma"/>
            <family val="2"/>
          </rPr>
          <t xml:space="preserve">
7-8M</t>
        </r>
      </text>
    </comment>
    <comment ref="CT81" authorId="5">
      <text>
        <r>
          <rPr>
            <b/>
            <sz val="8"/>
            <color indexed="81"/>
            <rFont val="Tahoma"/>
            <family val="2"/>
          </rPr>
          <t xml:space="preserve">2/28/2013 guidance: </t>
        </r>
        <r>
          <rPr>
            <sz val="8"/>
            <color indexed="81"/>
            <rFont val="Tahoma"/>
            <family val="2"/>
          </rPr>
          <t>$7M</t>
        </r>
      </text>
    </comment>
    <comment ref="CX81" authorId="6">
      <text>
        <r>
          <rPr>
            <b/>
            <sz val="8"/>
            <color indexed="81"/>
            <rFont val="Tahoma"/>
            <family val="2"/>
          </rPr>
          <t>2/25/14 guidnce:</t>
        </r>
        <r>
          <rPr>
            <sz val="8"/>
            <color indexed="81"/>
            <rFont val="Tahoma"/>
            <family val="2"/>
          </rPr>
          <t xml:space="preserve"> $9M</t>
        </r>
        <r>
          <rPr>
            <sz val="8"/>
            <color indexed="81"/>
            <rFont val="Tahoma"/>
            <family val="2"/>
          </rPr>
          <t xml:space="preserve">
</t>
        </r>
      </text>
    </comment>
    <comment ref="DB81" authorId="7">
      <text>
        <r>
          <rPr>
            <b/>
            <sz val="9"/>
            <color indexed="81"/>
            <rFont val="Tahoma"/>
            <family val="2"/>
          </rPr>
          <t>Turley, Amber (Research):</t>
        </r>
        <r>
          <rPr>
            <sz val="9"/>
            <color indexed="81"/>
            <rFont val="Tahoma"/>
            <family val="2"/>
          </rPr>
          <t xml:space="preserve">
</t>
        </r>
        <r>
          <rPr>
            <b/>
            <sz val="9"/>
            <color indexed="81"/>
            <rFont val="Tahoma"/>
            <family val="2"/>
          </rPr>
          <t xml:space="preserve">2/25/15 guidance: </t>
        </r>
        <r>
          <rPr>
            <sz val="9"/>
            <color indexed="81"/>
            <rFont val="Tahoma"/>
            <family val="2"/>
          </rPr>
          <t xml:space="preserve"> $11M interest</t>
        </r>
      </text>
    </comment>
    <comment ref="DF81" authorId="9">
      <text>
        <r>
          <rPr>
            <b/>
            <sz val="9"/>
            <color indexed="81"/>
            <rFont val="Tahoma"/>
            <family val="2"/>
          </rPr>
          <t>Baglione, Gregory  (Research):</t>
        </r>
        <r>
          <rPr>
            <sz val="9"/>
            <color indexed="81"/>
            <rFont val="Tahoma"/>
            <family val="2"/>
          </rPr>
          <t xml:space="preserve">
2/24/16
Guidance $13m</t>
        </r>
      </text>
    </comment>
    <comment ref="DJ81" authorId="10">
      <text>
        <r>
          <rPr>
            <b/>
            <sz val="9"/>
            <color indexed="81"/>
            <rFont val="Tahoma"/>
            <family val="2"/>
          </rPr>
          <t>Roberts, Cynthia (Research):</t>
        </r>
        <r>
          <rPr>
            <sz val="9"/>
            <color indexed="81"/>
            <rFont val="Tahoma"/>
            <family val="2"/>
          </rPr>
          <t xml:space="preserve">
2/22/17: Guidance: $10M</t>
        </r>
      </text>
    </comment>
    <comment ref="DN81" authorId="10">
      <text>
        <r>
          <rPr>
            <b/>
            <sz val="9"/>
            <color indexed="81"/>
            <rFont val="Tahoma"/>
            <family val="2"/>
          </rPr>
          <t>Roberts, Cynthia (Research):</t>
        </r>
        <r>
          <rPr>
            <sz val="9"/>
            <color indexed="81"/>
            <rFont val="Tahoma"/>
            <family val="2"/>
          </rPr>
          <t xml:space="preserve">
2/28/18: Guidance $5M</t>
        </r>
      </text>
    </comment>
    <comment ref="BR82" authorId="2">
      <text>
        <r>
          <rPr>
            <b/>
            <sz val="8"/>
            <color indexed="81"/>
            <rFont val="Tahoma"/>
            <family val="2"/>
          </rPr>
          <t>mm98285:</t>
        </r>
        <r>
          <rPr>
            <sz val="8"/>
            <color indexed="81"/>
            <rFont val="Tahoma"/>
            <family val="2"/>
          </rPr>
          <t xml:space="preserve">
5/06: guided to $6m-$7m</t>
        </r>
      </text>
    </comment>
    <comment ref="BZ82" authorId="2">
      <text>
        <r>
          <rPr>
            <b/>
            <sz val="8"/>
            <color indexed="81"/>
            <rFont val="Tahoma"/>
            <family val="2"/>
          </rPr>
          <t>mm98285:</t>
        </r>
        <r>
          <rPr>
            <sz val="8"/>
            <color indexed="81"/>
            <rFont val="Tahoma"/>
            <family val="2"/>
          </rPr>
          <t xml:space="preserve">
interest income: $6.5M
The additional interest income LY was
due to higher cash balances available for investment, as a result of the temporary suspension of stock buyback program for most of the fiscal 2008 first quarter as well as higher interest rates.</t>
        </r>
      </text>
    </comment>
    <comment ref="CD82" authorId="2">
      <text>
        <r>
          <rPr>
            <b/>
            <sz val="8"/>
            <color indexed="81"/>
            <rFont val="Tahoma"/>
            <family val="2"/>
          </rPr>
          <t>mm98285:</t>
        </r>
        <r>
          <rPr>
            <sz val="8"/>
            <color indexed="81"/>
            <rFont val="Tahoma"/>
            <family val="2"/>
          </rPr>
          <t xml:space="preserve">
interest income of $2.4M vs. $6.5M LY 
5/09: $7-9M
4/7/09: replace $365M zero coupon (with effective interest rate fo ~2%) with $375M at 6.95%</t>
        </r>
      </text>
    </comment>
    <comment ref="CH82" authorId="2">
      <text>
        <r>
          <rPr>
            <sz val="8"/>
            <color indexed="81"/>
            <rFont val="Tahoma"/>
            <family val="2"/>
          </rPr>
          <t>interest income $1.897M vs. $2.380 LY
5/10: $10-$11M</t>
        </r>
        <r>
          <rPr>
            <b/>
            <sz val="8"/>
            <color indexed="81"/>
            <rFont val="Tahoma"/>
            <family val="2"/>
          </rPr>
          <t xml:space="preserve">
mm98285:</t>
        </r>
        <r>
          <rPr>
            <sz val="8"/>
            <color indexed="81"/>
            <rFont val="Tahoma"/>
            <family val="2"/>
          </rPr>
          <t xml:space="preserve">
2/10: $10-$11M</t>
        </r>
      </text>
    </comment>
    <comment ref="CP82" authorId="3">
      <text>
        <r>
          <rPr>
            <b/>
            <sz val="8"/>
            <color indexed="81"/>
            <rFont val="Tahoma"/>
            <family val="2"/>
          </rPr>
          <t>lauraro:</t>
        </r>
        <r>
          <rPr>
            <sz val="8"/>
            <color indexed="81"/>
            <rFont val="Tahoma"/>
            <family val="2"/>
          </rPr>
          <t xml:space="preserve">
$8-9M</t>
        </r>
      </text>
    </comment>
    <comment ref="CT82" authorId="5">
      <text>
        <r>
          <rPr>
            <b/>
            <sz val="8"/>
            <color indexed="81"/>
            <rFont val="Tahoma"/>
            <family val="2"/>
          </rPr>
          <t xml:space="preserve">5/21/2013 guidance: </t>
        </r>
        <r>
          <rPr>
            <sz val="8"/>
            <color indexed="81"/>
            <rFont val="Tahoma"/>
            <family val="2"/>
          </rPr>
          <t>$9M</t>
        </r>
      </text>
    </comment>
    <comment ref="DB82" authorId="8">
      <text>
        <r>
          <rPr>
            <b/>
            <sz val="9"/>
            <color indexed="81"/>
            <rFont val="Tahoma"/>
            <family val="2"/>
          </rPr>
          <t>Mains, Spencer (Research):</t>
        </r>
        <r>
          <rPr>
            <sz val="9"/>
            <color indexed="81"/>
            <rFont val="Tahoma"/>
            <family val="2"/>
          </rPr>
          <t xml:space="preserve">
5/19/15: Expect 12mm</t>
        </r>
      </text>
    </comment>
    <comment ref="DF82" authorId="9">
      <text>
        <r>
          <rPr>
            <b/>
            <sz val="9"/>
            <color indexed="81"/>
            <rFont val="Tahoma"/>
            <family val="2"/>
          </rPr>
          <t>Baglione, Gregory  (Research):</t>
        </r>
        <r>
          <rPr>
            <sz val="9"/>
            <color indexed="81"/>
            <rFont val="Tahoma"/>
            <family val="2"/>
          </rPr>
          <t xml:space="preserve">
5/17/16
Guidance $11M</t>
        </r>
      </text>
    </comment>
    <comment ref="DJ82" authorId="10">
      <text>
        <r>
          <rPr>
            <b/>
            <sz val="9"/>
            <color indexed="81"/>
            <rFont val="Tahoma"/>
            <family val="2"/>
          </rPr>
          <t>Roberts, Cynthia (Research):</t>
        </r>
        <r>
          <rPr>
            <sz val="9"/>
            <color indexed="81"/>
            <rFont val="Tahoma"/>
            <family val="2"/>
          </rPr>
          <t xml:space="preserve">
5/16/17: Guidance $10M</t>
        </r>
      </text>
    </comment>
    <comment ref="BN83" authorId="1">
      <text>
        <r>
          <rPr>
            <b/>
            <sz val="8"/>
            <color indexed="81"/>
            <rFont val="Tahoma"/>
            <family val="2"/>
          </rPr>
          <t>Morry Brown:</t>
        </r>
        <r>
          <rPr>
            <sz val="8"/>
            <color indexed="81"/>
            <rFont val="Tahoma"/>
            <family val="2"/>
          </rPr>
          <t xml:space="preserve">
8.0</t>
        </r>
      </text>
    </comment>
    <comment ref="BR83" authorId="2">
      <text>
        <r>
          <rPr>
            <b/>
            <sz val="8"/>
            <color indexed="81"/>
            <rFont val="Tahoma"/>
            <family val="2"/>
          </rPr>
          <t>mm98285:</t>
        </r>
        <r>
          <rPr>
            <sz val="8"/>
            <color indexed="81"/>
            <rFont val="Tahoma"/>
            <family val="2"/>
          </rPr>
          <t xml:space="preserve">
8/06: guided to $8m-$9m</t>
        </r>
      </text>
    </comment>
    <comment ref="BZ83" authorId="2">
      <text>
        <r>
          <rPr>
            <b/>
            <sz val="8"/>
            <color indexed="81"/>
            <rFont val="Tahoma"/>
            <family val="2"/>
          </rPr>
          <t>mm98285:</t>
        </r>
        <r>
          <rPr>
            <sz val="8"/>
            <color indexed="81"/>
            <rFont val="Tahoma"/>
            <family val="2"/>
          </rPr>
          <t xml:space="preserve">
10Q: reduction in interest income to $3.4mm vs. $7.3mm LY; The add'l interest income LY was due to higher cash balances available for investment &amp; higher interest rates</t>
        </r>
      </text>
    </comment>
    <comment ref="CD83" authorId="2">
      <text>
        <r>
          <rPr>
            <b/>
            <sz val="8"/>
            <color indexed="81"/>
            <rFont val="Tahoma"/>
            <family val="2"/>
          </rPr>
          <t>mm98285:</t>
        </r>
        <r>
          <rPr>
            <sz val="8"/>
            <color indexed="81"/>
            <rFont val="Tahoma"/>
            <family val="2"/>
          </rPr>
          <t xml:space="preserve">
Interest income: $1.9M vs. $3.4M LY (lower rates on investments partially offset by higher cash); higher interest exp given new notes issued
8/09: $12-$14M
7/09: $375M due 2019 at 6.95% + $400M due 2015 at 4.2%
replace $365M zero coupon with $375M at 6.95% (assume 1.5% increase in rate)</t>
        </r>
      </text>
    </comment>
    <comment ref="CH83" authorId="2">
      <text>
        <r>
          <rPr>
            <b/>
            <sz val="8"/>
            <color indexed="81"/>
            <rFont val="Tahoma"/>
            <family val="2"/>
          </rPr>
          <t>8/10:</t>
        </r>
        <r>
          <rPr>
            <sz val="8"/>
            <color indexed="81"/>
            <rFont val="Tahoma"/>
            <family val="2"/>
          </rPr>
          <t xml:space="preserve"> mgmt guided to $10-$11M
</t>
        </r>
        <r>
          <rPr>
            <b/>
            <sz val="8"/>
            <color indexed="81"/>
            <rFont val="Tahoma"/>
            <family val="2"/>
          </rPr>
          <t>mm98285:</t>
        </r>
        <r>
          <rPr>
            <sz val="8"/>
            <color indexed="81"/>
            <rFont val="Tahoma"/>
            <family val="2"/>
          </rPr>
          <t xml:space="preserve">
2/10: $10-$11M</t>
        </r>
      </text>
    </comment>
    <comment ref="CL83" authorId="3">
      <text>
        <r>
          <rPr>
            <b/>
            <sz val="8"/>
            <color indexed="81"/>
            <rFont val="Tahoma"/>
            <family val="2"/>
          </rPr>
          <t>lauraro:</t>
        </r>
        <r>
          <rPr>
            <sz val="8"/>
            <color indexed="81"/>
            <rFont val="Tahoma"/>
            <family val="2"/>
          </rPr>
          <t xml:space="preserve">
8/16/11: $10M</t>
        </r>
      </text>
    </comment>
    <comment ref="CP83" authorId="5">
      <text>
        <r>
          <rPr>
            <b/>
            <sz val="8"/>
            <color indexed="81"/>
            <rFont val="Tahoma"/>
            <family val="2"/>
          </rPr>
          <t xml:space="preserve">8/14/12: </t>
        </r>
        <r>
          <rPr>
            <sz val="8"/>
            <color indexed="81"/>
            <rFont val="Tahoma"/>
            <family val="2"/>
          </rPr>
          <t>$8-9M</t>
        </r>
      </text>
    </comment>
    <comment ref="CT83" authorId="15">
      <text>
        <r>
          <rPr>
            <b/>
            <sz val="8"/>
            <color indexed="81"/>
            <rFont val="Tahoma"/>
            <family val="2"/>
          </rPr>
          <t>solejay:</t>
        </r>
        <r>
          <rPr>
            <sz val="8"/>
            <color indexed="81"/>
            <rFont val="Tahoma"/>
            <family val="2"/>
          </rPr>
          <t xml:space="preserve">
8/20/2013 guide = approximately $9M</t>
        </r>
      </text>
    </comment>
    <comment ref="DF83" authorId="9">
      <text>
        <r>
          <rPr>
            <b/>
            <sz val="9"/>
            <color indexed="81"/>
            <rFont val="Tahoma"/>
            <family val="2"/>
          </rPr>
          <t>Baglione, Gregory  (Research):</t>
        </r>
        <r>
          <rPr>
            <sz val="9"/>
            <color indexed="81"/>
            <rFont val="Tahoma"/>
            <family val="2"/>
          </rPr>
          <t xml:space="preserve">
8/16/16
$11M guidance</t>
        </r>
      </text>
    </comment>
    <comment ref="DJ83" authorId="10">
      <text>
        <r>
          <rPr>
            <b/>
            <sz val="9"/>
            <color indexed="81"/>
            <rFont val="Tahoma"/>
            <family val="2"/>
          </rPr>
          <t>Roberts, Cynthia (Research):</t>
        </r>
        <r>
          <rPr>
            <sz val="9"/>
            <color indexed="81"/>
            <rFont val="Tahoma"/>
            <family val="2"/>
          </rPr>
          <t xml:space="preserve">
8/15/17: Guidance $10M</t>
        </r>
      </text>
    </comment>
    <comment ref="BR84" authorId="2">
      <text>
        <r>
          <rPr>
            <b/>
            <sz val="8"/>
            <color indexed="81"/>
            <rFont val="Tahoma"/>
            <family val="2"/>
          </rPr>
          <t>mm98285:</t>
        </r>
        <r>
          <rPr>
            <sz val="8"/>
            <color indexed="81"/>
            <rFont val="Tahoma"/>
            <family val="2"/>
          </rPr>
          <t xml:space="preserve">
11/06: expect to be flat</t>
        </r>
      </text>
    </comment>
    <comment ref="CD84" authorId="2">
      <text>
        <r>
          <rPr>
            <b/>
            <sz val="8"/>
            <color indexed="81"/>
            <rFont val="Tahoma"/>
            <family val="2"/>
          </rPr>
          <t>mm98285:</t>
        </r>
        <r>
          <rPr>
            <sz val="8"/>
            <color indexed="81"/>
            <rFont val="Tahoma"/>
            <family val="2"/>
          </rPr>
          <t xml:space="preserve">
11/09: $10-11M
replace $365M zero coupon with $375M at 6.95% (assume 1.5% increase in rate)</t>
        </r>
      </text>
    </comment>
    <comment ref="CH84" authorId="3">
      <text>
        <r>
          <rPr>
            <b/>
            <sz val="8"/>
            <color indexed="81"/>
            <rFont val="Tahoma"/>
            <family val="2"/>
          </rPr>
          <t>lauraro:</t>
        </r>
        <r>
          <rPr>
            <sz val="8"/>
            <color indexed="81"/>
            <rFont val="Tahoma"/>
            <family val="2"/>
          </rPr>
          <t xml:space="preserve">
11/10: $8-9M</t>
        </r>
      </text>
    </comment>
    <comment ref="CL84" authorId="3">
      <text>
        <r>
          <rPr>
            <b/>
            <sz val="8"/>
            <color indexed="81"/>
            <rFont val="Tahoma"/>
            <family val="2"/>
          </rPr>
          <t>lauraro:</t>
        </r>
        <r>
          <rPr>
            <sz val="8"/>
            <color indexed="81"/>
            <rFont val="Tahoma"/>
            <family val="2"/>
          </rPr>
          <t xml:space="preserve">
$8-9M</t>
        </r>
      </text>
    </comment>
    <comment ref="CP84" authorId="5">
      <text>
        <r>
          <rPr>
            <b/>
            <sz val="8"/>
            <color indexed="81"/>
            <rFont val="Tahoma"/>
            <family val="2"/>
          </rPr>
          <t>11/13/2012: $</t>
        </r>
        <r>
          <rPr>
            <sz val="8"/>
            <color indexed="81"/>
            <rFont val="Tahoma"/>
            <family val="2"/>
          </rPr>
          <t>7M</t>
        </r>
      </text>
    </comment>
    <comment ref="CT84" authorId="6">
      <text>
        <r>
          <rPr>
            <b/>
            <sz val="8"/>
            <color indexed="81"/>
            <rFont val="Tahoma"/>
            <family val="2"/>
          </rPr>
          <t xml:space="preserve">11/19/13: </t>
        </r>
        <r>
          <rPr>
            <sz val="8"/>
            <color indexed="81"/>
            <rFont val="Tahoma"/>
            <family val="2"/>
          </rPr>
          <t>guidance $10M</t>
        </r>
        <r>
          <rPr>
            <sz val="8"/>
            <color indexed="81"/>
            <rFont val="Tahoma"/>
            <family val="2"/>
          </rPr>
          <t xml:space="preserve">
</t>
        </r>
      </text>
    </comment>
    <comment ref="CX84" authorId="16">
      <text>
        <r>
          <rPr>
            <b/>
            <sz val="9"/>
            <color indexed="81"/>
            <rFont val="Tahoma"/>
            <family val="2"/>
          </rPr>
          <t>11/18/14 guidance: $11M</t>
        </r>
        <r>
          <rPr>
            <sz val="9"/>
            <color indexed="81"/>
            <rFont val="Tahoma"/>
            <family val="2"/>
          </rPr>
          <t xml:space="preserve">
</t>
        </r>
      </text>
    </comment>
    <comment ref="DB84" authorId="9">
      <text>
        <r>
          <rPr>
            <b/>
            <sz val="9"/>
            <color indexed="81"/>
            <rFont val="Tahoma"/>
            <family val="2"/>
          </rPr>
          <t>Baglione, Gregory  (Research):</t>
        </r>
        <r>
          <rPr>
            <sz val="9"/>
            <color indexed="81"/>
            <rFont val="Tahoma"/>
            <family val="2"/>
          </rPr>
          <t xml:space="preserve">
11/17/15
Updated guidance $13M </t>
        </r>
      </text>
    </comment>
    <comment ref="DF84" authorId="18">
      <text>
        <r>
          <rPr>
            <b/>
            <sz val="9"/>
            <color indexed="81"/>
            <rFont val="Tahoma"/>
            <family val="2"/>
          </rPr>
          <t>Baglione, Gregory (Research):</t>
        </r>
        <r>
          <rPr>
            <sz val="9"/>
            <color indexed="81"/>
            <rFont val="Tahoma"/>
            <family val="2"/>
          </rPr>
          <t xml:space="preserve">
11/16/16
For modeling purposes, we're anticipating a tax
rate of 38.3% and net interest expense of about $10 million.</t>
        </r>
      </text>
    </comment>
    <comment ref="DJ84" authorId="10">
      <text>
        <r>
          <rPr>
            <b/>
            <sz val="9"/>
            <color indexed="81"/>
            <rFont val="Tahoma"/>
            <family val="2"/>
          </rPr>
          <t>Roberts, Cynthia (Research):</t>
        </r>
        <r>
          <rPr>
            <sz val="9"/>
            <color indexed="81"/>
            <rFont val="Tahoma"/>
            <family val="2"/>
          </rPr>
          <t xml:space="preserve">
11/14/17: Guidance $8M</t>
        </r>
      </text>
    </comment>
    <comment ref="BN85" authorId="1">
      <text>
        <r>
          <rPr>
            <b/>
            <sz val="8"/>
            <color indexed="81"/>
            <rFont val="Tahoma"/>
            <family val="2"/>
          </rPr>
          <t>Morry Brown:</t>
        </r>
        <r>
          <rPr>
            <sz val="8"/>
            <color indexed="81"/>
            <rFont val="Tahoma"/>
            <family val="2"/>
          </rPr>
          <t xml:space="preserve">
2/23 guided to 24-25mm</t>
        </r>
      </text>
    </comment>
    <comment ref="BR85" authorId="25">
      <text>
        <r>
          <rPr>
            <b/>
            <sz val="8"/>
            <color indexed="81"/>
            <rFont val="Tahoma"/>
            <family val="2"/>
          </rPr>
          <t>MB33100:</t>
        </r>
        <r>
          <rPr>
            <sz val="8"/>
            <color indexed="81"/>
            <rFont val="Tahoma"/>
            <family val="2"/>
          </rPr>
          <t xml:space="preserve">
10K: interest income $23.6M
2/06 guided to $30mm on 4Q conf call</t>
        </r>
      </text>
    </comment>
    <comment ref="BV85" authorId="2">
      <text>
        <r>
          <rPr>
            <b/>
            <sz val="8"/>
            <color indexed="81"/>
            <rFont val="Tahoma"/>
            <family val="2"/>
          </rPr>
          <t>mm98285:</t>
        </r>
        <r>
          <rPr>
            <sz val="8"/>
            <color indexed="81"/>
            <rFont val="Tahoma"/>
            <family val="2"/>
          </rPr>
          <t xml:space="preserve">
10K: interest income $40.7M (up vs. LY due to higher cash balanes and higher interest rates earned on investments)
2/07: guided to $10m</t>
        </r>
      </text>
    </comment>
    <comment ref="BZ85" authorId="2">
      <text>
        <r>
          <rPr>
            <b/>
            <sz val="8"/>
            <color indexed="81"/>
            <rFont val="Tahoma"/>
            <family val="2"/>
          </rPr>
          <t>mm98285:</t>
        </r>
        <r>
          <rPr>
            <sz val="8"/>
            <color indexed="81"/>
            <rFont val="Tahoma"/>
            <family val="2"/>
          </rPr>
          <t xml:space="preserve">
10K: interest income $22.2M 
2/08: expect $5-6mm expense</t>
        </r>
      </text>
    </comment>
    <comment ref="CD85" authorId="2">
      <text>
        <r>
          <rPr>
            <b/>
            <sz val="8"/>
            <color indexed="81"/>
            <rFont val="Tahoma"/>
            <family val="2"/>
          </rPr>
          <t>mm98285:</t>
        </r>
        <r>
          <rPr>
            <sz val="8"/>
            <color indexed="81"/>
            <rFont val="Tahoma"/>
            <family val="2"/>
          </rPr>
          <t xml:space="preserve">
4/2/09: issued $375M aggregate principal amount of notes due 2019, w/ interest of 6.95% (beg. 4/7/09), w/semi-annual payments beg. 10/15/09. Net proceeds from sale of notes used to redeem zero coupon convertible subordinated notes due 2/2021 or to the extent any such notes are converted to shares of common stock pursuant to their terms prior to redemption, to repurch shares of common stock under TJX's stock repo program (would be in add'n to prev announced expectations for stock repo)</t>
        </r>
      </text>
    </comment>
    <comment ref="CH85" authorId="2">
      <text>
        <r>
          <rPr>
            <b/>
            <sz val="8"/>
            <color indexed="81"/>
            <rFont val="Tahoma"/>
            <family val="2"/>
          </rPr>
          <t>mm98285:</t>
        </r>
        <r>
          <rPr>
            <sz val="8"/>
            <color indexed="81"/>
            <rFont val="Tahoma"/>
            <family val="2"/>
          </rPr>
          <t xml:space="preserve">
2/10: $40M</t>
        </r>
      </text>
    </comment>
    <comment ref="CL85" authorId="3">
      <text>
        <r>
          <rPr>
            <b/>
            <sz val="8"/>
            <color indexed="81"/>
            <rFont val="Tahoma"/>
            <family val="2"/>
          </rPr>
          <t>lauraro:</t>
        </r>
        <r>
          <rPr>
            <sz val="8"/>
            <color indexed="81"/>
            <rFont val="Tahoma"/>
            <family val="2"/>
          </rPr>
          <t xml:space="preserve">
2/11: Exp $40-$42M</t>
        </r>
      </text>
    </comment>
    <comment ref="CP85" authorId="3">
      <text>
        <r>
          <rPr>
            <b/>
            <sz val="8"/>
            <color indexed="81"/>
            <rFont val="Tahoma"/>
            <family val="2"/>
          </rPr>
          <t xml:space="preserve">8/14/2012: </t>
        </r>
        <r>
          <rPr>
            <sz val="8"/>
            <color indexed="81"/>
            <rFont val="Tahoma"/>
            <family val="2"/>
          </rPr>
          <t>$34-$35M</t>
        </r>
        <r>
          <rPr>
            <b/>
            <sz val="8"/>
            <color indexed="81"/>
            <rFont val="Tahoma"/>
            <family val="2"/>
          </rPr>
          <t xml:space="preserve">
lauraro:</t>
        </r>
        <r>
          <rPr>
            <sz val="8"/>
            <color indexed="81"/>
            <rFont val="Tahoma"/>
            <family val="2"/>
          </rPr>
          <t xml:space="preserve">
$30-$31M</t>
        </r>
      </text>
    </comment>
    <comment ref="CT85" authorId="5">
      <text>
        <r>
          <rPr>
            <b/>
            <sz val="8"/>
            <color indexed="81"/>
            <rFont val="Tahoma"/>
            <family val="2"/>
          </rPr>
          <t xml:space="preserve">2/27/2013 guidance: </t>
        </r>
        <r>
          <rPr>
            <sz val="8"/>
            <color indexed="81"/>
            <rFont val="Tahoma"/>
            <family val="2"/>
          </rPr>
          <t>$29M</t>
        </r>
      </text>
    </comment>
    <comment ref="CX85" authorId="6">
      <text>
        <r>
          <rPr>
            <b/>
            <sz val="8"/>
            <color indexed="81"/>
            <rFont val="Tahoma"/>
            <family val="2"/>
          </rPr>
          <t xml:space="preserve">2/25/14 guidance: </t>
        </r>
        <r>
          <rPr>
            <sz val="8"/>
            <color indexed="81"/>
            <rFont val="Tahoma"/>
            <family val="2"/>
          </rPr>
          <t>$35M</t>
        </r>
        <r>
          <rPr>
            <sz val="8"/>
            <color indexed="81"/>
            <rFont val="Tahoma"/>
            <family val="2"/>
          </rPr>
          <t xml:space="preserve">
</t>
        </r>
      </text>
    </comment>
    <comment ref="DB85" authorId="7">
      <text>
        <r>
          <rPr>
            <b/>
            <sz val="9"/>
            <color indexed="81"/>
            <rFont val="Tahoma"/>
            <family val="2"/>
          </rPr>
          <t>Turley, Amber (Research):</t>
        </r>
        <r>
          <rPr>
            <sz val="9"/>
            <color indexed="81"/>
            <rFont val="Tahoma"/>
            <family val="2"/>
          </rPr>
          <t xml:space="preserve">
</t>
        </r>
        <r>
          <rPr>
            <b/>
            <sz val="9"/>
            <color indexed="81"/>
            <rFont val="Tahoma"/>
            <family val="2"/>
          </rPr>
          <t xml:space="preserve">2/25/15 guidance: </t>
        </r>
        <r>
          <rPr>
            <sz val="9"/>
            <color indexed="81"/>
            <rFont val="Tahoma"/>
            <family val="2"/>
          </rPr>
          <t xml:space="preserve"> $42M interest</t>
        </r>
      </text>
    </comment>
    <comment ref="DF85" authorId="9">
      <text>
        <r>
          <rPr>
            <b/>
            <sz val="9"/>
            <color indexed="81"/>
            <rFont val="Tahoma"/>
            <family val="2"/>
          </rPr>
          <t xml:space="preserve">Baglione, Gregory  (Research):
</t>
        </r>
        <r>
          <rPr>
            <sz val="9"/>
            <color indexed="81"/>
            <rFont val="Tahoma"/>
            <family val="2"/>
          </rPr>
          <t>8/16/16
Interest $48M for full year
5/17/16
Expect interest expense ~$54M
5/17/16
$50M</t>
        </r>
      </text>
    </comment>
    <comment ref="DJ85" authorId="10">
      <text>
        <r>
          <rPr>
            <b/>
            <sz val="9"/>
            <color indexed="81"/>
            <rFont val="Tahoma"/>
            <family val="2"/>
          </rPr>
          <t>Roberts, Cynthia (Research):</t>
        </r>
        <r>
          <rPr>
            <sz val="9"/>
            <color indexed="81"/>
            <rFont val="Tahoma"/>
            <family val="2"/>
          </rPr>
          <t xml:space="preserve">
11/14/17: Guidance $35M
8/15/17: Guidance $39M
5/16/17: Guidance $40M 
2/22/17: Guidance: $37M</t>
        </r>
      </text>
    </comment>
    <comment ref="DN85" authorId="10">
      <text>
        <r>
          <rPr>
            <b/>
            <sz val="9"/>
            <color indexed="81"/>
            <rFont val="Tahoma"/>
            <family val="2"/>
          </rPr>
          <t>Roberts, Cynthia (Research):</t>
        </r>
        <r>
          <rPr>
            <sz val="9"/>
            <color indexed="81"/>
            <rFont val="Tahoma"/>
            <family val="2"/>
          </rPr>
          <t xml:space="preserve">
2/28/18: Guidance $26M</t>
        </r>
      </text>
    </comment>
    <comment ref="BV91" authorId="2">
      <text>
        <r>
          <rPr>
            <b/>
            <sz val="8"/>
            <color indexed="81"/>
            <rFont val="Tahoma"/>
            <family val="2"/>
          </rPr>
          <t>mm98285:</t>
        </r>
        <r>
          <rPr>
            <sz val="8"/>
            <color indexed="81"/>
            <rFont val="Tahoma"/>
            <family val="2"/>
          </rPr>
          <t xml:space="preserve">
2/07: guided to $282-296m</t>
        </r>
      </text>
    </comment>
    <comment ref="BW91" authorId="2">
      <text>
        <r>
          <rPr>
            <b/>
            <sz val="8"/>
            <color indexed="81"/>
            <rFont val="Tahoma"/>
            <family val="2"/>
          </rPr>
          <t>mm98285:</t>
        </r>
        <r>
          <rPr>
            <sz val="8"/>
            <color indexed="81"/>
            <rFont val="Tahoma"/>
            <family val="2"/>
          </rPr>
          <t xml:space="preserve">
2/07: guided to 6.8-7.1%</t>
        </r>
      </text>
    </comment>
    <comment ref="CI91" authorId="2">
      <text>
        <r>
          <rPr>
            <b/>
            <sz val="8"/>
            <color indexed="81"/>
            <rFont val="Tahoma"/>
            <family val="2"/>
          </rPr>
          <t>mm98285:</t>
        </r>
        <r>
          <rPr>
            <sz val="8"/>
            <color indexed="81"/>
            <rFont val="Tahoma"/>
            <family val="2"/>
          </rPr>
          <t xml:space="preserve">
2/10: 8.9-9.0%</t>
        </r>
      </text>
    </comment>
    <comment ref="CL91" authorId="3">
      <text>
        <r>
          <rPr>
            <b/>
            <sz val="8"/>
            <color indexed="81"/>
            <rFont val="Tahoma"/>
            <family val="2"/>
          </rPr>
          <t>lauraro:</t>
        </r>
        <r>
          <rPr>
            <sz val="8"/>
            <color indexed="81"/>
            <rFont val="Tahoma"/>
            <family val="2"/>
          </rPr>
          <t xml:space="preserve">
12/10: While the estimated run-rate benefits of consolidating A.J. Wright are significant, the Company expects this action will negatively impact results in the first quarter of fiscal 2012 due to three items. </t>
        </r>
        <r>
          <rPr>
            <b/>
            <sz val="8"/>
            <color indexed="81"/>
            <rFont val="Tahoma"/>
            <family val="2"/>
          </rPr>
          <t>1)</t>
        </r>
        <r>
          <rPr>
            <sz val="8"/>
            <color indexed="81"/>
            <rFont val="Tahoma"/>
            <family val="2"/>
          </rPr>
          <t xml:space="preserve"> a portion</t>
        </r>
        <r>
          <rPr>
            <b/>
            <sz val="8"/>
            <color indexed="81"/>
            <rFont val="Tahoma"/>
            <family val="2"/>
          </rPr>
          <t xml:space="preserve"> ($75-80M)</t>
        </r>
        <r>
          <rPr>
            <sz val="8"/>
            <color indexed="81"/>
            <rFont val="Tahoma"/>
            <family val="2"/>
          </rPr>
          <t xml:space="preserve"> of the non-recurring costs to close A.J. Wright will be recorded in the first quarter of fiscal 2012. </t>
        </r>
        <r>
          <rPr>
            <b/>
            <sz val="8"/>
            <color indexed="81"/>
            <rFont val="Tahoma"/>
            <family val="2"/>
          </rPr>
          <t>2)</t>
        </r>
        <r>
          <rPr>
            <sz val="8"/>
            <color indexed="81"/>
            <rFont val="Tahoma"/>
            <family val="2"/>
          </rPr>
          <t xml:space="preserve">, the Company will record non-recurring costs </t>
        </r>
        <r>
          <rPr>
            <b/>
            <sz val="8"/>
            <color indexed="81"/>
            <rFont val="Tahoma"/>
            <family val="2"/>
          </rPr>
          <t>($20-25M)</t>
        </r>
        <r>
          <rPr>
            <sz val="8"/>
            <color indexed="81"/>
            <rFont val="Tahoma"/>
            <family val="2"/>
          </rPr>
          <t xml:space="preserve"> related to the conversion of the 91 A.J. Wright stores (primarily store payroll and occupancy costs during the approximate eight-week period in which the stores are closed) and the costs related to grand opening events when the stores re-open. </t>
        </r>
        <r>
          <rPr>
            <b/>
            <sz val="8"/>
            <color indexed="81"/>
            <rFont val="Tahoma"/>
            <family val="2"/>
          </rPr>
          <t>3)</t>
        </r>
        <r>
          <rPr>
            <sz val="8"/>
            <color indexed="81"/>
            <rFont val="Tahoma"/>
            <family val="2"/>
          </rPr>
          <t xml:space="preserve"> A.J. Wright earned segment profit in the first quarter of fiscal 2011 of </t>
        </r>
        <r>
          <rPr>
            <b/>
            <sz val="8"/>
            <color indexed="81"/>
            <rFont val="Tahoma"/>
            <family val="2"/>
          </rPr>
          <t>$10M</t>
        </r>
        <r>
          <rPr>
            <sz val="8"/>
            <color indexed="81"/>
            <rFont val="Tahoma"/>
            <family val="2"/>
          </rPr>
          <t xml:space="preserve">  that will not be repeated in fiscal 2012 or replaced in the fiscal 2012 first quarter with sales from the converted stores. </t>
        </r>
      </text>
    </comment>
    <comment ref="CM91" authorId="3">
      <text>
        <r>
          <rPr>
            <b/>
            <sz val="8"/>
            <color indexed="81"/>
            <rFont val="Tahoma"/>
            <family val="2"/>
          </rPr>
          <t>lauraro:</t>
        </r>
        <r>
          <rPr>
            <sz val="8"/>
            <color indexed="81"/>
            <rFont val="Tahoma"/>
            <family val="2"/>
          </rPr>
          <t xml:space="preserve">
2/11: Exp 9.5-10.1%, 
Down 60-120bps. At high end of range the decline is due to 50-60bps decline as a result of further deleverage from Euro biz, loss of AJW sales without full impact of converted store sales on top of heavier heacount earlier in the year as talent from AJW absorbed.
At low end of range decline driven by above factors + deleverage from 1% comp increase.</t>
        </r>
      </text>
    </comment>
    <comment ref="CQ91" authorId="3">
      <text>
        <r>
          <rPr>
            <b/>
            <sz val="8"/>
            <color indexed="81"/>
            <rFont val="Tahoma"/>
            <family val="2"/>
          </rPr>
          <t>lauraro:</t>
        </r>
        <r>
          <rPr>
            <sz val="8"/>
            <color indexed="81"/>
            <rFont val="Tahoma"/>
            <family val="2"/>
          </rPr>
          <t xml:space="preserve">
2/22/12: 10.1-10.4%</t>
        </r>
      </text>
    </comment>
    <comment ref="CU91" authorId="5">
      <text>
        <r>
          <rPr>
            <b/>
            <sz val="8"/>
            <color indexed="81"/>
            <rFont val="Tahoma"/>
            <family val="2"/>
          </rPr>
          <t xml:space="preserve">2/27/2013 guidance: </t>
        </r>
        <r>
          <rPr>
            <sz val="8"/>
            <color indexed="81"/>
            <rFont val="Tahoma"/>
            <family val="2"/>
          </rPr>
          <t>+11.4%-11.8%</t>
        </r>
      </text>
    </comment>
    <comment ref="CY91" authorId="6">
      <text>
        <r>
          <rPr>
            <b/>
            <sz val="8"/>
            <color indexed="81"/>
            <rFont val="Tahoma"/>
            <family val="2"/>
          </rPr>
          <t xml:space="preserve">2/25/14: </t>
        </r>
        <r>
          <rPr>
            <sz val="8"/>
            <color indexed="81"/>
            <rFont val="Tahoma"/>
            <family val="2"/>
          </rPr>
          <t>11.4%-11.5%. Down 30-40 bps</t>
        </r>
        <r>
          <rPr>
            <sz val="8"/>
            <color indexed="81"/>
            <rFont val="Tahoma"/>
            <family val="2"/>
          </rPr>
          <t xml:space="preserve">
</t>
        </r>
      </text>
    </comment>
    <comment ref="DG91" authorId="9">
      <text>
        <r>
          <rPr>
            <b/>
            <sz val="9"/>
            <color indexed="81"/>
            <rFont val="Tahoma"/>
            <family val="2"/>
          </rPr>
          <t>Baglione, Gregory  (Research):</t>
        </r>
        <r>
          <rPr>
            <sz val="9"/>
            <color indexed="81"/>
            <rFont val="Tahoma"/>
            <family val="2"/>
          </rPr>
          <t xml:space="preserve">
2/24/16
First quarter pretax profit margin is planned in the 10.2% to 10.4% range versus 11.1% the rear year.</t>
        </r>
      </text>
    </comment>
    <comment ref="DK91" authorId="10">
      <text>
        <r>
          <rPr>
            <b/>
            <sz val="9"/>
            <color indexed="81"/>
            <rFont val="Tahoma"/>
            <family val="2"/>
          </rPr>
          <t>Roberts, Cynthia (Research):</t>
        </r>
        <r>
          <rPr>
            <sz val="9"/>
            <color indexed="81"/>
            <rFont val="Tahoma"/>
            <family val="2"/>
          </rPr>
          <t xml:space="preserve">
2/22/17: Guidance: 10.3-10.5%</t>
        </r>
      </text>
    </comment>
    <comment ref="DO91" authorId="10">
      <text>
        <r>
          <rPr>
            <b/>
            <sz val="9"/>
            <color indexed="81"/>
            <rFont val="Tahoma"/>
            <family val="2"/>
          </rPr>
          <t>Roberts, Cynthia (Research):</t>
        </r>
        <r>
          <rPr>
            <sz val="9"/>
            <color indexed="81"/>
            <rFont val="Tahoma"/>
            <family val="2"/>
          </rPr>
          <t xml:space="preserve">
2/28/18: Guidance 10.0-10.2%</t>
        </r>
      </text>
    </comment>
    <comment ref="BW92" authorId="12">
      <text>
        <r>
          <rPr>
            <b/>
            <sz val="8"/>
            <color indexed="81"/>
            <rFont val="Tahoma"/>
            <family val="2"/>
          </rPr>
          <t>oc48540:</t>
        </r>
        <r>
          <rPr>
            <sz val="8"/>
            <color indexed="81"/>
            <rFont val="Tahoma"/>
            <family val="2"/>
          </rPr>
          <t xml:space="preserve">
1Q07- Guided to 5.8-6.1% (flat to up 30bps)</t>
        </r>
      </text>
    </comment>
    <comment ref="CI92" authorId="14">
      <text>
        <r>
          <rPr>
            <b/>
            <sz val="8"/>
            <color indexed="81"/>
            <rFont val="Tahoma"/>
            <family val="2"/>
          </rPr>
          <t>lr73192:</t>
        </r>
        <r>
          <rPr>
            <sz val="8"/>
            <color indexed="81"/>
            <rFont val="Tahoma"/>
            <family val="2"/>
          </rPr>
          <t xml:space="preserve">
5/10: mgmt guided to 8.9-9.4%</t>
        </r>
      </text>
    </comment>
    <comment ref="CL92" authorId="3">
      <text>
        <r>
          <rPr>
            <b/>
            <sz val="8"/>
            <color indexed="81"/>
            <rFont val="Tahoma"/>
            <family val="2"/>
          </rPr>
          <t>lauraro:</t>
        </r>
        <r>
          <rPr>
            <sz val="8"/>
            <color indexed="81"/>
            <rFont val="Tahoma"/>
            <family val="2"/>
          </rPr>
          <t xml:space="preserve">
12/10: EPS during 2Q, 3Q, 4Q in FY11 are expected, overall, to be positively impacted by the A.J. Wright consolidation. There are three factors that impact this period. </t>
        </r>
        <r>
          <rPr>
            <b/>
            <sz val="8"/>
            <color indexed="81"/>
            <rFont val="Tahoma"/>
            <family val="2"/>
          </rPr>
          <t xml:space="preserve">1) </t>
        </r>
        <r>
          <rPr>
            <sz val="8"/>
            <color indexed="81"/>
            <rFont val="Tahoma"/>
            <family val="2"/>
          </rPr>
          <t>d</t>
        </r>
        <r>
          <rPr>
            <sz val="8"/>
            <color indexed="81"/>
            <rFont val="Tahoma"/>
            <family val="2"/>
          </rPr>
          <t xml:space="preserve">uring this period, Marmaxx and HomeGoods segment profit is estimated, in aggregate, to be increased by </t>
        </r>
        <r>
          <rPr>
            <b/>
            <sz val="8"/>
            <color indexed="81"/>
            <rFont val="Tahoma"/>
            <family val="2"/>
          </rPr>
          <t>$20M to $25M</t>
        </r>
        <r>
          <rPr>
            <sz val="8"/>
            <color indexed="81"/>
            <rFont val="Tahoma"/>
            <family val="2"/>
          </rPr>
          <t xml:space="preserve"> by this action. </t>
        </r>
        <r>
          <rPr>
            <b/>
            <sz val="8"/>
            <color indexed="81"/>
            <rFont val="Tahoma"/>
            <family val="2"/>
          </rPr>
          <t xml:space="preserve">2) </t>
        </r>
        <r>
          <rPr>
            <sz val="8"/>
            <color indexed="81"/>
            <rFont val="Tahoma"/>
            <family val="2"/>
          </rPr>
          <t xml:space="preserve">A.J. Wright earned </t>
        </r>
        <r>
          <rPr>
            <b/>
            <sz val="8"/>
            <color indexed="81"/>
            <rFont val="Tahoma"/>
            <family val="2"/>
          </rPr>
          <t>$1M</t>
        </r>
        <r>
          <rPr>
            <sz val="8"/>
            <color indexed="81"/>
            <rFont val="Tahoma"/>
            <family val="2"/>
          </rPr>
          <t xml:space="preserve"> in segment profit during the second and third quarters in fiscal 2011, which will not be repeated in fiscal 2012. </t>
        </r>
        <r>
          <rPr>
            <b/>
            <sz val="8"/>
            <color indexed="81"/>
            <rFont val="Tahoma"/>
            <family val="2"/>
          </rPr>
          <t>3)</t>
        </r>
        <r>
          <rPr>
            <sz val="8"/>
            <color indexed="81"/>
            <rFont val="Tahoma"/>
            <family val="2"/>
          </rPr>
          <t xml:space="preserve"> the estimated 4Q operating loss </t>
        </r>
        <r>
          <rPr>
            <b/>
            <sz val="8"/>
            <color indexed="81"/>
            <rFont val="Tahoma"/>
            <family val="2"/>
          </rPr>
          <t>($175-200M)</t>
        </r>
        <r>
          <rPr>
            <sz val="8"/>
            <color indexed="81"/>
            <rFont val="Tahoma"/>
            <family val="2"/>
          </rPr>
          <t xml:space="preserve"> incurred in the 4Q10 (primarily due to the costs of the A.J. Wright closing), will not be repeated in FY11. 
</t>
        </r>
        <r>
          <rPr>
            <b/>
            <sz val="8"/>
            <color indexed="81"/>
            <rFont val="Tahoma"/>
            <family val="2"/>
          </rPr>
          <t>Estimated total benefit: $194-224M (Recurring= $19-24M)</t>
        </r>
      </text>
    </comment>
    <comment ref="CM92" authorId="3">
      <text>
        <r>
          <rPr>
            <b/>
            <sz val="8"/>
            <color indexed="81"/>
            <rFont val="Tahoma"/>
            <family val="2"/>
          </rPr>
          <t xml:space="preserve">5/17/11: </t>
        </r>
        <r>
          <rPr>
            <sz val="8"/>
            <color indexed="81"/>
            <rFont val="Tahoma"/>
            <family val="2"/>
          </rPr>
          <t>Exp 9.5-9.9%</t>
        </r>
        <r>
          <rPr>
            <sz val="8"/>
            <color indexed="81"/>
            <rFont val="Tahoma"/>
            <family val="2"/>
          </rPr>
          <t xml:space="preserve">
</t>
        </r>
        <r>
          <rPr>
            <b/>
            <sz val="8"/>
            <color indexed="81"/>
            <rFont val="Tahoma"/>
            <family val="2"/>
          </rPr>
          <t>2/11:</t>
        </r>
        <r>
          <rPr>
            <sz val="8"/>
            <color indexed="81"/>
            <rFont val="Tahoma"/>
            <family val="2"/>
          </rPr>
          <t xml:space="preserve"> Exp 10-30bp improvement vs LY</t>
        </r>
      </text>
    </comment>
    <comment ref="CP92" authorId="5">
      <text>
        <r>
          <rPr>
            <b/>
            <sz val="8"/>
            <color indexed="81"/>
            <rFont val="Tahoma"/>
            <family val="2"/>
          </rPr>
          <t>8/14/2012</t>
        </r>
        <r>
          <rPr>
            <sz val="8"/>
            <color indexed="81"/>
            <rFont val="Tahoma"/>
            <family val="2"/>
          </rPr>
          <t xml:space="preserve">
M2M impact from derivatives: +$6M
FX impact: -$7M</t>
        </r>
      </text>
    </comment>
    <comment ref="CQ92" authorId="3">
      <text>
        <r>
          <rPr>
            <b/>
            <sz val="8"/>
            <color indexed="81"/>
            <rFont val="Tahoma"/>
            <family val="2"/>
          </rPr>
          <t>8/14/2012:
-</t>
        </r>
        <r>
          <rPr>
            <sz val="8"/>
            <color indexed="81"/>
            <rFont val="Tahoma"/>
            <family val="2"/>
          </rPr>
          <t>10 bps impact from FX
M2M impact from derivatives: +$6M
FX impact: -$7M</t>
        </r>
        <r>
          <rPr>
            <b/>
            <sz val="8"/>
            <color indexed="81"/>
            <rFont val="Tahoma"/>
            <family val="2"/>
          </rPr>
          <t xml:space="preserve">
lauraro:</t>
        </r>
        <r>
          <rPr>
            <sz val="8"/>
            <color indexed="81"/>
            <rFont val="Tahoma"/>
            <family val="2"/>
          </rPr>
          <t xml:space="preserve">
10-10.4%</t>
        </r>
      </text>
    </comment>
    <comment ref="CU92" authorId="5">
      <text>
        <r>
          <rPr>
            <b/>
            <sz val="8"/>
            <color indexed="81"/>
            <rFont val="Tahoma"/>
            <family val="2"/>
          </rPr>
          <t xml:space="preserve">5/21/2013 guidance: </t>
        </r>
        <r>
          <rPr>
            <sz val="8"/>
            <color indexed="81"/>
            <rFont val="Tahoma"/>
            <family val="2"/>
          </rPr>
          <t>11.5-11.7%, flat to +20 bps</t>
        </r>
      </text>
    </comment>
    <comment ref="CX92" authorId="16">
      <text>
        <r>
          <rPr>
            <b/>
            <sz val="9"/>
            <color indexed="81"/>
            <rFont val="Tahoma"/>
            <family val="2"/>
          </rPr>
          <t xml:space="preserve">8/19/14: </t>
        </r>
        <r>
          <rPr>
            <sz val="9"/>
            <color indexed="81"/>
            <rFont val="Tahoma"/>
            <family val="2"/>
          </rPr>
          <t xml:space="preserve">adjustment for 2c debt extinguishment charge
</t>
        </r>
      </text>
    </comment>
    <comment ref="CY92" authorId="16">
      <text>
        <r>
          <rPr>
            <b/>
            <sz val="9"/>
            <color indexed="81"/>
            <rFont val="Tahoma"/>
            <family val="2"/>
          </rPr>
          <t xml:space="preserve">5/20/14 guidance: </t>
        </r>
        <r>
          <rPr>
            <sz val="9"/>
            <color indexed="81"/>
            <rFont val="Tahoma"/>
            <family val="2"/>
          </rPr>
          <t xml:space="preserve">11.7%-12.1%. -30 to +10 bps
</t>
        </r>
      </text>
    </comment>
    <comment ref="DC92" authorId="17">
      <text>
        <r>
          <rPr>
            <b/>
            <sz val="9"/>
            <color indexed="81"/>
            <rFont val="Tahoma"/>
            <family val="2"/>
          </rPr>
          <t>casselau:</t>
        </r>
        <r>
          <rPr>
            <sz val="9"/>
            <color indexed="81"/>
            <rFont val="Tahoma"/>
            <family val="2"/>
          </rPr>
          <t xml:space="preserve">
5/19/15: guidance 11.2-11.4%</t>
        </r>
      </text>
    </comment>
    <comment ref="DG92" authorId="9">
      <text>
        <r>
          <rPr>
            <b/>
            <sz val="9"/>
            <color indexed="81"/>
            <rFont val="Tahoma"/>
            <family val="2"/>
          </rPr>
          <t xml:space="preserve">Baglione, Gregory  (Research):
</t>
        </r>
        <r>
          <rPr>
            <sz val="9"/>
            <color indexed="81"/>
            <rFont val="Tahoma"/>
            <family val="2"/>
          </rPr>
          <t>5/17/16
Second quarter pretax profit margin is planned in the 10.7% to 10.9% range versus 12.0% last year.</t>
        </r>
      </text>
    </comment>
    <comment ref="DK92" authorId="10">
      <text>
        <r>
          <rPr>
            <b/>
            <sz val="9"/>
            <color indexed="81"/>
            <rFont val="Tahoma"/>
            <family val="2"/>
          </rPr>
          <t>Roberts, Cynthia (Research):</t>
        </r>
        <r>
          <rPr>
            <sz val="9"/>
            <color indexed="81"/>
            <rFont val="Tahoma"/>
            <family val="2"/>
          </rPr>
          <t xml:space="preserve">
5/16/17: Guidance 10.3-10.5%</t>
        </r>
      </text>
    </comment>
    <comment ref="CE93" authorId="2">
      <text>
        <r>
          <rPr>
            <b/>
            <sz val="8"/>
            <color indexed="81"/>
            <rFont val="Tahoma"/>
            <family val="2"/>
          </rPr>
          <t>mm98285:</t>
        </r>
        <r>
          <rPr>
            <sz val="8"/>
            <color indexed="81"/>
            <rFont val="Tahoma"/>
            <family val="2"/>
          </rPr>
          <t xml:space="preserve">
pretax margin 10.2-10.4%</t>
        </r>
      </text>
    </comment>
    <comment ref="CI93" authorId="3">
      <text>
        <r>
          <rPr>
            <b/>
            <sz val="8"/>
            <color indexed="81"/>
            <rFont val="Tahoma"/>
            <family val="2"/>
          </rPr>
          <t>lauraro:</t>
        </r>
        <r>
          <rPr>
            <sz val="8"/>
            <color indexed="81"/>
            <rFont val="Tahoma"/>
            <family val="2"/>
          </rPr>
          <t xml:space="preserve">
11/10: would have been +30bps excl FX effect
8/10: mgmt guided to 10.4-10.8% (incl -20 bps from mark-to-market currency adj. on inventory related hedges)</t>
        </r>
      </text>
    </comment>
    <comment ref="CL93" authorId="3">
      <text>
        <r>
          <rPr>
            <b/>
            <sz val="8"/>
            <color indexed="81"/>
            <rFont val="Tahoma"/>
            <family val="2"/>
          </rPr>
          <t>lauraro:</t>
        </r>
        <r>
          <rPr>
            <sz val="8"/>
            <color indexed="81"/>
            <rFont val="Tahoma"/>
            <family val="2"/>
          </rPr>
          <t xml:space="preserve">
12/10: EPS during 2Q, 3Q, 4Q in FY11 are expected, overall, to be positively impacted by the A.J. Wright consolidation. There are three factors that impact this period. </t>
        </r>
        <r>
          <rPr>
            <b/>
            <sz val="8"/>
            <color indexed="81"/>
            <rFont val="Tahoma"/>
            <family val="2"/>
          </rPr>
          <t xml:space="preserve">1) </t>
        </r>
        <r>
          <rPr>
            <sz val="8"/>
            <color indexed="81"/>
            <rFont val="Tahoma"/>
            <family val="2"/>
          </rPr>
          <t>d</t>
        </r>
        <r>
          <rPr>
            <sz val="8"/>
            <color indexed="81"/>
            <rFont val="Tahoma"/>
            <family val="2"/>
          </rPr>
          <t xml:space="preserve">uring this period, Marmaxx and HomeGoods segment profit is estimated, in aggregate, to be increased by </t>
        </r>
        <r>
          <rPr>
            <b/>
            <sz val="8"/>
            <color indexed="81"/>
            <rFont val="Tahoma"/>
            <family val="2"/>
          </rPr>
          <t>$20M to $25M</t>
        </r>
        <r>
          <rPr>
            <sz val="8"/>
            <color indexed="81"/>
            <rFont val="Tahoma"/>
            <family val="2"/>
          </rPr>
          <t xml:space="preserve"> by this action. </t>
        </r>
        <r>
          <rPr>
            <b/>
            <sz val="8"/>
            <color indexed="81"/>
            <rFont val="Tahoma"/>
            <family val="2"/>
          </rPr>
          <t xml:space="preserve">2) </t>
        </r>
        <r>
          <rPr>
            <sz val="8"/>
            <color indexed="81"/>
            <rFont val="Tahoma"/>
            <family val="2"/>
          </rPr>
          <t xml:space="preserve">A.J. Wright earned </t>
        </r>
        <r>
          <rPr>
            <b/>
            <sz val="8"/>
            <color indexed="81"/>
            <rFont val="Tahoma"/>
            <family val="2"/>
          </rPr>
          <t>$1M</t>
        </r>
        <r>
          <rPr>
            <sz val="8"/>
            <color indexed="81"/>
            <rFont val="Tahoma"/>
            <family val="2"/>
          </rPr>
          <t xml:space="preserve"> in segment profit during the second and third quarters in fiscal 2011, which will not be repeated in fiscal 2012. </t>
        </r>
        <r>
          <rPr>
            <b/>
            <sz val="8"/>
            <color indexed="81"/>
            <rFont val="Tahoma"/>
            <family val="2"/>
          </rPr>
          <t>3)</t>
        </r>
        <r>
          <rPr>
            <sz val="8"/>
            <color indexed="81"/>
            <rFont val="Tahoma"/>
            <family val="2"/>
          </rPr>
          <t xml:space="preserve"> the estimated 4Q operating loss </t>
        </r>
        <r>
          <rPr>
            <b/>
            <sz val="8"/>
            <color indexed="81"/>
            <rFont val="Tahoma"/>
            <family val="2"/>
          </rPr>
          <t>($175-200M)</t>
        </r>
        <r>
          <rPr>
            <sz val="8"/>
            <color indexed="81"/>
            <rFont val="Tahoma"/>
            <family val="2"/>
          </rPr>
          <t xml:space="preserve"> incurred in the 4Q10 (primarily due to the costs of the A.J. Wright closing), will not be repeated in FY11. 
</t>
        </r>
        <r>
          <rPr>
            <b/>
            <sz val="8"/>
            <color indexed="81"/>
            <rFont val="Tahoma"/>
            <family val="2"/>
          </rPr>
          <t>Estimated total benefit: $194-224M (Recurring= $19-24M)</t>
        </r>
      </text>
    </comment>
    <comment ref="CM93" authorId="3">
      <text>
        <r>
          <rPr>
            <b/>
            <sz val="8"/>
            <color indexed="81"/>
            <rFont val="Tahoma"/>
            <family val="2"/>
          </rPr>
          <t>lauraro:</t>
        </r>
        <r>
          <rPr>
            <sz val="8"/>
            <color indexed="81"/>
            <rFont val="Tahoma"/>
            <family val="2"/>
          </rPr>
          <t xml:space="preserve">
11/15: The impact of mark-to-market adjustments on the Company’s inventory related hedges contributed 0.2 percentage points to this increase.
8/16/11: 11.1-11.3%
2/11: Exp 10-30bp improvement vs LY</t>
        </r>
      </text>
    </comment>
    <comment ref="CQ93" authorId="5">
      <text>
        <r>
          <rPr>
            <b/>
            <sz val="8"/>
            <color indexed="81"/>
            <rFont val="Tahoma"/>
            <family val="2"/>
          </rPr>
          <t xml:space="preserve">11/13/2012: </t>
        </r>
        <r>
          <rPr>
            <sz val="8"/>
            <color indexed="81"/>
            <rFont val="Tahoma"/>
            <family val="2"/>
          </rPr>
          <t xml:space="preserve">-60 bps impact from 1-time items; mgn would have been +40 bps y/y ex FX
</t>
        </r>
        <r>
          <rPr>
            <b/>
            <sz val="8"/>
            <color indexed="81"/>
            <rFont val="Tahoma"/>
            <family val="2"/>
          </rPr>
          <t xml:space="preserve">
8/14/12: </t>
        </r>
        <r>
          <rPr>
            <sz val="8"/>
            <color indexed="81"/>
            <rFont val="Tahoma"/>
            <family val="2"/>
          </rPr>
          <t xml:space="preserve">
2H: 11.5-11.9%, +10-15bps (incl. -10 bps for FX)
3Q: 11.2-11.6%, -30 to +10 bps (incl. -30 bps for FX)
</t>
        </r>
      </text>
    </comment>
    <comment ref="CY93" authorId="16">
      <text>
        <r>
          <rPr>
            <b/>
            <sz val="9"/>
            <color indexed="81"/>
            <rFont val="Tahoma"/>
            <family val="2"/>
          </rPr>
          <t xml:space="preserve">8/19/14 guidance: </t>
        </r>
        <r>
          <rPr>
            <sz val="9"/>
            <color indexed="81"/>
            <rFont val="Tahoma"/>
            <family val="2"/>
          </rPr>
          <t xml:space="preserve">12.4%-12.8%. -20 to +20 bps
</t>
        </r>
      </text>
    </comment>
    <comment ref="DG93" authorId="9">
      <text>
        <r>
          <rPr>
            <b/>
            <sz val="9"/>
            <color indexed="81"/>
            <rFont val="Tahoma"/>
            <family val="2"/>
          </rPr>
          <t xml:space="preserve">Baglione, Gregory  (Research):
</t>
        </r>
        <r>
          <rPr>
            <sz val="9"/>
            <color indexed="81"/>
            <rFont val="Tahoma"/>
            <family val="2"/>
          </rPr>
          <t xml:space="preserve">11/15/16
For the third quarter of Fiscal 2017, the Company’s consolidated pretax profit margin was 10.7%. The debt extinguishment charge and pension settlement charge, reduced consolidated pretax profit margin by 1.0 percentage points. Excluding these charges, adjusted pretax profit margin was 11.7%, a 0.4 percentage point decrease compared with the prior year.
</t>
        </r>
      </text>
    </comment>
    <comment ref="DK93" authorId="10">
      <text>
        <r>
          <rPr>
            <b/>
            <sz val="9"/>
            <color indexed="81"/>
            <rFont val="Tahoma"/>
            <family val="2"/>
          </rPr>
          <t>Roberts, Cynthia (Research):</t>
        </r>
        <r>
          <rPr>
            <sz val="9"/>
            <color indexed="81"/>
            <rFont val="Tahoma"/>
            <family val="2"/>
          </rPr>
          <t xml:space="preserve">
8/15/17: Guidance 11.3-11.4% </t>
        </r>
      </text>
    </comment>
    <comment ref="CA94" authorId="2">
      <text>
        <r>
          <rPr>
            <b/>
            <sz val="8"/>
            <color indexed="81"/>
            <rFont val="Tahoma"/>
            <family val="2"/>
          </rPr>
          <t>mm98285:</t>
        </r>
        <r>
          <rPr>
            <sz val="8"/>
            <color indexed="81"/>
            <rFont val="Tahoma"/>
            <family val="2"/>
          </rPr>
          <t xml:space="preserve">
7.5%-7.8%</t>
        </r>
      </text>
    </comment>
    <comment ref="CI94" authorId="3">
      <text>
        <r>
          <rPr>
            <b/>
            <sz val="8"/>
            <color indexed="81"/>
            <rFont val="Tahoma"/>
            <family val="2"/>
          </rPr>
          <t>lauraro:</t>
        </r>
        <r>
          <rPr>
            <sz val="8"/>
            <color indexed="81"/>
            <rFont val="Tahoma"/>
            <family val="2"/>
          </rPr>
          <t xml:space="preserve">
Exp 9.6-9.9%</t>
        </r>
      </text>
    </comment>
    <comment ref="CL94" authorId="3">
      <text>
        <r>
          <rPr>
            <b/>
            <sz val="8"/>
            <color indexed="81"/>
            <rFont val="Tahoma"/>
            <family val="2"/>
          </rPr>
          <t>lauraro:</t>
        </r>
        <r>
          <rPr>
            <sz val="8"/>
            <color indexed="81"/>
            <rFont val="Tahoma"/>
            <family val="2"/>
          </rPr>
          <t xml:space="preserve">
12/10: EPS during 2Q, 3Q, 4Q in FY11 are expected, overall, to be positively impacted by the A.J. Wright consolidation. There are three factors that impact this period. </t>
        </r>
        <r>
          <rPr>
            <b/>
            <sz val="8"/>
            <color indexed="81"/>
            <rFont val="Tahoma"/>
            <family val="2"/>
          </rPr>
          <t xml:space="preserve">1) </t>
        </r>
        <r>
          <rPr>
            <sz val="8"/>
            <color indexed="81"/>
            <rFont val="Tahoma"/>
            <family val="2"/>
          </rPr>
          <t>d</t>
        </r>
        <r>
          <rPr>
            <sz val="8"/>
            <color indexed="81"/>
            <rFont val="Tahoma"/>
            <family val="2"/>
          </rPr>
          <t xml:space="preserve">uring this period, Marmaxx and HomeGoods segment profit is estimated, in aggregate, to be increased by </t>
        </r>
        <r>
          <rPr>
            <b/>
            <sz val="8"/>
            <color indexed="81"/>
            <rFont val="Tahoma"/>
            <family val="2"/>
          </rPr>
          <t>$20M to $25M</t>
        </r>
        <r>
          <rPr>
            <sz val="8"/>
            <color indexed="81"/>
            <rFont val="Tahoma"/>
            <family val="2"/>
          </rPr>
          <t xml:space="preserve"> by this action. </t>
        </r>
        <r>
          <rPr>
            <b/>
            <sz val="8"/>
            <color indexed="81"/>
            <rFont val="Tahoma"/>
            <family val="2"/>
          </rPr>
          <t xml:space="preserve">2) </t>
        </r>
        <r>
          <rPr>
            <sz val="8"/>
            <color indexed="81"/>
            <rFont val="Tahoma"/>
            <family val="2"/>
          </rPr>
          <t xml:space="preserve">A.J. Wright earned </t>
        </r>
        <r>
          <rPr>
            <b/>
            <sz val="8"/>
            <color indexed="81"/>
            <rFont val="Tahoma"/>
            <family val="2"/>
          </rPr>
          <t>$1M</t>
        </r>
        <r>
          <rPr>
            <sz val="8"/>
            <color indexed="81"/>
            <rFont val="Tahoma"/>
            <family val="2"/>
          </rPr>
          <t xml:space="preserve"> in segment profit during the second and third quarters in fiscal 2011, which will not be repeated in fiscal 2012. </t>
        </r>
        <r>
          <rPr>
            <b/>
            <sz val="8"/>
            <color indexed="81"/>
            <rFont val="Tahoma"/>
            <family val="2"/>
          </rPr>
          <t>3)</t>
        </r>
        <r>
          <rPr>
            <sz val="8"/>
            <color indexed="81"/>
            <rFont val="Tahoma"/>
            <family val="2"/>
          </rPr>
          <t xml:space="preserve"> the estimated 4Q operating loss </t>
        </r>
        <r>
          <rPr>
            <b/>
            <sz val="8"/>
            <color indexed="81"/>
            <rFont val="Tahoma"/>
            <family val="2"/>
          </rPr>
          <t>($175-200M)</t>
        </r>
        <r>
          <rPr>
            <sz val="8"/>
            <color indexed="81"/>
            <rFont val="Tahoma"/>
            <family val="2"/>
          </rPr>
          <t xml:space="preserve"> incurred in the 4Q10 (primarily due to the costs of the A.J. Wright closing), will not be repeated in FY11. 
</t>
        </r>
        <r>
          <rPr>
            <b/>
            <sz val="8"/>
            <color indexed="81"/>
            <rFont val="Tahoma"/>
            <family val="2"/>
          </rPr>
          <t>Estimated total benefit: $194-224M (Recurring= $19-24M)</t>
        </r>
      </text>
    </comment>
    <comment ref="CM94" authorId="3">
      <text>
        <r>
          <rPr>
            <b/>
            <sz val="8"/>
            <color indexed="81"/>
            <rFont val="Tahoma"/>
            <family val="2"/>
          </rPr>
          <t xml:space="preserve">2/2/12: </t>
        </r>
        <r>
          <rPr>
            <sz val="8"/>
            <color indexed="81"/>
            <rFont val="Tahoma"/>
            <family val="2"/>
          </rPr>
          <t>up slight vs. LY</t>
        </r>
        <r>
          <rPr>
            <b/>
            <sz val="8"/>
            <color indexed="81"/>
            <rFont val="Tahoma"/>
            <family val="2"/>
          </rPr>
          <t xml:space="preserve">
1/5/12: </t>
        </r>
        <r>
          <rPr>
            <sz val="8"/>
            <color indexed="81"/>
            <rFont val="Tahoma"/>
            <family val="2"/>
          </rPr>
          <t>flat to +20bps vs LY</t>
        </r>
        <r>
          <rPr>
            <b/>
            <sz val="8"/>
            <color indexed="81"/>
            <rFont val="Tahoma"/>
            <family val="2"/>
          </rPr>
          <t xml:space="preserve">
11/15: </t>
        </r>
        <r>
          <rPr>
            <sz val="8"/>
            <color indexed="81"/>
            <rFont val="Tahoma"/>
            <family val="2"/>
          </rPr>
          <t>11.4-11.7%</t>
        </r>
        <r>
          <rPr>
            <b/>
            <sz val="8"/>
            <color indexed="81"/>
            <rFont val="Tahoma"/>
            <family val="2"/>
          </rPr>
          <t xml:space="preserve">
lauraro:</t>
        </r>
        <r>
          <rPr>
            <sz val="8"/>
            <color indexed="81"/>
            <rFont val="Tahoma"/>
            <family val="2"/>
          </rPr>
          <t xml:space="preserve">
2/11: Exp 10-30bp improvement vs LY</t>
        </r>
      </text>
    </comment>
    <comment ref="CQ94" authorId="5">
      <text>
        <r>
          <rPr>
            <b/>
            <sz val="8"/>
            <color indexed="81"/>
            <rFont val="Tahoma"/>
            <family val="2"/>
          </rPr>
          <t xml:space="preserve">11/13/2012 </t>
        </r>
        <r>
          <rPr>
            <sz val="8"/>
            <color indexed="81"/>
            <rFont val="Tahoma"/>
            <family val="2"/>
          </rPr>
          <t>11.6-11.9%, +30-60 bps vs LY</t>
        </r>
        <r>
          <rPr>
            <b/>
            <sz val="8"/>
            <color indexed="81"/>
            <rFont val="Tahoma"/>
            <family val="2"/>
          </rPr>
          <t xml:space="preserve">
8/14/12:  </t>
        </r>
        <r>
          <rPr>
            <sz val="8"/>
            <color indexed="81"/>
            <rFont val="Tahoma"/>
            <family val="2"/>
          </rPr>
          <t>2H: 11.5-11.9%, +10-15bps (incl. -10 bps for FX)</t>
        </r>
      </text>
    </comment>
    <comment ref="CY94" authorId="16">
      <text>
        <r>
          <rPr>
            <b/>
            <sz val="9"/>
            <color indexed="81"/>
            <rFont val="Tahoma"/>
            <family val="2"/>
          </rPr>
          <t xml:space="preserve">11/18/14: </t>
        </r>
        <r>
          <rPr>
            <sz val="9"/>
            <color indexed="81"/>
            <rFont val="Tahoma"/>
            <family val="2"/>
          </rPr>
          <t xml:space="preserve">Fourth quarter pretax profit margins are planned in the 11.9% to 12.2% range, down 10 to up 20 basis points versus the prior year
</t>
        </r>
      </text>
    </comment>
    <comment ref="DG94" authorId="18">
      <text>
        <r>
          <rPr>
            <b/>
            <sz val="9"/>
            <color indexed="81"/>
            <rFont val="Tahoma"/>
            <family val="2"/>
          </rPr>
          <t>Baglione, Gregory (Research):</t>
        </r>
        <r>
          <rPr>
            <sz val="9"/>
            <color indexed="81"/>
            <rFont val="Tahoma"/>
            <family val="2"/>
          </rPr>
          <t xml:space="preserve">
11/16/16
Fourth quarter pretax profit margin is planned in the 11.0% to 11.1% range versus 11.9% last year.</t>
        </r>
      </text>
    </comment>
    <comment ref="BW95" authorId="2">
      <text>
        <r>
          <rPr>
            <b/>
            <sz val="8"/>
            <color indexed="81"/>
            <rFont val="Tahoma"/>
            <family val="2"/>
          </rPr>
          <t>mm98285:</t>
        </r>
        <r>
          <rPr>
            <sz val="8"/>
            <color indexed="81"/>
            <rFont val="Tahoma"/>
            <family val="2"/>
          </rPr>
          <t xml:space="preserve">
2/07: guided to 7.3-7.5%</t>
        </r>
      </text>
    </comment>
    <comment ref="CE95" authorId="2">
      <text>
        <r>
          <rPr>
            <b/>
            <sz val="8"/>
            <color indexed="81"/>
            <rFont val="Tahoma"/>
            <family val="2"/>
          </rPr>
          <t>mm98285:</t>
        </r>
        <r>
          <rPr>
            <sz val="8"/>
            <color indexed="81"/>
            <rFont val="Tahoma"/>
            <family val="2"/>
          </rPr>
          <t xml:space="preserve">
10/19/09: 8.6-8.8%</t>
        </r>
      </text>
    </comment>
    <comment ref="CI95" authorId="2">
      <text>
        <r>
          <rPr>
            <b/>
            <sz val="8"/>
            <color indexed="81"/>
            <rFont val="Tahoma"/>
            <family val="2"/>
          </rPr>
          <t xml:space="preserve">11/10: </t>
        </r>
        <r>
          <rPr>
            <sz val="8"/>
            <color indexed="81"/>
            <rFont val="Tahoma"/>
            <family val="2"/>
          </rPr>
          <t>10.1-10.2% excl 1c non-op benefit or 10.2-10.3% incl 1c benefit due to continued strength in mdse margins as well as some B+O expense leverage, and SG&amp;A ratios that are flat to slightly favorable vs LY.</t>
        </r>
        <r>
          <rPr>
            <b/>
            <sz val="8"/>
            <color indexed="81"/>
            <rFont val="Tahoma"/>
            <family val="2"/>
          </rPr>
          <t xml:space="preserve">
8/10: </t>
        </r>
        <r>
          <rPr>
            <sz val="8"/>
            <color indexed="81"/>
            <rFont val="Tahoma"/>
            <family val="2"/>
          </rPr>
          <t xml:space="preserve">Guide 10.0-10.2%
</t>
        </r>
        <r>
          <rPr>
            <b/>
            <sz val="8"/>
            <color indexed="81"/>
            <rFont val="Tahoma"/>
            <family val="2"/>
          </rPr>
          <t>5/10:</t>
        </r>
        <r>
          <rPr>
            <sz val="8"/>
            <color indexed="81"/>
            <rFont val="Tahoma"/>
            <family val="2"/>
          </rPr>
          <t xml:space="preserve"> guide 9.9-10.2%
</t>
        </r>
        <r>
          <rPr>
            <b/>
            <sz val="8"/>
            <color indexed="81"/>
            <rFont val="Tahoma"/>
            <family val="2"/>
          </rPr>
          <t>mm98285:</t>
        </r>
        <r>
          <rPr>
            <sz val="8"/>
            <color indexed="81"/>
            <rFont val="Tahoma"/>
            <family val="2"/>
          </rPr>
          <t xml:space="preserve">
2/10: 9.5-9.8%</t>
        </r>
      </text>
    </comment>
    <comment ref="CM95" authorId="3">
      <text>
        <r>
          <rPr>
            <b/>
            <sz val="8"/>
            <color indexed="81"/>
            <rFont val="Tahoma"/>
            <family val="2"/>
          </rPr>
          <t xml:space="preserve">11/15/11:  </t>
        </r>
        <r>
          <rPr>
            <sz val="8"/>
            <color indexed="81"/>
            <rFont val="Tahoma"/>
            <family val="2"/>
          </rPr>
          <t>10.7-10.8%</t>
        </r>
        <r>
          <rPr>
            <b/>
            <sz val="8"/>
            <color indexed="81"/>
            <rFont val="Tahoma"/>
            <family val="2"/>
          </rPr>
          <t xml:space="preserve">
8/16/11: </t>
        </r>
        <r>
          <rPr>
            <sz val="8"/>
            <color indexed="81"/>
            <rFont val="Tahoma"/>
            <family val="2"/>
          </rPr>
          <t>expect 10.6-10.7%</t>
        </r>
        <r>
          <rPr>
            <b/>
            <sz val="8"/>
            <color indexed="81"/>
            <rFont val="Tahoma"/>
            <family val="2"/>
          </rPr>
          <t xml:space="preserve">
5/17/11: </t>
        </r>
        <r>
          <rPr>
            <sz val="8"/>
            <color indexed="81"/>
            <rFont val="Tahoma"/>
            <family val="2"/>
          </rPr>
          <t>Exp essentially flat vs. LY; reit exp 10.4-10.7%</t>
        </r>
        <r>
          <rPr>
            <sz val="8"/>
            <color indexed="81"/>
            <rFont val="Tahoma"/>
            <family val="2"/>
          </rPr>
          <t xml:space="preserve">
2/11: Exp 10.4-10.7%</t>
        </r>
      </text>
    </comment>
    <comment ref="CQ95" authorId="3">
      <text>
        <r>
          <rPr>
            <b/>
            <sz val="8"/>
            <color indexed="81"/>
            <rFont val="Tahoma"/>
            <family val="2"/>
          </rPr>
          <t xml:space="preserve">2/27/2013: </t>
        </r>
        <r>
          <rPr>
            <sz val="8"/>
            <color indexed="81"/>
            <rFont val="Tahoma"/>
            <family val="2"/>
          </rPr>
          <t>Extra week in FY12 added 20 bps to pretax margins</t>
        </r>
        <r>
          <rPr>
            <b/>
            <sz val="8"/>
            <color indexed="81"/>
            <rFont val="Tahoma"/>
            <family val="2"/>
          </rPr>
          <t xml:space="preserve">
11/13/2012:</t>
        </r>
        <r>
          <rPr>
            <sz val="8"/>
            <color indexed="81"/>
            <rFont val="Tahoma"/>
            <family val="2"/>
          </rPr>
          <t xml:space="preserve"> 11.6-11.7%, +90-100 bps vs. LY's 10.7% adj mgn
</t>
        </r>
        <r>
          <rPr>
            <b/>
            <sz val="8"/>
            <color indexed="81"/>
            <rFont val="Tahoma"/>
            <family val="2"/>
          </rPr>
          <t xml:space="preserve">8/14/12: </t>
        </r>
        <r>
          <rPr>
            <sz val="8"/>
            <color indexed="81"/>
            <rFont val="Tahoma"/>
            <family val="2"/>
          </rPr>
          <t>11.6-11.8%, +90-110bps</t>
        </r>
        <r>
          <rPr>
            <sz val="8"/>
            <color indexed="81"/>
            <rFont val="Tahoma"/>
            <family val="2"/>
          </rPr>
          <t xml:space="preserve">
</t>
        </r>
        <r>
          <rPr>
            <b/>
            <sz val="8"/>
            <color indexed="81"/>
            <rFont val="Tahoma"/>
            <family val="2"/>
          </rPr>
          <t xml:space="preserve">5/15: </t>
        </r>
        <r>
          <rPr>
            <sz val="8"/>
            <color indexed="81"/>
            <rFont val="Tahoma"/>
            <family val="2"/>
          </rPr>
          <t>11.1-11.5%</t>
        </r>
        <r>
          <rPr>
            <sz val="8"/>
            <color indexed="81"/>
            <rFont val="Tahoma"/>
            <family val="2"/>
          </rPr>
          <t xml:space="preserve">
</t>
        </r>
        <r>
          <rPr>
            <b/>
            <sz val="8"/>
            <color indexed="81"/>
            <rFont val="Tahoma"/>
            <family val="2"/>
          </rPr>
          <t xml:space="preserve">2/22: </t>
        </r>
        <r>
          <rPr>
            <sz val="8"/>
            <color indexed="81"/>
            <rFont val="Tahoma"/>
            <family val="2"/>
          </rPr>
          <t>10.9-11.2%, ~20bp due to 53rd benefit
52 week basis, flat to +30bps on a 1-2% comp</t>
        </r>
      </text>
    </comment>
    <comment ref="CU95" authorId="5">
      <text>
        <r>
          <rPr>
            <b/>
            <sz val="8"/>
            <color indexed="81"/>
            <rFont val="Tahoma"/>
            <family val="2"/>
          </rPr>
          <t xml:space="preserve">5/21/2013 guidance: </t>
        </r>
        <r>
          <rPr>
            <sz val="8"/>
            <color indexed="81"/>
            <rFont val="Tahoma"/>
            <family val="2"/>
          </rPr>
          <t>pre-tax margin 11.8-12%, -10 bps to +10 bps includes impact from ecomm &amp; extra week (20 bps impact LY)</t>
        </r>
        <r>
          <rPr>
            <b/>
            <sz val="8"/>
            <color indexed="81"/>
            <rFont val="Tahoma"/>
            <family val="2"/>
          </rPr>
          <t xml:space="preserve">
2/27/2013: </t>
        </r>
        <r>
          <rPr>
            <sz val="8"/>
            <color indexed="81"/>
            <rFont val="Tahoma"/>
            <family val="2"/>
          </rPr>
          <t>Extra week in FY12 added 20 bps to pretax margins LY</t>
        </r>
      </text>
    </comment>
    <comment ref="CY95" authorId="6">
      <text>
        <r>
          <rPr>
            <b/>
            <sz val="8"/>
            <color indexed="81"/>
            <rFont val="Tahoma"/>
            <family val="2"/>
          </rPr>
          <t xml:space="preserve">2/25/14 guidance: </t>
        </r>
        <r>
          <rPr>
            <sz val="8"/>
            <color indexed="81"/>
            <rFont val="Tahoma"/>
            <family val="2"/>
          </rPr>
          <t>12.0%-12.3%</t>
        </r>
        <r>
          <rPr>
            <sz val="8"/>
            <color indexed="81"/>
            <rFont val="Tahoma"/>
            <family val="2"/>
          </rPr>
          <t xml:space="preserve">
</t>
        </r>
        <r>
          <rPr>
            <b/>
            <sz val="8"/>
            <color indexed="81"/>
            <rFont val="Tahoma"/>
            <family val="2"/>
          </rPr>
          <t>5/20/14 guidance:</t>
        </r>
        <r>
          <rPr>
            <sz val="8"/>
            <color indexed="81"/>
            <rFont val="Tahoma"/>
            <family val="2"/>
          </rPr>
          <t xml:space="preserve"> 12.0%-12.3%
</t>
        </r>
        <r>
          <rPr>
            <b/>
            <sz val="8"/>
            <color indexed="81"/>
            <rFont val="Tahoma"/>
            <family val="2"/>
          </rPr>
          <t>8/19/14 guidance:</t>
        </r>
        <r>
          <rPr>
            <sz val="8"/>
            <color indexed="81"/>
            <rFont val="Tahoma"/>
            <family val="2"/>
          </rPr>
          <t xml:space="preserve"> 12.0%-12.3%
</t>
        </r>
        <r>
          <rPr>
            <b/>
            <sz val="8"/>
            <color indexed="81"/>
            <rFont val="Tahoma"/>
            <family val="2"/>
          </rPr>
          <t xml:space="preserve">11/18/14 guidance: </t>
        </r>
        <r>
          <rPr>
            <sz val="8"/>
            <color indexed="81"/>
            <rFont val="Tahoma"/>
            <family val="2"/>
          </rPr>
          <t>12.1%-12.2%</t>
        </r>
      </text>
    </comment>
    <comment ref="DG95" authorId="9">
      <text>
        <r>
          <rPr>
            <b/>
            <sz val="9"/>
            <color indexed="81"/>
            <rFont val="Tahoma"/>
            <family val="2"/>
          </rPr>
          <t xml:space="preserve">Baglione, Gregory  (Research):
</t>
        </r>
        <r>
          <rPr>
            <sz val="9"/>
            <color indexed="81"/>
            <rFont val="Tahoma"/>
            <family val="2"/>
          </rPr>
          <t>For the year, we expect pretax profit margin to be approximately 11.1%.</t>
        </r>
        <r>
          <rPr>
            <b/>
            <sz val="9"/>
            <color indexed="81"/>
            <rFont val="Tahoma"/>
            <family val="2"/>
          </rPr>
          <t xml:space="preserve">
</t>
        </r>
        <r>
          <rPr>
            <sz val="9"/>
            <color indexed="81"/>
            <rFont val="Tahoma"/>
            <family val="2"/>
          </rPr>
          <t xml:space="preserve">8/16/16
11.2-11.3%
2/24/16 Guidance
pre-tax margin 10.9%-11.1%
</t>
        </r>
      </text>
    </comment>
    <comment ref="DK95" authorId="10">
      <text>
        <r>
          <rPr>
            <b/>
            <sz val="9"/>
            <color indexed="81"/>
            <rFont val="Tahoma"/>
            <family val="2"/>
          </rPr>
          <t>Roberts, Cynthia (Research):</t>
        </r>
        <r>
          <rPr>
            <sz val="9"/>
            <color indexed="81"/>
            <rFont val="Tahoma"/>
            <family val="2"/>
          </rPr>
          <t xml:space="preserve">
11/14/17: Guidance 11.3-11.4% 20 bps from 53rd week
5/16/17 Guidance 11.1-11.3% 
2/22/17: Guidance: 11.1-11.3% (10.9-11.1% excluding 53rd week)</t>
        </r>
      </text>
    </comment>
    <comment ref="DO95" authorId="10">
      <text>
        <r>
          <rPr>
            <b/>
            <sz val="9"/>
            <color indexed="81"/>
            <rFont val="Tahoma"/>
            <family val="2"/>
          </rPr>
          <t>Roberts, Cynthia (Research):</t>
        </r>
        <r>
          <rPr>
            <sz val="9"/>
            <color indexed="81"/>
            <rFont val="Tahoma"/>
            <family val="2"/>
          </rPr>
          <t xml:space="preserve">
2/28/18: Guidance 10.6-10.8%</t>
        </r>
      </text>
    </comment>
    <comment ref="CQ98" authorId="5">
      <text>
        <r>
          <rPr>
            <b/>
            <sz val="8"/>
            <color indexed="81"/>
            <rFont val="Tahoma"/>
            <family val="2"/>
          </rPr>
          <t xml:space="preserve">8/14/12: 
</t>
        </r>
        <r>
          <rPr>
            <sz val="8"/>
            <color indexed="81"/>
            <rFont val="Tahoma"/>
            <family val="2"/>
          </rPr>
          <t>2H: 11.5-11.9%, +10-50 bps (incl. -10 bps for FX)</t>
        </r>
      </text>
    </comment>
    <comment ref="BF110" authorId="25">
      <text>
        <r>
          <rPr>
            <b/>
            <sz val="8"/>
            <color indexed="81"/>
            <rFont val="Tahoma"/>
            <family val="2"/>
          </rPr>
          <t>MB33100:</t>
        </r>
        <r>
          <rPr>
            <sz val="8"/>
            <color indexed="81"/>
            <rFont val="Tahoma"/>
            <family val="2"/>
          </rPr>
          <t xml:space="preserve">
Income tax restated following the company's adoption of the retrospective method of options expensing</t>
        </r>
      </text>
    </comment>
    <comment ref="BJ110" authorId="25">
      <text>
        <r>
          <rPr>
            <b/>
            <sz val="8"/>
            <color indexed="81"/>
            <rFont val="Tahoma"/>
            <family val="2"/>
          </rPr>
          <t>MB33100:</t>
        </r>
        <r>
          <rPr>
            <sz val="8"/>
            <color indexed="81"/>
            <rFont val="Tahoma"/>
            <family val="2"/>
          </rPr>
          <t xml:space="preserve">
Income tax restated following the company's adoption of the retrospective method of options expensing</t>
        </r>
      </text>
    </comment>
    <comment ref="BN110" authorId="25">
      <text>
        <r>
          <rPr>
            <b/>
            <sz val="8"/>
            <color indexed="81"/>
            <rFont val="Tahoma"/>
            <family val="2"/>
          </rPr>
          <t>MB33100:</t>
        </r>
        <r>
          <rPr>
            <sz val="8"/>
            <color indexed="81"/>
            <rFont val="Tahoma"/>
            <family val="2"/>
          </rPr>
          <t xml:space="preserve">
Income tax restated following the company's adoption of the retrospective method of options expensing</t>
        </r>
      </text>
    </comment>
    <comment ref="BS110" authorId="25">
      <text>
        <r>
          <rPr>
            <b/>
            <sz val="8"/>
            <color indexed="81"/>
            <rFont val="Tahoma"/>
            <family val="2"/>
          </rPr>
          <t>MB33100:</t>
        </r>
        <r>
          <rPr>
            <sz val="8"/>
            <color indexed="81"/>
            <rFont val="Tahoma"/>
            <family val="2"/>
          </rPr>
          <t xml:space="preserve">
2/06 guided to 38.6% for the full year</t>
        </r>
      </text>
    </comment>
    <comment ref="BW110" authorId="25">
      <text>
        <r>
          <rPr>
            <b/>
            <sz val="8"/>
            <color indexed="81"/>
            <rFont val="Tahoma"/>
            <family val="2"/>
          </rPr>
          <t>MB33100:</t>
        </r>
        <r>
          <rPr>
            <sz val="8"/>
            <color indexed="81"/>
            <rFont val="Tahoma"/>
            <family val="2"/>
          </rPr>
          <t xml:space="preserve">
2/06 guided to 38.6% for the full year</t>
        </r>
      </text>
    </comment>
    <comment ref="BZ110" authorId="2">
      <text>
        <r>
          <rPr>
            <b/>
            <sz val="8"/>
            <color indexed="81"/>
            <rFont val="Tahoma"/>
            <family val="2"/>
          </rPr>
          <t>mm98285:</t>
        </r>
        <r>
          <rPr>
            <sz val="8"/>
            <color indexed="81"/>
            <rFont val="Tahoma"/>
            <family val="2"/>
          </rPr>
          <t xml:space="preserve">
$95.761M prior to restate to ex Bob's</t>
        </r>
      </text>
    </comment>
    <comment ref="CI110" authorId="2">
      <text>
        <r>
          <rPr>
            <b/>
            <sz val="8"/>
            <color indexed="81"/>
            <rFont val="Tahoma"/>
            <family val="2"/>
          </rPr>
          <t>mm98285:</t>
        </r>
        <r>
          <rPr>
            <sz val="8"/>
            <color indexed="81"/>
            <rFont val="Tahoma"/>
            <family val="2"/>
          </rPr>
          <t xml:space="preserve">
2/10: 38.4%</t>
        </r>
      </text>
    </comment>
    <comment ref="CL110" authorId="3">
      <text>
        <r>
          <rPr>
            <b/>
            <sz val="8"/>
            <color indexed="81"/>
            <rFont val="Tahoma"/>
            <family val="2"/>
          </rPr>
          <t xml:space="preserve">5/17/2011: </t>
        </r>
        <r>
          <rPr>
            <sz val="8"/>
            <color indexed="81"/>
            <rFont val="Tahoma"/>
            <family val="2"/>
          </rPr>
          <t>Reported tax dollars $163.695, 38.1%</t>
        </r>
        <r>
          <rPr>
            <sz val="8"/>
            <color indexed="81"/>
            <rFont val="Tahoma"/>
            <family val="2"/>
          </rPr>
          <t xml:space="preserve">
</t>
        </r>
      </text>
    </comment>
    <comment ref="CM110" authorId="3">
      <text>
        <r>
          <rPr>
            <b/>
            <sz val="8"/>
            <color indexed="81"/>
            <rFont val="Tahoma"/>
            <family val="2"/>
          </rPr>
          <t>lauraro:</t>
        </r>
        <r>
          <rPr>
            <sz val="8"/>
            <color indexed="81"/>
            <rFont val="Tahoma"/>
            <family val="2"/>
          </rPr>
          <t xml:space="preserve">
2/11: Exp 38.1%</t>
        </r>
      </text>
    </comment>
    <comment ref="CQ110" authorId="3">
      <text>
        <r>
          <rPr>
            <b/>
            <sz val="8"/>
            <color indexed="81"/>
            <rFont val="Tahoma"/>
            <family val="2"/>
          </rPr>
          <t>lauraro:</t>
        </r>
        <r>
          <rPr>
            <sz val="8"/>
            <color indexed="81"/>
            <rFont val="Tahoma"/>
            <family val="2"/>
          </rPr>
          <t xml:space="preserve">
38.6% tax rate</t>
        </r>
      </text>
    </comment>
    <comment ref="CY110" authorId="6">
      <text>
        <r>
          <rPr>
            <b/>
            <sz val="8"/>
            <color indexed="81"/>
            <rFont val="Tahoma"/>
            <family val="2"/>
          </rPr>
          <t xml:space="preserve">2/25/14 guidance: </t>
        </r>
        <r>
          <rPr>
            <sz val="8"/>
            <color indexed="81"/>
            <rFont val="Tahoma"/>
            <family val="2"/>
          </rPr>
          <t>38.0%</t>
        </r>
        <r>
          <rPr>
            <sz val="8"/>
            <color indexed="81"/>
            <rFont val="Tahoma"/>
            <family val="2"/>
          </rPr>
          <t xml:space="preserve">
</t>
        </r>
      </text>
    </comment>
    <comment ref="DC110" authorId="7">
      <text>
        <r>
          <rPr>
            <b/>
            <sz val="9"/>
            <color indexed="81"/>
            <rFont val="Tahoma"/>
            <family val="2"/>
          </rPr>
          <t>Turley, Amber (Research):</t>
        </r>
        <r>
          <rPr>
            <sz val="9"/>
            <color indexed="81"/>
            <rFont val="Tahoma"/>
            <family val="2"/>
          </rPr>
          <t xml:space="preserve">
</t>
        </r>
        <r>
          <rPr>
            <b/>
            <sz val="9"/>
            <color indexed="81"/>
            <rFont val="Tahoma"/>
            <family val="2"/>
          </rPr>
          <t>2/25/15 guidance:</t>
        </r>
        <r>
          <rPr>
            <sz val="9"/>
            <color indexed="81"/>
            <rFont val="Tahoma"/>
            <family val="2"/>
          </rPr>
          <t xml:space="preserve"> 37.9%</t>
        </r>
      </text>
    </comment>
    <comment ref="DG110" authorId="9">
      <text>
        <r>
          <rPr>
            <b/>
            <sz val="9"/>
            <color indexed="81"/>
            <rFont val="Tahoma"/>
            <family val="2"/>
          </rPr>
          <t>Baglione, Gregory  (Research):</t>
        </r>
        <r>
          <rPr>
            <sz val="9"/>
            <color indexed="81"/>
            <rFont val="Tahoma"/>
            <family val="2"/>
          </rPr>
          <t xml:space="preserve">
2/24/16 Guidance
~38.4%</t>
        </r>
      </text>
    </comment>
    <comment ref="DK110" authorId="10">
      <text>
        <r>
          <rPr>
            <b/>
            <sz val="9"/>
            <color indexed="81"/>
            <rFont val="Tahoma"/>
            <family val="2"/>
          </rPr>
          <t>Roberts, Cynthia (Research):</t>
        </r>
        <r>
          <rPr>
            <sz val="9"/>
            <color indexed="81"/>
            <rFont val="Tahoma"/>
            <family val="2"/>
          </rPr>
          <t xml:space="preserve">
2/22/17: Guidance: 37.7%</t>
        </r>
      </text>
    </comment>
    <comment ref="DO110" authorId="10">
      <text>
        <r>
          <rPr>
            <b/>
            <sz val="9"/>
            <color indexed="81"/>
            <rFont val="Tahoma"/>
            <family val="2"/>
          </rPr>
          <t>Roberts, Cynthia (Research):</t>
        </r>
        <r>
          <rPr>
            <sz val="9"/>
            <color indexed="81"/>
            <rFont val="Tahoma"/>
            <family val="2"/>
          </rPr>
          <t xml:space="preserve">
2/28/18: Guidance 25.7%</t>
        </r>
      </text>
    </comment>
    <comment ref="BF111" authorId="25">
      <text>
        <r>
          <rPr>
            <b/>
            <sz val="8"/>
            <color indexed="81"/>
            <rFont val="Tahoma"/>
            <family val="2"/>
          </rPr>
          <t>MB33100:</t>
        </r>
        <r>
          <rPr>
            <sz val="8"/>
            <color indexed="81"/>
            <rFont val="Tahoma"/>
            <family val="2"/>
          </rPr>
          <t xml:space="preserve">
Income tax restated following the company's adoption of the retrospective method of options expensing</t>
        </r>
      </text>
    </comment>
    <comment ref="BJ111" authorId="25">
      <text>
        <r>
          <rPr>
            <b/>
            <sz val="8"/>
            <color indexed="81"/>
            <rFont val="Tahoma"/>
            <family val="2"/>
          </rPr>
          <t>MB33100:</t>
        </r>
        <r>
          <rPr>
            <sz val="8"/>
            <color indexed="81"/>
            <rFont val="Tahoma"/>
            <family val="2"/>
          </rPr>
          <t xml:space="preserve">
Income tax restated following the company's adoption of the retrospective method of options expensing</t>
        </r>
      </text>
    </comment>
    <comment ref="BN111" authorId="25">
      <text>
        <r>
          <rPr>
            <b/>
            <sz val="8"/>
            <color indexed="81"/>
            <rFont val="Tahoma"/>
            <family val="2"/>
          </rPr>
          <t>MB33100:</t>
        </r>
        <r>
          <rPr>
            <sz val="8"/>
            <color indexed="81"/>
            <rFont val="Tahoma"/>
            <family val="2"/>
          </rPr>
          <t xml:space="preserve">
Income tax restated following the company's adoption of the retrospective method of options expensing</t>
        </r>
      </text>
    </comment>
    <comment ref="BS111" authorId="25">
      <text>
        <r>
          <rPr>
            <b/>
            <sz val="8"/>
            <color indexed="81"/>
            <rFont val="Tahoma"/>
            <family val="2"/>
          </rPr>
          <t>MB33100:</t>
        </r>
        <r>
          <rPr>
            <sz val="8"/>
            <color indexed="81"/>
            <rFont val="Tahoma"/>
            <family val="2"/>
          </rPr>
          <t xml:space="preserve">
5/06: guided to 38.6% for 2Q
2/06 guided to 38.6% for the full year</t>
        </r>
      </text>
    </comment>
    <comment ref="BZ111" authorId="2">
      <text>
        <r>
          <rPr>
            <b/>
            <sz val="8"/>
            <color indexed="81"/>
            <rFont val="Tahoma"/>
            <family val="2"/>
          </rPr>
          <t>mm98285:</t>
        </r>
        <r>
          <rPr>
            <sz val="8"/>
            <color indexed="81"/>
            <rFont val="Tahoma"/>
            <family val="2"/>
          </rPr>
          <t xml:space="preserve">
$117.336M prior to restatement</t>
        </r>
      </text>
    </comment>
    <comment ref="CA111" authorId="13">
      <text>
        <r>
          <rPr>
            <b/>
            <sz val="8"/>
            <color indexed="81"/>
            <rFont val="Tahoma"/>
            <family val="2"/>
          </rPr>
          <t>OC48540:</t>
        </r>
        <r>
          <rPr>
            <sz val="8"/>
            <color indexed="81"/>
            <rFont val="Tahoma"/>
            <family val="2"/>
          </rPr>
          <t xml:space="preserve">
5/13/08: exp. 38.7%</t>
        </r>
      </text>
    </comment>
    <comment ref="CE111" authorId="2">
      <text>
        <r>
          <rPr>
            <b/>
            <sz val="8"/>
            <color indexed="81"/>
            <rFont val="Tahoma"/>
            <family val="2"/>
          </rPr>
          <t>mm98285:</t>
        </r>
        <r>
          <rPr>
            <sz val="8"/>
            <color indexed="81"/>
            <rFont val="Tahoma"/>
            <family val="2"/>
          </rPr>
          <t xml:space="preserve">
5/09: 38.4%</t>
        </r>
      </text>
    </comment>
    <comment ref="CI111" authorId="14">
      <text>
        <r>
          <rPr>
            <b/>
            <sz val="8"/>
            <color indexed="81"/>
            <rFont val="Tahoma"/>
            <family val="2"/>
          </rPr>
          <t>lr73192:</t>
        </r>
        <r>
          <rPr>
            <sz val="8"/>
            <color indexed="81"/>
            <rFont val="Tahoma"/>
            <family val="2"/>
          </rPr>
          <t xml:space="preserve">
5/10: mgmt guided to 36.8%</t>
        </r>
      </text>
    </comment>
    <comment ref="CQ111" authorId="3">
      <text>
        <r>
          <rPr>
            <b/>
            <sz val="8"/>
            <color indexed="81"/>
            <rFont val="Tahoma"/>
            <family val="2"/>
          </rPr>
          <t>lauraro:</t>
        </r>
        <r>
          <rPr>
            <sz val="8"/>
            <color indexed="81"/>
            <rFont val="Tahoma"/>
            <family val="2"/>
          </rPr>
          <t xml:space="preserve">
</t>
        </r>
        <r>
          <rPr>
            <b/>
            <sz val="8"/>
            <color indexed="81"/>
            <rFont val="Tahoma"/>
            <family val="2"/>
          </rPr>
          <t xml:space="preserve">5/15: </t>
        </r>
        <r>
          <rPr>
            <sz val="8"/>
            <color indexed="81"/>
            <rFont val="Tahoma"/>
            <family val="2"/>
          </rPr>
          <t>Expect higher tax rate vs LY negatively impacting EPS 1c</t>
        </r>
      </text>
    </comment>
    <comment ref="CU111" authorId="5">
      <text>
        <r>
          <rPr>
            <b/>
            <sz val="8"/>
            <color indexed="81"/>
            <rFont val="Tahoma"/>
            <family val="2"/>
          </rPr>
          <t xml:space="preserve">5/21/2013: </t>
        </r>
        <r>
          <rPr>
            <sz val="8"/>
            <color indexed="81"/>
            <rFont val="Tahoma"/>
            <family val="2"/>
          </rPr>
          <t>tax rate 38.3% guidance</t>
        </r>
      </text>
    </comment>
    <comment ref="CX111" authorId="16">
      <text>
        <r>
          <rPr>
            <b/>
            <sz val="9"/>
            <color indexed="81"/>
            <rFont val="Tahoma"/>
            <family val="2"/>
          </rPr>
          <t xml:space="preserve">8/19/14: </t>
        </r>
        <r>
          <rPr>
            <sz val="9"/>
            <color indexed="81"/>
            <rFont val="Tahoma"/>
            <family val="2"/>
          </rPr>
          <t xml:space="preserve">adjustment for 2c debt extinguishment charge
</t>
        </r>
      </text>
    </comment>
    <comment ref="DC111" authorId="17">
      <text>
        <r>
          <rPr>
            <b/>
            <sz val="9"/>
            <color indexed="81"/>
            <rFont val="Tahoma"/>
            <family val="2"/>
          </rPr>
          <t>casselau:</t>
        </r>
        <r>
          <rPr>
            <sz val="9"/>
            <color indexed="81"/>
            <rFont val="Tahoma"/>
            <family val="2"/>
          </rPr>
          <t xml:space="preserve">
5/19/15: guidance 38% </t>
        </r>
      </text>
    </comment>
    <comment ref="DG111" authorId="9">
      <text>
        <r>
          <rPr>
            <b/>
            <sz val="9"/>
            <color indexed="81"/>
            <rFont val="Tahoma"/>
            <family val="2"/>
          </rPr>
          <t>Baglione, Gregory  (Research):</t>
        </r>
        <r>
          <rPr>
            <sz val="9"/>
            <color indexed="81"/>
            <rFont val="Tahoma"/>
            <family val="2"/>
          </rPr>
          <t xml:space="preserve">
5/17/16
Guidance 38.4%</t>
        </r>
      </text>
    </comment>
    <comment ref="DK111" authorId="10">
      <text>
        <r>
          <rPr>
            <b/>
            <sz val="9"/>
            <color indexed="81"/>
            <rFont val="Tahoma"/>
            <family val="2"/>
          </rPr>
          <t>Roberts, Cynthia (Research):</t>
        </r>
        <r>
          <rPr>
            <sz val="9"/>
            <color indexed="81"/>
            <rFont val="Tahoma"/>
            <family val="2"/>
          </rPr>
          <t xml:space="preserve">
5/16/17: Guidance 37.9%</t>
        </r>
      </text>
    </comment>
    <comment ref="BF112" authorId="25">
      <text>
        <r>
          <rPr>
            <b/>
            <sz val="8"/>
            <color indexed="81"/>
            <rFont val="Tahoma"/>
            <family val="2"/>
          </rPr>
          <t>MB33100:</t>
        </r>
        <r>
          <rPr>
            <sz val="8"/>
            <color indexed="81"/>
            <rFont val="Tahoma"/>
            <family val="2"/>
          </rPr>
          <t xml:space="preserve">
Income tax restated following the company's adoption of the retrospective method of options expensing</t>
        </r>
      </text>
    </comment>
    <comment ref="BJ112" authorId="25">
      <text>
        <r>
          <rPr>
            <b/>
            <sz val="8"/>
            <color indexed="81"/>
            <rFont val="Tahoma"/>
            <family val="2"/>
          </rPr>
          <t>MB33100:</t>
        </r>
        <r>
          <rPr>
            <sz val="8"/>
            <color indexed="81"/>
            <rFont val="Tahoma"/>
            <family val="2"/>
          </rPr>
          <t xml:space="preserve">
Income tax restated following the company's adoption of the retrospective method of options expensing</t>
        </r>
      </text>
    </comment>
    <comment ref="BN112" authorId="25">
      <text>
        <r>
          <rPr>
            <b/>
            <sz val="8"/>
            <color indexed="81"/>
            <rFont val="Tahoma"/>
            <family val="2"/>
          </rPr>
          <t>MB33100:</t>
        </r>
        <r>
          <rPr>
            <sz val="8"/>
            <color indexed="81"/>
            <rFont val="Tahoma"/>
            <family val="2"/>
          </rPr>
          <t xml:space="preserve">
Income tax restated following the company's adoption of the retrospective method of options expensing</t>
        </r>
      </text>
    </comment>
    <comment ref="BO112" authorId="1">
      <text>
        <r>
          <rPr>
            <b/>
            <sz val="8"/>
            <color indexed="81"/>
            <rFont val="Tahoma"/>
            <family val="2"/>
          </rPr>
          <t>Morry Brown:</t>
        </r>
        <r>
          <rPr>
            <sz val="8"/>
            <color indexed="81"/>
            <rFont val="Tahoma"/>
            <family val="2"/>
          </rPr>
          <t xml:space="preserve">
38.5</t>
        </r>
      </text>
    </comment>
    <comment ref="BS112" authorId="25">
      <text>
        <r>
          <rPr>
            <b/>
            <sz val="8"/>
            <color indexed="81"/>
            <rFont val="Tahoma"/>
            <family val="2"/>
          </rPr>
          <t>MB33100:</t>
        </r>
        <r>
          <rPr>
            <sz val="8"/>
            <color indexed="81"/>
            <rFont val="Tahoma"/>
            <family val="2"/>
          </rPr>
          <t xml:space="preserve">
8/06: guided to 38.8% for 3Q
2/06 guided to 38.6% for the full year</t>
        </r>
      </text>
    </comment>
    <comment ref="BV112" authorId="2">
      <text>
        <r>
          <rPr>
            <b/>
            <sz val="8"/>
            <color indexed="81"/>
            <rFont val="Tahoma"/>
            <family val="2"/>
          </rPr>
          <t>mm98285:</t>
        </r>
        <r>
          <rPr>
            <sz val="8"/>
            <color indexed="81"/>
            <rFont val="Tahoma"/>
            <family val="2"/>
          </rPr>
          <t xml:space="preserve">
$150.927 before restatement</t>
        </r>
      </text>
    </comment>
    <comment ref="CA112" authorId="2">
      <text>
        <r>
          <rPr>
            <b/>
            <sz val="8"/>
            <color indexed="81"/>
            <rFont val="Tahoma"/>
            <family val="2"/>
          </rPr>
          <t>mm98285:</t>
        </r>
        <r>
          <rPr>
            <sz val="8"/>
            <color indexed="81"/>
            <rFont val="Tahoma"/>
            <family val="2"/>
          </rPr>
          <t xml:space="preserve">
8/08: guide to 38.6%</t>
        </r>
      </text>
    </comment>
    <comment ref="CE112" authorId="2">
      <text>
        <r>
          <rPr>
            <b/>
            <sz val="8"/>
            <color indexed="81"/>
            <rFont val="Tahoma"/>
            <family val="2"/>
          </rPr>
          <t>mm98285:</t>
        </r>
        <r>
          <rPr>
            <sz val="8"/>
            <color indexed="81"/>
            <rFont val="Tahoma"/>
            <family val="2"/>
          </rPr>
          <t xml:space="preserve">
8/09: 38.1%</t>
        </r>
      </text>
    </comment>
    <comment ref="CI112" authorId="3">
      <text>
        <r>
          <rPr>
            <b/>
            <sz val="8"/>
            <color indexed="81"/>
            <rFont val="Tahoma"/>
            <family val="2"/>
          </rPr>
          <t>lauraro:</t>
        </r>
        <r>
          <rPr>
            <sz val="8"/>
            <color indexed="81"/>
            <rFont val="Tahoma"/>
            <family val="2"/>
          </rPr>
          <t xml:space="preserve">
8/10: mgmt guided to 38.3%</t>
        </r>
      </text>
    </comment>
    <comment ref="CM112" authorId="3">
      <text>
        <r>
          <rPr>
            <b/>
            <sz val="8"/>
            <color indexed="81"/>
            <rFont val="Tahoma"/>
            <family val="2"/>
          </rPr>
          <t>lauraro:</t>
        </r>
        <r>
          <rPr>
            <sz val="8"/>
            <color indexed="81"/>
            <rFont val="Tahoma"/>
            <family val="2"/>
          </rPr>
          <t xml:space="preserve">
</t>
        </r>
        <r>
          <rPr>
            <b/>
            <sz val="8"/>
            <color indexed="81"/>
            <rFont val="Tahoma"/>
            <family val="2"/>
          </rPr>
          <t>10/25/11:</t>
        </r>
        <r>
          <rPr>
            <sz val="8"/>
            <color indexed="81"/>
            <rFont val="Tahoma"/>
            <family val="2"/>
          </rPr>
          <t xml:space="preserve"> With third quarter sales expected near the middle of its previously anticipated range and an unfavorable tax rate relative to its previous guidance, now expects 3Q EPS firmly in the middle of the previously guided range of $1.03-$1.07
</t>
        </r>
        <r>
          <rPr>
            <b/>
            <sz val="8"/>
            <color indexed="81"/>
            <rFont val="Tahoma"/>
            <family val="2"/>
          </rPr>
          <t>8/16/11:</t>
        </r>
        <r>
          <rPr>
            <sz val="8"/>
            <color indexed="81"/>
            <rFont val="Tahoma"/>
            <family val="2"/>
          </rPr>
          <t xml:space="preserve"> 38.1%</t>
        </r>
      </text>
    </comment>
    <comment ref="CQ112" authorId="5">
      <text>
        <r>
          <rPr>
            <b/>
            <sz val="8"/>
            <color indexed="81"/>
            <rFont val="Tahoma"/>
            <family val="2"/>
          </rPr>
          <t>8/14/2012:</t>
        </r>
        <r>
          <rPr>
            <sz val="8"/>
            <color indexed="81"/>
            <rFont val="Tahoma"/>
            <family val="2"/>
          </rPr>
          <t xml:space="preserve"> 38.5%</t>
        </r>
      </text>
    </comment>
    <comment ref="CT112" authorId="6">
      <text>
        <r>
          <rPr>
            <b/>
            <sz val="8"/>
            <color indexed="81"/>
            <rFont val="Tahoma"/>
            <family val="2"/>
          </rPr>
          <t>Adj. to match 75c 3Q Reported number</t>
        </r>
        <r>
          <rPr>
            <sz val="8"/>
            <color indexed="81"/>
            <rFont val="Tahoma"/>
            <family val="2"/>
          </rPr>
          <t xml:space="preserve">
</t>
        </r>
      </text>
    </comment>
    <comment ref="CU112" authorId="15">
      <text>
        <r>
          <rPr>
            <b/>
            <sz val="8"/>
            <color indexed="81"/>
            <rFont val="Tahoma"/>
            <family val="2"/>
          </rPr>
          <t xml:space="preserve">11/19/13: </t>
        </r>
        <r>
          <rPr>
            <sz val="8"/>
            <color indexed="81"/>
            <rFont val="Tahoma"/>
            <family val="2"/>
          </rPr>
          <t xml:space="preserve">$.11 tax benefit, due to reversals of state and foreign tax reserves and allowances. Workers opportunity tax benefit. Would have been 38.1% </t>
        </r>
        <r>
          <rPr>
            <sz val="8"/>
            <color indexed="81"/>
            <rFont val="Tahoma"/>
            <family val="2"/>
          </rPr>
          <t xml:space="preserve">
</t>
        </r>
        <r>
          <rPr>
            <b/>
            <sz val="8"/>
            <color indexed="81"/>
            <rFont val="Tahoma"/>
            <family val="2"/>
          </rPr>
          <t>8/20/2013 guid</t>
        </r>
        <r>
          <rPr>
            <sz val="8"/>
            <color indexed="81"/>
            <rFont val="Tahoma"/>
            <family val="2"/>
          </rPr>
          <t>e = 38.1%</t>
        </r>
      </text>
    </comment>
    <comment ref="CY112" authorId="6">
      <text>
        <r>
          <rPr>
            <b/>
            <sz val="8"/>
            <color indexed="81"/>
            <rFont val="Tahoma"/>
            <family val="2"/>
          </rPr>
          <t xml:space="preserve">8/19/14 guidance: </t>
        </r>
        <r>
          <rPr>
            <sz val="8"/>
            <color indexed="81"/>
            <rFont val="Tahoma"/>
            <family val="2"/>
          </rPr>
          <t>37.7%</t>
        </r>
        <r>
          <rPr>
            <sz val="8"/>
            <color indexed="81"/>
            <rFont val="Tahoma"/>
            <family val="2"/>
          </rPr>
          <t xml:space="preserve">
</t>
        </r>
      </text>
    </comment>
    <comment ref="DC112" authorId="9">
      <text>
        <r>
          <rPr>
            <b/>
            <sz val="9"/>
            <color indexed="81"/>
            <rFont val="Tahoma"/>
            <family val="2"/>
          </rPr>
          <t>Baglione, Gregory  (Research):</t>
        </r>
        <r>
          <rPr>
            <sz val="9"/>
            <color indexed="81"/>
            <rFont val="Tahoma"/>
            <family val="2"/>
          </rPr>
          <t xml:space="preserve">
8/18/15
3Q tax rate 37.5%</t>
        </r>
      </text>
    </comment>
    <comment ref="DG112" authorId="9">
      <text>
        <r>
          <rPr>
            <b/>
            <sz val="9"/>
            <color indexed="81"/>
            <rFont val="Tahoma"/>
            <family val="2"/>
          </rPr>
          <t>Baglione, Gregory  (Research):</t>
        </r>
        <r>
          <rPr>
            <sz val="9"/>
            <color indexed="81"/>
            <rFont val="Tahoma"/>
            <family val="2"/>
          </rPr>
          <t xml:space="preserve">
8/16/16
38.5% tax rate guidance</t>
        </r>
      </text>
    </comment>
    <comment ref="DK112" authorId="10">
      <text>
        <r>
          <rPr>
            <b/>
            <sz val="9"/>
            <color indexed="81"/>
            <rFont val="Tahoma"/>
            <family val="2"/>
          </rPr>
          <t>Roberts, Cynthia (Research):</t>
        </r>
        <r>
          <rPr>
            <sz val="9"/>
            <color indexed="81"/>
            <rFont val="Tahoma"/>
            <family val="2"/>
          </rPr>
          <t xml:space="preserve">
8/15/17: Guidance 37%</t>
        </r>
      </text>
    </comment>
    <comment ref="BF113" authorId="25">
      <text>
        <r>
          <rPr>
            <b/>
            <sz val="8"/>
            <color indexed="81"/>
            <rFont val="Tahoma"/>
            <family val="2"/>
          </rPr>
          <t>MB33100:</t>
        </r>
        <r>
          <rPr>
            <sz val="8"/>
            <color indexed="81"/>
            <rFont val="Tahoma"/>
            <family val="2"/>
          </rPr>
          <t xml:space="preserve">
Income tax restated following the company's adoption of the retrospective method of options expensing</t>
        </r>
      </text>
    </comment>
    <comment ref="BJ113" authorId="25">
      <text>
        <r>
          <rPr>
            <b/>
            <sz val="8"/>
            <color indexed="81"/>
            <rFont val="Tahoma"/>
            <family val="2"/>
          </rPr>
          <t>MB33100:</t>
        </r>
        <r>
          <rPr>
            <sz val="8"/>
            <color indexed="81"/>
            <rFont val="Tahoma"/>
            <family val="2"/>
          </rPr>
          <t xml:space="preserve">
Income tax restated following the company's adoption of the retrospective method of options expensing</t>
        </r>
      </text>
    </comment>
    <comment ref="BN113" authorId="25">
      <text>
        <r>
          <rPr>
            <b/>
            <sz val="8"/>
            <color indexed="81"/>
            <rFont val="Tahoma"/>
            <family val="2"/>
          </rPr>
          <t>MB33100:</t>
        </r>
        <r>
          <rPr>
            <sz val="8"/>
            <color indexed="81"/>
            <rFont val="Tahoma"/>
            <family val="2"/>
          </rPr>
          <t xml:space="preserve">
est. includes $47.0 million tax benefit for repatriated earnings and $21.7 million benefit from correction of deferred tax liability -- net impact is 14c to EPS</t>
        </r>
      </text>
    </comment>
    <comment ref="BO113" authorId="25">
      <text>
        <r>
          <rPr>
            <b/>
            <sz val="8"/>
            <color indexed="81"/>
            <rFont val="Tahoma"/>
            <family val="2"/>
          </rPr>
          <t>MB33100:</t>
        </r>
        <r>
          <rPr>
            <sz val="8"/>
            <color indexed="81"/>
            <rFont val="Tahoma"/>
            <family val="2"/>
          </rPr>
          <t xml:space="preserve">
est. includes $47.0 million tax benefit for repatriated earnings and $21.7 million benefit from correction of deferred tax liability -- net impact is 14c to EPS</t>
        </r>
      </text>
    </comment>
    <comment ref="BS113" authorId="25">
      <text>
        <r>
          <rPr>
            <b/>
            <sz val="8"/>
            <color indexed="81"/>
            <rFont val="Tahoma"/>
            <family val="2"/>
          </rPr>
          <t>MB33100:</t>
        </r>
        <r>
          <rPr>
            <sz val="8"/>
            <color indexed="81"/>
            <rFont val="Tahoma"/>
            <family val="2"/>
          </rPr>
          <t xml:space="preserve">
11/06: expect to be 38.8% in 4Q
2/06 guided to 38.6% for the full year</t>
        </r>
      </text>
    </comment>
    <comment ref="BW113" authorId="13">
      <text>
        <r>
          <rPr>
            <sz val="8"/>
            <color indexed="81"/>
            <rFont val="Tahoma"/>
            <family val="2"/>
          </rPr>
          <t>Guidance issued at 3Q07:</t>
        </r>
        <r>
          <rPr>
            <sz val="8"/>
            <color indexed="81"/>
            <rFont val="Tahoma"/>
            <family val="2"/>
          </rPr>
          <t xml:space="preserve">
~38.4%, </t>
        </r>
      </text>
    </comment>
    <comment ref="CA113" authorId="2">
      <text>
        <r>
          <rPr>
            <b/>
            <sz val="8"/>
            <color indexed="81"/>
            <rFont val="Tahoma"/>
            <family val="2"/>
          </rPr>
          <t>mm98285:</t>
        </r>
        <r>
          <rPr>
            <sz val="8"/>
            <color indexed="81"/>
            <rFont val="Tahoma"/>
            <family val="2"/>
          </rPr>
          <t xml:space="preserve">
11/08: 38.7%</t>
        </r>
      </text>
    </comment>
    <comment ref="CE113" authorId="2">
      <text>
        <r>
          <rPr>
            <b/>
            <sz val="8"/>
            <color indexed="81"/>
            <rFont val="Tahoma"/>
            <family val="2"/>
          </rPr>
          <t>mm98285:</t>
        </r>
        <r>
          <rPr>
            <sz val="8"/>
            <color indexed="81"/>
            <rFont val="Tahoma"/>
            <family val="2"/>
          </rPr>
          <t xml:space="preserve">
11/09: $38.3%</t>
        </r>
      </text>
    </comment>
    <comment ref="CI113" authorId="3">
      <text>
        <r>
          <rPr>
            <b/>
            <sz val="8"/>
            <color indexed="81"/>
            <rFont val="Tahoma"/>
            <family val="2"/>
          </rPr>
          <t>lauraro:</t>
        </r>
        <r>
          <rPr>
            <sz val="8"/>
            <color indexed="81"/>
            <rFont val="Tahoma"/>
            <family val="2"/>
          </rPr>
          <t xml:space="preserve">
11/10: guid 38.8%</t>
        </r>
      </text>
    </comment>
    <comment ref="CM113" authorId="3">
      <text>
        <r>
          <rPr>
            <b/>
            <sz val="8"/>
            <color indexed="81"/>
            <rFont val="Tahoma"/>
            <family val="2"/>
          </rPr>
          <t>lauraro:</t>
        </r>
        <r>
          <rPr>
            <sz val="8"/>
            <color indexed="81"/>
            <rFont val="Tahoma"/>
            <family val="2"/>
          </rPr>
          <t xml:space="preserve">
38.7%</t>
        </r>
      </text>
    </comment>
    <comment ref="CQ113" authorId="5">
      <text>
        <r>
          <rPr>
            <b/>
            <sz val="8"/>
            <color indexed="81"/>
            <rFont val="Tahoma"/>
            <family val="2"/>
          </rPr>
          <t xml:space="preserve">11/13/2012 </t>
        </r>
        <r>
          <rPr>
            <sz val="8"/>
            <color indexed="81"/>
            <rFont val="Tahoma"/>
            <family val="2"/>
          </rPr>
          <t>38.4%;  -1c to EPS</t>
        </r>
      </text>
    </comment>
    <comment ref="CU113" authorId="6">
      <text>
        <r>
          <rPr>
            <b/>
            <sz val="8"/>
            <color indexed="81"/>
            <rFont val="Tahoma"/>
            <family val="2"/>
          </rPr>
          <t xml:space="preserve">11/19/13: </t>
        </r>
        <r>
          <rPr>
            <sz val="8"/>
            <color indexed="81"/>
            <rFont val="Tahoma"/>
            <family val="2"/>
          </rPr>
          <t>guidance 38.2%. 1c negative impact yoy</t>
        </r>
        <r>
          <rPr>
            <sz val="8"/>
            <color indexed="81"/>
            <rFont val="Tahoma"/>
            <family val="2"/>
          </rPr>
          <t xml:space="preserve">
</t>
        </r>
      </text>
    </comment>
    <comment ref="CY113" authorId="16">
      <text>
        <r>
          <rPr>
            <b/>
            <sz val="9"/>
            <color indexed="81"/>
            <rFont val="Tahoma"/>
            <family val="2"/>
          </rPr>
          <t>11/18/14 guidance: 37.8%</t>
        </r>
      </text>
    </comment>
    <comment ref="DC113" authorId="9">
      <text>
        <r>
          <rPr>
            <b/>
            <sz val="9"/>
            <color indexed="81"/>
            <rFont val="Tahoma"/>
            <family val="2"/>
          </rPr>
          <t>Baglione, Gregory  (Research):</t>
        </r>
        <r>
          <rPr>
            <sz val="9"/>
            <color indexed="81"/>
            <rFont val="Tahoma"/>
            <family val="2"/>
          </rPr>
          <t xml:space="preserve">
11/17/15
Guidance 37.4</t>
        </r>
      </text>
    </comment>
    <comment ref="DK113" authorId="10">
      <text>
        <r>
          <rPr>
            <b/>
            <sz val="9"/>
            <color indexed="81"/>
            <rFont val="Tahoma"/>
            <family val="2"/>
          </rPr>
          <t>Roberts, Cynthia (Research):</t>
        </r>
        <r>
          <rPr>
            <sz val="9"/>
            <color indexed="81"/>
            <rFont val="Tahoma"/>
            <family val="2"/>
          </rPr>
          <t xml:space="preserve">
11/14/17: Guidance 38.1%</t>
        </r>
      </text>
    </comment>
    <comment ref="BW114" authorId="2">
      <text>
        <r>
          <rPr>
            <b/>
            <sz val="8"/>
            <color indexed="81"/>
            <rFont val="Tahoma"/>
            <family val="2"/>
          </rPr>
          <t>mm98285:</t>
        </r>
        <r>
          <rPr>
            <sz val="8"/>
            <color indexed="81"/>
            <rFont val="Tahoma"/>
            <family val="2"/>
          </rPr>
          <t xml:space="preserve">
2/07: guided to 38.5</t>
        </r>
      </text>
    </comment>
    <comment ref="CA114" authorId="2">
      <text>
        <r>
          <rPr>
            <b/>
            <sz val="8"/>
            <color indexed="81"/>
            <rFont val="Tahoma"/>
            <family val="2"/>
          </rPr>
          <t>mm98285:</t>
        </r>
        <r>
          <rPr>
            <sz val="8"/>
            <color indexed="81"/>
            <rFont val="Tahoma"/>
            <family val="2"/>
          </rPr>
          <t xml:space="preserve">
2/08: expect 38.5%</t>
        </r>
      </text>
    </comment>
    <comment ref="CI114" authorId="2">
      <text>
        <r>
          <rPr>
            <b/>
            <sz val="8"/>
            <color indexed="81"/>
            <rFont val="Tahoma"/>
            <family val="2"/>
          </rPr>
          <t>mm98285:</t>
        </r>
        <r>
          <rPr>
            <sz val="8"/>
            <color indexed="81"/>
            <rFont val="Tahoma"/>
            <family val="2"/>
          </rPr>
          <t xml:space="preserve">
2/10: 38.4%</t>
        </r>
      </text>
    </comment>
    <comment ref="CM114" authorId="3">
      <text>
        <r>
          <rPr>
            <b/>
            <sz val="8"/>
            <color indexed="81"/>
            <rFont val="Tahoma"/>
            <family val="2"/>
          </rPr>
          <t>lauraro:</t>
        </r>
        <r>
          <rPr>
            <sz val="8"/>
            <color indexed="81"/>
            <rFont val="Tahoma"/>
            <family val="2"/>
          </rPr>
          <t xml:space="preserve">
2/11: Exp 38.1%</t>
        </r>
      </text>
    </comment>
    <comment ref="CQ114" authorId="3">
      <text>
        <r>
          <rPr>
            <b/>
            <sz val="8"/>
            <color indexed="81"/>
            <rFont val="Tahoma"/>
            <family val="2"/>
          </rPr>
          <t xml:space="preserve">11/13/2012: </t>
        </r>
        <r>
          <rPr>
            <sz val="8"/>
            <color indexed="81"/>
            <rFont val="Tahoma"/>
            <family val="2"/>
          </rPr>
          <t xml:space="preserve">38.4%; 2c negative impact from the higher rate included in guidance </t>
        </r>
        <r>
          <rPr>
            <b/>
            <sz val="8"/>
            <color indexed="81"/>
            <rFont val="Tahoma"/>
            <family val="2"/>
          </rPr>
          <t xml:space="preserve">
8/14/12: </t>
        </r>
        <r>
          <rPr>
            <sz val="8"/>
            <color indexed="81"/>
            <rFont val="Tahoma"/>
            <family val="2"/>
          </rPr>
          <t>38.5%</t>
        </r>
        <r>
          <rPr>
            <b/>
            <sz val="8"/>
            <color indexed="81"/>
            <rFont val="Tahoma"/>
            <family val="2"/>
          </rPr>
          <t xml:space="preserve">
lauraro:</t>
        </r>
        <r>
          <rPr>
            <sz val="8"/>
            <color indexed="81"/>
            <rFont val="Tahoma"/>
            <family val="2"/>
          </rPr>
          <t xml:space="preserve">
38.5%</t>
        </r>
      </text>
    </comment>
    <comment ref="CU114" authorId="5">
      <text>
        <r>
          <rPr>
            <b/>
            <sz val="8"/>
            <color indexed="81"/>
            <rFont val="Tahoma"/>
            <family val="2"/>
          </rPr>
          <t xml:space="preserve">2/27/2013 guidance: </t>
        </r>
        <r>
          <rPr>
            <sz val="8"/>
            <color indexed="81"/>
            <rFont val="Tahoma"/>
            <family val="2"/>
          </rPr>
          <t>38.2%</t>
        </r>
      </text>
    </comment>
    <comment ref="CY114" authorId="6">
      <text>
        <r>
          <rPr>
            <b/>
            <sz val="8"/>
            <color indexed="81"/>
            <rFont val="Tahoma"/>
            <family val="2"/>
          </rPr>
          <t xml:space="preserve">2/25/14 guidance: </t>
        </r>
        <r>
          <rPr>
            <sz val="8"/>
            <color indexed="81"/>
            <rFont val="Tahoma"/>
            <family val="2"/>
          </rPr>
          <t>37.8%</t>
        </r>
        <r>
          <rPr>
            <sz val="8"/>
            <color indexed="81"/>
            <rFont val="Tahoma"/>
            <family val="2"/>
          </rPr>
          <t xml:space="preserve">
</t>
        </r>
      </text>
    </comment>
    <comment ref="DC114" authorId="7">
      <text>
        <r>
          <rPr>
            <b/>
            <sz val="9"/>
            <color indexed="81"/>
            <rFont val="Tahoma"/>
            <family val="2"/>
          </rPr>
          <t>Turley, Amber (Research):</t>
        </r>
        <r>
          <rPr>
            <sz val="9"/>
            <color indexed="81"/>
            <rFont val="Tahoma"/>
            <family val="2"/>
          </rPr>
          <t xml:space="preserve">
</t>
        </r>
        <r>
          <rPr>
            <b/>
            <sz val="9"/>
            <color indexed="81"/>
            <rFont val="Tahoma"/>
            <family val="2"/>
          </rPr>
          <t xml:space="preserve">2/25/15 guidance: </t>
        </r>
        <r>
          <rPr>
            <sz val="9"/>
            <color indexed="81"/>
            <rFont val="Tahoma"/>
            <family val="2"/>
          </rPr>
          <t xml:space="preserve"> 37.6%</t>
        </r>
      </text>
    </comment>
    <comment ref="DG114" authorId="9">
      <text>
        <r>
          <rPr>
            <b/>
            <sz val="9"/>
            <color indexed="81"/>
            <rFont val="Tahoma"/>
            <family val="2"/>
          </rPr>
          <t xml:space="preserve">Baglione, Gregory  (Research):
</t>
        </r>
        <r>
          <rPr>
            <sz val="9"/>
            <color indexed="81"/>
            <rFont val="Tahoma"/>
            <family val="2"/>
          </rPr>
          <t>11/16/16
~38.4% FY tax rate</t>
        </r>
        <r>
          <rPr>
            <b/>
            <sz val="9"/>
            <color indexed="81"/>
            <rFont val="Tahoma"/>
            <family val="2"/>
          </rPr>
          <t xml:space="preserve">
</t>
        </r>
        <r>
          <rPr>
            <sz val="9"/>
            <color indexed="81"/>
            <rFont val="Tahoma"/>
            <family val="2"/>
          </rPr>
          <t xml:space="preserve">8/16/16
38.5% tax rate guidance
5/17/16
38.3% FY tax rate
2/26/16 Guidance
FY tax rate 38.2%
</t>
        </r>
      </text>
    </comment>
    <comment ref="DK114" authorId="10">
      <text>
        <r>
          <rPr>
            <b/>
            <sz val="9"/>
            <color indexed="81"/>
            <rFont val="Tahoma"/>
            <family val="2"/>
          </rPr>
          <t>Roberts, Cynthia (Research):</t>
        </r>
        <r>
          <rPr>
            <sz val="9"/>
            <color indexed="81"/>
            <rFont val="Tahoma"/>
            <family val="2"/>
          </rPr>
          <t xml:space="preserve">
11/14/17: Guidance 37.3% 
8/15/17: Guidance ~37%
5/16/17: Guidance 36.8%
2/22/17: Guidance: 36.9%</t>
        </r>
      </text>
    </comment>
    <comment ref="DO114" authorId="10">
      <text>
        <r>
          <rPr>
            <b/>
            <sz val="9"/>
            <color indexed="81"/>
            <rFont val="Tahoma"/>
            <family val="2"/>
          </rPr>
          <t>Roberts, Cynthia (Research):</t>
        </r>
        <r>
          <rPr>
            <sz val="9"/>
            <color indexed="81"/>
            <rFont val="Tahoma"/>
            <family val="2"/>
          </rPr>
          <t xml:space="preserve">
2/28/18: 25.9%</t>
        </r>
      </text>
    </comment>
    <comment ref="CH123" authorId="3">
      <text>
        <r>
          <rPr>
            <b/>
            <sz val="8"/>
            <color indexed="81"/>
            <rFont val="Tahoma"/>
            <family val="2"/>
          </rPr>
          <t>lauraro:</t>
        </r>
        <r>
          <rPr>
            <sz val="8"/>
            <color indexed="81"/>
            <rFont val="Tahoma"/>
            <family val="2"/>
          </rPr>
          <t xml:space="preserve">
12/10/10:
Since the Company anticipates that not all stores will be closed by year-end, a portion of these costs will be recorded in the fourth quarter of fiscal 2011, with the remainder being recorded in the first quarter of fiscal 2012. These amounts are currently estimated as follows:
4Q: 
Net Income ($105M)-($120M)
EPS ($0.27)-($0.30)
1Q: 
Net Income ($45M)-($50M)
EPS ($0.11)-($0.13)</t>
        </r>
      </text>
    </comment>
    <comment ref="BZ129" authorId="2">
      <text>
        <r>
          <rPr>
            <b/>
            <sz val="8"/>
            <color indexed="81"/>
            <rFont val="Tahoma"/>
            <family val="2"/>
          </rPr>
          <t>mm98285:</t>
        </r>
        <r>
          <rPr>
            <sz val="8"/>
            <color indexed="81"/>
            <rFont val="Tahoma"/>
            <family val="2"/>
          </rPr>
          <t xml:space="preserve">
includes Bob's loss (discontinued ops)</t>
        </r>
      </text>
    </comment>
    <comment ref="BR132" authorId="13">
      <text>
        <r>
          <rPr>
            <b/>
            <sz val="8"/>
            <color indexed="81"/>
            <rFont val="Tahoma"/>
            <family val="2"/>
          </rPr>
          <t>OC48540:</t>
        </r>
        <r>
          <rPr>
            <sz val="8"/>
            <color indexed="81"/>
            <rFont val="Tahoma"/>
            <family val="2"/>
          </rPr>
          <t xml:space="preserve">
Loss on disposal of discontinued operations, net of income taxes      
  (38,110)   
Income of discontinued operations, net of income taxes  321  
</t>
        </r>
      </text>
    </comment>
    <comment ref="BV133" authorId="2">
      <text>
        <r>
          <rPr>
            <b/>
            <sz val="8"/>
            <color indexed="81"/>
            <rFont val="Tahoma"/>
            <family val="2"/>
          </rPr>
          <t>mm98285:</t>
        </r>
        <r>
          <rPr>
            <sz val="8"/>
            <color indexed="81"/>
            <rFont val="Tahoma"/>
            <family val="2"/>
          </rPr>
          <t xml:space="preserve">
income from con't ops (excludes $10.682M loss from dicon't ops net of income taxes</t>
        </r>
      </text>
    </comment>
    <comment ref="BZ133" authorId="2">
      <text>
        <r>
          <rPr>
            <b/>
            <sz val="8"/>
            <color indexed="81"/>
            <rFont val="Tahoma"/>
            <family val="2"/>
          </rPr>
          <t>mm98285:</t>
        </r>
        <r>
          <rPr>
            <sz val="8"/>
            <color indexed="81"/>
            <rFont val="Tahoma"/>
            <family val="2"/>
          </rPr>
          <t xml:space="preserve">
income from con't ops (excludes -$34.269 loss from dicon't ops net of tax)</t>
        </r>
      </text>
    </comment>
    <comment ref="N137" authorId="0">
      <text>
        <r>
          <rPr>
            <b/>
            <sz val="8"/>
            <color indexed="81"/>
            <rFont val="Tahoma"/>
            <family val="2"/>
          </rPr>
          <t>lehman:</t>
        </r>
        <r>
          <rPr>
            <sz val="8"/>
            <color indexed="81"/>
            <rFont val="Tahoma"/>
            <family val="2"/>
          </rPr>
          <t xml:space="preserve">
Charge related to defeasance  of $50 million 8 1/8% promissory notes</t>
        </r>
      </text>
    </comment>
    <comment ref="R137" authorId="0">
      <text>
        <r>
          <rPr>
            <b/>
            <sz val="8"/>
            <color indexed="81"/>
            <rFont val="Tahoma"/>
            <family val="2"/>
          </rPr>
          <t>lehman:</t>
        </r>
        <r>
          <rPr>
            <sz val="8"/>
            <color indexed="81"/>
            <rFont val="Tahoma"/>
            <family val="2"/>
          </rPr>
          <t xml:space="preserve">
(-6.145+3.478) is cumulative effect of accounting change related to implementation SFAS No. 109 and 106
(22.657-19.313) is income/loss from discontinued ops of Hit or Miss and Chadwicks</t>
        </r>
      </text>
    </comment>
    <comment ref="V137" authorId="0">
      <text>
        <r>
          <rPr>
            <b/>
            <sz val="8"/>
            <color indexed="81"/>
            <rFont val="Tahoma"/>
            <family val="2"/>
          </rPr>
          <t>lehman:</t>
        </r>
        <r>
          <rPr>
            <sz val="8"/>
            <color indexed="81"/>
            <rFont val="Tahoma"/>
            <family val="2"/>
          </rPr>
          <t xml:space="preserve">
Income from discontinued ops Hit or Miss and Chadwicks</t>
        </r>
      </text>
    </comment>
    <comment ref="Z137" authorId="0">
      <text>
        <r>
          <rPr>
            <b/>
            <sz val="8"/>
            <color indexed="81"/>
            <rFont val="Tahoma"/>
            <family val="2"/>
          </rPr>
          <t>lehman:</t>
        </r>
        <r>
          <rPr>
            <sz val="8"/>
            <color indexed="81"/>
            <rFont val="Tahoma"/>
            <family val="2"/>
          </rPr>
          <t xml:space="preserve">
loss from discontinued operation
(7.372-9.510) is to reflect net income of discontinued ops of Chadwicks</t>
        </r>
      </text>
    </comment>
    <comment ref="AD137" authorId="20">
      <text>
        <r>
          <rPr>
            <b/>
            <sz val="7"/>
            <color indexed="81"/>
            <rFont val="Arial"/>
            <family val="2"/>
          </rPr>
          <t>Lehman Brothers:</t>
        </r>
        <r>
          <rPr>
            <sz val="7"/>
            <color indexed="81"/>
            <rFont val="Arial"/>
            <family val="2"/>
          </rPr>
          <t xml:space="preserve">
Income from discontinuing ops </t>
        </r>
      </text>
    </comment>
    <comment ref="AP137" authorId="20">
      <text>
        <r>
          <rPr>
            <sz val="8"/>
            <color indexed="81"/>
            <rFont val="Tahoma"/>
            <family val="2"/>
          </rPr>
          <t>charge related to adoption of accounting change related to layaways</t>
        </r>
      </text>
    </comment>
    <comment ref="R138" authorId="0">
      <text>
        <r>
          <rPr>
            <b/>
            <sz val="8"/>
            <color indexed="81"/>
            <rFont val="Tahoma"/>
            <family val="2"/>
          </rPr>
          <t>lehman:</t>
        </r>
        <r>
          <rPr>
            <sz val="8"/>
            <color indexed="81"/>
            <rFont val="Tahoma"/>
            <family val="2"/>
          </rPr>
          <t xml:space="preserve">
Income/(loss) from discontinued ops Hit or Miss and Chadwicks</t>
        </r>
      </text>
    </comment>
    <comment ref="V138" authorId="0">
      <text>
        <r>
          <rPr>
            <b/>
            <sz val="8"/>
            <color indexed="81"/>
            <rFont val="Tahoma"/>
            <family val="2"/>
          </rPr>
          <t>lehman:</t>
        </r>
        <r>
          <rPr>
            <sz val="8"/>
            <color indexed="81"/>
            <rFont val="Tahoma"/>
            <family val="2"/>
          </rPr>
          <t xml:space="preserve">
Loss and income from discontinued ops - Hitt or Miss and Chadwicks</t>
        </r>
      </text>
    </comment>
    <comment ref="Z138" authorId="0">
      <text>
        <r>
          <rPr>
            <b/>
            <sz val="8"/>
            <color indexed="81"/>
            <rFont val="Tahoma"/>
            <family val="2"/>
          </rPr>
          <t>lehman:</t>
        </r>
        <r>
          <rPr>
            <sz val="8"/>
            <color indexed="81"/>
            <rFont val="Tahoma"/>
            <family val="2"/>
          </rPr>
          <t xml:space="preserve">
$31.7m is one-time net charge for disposal of Hit or Miss division 
(9.575-7.713) is to reflect net income of discontinued ops of Chadwicks</t>
        </r>
      </text>
    </comment>
    <comment ref="AD138" authorId="20">
      <text>
        <r>
          <rPr>
            <b/>
            <sz val="7"/>
            <color indexed="81"/>
            <rFont val="Arial"/>
            <family val="2"/>
          </rPr>
          <t>Lehman Brothers:</t>
        </r>
        <r>
          <rPr>
            <sz val="7"/>
            <color indexed="81"/>
            <rFont val="Arial"/>
            <family val="2"/>
          </rPr>
          <t xml:space="preserve">
Income from discontinuing ops </t>
        </r>
      </text>
    </comment>
    <comment ref="R139" authorId="0">
      <text>
        <r>
          <rPr>
            <b/>
            <sz val="8"/>
            <color indexed="81"/>
            <rFont val="Tahoma"/>
            <family val="2"/>
          </rPr>
          <t>lehman:</t>
        </r>
        <r>
          <rPr>
            <sz val="8"/>
            <color indexed="81"/>
            <rFont val="Tahoma"/>
            <family val="2"/>
          </rPr>
          <t xml:space="preserve">
Income/(loss) from discontinued ops Hit or Miss and Chadwicks</t>
        </r>
      </text>
    </comment>
    <comment ref="V139" authorId="0">
      <text>
        <r>
          <rPr>
            <b/>
            <sz val="8"/>
            <color indexed="81"/>
            <rFont val="Tahoma"/>
            <family val="2"/>
          </rPr>
          <t>lehman:</t>
        </r>
        <r>
          <rPr>
            <sz val="8"/>
            <color indexed="81"/>
            <rFont val="Tahoma"/>
            <family val="2"/>
          </rPr>
          <t xml:space="preserve">
Loss of Hitt or Miss discont. op plus income from Chadwick discontinued ops</t>
        </r>
      </text>
    </comment>
    <comment ref="Z139" authorId="20">
      <text>
        <r>
          <rPr>
            <b/>
            <sz val="7"/>
            <color indexed="81"/>
            <rFont val="Arial"/>
            <family val="2"/>
          </rPr>
          <t>Lehman Brothers:</t>
        </r>
        <r>
          <rPr>
            <sz val="7"/>
            <color indexed="81"/>
            <rFont val="Arial"/>
            <family val="2"/>
          </rPr>
          <t xml:space="preserve">
Income from discontinuing ops (7.217) </t>
        </r>
      </text>
    </comment>
    <comment ref="AD139" authorId="20">
      <text>
        <r>
          <rPr>
            <b/>
            <sz val="7"/>
            <color indexed="81"/>
            <rFont val="Arial"/>
            <family val="2"/>
          </rPr>
          <t>Lehman Brothers:</t>
        </r>
        <r>
          <rPr>
            <sz val="7"/>
            <color indexed="81"/>
            <rFont val="Arial"/>
            <family val="2"/>
          </rPr>
          <t xml:space="preserve">
Income from discontinuing ops (8.805) and extraordinary charge (-2.885)</t>
        </r>
      </text>
    </comment>
    <comment ref="AH139" authorId="0">
      <text>
        <r>
          <rPr>
            <b/>
            <sz val="8"/>
            <color indexed="81"/>
            <rFont val="Tahoma"/>
            <family val="2"/>
          </rPr>
          <t>lehman:</t>
        </r>
        <r>
          <rPr>
            <sz val="8"/>
            <color indexed="81"/>
            <rFont val="Tahoma"/>
            <family val="2"/>
          </rPr>
          <t xml:space="preserve">
extraordinary charge for early retirement of revolving credit agreement</t>
        </r>
      </text>
    </comment>
    <comment ref="AL139" authorId="20">
      <text>
        <r>
          <rPr>
            <sz val="8"/>
            <color indexed="81"/>
            <rFont val="Tahoma"/>
            <family val="2"/>
          </rPr>
          <t>Loss from discontinued operations - after-tax charge for contigent lease obligations relating to discont'd ops</t>
        </r>
      </text>
    </comment>
    <comment ref="AX139" authorId="20">
      <text>
        <r>
          <rPr>
            <sz val="8"/>
            <color indexed="81"/>
            <rFont val="Arial"/>
            <family val="2"/>
          </rPr>
          <t>net of $27 mil taxes, charge for loss related to discontinued operations related to liquidation of House2Home. PV of potential contingent lease obligations w/ up to 41 locations</t>
        </r>
      </text>
    </comment>
    <comment ref="J140" authorId="0">
      <text>
        <r>
          <rPr>
            <b/>
            <sz val="8"/>
            <color indexed="81"/>
            <rFont val="Tahoma"/>
            <family val="2"/>
          </rPr>
          <t>lehman:</t>
        </r>
        <r>
          <rPr>
            <sz val="8"/>
            <color indexed="81"/>
            <rFont val="Tahoma"/>
            <family val="2"/>
          </rPr>
          <t xml:space="preserve">
Loss of disposal of discontinued operation - Recorded $50 million after tax charge for increasing reserves related to Ames bankruptcy</t>
        </r>
      </text>
    </comment>
    <comment ref="R140" authorId="0">
      <text>
        <r>
          <rPr>
            <b/>
            <sz val="8"/>
            <color indexed="81"/>
            <rFont val="Tahoma"/>
            <family val="2"/>
          </rPr>
          <t>lehman:</t>
        </r>
        <r>
          <rPr>
            <sz val="8"/>
            <color indexed="81"/>
            <rFont val="Tahoma"/>
            <family val="2"/>
          </rPr>
          <t xml:space="preserve">
Income/(loss) from discontinued ops Hit or Miss and Chadwicks</t>
        </r>
      </text>
    </comment>
    <comment ref="Z140" authorId="0">
      <text>
        <r>
          <rPr>
            <b/>
            <sz val="8"/>
            <color indexed="81"/>
            <rFont val="Tahoma"/>
            <family val="2"/>
          </rPr>
          <t>lehman:</t>
        </r>
        <r>
          <rPr>
            <sz val="8"/>
            <color indexed="81"/>
            <rFont val="Tahoma"/>
            <family val="2"/>
          </rPr>
          <t xml:space="preserve">
$3.338 million extraordinary charge for early retirment of debt;
$4.517 million is income from discontinued ops</t>
        </r>
      </text>
    </comment>
    <comment ref="AD140" authorId="0">
      <text>
        <r>
          <rPr>
            <b/>
            <sz val="8"/>
            <color indexed="81"/>
            <rFont val="Tahoma"/>
            <family val="2"/>
          </rPr>
          <t>lehman:</t>
        </r>
        <r>
          <rPr>
            <sz val="8"/>
            <color indexed="81"/>
            <rFont val="Tahoma"/>
            <family val="2"/>
          </rPr>
          <t xml:space="preserve">
$125.6 million is a gain on the disposal of Chadwicks; 
$11.130 is income from discontinued operations;
$2.735 million is extraordinary loss related to early retirement of debt</t>
        </r>
      </text>
    </comment>
    <comment ref="BR177" authorId="25">
      <text>
        <r>
          <rPr>
            <b/>
            <sz val="8"/>
            <color indexed="81"/>
            <rFont val="Tahoma"/>
            <family val="2"/>
          </rPr>
          <t>MB33100:</t>
        </r>
        <r>
          <rPr>
            <sz val="8"/>
            <color indexed="81"/>
            <rFont val="Tahoma"/>
            <family val="2"/>
          </rPr>
          <t xml:space="preserve">
5/06: guided to upper end of range 
2/06 mgmt guided to 31-33c for 1Q</t>
        </r>
      </text>
    </comment>
    <comment ref="BV177" authorId="2">
      <text>
        <r>
          <rPr>
            <sz val="8"/>
            <color indexed="81"/>
            <rFont val="Tahoma"/>
            <family val="2"/>
          </rPr>
          <t xml:space="preserve">Contin. EPS of $0.37
GAAP EPS of $0.34
5/07: reiterate $0.36-$0.38 (ex intrusion of $0.02) </t>
        </r>
        <r>
          <rPr>
            <sz val="8"/>
            <color indexed="81"/>
            <rFont val="Tahoma"/>
            <family val="2"/>
          </rPr>
          <t xml:space="preserve">
2/07: expect $0.36-$0.38</t>
        </r>
      </text>
    </comment>
    <comment ref="BZ177" authorId="2">
      <text>
        <r>
          <rPr>
            <b/>
            <sz val="8"/>
            <color indexed="81"/>
            <rFont val="Tahoma"/>
            <family val="2"/>
          </rPr>
          <t>mm98285:</t>
        </r>
        <r>
          <rPr>
            <sz val="8"/>
            <color indexed="81"/>
            <rFont val="Tahoma"/>
            <family val="2"/>
          </rPr>
          <t xml:space="preserve">
$0.44 excludes $0.01 loss from Bob's
GAAP EPS of $0.43 incl. $0.02 tax benefit
5/08: guided to $0.40-$0.41
4/08: guided to "at or low-end of prior $0.40-$0.41"
2/08: guided to $0.40-$0.41</t>
        </r>
      </text>
    </comment>
    <comment ref="CD177" authorId="2">
      <text>
        <r>
          <rPr>
            <b/>
            <sz val="8"/>
            <color indexed="81"/>
            <rFont val="Tahoma"/>
            <family val="2"/>
          </rPr>
          <t>mm98285:</t>
        </r>
        <r>
          <rPr>
            <sz val="8"/>
            <color indexed="81"/>
            <rFont val="Tahoma"/>
            <family val="2"/>
          </rPr>
          <t xml:space="preserve">
5/09: expect $0.47-$0.49
4/09: expect at or slightly above high end of prev range of 32-38c
3/09: reit 32-38c (incl -2c FX impact)
2/09: expect $0.32-$0.38 (incl. -$0.02 F/X impact)</t>
        </r>
      </text>
    </comment>
    <comment ref="CE177" authorId="2">
      <text>
        <r>
          <rPr>
            <b/>
            <sz val="8"/>
            <color indexed="81"/>
            <rFont val="Tahoma"/>
            <family val="2"/>
          </rPr>
          <t>mm98285:</t>
        </r>
        <r>
          <rPr>
            <sz val="8"/>
            <color indexed="81"/>
            <rFont val="Tahoma"/>
            <family val="2"/>
          </rPr>
          <t xml:space="preserve">
+8.5% exc. 2c tax benefit LY</t>
        </r>
      </text>
    </comment>
    <comment ref="CH177" authorId="2">
      <text>
        <r>
          <rPr>
            <b/>
            <sz val="8"/>
            <color indexed="81"/>
            <rFont val="Tahoma"/>
            <family val="2"/>
          </rPr>
          <t xml:space="preserve">mm98285:
</t>
        </r>
        <r>
          <rPr>
            <sz val="8"/>
            <color indexed="81"/>
            <rFont val="Tahoma"/>
            <family val="2"/>
          </rPr>
          <t>5/10: updated to high end of prior 76c-79c</t>
        </r>
        <r>
          <rPr>
            <sz val="8"/>
            <color indexed="81"/>
            <rFont val="Tahoma"/>
            <family val="2"/>
          </rPr>
          <t xml:space="preserve">
4/10: changed to $0.76 - $0.79
3/10: no update to 60-65c
2/10: $0.60-$0.65</t>
        </r>
      </text>
    </comment>
    <comment ref="CL177" authorId="3">
      <text>
        <r>
          <rPr>
            <b/>
            <sz val="8"/>
            <color indexed="81"/>
            <rFont val="Tahoma"/>
            <family val="2"/>
          </rPr>
          <t>lauraro:</t>
        </r>
        <r>
          <rPr>
            <sz val="8"/>
            <color indexed="81"/>
            <rFont val="Tahoma"/>
            <family val="2"/>
          </rPr>
          <t xml:space="preserve">
5/11: Reiterate $0.75-$0.82 including $0.03/share negative impact due to FX
4/11: Still $0.75-$0.82
</t>
        </r>
        <r>
          <rPr>
            <b/>
            <sz val="8"/>
            <color indexed="81"/>
            <rFont val="Tahoma"/>
            <family val="2"/>
          </rPr>
          <t xml:space="preserve">2/11: </t>
        </r>
        <r>
          <rPr>
            <sz val="8"/>
            <color indexed="81"/>
            <rFont val="Tahoma"/>
            <family val="2"/>
          </rPr>
          <t>exp $0.75-$0.82</t>
        </r>
        <r>
          <rPr>
            <sz val="8"/>
            <color indexed="81"/>
            <rFont val="Tahoma"/>
            <family val="2"/>
          </rPr>
          <t xml:space="preserve">
12/10: this action will negatively impact 1Q11 results due to three items. </t>
        </r>
        <r>
          <rPr>
            <b/>
            <sz val="8"/>
            <color indexed="81"/>
            <rFont val="Tahoma"/>
            <family val="2"/>
          </rPr>
          <t>1)</t>
        </r>
        <r>
          <rPr>
            <sz val="8"/>
            <color indexed="81"/>
            <rFont val="Tahoma"/>
            <family val="2"/>
          </rPr>
          <t xml:space="preserve"> a portion</t>
        </r>
        <r>
          <rPr>
            <b/>
            <sz val="8"/>
            <color indexed="81"/>
            <rFont val="Tahoma"/>
            <family val="2"/>
          </rPr>
          <t xml:space="preserve"> ($0.11-0.13)</t>
        </r>
        <r>
          <rPr>
            <sz val="8"/>
            <color indexed="81"/>
            <rFont val="Tahoma"/>
            <family val="2"/>
          </rPr>
          <t xml:space="preserve"> of the non-recurring costs to close A.J. Wright will be recorded in the first quarter of fiscal 2012. </t>
        </r>
        <r>
          <rPr>
            <b/>
            <sz val="8"/>
            <color indexed="81"/>
            <rFont val="Tahoma"/>
            <family val="2"/>
          </rPr>
          <t>2)</t>
        </r>
        <r>
          <rPr>
            <sz val="8"/>
            <color indexed="81"/>
            <rFont val="Tahoma"/>
            <family val="2"/>
          </rPr>
          <t xml:space="preserve">, the Company will record non-recurring costs </t>
        </r>
        <r>
          <rPr>
            <b/>
            <sz val="8"/>
            <color indexed="81"/>
            <rFont val="Tahoma"/>
            <family val="2"/>
          </rPr>
          <t>($0.03-0.04)</t>
        </r>
        <r>
          <rPr>
            <sz val="8"/>
            <color indexed="81"/>
            <rFont val="Tahoma"/>
            <family val="2"/>
          </rPr>
          <t xml:space="preserve"> related to the conversion of the 91 A.J. Wright stores (primarily store payroll and occupancy costs during the approximate eight-week period in which the stores are closed) and the costs related to grand opening events when the stores re-open. </t>
        </r>
        <r>
          <rPr>
            <b/>
            <sz val="8"/>
            <color indexed="81"/>
            <rFont val="Tahoma"/>
            <family val="2"/>
          </rPr>
          <t>3)</t>
        </r>
        <r>
          <rPr>
            <sz val="8"/>
            <color indexed="81"/>
            <rFont val="Tahoma"/>
            <family val="2"/>
          </rPr>
          <t xml:space="preserve"> A.J. Wright earned segment profit in the first quarter of fiscal 2011 of </t>
        </r>
        <r>
          <rPr>
            <sz val="8"/>
            <color indexed="81"/>
            <rFont val="Tahoma"/>
            <family val="2"/>
          </rPr>
          <t>$10M</t>
        </r>
        <r>
          <rPr>
            <sz val="8"/>
            <color indexed="81"/>
            <rFont val="Tahoma"/>
            <family val="2"/>
          </rPr>
          <t xml:space="preserve"> </t>
        </r>
        <r>
          <rPr>
            <b/>
            <sz val="8"/>
            <color indexed="81"/>
            <rFont val="Tahoma"/>
            <family val="2"/>
          </rPr>
          <t>($0.01)</t>
        </r>
        <r>
          <rPr>
            <sz val="8"/>
            <color indexed="81"/>
            <rFont val="Tahoma"/>
            <family val="2"/>
          </rPr>
          <t xml:space="preserve"> that will not be repeated in fiscal 2012 or replaced in the fiscal 2012 first quarter with sales from the converted stores.
</t>
        </r>
        <r>
          <rPr>
            <b/>
            <sz val="8"/>
            <color indexed="81"/>
            <rFont val="Tahoma"/>
            <family val="2"/>
          </rPr>
          <t>Total: $0.15-0.18 negative EPS impact</t>
        </r>
        <r>
          <rPr>
            <sz val="8"/>
            <color indexed="81"/>
            <rFont val="Tahoma"/>
            <family val="2"/>
          </rPr>
          <t xml:space="preserve"> </t>
        </r>
      </text>
    </comment>
    <comment ref="CP177" authorId="3">
      <text>
        <r>
          <rPr>
            <b/>
            <sz val="8"/>
            <color indexed="81"/>
            <rFont val="Tahoma"/>
            <family val="2"/>
          </rPr>
          <t>lauraro:</t>
        </r>
        <r>
          <rPr>
            <sz val="8"/>
            <color indexed="81"/>
            <rFont val="Tahoma"/>
            <family val="2"/>
          </rPr>
          <t xml:space="preserve">
5/3/12: Raise EPS to approximately 54c
4/5/12: Raise EPS to $0.51-$0.52
3/1: Reit 45-47c
2/22/12: 45-47c</t>
        </r>
      </text>
    </comment>
    <comment ref="CT177" authorId="5">
      <text>
        <r>
          <rPr>
            <b/>
            <sz val="8"/>
            <color indexed="81"/>
            <rFont val="Tahoma"/>
            <family val="2"/>
          </rPr>
          <t xml:space="preserve">5/9/2013: </t>
        </r>
        <r>
          <rPr>
            <sz val="8"/>
            <color indexed="81"/>
            <rFont val="Tahoma"/>
            <family val="2"/>
          </rPr>
          <t>61-62c</t>
        </r>
        <r>
          <rPr>
            <b/>
            <sz val="8"/>
            <color indexed="81"/>
            <rFont val="Tahoma"/>
            <family val="2"/>
          </rPr>
          <t xml:space="preserve">
4/11/2013: </t>
        </r>
        <r>
          <rPr>
            <sz val="8"/>
            <color indexed="81"/>
            <rFont val="Tahoma"/>
            <family val="2"/>
          </rPr>
          <t>60-62c</t>
        </r>
        <r>
          <rPr>
            <b/>
            <sz val="8"/>
            <color indexed="81"/>
            <rFont val="Tahoma"/>
            <family val="2"/>
          </rPr>
          <t xml:space="preserve">
3/7/2013 guidance: </t>
        </r>
        <r>
          <rPr>
            <sz val="8"/>
            <color indexed="81"/>
            <rFont val="Tahoma"/>
            <family val="2"/>
          </rPr>
          <t>59-62c</t>
        </r>
        <r>
          <rPr>
            <b/>
            <sz val="8"/>
            <color indexed="81"/>
            <rFont val="Tahoma"/>
            <family val="2"/>
          </rPr>
          <t xml:space="preserve">
2/27/2013 guidance: </t>
        </r>
        <r>
          <rPr>
            <sz val="8"/>
            <color indexed="81"/>
            <rFont val="Tahoma"/>
            <family val="2"/>
          </rPr>
          <t>59-62c, +7-13% w/ -1c impact from FX</t>
        </r>
      </text>
    </comment>
    <comment ref="CX177" authorId="6">
      <text>
        <r>
          <rPr>
            <b/>
            <sz val="8"/>
            <color indexed="81"/>
            <rFont val="Tahoma"/>
            <family val="2"/>
          </rPr>
          <t xml:space="preserve">2/25/14 guidance: </t>
        </r>
        <r>
          <rPr>
            <sz val="8"/>
            <color indexed="81"/>
            <rFont val="Tahoma"/>
            <family val="2"/>
          </rPr>
          <t>65-66c. Includes 1c negative impact from FX</t>
        </r>
        <r>
          <rPr>
            <sz val="8"/>
            <color indexed="81"/>
            <rFont val="Tahoma"/>
            <family val="2"/>
          </rPr>
          <t xml:space="preserve">
</t>
        </r>
        <r>
          <rPr>
            <b/>
            <sz val="8"/>
            <color indexed="81"/>
            <rFont val="Tahoma"/>
            <family val="2"/>
          </rPr>
          <t>5/20/14:</t>
        </r>
        <r>
          <rPr>
            <sz val="8"/>
            <color indexed="81"/>
            <rFont val="Tahoma"/>
            <family val="2"/>
          </rPr>
          <t xml:space="preserve"> FX impact -2c vs. -1c LY</t>
        </r>
      </text>
    </comment>
    <comment ref="DB177" authorId="7">
      <text>
        <r>
          <rPr>
            <sz val="9"/>
            <color indexed="81"/>
            <rFont val="Tahoma"/>
            <family val="2"/>
          </rPr>
          <t xml:space="preserve">5/19/15: FX impact -4c vs. -2c LY (does not include transactional)
</t>
        </r>
        <r>
          <rPr>
            <b/>
            <sz val="9"/>
            <color indexed="81"/>
            <rFont val="Tahoma"/>
            <family val="2"/>
          </rPr>
          <t xml:space="preserve">2/25/15 Guidance: </t>
        </r>
        <r>
          <rPr>
            <sz val="9"/>
            <color indexed="81"/>
            <rFont val="Tahoma"/>
            <family val="2"/>
          </rPr>
          <t xml:space="preserve">$0.64-$0.66 (assumes 4% negative impact from F/X including3% due to translation effect and 1% from effect of F/X on merchandise margin). The company also expects combo of incremental investments to support growth, employee payroll and pension costs to negatively impact EPS by an additional 5%. </t>
        </r>
      </text>
    </comment>
    <comment ref="DF177" authorId="9">
      <text>
        <r>
          <rPr>
            <b/>
            <sz val="9"/>
            <color indexed="81"/>
            <rFont val="Tahoma"/>
            <family val="2"/>
          </rPr>
          <t>Baglione, Gregory  (Research):</t>
        </r>
        <r>
          <rPr>
            <sz val="9"/>
            <color indexed="81"/>
            <rFont val="Tahoma"/>
            <family val="2"/>
          </rPr>
          <t xml:space="preserve">
2/24/16
For the first quarter of Fiscal 2017, the Company expects diluted earnings per share to be in the range of $.68 to $.70 compared to $.69 last year. This guidance reflects an assumption that the combination of foreign currency and transactional foreign exchange will have a 2% negative impact on EPS growth. The Company also expects its wage initiative will negatively impact EPS growth by 3%. This EPS outlook is based upon estimated consolidated comparable store sales growth of 2% to 3%.
</t>
        </r>
      </text>
    </comment>
    <comment ref="DJ177" authorId="10">
      <text>
        <r>
          <rPr>
            <b/>
            <sz val="9"/>
            <color indexed="81"/>
            <rFont val="Tahoma"/>
            <family val="2"/>
          </rPr>
          <t>Roberts, Cynthia (Research):</t>
        </r>
        <r>
          <rPr>
            <sz val="9"/>
            <color indexed="81"/>
            <rFont val="Tahoma"/>
            <family val="2"/>
          </rPr>
          <t xml:space="preserve">
5/16/17: wage increases -3%, FX +7%, +4% share based compensation
2/22/17
Guidance: $0.76-$0.78; -3% impact from wage increases, 6% benefit from foreign currency and transactional foreign exchange, 1% benefit from change in share based comp accounting.</t>
        </r>
      </text>
    </comment>
    <comment ref="DN177" authorId="10">
      <text>
        <r>
          <rPr>
            <b/>
            <sz val="9"/>
            <color indexed="81"/>
            <rFont val="Tahoma"/>
            <family val="2"/>
          </rPr>
          <t>Roberts, Cynthia (Research):</t>
        </r>
        <r>
          <rPr>
            <sz val="9"/>
            <color indexed="81"/>
            <rFont val="Tahoma"/>
            <family val="2"/>
          </rPr>
          <t xml:space="preserve">
2/28/18: Guidance $1.00-$1.02; 15-16c from lower tax rate</t>
        </r>
      </text>
    </comment>
    <comment ref="BF178" authorId="0">
      <text>
        <r>
          <rPr>
            <sz val="8"/>
            <color indexed="81"/>
            <rFont val="Tahoma"/>
            <family val="2"/>
          </rPr>
          <t>4q02 conf call - guided to $0.25 to $0.28 on GM of 24.2 and SGA of 16.9</t>
        </r>
      </text>
    </comment>
    <comment ref="BN178" authorId="1">
      <text>
        <r>
          <rPr>
            <b/>
            <sz val="8"/>
            <color indexed="81"/>
            <rFont val="Tahoma"/>
            <family val="2"/>
          </rPr>
          <t>Morry Brown:</t>
        </r>
        <r>
          <rPr>
            <sz val="8"/>
            <color indexed="81"/>
            <rFont val="Tahoma"/>
            <family val="2"/>
          </rPr>
          <t xml:space="preserve">
$0.27-$0.29 guidance affirmed on 1Q call
7/7/05 lowered guidance to 25c-26c on june sales call</t>
        </r>
      </text>
    </comment>
    <comment ref="BR178" authorId="2">
      <text>
        <r>
          <rPr>
            <b/>
            <sz val="8"/>
            <color indexed="81"/>
            <rFont val="Tahoma"/>
            <family val="2"/>
          </rPr>
          <t>mm98285:</t>
        </r>
        <r>
          <rPr>
            <sz val="8"/>
            <color indexed="81"/>
            <rFont val="Tahoma"/>
            <family val="2"/>
          </rPr>
          <t xml:space="preserve">
8/06: mgmt guided to slightly above prev range
7/06: mgmt guided to at or slightly above high end of prev guidance
5/06: mgmt guided to $0.24-$0.26</t>
        </r>
      </text>
    </comment>
    <comment ref="BV178" authorId="12">
      <text>
        <r>
          <rPr>
            <sz val="8"/>
            <color indexed="81"/>
            <rFont val="Tahoma"/>
            <family val="2"/>
          </rPr>
          <t>Contin. EPS of $0.38
GAAP EPS of $0.13
$0.38 is a continuing EPS, excludes $0.23 reserve charge related to co. exposure to potential losses and $0.02 per share cost incurred during quarter related to computer intrusion charges</t>
        </r>
        <r>
          <rPr>
            <b/>
            <sz val="8"/>
            <color indexed="81"/>
            <rFont val="Tahoma"/>
            <family val="2"/>
          </rPr>
          <t xml:space="preserve">
oc48540:</t>
        </r>
        <r>
          <rPr>
            <sz val="8"/>
            <color indexed="81"/>
            <rFont val="Tahoma"/>
            <family val="2"/>
          </rPr>
          <t xml:space="preserve">
7/07: now expect 34-36c (excl. comp intruson costs of 2-3c)
Contin. EPS of $0.38
GAAP EPS of $0.34
May sales: continue to expect $0.29-$0.32 inc 2-3c of intrusion costs ex costs $0.32-$0.34x</t>
        </r>
      </text>
    </comment>
    <comment ref="BZ178" authorId="13">
      <text>
        <r>
          <rPr>
            <b/>
            <sz val="8"/>
            <color indexed="81"/>
            <rFont val="Tahoma"/>
            <family val="2"/>
          </rPr>
          <t>OC48540:</t>
        </r>
        <r>
          <rPr>
            <sz val="8"/>
            <color indexed="81"/>
            <rFont val="Tahoma"/>
            <family val="2"/>
          </rPr>
          <t xml:space="preserve">
$0.48 excl 2c Bob's impairment &amp; $0.01 Bob's loss
$0.45 GAAP EPS (incl. 2c Bobs impairment)
8/08: expect $0.46-$0.47 ex 2c for Bob's impairment
7/08: expect $0.44-$0.45
5/13/08: Guiding to $0.40 to $0.42. </t>
        </r>
      </text>
    </comment>
    <comment ref="CD178" authorId="2">
      <text>
        <r>
          <rPr>
            <b/>
            <sz val="8"/>
            <color indexed="81"/>
            <rFont val="Tahoma"/>
            <family val="2"/>
          </rPr>
          <t>mm98285:</t>
        </r>
        <r>
          <rPr>
            <sz val="8"/>
            <color indexed="81"/>
            <rFont val="Tahoma"/>
            <family val="2"/>
          </rPr>
          <t xml:space="preserve">
8/09: high-end of prior $0.56-$0.59
7/09: raise to $0.56-$0.59
6/09: reit $0.43-$0.49
5/09: $0.43-$0.49</t>
        </r>
      </text>
    </comment>
    <comment ref="CH178" authorId="28">
      <text>
        <r>
          <rPr>
            <b/>
            <sz val="8"/>
            <color indexed="81"/>
            <rFont val="Tahoma"/>
            <family val="2"/>
          </rPr>
          <t>TI23070:</t>
        </r>
        <r>
          <rPr>
            <sz val="8"/>
            <color indexed="81"/>
            <rFont val="Tahoma"/>
            <family val="2"/>
          </rPr>
          <t xml:space="preserve">
1c YOY benefit from F/X offset by 2c higher tax rate; also 73c excludes 1c benefit from reduction in computer intrusion provision
8/5/10: At or slightly above high end of $0.70-$0.73
6/10: no update to 67-72c</t>
        </r>
      </text>
    </comment>
    <comment ref="CL178" authorId="3">
      <text>
        <r>
          <rPr>
            <b/>
            <sz val="8"/>
            <color indexed="81"/>
            <rFont val="Tahoma"/>
            <family val="2"/>
          </rPr>
          <t xml:space="preserve">8/4/11: </t>
        </r>
        <r>
          <rPr>
            <sz val="8"/>
            <color indexed="81"/>
            <rFont val="Tahoma"/>
            <family val="2"/>
          </rPr>
          <t>Raise 2Q guidance to $0.88-$0.89</t>
        </r>
        <r>
          <rPr>
            <b/>
            <sz val="8"/>
            <color indexed="81"/>
            <rFont val="Tahoma"/>
            <family val="2"/>
          </rPr>
          <t xml:space="preserve">
7/7/11: </t>
        </r>
        <r>
          <rPr>
            <sz val="8"/>
            <color indexed="81"/>
            <rFont val="Tahoma"/>
            <family val="2"/>
          </rPr>
          <t>Now expect 2Q EPS at or slightly above high end of previously guided range</t>
        </r>
        <r>
          <rPr>
            <b/>
            <sz val="8"/>
            <color indexed="81"/>
            <rFont val="Tahoma"/>
            <family val="2"/>
          </rPr>
          <t xml:space="preserve">
6/1/11: Reit $0.81-$0.86
5/17/11: </t>
        </r>
        <r>
          <rPr>
            <sz val="8"/>
            <color indexed="81"/>
            <rFont val="Tahoma"/>
            <family val="2"/>
          </rPr>
          <t>Exp $0.81-$0.86 (11-18% increase vs. LY)</t>
        </r>
        <r>
          <rPr>
            <sz val="8"/>
            <color indexed="81"/>
            <rFont val="Tahoma"/>
            <family val="2"/>
          </rPr>
          <t xml:space="preserve">
</t>
        </r>
        <r>
          <rPr>
            <b/>
            <sz val="8"/>
            <color indexed="81"/>
            <rFont val="Tahoma"/>
            <family val="2"/>
          </rPr>
          <t>12/10:</t>
        </r>
        <r>
          <rPr>
            <sz val="8"/>
            <color indexed="81"/>
            <rFont val="Tahoma"/>
            <family val="2"/>
          </rPr>
          <t xml:space="preserve"> EPS during 2Q, 3Q, 4Q in FY11 are expected, overall, to be positively impacted by the A.J. Wright consolidation. There are three factors that impact this period. </t>
        </r>
        <r>
          <rPr>
            <b/>
            <sz val="8"/>
            <color indexed="81"/>
            <rFont val="Tahoma"/>
            <family val="2"/>
          </rPr>
          <t xml:space="preserve">1) </t>
        </r>
        <r>
          <rPr>
            <sz val="8"/>
            <color indexed="81"/>
            <rFont val="Tahoma"/>
            <family val="2"/>
          </rPr>
          <t>d</t>
        </r>
        <r>
          <rPr>
            <sz val="8"/>
            <color indexed="81"/>
            <rFont val="Tahoma"/>
            <family val="2"/>
          </rPr>
          <t xml:space="preserve">uring this period, Marmaxx and HomeGoods segment profit is estimated, in aggregate, to be increased by </t>
        </r>
        <r>
          <rPr>
            <b/>
            <sz val="8"/>
            <color indexed="81"/>
            <rFont val="Tahoma"/>
            <family val="2"/>
          </rPr>
          <t>$20M to $25M ($0.03-0.04)</t>
        </r>
        <r>
          <rPr>
            <sz val="8"/>
            <color indexed="81"/>
            <rFont val="Tahoma"/>
            <family val="2"/>
          </rPr>
          <t xml:space="preserve"> by this action. </t>
        </r>
        <r>
          <rPr>
            <b/>
            <sz val="8"/>
            <color indexed="81"/>
            <rFont val="Tahoma"/>
            <family val="2"/>
          </rPr>
          <t xml:space="preserve">2) </t>
        </r>
        <r>
          <rPr>
            <sz val="8"/>
            <color indexed="81"/>
            <rFont val="Tahoma"/>
            <family val="2"/>
          </rPr>
          <t xml:space="preserve">A.J. Wright earned </t>
        </r>
        <r>
          <rPr>
            <b/>
            <sz val="8"/>
            <color indexed="81"/>
            <rFont val="Tahoma"/>
            <family val="2"/>
          </rPr>
          <t>$1M</t>
        </r>
        <r>
          <rPr>
            <sz val="8"/>
            <color indexed="81"/>
            <rFont val="Tahoma"/>
            <family val="2"/>
          </rPr>
          <t xml:space="preserve"> </t>
        </r>
        <r>
          <rPr>
            <b/>
            <sz val="8"/>
            <color indexed="81"/>
            <rFont val="Tahoma"/>
            <family val="2"/>
          </rPr>
          <t>($0.00)</t>
        </r>
        <r>
          <rPr>
            <sz val="8"/>
            <color indexed="81"/>
            <rFont val="Tahoma"/>
            <family val="2"/>
          </rPr>
          <t xml:space="preserve"> in segment profit during the second and third quarters in fiscal 2011, which will not be repeated in fiscal 2012. </t>
        </r>
        <r>
          <rPr>
            <b/>
            <sz val="8"/>
            <color indexed="81"/>
            <rFont val="Tahoma"/>
            <family val="2"/>
          </rPr>
          <t>3)</t>
        </r>
        <r>
          <rPr>
            <sz val="8"/>
            <color indexed="81"/>
            <rFont val="Tahoma"/>
            <family val="2"/>
          </rPr>
          <t xml:space="preserve"> the estimated 4Q operating loss </t>
        </r>
        <r>
          <rPr>
            <b/>
            <sz val="8"/>
            <color indexed="81"/>
            <rFont val="Tahoma"/>
            <family val="2"/>
          </rPr>
          <t>($175-200M) ($0.27-$0.30)</t>
        </r>
        <r>
          <rPr>
            <sz val="8"/>
            <color indexed="81"/>
            <rFont val="Tahoma"/>
            <family val="2"/>
          </rPr>
          <t xml:space="preserve"> incurred in the 4Q10 (primarily due to the costs of the A.J. Wright closing), will not be repeated in FY11. 
</t>
        </r>
        <r>
          <rPr>
            <b/>
            <sz val="8"/>
            <color indexed="81"/>
            <rFont val="Tahoma"/>
            <family val="2"/>
          </rPr>
          <t>Estimated total benefit: $0.30-0.34M (Recurring= $0.03-0.04)</t>
        </r>
      </text>
    </comment>
    <comment ref="CM178" authorId="3">
      <text>
        <r>
          <rPr>
            <b/>
            <sz val="8"/>
            <color indexed="81"/>
            <rFont val="Tahoma"/>
            <family val="2"/>
          </rPr>
          <t>lauraro:</t>
        </r>
        <r>
          <rPr>
            <sz val="8"/>
            <color indexed="81"/>
            <rFont val="Tahoma"/>
            <family val="2"/>
          </rPr>
          <t xml:space="preserve">
2/11: ~12-15% EPS growth</t>
        </r>
      </text>
    </comment>
    <comment ref="CP178" authorId="3">
      <text>
        <r>
          <rPr>
            <b/>
            <sz val="8"/>
            <color indexed="81"/>
            <rFont val="Tahoma"/>
            <family val="2"/>
          </rPr>
          <t xml:space="preserve">8/14/12: </t>
        </r>
        <r>
          <rPr>
            <sz val="8"/>
            <color indexed="81"/>
            <rFont val="Tahoma"/>
            <family val="2"/>
          </rPr>
          <t>Fx neutral to EPS 56-59c</t>
        </r>
        <r>
          <rPr>
            <b/>
            <sz val="8"/>
            <color indexed="81"/>
            <rFont val="Tahoma"/>
            <family val="2"/>
          </rPr>
          <t xml:space="preserve">
8/2/12: </t>
        </r>
        <r>
          <rPr>
            <sz val="8"/>
            <color indexed="81"/>
            <rFont val="Tahoma"/>
            <family val="2"/>
          </rPr>
          <t>Guidance raised to 55c</t>
        </r>
        <r>
          <rPr>
            <b/>
            <sz val="8"/>
            <color indexed="81"/>
            <rFont val="Tahoma"/>
            <family val="2"/>
          </rPr>
          <t xml:space="preserve">
7/5/12: </t>
        </r>
        <r>
          <rPr>
            <sz val="8"/>
            <color indexed="81"/>
            <rFont val="Tahoma"/>
            <family val="2"/>
          </rPr>
          <t>Guidance raised to 52-53c vs prev at high end of 47-50c. Prev est at 50c</t>
        </r>
        <r>
          <rPr>
            <b/>
            <sz val="8"/>
            <color indexed="81"/>
            <rFont val="Tahoma"/>
            <family val="2"/>
          </rPr>
          <t xml:space="preserve">
lauraro:
</t>
        </r>
        <r>
          <rPr>
            <b/>
            <sz val="8"/>
            <color indexed="81"/>
            <rFont val="Tahoma"/>
            <family val="2"/>
          </rPr>
          <t>5/31:</t>
        </r>
        <r>
          <rPr>
            <sz val="8"/>
            <color indexed="81"/>
            <rFont val="Tahoma"/>
            <family val="2"/>
          </rPr>
          <t xml:space="preserve"> At high end of previously guided 47-50c
</t>
        </r>
        <r>
          <rPr>
            <b/>
            <sz val="8"/>
            <color indexed="81"/>
            <rFont val="Tahoma"/>
            <family val="2"/>
          </rPr>
          <t xml:space="preserve">5/15: </t>
        </r>
        <r>
          <rPr>
            <sz val="8"/>
            <color indexed="81"/>
            <rFont val="Tahoma"/>
            <family val="2"/>
          </rPr>
          <t>47-50c</t>
        </r>
      </text>
    </comment>
    <comment ref="CT178" authorId="5">
      <text>
        <r>
          <rPr>
            <b/>
            <sz val="8"/>
            <color indexed="81"/>
            <rFont val="Tahoma"/>
            <family val="2"/>
          </rPr>
          <t>5/21/2013 guidance:</t>
        </r>
        <r>
          <rPr>
            <sz val="8"/>
            <color indexed="81"/>
            <rFont val="Tahoma"/>
            <family val="2"/>
          </rPr>
          <t xml:space="preserve"> 61-63c</t>
        </r>
      </text>
    </comment>
    <comment ref="CU178" authorId="15">
      <text>
        <r>
          <rPr>
            <sz val="8"/>
            <color indexed="81"/>
            <rFont val="Tahoma"/>
            <family val="2"/>
          </rPr>
          <t>8/20/13: The overall net impact of foreign currency exchange rates had a neutral impact on second quarter Fiscal 2014 earnings per share, compared with a neutral impact last year.</t>
        </r>
      </text>
    </comment>
    <comment ref="CX178" authorId="16">
      <text>
        <r>
          <rPr>
            <b/>
            <sz val="9"/>
            <color indexed="81"/>
            <rFont val="Tahoma"/>
            <family val="2"/>
          </rPr>
          <t xml:space="preserve">8/19/14: </t>
        </r>
        <r>
          <rPr>
            <sz val="9"/>
            <color indexed="81"/>
            <rFont val="Tahoma"/>
            <family val="2"/>
          </rPr>
          <t>Excluding 2c debt extinguishment charge. FX impact neutral (vs. neutral LY)</t>
        </r>
        <r>
          <rPr>
            <b/>
            <sz val="9"/>
            <color indexed="81"/>
            <rFont val="Tahoma"/>
            <family val="2"/>
          </rPr>
          <t xml:space="preserve">
5/20/14 guidance:</t>
        </r>
        <r>
          <rPr>
            <sz val="9"/>
            <color indexed="81"/>
            <rFont val="Tahoma"/>
            <family val="2"/>
          </rPr>
          <t xml:space="preserve"> 70-74c
</t>
        </r>
      </text>
    </comment>
    <comment ref="DB178" authorId="8">
      <text>
        <r>
          <rPr>
            <b/>
            <sz val="9"/>
            <color indexed="81"/>
            <rFont val="Tahoma"/>
            <family val="2"/>
          </rPr>
          <t>Mains, Spencer (Research):</t>
        </r>
        <r>
          <rPr>
            <sz val="9"/>
            <color indexed="81"/>
            <rFont val="Tahoma"/>
            <family val="2"/>
          </rPr>
          <t xml:space="preserve">
5/19/15: guidance 72c-74c.  Guidance reflects assumption that FX, wages, incremental investments and pension costs will have a -9% impact on EPS growth.</t>
        </r>
      </text>
    </comment>
    <comment ref="DF178" authorId="9">
      <text>
        <r>
          <rPr>
            <b/>
            <sz val="9"/>
            <color indexed="81"/>
            <rFont val="Tahoma"/>
            <family val="2"/>
          </rPr>
          <t>Baglione, Gregory  (Research):</t>
        </r>
        <r>
          <rPr>
            <sz val="9"/>
            <color indexed="81"/>
            <rFont val="Tahoma"/>
            <family val="2"/>
          </rPr>
          <t xml:space="preserve">
8/16/16
The movement in foreign currency exchange rates had a two percentage point negative impact on consolidated net sales growth in the second quarter of Fiscal 2017. The overall net impact of foreign currency exchange rates had a $.03 positive impact on second quarter Fiscal 2017 earnings per share, compared with a $.02 positive impact last year.
5/17/16
For the second quarter of Fiscal 2017, the Company expects diluted earnings per share to be in the range of $.77 to $.79 compared to $.80 last year. This guidance reflects an assumption that wage increases will negatively impact EPS growth by 3%. The Company also expects the combination of foreign currency and transactional foreign exchange will have an additional 2% negative impact on EPS growth.</t>
        </r>
      </text>
    </comment>
    <comment ref="DJ178" authorId="10">
      <text>
        <r>
          <rPr>
            <b/>
            <sz val="9"/>
            <color indexed="81"/>
            <rFont val="Tahoma"/>
            <family val="2"/>
          </rPr>
          <t>Roberts, Cynthia (Research):</t>
        </r>
        <r>
          <rPr>
            <sz val="9"/>
            <color indexed="81"/>
            <rFont val="Tahoma"/>
            <family val="2"/>
          </rPr>
          <t xml:space="preserve">
8/15/17: -8% (-4c) impact from FX vs. +3c LY; mgmt noted "significant headwinds from FX", -2% wage increase, share based comp accounting a slight favorable
5/16/17: Guidance 81c-83c. Reflects FX -4%, wage increases -2%, share based comp acct +1%</t>
        </r>
      </text>
    </comment>
    <comment ref="BF179" authorId="0">
      <text>
        <r>
          <rPr>
            <sz val="8"/>
            <color indexed="81"/>
            <rFont val="Tahoma"/>
            <family val="2"/>
          </rPr>
          <t>4q02 conf call - guided to $0.34 to $0.37 on GM of 25.6 and SGA of 16.4 and sales of 3.4 bil</t>
        </r>
      </text>
    </comment>
    <comment ref="BJ179" authorId="11">
      <text>
        <r>
          <rPr>
            <b/>
            <sz val="8"/>
            <color indexed="81"/>
            <rFont val="Tahoma"/>
            <family val="2"/>
          </rPr>
          <t>MS:</t>
        </r>
        <r>
          <rPr>
            <sz val="8"/>
            <color indexed="81"/>
            <rFont val="Tahoma"/>
            <family val="2"/>
          </rPr>
          <t xml:space="preserve">
8/17 maintained guidance for $0.39-0.42
10/7 Co. said at low end of 39-42c range</t>
        </r>
      </text>
    </comment>
    <comment ref="BN179" authorId="1">
      <text>
        <r>
          <rPr>
            <b/>
            <sz val="8"/>
            <color indexed="81"/>
            <rFont val="Tahoma"/>
            <family val="2"/>
          </rPr>
          <t>Morry Brown:</t>
        </r>
        <r>
          <rPr>
            <sz val="8"/>
            <color indexed="81"/>
            <rFont val="Tahoma"/>
            <family val="2"/>
          </rPr>
          <t xml:space="preserve">
32c includes 2c expense of one-time items (3Q EPS would be 34c excluding these items)
11/3 lowered guidance to 34c
10/6 lowered to 36-38c (from 43-45c), including 3.5c one time charges</t>
        </r>
      </text>
    </comment>
    <comment ref="BR179" authorId="2">
      <text>
        <r>
          <rPr>
            <b/>
            <sz val="8"/>
            <color indexed="81"/>
            <rFont val="Tahoma"/>
            <family val="2"/>
          </rPr>
          <t>mm98285:</t>
        </r>
        <r>
          <rPr>
            <sz val="8"/>
            <color indexed="81"/>
            <rFont val="Tahoma"/>
            <family val="2"/>
          </rPr>
          <t xml:space="preserve">
11/06: expect above prior guid of 44-45
10/06: raised guidance to 44-45c
8/06: mgmt guided to 39-41c</t>
        </r>
      </text>
    </comment>
    <comment ref="BV179" authorId="12">
      <text>
        <r>
          <rPr>
            <sz val="8"/>
            <color indexed="81"/>
            <rFont val="Tahoma"/>
            <family val="2"/>
          </rPr>
          <t>@Aug: Reiterate $0.53-$0.55</t>
        </r>
        <r>
          <rPr>
            <b/>
            <sz val="8"/>
            <color indexed="81"/>
            <rFont val="Tahoma"/>
            <family val="2"/>
          </rPr>
          <t xml:space="preserve">
oc48540:</t>
        </r>
        <r>
          <rPr>
            <sz val="8"/>
            <color indexed="81"/>
            <rFont val="Tahoma"/>
            <family val="2"/>
          </rPr>
          <t xml:space="preserve">
@2Q07: expects $0.53-$0.55</t>
        </r>
      </text>
    </comment>
    <comment ref="BZ179" authorId="2">
      <text>
        <r>
          <rPr>
            <b/>
            <sz val="8"/>
            <color indexed="81"/>
            <rFont val="Tahoma"/>
            <family val="2"/>
          </rPr>
          <t>mm98285:</t>
        </r>
        <r>
          <rPr>
            <sz val="8"/>
            <color indexed="81"/>
            <rFont val="Tahoma"/>
            <family val="2"/>
          </rPr>
          <t xml:space="preserve">
8/09: incl. +5c from mark to market
11/08: slightly below prior range ex. f/x impact &amp; lower reserve for computer intrusion
10/08: $0.55-$0.58 (incl 1c F/X headwind)
8/08: guided to $0.59-$0.62</t>
        </r>
      </text>
    </comment>
    <comment ref="CD179" authorId="2">
      <text>
        <r>
          <rPr>
            <b/>
            <sz val="8"/>
            <color indexed="81"/>
            <rFont val="Tahoma"/>
            <family val="2"/>
          </rPr>
          <t>mm98285:</t>
        </r>
        <r>
          <rPr>
            <sz val="8"/>
            <color indexed="81"/>
            <rFont val="Tahoma"/>
            <family val="2"/>
          </rPr>
          <t xml:space="preserve">
includes 2c F/X benefit (-1c F/X translation offset by +3c mark-to-market adj.) 
11/09: raised to at or slightly above prior 77-79c
10/19/09: $0.77-$0.79
10/09: $0.71-$0.74
9/09: No update to below
8/09: $0.62-$0.68 incl. +1c F/X (+2c mark to market, -1c F/X transl.)</t>
        </r>
      </text>
    </comment>
    <comment ref="CH179" authorId="3">
      <text>
        <r>
          <rPr>
            <b/>
            <sz val="8"/>
            <color indexed="81"/>
            <rFont val="Tahoma"/>
            <family val="2"/>
          </rPr>
          <t>lauraro:</t>
        </r>
        <r>
          <rPr>
            <sz val="8"/>
            <color indexed="81"/>
            <rFont val="Tahoma"/>
            <family val="2"/>
          </rPr>
          <t xml:space="preserve">
incl +$0.01 benefit from FX
11/10: comfortable with the high end of previously guided range 89-91c
10/10: raise to 89-91c
8/10: mgmt guides 3Q EPS $0.86-$0.91 (incl 2c F/X hit) &amp; 2H EPS to be $1.75-$1.85 (incl 3c F/X hit)</t>
        </r>
      </text>
    </comment>
    <comment ref="CL179" authorId="3">
      <text>
        <r>
          <rPr>
            <b/>
            <sz val="8"/>
            <color indexed="81"/>
            <rFont val="Tahoma"/>
            <family val="2"/>
          </rPr>
          <t>11/15/11: CEO</t>
        </r>
        <r>
          <rPr>
            <sz val="8"/>
            <color indexed="81"/>
            <rFont val="Tahoma"/>
            <family val="2"/>
          </rPr>
          <t xml:space="preserve"> - "We achieved these strong results despite unseasonably warm weather during the quarter in many key regions of the U.S. and Canada, which hindered demand for fall apparel. We are also encouraged by the progress we are making at TJX Europe. Further, it's important to note that sales in the U.S. picked up when the weather turned cooler and we ended the quarter strongly."</t>
        </r>
        <r>
          <rPr>
            <b/>
            <sz val="8"/>
            <color indexed="81"/>
            <rFont val="Tahoma"/>
            <family val="2"/>
          </rPr>
          <t xml:space="preserve">
10/25/11: </t>
        </r>
        <r>
          <rPr>
            <sz val="8"/>
            <color indexed="81"/>
            <rFont val="Tahoma"/>
            <family val="2"/>
          </rPr>
          <t>With third quarter sales expected near the middle of its previously anticipated range and an unfavorable tax rate relative to its previous guidance, now expects 3Q EPS firmly in the middle of the previously guided range of $1.03-$1.07</t>
        </r>
        <r>
          <rPr>
            <b/>
            <sz val="8"/>
            <color indexed="81"/>
            <rFont val="Tahoma"/>
            <family val="2"/>
          </rPr>
          <t xml:space="preserve">
9/1/11: </t>
        </r>
        <r>
          <rPr>
            <sz val="8"/>
            <color indexed="81"/>
            <rFont val="Tahoma"/>
            <family val="2"/>
          </rPr>
          <t>Reit $1.03-$1.07</t>
        </r>
        <r>
          <rPr>
            <b/>
            <sz val="8"/>
            <color indexed="81"/>
            <rFont val="Tahoma"/>
            <family val="2"/>
          </rPr>
          <t xml:space="preserve">
8/16/11: </t>
        </r>
        <r>
          <rPr>
            <sz val="8"/>
            <color indexed="81"/>
            <rFont val="Tahoma"/>
            <family val="2"/>
          </rPr>
          <t>$1.03-$1.07, cont to expect 2H $2.22-$2.30</t>
        </r>
        <r>
          <rPr>
            <b/>
            <sz val="8"/>
            <color indexed="81"/>
            <rFont val="Tahoma"/>
            <family val="2"/>
          </rPr>
          <t xml:space="preserve">
5/17/11: </t>
        </r>
        <r>
          <rPr>
            <sz val="8"/>
            <color indexed="81"/>
            <rFont val="Tahoma"/>
            <family val="2"/>
          </rPr>
          <t>Back half $2.22-$2.30</t>
        </r>
        <r>
          <rPr>
            <sz val="8"/>
            <color indexed="81"/>
            <rFont val="Tahoma"/>
            <family val="2"/>
          </rPr>
          <t xml:space="preserve">
</t>
        </r>
        <r>
          <rPr>
            <b/>
            <sz val="8"/>
            <color indexed="81"/>
            <rFont val="Tahoma"/>
            <family val="2"/>
          </rPr>
          <t>12/10:</t>
        </r>
        <r>
          <rPr>
            <sz val="8"/>
            <color indexed="81"/>
            <rFont val="Tahoma"/>
            <family val="2"/>
          </rPr>
          <t xml:space="preserve"> EPS during 2Q, 3Q, 4Q in FY11 are expected, overall, to be positively impacted by the A.J. Wright consolidation. There are three factors that impact this period. </t>
        </r>
        <r>
          <rPr>
            <b/>
            <sz val="8"/>
            <color indexed="81"/>
            <rFont val="Tahoma"/>
            <family val="2"/>
          </rPr>
          <t xml:space="preserve">1) </t>
        </r>
        <r>
          <rPr>
            <sz val="8"/>
            <color indexed="81"/>
            <rFont val="Tahoma"/>
            <family val="2"/>
          </rPr>
          <t>d</t>
        </r>
        <r>
          <rPr>
            <sz val="8"/>
            <color indexed="81"/>
            <rFont val="Tahoma"/>
            <family val="2"/>
          </rPr>
          <t xml:space="preserve">uring this period, Marmaxx and HomeGoods segment profit is estimated, in aggregate, to be increased by </t>
        </r>
        <r>
          <rPr>
            <b/>
            <sz val="8"/>
            <color indexed="81"/>
            <rFont val="Tahoma"/>
            <family val="2"/>
          </rPr>
          <t>$20M to $25M ($0.03-0.04)</t>
        </r>
        <r>
          <rPr>
            <sz val="8"/>
            <color indexed="81"/>
            <rFont val="Tahoma"/>
            <family val="2"/>
          </rPr>
          <t xml:space="preserve"> by this action. </t>
        </r>
        <r>
          <rPr>
            <b/>
            <sz val="8"/>
            <color indexed="81"/>
            <rFont val="Tahoma"/>
            <family val="2"/>
          </rPr>
          <t xml:space="preserve">2) </t>
        </r>
        <r>
          <rPr>
            <sz val="8"/>
            <color indexed="81"/>
            <rFont val="Tahoma"/>
            <family val="2"/>
          </rPr>
          <t xml:space="preserve">A.J. Wright earned </t>
        </r>
        <r>
          <rPr>
            <b/>
            <sz val="8"/>
            <color indexed="81"/>
            <rFont val="Tahoma"/>
            <family val="2"/>
          </rPr>
          <t>$1M</t>
        </r>
        <r>
          <rPr>
            <sz val="8"/>
            <color indexed="81"/>
            <rFont val="Tahoma"/>
            <family val="2"/>
          </rPr>
          <t xml:space="preserve"> </t>
        </r>
        <r>
          <rPr>
            <b/>
            <sz val="8"/>
            <color indexed="81"/>
            <rFont val="Tahoma"/>
            <family val="2"/>
          </rPr>
          <t>($0.00)</t>
        </r>
        <r>
          <rPr>
            <sz val="8"/>
            <color indexed="81"/>
            <rFont val="Tahoma"/>
            <family val="2"/>
          </rPr>
          <t xml:space="preserve"> in segment profit during the second and third quarters in fiscal 2011, which will not be repeated in fiscal 2012. </t>
        </r>
        <r>
          <rPr>
            <b/>
            <sz val="8"/>
            <color indexed="81"/>
            <rFont val="Tahoma"/>
            <family val="2"/>
          </rPr>
          <t>3)</t>
        </r>
        <r>
          <rPr>
            <sz val="8"/>
            <color indexed="81"/>
            <rFont val="Tahoma"/>
            <family val="2"/>
          </rPr>
          <t xml:space="preserve"> the estimated 4Q operating loss </t>
        </r>
        <r>
          <rPr>
            <b/>
            <sz val="8"/>
            <color indexed="81"/>
            <rFont val="Tahoma"/>
            <family val="2"/>
          </rPr>
          <t>($175-200M) ($0.27-$0.30)</t>
        </r>
        <r>
          <rPr>
            <sz val="8"/>
            <color indexed="81"/>
            <rFont val="Tahoma"/>
            <family val="2"/>
          </rPr>
          <t xml:space="preserve"> incurred in the 4Q10 (primarily due to the costs of the A.J. Wright closing), will not be repeated in FY11. 
</t>
        </r>
        <r>
          <rPr>
            <b/>
            <sz val="8"/>
            <color indexed="81"/>
            <rFont val="Tahoma"/>
            <family val="2"/>
          </rPr>
          <t>Estimated total benefit: $0.30-0.34M (Recurring= $0.03-0.04)</t>
        </r>
      </text>
    </comment>
    <comment ref="CM179" authorId="3">
      <text>
        <r>
          <rPr>
            <b/>
            <sz val="8"/>
            <color indexed="81"/>
            <rFont val="Tahoma"/>
            <family val="2"/>
          </rPr>
          <t>lauraro:</t>
        </r>
        <r>
          <rPr>
            <sz val="8"/>
            <color indexed="81"/>
            <rFont val="Tahoma"/>
            <family val="2"/>
          </rPr>
          <t xml:space="preserve">
2/11: ~12-15% EPS growth</t>
        </r>
      </text>
    </comment>
    <comment ref="CP179" authorId="5">
      <text>
        <r>
          <rPr>
            <b/>
            <sz val="8"/>
            <color indexed="81"/>
            <rFont val="Tahoma"/>
            <family val="2"/>
          </rPr>
          <t xml:space="preserve">11/13/2012: </t>
        </r>
        <r>
          <rPr>
            <sz val="8"/>
            <color indexed="81"/>
            <rFont val="Tahoma"/>
            <family val="2"/>
          </rPr>
          <t>includes -3c impact from 1) pension accrual adjustment 2c and 2) non-op charge related to store closing reserve 1c</t>
        </r>
        <r>
          <rPr>
            <b/>
            <sz val="8"/>
            <color indexed="81"/>
            <rFont val="Tahoma"/>
            <family val="2"/>
          </rPr>
          <t xml:space="preserve">
11/1: </t>
        </r>
        <r>
          <rPr>
            <sz val="8"/>
            <color indexed="81"/>
            <rFont val="Tahoma"/>
            <family val="2"/>
          </rPr>
          <t>expect approximately $0.61, including one time $0.02 charge</t>
        </r>
        <r>
          <rPr>
            <b/>
            <sz val="8"/>
            <color indexed="81"/>
            <rFont val="Tahoma"/>
            <family val="2"/>
          </rPr>
          <t xml:space="preserve">
10/4/2012: </t>
        </r>
        <r>
          <rPr>
            <sz val="8"/>
            <color indexed="81"/>
            <rFont val="Tahoma"/>
            <family val="2"/>
          </rPr>
          <t>would have raised FY EPS guidance, but now expects 1-time 2c charge from pension accrual correction; mtn $0.56-$0.59 (implies $0.58-$0.61 ex 1- time item) (consensus = $0.61)</t>
        </r>
        <r>
          <rPr>
            <b/>
            <sz val="8"/>
            <color indexed="81"/>
            <rFont val="Tahoma"/>
            <family val="2"/>
          </rPr>
          <t xml:space="preserve">
8/30/12: </t>
        </r>
        <r>
          <rPr>
            <sz val="8"/>
            <color indexed="81"/>
            <rFont val="Tahoma"/>
            <family val="2"/>
          </rPr>
          <t>raised to near high end of prior $0.56-$0.59; cons: 0.61</t>
        </r>
        <r>
          <rPr>
            <b/>
            <sz val="8"/>
            <color indexed="81"/>
            <rFont val="Tahoma"/>
            <family val="2"/>
          </rPr>
          <t xml:space="preserve">
8/14/12:
</t>
        </r>
        <r>
          <rPr>
            <sz val="8"/>
            <color indexed="81"/>
            <rFont val="Tahoma"/>
            <family val="2"/>
          </rPr>
          <t>2H: $1.28-$1.34
3Q: $0.56-$0.59 (inc. $0 FX impact)</t>
        </r>
      </text>
    </comment>
    <comment ref="CT179" authorId="17">
      <text>
        <r>
          <rPr>
            <b/>
            <sz val="8"/>
            <color indexed="81"/>
            <rFont val="Tahoma"/>
            <family val="2"/>
          </rPr>
          <t xml:space="preserve">11/19/13: </t>
        </r>
        <r>
          <rPr>
            <sz val="8"/>
            <color indexed="81"/>
            <rFont val="Tahoma"/>
            <family val="2"/>
          </rPr>
          <t xml:space="preserve">includes 11c tax benefit. </t>
        </r>
        <r>
          <rPr>
            <b/>
            <sz val="8"/>
            <color indexed="81"/>
            <rFont val="Tahoma"/>
            <family val="2"/>
          </rPr>
          <t xml:space="preserve">
10/21/13:</t>
        </r>
        <r>
          <rPr>
            <sz val="8"/>
            <color indexed="81"/>
            <rFont val="Tahoma"/>
            <family val="2"/>
          </rPr>
          <t xml:space="preserve"> new guidance $0.73-$0.74
</t>
        </r>
        <r>
          <rPr>
            <b/>
            <sz val="8"/>
            <color indexed="81"/>
            <rFont val="Tahoma"/>
            <family val="2"/>
          </rPr>
          <t>8/20/13:</t>
        </r>
        <r>
          <rPr>
            <sz val="8"/>
            <color indexed="81"/>
            <rFont val="Tahoma"/>
            <family val="2"/>
          </rPr>
          <t xml:space="preserve"> guidance $0.69-$0.72.  FX likely to have a $0.01 negative impact</t>
        </r>
      </text>
    </comment>
    <comment ref="CX179" authorId="16">
      <text>
        <r>
          <rPr>
            <b/>
            <sz val="9"/>
            <color indexed="81"/>
            <rFont val="Tahoma"/>
            <family val="2"/>
          </rPr>
          <t xml:space="preserve">8/19/14 guidance: </t>
        </r>
        <r>
          <rPr>
            <sz val="9"/>
            <color indexed="81"/>
            <rFont val="Tahoma"/>
            <family val="2"/>
          </rPr>
          <t xml:space="preserve">81-85c. FX rates are expected to have a 1c positive impact on EPS this year versus a neutral impact last year
</t>
        </r>
      </text>
    </comment>
    <comment ref="DB179" authorId="9">
      <text>
        <r>
          <rPr>
            <b/>
            <sz val="9"/>
            <color indexed="81"/>
            <rFont val="Tahoma"/>
            <family val="2"/>
          </rPr>
          <t>Baglione, Gregory  (Research):</t>
        </r>
        <r>
          <rPr>
            <sz val="9"/>
            <color indexed="81"/>
            <rFont val="Tahoma"/>
            <family val="2"/>
          </rPr>
          <t xml:space="preserve">
8/18/15- Guidance 80-82c</t>
        </r>
      </text>
    </comment>
    <comment ref="DF179" authorId="9">
      <text>
        <r>
          <rPr>
            <b/>
            <sz val="9"/>
            <color indexed="81"/>
            <rFont val="Tahoma"/>
            <family val="2"/>
          </rPr>
          <t>Baglione, Gregory  (Research):</t>
        </r>
        <r>
          <rPr>
            <sz val="9"/>
            <color indexed="81"/>
            <rFont val="Tahoma"/>
            <family val="2"/>
          </rPr>
          <t xml:space="preserve">
11/16/16
FX 1% headwind, wage increases 3% headwind.
8/16/16
For the third quarter of Fiscal 2017, the Company expects diluted earnings per share to be in the range of $.83 to $.85 compared to $.86 last year. This guidance reflects an assumption that wage increases will negatively impact EPS growth by 3%. The Company also expects the combination of foreign currency and transactional foreign exchange will have an additional 3% negative impact on EPS growth. This EPS outlook is based upon estimated consolidated comparable store sales growth of 2% to 3%.</t>
        </r>
      </text>
    </comment>
    <comment ref="DJ179" authorId="10">
      <text>
        <r>
          <rPr>
            <b/>
            <sz val="9"/>
            <color indexed="81"/>
            <rFont val="Tahoma"/>
            <family val="2"/>
          </rPr>
          <t>Roberts, Cynthia (Research):</t>
        </r>
        <r>
          <rPr>
            <sz val="9"/>
            <color indexed="81"/>
            <rFont val="Tahoma"/>
            <family val="2"/>
          </rPr>
          <t xml:space="preserve">
11/14/17: -3c impact from hurricanes, +4c FX
8/15/17: Guidance $0.98-$1.00; reflects wage increases -1%, FX +3%, share based comp +2% </t>
        </r>
      </text>
    </comment>
    <comment ref="BF180" authorId="0">
      <text>
        <r>
          <rPr>
            <sz val="8"/>
            <color indexed="81"/>
            <rFont val="Tahoma"/>
            <family val="2"/>
          </rPr>
          <t>4q02 conf call -guided to $0.41 to $0.44 on GM of 23.6 and SGA of 14.7, sales of 4.1 bil.  Guidance incl. $0.04 of benefit due to 53rd week</t>
        </r>
      </text>
    </comment>
    <comment ref="BJ180" authorId="11">
      <text>
        <r>
          <rPr>
            <b/>
            <sz val="8"/>
            <color indexed="81"/>
            <rFont val="Tahoma"/>
            <family val="2"/>
          </rPr>
          <t>MS:</t>
        </r>
        <r>
          <rPr>
            <sz val="8"/>
            <color indexed="81"/>
            <rFont val="Tahoma"/>
            <family val="2"/>
          </rPr>
          <t xml:space="preserve">
8/17 guided to 0.39-0.42, down from 0.40-0.43</t>
        </r>
      </text>
    </comment>
    <comment ref="BN180" authorId="1">
      <text>
        <r>
          <rPr>
            <b/>
            <sz val="8"/>
            <color indexed="81"/>
            <rFont val="Tahoma"/>
            <family val="2"/>
          </rPr>
          <t>Morry Brown:</t>
        </r>
        <r>
          <rPr>
            <sz val="8"/>
            <color indexed="81"/>
            <rFont val="Tahoma"/>
            <family val="2"/>
          </rPr>
          <t xml:space="preserve">
2/06 said would exceed 41-43c range before pos impact of one-time tax ben and options expensing.
10/6 lowered to 41-43c from 43-45c</t>
        </r>
      </text>
    </comment>
    <comment ref="BR180" authorId="2">
      <text>
        <r>
          <rPr>
            <b/>
            <sz val="8"/>
            <color indexed="81"/>
            <rFont val="Tahoma"/>
            <family val="2"/>
          </rPr>
          <t>mm98285:</t>
        </r>
        <r>
          <rPr>
            <sz val="8"/>
            <color indexed="81"/>
            <rFont val="Tahoma"/>
            <family val="2"/>
          </rPr>
          <t xml:space="preserve">
2/07: our estimate of $0.50 incl $0.01 charge for systems breach
1/07: guid to high end of range (48-50c) excluding 1c charge
11/06: guid to 48-50c</t>
        </r>
      </text>
    </comment>
    <comment ref="BV180" authorId="12">
      <text>
        <r>
          <rPr>
            <sz val="7"/>
            <color indexed="81"/>
            <rFont val="Tahoma"/>
            <family val="2"/>
          </rPr>
          <t xml:space="preserve">2/08: We now expect 4Q EPS from con't ops to be near the high end of our previously anticipated range of $0.60 - $0.63. </t>
        </r>
        <r>
          <rPr>
            <b/>
            <sz val="7"/>
            <color indexed="81"/>
            <rFont val="Tahoma"/>
            <family val="2"/>
          </rPr>
          <t xml:space="preserve">
oc48540:
</t>
        </r>
        <r>
          <rPr>
            <sz val="7"/>
            <color indexed="81"/>
            <rFont val="Tahoma"/>
            <family val="2"/>
          </rPr>
          <t xml:space="preserve">1/08: raised guid to $0.60-$0.63
</t>
        </r>
        <r>
          <rPr>
            <b/>
            <sz val="7"/>
            <color indexed="81"/>
            <rFont val="Tahoma"/>
            <family val="2"/>
          </rPr>
          <t xml:space="preserve">
</t>
        </r>
        <r>
          <rPr>
            <sz val="7"/>
            <color indexed="81"/>
            <rFont val="Tahoma"/>
            <family val="2"/>
          </rPr>
          <t>@3Q07: Guided to $0.58-$0.60 (reiterated in Nov)</t>
        </r>
        <r>
          <rPr>
            <b/>
            <sz val="7"/>
            <color indexed="81"/>
            <rFont val="Tahoma"/>
            <family val="2"/>
          </rPr>
          <t xml:space="preserve">
</t>
        </r>
        <r>
          <rPr>
            <sz val="7"/>
            <color indexed="81"/>
            <rFont val="Tahoma"/>
            <family val="2"/>
          </rPr>
          <t xml:space="preserve">
@2Q07: Guided to $0.57-$0.59</t>
        </r>
      </text>
    </comment>
    <comment ref="BZ180" authorId="12">
      <text>
        <r>
          <rPr>
            <b/>
            <sz val="8"/>
            <color indexed="81"/>
            <rFont val="Tahoma"/>
            <family val="2"/>
          </rPr>
          <t>oc48540:</t>
        </r>
        <r>
          <rPr>
            <sz val="8"/>
            <color indexed="81"/>
            <rFont val="Tahoma"/>
            <family val="2"/>
          </rPr>
          <t xml:space="preserve">
$(0.10) impact from F/X, $0.09 from extra week (excludes 3c benefit from computer intrusion)
2/09: 50-51c
1/09: $0.50-$0.51
1/09: 47c-51c
1/09: expect $0.48-$0.52 (incl. 9c extra week and net -11c from F/X)
12/08: withdrawal of previous 58-62c; plan to update on dec. sales
11/08: expect $0.58-$0.62 incl. F/X impact
8/12/08: Expects $0.79-$0.81</t>
        </r>
      </text>
    </comment>
    <comment ref="CD180" authorId="2">
      <text>
        <r>
          <rPr>
            <b/>
            <sz val="8"/>
            <color indexed="81"/>
            <rFont val="Tahoma"/>
            <family val="2"/>
          </rPr>
          <t>mm98285:</t>
        </r>
        <r>
          <rPr>
            <sz val="8"/>
            <color indexed="81"/>
            <rFont val="Tahoma"/>
            <family val="2"/>
          </rPr>
          <t xml:space="preserve">
2/10: FX = +3c benefit
2/10: raised to $0.90-$0.91
1/10: raised guid to $0.82-$0.84
12/09: 65-71c incl. +2c fx benefit
11/09: $0.65-$0.71 incluces 2c F/X benefit
10/09: $0.60-$0.66
8/09: $0.55-$0.61 incl +2c from F/X translation</t>
        </r>
      </text>
    </comment>
    <comment ref="CH180" authorId="3">
      <text>
        <r>
          <rPr>
            <sz val="8"/>
            <color indexed="81"/>
            <rFont val="Tahoma"/>
            <family val="2"/>
          </rPr>
          <t>reported EPS $0.83, exclude $0.22 related to impact of AJ Wright store closings = $1.05 EPS from continuing ops</t>
        </r>
        <r>
          <rPr>
            <b/>
            <sz val="8"/>
            <color indexed="81"/>
            <rFont val="Tahoma"/>
            <family val="2"/>
          </rPr>
          <t xml:space="preserve">
2/11: </t>
        </r>
        <r>
          <rPr>
            <sz val="8"/>
            <color indexed="81"/>
            <rFont val="Tahoma"/>
            <family val="2"/>
          </rPr>
          <t>Guide to slightly above previous range of $0.97 to $1.01</t>
        </r>
        <r>
          <rPr>
            <b/>
            <sz val="8"/>
            <color indexed="81"/>
            <rFont val="Tahoma"/>
            <family val="2"/>
          </rPr>
          <t xml:space="preserve">
1/11: </t>
        </r>
        <r>
          <rPr>
            <sz val="8"/>
            <color indexed="81"/>
            <rFont val="Tahoma"/>
            <family val="2"/>
          </rPr>
          <t xml:space="preserve">4Q Adjusted EPS: $0.97-$1.01 </t>
        </r>
        <r>
          <rPr>
            <b/>
            <sz val="8"/>
            <color indexed="81"/>
            <rFont val="Tahoma"/>
            <family val="2"/>
          </rPr>
          <t xml:space="preserve">
lauraro:</t>
        </r>
        <r>
          <rPr>
            <sz val="8"/>
            <color indexed="81"/>
            <rFont val="Tahoma"/>
            <family val="2"/>
          </rPr>
          <t xml:space="preserve">
12/10: The Company is adjusting its prior EPS guidance for 4Q and FY10, solely to reflect the expected impact of the A.J. Wright closing. Previous $0.89-0.94 LESS Impact of AJW Closing: $0.27-$0.30=$0.62-0.64
11/10: Exp 89-94c, no adjustment the 4Q outlook that was implied in prior guidance
11/4/10: we think TJX will guide very conservatively for 4Q
8/10: mgmt expects 2H EPS to be $1.75-$1.85 (includes 3c F/X hit), implies 4Q around $0.89-$0.94</t>
        </r>
      </text>
    </comment>
    <comment ref="CL180" authorId="3">
      <text>
        <r>
          <rPr>
            <b/>
            <sz val="8"/>
            <color indexed="81"/>
            <rFont val="Tahoma"/>
            <family val="2"/>
          </rPr>
          <t>2/22/12: C</t>
        </r>
        <r>
          <rPr>
            <sz val="8"/>
            <color indexed="81"/>
            <rFont val="Tahoma"/>
            <family val="2"/>
          </rPr>
          <t xml:space="preserve">ertain 4Q items include costs related to the closing of the Company's STYLESENSE stores in Canada, an early retirement program, the closure of a European office facility, a separation agreement, and certain write-offs and adjustments at TJX Europe.Those were offset in part by the net benefit of favorable tax adjustments. Combined, these items reduced EPS by $0.02 for both the fourth quarter and the full year and also reduce consolidated pretax profit margins by 20 basis points for fiscal 2012, and by 50 basis points for the fourth quarter.The majority of this margin impact is in SG&amp;A. </t>
        </r>
        <r>
          <rPr>
            <b/>
            <sz val="8"/>
            <color indexed="81"/>
            <rFont val="Tahoma"/>
            <family val="2"/>
          </rPr>
          <t xml:space="preserve">
2/2/12: </t>
        </r>
        <r>
          <rPr>
            <sz val="8"/>
            <color indexed="81"/>
            <rFont val="Tahoma"/>
            <family val="2"/>
          </rPr>
          <t xml:space="preserve">Don't exclude 3c/share (or 2c/share?) items from EPS estimates </t>
        </r>
        <r>
          <rPr>
            <b/>
            <sz val="8"/>
            <color indexed="81"/>
            <rFont val="Tahoma"/>
            <family val="2"/>
          </rPr>
          <t xml:space="preserve">
1/5/12: $1.19-$1.23 including 3c/share 1x items negative impact
</t>
        </r>
        <r>
          <rPr>
            <sz val="8"/>
            <color indexed="81"/>
            <rFont val="Tahoma"/>
            <family val="2"/>
          </rPr>
          <t>from several items that impact the comparability of results and were not anticipated in the Company’s original guidance provided on November 15, 2011. These items include costs related to closing the Company’s StyleSense stores in Canada, an early retirement program at the Company’s home office, the closure of an office facility in Europe, and a separation agreement.</t>
        </r>
        <r>
          <rPr>
            <b/>
            <sz val="8"/>
            <color indexed="81"/>
            <rFont val="Tahoma"/>
            <family val="2"/>
          </rPr>
          <t xml:space="preserve">
11/15/15: $1.19-$1.23  </t>
        </r>
        <r>
          <rPr>
            <sz val="8"/>
            <color indexed="81"/>
            <rFont val="Tahoma"/>
            <family val="2"/>
          </rPr>
          <t>Company has increased its comparable store sales outlook from its previous range of 1% to 2% to a range of 2% to 3%. The Company expects the benefit to earnings per share from the higher expected comparable store sales to be offset by an expected higher tax rate, as well as expected unfavorable foreign currency exchange rates, compared to its original guidance.</t>
        </r>
        <r>
          <rPr>
            <b/>
            <sz val="8"/>
            <color indexed="81"/>
            <rFont val="Tahoma"/>
            <family val="2"/>
          </rPr>
          <t xml:space="preserve">
8/16/11: </t>
        </r>
        <r>
          <rPr>
            <sz val="8"/>
            <color indexed="81"/>
            <rFont val="Tahoma"/>
            <family val="2"/>
          </rPr>
          <t>cont to expect 2H $2.22-$2.30, 4Q $1.19-$1.23</t>
        </r>
        <r>
          <rPr>
            <b/>
            <sz val="8"/>
            <color indexed="81"/>
            <rFont val="Tahoma"/>
            <family val="2"/>
          </rPr>
          <t xml:space="preserve">
5/17/11: </t>
        </r>
        <r>
          <rPr>
            <sz val="8"/>
            <color indexed="81"/>
            <rFont val="Tahoma"/>
            <family val="2"/>
          </rPr>
          <t>Back half $2.22-$2.30</t>
        </r>
        <r>
          <rPr>
            <sz val="8"/>
            <color indexed="81"/>
            <rFont val="Tahoma"/>
            <family val="2"/>
          </rPr>
          <t xml:space="preserve">
</t>
        </r>
        <r>
          <rPr>
            <b/>
            <sz val="8"/>
            <color indexed="81"/>
            <rFont val="Tahoma"/>
            <family val="2"/>
          </rPr>
          <t>12/10:</t>
        </r>
        <r>
          <rPr>
            <sz val="8"/>
            <color indexed="81"/>
            <rFont val="Tahoma"/>
            <family val="2"/>
          </rPr>
          <t xml:space="preserve"> EPS during 2Q, 3Q, 4Q in FY11 are expected, overall, to be positively impacted by the A.J. Wright consolidation. There are three factors that impact this period. </t>
        </r>
        <r>
          <rPr>
            <b/>
            <sz val="8"/>
            <color indexed="81"/>
            <rFont val="Tahoma"/>
            <family val="2"/>
          </rPr>
          <t xml:space="preserve">1) </t>
        </r>
        <r>
          <rPr>
            <sz val="8"/>
            <color indexed="81"/>
            <rFont val="Tahoma"/>
            <family val="2"/>
          </rPr>
          <t>d</t>
        </r>
        <r>
          <rPr>
            <sz val="8"/>
            <color indexed="81"/>
            <rFont val="Tahoma"/>
            <family val="2"/>
          </rPr>
          <t xml:space="preserve">uring this period, Marmaxx and HomeGoods segment profit is estimated, in aggregate, to be increased by </t>
        </r>
        <r>
          <rPr>
            <b/>
            <sz val="8"/>
            <color indexed="81"/>
            <rFont val="Tahoma"/>
            <family val="2"/>
          </rPr>
          <t>$20M to $25M ($0.03-0.04)</t>
        </r>
        <r>
          <rPr>
            <sz val="8"/>
            <color indexed="81"/>
            <rFont val="Tahoma"/>
            <family val="2"/>
          </rPr>
          <t xml:space="preserve"> by this action. </t>
        </r>
        <r>
          <rPr>
            <b/>
            <sz val="8"/>
            <color indexed="81"/>
            <rFont val="Tahoma"/>
            <family val="2"/>
          </rPr>
          <t xml:space="preserve">2) </t>
        </r>
        <r>
          <rPr>
            <sz val="8"/>
            <color indexed="81"/>
            <rFont val="Tahoma"/>
            <family val="2"/>
          </rPr>
          <t xml:space="preserve">A.J. Wright earned </t>
        </r>
        <r>
          <rPr>
            <b/>
            <sz val="8"/>
            <color indexed="81"/>
            <rFont val="Tahoma"/>
            <family val="2"/>
          </rPr>
          <t>$1M</t>
        </r>
        <r>
          <rPr>
            <sz val="8"/>
            <color indexed="81"/>
            <rFont val="Tahoma"/>
            <family val="2"/>
          </rPr>
          <t xml:space="preserve"> </t>
        </r>
        <r>
          <rPr>
            <b/>
            <sz val="8"/>
            <color indexed="81"/>
            <rFont val="Tahoma"/>
            <family val="2"/>
          </rPr>
          <t>($0.00)</t>
        </r>
        <r>
          <rPr>
            <sz val="8"/>
            <color indexed="81"/>
            <rFont val="Tahoma"/>
            <family val="2"/>
          </rPr>
          <t xml:space="preserve"> in segment profit during the second and third quarters in fiscal 2011, which will not be repeated in fiscal 2012. </t>
        </r>
        <r>
          <rPr>
            <b/>
            <sz val="8"/>
            <color indexed="81"/>
            <rFont val="Tahoma"/>
            <family val="2"/>
          </rPr>
          <t>3)</t>
        </r>
        <r>
          <rPr>
            <sz val="8"/>
            <color indexed="81"/>
            <rFont val="Tahoma"/>
            <family val="2"/>
          </rPr>
          <t xml:space="preserve"> the estimated 4Q operating loss </t>
        </r>
        <r>
          <rPr>
            <b/>
            <sz val="8"/>
            <color indexed="81"/>
            <rFont val="Tahoma"/>
            <family val="2"/>
          </rPr>
          <t>($175-200M) ($0.27-$0.30)</t>
        </r>
        <r>
          <rPr>
            <sz val="8"/>
            <color indexed="81"/>
            <rFont val="Tahoma"/>
            <family val="2"/>
          </rPr>
          <t xml:space="preserve"> incurred in the 4Q10 (primarily due to the costs of the A.J. Wright closing), will not be repeated in FY11. 
</t>
        </r>
        <r>
          <rPr>
            <b/>
            <sz val="8"/>
            <color indexed="81"/>
            <rFont val="Tahoma"/>
            <family val="2"/>
          </rPr>
          <t>Estimated total benefit: $0.30-0.34M (Recurring= $0.03-0.04)</t>
        </r>
      </text>
    </comment>
    <comment ref="CM180" authorId="3">
      <text>
        <r>
          <rPr>
            <b/>
            <sz val="8"/>
            <color indexed="81"/>
            <rFont val="Tahoma"/>
            <family val="2"/>
          </rPr>
          <t>lauraro:</t>
        </r>
        <r>
          <rPr>
            <sz val="8"/>
            <color indexed="81"/>
            <rFont val="Tahoma"/>
            <family val="2"/>
          </rPr>
          <t xml:space="preserve">
2/11: ~12-15% EPS growth</t>
        </r>
      </text>
    </comment>
    <comment ref="CP180" authorId="3">
      <text>
        <r>
          <rPr>
            <b/>
            <sz val="8"/>
            <color indexed="81"/>
            <rFont val="Tahoma"/>
            <family val="2"/>
          </rPr>
          <t xml:space="preserve">02/07/2013: </t>
        </r>
        <r>
          <rPr>
            <sz val="8"/>
            <color indexed="81"/>
            <rFont val="Tahoma"/>
            <family val="2"/>
          </rPr>
          <t xml:space="preserve">guidance $0.80-$0.81 (incl 7c from 53rd wk) 
</t>
        </r>
        <r>
          <rPr>
            <b/>
            <sz val="8"/>
            <color indexed="81"/>
            <rFont val="Tahoma"/>
            <family val="2"/>
          </rPr>
          <t xml:space="preserve">
01/03/2013: 
</t>
        </r>
        <r>
          <rPr>
            <sz val="8"/>
            <color indexed="81"/>
            <rFont val="Tahoma"/>
            <family val="2"/>
          </rPr>
          <t xml:space="preserve">guidance $0.77-$0.78 (incl 7c from extra week)
</t>
        </r>
        <r>
          <rPr>
            <b/>
            <sz val="8"/>
            <color indexed="81"/>
            <rFont val="Tahoma"/>
            <family val="2"/>
          </rPr>
          <t xml:space="preserve">
11/13/2012
</t>
        </r>
        <r>
          <rPr>
            <sz val="8"/>
            <color indexed="81"/>
            <rFont val="Tahoma"/>
            <family val="2"/>
          </rPr>
          <t xml:space="preserve">4Q 72-75c (incl 7c from extra week; 65-68c ex extra week); 110 bps higher tax rate y/y -1c
</t>
        </r>
        <r>
          <rPr>
            <b/>
            <sz val="8"/>
            <color indexed="81"/>
            <rFont val="Tahoma"/>
            <family val="2"/>
          </rPr>
          <t xml:space="preserve">
8/14/12: 
</t>
        </r>
        <r>
          <rPr>
            <sz val="8"/>
            <color indexed="81"/>
            <rFont val="Tahoma"/>
            <family val="2"/>
          </rPr>
          <t>2H: $1.28-$1.34 (incl 7c FY impact from extra wk) vs. $1.15 LY
3Q: 56-59c
4Q Implied: 72-75c</t>
        </r>
        <r>
          <rPr>
            <b/>
            <sz val="8"/>
            <color indexed="81"/>
            <rFont val="Tahoma"/>
            <family val="2"/>
          </rPr>
          <t xml:space="preserve">
2/22/12: </t>
        </r>
        <r>
          <rPr>
            <sz val="8"/>
            <color indexed="81"/>
            <rFont val="Tahoma"/>
            <family val="2"/>
          </rPr>
          <t>7c benefit due to 53rd week</t>
        </r>
        <r>
          <rPr>
            <b/>
            <sz val="8"/>
            <color indexed="81"/>
            <rFont val="Tahoma"/>
            <family val="2"/>
          </rPr>
          <t xml:space="preserve">
lauraro:</t>
        </r>
        <r>
          <rPr>
            <sz val="8"/>
            <color indexed="81"/>
            <rFont val="Tahoma"/>
            <family val="2"/>
          </rPr>
          <t xml:space="preserve">
(All pre-stock-split)
1.37 excl 53rd week
Added 9c in 2008 with extra week
Assume ~12c this year</t>
        </r>
      </text>
    </comment>
    <comment ref="CT180" authorId="15">
      <text>
        <r>
          <rPr>
            <b/>
            <sz val="8"/>
            <color indexed="81"/>
            <rFont val="Tahoma"/>
            <family val="2"/>
          </rPr>
          <t xml:space="preserve">11/19/2013: </t>
        </r>
        <r>
          <rPr>
            <sz val="8"/>
            <color indexed="81"/>
            <rFont val="Tahoma"/>
            <family val="2"/>
          </rPr>
          <t>reaffirms 77c-80c guidance</t>
        </r>
        <r>
          <rPr>
            <b/>
            <sz val="8"/>
            <color indexed="81"/>
            <rFont val="Tahoma"/>
            <family val="2"/>
          </rPr>
          <t xml:space="preserve">
10/21/2013: </t>
        </r>
        <r>
          <rPr>
            <sz val="8"/>
            <color indexed="81"/>
            <rFont val="Tahoma"/>
            <family val="2"/>
          </rPr>
          <t>implied guidance no change</t>
        </r>
        <r>
          <rPr>
            <sz val="8"/>
            <color indexed="81"/>
            <rFont val="Tahoma"/>
            <family val="2"/>
          </rPr>
          <t xml:space="preserve">
</t>
        </r>
        <r>
          <rPr>
            <b/>
            <sz val="8"/>
            <color indexed="81"/>
            <rFont val="Tahoma"/>
            <family val="2"/>
          </rPr>
          <t>8/20/2013</t>
        </r>
        <r>
          <rPr>
            <sz val="8"/>
            <color indexed="81"/>
            <rFont val="Tahoma"/>
            <family val="2"/>
          </rPr>
          <t xml:space="preserve"> implied guidance = $0.77-$0.80</t>
        </r>
      </text>
    </comment>
    <comment ref="CX180" authorId="16">
      <text>
        <r>
          <rPr>
            <b/>
            <sz val="9"/>
            <color indexed="81"/>
            <rFont val="Tahoma"/>
            <family val="2"/>
          </rPr>
          <t xml:space="preserve">2/25/15: </t>
        </r>
        <r>
          <rPr>
            <sz val="9"/>
            <color indexed="81"/>
            <rFont val="Tahoma"/>
            <family val="2"/>
          </rPr>
          <t xml:space="preserve">Altho F/X hit sales 2%, F/X had a neutral imapct to EPS. </t>
        </r>
        <r>
          <rPr>
            <b/>
            <sz val="9"/>
            <color indexed="81"/>
            <rFont val="Tahoma"/>
            <family val="2"/>
          </rPr>
          <t xml:space="preserve">
8/19/14 guidance: </t>
        </r>
        <r>
          <rPr>
            <sz val="9"/>
            <color indexed="81"/>
            <rFont val="Tahoma"/>
            <family val="2"/>
          </rPr>
          <t xml:space="preserve">90-94c
</t>
        </r>
        <r>
          <rPr>
            <b/>
            <sz val="9"/>
            <color indexed="81"/>
            <rFont val="Tahoma"/>
            <family val="2"/>
          </rPr>
          <t>11/18/14 guidance</t>
        </r>
        <r>
          <rPr>
            <sz val="9"/>
            <color indexed="81"/>
            <rFont val="Tahoma"/>
            <family val="2"/>
          </rPr>
          <t>: 86-90c (includes -2c FX impact, vs. prior assumption of neutral)</t>
        </r>
      </text>
    </comment>
    <comment ref="DF180" authorId="9">
      <text>
        <r>
          <rPr>
            <b/>
            <sz val="9"/>
            <color indexed="81"/>
            <rFont val="Tahoma"/>
            <family val="2"/>
          </rPr>
          <t>Baglione, Gregory  (Research):</t>
        </r>
        <r>
          <rPr>
            <sz val="9"/>
            <color indexed="81"/>
            <rFont val="Tahoma"/>
            <family val="2"/>
          </rPr>
          <t xml:space="preserve">
2/22/17
-3% impact from wage increases
-5% from foreign currency and foreign exchange
-$0.04 impact from FX
4Q EPS $0.98-$1.00
11/15/16
</t>
        </r>
        <r>
          <rPr>
            <b/>
            <sz val="9"/>
            <color indexed="81"/>
            <rFont val="Tahoma"/>
            <family val="2"/>
          </rPr>
          <t>For the fourth quarter of Fiscal 2017, the Company expects diluted earnings per share to be in the range of $.96 to $.98 compared to $.99 last year. This guidance reflects an assumption that wage increases will negatively impact EPS growth by 3%. The Company also expects the combination of foreign currency and transactional foreign exchange will have an additional 6% negative impact on EPS growth. This EPS outlook is based upon estimated consolidated comparable store sales growth of 1% to 2% over last year’s strong 6% increase.</t>
        </r>
        <r>
          <rPr>
            <sz val="9"/>
            <color indexed="81"/>
            <rFont val="Tahoma"/>
            <family val="2"/>
          </rPr>
          <t xml:space="preserve">
The Company now estimates Fiscal 2017 GAAP diluted earnings per share of $3.39 to $3.41 and adjusted earnings per share of $3.46 to $3.48, versus prior guidance of $3.39 to $3.43, reflecting the Company’s strong third quarter results. The adjusted EPS range excludes the impact of the third quarter debt extinguishment and pension settlement charges (described above). The EPS outlook is based upon estimated consolidated comparable store sales growth of 4%.
The Company’s earnings guidance for the fourth quarter and full year Fiscal 2017 assumes that currency exchange rates will remain unchanged from the levels at the beginning of the fourth quarter.</t>
        </r>
      </text>
    </comment>
    <comment ref="DJ180" authorId="10">
      <text>
        <r>
          <rPr>
            <b/>
            <sz val="9"/>
            <color indexed="81"/>
            <rFont val="Tahoma"/>
            <family val="2"/>
          </rPr>
          <t>Roberts, Cynthia (Research):</t>
        </r>
        <r>
          <rPr>
            <sz val="9"/>
            <color indexed="81"/>
            <rFont val="Tahoma"/>
            <family val="2"/>
          </rPr>
          <t xml:space="preserve">
2/28/18: 17c benefit from tax reform, 11c 53rd week, -10c impairment charge from Sierra trading Post. FX +2%, share based comp accounting +1%, wages -1%.
11/14/17: reit. Guidance, wages -1%, FX +1%
8/15/17: Guidance $1.25-$1.27; 53rd week 11c</t>
        </r>
      </text>
    </comment>
    <comment ref="BF181" authorId="0">
      <text>
        <r>
          <rPr>
            <sz val="8"/>
            <color indexed="81"/>
            <rFont val="Tahoma"/>
            <family val="2"/>
          </rPr>
          <t>4q02 guided to $1.20 to $1.32</t>
        </r>
      </text>
    </comment>
    <comment ref="BJ181" authorId="11">
      <text>
        <r>
          <rPr>
            <b/>
            <sz val="8"/>
            <color indexed="81"/>
            <rFont val="Tahoma"/>
            <family val="2"/>
          </rPr>
          <t>MS:</t>
        </r>
        <r>
          <rPr>
            <sz val="8"/>
            <color indexed="81"/>
            <rFont val="Tahoma"/>
            <family val="2"/>
          </rPr>
          <t xml:space="preserve">
8/17 guided for 1.33-1.42 down from 1.35-1.45 due to more conservative assumptions for AJ and Homegoods</t>
        </r>
      </text>
    </comment>
    <comment ref="BN181" authorId="1">
      <text>
        <r>
          <rPr>
            <b/>
            <sz val="8"/>
            <color indexed="81"/>
            <rFont val="Tahoma"/>
            <family val="2"/>
          </rPr>
          <t>Morry Brown:</t>
        </r>
        <r>
          <rPr>
            <sz val="8"/>
            <color indexed="81"/>
            <rFont val="Tahoma"/>
            <family val="2"/>
          </rPr>
          <t xml:space="preserve">
$1.41 includes net benefit of 12c (EPS would be $1.29 excl benefit)
original guidance $1.49-$1.57, lowered to $1.47-$1.54 following 1Q miss, but kept 2Q-4Q unchanged
8/16 guided to $1.41-$1.45 </t>
        </r>
      </text>
    </comment>
    <comment ref="BR181" authorId="25">
      <text>
        <r>
          <rPr>
            <b/>
            <sz val="8"/>
            <color indexed="81"/>
            <rFont val="Tahoma"/>
            <family val="2"/>
          </rPr>
          <t>MB33100:</t>
        </r>
        <r>
          <rPr>
            <sz val="8"/>
            <color indexed="81"/>
            <rFont val="Tahoma"/>
            <family val="2"/>
          </rPr>
          <t xml:space="preserve">
3/08: Fx added $0.03 to 2006 EPS
11/06: raised guid to $1.59-$1.61
8/06: raised guidance to $1.49-$1.53
5/06: reiterated previous guidance $1.42-$1.46
2/22 guided to $1.42-$1.46 for 2006</t>
        </r>
      </text>
    </comment>
    <comment ref="BV181" authorId="2">
      <text>
        <r>
          <rPr>
            <b/>
            <sz val="7"/>
            <color indexed="81"/>
            <rFont val="Tahoma"/>
            <family val="2"/>
          </rPr>
          <t>mm98285:</t>
        </r>
        <r>
          <rPr>
            <sz val="7"/>
            <color indexed="81"/>
            <rFont val="Tahoma"/>
            <family val="2"/>
          </rPr>
          <t xml:space="preserve">
3/08: excludes $0.25 from intrusion charges and cost of AJWright closings. Fx added ~1c to '07 EPS or 5c in comparison to '06
3Q07: Guided to $1.86-$1.88
2Q07: guided to $1.84-$1.88</t>
        </r>
        <r>
          <rPr>
            <b/>
            <sz val="7"/>
            <color indexed="81"/>
            <rFont val="Tahoma"/>
            <family val="2"/>
          </rPr>
          <t xml:space="preserve">
mm98285:</t>
        </r>
        <r>
          <rPr>
            <sz val="7"/>
            <color indexed="81"/>
            <rFont val="Tahoma"/>
            <family val="2"/>
          </rPr>
          <t xml:space="preserve">
2/07: guided to $1.80-$1.85</t>
        </r>
      </text>
    </comment>
    <comment ref="BZ181" authorId="2">
      <text>
        <r>
          <rPr>
            <b/>
            <sz val="8"/>
            <color indexed="81"/>
            <rFont val="Tahoma"/>
            <family val="2"/>
          </rPr>
          <t xml:space="preserve">mm98285:
</t>
        </r>
        <r>
          <rPr>
            <sz val="8"/>
            <color indexed="81"/>
            <rFont val="Tahoma"/>
            <family val="2"/>
          </rPr>
          <t>includes $(0.05) impact from F/X
excludes $0.04 for reduction in computer intrusion costs ($18M after tax)</t>
        </r>
        <r>
          <rPr>
            <b/>
            <sz val="8"/>
            <color indexed="81"/>
            <rFont val="Tahoma"/>
            <family val="2"/>
          </rPr>
          <t xml:space="preserve">
</t>
        </r>
        <r>
          <rPr>
            <sz val="8"/>
            <color indexed="81"/>
            <rFont val="Tahoma"/>
            <family val="2"/>
          </rPr>
          <t>10/08: $2.26-$2.31</t>
        </r>
        <r>
          <rPr>
            <b/>
            <sz val="8"/>
            <color indexed="81"/>
            <rFont val="Tahoma"/>
            <family val="2"/>
          </rPr>
          <t xml:space="preserve">
</t>
        </r>
        <r>
          <rPr>
            <sz val="8"/>
            <color indexed="81"/>
            <rFont val="Tahoma"/>
            <family val="2"/>
          </rPr>
          <t>8/18/08: raised to $2.30-$2.35 to account for sale of Bob's division</t>
        </r>
        <r>
          <rPr>
            <b/>
            <sz val="8"/>
            <color indexed="81"/>
            <rFont val="Tahoma"/>
            <family val="2"/>
          </rPr>
          <t xml:space="preserve">
</t>
        </r>
        <r>
          <rPr>
            <sz val="8"/>
            <color indexed="81"/>
            <rFont val="Tahoma"/>
            <family val="2"/>
          </rPr>
          <t xml:space="preserve">8/7/08: $2.26-$2.31 </t>
        </r>
        <r>
          <rPr>
            <b/>
            <sz val="8"/>
            <color indexed="81"/>
            <rFont val="Tahoma"/>
            <family val="2"/>
          </rPr>
          <t xml:space="preserve">
</t>
        </r>
        <r>
          <rPr>
            <sz val="8"/>
            <color indexed="81"/>
            <rFont val="Tahoma"/>
            <family val="2"/>
          </rPr>
          <t>5/13/08: Reiterating $2.20 to $2.25</t>
        </r>
        <r>
          <rPr>
            <sz val="8"/>
            <color indexed="81"/>
            <rFont val="Tahoma"/>
            <family val="2"/>
          </rPr>
          <t xml:space="preserve">
2/08: guided to $2.20-$2.25 (including $0.09 benefit from 53rd week)</t>
        </r>
      </text>
    </comment>
    <comment ref="CD181" authorId="2">
      <text>
        <r>
          <rPr>
            <b/>
            <sz val="8"/>
            <color indexed="81"/>
            <rFont val="Tahoma"/>
            <family val="2"/>
          </rPr>
          <t>mm98285:</t>
        </r>
        <r>
          <rPr>
            <sz val="8"/>
            <color indexed="81"/>
            <rFont val="Tahoma"/>
            <family val="2"/>
          </rPr>
          <t xml:space="preserve">
2/10: net impact of FX = 1c reduction vs. +1c benefit LY
11/09: $2.55-$2.61 incl -2c F/X
10/19/09: $2.46-$2.54
8/09: $2.26-$2.38
can achieve flat EPS ($1.92) on flat comp incl. 14c F/X pressure; 1% comp increase drives 8c to EPS</t>
        </r>
      </text>
    </comment>
    <comment ref="CH181" authorId="2">
      <text>
        <r>
          <rPr>
            <b/>
            <sz val="8"/>
            <color indexed="81"/>
            <rFont val="Tahoma"/>
            <family val="2"/>
          </rPr>
          <t>2/11:</t>
        </r>
        <r>
          <rPr>
            <sz val="8"/>
            <color indexed="81"/>
            <rFont val="Tahoma"/>
            <family val="2"/>
          </rPr>
          <t xml:space="preserve"> Exp slightly above high end of prviously guided $3.41-$3.45 range</t>
        </r>
        <r>
          <rPr>
            <b/>
            <sz val="8"/>
            <color indexed="81"/>
            <rFont val="Tahoma"/>
            <family val="2"/>
          </rPr>
          <t xml:space="preserve">
1/11: </t>
        </r>
        <r>
          <rPr>
            <sz val="8"/>
            <color indexed="81"/>
            <rFont val="Tahoma"/>
            <family val="2"/>
          </rPr>
          <t xml:space="preserve">we now expect adjusted FY EPS of $3.41-$3.45, up from $3.35-$3.40
</t>
        </r>
        <r>
          <rPr>
            <b/>
            <sz val="8"/>
            <color indexed="81"/>
            <rFont val="Tahoma"/>
            <family val="2"/>
          </rPr>
          <t>12/10:</t>
        </r>
        <r>
          <rPr>
            <sz val="8"/>
            <color indexed="81"/>
            <rFont val="Tahoma"/>
            <family val="2"/>
          </rPr>
          <t xml:space="preserve"> The Company is adjusting its prior EPS guidance for 4Q and FY10, solely to reflect the expected impact of the A.J. Wright closing. Previous $3.35-3.40 LESS Impact of AJW Closing: $0.27-$0.30=$3.08-3.10</t>
        </r>
        <r>
          <rPr>
            <b/>
            <sz val="8"/>
            <color indexed="81"/>
            <rFont val="Tahoma"/>
            <family val="2"/>
          </rPr>
          <t xml:space="preserve">
11/10: </t>
        </r>
        <r>
          <rPr>
            <sz val="8"/>
            <color indexed="81"/>
            <rFont val="Tahoma"/>
            <family val="2"/>
          </rPr>
          <t>updated guidance to $3.33-$3.38 excl non-operating item exp ($3.35-$3.40 incl non-op item)</t>
        </r>
        <r>
          <rPr>
            <b/>
            <sz val="8"/>
            <color indexed="81"/>
            <rFont val="Tahoma"/>
            <family val="2"/>
          </rPr>
          <t xml:space="preserve">
8/10: </t>
        </r>
        <r>
          <rPr>
            <sz val="8"/>
            <color indexed="81"/>
            <rFont val="Tahoma"/>
            <family val="2"/>
          </rPr>
          <t>raise guidance to $3.28-$3.38 on a reported basis ($3.27-$3.37 on an adj. basis) on higher margin &amp; greater buyback benefit &amp; +1c from intrusion reduction</t>
        </r>
        <r>
          <rPr>
            <b/>
            <sz val="8"/>
            <color indexed="81"/>
            <rFont val="Tahoma"/>
            <family val="2"/>
          </rPr>
          <t xml:space="preserve">
5/10:</t>
        </r>
        <r>
          <rPr>
            <sz val="8"/>
            <color indexed="81"/>
            <rFont val="Tahoma"/>
            <family val="2"/>
          </rPr>
          <t xml:space="preserve"> $3.21-$3.32</t>
        </r>
        <r>
          <rPr>
            <b/>
            <sz val="8"/>
            <color indexed="81"/>
            <rFont val="Tahoma"/>
            <family val="2"/>
          </rPr>
          <t xml:space="preserve">
mm98285:</t>
        </r>
        <r>
          <rPr>
            <sz val="8"/>
            <color indexed="81"/>
            <rFont val="Tahoma"/>
            <family val="2"/>
          </rPr>
          <t xml:space="preserve">
4/10: raised to 3.17-3.31
2/10: $3.06-$3.20</t>
        </r>
      </text>
    </comment>
    <comment ref="CL181" authorId="3">
      <text>
        <r>
          <rPr>
            <b/>
            <sz val="8"/>
            <color indexed="81"/>
            <rFont val="Tahoma"/>
            <family val="2"/>
          </rPr>
          <t xml:space="preserve">11/15/11: </t>
        </r>
        <r>
          <rPr>
            <sz val="8"/>
            <color indexed="81"/>
            <rFont val="Tahoma"/>
            <family val="2"/>
          </rPr>
          <t>$3.93-3.97.  This outlook is now based upon consolidated comparable store sales growth of approximately 3%.</t>
        </r>
        <r>
          <rPr>
            <b/>
            <sz val="8"/>
            <color indexed="81"/>
            <rFont val="Tahoma"/>
            <family val="2"/>
          </rPr>
          <t xml:space="preserve">
10/25/11: </t>
        </r>
        <r>
          <rPr>
            <sz val="8"/>
            <color indexed="81"/>
            <rFont val="Tahoma"/>
            <family val="2"/>
          </rPr>
          <t>Reit $3.89-$3.97</t>
        </r>
        <r>
          <rPr>
            <b/>
            <sz val="8"/>
            <color indexed="81"/>
            <rFont val="Tahoma"/>
            <family val="2"/>
          </rPr>
          <t xml:space="preserve">
8/16/11: </t>
        </r>
        <r>
          <rPr>
            <sz val="8"/>
            <color indexed="81"/>
            <rFont val="Tahoma"/>
            <family val="2"/>
          </rPr>
          <t>$3.89-$3.97</t>
        </r>
        <r>
          <rPr>
            <b/>
            <sz val="8"/>
            <color indexed="81"/>
            <rFont val="Tahoma"/>
            <family val="2"/>
          </rPr>
          <t xml:space="preserve">
5/17/11: </t>
        </r>
        <r>
          <rPr>
            <sz val="8"/>
            <color indexed="81"/>
            <rFont val="Tahoma"/>
            <family val="2"/>
          </rPr>
          <t>Excl. AJW costs, expect EPS $3.81-$3.93, +9-13% incr. vs. LY</t>
        </r>
        <r>
          <rPr>
            <sz val="8"/>
            <color indexed="81"/>
            <rFont val="Tahoma"/>
            <family val="2"/>
          </rPr>
          <t xml:space="preserve">
</t>
        </r>
        <r>
          <rPr>
            <b/>
            <sz val="8"/>
            <color indexed="81"/>
            <rFont val="Tahoma"/>
            <family val="2"/>
          </rPr>
          <t>2/11:</t>
        </r>
        <r>
          <rPr>
            <sz val="8"/>
            <color indexed="81"/>
            <rFont val="Tahoma"/>
            <family val="2"/>
          </rPr>
          <t xml:space="preserve"> Exp Adjusted $3.78-$3.93 (exl $0.11 impact of AJW store closing costs and $0.04 store conv/grand re-opening costs)
(Exp Reported $3.63-$3.78)
FX rates expected to add $0.01-$0.02 to EPS</t>
        </r>
      </text>
    </comment>
    <comment ref="CM181" authorId="15">
      <text>
        <r>
          <rPr>
            <b/>
            <sz val="8"/>
            <color indexed="81"/>
            <rFont val="Tahoma"/>
            <family val="2"/>
          </rPr>
          <t>solejay:</t>
        </r>
        <r>
          <rPr>
            <sz val="8"/>
            <color indexed="81"/>
            <rFont val="Tahoma"/>
            <family val="2"/>
          </rPr>
          <t xml:space="preserve">
11/15/11: 13% to 14% increase over the prior year’s adjusted earnings per share from continuing operations of $3.49.</t>
        </r>
      </text>
    </comment>
    <comment ref="CP181" authorId="3">
      <text>
        <r>
          <rPr>
            <b/>
            <sz val="8"/>
            <color indexed="81"/>
            <rFont val="Tahoma"/>
            <family val="2"/>
          </rPr>
          <t xml:space="preserve">2/27/2013 commentary </t>
        </r>
        <r>
          <rPr>
            <sz val="8"/>
            <color indexed="81"/>
            <rFont val="Tahoma"/>
            <family val="2"/>
          </rPr>
          <t>8c benefit from extra week</t>
        </r>
        <r>
          <rPr>
            <b/>
            <sz val="8"/>
            <color indexed="81"/>
            <rFont val="Tahoma"/>
            <family val="2"/>
          </rPr>
          <t xml:space="preserve">
2/7/2013 guidance: </t>
        </r>
        <r>
          <rPr>
            <sz val="8"/>
            <color indexed="81"/>
            <rFont val="Tahoma"/>
            <family val="2"/>
          </rPr>
          <t>$2.53-$2.54</t>
        </r>
        <r>
          <rPr>
            <b/>
            <sz val="8"/>
            <color indexed="81"/>
            <rFont val="Tahoma"/>
            <family val="2"/>
          </rPr>
          <t xml:space="preserve">
01/03/2013: </t>
        </r>
        <r>
          <rPr>
            <sz val="8"/>
            <color indexed="81"/>
            <rFont val="Tahoma"/>
            <family val="2"/>
          </rPr>
          <t>guidance $2.50-$2.51</t>
        </r>
        <r>
          <rPr>
            <b/>
            <sz val="8"/>
            <color indexed="81"/>
            <rFont val="Tahoma"/>
            <family val="2"/>
          </rPr>
          <t xml:space="preserve">
11/13/2012: </t>
        </r>
        <r>
          <rPr>
            <sz val="8"/>
            <color indexed="81"/>
            <rFont val="Tahoma"/>
            <family val="2"/>
          </rPr>
          <t xml:space="preserve">$2.45-$2.48 (includes 3Q's -3c of items and 7c from extra week); $2.39-$2.41 ex extra week; 2c negative impact from the higher rate included in guidance </t>
        </r>
        <r>
          <rPr>
            <b/>
            <sz val="8"/>
            <color indexed="81"/>
            <rFont val="Tahoma"/>
            <family val="2"/>
          </rPr>
          <t xml:space="preserve">
11/1: </t>
        </r>
        <r>
          <rPr>
            <sz val="8"/>
            <color indexed="81"/>
            <rFont val="Tahoma"/>
            <family val="2"/>
          </rPr>
          <t>$2.44-$2.47</t>
        </r>
        <r>
          <rPr>
            <b/>
            <sz val="8"/>
            <color indexed="81"/>
            <rFont val="Tahoma"/>
            <family val="2"/>
          </rPr>
          <t xml:space="preserve">
8/14/12: </t>
        </r>
        <r>
          <rPr>
            <sz val="8"/>
            <color indexed="81"/>
            <rFont val="Tahoma"/>
            <family val="2"/>
          </rPr>
          <t>guidance raised to $2.39-$2.45 (incl 7c for extra week)</t>
        </r>
        <r>
          <rPr>
            <b/>
            <sz val="8"/>
            <color indexed="81"/>
            <rFont val="Tahoma"/>
            <family val="2"/>
          </rPr>
          <t xml:space="preserve">
8/2/12: </t>
        </r>
        <r>
          <rPr>
            <sz val="8"/>
            <color indexed="81"/>
            <rFont val="Tahoma"/>
            <family val="2"/>
          </rPr>
          <t>guidance raised to $2.38-$2.44</t>
        </r>
        <r>
          <rPr>
            <b/>
            <sz val="8"/>
            <color indexed="81"/>
            <rFont val="Tahoma"/>
            <family val="2"/>
          </rPr>
          <t xml:space="preserve">
7/5/12: </t>
        </r>
        <r>
          <rPr>
            <sz val="8"/>
            <color indexed="81"/>
            <rFont val="Tahoma"/>
            <family val="2"/>
          </rPr>
          <t>guidance raised to $2.31-$2.39. prev estimate at $2.39.</t>
        </r>
        <r>
          <rPr>
            <b/>
            <sz val="8"/>
            <color indexed="81"/>
            <rFont val="Tahoma"/>
            <family val="2"/>
          </rPr>
          <t xml:space="preserve">
5/15/12: </t>
        </r>
        <r>
          <rPr>
            <sz val="8"/>
            <color indexed="81"/>
            <rFont val="Tahoma"/>
            <family val="2"/>
          </rPr>
          <t>Expect $2.27-$2.37, includes 7c/share benefit due to 53rd week</t>
        </r>
        <r>
          <rPr>
            <b/>
            <sz val="8"/>
            <color indexed="81"/>
            <rFont val="Tahoma"/>
            <family val="2"/>
          </rPr>
          <t xml:space="preserve">
4/5/12: </t>
        </r>
        <r>
          <rPr>
            <sz val="8"/>
            <color indexed="81"/>
            <rFont val="Tahoma"/>
            <family val="2"/>
          </rPr>
          <t>Raise EPS $2.25-$2.35</t>
        </r>
        <r>
          <rPr>
            <b/>
            <sz val="8"/>
            <color indexed="81"/>
            <rFont val="Tahoma"/>
            <family val="2"/>
          </rPr>
          <t xml:space="preserve">
2/22/12: </t>
        </r>
        <r>
          <rPr>
            <sz val="8"/>
            <color indexed="81"/>
            <rFont val="Tahoma"/>
            <family val="2"/>
          </rPr>
          <t>$2.21-$2.31, 11-16% increase ($2.14-$2.24 ex 53rd week)
includes 7c/sh benefit due to 53rd week
FX not expected to impact EPS</t>
        </r>
        <r>
          <rPr>
            <b/>
            <sz val="8"/>
            <color indexed="81"/>
            <rFont val="Tahoma"/>
            <family val="2"/>
          </rPr>
          <t xml:space="preserve">
lauraro:</t>
        </r>
        <r>
          <rPr>
            <sz val="8"/>
            <color indexed="81"/>
            <rFont val="Tahoma"/>
            <family val="2"/>
          </rPr>
          <t xml:space="preserve">
4.39
</t>
        </r>
      </text>
    </comment>
    <comment ref="CT181" authorId="5">
      <text>
        <r>
          <rPr>
            <b/>
            <sz val="8"/>
            <color indexed="81"/>
            <rFont val="Tahoma"/>
            <family val="2"/>
          </rPr>
          <t xml:space="preserve">11/19/13: guidance </t>
        </r>
        <r>
          <rPr>
            <sz val="8"/>
            <color indexed="81"/>
            <rFont val="Tahoma"/>
            <family val="2"/>
          </rPr>
          <t>$2.80-$2.83 (excluding $0.11 tax benefit). $2.91-2.94 including 11c tax benefit.  LY extra week added 8c</t>
        </r>
        <r>
          <rPr>
            <b/>
            <sz val="8"/>
            <color indexed="81"/>
            <rFont val="Tahoma"/>
            <family val="2"/>
          </rPr>
          <t xml:space="preserve">
10/21/2013 guidance: </t>
        </r>
        <r>
          <rPr>
            <sz val="8"/>
            <color indexed="81"/>
            <rFont val="Tahoma"/>
            <family val="2"/>
          </rPr>
          <t>$2.78-$2.82</t>
        </r>
        <r>
          <rPr>
            <b/>
            <sz val="8"/>
            <color indexed="81"/>
            <rFont val="Tahoma"/>
            <family val="2"/>
          </rPr>
          <t xml:space="preserve">
8/20/2013 guidance: </t>
        </r>
        <r>
          <rPr>
            <sz val="8"/>
            <color indexed="81"/>
            <rFont val="Tahoma"/>
            <family val="2"/>
          </rPr>
          <t xml:space="preserve">$2.74-$2.80 (includes 1c negative FX impact). The Company’s earnings guidance for the third quarter and full year Fiscal 2014 assumes that currency exchange rates will remain unchanged from current levels. </t>
        </r>
        <r>
          <rPr>
            <b/>
            <sz val="8"/>
            <color indexed="81"/>
            <rFont val="Tahoma"/>
            <family val="2"/>
          </rPr>
          <t xml:space="preserve">
5/21/2013 guidance:</t>
        </r>
        <r>
          <rPr>
            <sz val="8"/>
            <color indexed="81"/>
            <rFont val="Tahoma"/>
            <family val="2"/>
          </rPr>
          <t xml:space="preserve"> $2.70-$2.78</t>
        </r>
        <r>
          <rPr>
            <b/>
            <sz val="8"/>
            <color indexed="81"/>
            <rFont val="Tahoma"/>
            <family val="2"/>
          </rPr>
          <t xml:space="preserve">
2/27/2013 guidance: </t>
        </r>
        <r>
          <rPr>
            <sz val="8"/>
            <color indexed="81"/>
            <rFont val="Tahoma"/>
            <family val="2"/>
          </rPr>
          <t>$2.67-$2.78, ex 8c benefit from the 53rd wk LY represents 8-13% growth; expect -1c impact from FX</t>
        </r>
      </text>
    </comment>
    <comment ref="CX181" authorId="6">
      <text>
        <r>
          <rPr>
            <b/>
            <sz val="8"/>
            <color indexed="81"/>
            <rFont val="Tahoma"/>
            <family val="2"/>
          </rPr>
          <t xml:space="preserve">2/25/14 guidance: </t>
        </r>
        <r>
          <rPr>
            <sz val="8"/>
            <color indexed="81"/>
            <rFont val="Tahoma"/>
            <family val="2"/>
          </rPr>
          <t>$3.05-3.19</t>
        </r>
        <r>
          <rPr>
            <sz val="8"/>
            <color indexed="81"/>
            <rFont val="Tahoma"/>
            <family val="2"/>
          </rPr>
          <t xml:space="preserve">
</t>
        </r>
        <r>
          <rPr>
            <b/>
            <sz val="8"/>
            <color indexed="81"/>
            <rFont val="Tahoma"/>
            <family val="2"/>
          </rPr>
          <t>5/20/14 guidance:</t>
        </r>
        <r>
          <rPr>
            <sz val="8"/>
            <color indexed="81"/>
            <rFont val="Tahoma"/>
            <family val="2"/>
          </rPr>
          <t xml:space="preserve"> $3.05-3.17
</t>
        </r>
        <r>
          <rPr>
            <b/>
            <sz val="8"/>
            <color indexed="81"/>
            <rFont val="Tahoma"/>
            <family val="2"/>
          </rPr>
          <t>8/19/14 guidance:</t>
        </r>
        <r>
          <rPr>
            <sz val="8"/>
            <color indexed="81"/>
            <rFont val="Tahoma"/>
            <family val="2"/>
          </rPr>
          <t xml:space="preserve"> $3.10-3.18 (excluding 2c debt extinguishment charge in 2Q)
</t>
        </r>
        <r>
          <rPr>
            <b/>
            <sz val="8"/>
            <color indexed="81"/>
            <rFont val="Tahoma"/>
            <family val="2"/>
          </rPr>
          <t>11/18/14 guidance</t>
        </r>
        <r>
          <rPr>
            <sz val="8"/>
            <color indexed="81"/>
            <rFont val="Tahoma"/>
            <family val="2"/>
          </rPr>
          <t xml:space="preserve">: $3.09-3.13 (excluding 2c debt extinguishment charge in 2Q)
2/25/15: F/X </t>
        </r>
      </text>
    </comment>
    <comment ref="DB181" authorId="7">
      <text>
        <r>
          <rPr>
            <sz val="9"/>
            <color indexed="81"/>
            <rFont val="Tahoma"/>
            <family val="2"/>
          </rPr>
          <t xml:space="preserve">11/17/15
We expect to continue FY16 earnings per share -- we continue to expect FY16 earnings per share to in the range of $3.26 to $3.28 over $3.15 in FY15.
11/17/15 Excluding last year's debt extinguishmnet FY 16 EPS would have been up +3.-4% vs. lasty ear
</t>
        </r>
        <r>
          <rPr>
            <b/>
            <sz val="9"/>
            <color indexed="81"/>
            <rFont val="Tahoma"/>
            <family val="2"/>
          </rPr>
          <t>5/19/15:</t>
        </r>
        <r>
          <rPr>
            <sz val="9"/>
            <color indexed="81"/>
            <rFont val="Tahoma"/>
            <family val="2"/>
          </rPr>
          <t xml:space="preserve"> Guidance $3.21-3.27.  Includes assumption that FX, wages, incremental investments, and pension costs will have a -8% impact on EPS growth.
2/25/15</t>
        </r>
        <r>
          <rPr>
            <b/>
            <sz val="9"/>
            <color indexed="81"/>
            <rFont val="Tahoma"/>
            <family val="2"/>
          </rPr>
          <t>:</t>
        </r>
        <r>
          <rPr>
            <sz val="9"/>
            <color indexed="81"/>
            <rFont val="Tahoma"/>
            <family val="2"/>
          </rPr>
          <t xml:space="preserve"> Guidance $3.17-$3.25 reflecting the assumption that F/X could have a 5% negative impact (including 3% due to impact of dramatic change in F/X on translation and mark to market adjustments and 2% from the effect of currency on merchandise margins at the companie's international divisions). It also assumes the combination of investment in associates, incremntal investments to support growth and pension costs will negatively impact EPS by an additional 4%. 
2/25/15: Still see 10-13% EPS growth long term.
</t>
        </r>
      </text>
    </comment>
    <comment ref="DF181" authorId="9">
      <text>
        <r>
          <rPr>
            <b/>
            <sz val="9"/>
            <color indexed="81"/>
            <rFont val="Tahoma"/>
            <family val="2"/>
          </rPr>
          <t>Baglione, Gregory  (Research):</t>
        </r>
        <r>
          <rPr>
            <sz val="9"/>
            <color indexed="81"/>
            <rFont val="Tahoma"/>
            <family val="2"/>
          </rPr>
          <t xml:space="preserve">
2/22/17: negatively impacted -3% from wage increases, -2% foreign currency and transactional FX
11/15/16
For the fourth quarter of Fiscal 2017, the Company expects diluted earnings per share to be in the range of $.96 to $.98 compared to $.99 last year. This guidance reflects an assumption that wage increases will negatively impact EPS growth by 3%. The Company also expects the combination of foreign currency and transactional foreign exchange will have an additional 6% negative impact on EPS growth. This EPS outlook is based upon estimated consolidated comparable store sales growth of 1% to 2% over last year’s strong 6% increase.
The Company now estimates Fiscal 2017 GAAP diluted earnings per share of $3.39 to $3.41 and adjusted earnings per share of $3.46 to $3.48, versus prior guidance of $3.39 to $3.43, reflecting the Company’s strong third quarter results. The adjusted EPS range excludes the impact of the third quarter debt extinguishment and pension settlement charges (described above). The EPS outlook is based upon estimated consolidated comparable store sales growth of 4%.
The Company’s earnings guidance for the fourth quarter and full year Fiscal 2017 assumes that currency exchange rates will remain unchanged from the levels at the beginning of the fourth quarter.
8/16/16
The Company is raising its full year guidance to reflect its strong second quarter results. For the fiscal year ending January 28, 2017, the Company now expects diluted earnings per share to be in the range of </t>
        </r>
        <r>
          <rPr>
            <b/>
            <sz val="9"/>
            <color indexed="81"/>
            <rFont val="Tahoma"/>
            <family val="2"/>
          </rPr>
          <t>$3.39 to $3.43, which would represent a 2% to 3% increase over $3.33 in Fiscal 2016.</t>
        </r>
        <r>
          <rPr>
            <sz val="9"/>
            <color indexed="81"/>
            <rFont val="Tahoma"/>
            <family val="2"/>
          </rPr>
          <t xml:space="preserve"> This guidance reflects an assumption that wage increases will negatively impact EPS growth by 3%. The Company also expects the combination of foreign currency and transactional foreign exchange will have an additional 3% negative impact on EPS growth. This EPS outlook is now based upon a raised estimate of consolidated comparable store sales growth of 3% to 4%.
5/17/16
The Company is raising its full year guidance to reflect its strong first quarter results. For the fiscal year ending January 28, 2017, the Company now expects diluted earnings per share to be in the range of $3.35 to $3.42, which would represent a 1% to 3% increase over $3.33 in Fiscal 2016. This guidance reflects an assumption that the combination of foreign currency, transactional foreign exchange and wage increases will have a 6% negative impact on EPS growth. This EPS outlook is now based upon a raised estimate of consolidated comparable store sales growth of 2% to 3%.
2/24/16
For the fiscal year ending January 28, 2017, the Company expects diluted earnings per share to be in the range of $3.29 to $3.38, which would represent a 1% decrease to a 2% increase over the $3.33 in Fiscal 2016. This guidance reflects an assumption that the combination of foreign currency and transactional foreign exchange will have a 4% negative impact on EPS growth. The Company also expects its previously announced wage initiative to negatively impact EPS growth by an additional 4%. This EPS outlook is based upon estimated consolidated comparable store sales growth of 1% to 2%.
</t>
        </r>
      </text>
    </comment>
    <comment ref="DJ181" authorId="10">
      <text>
        <r>
          <rPr>
            <b/>
            <sz val="9"/>
            <color indexed="81"/>
            <rFont val="Tahoma"/>
            <family val="2"/>
          </rPr>
          <t>Roberts, Cynthia (Research):</t>
        </r>
        <r>
          <rPr>
            <sz val="9"/>
            <color indexed="81"/>
            <rFont val="Tahoma"/>
            <family val="2"/>
          </rPr>
          <t xml:space="preserve">
11/14/17: Guidance </t>
        </r>
        <r>
          <rPr>
            <b/>
            <sz val="9"/>
            <color indexed="81"/>
            <rFont val="Tahoma"/>
            <family val="2"/>
          </rPr>
          <t>$3.91-$3.93</t>
        </r>
        <r>
          <rPr>
            <sz val="9"/>
            <color indexed="81"/>
            <rFont val="Tahoma"/>
            <family val="2"/>
          </rPr>
          <t xml:space="preserve">; extra week 11c, wages -2%, share based comp +1% (5c), FX +1%
8/15/17: Guidance </t>
        </r>
        <r>
          <rPr>
            <b/>
            <sz val="9"/>
            <color indexed="81"/>
            <rFont val="Tahoma"/>
            <family val="2"/>
          </rPr>
          <t xml:space="preserve">$3.89-$3.93
</t>
        </r>
        <r>
          <rPr>
            <sz val="9"/>
            <color indexed="81"/>
            <rFont val="Tahoma"/>
            <family val="2"/>
          </rPr>
          <t xml:space="preserve">- Wages  -2%, share base comp +2% (6c vs. prior 8c), FX neutral impact
5/16/17: Guidance </t>
        </r>
        <r>
          <rPr>
            <b/>
            <sz val="9"/>
            <color indexed="81"/>
            <rFont val="Tahoma"/>
            <family val="2"/>
          </rPr>
          <t>$3.82-$3.89</t>
        </r>
        <r>
          <rPr>
            <sz val="9"/>
            <color indexed="81"/>
            <rFont val="Tahoma"/>
            <family val="2"/>
          </rPr>
          <t xml:space="preserve">
2/22/17: Guidance: </t>
        </r>
        <r>
          <rPr>
            <b/>
            <sz val="9"/>
            <color indexed="81"/>
            <rFont val="Tahoma"/>
            <family val="2"/>
          </rPr>
          <t>$3.80-$3.89</t>
        </r>
        <r>
          <rPr>
            <sz val="9"/>
            <color indexed="81"/>
            <rFont val="Tahoma"/>
            <family val="2"/>
          </rPr>
          <t>, $3.69-3.78 excluding 53rd week benefit. 
- 53rd week benefit 3% EPS growth, $0.11
- Wage increases -2% impact, will have a negative impact beyond 2017, but expected to moderate
- share based comp accounting change +2% impact, $0.08 
- FX to have a slightly negative impact, primarily a result of decline in British pound</t>
        </r>
      </text>
    </comment>
    <comment ref="DK181" authorId="18">
      <text>
        <r>
          <rPr>
            <b/>
            <sz val="9"/>
            <color indexed="81"/>
            <rFont val="Tahoma"/>
            <family val="2"/>
          </rPr>
          <t xml:space="preserve">Baglione, Gregory (Research):
</t>
        </r>
        <r>
          <rPr>
            <sz val="9"/>
            <color indexed="81"/>
            <rFont val="Tahoma"/>
            <family val="2"/>
          </rPr>
          <t xml:space="preserve">
4Q EPS growth benefit was 11-12% in 2012. FY was 4% EPS growth boost.</t>
        </r>
      </text>
    </comment>
    <comment ref="DN181" authorId="10">
      <text>
        <r>
          <rPr>
            <b/>
            <sz val="9"/>
            <color indexed="81"/>
            <rFont val="Tahoma"/>
            <family val="2"/>
          </rPr>
          <t>Roberts, Cynthia (Research):</t>
        </r>
        <r>
          <rPr>
            <sz val="9"/>
            <color indexed="81"/>
            <rFont val="Tahoma"/>
            <family val="2"/>
          </rPr>
          <t xml:space="preserve">
2/28/18: Guidance $4.73-$4.83;  73-75c from lower tax rate (underlying $4.00-$4.08). Reflects wages -2% impact, share based comp accounting  -1%, FX +1% </t>
        </r>
      </text>
    </comment>
    <comment ref="BZ187" authorId="2">
      <text>
        <r>
          <rPr>
            <b/>
            <sz val="8"/>
            <color indexed="81"/>
            <rFont val="Tahoma"/>
            <family val="2"/>
          </rPr>
          <t>mm98285:</t>
        </r>
        <r>
          <rPr>
            <sz val="8"/>
            <color indexed="81"/>
            <rFont val="Tahoma"/>
            <family val="2"/>
          </rPr>
          <t xml:space="preserve">
includes Bob's loss (discontinued ops)</t>
        </r>
      </text>
    </comment>
    <comment ref="BV188" authorId="13">
      <text>
        <r>
          <rPr>
            <sz val="7"/>
            <color indexed="81"/>
            <rFont val="Tahoma"/>
            <family val="2"/>
          </rPr>
          <t>$0.13 GAAP number includes a $(0.02) per share cost incurred during quarter related to computer intrusion charges and a $(0.23) per share reserve charge for the company’s exposure to potential losses related to the intrusion.</t>
        </r>
      </text>
    </comment>
    <comment ref="BF189" authorId="0">
      <text>
        <r>
          <rPr>
            <sz val="8"/>
            <color indexed="81"/>
            <rFont val="Tahoma"/>
            <family val="2"/>
          </rPr>
          <t>4q02 conf call - guided to $0.25 to $0.28 on GM of 24.2 and SGA of 16.9</t>
        </r>
      </text>
    </comment>
    <comment ref="BF190" authorId="0">
      <text>
        <r>
          <rPr>
            <sz val="8"/>
            <color indexed="81"/>
            <rFont val="Tahoma"/>
            <family val="2"/>
          </rPr>
          <t>4q02 conf call - guided to $0.34 to $0.37 on GM of 25.6 and SGA of 16.4 and sales of 3.4 bil</t>
        </r>
      </text>
    </comment>
    <comment ref="BF191" authorId="0">
      <text>
        <r>
          <rPr>
            <sz val="8"/>
            <color indexed="81"/>
            <rFont val="Tahoma"/>
            <family val="2"/>
          </rPr>
          <t>4q02 conf call -guided to $0.41 to $0.44 on GM of 23.6 and SGA of 14.7, sales of 4.1 bil.  Guidance incl. $0.04 of benefit due to 53rd week</t>
        </r>
      </text>
    </comment>
    <comment ref="BF192" authorId="0">
      <text>
        <r>
          <rPr>
            <sz val="8"/>
            <color indexed="81"/>
            <rFont val="Tahoma"/>
            <family val="2"/>
          </rPr>
          <t>4q02 guided to $1.20 to $1.32</t>
        </r>
      </text>
    </comment>
    <comment ref="BJ199" authorId="0">
      <text>
        <r>
          <rPr>
            <b/>
            <sz val="8"/>
            <color indexed="81"/>
            <rFont val="Tahoma"/>
            <family val="2"/>
          </rPr>
          <t>SB:</t>
        </r>
        <r>
          <rPr>
            <sz val="8"/>
            <color indexed="81"/>
            <rFont val="Tahoma"/>
            <family val="2"/>
          </rPr>
          <t xml:space="preserve">
7/8/04 Revised guid from 27-28c to 24-25c
8/5 Guided 23-24 due to below plan sales leading increased markdowns to clear goods</t>
        </r>
      </text>
    </comment>
    <comment ref="BF218" authorId="0">
      <text>
        <r>
          <rPr>
            <sz val="8"/>
            <color indexed="81"/>
            <rFont val="Tahoma"/>
            <family val="2"/>
          </rPr>
          <t>In 1Q, spent $139 million and retired 8.2 million shares</t>
        </r>
      </text>
    </comment>
    <comment ref="BJ218" authorId="0">
      <text>
        <r>
          <rPr>
            <sz val="8"/>
            <color indexed="81"/>
            <rFont val="Tahoma"/>
            <family val="2"/>
          </rPr>
          <t>5/18/04 Spent $137 million, retiring 5.6 million shares in 1Q</t>
        </r>
      </text>
    </comment>
    <comment ref="BN218" authorId="29">
      <text>
        <r>
          <rPr>
            <b/>
            <sz val="8"/>
            <color indexed="81"/>
            <rFont val="Tahoma"/>
            <family val="2"/>
          </rPr>
          <t>SB:</t>
        </r>
        <r>
          <rPr>
            <sz val="8"/>
            <color indexed="81"/>
            <rFont val="Tahoma"/>
            <family val="2"/>
          </rPr>
          <t xml:space="preserve">
11/16 due to change in accounting rule, Coco now dilutive.  Adds 16.9 million shares</t>
        </r>
      </text>
    </comment>
    <comment ref="BR218" authorId="1">
      <text>
        <r>
          <rPr>
            <b/>
            <sz val="8"/>
            <color indexed="81"/>
            <rFont val="Tahoma"/>
            <family val="2"/>
          </rPr>
          <t>Morry Brown:</t>
        </r>
        <r>
          <rPr>
            <sz val="8"/>
            <color indexed="81"/>
            <rFont val="Tahoma"/>
            <family val="2"/>
          </rPr>
          <t xml:space="preserve">
2/06 Mgmt guided to $650mm in share repo in 2006… we assume evenly split by quarters at $25 stock price. total authorization of $1 billion at end of 2005.</t>
        </r>
      </text>
    </comment>
    <comment ref="BV218" authorId="2">
      <text>
        <r>
          <rPr>
            <b/>
            <sz val="8"/>
            <color indexed="81"/>
            <rFont val="Tahoma"/>
            <family val="2"/>
          </rPr>
          <t>mm98285:</t>
        </r>
        <r>
          <rPr>
            <sz val="8"/>
            <color indexed="81"/>
            <rFont val="Tahoma"/>
            <family val="2"/>
          </rPr>
          <t xml:space="preserve">
repo'd $6mm thru Apr. 28</t>
        </r>
      </text>
    </comment>
    <comment ref="BZ218" authorId="2">
      <text>
        <r>
          <rPr>
            <b/>
            <sz val="7"/>
            <color indexed="81"/>
            <rFont val="Tahoma"/>
            <family val="2"/>
          </rPr>
          <t>mm98285:</t>
        </r>
        <r>
          <rPr>
            <sz val="7"/>
            <color indexed="81"/>
            <rFont val="Tahoma"/>
            <family val="2"/>
          </rPr>
          <t xml:space="preserve">
1Q: repo'd 7mm shares for $225mm
2/08: expect to repurch $900mm in 2008 ($1.486b remaining under prior auth. as of Jan 2008)
2/4/08: new $1b auth., leaving $1.486b available for repo. Expect complete $486mm auth. (of original $1b auth in Feb 2007) in FY08</t>
        </r>
      </text>
    </comment>
    <comment ref="CD218" authorId="2">
      <text>
        <r>
          <rPr>
            <b/>
            <sz val="8"/>
            <color indexed="81"/>
            <rFont val="Tahoma"/>
            <family val="2"/>
          </rPr>
          <t>mm98285:</t>
        </r>
        <r>
          <rPr>
            <sz val="8"/>
            <color indexed="81"/>
            <rFont val="Tahoma"/>
            <family val="2"/>
          </rPr>
          <t xml:space="preserve">
5/09: repo'd 1.6M shares for $42.9M ($702M remains avail)</t>
        </r>
      </text>
    </comment>
    <comment ref="CH218" authorId="2">
      <text>
        <r>
          <rPr>
            <b/>
            <sz val="8"/>
            <color indexed="81"/>
            <rFont val="Tahoma"/>
            <family val="2"/>
          </rPr>
          <t>mm98285:</t>
        </r>
        <r>
          <rPr>
            <sz val="8"/>
            <color indexed="81"/>
            <rFont val="Tahoma"/>
            <family val="2"/>
          </rPr>
          <t xml:space="preserve">
1Q: repo'd 5.5M shares for $234.1M
2/10: 414M
2/10: reduce share count by 5M for 4Q repo (10.9M) plus average of 3M reduction for 1Q repo's (~6M)</t>
        </r>
      </text>
    </comment>
    <comment ref="CL218" authorId="3">
      <text>
        <r>
          <rPr>
            <b/>
            <sz val="8"/>
            <color indexed="81"/>
            <rFont val="Tahoma"/>
            <family val="2"/>
          </rPr>
          <t xml:space="preserve">5/17/11: </t>
        </r>
        <r>
          <rPr>
            <sz val="8"/>
            <color indexed="81"/>
            <rFont val="Tahoma"/>
            <family val="2"/>
          </rPr>
          <t>Repo'ed $361M of TJX stock, retiring 7.1M shares, Company cont's to expect to repo ~$1.2B shares</t>
        </r>
        <r>
          <rPr>
            <sz val="8"/>
            <color indexed="81"/>
            <rFont val="Tahoma"/>
            <family val="2"/>
          </rPr>
          <t xml:space="preserve">
</t>
        </r>
        <r>
          <rPr>
            <b/>
            <sz val="8"/>
            <color indexed="81"/>
            <rFont val="Tahoma"/>
            <family val="2"/>
          </rPr>
          <t>2/11:</t>
        </r>
        <r>
          <rPr>
            <sz val="8"/>
            <color indexed="81"/>
            <rFont val="Tahoma"/>
            <family val="2"/>
          </rPr>
          <t xml:space="preserve"> Exp 393M SO
Plans to repo $1.2Bn of TJX stock during the year
(Assume 22M bought evenly throughout the year)</t>
        </r>
      </text>
    </comment>
    <comment ref="CP218" authorId="3">
      <text>
        <r>
          <rPr>
            <b/>
            <sz val="8"/>
            <color indexed="81"/>
            <rFont val="Tahoma"/>
            <family val="2"/>
          </rPr>
          <t>lauraro:</t>
        </r>
        <r>
          <rPr>
            <sz val="8"/>
            <color indexed="81"/>
            <rFont val="Tahoma"/>
            <family val="2"/>
          </rPr>
          <t xml:space="preserve">
</t>
        </r>
        <r>
          <rPr>
            <b/>
            <sz val="8"/>
            <color indexed="81"/>
            <rFont val="Tahoma"/>
            <family val="2"/>
          </rPr>
          <t xml:space="preserve">5/15: </t>
        </r>
        <r>
          <rPr>
            <sz val="8"/>
            <color indexed="81"/>
            <rFont val="Tahoma"/>
            <family val="2"/>
          </rPr>
          <t>Spent $250M retiring 6.5M shares, company conts to expect to repo ~$1.2-$1.3B in stock TY</t>
        </r>
        <r>
          <rPr>
            <b/>
            <sz val="8"/>
            <color indexed="81"/>
            <rFont val="Tahoma"/>
            <family val="2"/>
          </rPr>
          <t xml:space="preserve">
</t>
        </r>
        <r>
          <rPr>
            <sz val="8"/>
            <color indexed="81"/>
            <rFont val="Tahoma"/>
            <family val="2"/>
          </rPr>
          <t>753M SO
Plans to repo ~$1.2B to $1.3B stock during 2012. With ~$225M remaining at 2011 year end under the Company’s existing stock repurchase program, the BoD approved a new stock repo program that authorizes the repo of up to an additional $2B from time to time.</t>
        </r>
      </text>
    </comment>
    <comment ref="CX218" authorId="6">
      <text>
        <r>
          <rPr>
            <b/>
            <sz val="8"/>
            <color indexed="81"/>
            <rFont val="Tahoma"/>
            <family val="2"/>
          </rPr>
          <t>2/25/14: 713M</t>
        </r>
        <r>
          <rPr>
            <sz val="8"/>
            <color indexed="81"/>
            <rFont val="Tahoma"/>
            <family val="2"/>
          </rPr>
          <t xml:space="preserve">
</t>
        </r>
      </text>
    </comment>
    <comment ref="DB218" authorId="7">
      <text>
        <r>
          <rPr>
            <b/>
            <sz val="9"/>
            <color indexed="81"/>
            <rFont val="Tahoma"/>
            <family val="2"/>
          </rPr>
          <t>Turley, Amber (Research):</t>
        </r>
        <r>
          <rPr>
            <sz val="9"/>
            <color indexed="81"/>
            <rFont val="Tahoma"/>
            <family val="2"/>
          </rPr>
          <t xml:space="preserve">
</t>
        </r>
        <r>
          <rPr>
            <b/>
            <sz val="9"/>
            <color indexed="81"/>
            <rFont val="Tahoma"/>
            <family val="2"/>
          </rPr>
          <t xml:space="preserve">2/25/15 guidance: </t>
        </r>
        <r>
          <rPr>
            <sz val="9"/>
            <color indexed="81"/>
            <rFont val="Tahoma"/>
            <family val="2"/>
          </rPr>
          <t>691M shares</t>
        </r>
      </text>
    </comment>
    <comment ref="DF218" authorId="9">
      <text>
        <r>
          <rPr>
            <b/>
            <sz val="9"/>
            <color indexed="81"/>
            <rFont val="Tahoma"/>
            <family val="2"/>
          </rPr>
          <t xml:space="preserve">Baglione, Gregory  (Research):
</t>
        </r>
        <r>
          <rPr>
            <sz val="9"/>
            <color indexed="81"/>
            <rFont val="Tahoma"/>
            <family val="2"/>
          </rPr>
          <t>2/24/16 Guidance
WAS 669M</t>
        </r>
      </text>
    </comment>
    <comment ref="DJ218" authorId="10">
      <text>
        <r>
          <rPr>
            <b/>
            <sz val="9"/>
            <color indexed="81"/>
            <rFont val="Tahoma"/>
            <family val="2"/>
          </rPr>
          <t>Roberts, Cynthia (Research):</t>
        </r>
        <r>
          <rPr>
            <sz val="9"/>
            <color indexed="81"/>
            <rFont val="Tahoma"/>
            <family val="2"/>
          </rPr>
          <t xml:space="preserve">
2/22/17: Guidance: 654M</t>
        </r>
      </text>
    </comment>
    <comment ref="DN218" authorId="10">
      <text>
        <r>
          <rPr>
            <b/>
            <sz val="9"/>
            <color indexed="81"/>
            <rFont val="Tahoma"/>
            <family val="2"/>
          </rPr>
          <t>Roberts, Cynthia (Research):</t>
        </r>
        <r>
          <rPr>
            <sz val="9"/>
            <color indexed="81"/>
            <rFont val="Tahoma"/>
            <family val="2"/>
          </rPr>
          <t xml:space="preserve">
2/28/18: Guidance 634M</t>
        </r>
      </text>
    </comment>
    <comment ref="AL219" authorId="20">
      <text>
        <r>
          <rPr>
            <sz val="8"/>
            <color indexed="81"/>
            <rFont val="Tahoma"/>
            <family val="2"/>
          </rPr>
          <t>june 1998 2 for 1 stock split</t>
        </r>
      </text>
    </comment>
    <comment ref="BB219" authorId="20">
      <text>
        <r>
          <rPr>
            <sz val="8"/>
            <color indexed="81"/>
            <rFont val="Tahoma"/>
            <family val="2"/>
          </rPr>
          <t>April 10, 2002 2 for 1 stock split</t>
        </r>
      </text>
    </comment>
    <comment ref="BF219" authorId="0">
      <text>
        <r>
          <rPr>
            <sz val="8"/>
            <color indexed="81"/>
            <rFont val="Tahoma"/>
            <family val="2"/>
          </rPr>
          <t>Bought 6.8 million shares at total cost of $125 million</t>
        </r>
      </text>
    </comment>
    <comment ref="BJ219" authorId="23">
      <text>
        <r>
          <rPr>
            <b/>
            <sz val="8"/>
            <color indexed="81"/>
            <rFont val="Tahoma"/>
            <family val="2"/>
          </rPr>
          <t>MS:</t>
        </r>
        <r>
          <rPr>
            <sz val="8"/>
            <color indexed="81"/>
            <rFont val="Tahoma"/>
            <family val="2"/>
          </rPr>
          <t xml:space="preserve">
501.7
YTD spent $308MM. Retired 7.3 mil shs in 2Q at cost of $171MM</t>
        </r>
      </text>
    </comment>
    <comment ref="BN219" authorId="29">
      <text>
        <r>
          <rPr>
            <b/>
            <sz val="8"/>
            <color indexed="81"/>
            <rFont val="Tahoma"/>
            <family val="2"/>
          </rPr>
          <t>SB:</t>
        </r>
        <r>
          <rPr>
            <sz val="8"/>
            <color indexed="81"/>
            <rFont val="Tahoma"/>
            <family val="2"/>
          </rPr>
          <t xml:space="preserve">
5-17 1Q call: expect $150mm of buyback per Q for balance of 2005
11/16 due to change in accounting rule, Coco now dilutive.  Adds 16.9 million shares</t>
        </r>
      </text>
    </comment>
    <comment ref="BR219" authorId="1">
      <text>
        <r>
          <rPr>
            <b/>
            <sz val="8"/>
            <color indexed="81"/>
            <rFont val="Tahoma"/>
            <family val="2"/>
          </rPr>
          <t>Morry Brown:</t>
        </r>
        <r>
          <rPr>
            <sz val="8"/>
            <color indexed="81"/>
            <rFont val="Tahoma"/>
            <family val="2"/>
          </rPr>
          <t xml:space="preserve">
5/06: guided to 480m shares 
2/06 Mgmt guided to $650mm in share repo in 2006… we assume evenly split by quarters at $25 stock price. total authorization of $1 billion at end of 2005.</t>
        </r>
      </text>
    </comment>
    <comment ref="BV219" authorId="2">
      <text>
        <r>
          <rPr>
            <b/>
            <sz val="8"/>
            <color indexed="81"/>
            <rFont val="Tahoma"/>
            <family val="2"/>
          </rPr>
          <t>mm98285:</t>
        </r>
        <r>
          <rPr>
            <sz val="8"/>
            <color indexed="81"/>
            <rFont val="Tahoma"/>
            <family val="2"/>
          </rPr>
          <t xml:space="preserve">
During 2Q07 TJX spent $345mm in stock repurchases, retiring 12.2mm shares.</t>
        </r>
      </text>
    </comment>
    <comment ref="BZ219" authorId="2">
      <text>
        <r>
          <rPr>
            <b/>
            <sz val="8"/>
            <color indexed="81"/>
            <rFont val="Tahoma"/>
            <family val="2"/>
          </rPr>
          <t>mm98285:</t>
        </r>
        <r>
          <rPr>
            <sz val="8"/>
            <color indexed="81"/>
            <rFont val="Tahoma"/>
            <family val="2"/>
          </rPr>
          <t xml:space="preserve">
2Q: repo'd 6.976709mm shares for $225mm ($1.036B remains under auth)
2/08: expect to repurch $900mm in 2008
2/4/08: new $1b auth., leaving $1.486b available for repo. Expect complete $486mm auth. (of original $1b auth in Feb 2007) in FY08</t>
        </r>
      </text>
    </comment>
    <comment ref="CD219" authorId="2">
      <text>
        <r>
          <rPr>
            <b/>
            <sz val="8"/>
            <color indexed="81"/>
            <rFont val="Tahoma"/>
            <family val="2"/>
          </rPr>
          <t>mm98285:</t>
        </r>
        <r>
          <rPr>
            <sz val="8"/>
            <color indexed="81"/>
            <rFont val="Tahoma"/>
            <family val="2"/>
          </rPr>
          <t xml:space="preserve">
8/09: repo'd 6.4M shares at cost of $194M
5/09: expect to repo ~half of 13.5mm in 2Q</t>
        </r>
      </text>
    </comment>
    <comment ref="CH219" authorId="14">
      <text>
        <r>
          <rPr>
            <b/>
            <sz val="8"/>
            <color indexed="81"/>
            <rFont val="Tahoma"/>
            <family val="2"/>
          </rPr>
          <t>lr73192:</t>
        </r>
        <r>
          <rPr>
            <sz val="8"/>
            <color indexed="81"/>
            <rFont val="Tahoma"/>
            <family val="2"/>
          </rPr>
          <t xml:space="preserve">
repo'd 8.2M shares for $355.5M
5/10: Mgmt guided to 413 million</t>
        </r>
      </text>
    </comment>
    <comment ref="CL219" authorId="3">
      <text>
        <r>
          <rPr>
            <b/>
            <sz val="8"/>
            <color indexed="81"/>
            <rFont val="Tahoma"/>
            <family val="2"/>
          </rPr>
          <t xml:space="preserve">8/16/11:
</t>
        </r>
        <r>
          <rPr>
            <sz val="8"/>
            <color indexed="81"/>
            <rFont val="Tahoma"/>
            <family val="2"/>
          </rPr>
          <t>- 3Q: 5.9M shares outstanding, $311M; YTD: 13.1M SO, $673M
- Cont to expect to buy back $1.2Bn TJX stock this year</t>
        </r>
        <r>
          <rPr>
            <b/>
            <sz val="8"/>
            <color indexed="81"/>
            <rFont val="Tahoma"/>
            <family val="2"/>
          </rPr>
          <t xml:space="preserve">
5/17/11: 
</t>
        </r>
        <r>
          <rPr>
            <sz val="8"/>
            <color indexed="81"/>
            <rFont val="Tahoma"/>
            <family val="2"/>
          </rPr>
          <t>Exp 389 SO</t>
        </r>
        <r>
          <rPr>
            <sz val="8"/>
            <color indexed="81"/>
            <rFont val="Tahoma"/>
            <family val="2"/>
          </rPr>
          <t xml:space="preserve">
Plans to repo $1.2Bn of TJX stock during the year
(Assume 22M bought evenly throughout the year)</t>
        </r>
      </text>
    </comment>
    <comment ref="CP219" authorId="3">
      <text>
        <r>
          <rPr>
            <b/>
            <sz val="8"/>
            <color indexed="81"/>
            <rFont val="Tahoma"/>
            <family val="2"/>
          </rPr>
          <t>lauraro:</t>
        </r>
        <r>
          <rPr>
            <sz val="8"/>
            <color indexed="81"/>
            <rFont val="Tahoma"/>
            <family val="2"/>
          </rPr>
          <t xml:space="preserve">
752M SO</t>
        </r>
      </text>
    </comment>
    <comment ref="CT219" authorId="5">
      <text>
        <r>
          <rPr>
            <b/>
            <sz val="8"/>
            <color indexed="81"/>
            <rFont val="Tahoma"/>
            <family val="2"/>
          </rPr>
          <t xml:space="preserve">8/20/13: </t>
        </r>
        <r>
          <rPr>
            <sz val="8"/>
            <color indexed="81"/>
            <rFont val="Tahoma"/>
            <family val="2"/>
          </rPr>
          <t>during the quarter the company repruchased $325M in stock (6.4M shares); expects to repurchase $1.3-$1.4B in FY14</t>
        </r>
        <r>
          <rPr>
            <b/>
            <sz val="8"/>
            <color indexed="81"/>
            <rFont val="Tahoma"/>
            <family val="2"/>
          </rPr>
          <t xml:space="preserve">
5/21/2013 guidance: </t>
        </r>
        <r>
          <rPr>
            <sz val="8"/>
            <color indexed="81"/>
            <rFont val="Tahoma"/>
            <family val="2"/>
          </rPr>
          <t>729M</t>
        </r>
      </text>
    </comment>
    <comment ref="DB219" authorId="8">
      <text>
        <r>
          <rPr>
            <b/>
            <sz val="9"/>
            <color indexed="81"/>
            <rFont val="Tahoma"/>
            <family val="2"/>
          </rPr>
          <t>Mains, Spencer (Research):</t>
        </r>
        <r>
          <rPr>
            <sz val="9"/>
            <color indexed="81"/>
            <rFont val="Tahoma"/>
            <family val="2"/>
          </rPr>
          <t xml:space="preserve">
5/19/15: Guidance 686</t>
        </r>
      </text>
    </comment>
    <comment ref="DF219" authorId="9">
      <text>
        <r>
          <rPr>
            <b/>
            <sz val="9"/>
            <color indexed="81"/>
            <rFont val="Tahoma"/>
            <family val="2"/>
          </rPr>
          <t>Baglione, Gregory  (Research):</t>
        </r>
        <r>
          <rPr>
            <sz val="9"/>
            <color indexed="81"/>
            <rFont val="Tahoma"/>
            <family val="2"/>
          </rPr>
          <t xml:space="preserve">
5/17/16
guidance 666m share</t>
        </r>
      </text>
    </comment>
    <comment ref="DJ219" authorId="10">
      <text>
        <r>
          <rPr>
            <b/>
            <sz val="9"/>
            <color indexed="81"/>
            <rFont val="Tahoma"/>
            <family val="2"/>
          </rPr>
          <t>Roberts, Cynthia (Research):</t>
        </r>
        <r>
          <rPr>
            <sz val="9"/>
            <color indexed="81"/>
            <rFont val="Tahoma"/>
            <family val="2"/>
          </rPr>
          <t xml:space="preserve">
5/16/17: Guidance 652M</t>
        </r>
      </text>
    </comment>
    <comment ref="N220" authorId="0">
      <text>
        <r>
          <rPr>
            <b/>
            <sz val="8"/>
            <color indexed="81"/>
            <rFont val="Tahoma"/>
            <family val="2"/>
          </rPr>
          <t>lehman:</t>
        </r>
        <r>
          <rPr>
            <sz val="8"/>
            <color indexed="81"/>
            <rFont val="Tahoma"/>
            <family val="2"/>
          </rPr>
          <t xml:space="preserve">
assumes exercise of preferred shares 3.497374</t>
        </r>
      </text>
    </comment>
    <comment ref="BB220" authorId="20">
      <text>
        <r>
          <rPr>
            <sz val="8"/>
            <color indexed="81"/>
            <rFont val="Tahoma"/>
            <family val="2"/>
          </rPr>
          <t>repurchased 5.9 million shares for $110.1 million.  In 9 months, 20.5 mil shs for $392.3</t>
        </r>
      </text>
    </comment>
    <comment ref="BF220" authorId="0">
      <text>
        <r>
          <rPr>
            <sz val="8"/>
            <color indexed="81"/>
            <rFont val="Tahoma"/>
            <family val="2"/>
          </rPr>
          <t>508.3</t>
        </r>
      </text>
    </comment>
    <comment ref="BJ220" authorId="29">
      <text>
        <r>
          <rPr>
            <b/>
            <sz val="8"/>
            <color indexed="81"/>
            <rFont val="Tahoma"/>
            <family val="2"/>
          </rPr>
          <t>SB:</t>
        </r>
        <r>
          <rPr>
            <sz val="8"/>
            <color indexed="81"/>
            <rFont val="Tahoma"/>
            <family val="2"/>
          </rPr>
          <t xml:space="preserve">
11/16 spent $172, retiring 7.9 million shs</t>
        </r>
      </text>
    </comment>
    <comment ref="BN220" authorId="29">
      <text>
        <r>
          <rPr>
            <b/>
            <sz val="8"/>
            <color indexed="81"/>
            <rFont val="Tahoma"/>
            <family val="2"/>
          </rPr>
          <t xml:space="preserve">SB:
</t>
        </r>
        <r>
          <rPr>
            <sz val="8"/>
            <color indexed="81"/>
            <rFont val="Tahoma"/>
            <family val="2"/>
          </rPr>
          <t>486.7</t>
        </r>
        <r>
          <rPr>
            <sz val="8"/>
            <color indexed="81"/>
            <rFont val="Tahoma"/>
            <family val="2"/>
          </rPr>
          <t xml:space="preserve">
5-17 1Q call: expect $150mm of buyback per Q for balance of 2005
11/16 due to change in accounting rule, Coco now dilutive.  Adds 16.9 million shares</t>
        </r>
      </text>
    </comment>
    <comment ref="BR220" authorId="1">
      <text>
        <r>
          <rPr>
            <b/>
            <sz val="8"/>
            <color indexed="81"/>
            <rFont val="Tahoma"/>
            <family val="2"/>
          </rPr>
          <t>Morry Brown:</t>
        </r>
        <r>
          <rPr>
            <sz val="8"/>
            <color indexed="81"/>
            <rFont val="Tahoma"/>
            <family val="2"/>
          </rPr>
          <t xml:space="preserve">
8/06: guided to 473mm shares
8/06: $381 share repo in 1H leaves $269 in 2H (assume ~$130 in 3Q and ~$140 in 4Q at $27 stock price)
2/06 Mgmt guided to $650mm in share repo in 2006… we assume evenly split by quarters at $25 stock price. total authorization of $1 billion at end of 2005.</t>
        </r>
      </text>
    </comment>
    <comment ref="BV220" authorId="30">
      <text>
        <r>
          <rPr>
            <sz val="8"/>
            <color indexed="81"/>
            <rFont val="Tahoma"/>
            <family val="2"/>
          </rPr>
          <t>Repoed 10.3mm shares for $300mm so implies ~+1.5 option creep</t>
        </r>
        <r>
          <rPr>
            <b/>
            <sz val="8"/>
            <color indexed="81"/>
            <rFont val="Tahoma"/>
            <family val="2"/>
          </rPr>
          <t xml:space="preserve">
kg51925:</t>
        </r>
        <r>
          <rPr>
            <sz val="8"/>
            <color indexed="81"/>
            <rFont val="Tahoma"/>
            <family val="2"/>
          </rPr>
          <t xml:space="preserve">
8/14/07 guided to 465mm
</t>
        </r>
      </text>
    </comment>
    <comment ref="BZ220" authorId="2">
      <text>
        <r>
          <rPr>
            <b/>
            <sz val="8"/>
            <color indexed="81"/>
            <rFont val="Tahoma"/>
            <family val="2"/>
          </rPr>
          <t>mm98285:</t>
        </r>
        <r>
          <rPr>
            <sz val="8"/>
            <color indexed="81"/>
            <rFont val="Tahoma"/>
            <family val="2"/>
          </rPr>
          <t xml:space="preserve">
11/08: repo'd $226mm for 7.2mm shares (YTD $676mm for 21.2mm shares)
$810M remained available for purchase under the current program eo 3Q
8/08: guide to ~441mm
2/08: expect to repurch $900mm in 2008
2/4/08: new $1b auth., leaving $1.486b available for repo. Expect complete $486mm auth. (of original $1b auth in Feb 2007) in FY08</t>
        </r>
      </text>
    </comment>
    <comment ref="CD220" authorId="2">
      <text>
        <r>
          <rPr>
            <b/>
            <sz val="8"/>
            <color indexed="81"/>
            <rFont val="Tahoma"/>
            <family val="2"/>
          </rPr>
          <t>mm98285:</t>
        </r>
        <r>
          <rPr>
            <sz val="8"/>
            <color indexed="81"/>
            <rFont val="Tahoma"/>
            <family val="2"/>
          </rPr>
          <t xml:space="preserve">
11/09: repo'd 8.2M shares for $304M (16.1M shares for $541M YTD)
8/09: 430</t>
        </r>
      </text>
    </comment>
    <comment ref="CH220" authorId="19">
      <text>
        <r>
          <rPr>
            <b/>
            <sz val="8"/>
            <color indexed="81"/>
            <rFont val="Tahoma"/>
            <family val="2"/>
          </rPr>
          <t xml:space="preserve">11/10:
</t>
        </r>
        <r>
          <rPr>
            <sz val="8"/>
            <color indexed="81"/>
            <rFont val="Tahoma"/>
            <family val="2"/>
          </rPr>
          <t xml:space="preserve">During the third quarter, the Company spent a total of $256 million in repurchases of TJX stock, retiring 6.0 million shares
For the first nine months of Fiscal 2011, the Company has spent a total of $845 million in repurchases of TJX stock, retiring 19.7 million shares.
</t>
        </r>
        <r>
          <rPr>
            <b/>
            <sz val="8"/>
            <color indexed="81"/>
            <rFont val="Tahoma"/>
            <family val="2"/>
          </rPr>
          <t>Margaret Marchant:</t>
        </r>
        <r>
          <rPr>
            <sz val="8"/>
            <color indexed="81"/>
            <rFont val="Tahoma"/>
            <family val="2"/>
          </rPr>
          <t xml:space="preserve">
8/10: guide to 404M</t>
        </r>
      </text>
    </comment>
    <comment ref="CL220" authorId="3">
      <text>
        <r>
          <rPr>
            <b/>
            <sz val="8"/>
            <color indexed="81"/>
            <rFont val="Tahoma"/>
            <family val="2"/>
          </rPr>
          <t xml:space="preserve">2/3/12: Adjusted for 2-for-1 Stock Split announced 1/5/12
11/15/11: </t>
        </r>
        <r>
          <rPr>
            <sz val="8"/>
            <color indexed="81"/>
            <rFont val="Tahoma"/>
            <family val="2"/>
          </rPr>
          <t>During the third quarter, the Company spent a total of $295 million in repurchases of TJX stock, retiring 5.5 million shares. For the first nine months of Fiscal 2012, the Company has spent a total of $968 million in repurchases of TJX stock, retiring 18.6 million shares, and continues to expect to repurchase approximately $1.2 billion of TJX stock in Fiscal 2012. The Company may adjust the amount of this spending up or down depending on various factors.</t>
        </r>
        <r>
          <rPr>
            <b/>
            <sz val="8"/>
            <color indexed="81"/>
            <rFont val="Tahoma"/>
            <family val="2"/>
          </rPr>
          <t xml:space="preserve">
lauraro:
8/16/11: </t>
        </r>
        <r>
          <rPr>
            <sz val="8"/>
            <color indexed="81"/>
            <rFont val="Tahoma"/>
            <family val="2"/>
          </rPr>
          <t xml:space="preserve">Reit plans to repo $1.2Bn of stock, expect 385M SO
</t>
        </r>
        <r>
          <rPr>
            <b/>
            <sz val="8"/>
            <color indexed="81"/>
            <rFont val="Tahoma"/>
            <family val="2"/>
          </rPr>
          <t xml:space="preserve">5/17/11: </t>
        </r>
        <r>
          <rPr>
            <sz val="8"/>
            <color indexed="81"/>
            <rFont val="Tahoma"/>
            <family val="2"/>
          </rPr>
          <t>$1.2Bn of TJX stock TY</t>
        </r>
        <r>
          <rPr>
            <sz val="8"/>
            <color indexed="81"/>
            <rFont val="Tahoma"/>
            <family val="2"/>
          </rPr>
          <t xml:space="preserve">
Plans to repo $1.2Bn of TJX stock during the year
(Assume 22M bought evenly throughout the year)</t>
        </r>
      </text>
    </comment>
    <comment ref="CP220" authorId="5">
      <text>
        <r>
          <rPr>
            <b/>
            <sz val="8"/>
            <color indexed="81"/>
            <rFont val="Tahoma"/>
            <family val="2"/>
          </rPr>
          <t xml:space="preserve">8/14/12: </t>
        </r>
        <r>
          <rPr>
            <sz val="8"/>
            <color indexed="81"/>
            <rFont val="Tahoma"/>
            <family val="2"/>
          </rPr>
          <t>747M</t>
        </r>
      </text>
    </comment>
    <comment ref="CT220" authorId="15">
      <text>
        <r>
          <rPr>
            <b/>
            <sz val="8"/>
            <color indexed="81"/>
            <rFont val="Tahoma"/>
            <family val="2"/>
          </rPr>
          <t>solejay:</t>
        </r>
        <r>
          <rPr>
            <sz val="8"/>
            <color indexed="81"/>
            <rFont val="Tahoma"/>
            <family val="2"/>
          </rPr>
          <t xml:space="preserve">
8/20/2013 guide = 726M</t>
        </r>
      </text>
    </comment>
    <comment ref="CX220" authorId="16">
      <text>
        <r>
          <rPr>
            <b/>
            <sz val="9"/>
            <color indexed="81"/>
            <rFont val="Tahoma"/>
            <family val="2"/>
          </rPr>
          <t>8/19/14 guidance: 700M</t>
        </r>
        <r>
          <rPr>
            <sz val="9"/>
            <color indexed="81"/>
            <rFont val="Tahoma"/>
            <family val="2"/>
          </rPr>
          <t xml:space="preserve">
</t>
        </r>
      </text>
    </comment>
    <comment ref="DB220" authorId="9">
      <text>
        <r>
          <rPr>
            <b/>
            <sz val="9"/>
            <color indexed="81"/>
            <rFont val="Tahoma"/>
            <family val="2"/>
          </rPr>
          <t>Baglione, Gregory  (Research):</t>
        </r>
        <r>
          <rPr>
            <sz val="9"/>
            <color indexed="81"/>
            <rFont val="Tahoma"/>
            <family val="2"/>
          </rPr>
          <t xml:space="preserve">
Expect to end the year with WAS of 680M</t>
        </r>
      </text>
    </comment>
    <comment ref="DF220" authorId="9">
      <text>
        <r>
          <rPr>
            <b/>
            <sz val="9"/>
            <color indexed="81"/>
            <rFont val="Tahoma"/>
            <family val="2"/>
          </rPr>
          <t>Baglione, Gregory  (Research):</t>
        </r>
        <r>
          <rPr>
            <sz val="9"/>
            <color indexed="81"/>
            <rFont val="Tahoma"/>
            <family val="2"/>
          </rPr>
          <t xml:space="preserve">
8/16/16
We anticipate a weighted average share count of approximately 663 million.</t>
        </r>
      </text>
    </comment>
    <comment ref="DJ220" authorId="10">
      <text>
        <r>
          <rPr>
            <b/>
            <sz val="9"/>
            <color indexed="81"/>
            <rFont val="Tahoma"/>
            <family val="2"/>
          </rPr>
          <t>Roberts, Cynthia (Research):</t>
        </r>
        <r>
          <rPr>
            <sz val="9"/>
            <color indexed="81"/>
            <rFont val="Tahoma"/>
            <family val="2"/>
          </rPr>
          <t xml:space="preserve">
8/15/17: Guidance 644M</t>
        </r>
      </text>
    </comment>
    <comment ref="BJ221" authorId="29">
      <text>
        <r>
          <rPr>
            <b/>
            <sz val="8"/>
            <color indexed="81"/>
            <rFont val="Tahoma"/>
            <family val="2"/>
          </rPr>
          <t>SB:</t>
        </r>
        <r>
          <rPr>
            <sz val="8"/>
            <color indexed="81"/>
            <rFont val="Tahoma"/>
            <family val="2"/>
          </rPr>
          <t xml:space="preserve">
11/16 due to change in accounting rule, Coco now dilutive.  Adds 16.9 million shares</t>
        </r>
      </text>
    </comment>
    <comment ref="BN221" authorId="29">
      <text>
        <r>
          <rPr>
            <b/>
            <sz val="8"/>
            <color indexed="81"/>
            <rFont val="Tahoma"/>
            <family val="2"/>
          </rPr>
          <t>SB:</t>
        </r>
        <r>
          <rPr>
            <sz val="8"/>
            <color indexed="81"/>
            <rFont val="Tahoma"/>
            <family val="2"/>
          </rPr>
          <t xml:space="preserve">
480 est
5-17 1Q call: expect $150mm of buyback per Q for balance of 2005
11/16 due to change in accounting rule, Coco now dilutive.  Adds 16.9 million shares</t>
        </r>
      </text>
    </comment>
    <comment ref="BR221" authorId="1">
      <text>
        <r>
          <rPr>
            <b/>
            <sz val="8"/>
            <color indexed="81"/>
            <rFont val="Tahoma"/>
            <family val="2"/>
          </rPr>
          <t>Morry Brown:</t>
        </r>
        <r>
          <rPr>
            <sz val="8"/>
            <color indexed="81"/>
            <rFont val="Tahoma"/>
            <family val="2"/>
          </rPr>
          <t xml:space="preserve">
11/06: guid to 479M shares (assumes ~6-7M share repo and ~3M options exercised)
8/06: $381 share repo in 1H leaves $269 in 2H (assume ~$130 in 3Q and ~$140 in 4Q at $27 stock price)
2/06 Mgmt guided to $650mm in share repo in 2006… we assume evenly split by quarters at $25 stock price. total authorization of $1 billion at end of 2005.</t>
        </r>
      </text>
    </comment>
    <comment ref="BV221" authorId="2">
      <text>
        <r>
          <rPr>
            <b/>
            <sz val="8"/>
            <color indexed="81"/>
            <rFont val="Tahoma"/>
            <family val="2"/>
          </rPr>
          <t xml:space="preserve">mm98285:
</t>
        </r>
        <r>
          <rPr>
            <sz val="8"/>
            <color indexed="81"/>
            <rFont val="Tahoma"/>
            <family val="2"/>
          </rPr>
          <t>2/4/08: repo'd $300mm shares in 4Q or 10.548130mm shares
Repoed 12.2mm and option creep of +2.7mm = 9.5 change
Full year share change of 24mm shares
Bought back 12.2mm shares in 1Q</t>
        </r>
        <r>
          <rPr>
            <b/>
            <sz val="8"/>
            <color indexed="81"/>
            <rFont val="Tahoma"/>
            <family val="2"/>
          </rPr>
          <t xml:space="preserve">
Guided to 459 shares
mm98285:</t>
        </r>
        <r>
          <rPr>
            <sz val="8"/>
            <color indexed="81"/>
            <rFont val="Tahoma"/>
            <family val="2"/>
          </rPr>
          <t xml:space="preserve">
2/07: guided to 466m S/O
&amp; plan to repo $900m for full year and as of 2Q07 earnings repo $345m ($555m remaining)</t>
        </r>
      </text>
    </comment>
    <comment ref="BZ221" authorId="2">
      <text>
        <r>
          <rPr>
            <b/>
            <sz val="8"/>
            <color indexed="81"/>
            <rFont val="Tahoma"/>
            <family val="2"/>
          </rPr>
          <t>mm98285:</t>
        </r>
        <r>
          <rPr>
            <sz val="8"/>
            <color indexed="81"/>
            <rFont val="Tahoma"/>
            <family val="2"/>
          </rPr>
          <t xml:space="preserve">
4Q repo'd 2.7M shares for $65M
1/09: mgmt indicated will spend less on share repo given uncertain env'mt; assume $100mm repo in 4Q for ~4.7mm shares
11/08: 432mm
2/08: expect to repurch $900mm in 2008
2/4/08: new $1b auth., leaving $1.486b available for repo. Expect complete $486mm auth. (of original $1b auth in Feb 2007) in FY08</t>
        </r>
      </text>
    </comment>
    <comment ref="CD221" authorId="2">
      <text>
        <r>
          <rPr>
            <b/>
            <sz val="8"/>
            <color indexed="81"/>
            <rFont val="Tahoma"/>
            <family val="2"/>
          </rPr>
          <t>mm98285:</t>
        </r>
        <r>
          <rPr>
            <sz val="8"/>
            <color indexed="81"/>
            <rFont val="Tahoma"/>
            <family val="2"/>
          </rPr>
          <t xml:space="preserve">
2/10: $409M to repo 10.9M shares in 4Q
1/10: expect to repo $900M-$1BN in 2009 (~$400M in 4Q)</t>
        </r>
      </text>
    </comment>
    <comment ref="CH221" authorId="3">
      <text>
        <r>
          <rPr>
            <b/>
            <sz val="8"/>
            <color indexed="81"/>
            <rFont val="Tahoma"/>
            <family val="2"/>
          </rPr>
          <t xml:space="preserve">2/11: </t>
        </r>
        <r>
          <rPr>
            <sz val="8"/>
            <color indexed="81"/>
            <rFont val="Tahoma"/>
            <family val="2"/>
          </rPr>
          <t>$600M remaining at YE. Authorized new stock repurchase program of $1Bn.
During 4Q, spent $355M to repo TJX stock retiring 7.9M shares</t>
        </r>
        <r>
          <rPr>
            <b/>
            <sz val="8"/>
            <color indexed="81"/>
            <rFont val="Tahoma"/>
            <family val="2"/>
          </rPr>
          <t xml:space="preserve">
11/10:
</t>
        </r>
        <r>
          <rPr>
            <sz val="8"/>
            <color indexed="81"/>
            <rFont val="Tahoma"/>
            <family val="2"/>
          </rPr>
          <t>Assume $255M spent on share repos @$45/share ~5.5M shares repo</t>
        </r>
        <r>
          <rPr>
            <b/>
            <sz val="8"/>
            <color indexed="81"/>
            <rFont val="Tahoma"/>
            <family val="2"/>
          </rPr>
          <t xml:space="preserve">
</t>
        </r>
        <r>
          <rPr>
            <sz val="8"/>
            <color indexed="81"/>
            <rFont val="Tahoma"/>
            <family val="2"/>
          </rPr>
          <t>Guided to 399 SO</t>
        </r>
        <r>
          <rPr>
            <b/>
            <sz val="8"/>
            <color indexed="81"/>
            <rFont val="Tahoma"/>
            <family val="2"/>
          </rPr>
          <t xml:space="preserve">
</t>
        </r>
        <r>
          <rPr>
            <sz val="8"/>
            <color indexed="81"/>
            <rFont val="Tahoma"/>
            <family val="2"/>
          </rPr>
          <t>The Company now expects to repurchase $1.0 billion to $1.2 billion of TJX stock in Fiscal 2011, which is more than originally planned ($845M as of 3Q)</t>
        </r>
        <r>
          <rPr>
            <b/>
            <sz val="8"/>
            <color indexed="81"/>
            <rFont val="Tahoma"/>
            <family val="2"/>
          </rPr>
          <t xml:space="preserve">
lauraro:</t>
        </r>
        <r>
          <rPr>
            <sz val="8"/>
            <color indexed="81"/>
            <rFont val="Tahoma"/>
            <family val="2"/>
          </rPr>
          <t xml:space="preserve">
Assume $200M share buyback</t>
        </r>
      </text>
    </comment>
    <comment ref="CL221" authorId="3">
      <text>
        <r>
          <rPr>
            <b/>
            <sz val="8"/>
            <color indexed="81"/>
            <rFont val="Tahoma"/>
            <family val="2"/>
          </rPr>
          <t>lauraro:</t>
        </r>
        <r>
          <rPr>
            <sz val="8"/>
            <color indexed="81"/>
            <rFont val="Tahoma"/>
            <family val="2"/>
          </rPr>
          <t xml:space="preserve">
$402M of TJX stock retiring 12.5 million
381M SO
Plans to repo $1.2Bn of TJX stock during the year
(Assume 22M bought evenly throughout the year)</t>
        </r>
      </text>
    </comment>
    <comment ref="CP221" authorId="5">
      <text>
        <r>
          <rPr>
            <b/>
            <sz val="8"/>
            <color indexed="81"/>
            <rFont val="Tahoma"/>
            <family val="2"/>
          </rPr>
          <t xml:space="preserve">11/13/2012: </t>
        </r>
        <r>
          <rPr>
            <sz val="8"/>
            <color indexed="81"/>
            <rFont val="Tahoma"/>
            <family val="2"/>
          </rPr>
          <t>740M</t>
        </r>
      </text>
    </comment>
    <comment ref="CT221" authorId="6">
      <text>
        <r>
          <rPr>
            <b/>
            <sz val="8"/>
            <color indexed="81"/>
            <rFont val="Tahoma"/>
            <family val="2"/>
          </rPr>
          <t xml:space="preserve">11/19/13: </t>
        </r>
        <r>
          <rPr>
            <sz val="8"/>
            <color indexed="81"/>
            <rFont val="Tahoma"/>
            <family val="2"/>
          </rPr>
          <t>guidance 720 mln</t>
        </r>
        <r>
          <rPr>
            <sz val="8"/>
            <color indexed="81"/>
            <rFont val="Tahoma"/>
            <family val="2"/>
          </rPr>
          <t xml:space="preserve">
</t>
        </r>
      </text>
    </comment>
    <comment ref="DB221" authorId="9">
      <text>
        <r>
          <rPr>
            <b/>
            <sz val="9"/>
            <color indexed="81"/>
            <rFont val="Tahoma"/>
            <family val="2"/>
          </rPr>
          <t>Baglione, Gregory  (Research):</t>
        </r>
        <r>
          <rPr>
            <sz val="9"/>
            <color indexed="81"/>
            <rFont val="Tahoma"/>
            <family val="2"/>
          </rPr>
          <t xml:space="preserve">
11/17/15: Updated gudiance "weighted average share count of approximately 676 million."</t>
        </r>
      </text>
    </comment>
    <comment ref="DF221" authorId="18">
      <text>
        <r>
          <rPr>
            <b/>
            <sz val="9"/>
            <color indexed="81"/>
            <rFont val="Tahoma"/>
            <family val="2"/>
          </rPr>
          <t>Baglione, Gregory (Research):</t>
        </r>
        <r>
          <rPr>
            <sz val="9"/>
            <color indexed="81"/>
            <rFont val="Tahoma"/>
            <family val="2"/>
          </rPr>
          <t xml:space="preserve">
11/16/16
We anticipate a weighted average share count of approximately 657 million. </t>
        </r>
      </text>
    </comment>
    <comment ref="DJ221" authorId="10">
      <text>
        <r>
          <rPr>
            <b/>
            <sz val="9"/>
            <color indexed="81"/>
            <rFont val="Tahoma"/>
            <family val="2"/>
          </rPr>
          <t>Roberts, Cynthia (Research):</t>
        </r>
        <r>
          <rPr>
            <sz val="9"/>
            <color indexed="81"/>
            <rFont val="Tahoma"/>
            <family val="2"/>
          </rPr>
          <t xml:space="preserve">
11/14/17: Guidance 639M</t>
        </r>
      </text>
    </comment>
    <comment ref="BJ222" authorId="26">
      <text>
        <r>
          <rPr>
            <b/>
            <sz val="8"/>
            <color indexed="81"/>
            <rFont val="Tahoma"/>
            <family val="2"/>
          </rPr>
          <t>Kimberly Greenberger:</t>
        </r>
        <r>
          <rPr>
            <sz val="8"/>
            <color indexed="81"/>
            <rFont val="Tahoma"/>
            <family val="2"/>
          </rPr>
          <t xml:space="preserve">
full year share count does not match weighted avg of 4 quarters b/c CoCo was dilutive for 4Q04 and full year, but not other quarters. Added 16.9mm shares to count.</t>
        </r>
      </text>
    </comment>
    <comment ref="BZ222" authorId="2">
      <text>
        <r>
          <rPr>
            <b/>
            <sz val="8"/>
            <color indexed="81"/>
            <rFont val="Tahoma"/>
            <family val="2"/>
          </rPr>
          <t>mm98285:</t>
        </r>
        <r>
          <rPr>
            <sz val="8"/>
            <color indexed="81"/>
            <rFont val="Tahoma"/>
            <family val="2"/>
          </rPr>
          <t xml:space="preserve">
2008: repo'd 24M shares for $741M
2/08: expect 445mm shares outstanding
2/08: expect to repurch $900mm in 2008
2/4/08: new $1b auth., leaving $1.486b available for repo. Expect complete $486mm auth. (of original $1b auth in Feb 2007) in FY08</t>
        </r>
      </text>
    </comment>
    <comment ref="CD222" authorId="2">
      <text>
        <r>
          <rPr>
            <b/>
            <sz val="8"/>
            <color indexed="81"/>
            <rFont val="Tahoma"/>
            <family val="2"/>
          </rPr>
          <t>mm98285:</t>
        </r>
        <r>
          <rPr>
            <sz val="8"/>
            <color indexed="81"/>
            <rFont val="Tahoma"/>
            <family val="2"/>
          </rPr>
          <t xml:space="preserve">
2/10: spent $950M to repo 27M shares 
9/09: approved a new stock repurchase program that authorizes the repurchase of up to $1 billion of TJX common stock (in addition to $367M remaining under prior). Also continues to expect to repurchase approximately $625 million of TJX stock in Fiscal 2010, which could be adjusted up or down depending on the economic environment.
2/09: guid to $250m share repo. (3% share count reduction)
1/09: assume $500mm share repurch
assume $900mm share repo for ~26mm shares</t>
        </r>
      </text>
    </comment>
    <comment ref="CH222" authorId="2">
      <text>
        <r>
          <rPr>
            <b/>
            <sz val="8"/>
            <color indexed="81"/>
            <rFont val="Tahoma"/>
            <family val="2"/>
          </rPr>
          <t xml:space="preserve">2/11: </t>
        </r>
        <r>
          <rPr>
            <sz val="8"/>
            <color indexed="81"/>
            <rFont val="Tahoma"/>
            <family val="2"/>
          </rPr>
          <t>Spent $1.2Bn to retire 27.6M shares</t>
        </r>
        <r>
          <rPr>
            <b/>
            <sz val="8"/>
            <color indexed="81"/>
            <rFont val="Tahoma"/>
            <family val="2"/>
          </rPr>
          <t xml:space="preserve">
mm98285:</t>
        </r>
        <r>
          <rPr>
            <sz val="8"/>
            <color indexed="81"/>
            <rFont val="Tahoma"/>
            <family val="2"/>
          </rPr>
          <t xml:space="preserve">
2/10: ~409M
2/10: expect to repo $900M-$1BN in stock ($795M remaining under prior Sept 2009 auth and new $1BN auth for total of $1.795BN under auth)</t>
        </r>
      </text>
    </comment>
    <comment ref="CL222" authorId="3">
      <text>
        <r>
          <rPr>
            <b/>
            <sz val="8"/>
            <color indexed="81"/>
            <rFont val="Tahoma"/>
            <family val="2"/>
          </rPr>
          <t>lauraro:</t>
        </r>
        <r>
          <rPr>
            <sz val="8"/>
            <color indexed="81"/>
            <rFont val="Tahoma"/>
            <family val="2"/>
          </rPr>
          <t xml:space="preserve">
2/12: repo'ed 1.4 billion stock retiring 49.7 million shares on a post-split
2/11: Exp 386M SO</t>
        </r>
      </text>
    </comment>
    <comment ref="CP222" authorId="3">
      <text>
        <r>
          <rPr>
            <b/>
            <sz val="8"/>
            <color indexed="81"/>
            <rFont val="Tahoma"/>
            <family val="2"/>
          </rPr>
          <t xml:space="preserve">8/14/12: </t>
        </r>
        <r>
          <rPr>
            <sz val="8"/>
            <color indexed="81"/>
            <rFont val="Tahoma"/>
            <family val="2"/>
          </rPr>
          <t>Assumes shares repo is mid-yt wtd</t>
        </r>
        <r>
          <rPr>
            <b/>
            <sz val="8"/>
            <color indexed="81"/>
            <rFont val="Tahoma"/>
            <family val="2"/>
          </rPr>
          <t xml:space="preserve">
lauraro:</t>
        </r>
        <r>
          <rPr>
            <sz val="8"/>
            <color indexed="81"/>
            <rFont val="Tahoma"/>
            <family val="2"/>
          </rPr>
          <t xml:space="preserve">
741M SO</t>
        </r>
      </text>
    </comment>
    <comment ref="CT222" authorId="5">
      <text>
        <r>
          <rPr>
            <b/>
            <sz val="8"/>
            <color indexed="81"/>
            <rFont val="Tahoma"/>
            <family val="2"/>
          </rPr>
          <t xml:space="preserve">2/27/2013 guidance: </t>
        </r>
        <r>
          <rPr>
            <sz val="8"/>
            <color indexed="81"/>
            <rFont val="Tahoma"/>
            <family val="2"/>
          </rPr>
          <t>724M</t>
        </r>
      </text>
    </comment>
    <comment ref="CX222" authorId="6">
      <text>
        <r>
          <rPr>
            <b/>
            <sz val="8"/>
            <color indexed="81"/>
            <rFont val="Tahoma"/>
            <family val="2"/>
          </rPr>
          <t xml:space="preserve">2/25/14 Guidance: </t>
        </r>
        <r>
          <rPr>
            <sz val="8"/>
            <color indexed="81"/>
            <rFont val="Tahoma"/>
            <family val="2"/>
          </rPr>
          <t>703M</t>
        </r>
        <r>
          <rPr>
            <sz val="8"/>
            <color indexed="81"/>
            <rFont val="Tahoma"/>
            <family val="2"/>
          </rPr>
          <t xml:space="preserve">
</t>
        </r>
      </text>
    </comment>
    <comment ref="DB222" authorId="7">
      <text>
        <r>
          <rPr>
            <b/>
            <sz val="9"/>
            <color indexed="81"/>
            <rFont val="Tahoma"/>
            <family val="2"/>
          </rPr>
          <t>Turley, Amber (Research):</t>
        </r>
        <r>
          <rPr>
            <sz val="9"/>
            <color indexed="81"/>
            <rFont val="Tahoma"/>
            <family val="2"/>
          </rPr>
          <t xml:space="preserve">
</t>
        </r>
        <r>
          <rPr>
            <b/>
            <sz val="9"/>
            <color indexed="81"/>
            <rFont val="Tahoma"/>
            <family val="2"/>
          </rPr>
          <t xml:space="preserve">2/25/15 guidance: </t>
        </r>
        <r>
          <rPr>
            <sz val="9"/>
            <color indexed="81"/>
            <rFont val="Tahoma"/>
            <family val="2"/>
          </rPr>
          <t>684M shares</t>
        </r>
      </text>
    </comment>
    <comment ref="DF222" authorId="7">
      <text>
        <r>
          <rPr>
            <b/>
            <sz val="9"/>
            <color indexed="81"/>
            <rFont val="Tahoma"/>
            <family val="2"/>
          </rPr>
          <t>Turley, Amber (Research):</t>
        </r>
        <r>
          <rPr>
            <sz val="9"/>
            <color indexed="81"/>
            <rFont val="Tahoma"/>
            <family val="2"/>
          </rPr>
          <t xml:space="preserve">
</t>
        </r>
        <r>
          <rPr>
            <b/>
            <sz val="9"/>
            <color indexed="81"/>
            <rFont val="Tahoma"/>
            <family val="2"/>
          </rPr>
          <t xml:space="preserve">2/25/15 guidance: </t>
        </r>
        <r>
          <rPr>
            <sz val="9"/>
            <color indexed="81"/>
            <rFont val="Tahoma"/>
            <family val="2"/>
          </rPr>
          <t>684M shares</t>
        </r>
      </text>
    </comment>
    <comment ref="DJ222" authorId="10">
      <text>
        <r>
          <rPr>
            <b/>
            <sz val="9"/>
            <color indexed="81"/>
            <rFont val="Tahoma"/>
            <family val="2"/>
          </rPr>
          <t>Roberts, Cynthia (Research):</t>
        </r>
        <r>
          <rPr>
            <sz val="9"/>
            <color indexed="81"/>
            <rFont val="Tahoma"/>
            <family val="2"/>
          </rPr>
          <t xml:space="preserve">
8/15/17: Guidance 647M
5/16/17: Guidance 650M
2/22/17: Guidance: 649M</t>
        </r>
      </text>
    </comment>
    <comment ref="DN222" authorId="10">
      <text>
        <r>
          <rPr>
            <b/>
            <sz val="9"/>
            <color indexed="81"/>
            <rFont val="Tahoma"/>
            <family val="2"/>
          </rPr>
          <t>Roberts, Cynthia (Research):</t>
        </r>
        <r>
          <rPr>
            <sz val="9"/>
            <color indexed="81"/>
            <rFont val="Tahoma"/>
            <family val="2"/>
          </rPr>
          <t xml:space="preserve">
2/28/18: Guidance 624M</t>
        </r>
      </text>
    </comment>
    <comment ref="CD230" authorId="2">
      <text>
        <r>
          <rPr>
            <b/>
            <sz val="8"/>
            <color indexed="81"/>
            <rFont val="Tahoma"/>
            <family val="2"/>
          </rPr>
          <t>mm98285:</t>
        </r>
        <r>
          <rPr>
            <sz val="8"/>
            <color indexed="81"/>
            <rFont val="Tahoma"/>
            <family val="2"/>
          </rPr>
          <t xml:space="preserve">
12/08: announced the declaration of a quarterly dividend on its common stock of $.11 per share payable March 5, 2009, to shareholders of record on February 12, 2009.</t>
        </r>
      </text>
    </comment>
    <comment ref="CL230" authorId="3">
      <text>
        <r>
          <rPr>
            <b/>
            <sz val="8"/>
            <color indexed="81"/>
            <rFont val="Tahoma"/>
            <family val="2"/>
          </rPr>
          <t>4/5/11:</t>
        </r>
        <r>
          <rPr>
            <sz val="8"/>
            <color indexed="81"/>
            <rFont val="Tahoma"/>
            <family val="2"/>
          </rPr>
          <t xml:space="preserve"> </t>
        </r>
        <r>
          <rPr>
            <sz val="8"/>
            <color indexed="81"/>
            <rFont val="Tahoma"/>
            <family val="2"/>
          </rPr>
          <t>Board of Directors has raised the amount of its quarterly dividend by 27% from the last dividend paid. The Board declared a regular quarterly dividend in the amount of $.19 per share, payable June 2, 2011, to shareholders of record on May 12, 2011</t>
        </r>
      </text>
    </comment>
    <comment ref="CP230" authorId="3">
      <text>
        <r>
          <rPr>
            <b/>
            <sz val="8"/>
            <color indexed="81"/>
            <rFont val="Tahoma"/>
            <family val="2"/>
          </rPr>
          <t>4/3/12:</t>
        </r>
        <r>
          <rPr>
            <sz val="8"/>
            <color indexed="81"/>
            <rFont val="Tahoma"/>
            <family val="2"/>
          </rPr>
          <t xml:space="preserve"> </t>
        </r>
        <r>
          <rPr>
            <sz val="8"/>
            <color indexed="81"/>
            <rFont val="Tahoma"/>
            <family val="2"/>
          </rPr>
          <t>Board of Directors has raised the amount of its quarterly dividend by 21% from the last dividend paid. The Board declared a regular quarterly dividend in the amount of $.115 per share, payable May 31, 2012, to shareholders of record on May 10, 2012</t>
        </r>
      </text>
    </comment>
    <comment ref="CT230" authorId="5">
      <text>
        <r>
          <rPr>
            <b/>
            <sz val="8"/>
            <color indexed="81"/>
            <rFont val="Tahoma"/>
            <family val="2"/>
          </rPr>
          <t xml:space="preserve">2/27/2013: </t>
        </r>
        <r>
          <rPr>
            <sz val="8"/>
            <color indexed="81"/>
            <rFont val="Tahoma"/>
            <family val="2"/>
          </rPr>
          <t>Raised dividend to $0.145</t>
        </r>
      </text>
    </comment>
    <comment ref="CX230" authorId="6">
      <text>
        <r>
          <rPr>
            <b/>
            <sz val="8"/>
            <color indexed="81"/>
            <rFont val="Tahoma"/>
            <family val="2"/>
          </rPr>
          <t xml:space="preserve">2/26/14: </t>
        </r>
        <r>
          <rPr>
            <sz val="8"/>
            <color indexed="81"/>
            <rFont val="Tahoma"/>
            <family val="2"/>
          </rPr>
          <t>The Company also intends to increase the regular quarterly dividend on its common stock to be declared in April 2014 and payable in June 2014 to $.175 per share</t>
        </r>
        <r>
          <rPr>
            <sz val="8"/>
            <color indexed="81"/>
            <rFont val="Tahoma"/>
            <family val="2"/>
          </rPr>
          <t xml:space="preserve">
</t>
        </r>
      </text>
    </comment>
    <comment ref="DB230" authorId="7">
      <text>
        <r>
          <rPr>
            <b/>
            <sz val="9"/>
            <color indexed="81"/>
            <rFont val="Tahoma"/>
            <family val="2"/>
          </rPr>
          <t>Turley, Amber (Research):</t>
        </r>
        <r>
          <rPr>
            <sz val="9"/>
            <color indexed="81"/>
            <rFont val="Tahoma"/>
            <family val="2"/>
          </rPr>
          <t xml:space="preserve">
3/31/15: TJX TJX Companies increases quarterly dividend by 20.0% to $0.21 from $0.175 ($70.51 +$0.04)
2/25/15: intends to increase the regular quarterly dividend on its common
stock to be declared in March 2015 and payable in June 2015 to $.21 per share. This increase would
represent a 20% increase in the current per share dividend and mark the 19th
consecutive year that the Company has raised the dividend. Over this period of
time, the Company`s dividend has grown at a compound annual rate of 23%</t>
        </r>
      </text>
    </comment>
    <comment ref="DF230" authorId="9">
      <text>
        <r>
          <rPr>
            <b/>
            <sz val="9"/>
            <color indexed="81"/>
            <rFont val="Tahoma"/>
            <family val="2"/>
          </rPr>
          <t>Baglione, Gregory  (Research):</t>
        </r>
        <r>
          <rPr>
            <sz val="9"/>
            <color indexed="81"/>
            <rFont val="Tahoma"/>
            <family val="2"/>
          </rPr>
          <t xml:space="preserve">
The Company intends to increase the regular quarterly dividend on its common stock to be declared in March 2016 and payable in June 2016 to $.26 per share, subject to the approval of the Company’s Board of Directors. This increase would represent a 24% increase in the current per share dividend and mark the 20th consecutive year that the Company has raised the dividend. Over this period of time, the Company’s dividend has grown at a compound annual rate of 23%.
3/29/16
The Board declared a regular quarterly dividend in the amount of $.26 per share, payable June 2, 2016, to shareholders of record on May 12, 2016.</t>
        </r>
      </text>
    </comment>
    <comment ref="DJ230" authorId="10">
      <text>
        <r>
          <rPr>
            <b/>
            <sz val="9"/>
            <color indexed="81"/>
            <rFont val="Tahoma"/>
            <family val="2"/>
          </rPr>
          <t>Roberts, Cynthia (Research):</t>
        </r>
        <r>
          <rPr>
            <sz val="9"/>
            <color indexed="81"/>
            <rFont val="Tahoma"/>
            <family val="2"/>
          </rPr>
          <t xml:space="preserve">
2/22/17
Increased dividend to $0.3125
</t>
        </r>
      </text>
    </comment>
    <comment ref="DN230" authorId="10">
      <text>
        <r>
          <rPr>
            <b/>
            <sz val="9"/>
            <color indexed="81"/>
            <rFont val="Tahoma"/>
            <family val="2"/>
          </rPr>
          <t>Roberts, Cynthia (Research):</t>
        </r>
        <r>
          <rPr>
            <sz val="9"/>
            <color indexed="81"/>
            <rFont val="Tahoma"/>
            <family val="2"/>
          </rPr>
          <t xml:space="preserve">
2/28/18: Raised dividend to 39c</t>
        </r>
      </text>
    </comment>
    <comment ref="BR231" authorId="2">
      <text>
        <r>
          <rPr>
            <b/>
            <sz val="8"/>
            <color indexed="81"/>
            <rFont val="Tahoma"/>
            <family val="2"/>
          </rPr>
          <t>mm98285:</t>
        </r>
        <r>
          <rPr>
            <sz val="8"/>
            <color indexed="81"/>
            <rFont val="Tahoma"/>
            <family val="2"/>
          </rPr>
          <t xml:space="preserve">
4/06: raised quarterly dividend from 6c to 7c payable June 1, 2006</t>
        </r>
      </text>
    </comment>
    <comment ref="BV231" authorId="12">
      <text>
        <r>
          <rPr>
            <b/>
            <sz val="8"/>
            <color indexed="81"/>
            <rFont val="Tahoma"/>
            <family val="2"/>
          </rPr>
          <t>oc48540:</t>
        </r>
        <r>
          <rPr>
            <sz val="8"/>
            <color indexed="81"/>
            <rFont val="Tahoma"/>
            <family val="2"/>
          </rPr>
          <t xml:space="preserve">
Ann. 4/09/07: Payable May 31, 2007, to shareholders of record on May 10, 2007</t>
        </r>
      </text>
    </comment>
    <comment ref="BZ231" authorId="2">
      <text>
        <r>
          <rPr>
            <b/>
            <sz val="8"/>
            <color indexed="81"/>
            <rFont val="Tahoma"/>
            <family val="2"/>
          </rPr>
          <t>mm98285:</t>
        </r>
        <r>
          <rPr>
            <sz val="8"/>
            <color indexed="81"/>
            <rFont val="Tahoma"/>
            <family val="2"/>
          </rPr>
          <t xml:space="preserve">
4/08: BoD declared a regular quarterly dividend of $.11 (22% increase) payable 5/29/08, to shareholders of record on 5/8/08</t>
        </r>
      </text>
    </comment>
    <comment ref="CD231" authorId="2">
      <text>
        <r>
          <rPr>
            <b/>
            <sz val="8"/>
            <color indexed="81"/>
            <rFont val="Tahoma"/>
            <family val="2"/>
          </rPr>
          <t>mm98285:</t>
        </r>
        <r>
          <rPr>
            <sz val="8"/>
            <color indexed="81"/>
            <rFont val="Tahoma"/>
            <family val="2"/>
          </rPr>
          <t xml:space="preserve">
4/7/09: quarterly dividend of $0.12 per share payable 6/4/09 to shareholders of record on 5/14/09.
</t>
        </r>
      </text>
    </comment>
    <comment ref="CH231" authorId="2">
      <text>
        <r>
          <rPr>
            <sz val="8"/>
            <color indexed="81"/>
            <rFont val="Tahoma"/>
            <family val="2"/>
          </rPr>
          <t>4/10: $0.15 dividend payable June 3 to shareholders of record on May 13
2/10: expect to increase dividend to $0.15 per share effective with div to be declared April and payable in June</t>
        </r>
      </text>
    </comment>
    <comment ref="CL231" authorId="3">
      <text>
        <r>
          <rPr>
            <b/>
            <sz val="8"/>
            <color indexed="81"/>
            <rFont val="Tahoma"/>
            <family val="2"/>
          </rPr>
          <t>lauraro:</t>
        </r>
        <r>
          <rPr>
            <sz val="8"/>
            <color indexed="81"/>
            <rFont val="Tahoma"/>
            <family val="2"/>
          </rPr>
          <t xml:space="preserve">
announced the declaration of a quarterly dividend on its common stock of $.19 per share payable September 1, 2011, to shareholders of record on August 11, 2011.</t>
        </r>
      </text>
    </comment>
    <comment ref="CP231" authorId="3">
      <text>
        <r>
          <rPr>
            <b/>
            <sz val="8"/>
            <color indexed="81"/>
            <rFont val="Tahoma"/>
            <family val="2"/>
          </rPr>
          <t>lauraro:</t>
        </r>
        <r>
          <rPr>
            <sz val="8"/>
            <color indexed="81"/>
            <rFont val="Tahoma"/>
            <family val="2"/>
          </rPr>
          <t xml:space="preserve">
</t>
        </r>
        <r>
          <rPr>
            <b/>
            <sz val="8"/>
            <color indexed="81"/>
            <rFont val="Tahoma"/>
            <family val="2"/>
          </rPr>
          <t xml:space="preserve">6/13/12: </t>
        </r>
        <r>
          <rPr>
            <sz val="8"/>
            <color indexed="81"/>
            <rFont val="Tahoma"/>
            <family val="2"/>
          </rPr>
          <t>announced the declaration of a quarterly dividend on its common stock of $.115 per share payable August 30, 2012, to shareholders of record on August 9, 2012</t>
        </r>
      </text>
    </comment>
    <comment ref="CX231" authorId="6">
      <text>
        <r>
          <rPr>
            <b/>
            <sz val="8"/>
            <color indexed="81"/>
            <rFont val="Tahoma"/>
            <family val="2"/>
          </rPr>
          <t xml:space="preserve">2/26/14: </t>
        </r>
        <r>
          <rPr>
            <sz val="8"/>
            <color indexed="81"/>
            <rFont val="Tahoma"/>
            <family val="2"/>
          </rPr>
          <t>The Company also intends to increase the regular quarterly dividend on its common stock to be declared in April 2014 and payable in June 2014 to $.175 per share</t>
        </r>
        <r>
          <rPr>
            <sz val="8"/>
            <color indexed="81"/>
            <rFont val="Tahoma"/>
            <family val="2"/>
          </rPr>
          <t xml:space="preserve">
</t>
        </r>
      </text>
    </comment>
    <comment ref="DJ231" authorId="10">
      <text>
        <r>
          <rPr>
            <b/>
            <sz val="9"/>
            <color indexed="81"/>
            <rFont val="Tahoma"/>
            <family val="2"/>
          </rPr>
          <t>Roberts, Cynthia (Research):</t>
        </r>
        <r>
          <rPr>
            <sz val="9"/>
            <color indexed="81"/>
            <rFont val="Tahoma"/>
            <family val="2"/>
          </rPr>
          <t xml:space="preserve">
2/22/17
Increased dividend to $0.3125
</t>
        </r>
      </text>
    </comment>
    <comment ref="BR232" authorId="2">
      <text>
        <r>
          <rPr>
            <b/>
            <sz val="8"/>
            <color indexed="81"/>
            <rFont val="Tahoma"/>
            <family val="2"/>
          </rPr>
          <t>mm98285:</t>
        </r>
        <r>
          <rPr>
            <sz val="8"/>
            <color indexed="81"/>
            <rFont val="Tahoma"/>
            <family val="2"/>
          </rPr>
          <t xml:space="preserve">
6/06: declared 7c div payable 8/31 to shareholders of record on 8/10</t>
        </r>
      </text>
    </comment>
    <comment ref="BZ232" authorId="2">
      <text>
        <r>
          <rPr>
            <b/>
            <sz val="8"/>
            <color indexed="81"/>
            <rFont val="Tahoma"/>
            <family val="2"/>
          </rPr>
          <t>mm98285:</t>
        </r>
        <r>
          <rPr>
            <sz val="8"/>
            <color indexed="81"/>
            <rFont val="Tahoma"/>
            <family val="2"/>
          </rPr>
          <t xml:space="preserve">
6/3/08: announced dividend of $.11 per share payable 8/28/08, to shareholders of record 8/7/08</t>
        </r>
      </text>
    </comment>
    <comment ref="CD232" authorId="2">
      <text>
        <r>
          <rPr>
            <b/>
            <sz val="8"/>
            <color indexed="81"/>
            <rFont val="Tahoma"/>
            <family val="2"/>
          </rPr>
          <t>mm98285:</t>
        </r>
        <r>
          <rPr>
            <sz val="8"/>
            <color indexed="81"/>
            <rFont val="Tahoma"/>
            <family val="2"/>
          </rPr>
          <t xml:space="preserve">
6/2/09: announced declaration of quarterly dividend of $0.12 per share, payable Sept. 3, '09, to shareholders of record Aug. 13, '09</t>
        </r>
      </text>
    </comment>
    <comment ref="CH232" authorId="2">
      <text>
        <r>
          <rPr>
            <sz val="8"/>
            <color indexed="81"/>
            <rFont val="Tahoma"/>
            <family val="2"/>
          </rPr>
          <t xml:space="preserve">6/10: $0.15 dividend payable Sept 2 to shareholders of record on August 12
</t>
        </r>
      </text>
    </comment>
    <comment ref="CL232" authorId="3">
      <text>
        <r>
          <rPr>
            <b/>
            <sz val="8"/>
            <color indexed="81"/>
            <rFont val="Tahoma"/>
            <family val="2"/>
          </rPr>
          <t>lauraro:</t>
        </r>
        <r>
          <rPr>
            <sz val="8"/>
            <color indexed="81"/>
            <rFont val="Tahoma"/>
            <family val="2"/>
          </rPr>
          <t xml:space="preserve">
announced the declaration of a quarterly dividend on its common stock of $.19 per share payable December 1, 2011, to shareholders of record on November 10, 2011.</t>
        </r>
      </text>
    </comment>
    <comment ref="DJ232" authorId="10">
      <text>
        <r>
          <rPr>
            <b/>
            <sz val="9"/>
            <color indexed="81"/>
            <rFont val="Tahoma"/>
            <family val="2"/>
          </rPr>
          <t>Roberts, Cynthia (Research):</t>
        </r>
        <r>
          <rPr>
            <sz val="9"/>
            <color indexed="81"/>
            <rFont val="Tahoma"/>
            <family val="2"/>
          </rPr>
          <t xml:space="preserve">
2/22/17
Increased dividend to $0.3125
</t>
        </r>
      </text>
    </comment>
    <comment ref="BR233" authorId="2">
      <text>
        <r>
          <rPr>
            <b/>
            <sz val="8"/>
            <color indexed="81"/>
            <rFont val="Tahoma"/>
            <family val="2"/>
          </rPr>
          <t>mm98285:</t>
        </r>
        <r>
          <rPr>
            <sz val="8"/>
            <color indexed="81"/>
            <rFont val="Tahoma"/>
            <family val="2"/>
          </rPr>
          <t xml:space="preserve">
8/06: declared quarterly div of $.07 payable 11/30/06 to shareholders of record on 11/906</t>
        </r>
      </text>
    </comment>
    <comment ref="BZ233" authorId="2">
      <text>
        <r>
          <rPr>
            <b/>
            <sz val="8"/>
            <color indexed="81"/>
            <rFont val="Tahoma"/>
            <family val="2"/>
          </rPr>
          <t>mm98285:</t>
        </r>
        <r>
          <rPr>
            <sz val="8"/>
            <color indexed="81"/>
            <rFont val="Tahoma"/>
            <family val="2"/>
          </rPr>
          <t xml:space="preserve">
9/9/08: announced quarterly dividend at the quarterly rate of $0.11 per share payable 11/26/08 to shareholders of record on 11/6/08</t>
        </r>
      </text>
    </comment>
    <comment ref="CD233" authorId="2">
      <text>
        <r>
          <rPr>
            <b/>
            <sz val="8"/>
            <color indexed="81"/>
            <rFont val="Tahoma"/>
            <family val="2"/>
          </rPr>
          <t>mm98285:</t>
        </r>
        <r>
          <rPr>
            <sz val="8"/>
            <color indexed="81"/>
            <rFont val="Tahoma"/>
            <family val="2"/>
          </rPr>
          <t xml:space="preserve">
declaration of a quarterly dividend of $0.12 per share, payable 3/4/2010, to shareholders of record on 2/11/2010.</t>
        </r>
      </text>
    </comment>
    <comment ref="DJ233" authorId="10">
      <text>
        <r>
          <rPr>
            <b/>
            <sz val="9"/>
            <color indexed="81"/>
            <rFont val="Tahoma"/>
            <family val="2"/>
          </rPr>
          <t>Roberts, Cynthia (Research):</t>
        </r>
        <r>
          <rPr>
            <sz val="9"/>
            <color indexed="81"/>
            <rFont val="Tahoma"/>
            <family val="2"/>
          </rPr>
          <t xml:space="preserve">
2/22/17
Increased dividend to $0.3125
</t>
        </r>
      </text>
    </comment>
    <comment ref="BV238" authorId="13">
      <text>
        <r>
          <rPr>
            <b/>
            <sz val="8"/>
            <color indexed="81"/>
            <rFont val="Tahoma"/>
            <family val="2"/>
          </rPr>
          <t>OC48540:</t>
        </r>
        <r>
          <rPr>
            <sz val="8"/>
            <color indexed="81"/>
            <rFont val="Tahoma"/>
            <family val="2"/>
          </rPr>
          <t xml:space="preserve">
Diluted EPS based on adding back interest expense on zero coupon convertible sub notes, net of income taxes and then assuming conversion of zero coupon notes</t>
        </r>
      </text>
    </comment>
    <comment ref="CP269" authorId="5">
      <text>
        <r>
          <rPr>
            <b/>
            <sz val="8"/>
            <color indexed="81"/>
            <rFont val="Tahoma"/>
            <family val="2"/>
          </rPr>
          <t xml:space="preserve">8/14/2012
</t>
        </r>
        <r>
          <rPr>
            <sz val="8"/>
            <color indexed="81"/>
            <rFont val="Tahoma"/>
            <family val="2"/>
          </rPr>
          <t>Repo'd 7.1M shares for $300M in 2Q</t>
        </r>
      </text>
    </comment>
    <comment ref="CL270" authorId="31">
      <text>
        <r>
          <rPr>
            <b/>
            <sz val="8"/>
            <color indexed="81"/>
            <rFont val="Tahoma"/>
            <family val="2"/>
          </rPr>
          <t>sancfa:</t>
        </r>
        <r>
          <rPr>
            <sz val="8"/>
            <color indexed="81"/>
            <rFont val="Tahoma"/>
            <family val="2"/>
          </rPr>
          <t xml:space="preserve">
</t>
        </r>
        <r>
          <rPr>
            <b/>
            <sz val="8"/>
            <color indexed="81"/>
            <rFont val="Tahoma"/>
            <family val="2"/>
          </rPr>
          <t>2/3/12: Adjusted for 2-for-1 Stock Split announced 1/5/12</t>
        </r>
      </text>
    </comment>
    <comment ref="CP271" authorId="5">
      <text>
        <r>
          <rPr>
            <b/>
            <sz val="8"/>
            <color indexed="81"/>
            <rFont val="Tahoma"/>
            <family val="2"/>
          </rPr>
          <t xml:space="preserve">2/27/2013: </t>
        </r>
        <r>
          <rPr>
            <sz val="8"/>
            <color indexed="81"/>
            <rFont val="Tahoma"/>
            <family val="2"/>
          </rPr>
          <t>bought back 8.1M shares in 4Q</t>
        </r>
      </text>
    </comment>
    <comment ref="CL281" authorId="31">
      <text>
        <r>
          <rPr>
            <b/>
            <sz val="8"/>
            <color indexed="81"/>
            <rFont val="Tahoma"/>
            <family val="2"/>
          </rPr>
          <t>sancfa:</t>
        </r>
        <r>
          <rPr>
            <sz val="8"/>
            <color indexed="81"/>
            <rFont val="Tahoma"/>
            <family val="2"/>
          </rPr>
          <t xml:space="preserve">
</t>
        </r>
        <r>
          <rPr>
            <b/>
            <sz val="8"/>
            <color indexed="81"/>
            <rFont val="Tahoma"/>
            <family val="2"/>
          </rPr>
          <t>2/3/12: Adjusted for 2-for-1 Stock Split announced 1/5/12</t>
        </r>
      </text>
    </comment>
    <comment ref="CT288" authorId="5">
      <text>
        <r>
          <rPr>
            <b/>
            <sz val="8"/>
            <color indexed="81"/>
            <rFont val="Tahoma"/>
            <family val="2"/>
          </rPr>
          <t xml:space="preserve">5/21/2013: </t>
        </r>
        <r>
          <rPr>
            <sz val="8"/>
            <color indexed="81"/>
            <rFont val="Tahoma"/>
            <family val="2"/>
          </rPr>
          <t>repo'd $300M shares in 1Q (or 6.5M shares)</t>
        </r>
      </text>
    </comment>
    <comment ref="CV288" authorId="5">
      <text>
        <r>
          <rPr>
            <b/>
            <sz val="8"/>
            <color indexed="81"/>
            <rFont val="Tahoma"/>
            <family val="2"/>
          </rPr>
          <t xml:space="preserve">5/21/2013: </t>
        </r>
        <r>
          <rPr>
            <sz val="8"/>
            <color indexed="81"/>
            <rFont val="Tahoma"/>
            <family val="2"/>
          </rPr>
          <t>repo'd $300M shares in 1Q (or 6.5M shares)</t>
        </r>
      </text>
    </comment>
    <comment ref="CX288" authorId="5">
      <text>
        <r>
          <rPr>
            <b/>
            <sz val="8"/>
            <color indexed="81"/>
            <rFont val="Tahoma"/>
            <family val="2"/>
          </rPr>
          <t xml:space="preserve">5/20/2014: </t>
        </r>
        <r>
          <rPr>
            <sz val="8"/>
            <color indexed="81"/>
            <rFont val="Tahoma"/>
            <family val="2"/>
          </rPr>
          <t>repo'd $360M shares in 1Q (6.0M shares)</t>
        </r>
      </text>
    </comment>
    <comment ref="CZ288" authorId="5">
      <text>
        <r>
          <rPr>
            <b/>
            <sz val="8"/>
            <color indexed="81"/>
            <rFont val="Tahoma"/>
            <family val="2"/>
          </rPr>
          <t xml:space="preserve">5/21/2013: </t>
        </r>
        <r>
          <rPr>
            <sz val="8"/>
            <color indexed="81"/>
            <rFont val="Tahoma"/>
            <family val="2"/>
          </rPr>
          <t>repo'd $300M shares in 1Q (or 6.5M shares)</t>
        </r>
      </text>
    </comment>
    <comment ref="DB288" authorId="18">
      <text>
        <r>
          <rPr>
            <b/>
            <sz val="9"/>
            <color indexed="81"/>
            <rFont val="Tahoma"/>
            <family val="2"/>
          </rPr>
          <t>Baglione, Gregory (Research):</t>
        </r>
        <r>
          <rPr>
            <sz val="9"/>
            <color indexed="81"/>
            <rFont val="Tahoma"/>
            <family val="2"/>
          </rPr>
          <t xml:space="preserve">
In terms of share repurchases, during the first quarter we bought back $415 million of TJX stock, retiring 6.1 million shares. We continue to anticipate buying back $1.8 billion to $1.9 billion of TJX stock this year. In addition, we increased the per share dividend by 20% in March, marking the 19th consecutive year of dividend increases.</t>
        </r>
      </text>
    </comment>
    <comment ref="DF288" authorId="18">
      <text>
        <r>
          <rPr>
            <b/>
            <sz val="9"/>
            <color indexed="81"/>
            <rFont val="Tahoma"/>
            <family val="2"/>
          </rPr>
          <t>Baglione, Gregory (Research):</t>
        </r>
        <r>
          <rPr>
            <sz val="9"/>
            <color indexed="81"/>
            <rFont val="Tahoma"/>
            <family val="2"/>
          </rPr>
          <t xml:space="preserve">
During the first quarter, we bought back $375 million of TJX stock, retiring 5 million shares. We continue to anticipate buying back $1.5 billion to $2 billion of TJX stock this year.</t>
        </r>
      </text>
    </comment>
    <comment ref="CT289" authorId="5">
      <text>
        <r>
          <rPr>
            <b/>
            <sz val="8"/>
            <color indexed="81"/>
            <rFont val="Tahoma"/>
            <family val="2"/>
          </rPr>
          <t xml:space="preserve">8/20/13: </t>
        </r>
        <r>
          <rPr>
            <sz val="8"/>
            <color indexed="81"/>
            <rFont val="Tahoma"/>
            <family val="2"/>
          </rPr>
          <t>during the quarter the company repruchased $325M in stock (6.4M shares); expects to repurchase $1.3-$1.4B in FY14</t>
        </r>
        <r>
          <rPr>
            <b/>
            <sz val="8"/>
            <color indexed="81"/>
            <rFont val="Tahoma"/>
            <family val="2"/>
          </rPr>
          <t xml:space="preserve">
5/21/2013 guidance: </t>
        </r>
        <r>
          <rPr>
            <sz val="8"/>
            <color indexed="81"/>
            <rFont val="Tahoma"/>
            <family val="2"/>
          </rPr>
          <t>729M</t>
        </r>
      </text>
    </comment>
    <comment ref="CX289" authorId="5">
      <text>
        <r>
          <rPr>
            <b/>
            <sz val="8"/>
            <color indexed="81"/>
            <rFont val="Tahoma"/>
            <family val="2"/>
          </rPr>
          <t xml:space="preserve">8/19/2014: </t>
        </r>
        <r>
          <rPr>
            <sz val="8"/>
            <color indexed="81"/>
            <rFont val="Tahoma"/>
            <family val="2"/>
          </rPr>
          <t>repo'd $440M shares in 1Q (8.0M shares)</t>
        </r>
      </text>
    </comment>
    <comment ref="CZ289" authorId="5">
      <text>
        <r>
          <rPr>
            <b/>
            <sz val="8"/>
            <color indexed="81"/>
            <rFont val="Tahoma"/>
            <family val="2"/>
          </rPr>
          <t xml:space="preserve">8/19/2014: </t>
        </r>
        <r>
          <rPr>
            <sz val="8"/>
            <color indexed="81"/>
            <rFont val="Tahoma"/>
            <family val="2"/>
          </rPr>
          <t>repo'd $440M shares in 1Q (8.0M shares)</t>
        </r>
      </text>
    </comment>
    <comment ref="DB289" authorId="18">
      <text>
        <r>
          <rPr>
            <b/>
            <sz val="9"/>
            <color indexed="81"/>
            <rFont val="Tahoma"/>
            <family val="2"/>
          </rPr>
          <t>Baglione, Gregory (Research):</t>
        </r>
        <r>
          <rPr>
            <sz val="9"/>
            <color indexed="81"/>
            <rFont val="Tahoma"/>
            <family val="2"/>
          </rPr>
          <t xml:space="preserve">
In terms of share repurchases during the second quarter, we bought back $440 million of TJX stock, retiring 6.6 million shares. For the first half of the year, we have retired 12.7 million shares, buying back $855 million of stock. We continue to anticipate buying back $1.8 billion to $1.9 billion of TJX stock this year.</t>
        </r>
      </text>
    </comment>
    <comment ref="DF289" authorId="18">
      <text>
        <r>
          <rPr>
            <b/>
            <sz val="9"/>
            <color indexed="81"/>
            <rFont val="Tahoma"/>
            <family val="2"/>
          </rPr>
          <t>Baglione, Gregory (Research):</t>
        </r>
        <r>
          <rPr>
            <sz val="9"/>
            <color indexed="81"/>
            <rFont val="Tahoma"/>
            <family val="2"/>
          </rPr>
          <t xml:space="preserve">
During the second quarter, we bought back $400 million of TJX stock, retiring 5.2 million shares. For the first half of the year, we have retired 10.2 million shares, buying back $775 million of stock. We continue to anticipate buying back between $1.5 billion to $2 billion of TJX stock this year.</t>
        </r>
      </text>
    </comment>
    <comment ref="CR290" authorId="5">
      <text>
        <r>
          <rPr>
            <b/>
            <sz val="8"/>
            <color indexed="81"/>
            <rFont val="Tahoma"/>
            <family val="2"/>
          </rPr>
          <t xml:space="preserve">8/30/2012: </t>
        </r>
        <r>
          <rPr>
            <sz val="8"/>
            <color indexed="81"/>
            <rFont val="Tahoma"/>
            <family val="2"/>
          </rPr>
          <t>qtd avg share price $45</t>
        </r>
      </text>
    </comment>
    <comment ref="CT290" authorId="5">
      <text>
        <r>
          <rPr>
            <b/>
            <sz val="8"/>
            <color indexed="81"/>
            <rFont val="Tahoma"/>
            <family val="2"/>
          </rPr>
          <t xml:space="preserve">11/19/13: </t>
        </r>
        <r>
          <rPr>
            <sz val="8"/>
            <color indexed="81"/>
            <rFont val="Tahoma"/>
            <family val="2"/>
          </rPr>
          <t>Repo'd $375M 6.8mln shares in 3Q</t>
        </r>
        <r>
          <rPr>
            <b/>
            <sz val="8"/>
            <color indexed="81"/>
            <rFont val="Tahoma"/>
            <family val="2"/>
          </rPr>
          <t xml:space="preserve">
8/20/13: </t>
        </r>
        <r>
          <rPr>
            <sz val="8"/>
            <color indexed="81"/>
            <rFont val="Tahoma"/>
            <family val="2"/>
          </rPr>
          <t>during the quarter the company repruchased $325M in stock (6.4M shares); expects to repurchase $1.3-$1.4B in FY14</t>
        </r>
        <r>
          <rPr>
            <b/>
            <sz val="8"/>
            <color indexed="81"/>
            <rFont val="Tahoma"/>
            <family val="2"/>
          </rPr>
          <t xml:space="preserve">
5/21/2013 guidance: </t>
        </r>
        <r>
          <rPr>
            <sz val="8"/>
            <color indexed="81"/>
            <rFont val="Tahoma"/>
            <family val="2"/>
          </rPr>
          <t>729M</t>
        </r>
      </text>
    </comment>
    <comment ref="CZ290" authorId="5">
      <text>
        <r>
          <rPr>
            <b/>
            <sz val="8"/>
            <color indexed="81"/>
            <rFont val="Tahoma"/>
            <family val="2"/>
          </rPr>
          <t xml:space="preserve">11/18/2014: </t>
        </r>
        <r>
          <rPr>
            <sz val="8"/>
            <color indexed="81"/>
            <rFont val="Tahoma"/>
            <family val="2"/>
          </rPr>
          <t>repo'd $441M shares in 1Q (7.5M shares)</t>
        </r>
      </text>
    </comment>
    <comment ref="DB290" authorId="18">
      <text>
        <r>
          <rPr>
            <b/>
            <sz val="9"/>
            <color indexed="81"/>
            <rFont val="Tahoma"/>
            <family val="2"/>
          </rPr>
          <t>Baglione, Gregory (Research):</t>
        </r>
        <r>
          <rPr>
            <sz val="9"/>
            <color indexed="81"/>
            <rFont val="Tahoma"/>
            <family val="2"/>
          </rPr>
          <t xml:space="preserve">
During the third quarter we bought back $459 million of TJX stock, retiring 6.4 million shares. Year-to-date, we have retired 19.1 million shares, buying back $1.3 billion of stock. We continue to anticipate buying back $1.8 billion to $1.9 billion of TJX stock this year.</t>
        </r>
      </text>
    </comment>
    <comment ref="DF290" authorId="18">
      <text>
        <r>
          <rPr>
            <b/>
            <sz val="9"/>
            <color indexed="81"/>
            <rFont val="Tahoma"/>
            <family val="2"/>
          </rPr>
          <t>Baglione, Gregory (Research):</t>
        </r>
        <r>
          <rPr>
            <sz val="9"/>
            <color indexed="81"/>
            <rFont val="Tahoma"/>
            <family val="2"/>
          </rPr>
          <t xml:space="preserve">
During the third quarter, the Company paid out $170 million in shareholder dividends and repurchased a total of $400 million of TJX stock, retiring 5.2 million shares. For the first nine months of Fiscal 2017, the Company paid out $482 million in shareholder dividends and spent a total of $1.2 billion in repurchases of TJX stock, retiring 15.4 million shares. The Company continues to expect to repurchase approximately $1.5 to $2.0 billion of TJX stock in Fiscal 2017. The Company may adjust this amount up or down depending on various factors.</t>
        </r>
      </text>
    </comment>
    <comment ref="CP291" authorId="5">
      <text>
        <r>
          <rPr>
            <b/>
            <sz val="8"/>
            <color indexed="81"/>
            <rFont val="Tahoma"/>
            <family val="2"/>
          </rPr>
          <t xml:space="preserve">2/27/2013: </t>
        </r>
        <r>
          <rPr>
            <sz val="8"/>
            <color indexed="81"/>
            <rFont val="Tahoma"/>
            <family val="2"/>
          </rPr>
          <t>Spent $350 on repo, retiring 8.1M shares</t>
        </r>
      </text>
    </comment>
    <comment ref="CQ291" authorId="5">
      <text>
        <r>
          <rPr>
            <b/>
            <sz val="8"/>
            <color indexed="81"/>
            <rFont val="Tahoma"/>
            <family val="2"/>
          </rPr>
          <t xml:space="preserve">2/27/2013: </t>
        </r>
        <r>
          <rPr>
            <sz val="8"/>
            <color indexed="81"/>
            <rFont val="Tahoma"/>
            <family val="2"/>
          </rPr>
          <t>Spent $350 on repo, retiring 8.1M shares</t>
        </r>
      </text>
    </comment>
    <comment ref="CZ291" authorId="7">
      <text>
        <r>
          <rPr>
            <b/>
            <sz val="9"/>
            <color indexed="81"/>
            <rFont val="Tahoma"/>
            <family val="2"/>
          </rPr>
          <t>Turley, Amber (Research):</t>
        </r>
        <r>
          <rPr>
            <sz val="9"/>
            <color indexed="81"/>
            <rFont val="Tahoma"/>
            <family val="2"/>
          </rPr>
          <t xml:space="preserve">
2/25/15: During the fourth quarter, the Company spent a total of $407 million
to repurchase TJX stock, retiring 6.2 million shares.</t>
        </r>
      </text>
    </comment>
    <comment ref="DB291" authorId="18">
      <text>
        <r>
          <rPr>
            <b/>
            <sz val="9"/>
            <color indexed="81"/>
            <rFont val="Tahoma"/>
            <family val="2"/>
          </rPr>
          <t>Baglione, Gregory (Research):</t>
        </r>
        <r>
          <rPr>
            <sz val="9"/>
            <color indexed="81"/>
            <rFont val="Tahoma"/>
            <family val="2"/>
          </rPr>
          <t xml:space="preserve">
During the fourth quarter, the Company spent a total of $510 million to repurchase TJX stock, retiring 7.3 million shares. In Fiscal 2016, the Company spent a total of $1.8 billion to repurchase TJX stock, retiring 26.5 million shares.</t>
        </r>
      </text>
    </comment>
    <comment ref="DC291" authorId="9">
      <text>
        <r>
          <rPr>
            <b/>
            <sz val="9"/>
            <color indexed="81"/>
            <rFont val="Tahoma"/>
            <family val="2"/>
          </rPr>
          <t>Baglione, Gregory  (Research):</t>
        </r>
        <r>
          <rPr>
            <sz val="9"/>
            <color indexed="81"/>
            <rFont val="Tahoma"/>
            <family val="2"/>
          </rPr>
          <t xml:space="preserve">
During the fourth quarter, the Company spent a total of $510 million to repurchase TJX stock, retiring 7.3 million shares.</t>
        </r>
      </text>
    </comment>
    <comment ref="CX292" authorId="16">
      <text>
        <r>
          <rPr>
            <b/>
            <sz val="9"/>
            <color indexed="81"/>
            <rFont val="Tahoma"/>
            <family val="2"/>
          </rPr>
          <t xml:space="preserve">2/25/15: </t>
        </r>
        <r>
          <rPr>
            <sz val="9"/>
            <color indexed="81"/>
            <rFont val="Tahoma"/>
            <family val="2"/>
          </rPr>
          <t>$1.3B remains on share repo authorization at end of 2014, board approved an additional $2B</t>
        </r>
        <r>
          <rPr>
            <b/>
            <sz val="9"/>
            <color indexed="81"/>
            <rFont val="Tahoma"/>
            <family val="2"/>
          </rPr>
          <t xml:space="preserve">
5/20/14:</t>
        </r>
        <r>
          <rPr>
            <sz val="9"/>
            <color indexed="81"/>
            <rFont val="Tahoma"/>
            <family val="2"/>
          </rPr>
          <t xml:space="preserve"> continues to expect $1.6-1.7B
</t>
        </r>
        <r>
          <rPr>
            <b/>
            <sz val="9"/>
            <color indexed="81"/>
            <rFont val="Tahoma"/>
            <family val="2"/>
          </rPr>
          <t xml:space="preserve">8/19/14: </t>
        </r>
        <r>
          <rPr>
            <sz val="9"/>
            <color indexed="81"/>
            <rFont val="Tahoma"/>
            <family val="2"/>
          </rPr>
          <t>continues to expect $1.6-1.7B</t>
        </r>
      </text>
    </comment>
    <comment ref="DB292" authorId="7">
      <text>
        <r>
          <rPr>
            <b/>
            <sz val="9"/>
            <color indexed="81"/>
            <rFont val="Tahoma"/>
            <family val="2"/>
          </rPr>
          <t>Turley, Amber (Research):</t>
        </r>
        <r>
          <rPr>
            <sz val="9"/>
            <color indexed="81"/>
            <rFont val="Tahoma"/>
            <family val="2"/>
          </rPr>
          <t xml:space="preserve">
11/17/15 
$1.8/$1.9B repo
8/15/15
The Company continues to expect to repurchase approximately $1.8 to $1.9 billion of TJX stock in Fiscal 2016. 
5/19/15: reaffirmed $1.8-1.9B guidance
2/25/15: Guidance: Plan to buy back $1.8-$1.9B in shares in 2016. 
</t>
        </r>
      </text>
    </comment>
    <comment ref="DF292" authorId="9">
      <text>
        <r>
          <rPr>
            <b/>
            <sz val="9"/>
            <color indexed="81"/>
            <rFont val="Tahoma"/>
            <family val="2"/>
          </rPr>
          <t>Baglione, Gregory  (Research):</t>
        </r>
        <r>
          <rPr>
            <sz val="9"/>
            <color indexed="81"/>
            <rFont val="Tahoma"/>
            <family val="2"/>
          </rPr>
          <t xml:space="preserve">
8/16/16
Reiterate $1.5B-$2B Annual Repo</t>
        </r>
      </text>
    </comment>
    <comment ref="DJ292" authorId="10">
      <text>
        <r>
          <rPr>
            <b/>
            <sz val="9"/>
            <color indexed="81"/>
            <rFont val="Tahoma"/>
            <family val="2"/>
          </rPr>
          <t>Roberts, Cynthia (Research):</t>
        </r>
        <r>
          <rPr>
            <sz val="9"/>
            <color indexed="81"/>
            <rFont val="Tahoma"/>
            <family val="2"/>
          </rPr>
          <t xml:space="preserve">
8/15/17: Guidance: $1.5-1.8B 
Guidance: $1.3-1.8B</t>
        </r>
      </text>
    </comment>
    <comment ref="DN292" authorId="27">
      <text>
        <r>
          <rPr>
            <b/>
            <sz val="9"/>
            <color indexed="81"/>
            <rFont val="Tahoma"/>
            <family val="2"/>
          </rPr>
          <t>Cassel, Lauren (Research):</t>
        </r>
        <r>
          <rPr>
            <sz val="9"/>
            <color indexed="81"/>
            <rFont val="Tahoma"/>
            <family val="2"/>
          </rPr>
          <t xml:space="preserve">
guidance $2.5-3.0B</t>
        </r>
      </text>
    </comment>
  </commentList>
</comments>
</file>

<file path=xl/comments7.xml><?xml version="1.0" encoding="utf-8"?>
<comments xmlns="http://schemas.openxmlformats.org/spreadsheetml/2006/main">
  <authors>
    <author>Lehman Brothers</author>
    <author>lehman</author>
    <author>mm98285</author>
    <author>lauraro</author>
    <author>DL</author>
    <author>casselau</author>
    <author>oc48540</author>
    <author>Baglione, Gregory (Research)</author>
    <author>Baglione, Gregory  (Research)</author>
    <author>OC48540</author>
    <author>MB33100</author>
    <author>Kimberly Greenberger</author>
    <author>lr73192</author>
    <author>duol</author>
    <author>Morry Brown</author>
  </authors>
  <commentList>
    <comment ref="A11" authorId="0">
      <text>
        <r>
          <rPr>
            <sz val="8"/>
            <color indexed="81"/>
            <rFont val="Tahoma"/>
            <family val="2"/>
          </rPr>
          <t>rent expense includes contingent rent and is net of sublease income</t>
        </r>
      </text>
    </comment>
    <comment ref="F11" authorId="1">
      <text>
        <r>
          <rPr>
            <b/>
            <sz val="8"/>
            <color indexed="81"/>
            <rFont val="Tahoma"/>
            <family val="2"/>
          </rPr>
          <t>lehman:</t>
        </r>
        <r>
          <rPr>
            <sz val="8"/>
            <color indexed="81"/>
            <rFont val="Tahoma"/>
            <family val="2"/>
          </rPr>
          <t xml:space="preserve">
historical unadjusted amount was $149.4m</t>
        </r>
      </text>
    </comment>
    <comment ref="Q11" authorId="2">
      <text>
        <r>
          <rPr>
            <b/>
            <sz val="8"/>
            <color indexed="81"/>
            <rFont val="Tahoma"/>
            <family val="2"/>
          </rPr>
          <t>mm98285:</t>
        </r>
        <r>
          <rPr>
            <sz val="8"/>
            <color indexed="81"/>
            <rFont val="Tahoma"/>
            <family val="2"/>
          </rPr>
          <t xml:space="preserve">
3/08: rent expense includes contingent rent and is reported net of sublease income
</t>
        </r>
        <r>
          <rPr>
            <sz val="8"/>
            <color indexed="81"/>
            <rFont val="Tahoma"/>
            <family val="2"/>
          </rPr>
          <t>$</t>
        </r>
        <r>
          <rPr>
            <sz val="8"/>
            <color indexed="81"/>
            <rFont val="Tahoma"/>
            <family val="2"/>
          </rPr>
          <t>7.1mm contingent rent
$3.0mm sublease income</t>
        </r>
      </text>
    </comment>
    <comment ref="R11" authorId="2">
      <text>
        <r>
          <rPr>
            <b/>
            <sz val="8"/>
            <color indexed="81"/>
            <rFont val="Tahoma"/>
            <family val="2"/>
          </rPr>
          <t>mm98285:</t>
        </r>
        <r>
          <rPr>
            <sz val="8"/>
            <color indexed="81"/>
            <rFont val="Tahoma"/>
            <family val="2"/>
          </rPr>
          <t xml:space="preserve">
$1,114.0M =  all in rent expense incl CAM, taxes &amp; Insurance
3/08: rent expense includes contingent rent and is reported net of sublease income
</t>
        </r>
        <r>
          <rPr>
            <sz val="8"/>
            <color indexed="81"/>
            <rFont val="Tahoma"/>
            <family val="2"/>
          </rPr>
          <t>$</t>
        </r>
        <r>
          <rPr>
            <sz val="8"/>
            <color indexed="81"/>
            <rFont val="Tahoma"/>
            <family val="2"/>
          </rPr>
          <t>9.0mm contingent rent
$3.0mm sublease income</t>
        </r>
      </text>
    </comment>
    <comment ref="S11" authorId="2">
      <text>
        <r>
          <rPr>
            <b/>
            <sz val="8"/>
            <color indexed="81"/>
            <rFont val="Tahoma"/>
            <family val="2"/>
          </rPr>
          <t>mm98285:</t>
        </r>
        <r>
          <rPr>
            <sz val="8"/>
            <color indexed="81"/>
            <rFont val="Tahoma"/>
            <family val="2"/>
          </rPr>
          <t xml:space="preserve">
$1,192.0M =  all in rent expense incl CAM, taxes &amp; Insurance
3/08: rent expense includes contingent rent and is reported net of sublease income
</t>
        </r>
        <r>
          <rPr>
            <sz val="8"/>
            <color indexed="81"/>
            <rFont val="Tahoma"/>
            <family val="2"/>
          </rPr>
          <t>$</t>
        </r>
        <r>
          <rPr>
            <sz val="8"/>
            <color indexed="81"/>
            <rFont val="Tahoma"/>
            <family val="2"/>
          </rPr>
          <t>9.7mm contingent rent
$2.9mm sublease income</t>
        </r>
      </text>
    </comment>
    <comment ref="T11" authorId="2">
      <text>
        <r>
          <rPr>
            <b/>
            <sz val="8"/>
            <color indexed="81"/>
            <rFont val="Tahoma"/>
            <family val="2"/>
          </rPr>
          <t>mm98285:</t>
        </r>
        <r>
          <rPr>
            <sz val="8"/>
            <color indexed="81"/>
            <rFont val="Tahoma"/>
            <family val="2"/>
          </rPr>
          <t xml:space="preserve">
$1,245.7M = all in rent expense incl CAM, taxes &amp; Insurance
10K: insurance, RE taxes, other op exp were ~1/3 of total minimum rent in 2008
$8.3M contingent rent
$2.1M sublease income</t>
        </r>
      </text>
    </comment>
    <comment ref="U11" authorId="2">
      <text>
        <r>
          <rPr>
            <b/>
            <sz val="8"/>
            <color indexed="81"/>
            <rFont val="Tahoma"/>
            <family val="2"/>
          </rPr>
          <t xml:space="preserve">lr73192:
</t>
        </r>
        <r>
          <rPr>
            <sz val="8"/>
            <color indexed="81"/>
            <rFont val="Tahoma"/>
            <family val="2"/>
          </rPr>
          <t>Insurance, real estate taxes and other operating expenses including, in some cases,
rentals based on a % sales were ~1/3 of the total minimum rent in fiscal 2010, fiscal 2009 and fiscal 2008</t>
        </r>
        <r>
          <rPr>
            <b/>
            <sz val="8"/>
            <color indexed="81"/>
            <rFont val="Tahoma"/>
            <family val="2"/>
          </rPr>
          <t xml:space="preserve">
</t>
        </r>
        <r>
          <rPr>
            <sz val="8"/>
            <color indexed="81"/>
            <rFont val="Tahoma"/>
            <family val="2"/>
          </rPr>
          <t xml:space="preserve">
2009A $1,279.5M estimated all in rent expense incl CAM, taxes &amp; Insurance</t>
        </r>
        <r>
          <rPr>
            <b/>
            <sz val="8"/>
            <color indexed="81"/>
            <rFont val="Tahoma"/>
            <family val="2"/>
          </rPr>
          <t xml:space="preserve">
mm98285:</t>
        </r>
        <r>
          <rPr>
            <sz val="8"/>
            <color indexed="81"/>
            <rFont val="Tahoma"/>
            <family val="2"/>
          </rPr>
          <t xml:space="preserve">
2009E $1,276.8M estimated all in rent expense incl CAM, taxes &amp; Insurance</t>
        </r>
      </text>
    </comment>
    <comment ref="V11" authorId="3">
      <text>
        <r>
          <rPr>
            <b/>
            <sz val="8"/>
            <color indexed="81"/>
            <rFont val="Tahoma"/>
            <family val="2"/>
          </rPr>
          <t>lauraro:</t>
        </r>
        <r>
          <rPr>
            <sz val="8"/>
            <color indexed="81"/>
            <rFont val="Tahoma"/>
            <family val="2"/>
          </rPr>
          <t xml:space="preserve">
$12.0M contingent rent
$1..2M sublease income</t>
        </r>
      </text>
    </comment>
    <comment ref="W11" authorId="3">
      <text>
        <r>
          <rPr>
            <b/>
            <sz val="8"/>
            <color indexed="81"/>
            <rFont val="Tahoma"/>
            <family val="2"/>
          </rPr>
          <t>lauraro:</t>
        </r>
        <r>
          <rPr>
            <sz val="8"/>
            <color indexed="81"/>
            <rFont val="Tahoma"/>
            <family val="2"/>
          </rPr>
          <t xml:space="preserve">
$12.9M contingent rent
$1.3M sublease income</t>
        </r>
      </text>
    </comment>
    <comment ref="X11" authorId="4">
      <text>
        <r>
          <rPr>
            <b/>
            <sz val="9"/>
            <color indexed="81"/>
            <rFont val="Tahoma"/>
            <family val="2"/>
          </rPr>
          <t>DL:</t>
        </r>
        <r>
          <rPr>
            <sz val="9"/>
            <color indexed="81"/>
            <rFont val="Tahoma"/>
            <family val="2"/>
          </rPr>
          <t xml:space="preserve">
contingent $15M
sublease income $0.9M</t>
        </r>
      </text>
    </comment>
    <comment ref="Y11" authorId="4">
      <text>
        <r>
          <rPr>
            <b/>
            <sz val="9"/>
            <color indexed="81"/>
            <rFont val="Tahoma"/>
            <family val="2"/>
          </rPr>
          <t>DL:</t>
        </r>
        <r>
          <rPr>
            <sz val="9"/>
            <color indexed="81"/>
            <rFont val="Tahoma"/>
            <family val="2"/>
          </rPr>
          <t xml:space="preserve">
contingent $15.7M
sublease income $0.9M</t>
        </r>
      </text>
    </comment>
    <comment ref="Z11" authorId="5">
      <text>
        <r>
          <rPr>
            <b/>
            <sz val="9"/>
            <color indexed="81"/>
            <rFont val="Tahoma"/>
            <family val="2"/>
          </rPr>
          <t>casselau:</t>
        </r>
        <r>
          <rPr>
            <sz val="9"/>
            <color indexed="81"/>
            <rFont val="Tahoma"/>
            <family val="2"/>
          </rPr>
          <t xml:space="preserve">
contingent $15.2M
sub-lease income $0.8M</t>
        </r>
      </text>
    </comment>
    <comment ref="AA11" authorId="5">
      <text>
        <r>
          <rPr>
            <b/>
            <sz val="9"/>
            <color indexed="81"/>
            <rFont val="Tahoma"/>
            <family val="2"/>
          </rPr>
          <t>casselau:</t>
        </r>
        <r>
          <rPr>
            <sz val="9"/>
            <color indexed="81"/>
            <rFont val="Tahoma"/>
            <family val="2"/>
          </rPr>
          <t xml:space="preserve">
minimum lease obligations $1303.196  * 1.02 for inflation * 1.05 square footage growth +$15M contingent</t>
        </r>
      </text>
    </comment>
    <comment ref="AB11" authorId="5">
      <text>
        <r>
          <rPr>
            <b/>
            <sz val="9"/>
            <color indexed="81"/>
            <rFont val="Tahoma"/>
            <family val="2"/>
          </rPr>
          <t>casselau:</t>
        </r>
        <r>
          <rPr>
            <sz val="9"/>
            <color indexed="81"/>
            <rFont val="Tahoma"/>
            <family val="2"/>
          </rPr>
          <t xml:space="preserve">
$14.7M contingent</t>
        </r>
      </text>
    </comment>
    <comment ref="T12" authorId="6">
      <text>
        <r>
          <rPr>
            <b/>
            <sz val="8"/>
            <color indexed="81"/>
            <rFont val="Tahoma"/>
            <family val="2"/>
          </rPr>
          <t>oc48540:</t>
        </r>
        <r>
          <rPr>
            <sz val="8"/>
            <color indexed="81"/>
            <rFont val="Tahoma"/>
            <family val="2"/>
          </rPr>
          <t xml:space="preserve">
CURRENTLY FLOWS THROUGH TO EPS</t>
        </r>
      </text>
    </comment>
    <comment ref="AC14" authorId="7">
      <text>
        <r>
          <rPr>
            <b/>
            <sz val="9"/>
            <color indexed="81"/>
            <rFont val="Tahoma"/>
            <family val="2"/>
          </rPr>
          <t>Baglione, Gregory (Research):</t>
        </r>
        <r>
          <rPr>
            <sz val="9"/>
            <color indexed="81"/>
            <rFont val="Tahoma"/>
            <family val="2"/>
          </rPr>
          <t xml:space="preserve">
12/12/16
The company is generating ~20-30 bps of merchandise margin expansion each year. We are modeling this improvement to continue into 2017, partially offset by FX.
</t>
        </r>
      </text>
    </comment>
    <comment ref="AD14" authorId="7">
      <text>
        <r>
          <rPr>
            <b/>
            <sz val="9"/>
            <color indexed="81"/>
            <rFont val="Tahoma"/>
            <family val="2"/>
          </rPr>
          <t>Baglione, Gregory (Research):</t>
        </r>
        <r>
          <rPr>
            <sz val="9"/>
            <color indexed="81"/>
            <rFont val="Tahoma"/>
            <family val="2"/>
          </rPr>
          <t xml:space="preserve">
12/12/16
We model 10-15 bps annual GM improvement</t>
        </r>
      </text>
    </comment>
    <comment ref="AE14" authorId="7">
      <text>
        <r>
          <rPr>
            <b/>
            <sz val="9"/>
            <color indexed="81"/>
            <rFont val="Tahoma"/>
            <family val="2"/>
          </rPr>
          <t>Baglione, Gregory (Research):</t>
        </r>
        <r>
          <rPr>
            <sz val="9"/>
            <color indexed="81"/>
            <rFont val="Tahoma"/>
            <family val="2"/>
          </rPr>
          <t xml:space="preserve">
12/12/16
We model 10-15 bps annual GM improvement</t>
        </r>
      </text>
    </comment>
    <comment ref="AF14" authorId="7">
      <text>
        <r>
          <rPr>
            <b/>
            <sz val="9"/>
            <color indexed="81"/>
            <rFont val="Tahoma"/>
            <family val="2"/>
          </rPr>
          <t>Baglione, Gregory (Research):</t>
        </r>
        <r>
          <rPr>
            <sz val="9"/>
            <color indexed="81"/>
            <rFont val="Tahoma"/>
            <family val="2"/>
          </rPr>
          <t xml:space="preserve">
12/12/16
We model 10-15 bps annual GM improvement</t>
        </r>
      </text>
    </comment>
    <comment ref="AB19" authorId="8">
      <text>
        <r>
          <rPr>
            <b/>
            <sz val="9"/>
            <color indexed="81"/>
            <rFont val="Tahoma"/>
            <family val="2"/>
          </rPr>
          <t>Baglione, Gregory  (Research):</t>
        </r>
        <r>
          <rPr>
            <sz val="9"/>
            <color indexed="81"/>
            <rFont val="Tahoma"/>
            <family val="2"/>
          </rPr>
          <t xml:space="preserve">
Adjust rate to bring down EPS in 2016 by $0.10 for wage impact. Rate before change is 16.7%
1/17/15
Previous $5.542B  SG&amp;A dolars, taking up to </t>
        </r>
      </text>
    </comment>
    <comment ref="AC19" authorId="8">
      <text>
        <r>
          <rPr>
            <b/>
            <sz val="9"/>
            <color indexed="81"/>
            <rFont val="Tahoma"/>
            <family val="2"/>
          </rPr>
          <t xml:space="preserve">Baglione, Gregory  (Research):
Flat SG&amp;A dollars= 16.23% rate
+ 5.5% core SG&amp; dollar growth (17.25% rate)
+ 3% EPS impact from wages ($141M dollar, rate moves to 17.65%)
+1.5% EPS headwind from growth investments (~$70-$80M , SG&amp;A rate moves to 17.9%)
</t>
        </r>
      </text>
    </comment>
    <comment ref="R20" authorId="2">
      <text>
        <r>
          <rPr>
            <b/>
            <sz val="8"/>
            <color indexed="81"/>
            <rFont val="Tahoma"/>
            <family val="2"/>
          </rPr>
          <t>mm98285:</t>
        </r>
        <r>
          <rPr>
            <sz val="8"/>
            <color indexed="81"/>
            <rFont val="Tahoma"/>
            <family val="2"/>
          </rPr>
          <t xml:space="preserve">
11/06: guid to 15-20% marketing expense increase</t>
        </r>
      </text>
    </comment>
    <comment ref="AC20" authorId="8">
      <text>
        <r>
          <rPr>
            <b/>
            <sz val="9"/>
            <color indexed="81"/>
            <rFont val="Tahoma"/>
            <family val="2"/>
          </rPr>
          <t xml:space="preserve">Baglione, Gregory  (Research):
Flat SG&amp;A dollars= 16.23% rate
+ 5.5% core SG&amp; dollar growth (17.25% rate)
+ 3% EPS impact from wages ($141M dollar, rate moves to 17.65%)
+1.5% EPS headwind from growth investments (~$70-$80M , SG&amp;A rate moves to 17.9%)
</t>
        </r>
      </text>
    </comment>
    <comment ref="AC21" authorId="8">
      <text>
        <r>
          <rPr>
            <b/>
            <sz val="9"/>
            <color indexed="81"/>
            <rFont val="Tahoma"/>
            <family val="2"/>
          </rPr>
          <t xml:space="preserve">Baglione, Gregory  (Research):
Flat SG&amp;A dollars= 16.23% rate
+ 5.5% core SG&amp; dollar growth (17.25% rate)
+ 3% EPS impact from wages ($141M dollar, rate moves to 17.65%)
+1.5% EPS headwind from growth investments (~$70-$80M , SG&amp;A rate moves to 17.9%)
</t>
        </r>
      </text>
    </comment>
    <comment ref="AC22" authorId="8">
      <text>
        <r>
          <rPr>
            <b/>
            <sz val="9"/>
            <color indexed="81"/>
            <rFont val="Tahoma"/>
            <family val="2"/>
          </rPr>
          <t xml:space="preserve">Baglione, Gregory  (Research):
Flat SG&amp;A dollars= 16.23% rate
+ 5.5% core SG&amp; dollar growth (17.25% rate)
+ 3% EPS impact from wages ($141M dollar, rate moves to 17.65%)
+1.5% EPS headwind from growth investments (~$70-$80M , SG&amp;A rate moves to 17.9%)
</t>
        </r>
      </text>
    </comment>
    <comment ref="T23" authorId="9">
      <text>
        <r>
          <rPr>
            <sz val="8"/>
            <color indexed="81"/>
            <rFont val="Tahoma"/>
            <family val="2"/>
          </rPr>
          <t>3Q07-10Q: We also expect to incur non-cash charges in fiscal 2009 or 2010 pursuant to the proposed settlement of the customer class action litigation.</t>
        </r>
      </text>
    </comment>
    <comment ref="U23" authorId="9">
      <text>
        <r>
          <rPr>
            <sz val="8"/>
            <color indexed="81"/>
            <rFont val="Tahoma"/>
            <family val="2"/>
          </rPr>
          <t>3Q07-10Q: We also expect to incur non-cash charges in fiscal 2009 or 2010 pursuant to the proposed settlement of the customer class action litigation.</t>
        </r>
      </text>
    </comment>
    <comment ref="AA23" authorId="5">
      <text>
        <r>
          <rPr>
            <b/>
            <sz val="9"/>
            <color indexed="81"/>
            <rFont val="Tahoma"/>
            <family val="2"/>
          </rPr>
          <t>casselau:</t>
        </r>
        <r>
          <rPr>
            <sz val="9"/>
            <color indexed="81"/>
            <rFont val="Tahoma"/>
            <family val="2"/>
          </rPr>
          <t xml:space="preserve">
assume half of 50 bps deleverage y/y driven by wage pressures - FY16 to be a greater headwind</t>
        </r>
      </text>
    </comment>
    <comment ref="AB23" authorId="5">
      <text>
        <r>
          <rPr>
            <b/>
            <sz val="9"/>
            <color indexed="81"/>
            <rFont val="Tahoma"/>
            <family val="2"/>
          </rPr>
          <t>casselau:</t>
        </r>
        <r>
          <rPr>
            <sz val="9"/>
            <color indexed="81"/>
            <rFont val="Tahoma"/>
            <family val="2"/>
          </rPr>
          <t xml:space="preserve">
assume half of 50 bps deleverage y/y driven by wage pressures - FY16 to be a greater headwind</t>
        </r>
      </text>
    </comment>
    <comment ref="AC23" authorId="8">
      <text>
        <r>
          <rPr>
            <b/>
            <sz val="9"/>
            <color indexed="81"/>
            <rFont val="Tahoma"/>
            <family val="2"/>
          </rPr>
          <t xml:space="preserve">Baglione, Gregory  (Research):
12/12/16
</t>
        </r>
        <r>
          <rPr>
            <sz val="9"/>
            <color indexed="81"/>
            <rFont val="Tahoma"/>
            <family val="2"/>
          </rPr>
          <t>2017e: 25 bps margin decline next year
Wages 30-40 bps
FX 15-20 bps
Leads to 55 bps headwind at midpoint
Partially offset by ~20 bps organic improvement +10 bps from 53rd week.</t>
        </r>
        <r>
          <rPr>
            <b/>
            <sz val="9"/>
            <color indexed="81"/>
            <rFont val="Tahoma"/>
            <family val="2"/>
          </rPr>
          <t xml:space="preserve">
11/15/16
</t>
        </r>
        <r>
          <rPr>
            <sz val="9"/>
            <color indexed="81"/>
            <rFont val="Tahoma"/>
            <family val="2"/>
          </rPr>
          <t>Flat SG&amp;A dollars= 16.2% rate
+ 6% core SG&amp; dollar growth (17.3
% rate) + 3% EPS impact from wages ($130M dollar, rate moves to 17.63%)
+2% EPS headwind from growth investments (~$70-$80M , SG&amp;A rate moves to 18%)</t>
        </r>
        <r>
          <rPr>
            <b/>
            <sz val="9"/>
            <color indexed="81"/>
            <rFont val="Tahoma"/>
            <family val="2"/>
          </rPr>
          <t xml:space="preserve">
</t>
        </r>
        <r>
          <rPr>
            <sz val="9"/>
            <color indexed="81"/>
            <rFont val="Tahoma"/>
            <family val="2"/>
          </rPr>
          <t>Should get 10 bps leverage from pound favorability and 10 bps benefit from 53rd week (per 2012/2013 disclosures)</t>
        </r>
      </text>
    </comment>
    <comment ref="AD23" authorId="7">
      <text>
        <r>
          <rPr>
            <b/>
            <sz val="9"/>
            <color indexed="81"/>
            <rFont val="Tahoma"/>
            <family val="2"/>
          </rPr>
          <t>Baglione, Gregory (Research):</t>
        </r>
        <r>
          <rPr>
            <sz val="9"/>
            <color indexed="81"/>
            <rFont val="Tahoma"/>
            <family val="2"/>
          </rPr>
          <t xml:space="preserve">
12/12/16
Model flat to 10 bps margin improvement starting in 2018 and continuing thereafter.
We reach this by assuming 1/3 to 1/2 the 30-40 bps wage pressure, stable FX, and ~10-20 bps underlying imrpovement, drivingour  flat to 10 bps forecast</t>
        </r>
      </text>
    </comment>
    <comment ref="AE23" authorId="7">
      <text>
        <r>
          <rPr>
            <b/>
            <sz val="9"/>
            <color indexed="81"/>
            <rFont val="Tahoma"/>
            <family val="2"/>
          </rPr>
          <t>Baglione, Gregory (Research):</t>
        </r>
        <r>
          <rPr>
            <sz val="9"/>
            <color indexed="81"/>
            <rFont val="Tahoma"/>
            <family val="2"/>
          </rPr>
          <t xml:space="preserve">
12/12/16
Model flat to 10 bps margin improvement starting in 2018 and continuing thereafter.
We reach this by assuming 1/3 to 1/2 the 30-40 bps wage pressure, stable FX, and ~10-20 bps underlying imrpovement, drivingour  flat to 10 bps forecast</t>
        </r>
      </text>
    </comment>
    <comment ref="AF23" authorId="7">
      <text>
        <r>
          <rPr>
            <b/>
            <sz val="9"/>
            <color indexed="81"/>
            <rFont val="Tahoma"/>
            <family val="2"/>
          </rPr>
          <t>Baglione, Gregory (Research):</t>
        </r>
        <r>
          <rPr>
            <sz val="9"/>
            <color indexed="81"/>
            <rFont val="Tahoma"/>
            <family val="2"/>
          </rPr>
          <t xml:space="preserve">
12/12/16
Model flat to 10 bps margin improvement starting in 2018 and continuing thereafter.
We reach this by assuming 1/3 to 1/2 the 30-40 bps wage pressure, stable FX, and ~10-20 bps underlying imrpovement, drivingour  flat to 10 bps forecast</t>
        </r>
      </text>
    </comment>
    <comment ref="R25" authorId="10">
      <text>
        <r>
          <rPr>
            <b/>
            <sz val="8"/>
            <color indexed="81"/>
            <rFont val="Tahoma"/>
            <family val="2"/>
          </rPr>
          <t>MB33100:</t>
        </r>
        <r>
          <rPr>
            <sz val="8"/>
            <color indexed="81"/>
            <rFont val="Tahoma"/>
            <family val="2"/>
          </rPr>
          <t xml:space="preserve">
2/06: indicated 12c impact from options expense on 2006 EPS</t>
        </r>
      </text>
    </comment>
    <comment ref="O34" authorId="11">
      <text>
        <r>
          <rPr>
            <b/>
            <sz val="8"/>
            <color indexed="81"/>
            <rFont val="Tahoma"/>
            <family val="2"/>
          </rPr>
          <t>Kimberly Greenberger:</t>
        </r>
        <r>
          <rPr>
            <sz val="8"/>
            <color indexed="81"/>
            <rFont val="Tahoma"/>
            <family val="2"/>
          </rPr>
          <t xml:space="preserve">
Weighted avg interest rate for US borrowings was 1.09%</t>
        </r>
      </text>
    </comment>
    <comment ref="P34" authorId="11">
      <text>
        <r>
          <rPr>
            <b/>
            <sz val="8"/>
            <color indexed="81"/>
            <rFont val="Tahoma"/>
            <family val="2"/>
          </rPr>
          <t>Kimberly Greenberger:</t>
        </r>
        <r>
          <rPr>
            <sz val="8"/>
            <color indexed="81"/>
            <rFont val="Tahoma"/>
            <family val="2"/>
          </rPr>
          <t xml:space="preserve">
Weighted avg interest rate for US borrowings was 2.04%</t>
        </r>
      </text>
    </comment>
    <comment ref="V34" authorId="12">
      <text>
        <r>
          <rPr>
            <b/>
            <sz val="8"/>
            <color indexed="81"/>
            <rFont val="Tahoma"/>
            <family val="2"/>
          </rPr>
          <t>lr73192:</t>
        </r>
        <r>
          <rPr>
            <sz val="8"/>
            <color indexed="81"/>
            <rFont val="Tahoma"/>
            <family val="2"/>
          </rPr>
          <t xml:space="preserve">
Assume ~0.5% interest rate on cash on B/S </t>
        </r>
      </text>
    </comment>
    <comment ref="W34" authorId="12">
      <text>
        <r>
          <rPr>
            <b/>
            <sz val="8"/>
            <color indexed="81"/>
            <rFont val="Tahoma"/>
            <family val="2"/>
          </rPr>
          <t>lr73192:</t>
        </r>
        <r>
          <rPr>
            <sz val="8"/>
            <color indexed="81"/>
            <rFont val="Tahoma"/>
            <family val="2"/>
          </rPr>
          <t xml:space="preserve">
Assume 2% interest rate on cash on the Balance Sheet</t>
        </r>
      </text>
    </comment>
    <comment ref="Y40" authorId="13">
      <text>
        <r>
          <rPr>
            <b/>
            <sz val="8"/>
            <color indexed="81"/>
            <rFont val="Tahoma"/>
            <family val="2"/>
          </rPr>
          <t>duol:</t>
        </r>
        <r>
          <rPr>
            <sz val="8"/>
            <color indexed="81"/>
            <rFont val="Tahoma"/>
            <family val="2"/>
          </rPr>
          <t xml:space="preserve">
Adjust for 3Q tax number</t>
        </r>
      </text>
    </comment>
    <comment ref="S44" authorId="6">
      <text>
        <r>
          <rPr>
            <b/>
            <sz val="8"/>
            <color indexed="81"/>
            <rFont val="Tahoma"/>
            <family val="2"/>
          </rPr>
          <t>oc48540:</t>
        </r>
        <r>
          <rPr>
            <sz val="8"/>
            <color indexed="81"/>
            <rFont val="Tahoma"/>
            <family val="2"/>
          </rPr>
          <t xml:space="preserve">
Adds back intrusion charges</t>
        </r>
      </text>
    </comment>
    <comment ref="O50" authorId="1">
      <text>
        <r>
          <rPr>
            <sz val="8"/>
            <color indexed="81"/>
            <rFont val="Tahoma"/>
            <family val="2"/>
          </rPr>
          <t>53rd week added $0.05 to EPS</t>
        </r>
      </text>
    </comment>
    <comment ref="AB50" authorId="8">
      <text>
        <r>
          <rPr>
            <b/>
            <sz val="9"/>
            <color indexed="81"/>
            <rFont val="Tahoma"/>
            <family val="2"/>
          </rPr>
          <t>Baglione, Gregory  (Research):</t>
        </r>
        <r>
          <rPr>
            <sz val="9"/>
            <color indexed="81"/>
            <rFont val="Tahoma"/>
            <family val="2"/>
          </rPr>
          <t xml:space="preserve">
11/16/16
The Company now estimates Fiscal 2017 GAAP diluted earnings per share of $3.39 to $3.41 and adjusted earnings per share of $3.46 to $3.48, versus prior guidance of $3.39 to $3.43, reflecting the Company’s strong third quarter results. The adjusted EPS range excludes the impact of the third quarter debt extinguishment and pension settlement charges (described above). The EPS outlook is based upon estimated consolidated comparable store sales growth of 4%.
This would be up 4% to 5% versus $3.33 in FY16. Our plan assumes a negative impact to EPS growth of about 3% due to wage increases, and approximately 3% due to foreign currency and transactional foreign exchange.</t>
        </r>
      </text>
    </comment>
    <comment ref="AC50" authorId="7">
      <text>
        <r>
          <rPr>
            <b/>
            <sz val="9"/>
            <color indexed="81"/>
            <rFont val="Tahoma"/>
            <family val="2"/>
          </rPr>
          <t>Baglione, Gregory (Research):</t>
        </r>
        <r>
          <rPr>
            <sz val="9"/>
            <color indexed="81"/>
            <rFont val="Tahoma"/>
            <family val="2"/>
          </rPr>
          <t xml:space="preserve">
11/16/16
As a reminder, we expect that wage increases will have a similar
negative impact of approximately 3% to fiscal 2018 EPS growth.</t>
        </r>
      </text>
    </comment>
    <comment ref="AD50" authorId="7">
      <text>
        <r>
          <rPr>
            <b/>
            <sz val="9"/>
            <color indexed="81"/>
            <rFont val="Tahoma"/>
            <family val="2"/>
          </rPr>
          <t>Baglione, Gregory (Research):</t>
        </r>
        <r>
          <rPr>
            <sz val="9"/>
            <color indexed="81"/>
            <rFont val="Tahoma"/>
            <family val="2"/>
          </rPr>
          <t xml:space="preserve">
12/12/16
From trip with management, expect to get ~3% EPS benefit from buybacks
</t>
        </r>
      </text>
    </comment>
    <comment ref="AE50" authorId="7">
      <text>
        <r>
          <rPr>
            <b/>
            <sz val="9"/>
            <color indexed="81"/>
            <rFont val="Tahoma"/>
            <family val="2"/>
          </rPr>
          <t>Baglione, Gregory (Research):</t>
        </r>
        <r>
          <rPr>
            <sz val="9"/>
            <color indexed="81"/>
            <rFont val="Tahoma"/>
            <family val="2"/>
          </rPr>
          <t xml:space="preserve">
12/12/16
From trip with management, expect to get ~3% EPS benefit from buybacks
</t>
        </r>
      </text>
    </comment>
    <comment ref="AF50" authorId="7">
      <text>
        <r>
          <rPr>
            <b/>
            <sz val="9"/>
            <color indexed="81"/>
            <rFont val="Tahoma"/>
            <family val="2"/>
          </rPr>
          <t>Baglione, Gregory (Research):</t>
        </r>
        <r>
          <rPr>
            <sz val="9"/>
            <color indexed="81"/>
            <rFont val="Tahoma"/>
            <family val="2"/>
          </rPr>
          <t xml:space="preserve">
12/12/16
From trip with management, expect to get ~3% EPS benefit from buybacks
</t>
        </r>
      </text>
    </comment>
    <comment ref="X51" authorId="3">
      <text>
        <r>
          <rPr>
            <b/>
            <sz val="8"/>
            <color indexed="81"/>
            <rFont val="Tahoma"/>
            <family val="2"/>
          </rPr>
          <t>lauraro:</t>
        </r>
        <r>
          <rPr>
            <sz val="8"/>
            <color indexed="81"/>
            <rFont val="Tahoma"/>
            <family val="2"/>
          </rPr>
          <t xml:space="preserve">
12.5%</t>
        </r>
      </text>
    </comment>
    <comment ref="Y51" authorId="3">
      <text>
        <r>
          <rPr>
            <b/>
            <sz val="8"/>
            <color indexed="81"/>
            <rFont val="Tahoma"/>
            <family val="2"/>
          </rPr>
          <t>lauraro:</t>
        </r>
        <r>
          <rPr>
            <sz val="8"/>
            <color indexed="81"/>
            <rFont val="Tahoma"/>
            <family val="2"/>
          </rPr>
          <t xml:space="preserve">
13%</t>
        </r>
      </text>
    </comment>
    <comment ref="R55" authorId="14">
      <text>
        <r>
          <rPr>
            <b/>
            <sz val="8"/>
            <color indexed="81"/>
            <rFont val="Tahoma"/>
            <family val="2"/>
          </rPr>
          <t>Morry Brown:</t>
        </r>
        <r>
          <rPr>
            <sz val="8"/>
            <color indexed="81"/>
            <rFont val="Tahoma"/>
            <family val="2"/>
          </rPr>
          <t xml:space="preserve">
New $1 billion authorization approved 10-12-05, we assume $500mm for 2006 at $23 price = 21.7 shares, and assume ~3mm dilution from options</t>
        </r>
      </text>
    </comment>
    <comment ref="V55" authorId="2">
      <text>
        <r>
          <rPr>
            <b/>
            <sz val="8"/>
            <color indexed="81"/>
            <rFont val="Tahoma"/>
            <family val="2"/>
          </rPr>
          <t>mm98285:</t>
        </r>
        <r>
          <rPr>
            <sz val="8"/>
            <color indexed="81"/>
            <rFont val="Tahoma"/>
            <family val="2"/>
          </rPr>
          <t xml:space="preserve">
10/08: assume $500mm repo</t>
        </r>
      </text>
    </comment>
    <comment ref="S73" authorId="2">
      <text>
        <r>
          <rPr>
            <b/>
            <sz val="8"/>
            <color indexed="81"/>
            <rFont val="Tahoma"/>
            <family val="2"/>
          </rPr>
          <t>mm98285:</t>
        </r>
        <r>
          <rPr>
            <sz val="8"/>
            <color indexed="81"/>
            <rFont val="Tahoma"/>
            <family val="2"/>
          </rPr>
          <t xml:space="preserve">
2/07: guided to $370</t>
        </r>
      </text>
    </comment>
  </commentList>
</comments>
</file>

<file path=xl/comments8.xml><?xml version="1.0" encoding="utf-8"?>
<comments xmlns="http://schemas.openxmlformats.org/spreadsheetml/2006/main">
  <authors>
    <author>Baglione, Gregory (Research)</author>
    <author>lauraro</author>
    <author>Mains, Spencer (Research)</author>
    <author>Kimberly Greenberger</author>
    <author>lehman</author>
    <author>mm98285</author>
    <author>Margaret Marchant</author>
    <author>Lehman Brothers</author>
    <author>Baglione, Gregory  (Research)</author>
    <author>uysharyn</author>
  </authors>
  <commentList>
    <comment ref="AC7" authorId="0">
      <text>
        <r>
          <rPr>
            <b/>
            <sz val="9"/>
            <color indexed="81"/>
            <rFont val="Tahoma"/>
            <family val="2"/>
          </rPr>
          <t>Baglione, Gregory (Research):</t>
        </r>
        <r>
          <rPr>
            <sz val="9"/>
            <color indexed="81"/>
            <rFont val="Tahoma"/>
            <family val="2"/>
          </rPr>
          <t xml:space="preserve">
We reach our sales estimate by forecasting spreads based on current FX rates, which implies a spread of 2.7%. The y/y change in the pound is 500 bps better than in 2016 (see FX worksheet)
Then, we add ~1% to sales growth to reflect the 53rd week, leading to our 3.7% sales spread.</t>
        </r>
      </text>
    </comment>
    <comment ref="Y9" authorId="1">
      <text>
        <r>
          <rPr>
            <b/>
            <sz val="8"/>
            <color indexed="81"/>
            <rFont val="Tahoma"/>
            <family val="2"/>
          </rPr>
          <t>lauraro:</t>
        </r>
        <r>
          <rPr>
            <sz val="8"/>
            <color indexed="81"/>
            <rFont val="Tahoma"/>
            <family val="2"/>
          </rPr>
          <t xml:space="preserve">
6.2% if back out $350M in extra week sales from 2012</t>
        </r>
      </text>
    </comment>
    <comment ref="AE15" authorId="2">
      <text>
        <r>
          <rPr>
            <b/>
            <sz val="9"/>
            <color indexed="81"/>
            <rFont val="Tahoma"/>
            <family val="2"/>
          </rPr>
          <t>Mains, Spencer (Research):</t>
        </r>
        <r>
          <rPr>
            <sz val="9"/>
            <color indexed="81"/>
            <rFont val="Tahoma"/>
            <family val="2"/>
          </rPr>
          <t xml:space="preserve">
Rolled out store tab to 2019 as well, but previous three years are using 2014</t>
        </r>
      </text>
    </comment>
    <comment ref="AF15" authorId="2">
      <text>
        <r>
          <rPr>
            <b/>
            <sz val="9"/>
            <color indexed="81"/>
            <rFont val="Tahoma"/>
            <family val="2"/>
          </rPr>
          <t>Mains, Spencer (Research):</t>
        </r>
        <r>
          <rPr>
            <sz val="9"/>
            <color indexed="81"/>
            <rFont val="Tahoma"/>
            <family val="2"/>
          </rPr>
          <t xml:space="preserve">
Rolled out store tab to 2019 as well, but previous three years are using 2014</t>
        </r>
      </text>
    </comment>
    <comment ref="AG15" authorId="2">
      <text>
        <r>
          <rPr>
            <b/>
            <sz val="9"/>
            <color indexed="81"/>
            <rFont val="Tahoma"/>
            <family val="2"/>
          </rPr>
          <t>Mains, Spencer (Research):</t>
        </r>
        <r>
          <rPr>
            <sz val="9"/>
            <color indexed="81"/>
            <rFont val="Tahoma"/>
            <family val="2"/>
          </rPr>
          <t xml:space="preserve">
Rolled out store tab to 2019 as well, but previous three years are using 2014</t>
        </r>
      </text>
    </comment>
    <comment ref="AH15" authorId="2">
      <text>
        <r>
          <rPr>
            <b/>
            <sz val="9"/>
            <color indexed="81"/>
            <rFont val="Tahoma"/>
            <family val="2"/>
          </rPr>
          <t>Mains, Spencer (Research):</t>
        </r>
        <r>
          <rPr>
            <sz val="9"/>
            <color indexed="81"/>
            <rFont val="Tahoma"/>
            <family val="2"/>
          </rPr>
          <t xml:space="preserve">
Rolled out store tab to 2019 as well, but previous three years are using 2014</t>
        </r>
      </text>
    </comment>
    <comment ref="P17" authorId="3">
      <text>
        <r>
          <rPr>
            <b/>
            <sz val="8"/>
            <color indexed="81"/>
            <rFont val="Tahoma"/>
            <family val="2"/>
          </rPr>
          <t>Kimberly Greenberger:</t>
        </r>
        <r>
          <rPr>
            <sz val="8"/>
            <color indexed="81"/>
            <rFont val="Tahoma"/>
            <family val="2"/>
          </rPr>
          <t xml:space="preserve">
7/04 confirmed 182 w/ Sherry</t>
        </r>
      </text>
    </comment>
    <comment ref="G19" authorId="4">
      <text>
        <r>
          <rPr>
            <b/>
            <sz val="8"/>
            <color indexed="81"/>
            <rFont val="Tahoma"/>
            <family val="2"/>
          </rPr>
          <t>lehman:</t>
        </r>
        <r>
          <rPr>
            <sz val="8"/>
            <color indexed="81"/>
            <rFont val="Tahoma"/>
            <family val="2"/>
          </rPr>
          <t xml:space="preserve">
Adjusted for acquisition of Marshalls</t>
        </r>
      </text>
    </comment>
    <comment ref="W19" authorId="1">
      <text>
        <r>
          <rPr>
            <b/>
            <sz val="8"/>
            <color indexed="81"/>
            <rFont val="Tahoma"/>
            <family val="2"/>
          </rPr>
          <t>lauraro:</t>
        </r>
        <r>
          <rPr>
            <sz val="8"/>
            <color indexed="81"/>
            <rFont val="Tahoma"/>
            <family val="2"/>
          </rPr>
          <t xml:space="preserve">
2/11: +115 ex AJW closures</t>
        </r>
      </text>
    </comment>
    <comment ref="R32" authorId="3">
      <text>
        <r>
          <rPr>
            <b/>
            <sz val="8"/>
            <color indexed="81"/>
            <rFont val="Tahoma"/>
            <family val="2"/>
          </rPr>
          <t>Kimberly Greenberger:</t>
        </r>
        <r>
          <rPr>
            <sz val="8"/>
            <color indexed="81"/>
            <rFont val="Tahoma"/>
            <family val="2"/>
          </rPr>
          <t xml:space="preserve">
4/05 10-K co. indicated 8% sq ft growth expect "for next several years"</t>
        </r>
      </text>
    </comment>
    <comment ref="S32" authorId="3">
      <text>
        <r>
          <rPr>
            <b/>
            <sz val="8"/>
            <color indexed="81"/>
            <rFont val="Tahoma"/>
            <family val="2"/>
          </rPr>
          <t>Kimberly Greenberger:</t>
        </r>
        <r>
          <rPr>
            <sz val="8"/>
            <color indexed="81"/>
            <rFont val="Tahoma"/>
            <family val="2"/>
          </rPr>
          <t xml:space="preserve">
2/07: expect 4% sq ft growth
4/05 10-K co. indicated 8% sq ft growth expect "for next several years"</t>
        </r>
      </text>
    </comment>
    <comment ref="T32" authorId="3">
      <text>
        <r>
          <rPr>
            <b/>
            <sz val="8"/>
            <color indexed="81"/>
            <rFont val="Tahoma"/>
            <family val="2"/>
          </rPr>
          <t>Kimberly Greenberger:</t>
        </r>
        <r>
          <rPr>
            <sz val="8"/>
            <color indexed="81"/>
            <rFont val="Tahoma"/>
            <family val="2"/>
          </rPr>
          <t xml:space="preserve">
2/07: expect 4% sq ft growth
4/05 10-K co. indicated 8% sq ft growth expect "for next several years"</t>
        </r>
      </text>
    </comment>
    <comment ref="U32" authorId="3">
      <text>
        <r>
          <rPr>
            <b/>
            <sz val="8"/>
            <color indexed="81"/>
            <rFont val="Tahoma"/>
            <family val="2"/>
          </rPr>
          <t>Kimberly Greenberger:</t>
        </r>
        <r>
          <rPr>
            <sz val="8"/>
            <color indexed="81"/>
            <rFont val="Tahoma"/>
            <family val="2"/>
          </rPr>
          <t xml:space="preserve">
4/09: expect 2% sq ft growth (+64 net new stores)
2/07: expect 4% sq ft growth
4/05 10-K co. indicated 8% sq ft growth expect "for next several years"</t>
        </r>
      </text>
    </comment>
    <comment ref="V32" authorId="5">
      <text>
        <r>
          <rPr>
            <b/>
            <sz val="10"/>
            <color indexed="81"/>
            <rFont val="Tahoma"/>
            <family val="2"/>
          </rPr>
          <t>mm98285:</t>
        </r>
        <r>
          <rPr>
            <sz val="10"/>
            <color indexed="81"/>
            <rFont val="Tahoma"/>
            <family val="2"/>
          </rPr>
          <t xml:space="preserve">
2/10: expect +5% sq ft growth
10/09: expect +4-5% annual square footage growth going forward</t>
        </r>
      </text>
    </comment>
    <comment ref="W32" authorId="6">
      <text>
        <r>
          <rPr>
            <b/>
            <sz val="8"/>
            <color indexed="81"/>
            <rFont val="Tahoma"/>
            <family val="2"/>
          </rPr>
          <t xml:space="preserve">2/11: </t>
        </r>
        <r>
          <rPr>
            <sz val="8"/>
            <color indexed="81"/>
            <rFont val="Tahoma"/>
            <family val="2"/>
          </rPr>
          <t xml:space="preserve">Exp 2% sq ftge growth all inclusive, 4% sq ftge growth ex AJW closures
</t>
        </r>
        <r>
          <rPr>
            <b/>
            <sz val="8"/>
            <color indexed="81"/>
            <rFont val="Tahoma"/>
            <family val="2"/>
          </rPr>
          <t>Margaret Marchant:</t>
        </r>
        <r>
          <rPr>
            <sz val="8"/>
            <color indexed="81"/>
            <rFont val="Tahoma"/>
            <family val="2"/>
          </rPr>
          <t xml:space="preserve">
8/10: expect 5-6% annual sq ft growth next 3-5 years</t>
        </r>
      </text>
    </comment>
    <comment ref="X32" authorId="6">
      <text>
        <r>
          <rPr>
            <b/>
            <sz val="8"/>
            <color indexed="81"/>
            <rFont val="Tahoma"/>
            <family val="2"/>
          </rPr>
          <t>Margaret Marchant:</t>
        </r>
        <r>
          <rPr>
            <sz val="8"/>
            <color indexed="81"/>
            <rFont val="Tahoma"/>
            <family val="2"/>
          </rPr>
          <t xml:space="preserve">
8/10: expect 5-6% annual sq ft growth next 3-5 years</t>
        </r>
      </text>
    </comment>
    <comment ref="Y32" authorId="6">
      <text>
        <r>
          <rPr>
            <b/>
            <sz val="8"/>
            <color indexed="81"/>
            <rFont val="Tahoma"/>
            <family val="2"/>
          </rPr>
          <t>Margaret Marchant:</t>
        </r>
        <r>
          <rPr>
            <sz val="8"/>
            <color indexed="81"/>
            <rFont val="Tahoma"/>
            <family val="2"/>
          </rPr>
          <t xml:space="preserve">
8/10: expect 5-6% annual sq ft growth next 3-5 years</t>
        </r>
      </text>
    </comment>
    <comment ref="Z32" authorId="6">
      <text>
        <r>
          <rPr>
            <b/>
            <sz val="8"/>
            <color indexed="81"/>
            <rFont val="Tahoma"/>
            <family val="2"/>
          </rPr>
          <t>Margaret Marchant:</t>
        </r>
        <r>
          <rPr>
            <sz val="8"/>
            <color indexed="81"/>
            <rFont val="Tahoma"/>
            <family val="2"/>
          </rPr>
          <t xml:space="preserve">
8/10: expect 5-6% annual sq ft growth next 3-5 years</t>
        </r>
      </text>
    </comment>
    <comment ref="AA32" authorId="6">
      <text>
        <r>
          <rPr>
            <b/>
            <sz val="8"/>
            <color indexed="81"/>
            <rFont val="Tahoma"/>
            <family val="2"/>
          </rPr>
          <t>Margaret Marchant:</t>
        </r>
        <r>
          <rPr>
            <sz val="8"/>
            <color indexed="81"/>
            <rFont val="Tahoma"/>
            <family val="2"/>
          </rPr>
          <t xml:space="preserve">
8/10: expect 5-6% annual sq ft growth next 3-5 years</t>
        </r>
      </text>
    </comment>
    <comment ref="AB32" authorId="6">
      <text>
        <r>
          <rPr>
            <b/>
            <sz val="8"/>
            <color indexed="81"/>
            <rFont val="Tahoma"/>
            <family val="2"/>
          </rPr>
          <t>Margaret Marchant:</t>
        </r>
        <r>
          <rPr>
            <sz val="8"/>
            <color indexed="81"/>
            <rFont val="Tahoma"/>
            <family val="2"/>
          </rPr>
          <t xml:space="preserve">
8/10: expect 5-6% annual sq ft growth next 3-5 years</t>
        </r>
      </text>
    </comment>
    <comment ref="P41" authorId="3">
      <text>
        <r>
          <rPr>
            <b/>
            <sz val="8"/>
            <color indexed="81"/>
            <rFont val="Tahoma"/>
            <family val="2"/>
          </rPr>
          <t>Kimberly Greenberger:</t>
        </r>
        <r>
          <rPr>
            <sz val="8"/>
            <color indexed="81"/>
            <rFont val="Tahoma"/>
            <family val="2"/>
          </rPr>
          <t xml:space="preserve">
10-K indicated 5% comp consolidated helped by 1.5% favorable currency impact.</t>
        </r>
      </text>
    </comment>
    <comment ref="S41" authorId="5">
      <text>
        <r>
          <rPr>
            <b/>
            <sz val="8"/>
            <color indexed="81"/>
            <rFont val="Tahoma"/>
            <family val="2"/>
          </rPr>
          <t>mm98285:</t>
        </r>
        <r>
          <rPr>
            <sz val="8"/>
            <color indexed="81"/>
            <rFont val="Tahoma"/>
            <family val="2"/>
          </rPr>
          <t xml:space="preserve">
2/07: expect 3% comp</t>
        </r>
      </text>
    </comment>
    <comment ref="T41" authorId="5">
      <text>
        <r>
          <rPr>
            <b/>
            <sz val="8"/>
            <color indexed="81"/>
            <rFont val="Tahoma"/>
            <family val="2"/>
          </rPr>
          <t>mm98285:</t>
        </r>
        <r>
          <rPr>
            <sz val="8"/>
            <color indexed="81"/>
            <rFont val="Tahoma"/>
            <family val="2"/>
          </rPr>
          <t xml:space="preserve">
2/07: expect 3% comp</t>
        </r>
      </text>
    </comment>
    <comment ref="U41" authorId="5">
      <text>
        <r>
          <rPr>
            <b/>
            <sz val="8"/>
            <color indexed="81"/>
            <rFont val="Tahoma"/>
            <family val="2"/>
          </rPr>
          <t>mm98285:</t>
        </r>
        <r>
          <rPr>
            <sz val="8"/>
            <color indexed="81"/>
            <rFont val="Tahoma"/>
            <family val="2"/>
          </rPr>
          <t xml:space="preserve">
2/07: expect 3% comp</t>
        </r>
      </text>
    </comment>
    <comment ref="Y46" authorId="1">
      <text>
        <r>
          <rPr>
            <b/>
            <sz val="8"/>
            <color indexed="81"/>
            <rFont val="Tahoma"/>
            <family val="2"/>
          </rPr>
          <t>lauraro:</t>
        </r>
        <r>
          <rPr>
            <sz val="8"/>
            <color indexed="81"/>
            <rFont val="Tahoma"/>
            <family val="2"/>
          </rPr>
          <t xml:space="preserve">
80%</t>
        </r>
      </text>
    </comment>
    <comment ref="Z46" authorId="1">
      <text>
        <r>
          <rPr>
            <b/>
            <sz val="8"/>
            <color indexed="81"/>
            <rFont val="Tahoma"/>
            <family val="2"/>
          </rPr>
          <t>lauraro:</t>
        </r>
        <r>
          <rPr>
            <sz val="8"/>
            <color indexed="81"/>
            <rFont val="Tahoma"/>
            <family val="2"/>
          </rPr>
          <t xml:space="preserve">
80%</t>
        </r>
      </text>
    </comment>
    <comment ref="AA46" authorId="1">
      <text>
        <r>
          <rPr>
            <b/>
            <sz val="8"/>
            <color indexed="81"/>
            <rFont val="Tahoma"/>
            <family val="2"/>
          </rPr>
          <t>lauraro:</t>
        </r>
        <r>
          <rPr>
            <sz val="8"/>
            <color indexed="81"/>
            <rFont val="Tahoma"/>
            <family val="2"/>
          </rPr>
          <t xml:space="preserve">
80%</t>
        </r>
      </text>
    </comment>
    <comment ref="P77" authorId="3">
      <text>
        <r>
          <rPr>
            <b/>
            <sz val="8"/>
            <color indexed="81"/>
            <rFont val="Tahoma"/>
            <family val="2"/>
          </rPr>
          <t>Kimberly Greenberger:</t>
        </r>
        <r>
          <rPr>
            <sz val="8"/>
            <color indexed="81"/>
            <rFont val="Tahoma"/>
            <family val="2"/>
          </rPr>
          <t xml:space="preserve">
303 TJ Maxx with expanded jewelry/acces's depts at year end 2004</t>
        </r>
      </text>
    </comment>
    <comment ref="P78" authorId="3">
      <text>
        <r>
          <rPr>
            <b/>
            <sz val="8"/>
            <color indexed="81"/>
            <rFont val="Tahoma"/>
            <family val="2"/>
          </rPr>
          <t>Kimberly Greenberger:</t>
        </r>
        <r>
          <rPr>
            <sz val="8"/>
            <color indexed="81"/>
            <rFont val="Tahoma"/>
            <family val="2"/>
          </rPr>
          <t xml:space="preserve">
67 Marshalls with expanded footwear depts at year end 2004</t>
        </r>
      </text>
    </comment>
    <comment ref="R80" authorId="5">
      <text>
        <r>
          <rPr>
            <b/>
            <sz val="8"/>
            <color indexed="81"/>
            <rFont val="Tahoma"/>
            <family val="2"/>
          </rPr>
          <t>mm98285:</t>
        </r>
        <r>
          <rPr>
            <sz val="8"/>
            <color indexed="81"/>
            <rFont val="Tahoma"/>
            <family val="2"/>
          </rPr>
          <t xml:space="preserve">
10K: expect to add net of 50 stores in '06</t>
        </r>
      </text>
    </comment>
    <comment ref="AE81" authorId="2">
      <text>
        <r>
          <rPr>
            <b/>
            <sz val="9"/>
            <color indexed="81"/>
            <rFont val="Tahoma"/>
            <family val="2"/>
          </rPr>
          <t>Mains, Spencer (Research):</t>
        </r>
        <r>
          <rPr>
            <sz val="9"/>
            <color indexed="81"/>
            <rFont val="Tahoma"/>
            <family val="2"/>
          </rPr>
          <t xml:space="preserve">
Rolled out Stores tab to 2019</t>
        </r>
      </text>
    </comment>
    <comment ref="K84" authorId="7">
      <text>
        <r>
          <rPr>
            <sz val="8"/>
            <color indexed="81"/>
            <rFont val="Tahoma"/>
            <family val="2"/>
          </rPr>
          <t>net openings</t>
        </r>
      </text>
    </comment>
    <comment ref="U92" authorId="3">
      <text>
        <r>
          <rPr>
            <b/>
            <sz val="8"/>
            <color indexed="81"/>
            <rFont val="Tahoma"/>
            <family val="2"/>
          </rPr>
          <t>Kimberly Greenberger:</t>
        </r>
        <r>
          <rPr>
            <sz val="8"/>
            <color indexed="81"/>
            <rFont val="Tahoma"/>
            <family val="2"/>
          </rPr>
          <t xml:space="preserve">
per 4/05 10-K co believes can have 1800 store potential at MarMaxx</t>
        </r>
      </text>
    </comment>
    <comment ref="V92" authorId="3">
      <text>
        <r>
          <rPr>
            <b/>
            <sz val="8"/>
            <color indexed="81"/>
            <rFont val="Tahoma"/>
            <family val="2"/>
          </rPr>
          <t>Kimberly Greenberger:</t>
        </r>
        <r>
          <rPr>
            <sz val="8"/>
            <color indexed="81"/>
            <rFont val="Tahoma"/>
            <family val="2"/>
          </rPr>
          <t xml:space="preserve">
per 4/05 10-K co believes can have 1800 store potential at MarMaxx</t>
        </r>
      </text>
    </comment>
    <comment ref="W92" authorId="1">
      <text>
        <r>
          <rPr>
            <b/>
            <sz val="8"/>
            <color indexed="81"/>
            <rFont val="Tahoma"/>
            <family val="2"/>
          </rPr>
          <t>lauraro:</t>
        </r>
        <r>
          <rPr>
            <sz val="8"/>
            <color indexed="81"/>
            <rFont val="Tahoma"/>
            <family val="2"/>
          </rPr>
          <t xml:space="preserve">
2/18/11: TJX believes potential to grow to 2300 to 2400 stores, 300 to 400 more than originally envisioned</t>
        </r>
      </text>
    </comment>
    <comment ref="AD130" authorId="0">
      <text>
        <r>
          <rPr>
            <b/>
            <sz val="9"/>
            <color indexed="81"/>
            <rFont val="Tahoma"/>
            <family val="2"/>
          </rPr>
          <t>Baglione, Gregory (Research):</t>
        </r>
        <r>
          <rPr>
            <sz val="9"/>
            <color indexed="81"/>
            <rFont val="Tahoma"/>
            <family val="2"/>
          </rPr>
          <t xml:space="preserve">
reversal of 53rd week ~1% sales boost to 2017 reverses in 2018.</t>
        </r>
      </text>
    </comment>
    <comment ref="U145" authorId="3">
      <text>
        <r>
          <rPr>
            <b/>
            <sz val="8"/>
            <color indexed="81"/>
            <rFont val="Tahoma"/>
            <family val="2"/>
          </rPr>
          <t>Kimberly Greenberger:</t>
        </r>
        <r>
          <rPr>
            <sz val="8"/>
            <color indexed="81"/>
            <rFont val="Tahoma"/>
            <family val="2"/>
          </rPr>
          <t xml:space="preserve">
per 4/05 10-K co indicated Winners store potential is 200 stores</t>
        </r>
      </text>
    </comment>
    <comment ref="V145" authorId="3">
      <text>
        <r>
          <rPr>
            <b/>
            <sz val="8"/>
            <color indexed="81"/>
            <rFont val="Tahoma"/>
            <family val="2"/>
          </rPr>
          <t>Kimberly Greenberger:</t>
        </r>
        <r>
          <rPr>
            <sz val="8"/>
            <color indexed="81"/>
            <rFont val="Tahoma"/>
            <family val="2"/>
          </rPr>
          <t xml:space="preserve">
per 4/05 10-K co indicated Winners store potential is 200 stores</t>
        </r>
      </text>
    </comment>
    <comment ref="U146" authorId="3">
      <text>
        <r>
          <rPr>
            <b/>
            <sz val="8"/>
            <color indexed="81"/>
            <rFont val="Tahoma"/>
            <family val="2"/>
          </rPr>
          <t>Kimberly Greenberger:</t>
        </r>
        <r>
          <rPr>
            <sz val="8"/>
            <color indexed="81"/>
            <rFont val="Tahoma"/>
            <family val="2"/>
          </rPr>
          <t xml:space="preserve">
per 4/05 10-K co indicated store potential for HS is 80 stores</t>
        </r>
      </text>
    </comment>
    <comment ref="V146" authorId="3">
      <text>
        <r>
          <rPr>
            <b/>
            <sz val="8"/>
            <color indexed="81"/>
            <rFont val="Tahoma"/>
            <family val="2"/>
          </rPr>
          <t>Kimberly Greenberger:</t>
        </r>
        <r>
          <rPr>
            <sz val="8"/>
            <color indexed="81"/>
            <rFont val="Tahoma"/>
            <family val="2"/>
          </rPr>
          <t xml:space="preserve">
per 4/05 10-K co indicated store potential for HS is 80 stores</t>
        </r>
      </text>
    </comment>
    <comment ref="R153" authorId="5">
      <text>
        <r>
          <rPr>
            <b/>
            <sz val="8"/>
            <color indexed="81"/>
            <rFont val="Tahoma"/>
            <family val="2"/>
          </rPr>
          <t>mm98285:</t>
        </r>
        <r>
          <rPr>
            <sz val="8"/>
            <color indexed="81"/>
            <rFont val="Tahoma"/>
            <family val="2"/>
          </rPr>
          <t xml:space="preserve">
10K: expect to add net of 11 stores in 06</t>
        </r>
      </text>
    </comment>
    <comment ref="R154" authorId="5">
      <text>
        <r>
          <rPr>
            <b/>
            <sz val="8"/>
            <color indexed="81"/>
            <rFont val="Tahoma"/>
            <family val="2"/>
          </rPr>
          <t>mm98285:</t>
        </r>
        <r>
          <rPr>
            <sz val="8"/>
            <color indexed="81"/>
            <rFont val="Tahoma"/>
            <family val="2"/>
          </rPr>
          <t xml:space="preserve">
10K expect to add net of 10 stores in 06</t>
        </r>
      </text>
    </comment>
    <comment ref="B156" authorId="4">
      <text>
        <r>
          <rPr>
            <b/>
            <sz val="8"/>
            <color indexed="81"/>
            <rFont val="Tahoma"/>
            <family val="2"/>
          </rPr>
          <t>lehman:</t>
        </r>
        <r>
          <rPr>
            <sz val="8"/>
            <color indexed="81"/>
            <rFont val="Tahoma"/>
            <family val="2"/>
          </rPr>
          <t xml:space="preserve">
Acquired Winners in 1990</t>
        </r>
      </text>
    </comment>
    <comment ref="A189" authorId="1">
      <text>
        <r>
          <rPr>
            <b/>
            <sz val="8"/>
            <color indexed="81"/>
            <rFont val="Tahoma"/>
            <family val="2"/>
          </rPr>
          <t>10K:</t>
        </r>
        <r>
          <rPr>
            <sz val="8"/>
            <color indexed="81"/>
            <rFont val="Tahoma"/>
            <family val="2"/>
          </rPr>
          <t xml:space="preserve">
T.K. Maxx chains in the U.K., Ireland, Germany, and Poland, and the HomeSense chain in the U.K.</t>
        </r>
      </text>
    </comment>
    <comment ref="R203" authorId="5">
      <text>
        <r>
          <rPr>
            <b/>
            <sz val="8"/>
            <color indexed="81"/>
            <rFont val="Tahoma"/>
            <family val="2"/>
          </rPr>
          <t>mm98285:</t>
        </r>
        <r>
          <rPr>
            <sz val="8"/>
            <color indexed="81"/>
            <rFont val="Tahoma"/>
            <family val="2"/>
          </rPr>
          <t xml:space="preserve">
10K expect to add net of 15 stores in 06</t>
        </r>
      </text>
    </comment>
    <comment ref="U204" authorId="3">
      <text>
        <r>
          <rPr>
            <b/>
            <sz val="8"/>
            <color indexed="81"/>
            <rFont val="Tahoma"/>
            <family val="2"/>
          </rPr>
          <t>Kimberly Greenberger:</t>
        </r>
        <r>
          <rPr>
            <sz val="8"/>
            <color indexed="81"/>
            <rFont val="Tahoma"/>
            <family val="2"/>
          </rPr>
          <t xml:space="preserve">
per 4/05 10-K, so indicated it has total store potential of 300 stores in Ireland and UK</t>
        </r>
      </text>
    </comment>
    <comment ref="V204" authorId="3">
      <text>
        <r>
          <rPr>
            <b/>
            <sz val="8"/>
            <color indexed="81"/>
            <rFont val="Tahoma"/>
            <family val="2"/>
          </rPr>
          <t xml:space="preserve">10K: </t>
        </r>
        <r>
          <rPr>
            <sz val="8"/>
            <color indexed="81"/>
            <rFont val="Tahoma"/>
            <family val="2"/>
          </rPr>
          <t>307 TKMaxx; 24 HomeSense</t>
        </r>
      </text>
    </comment>
    <comment ref="AC228" authorId="8">
      <text>
        <r>
          <rPr>
            <b/>
            <sz val="9"/>
            <color indexed="81"/>
            <rFont val="Tahoma"/>
            <family val="2"/>
          </rPr>
          <t>Baglione, Gregory  (Research):</t>
        </r>
        <r>
          <rPr>
            <sz val="9"/>
            <color indexed="81"/>
            <rFont val="Tahoma"/>
            <family val="2"/>
          </rPr>
          <t xml:space="preserve">
11/16/16
Assumes pound de valuation drives 7% sales headwind in 2017, largely offseting 11% square footage growth  at 60-70% NSP. 
</t>
        </r>
      </text>
    </comment>
    <comment ref="R245" authorId="5">
      <text>
        <r>
          <rPr>
            <b/>
            <sz val="8"/>
            <color indexed="81"/>
            <rFont val="Tahoma"/>
            <family val="2"/>
          </rPr>
          <t>mm98285:</t>
        </r>
        <r>
          <rPr>
            <sz val="8"/>
            <color indexed="81"/>
            <rFont val="Tahoma"/>
            <family val="2"/>
          </rPr>
          <t xml:space="preserve">
10K: expect to open net 10 stores in 06</t>
        </r>
      </text>
    </comment>
    <comment ref="Q246" authorId="5">
      <text>
        <r>
          <rPr>
            <b/>
            <sz val="8"/>
            <color indexed="81"/>
            <rFont val="Tahoma"/>
            <family val="2"/>
          </rPr>
          <t>mm98285:</t>
        </r>
        <r>
          <rPr>
            <sz val="8"/>
            <color indexed="81"/>
            <rFont val="Tahoma"/>
            <family val="2"/>
          </rPr>
          <t xml:space="preserve">
140 stand-alone and 111 superstores</t>
        </r>
      </text>
    </comment>
    <comment ref="U246" authorId="3">
      <text>
        <r>
          <rPr>
            <b/>
            <sz val="8"/>
            <color indexed="81"/>
            <rFont val="Tahoma"/>
            <family val="2"/>
          </rPr>
          <t>Kimberly Greenberger:</t>
        </r>
        <r>
          <rPr>
            <sz val="8"/>
            <color indexed="81"/>
            <rFont val="Tahoma"/>
            <family val="2"/>
          </rPr>
          <t xml:space="preserve">
per 4/05 10-K co believes can have 650 store potential at HomeGoods</t>
        </r>
      </text>
    </comment>
    <comment ref="V246" authorId="3">
      <text>
        <r>
          <rPr>
            <b/>
            <sz val="8"/>
            <color indexed="81"/>
            <rFont val="Tahoma"/>
            <family val="2"/>
          </rPr>
          <t>Kimberly Greenberger:</t>
        </r>
        <r>
          <rPr>
            <sz val="8"/>
            <color indexed="81"/>
            <rFont val="Tahoma"/>
            <family val="2"/>
          </rPr>
          <t xml:space="preserve">
per 4/05 10-K co believes can have 650 store potential at HomeGoods</t>
        </r>
      </text>
    </comment>
    <comment ref="AC270" authorId="0">
      <text>
        <r>
          <rPr>
            <b/>
            <sz val="9"/>
            <color indexed="81"/>
            <rFont val="Tahoma"/>
            <family val="2"/>
          </rPr>
          <t>Baglione, Gregory (Research):</t>
        </r>
        <r>
          <rPr>
            <sz val="9"/>
            <color indexed="81"/>
            <rFont val="Tahoma"/>
            <family val="2"/>
          </rPr>
          <t xml:space="preserve">
Increasing to 95% to account for 53rd week.</t>
        </r>
      </text>
    </comment>
    <comment ref="R285" authorId="5">
      <text>
        <r>
          <rPr>
            <b/>
            <sz val="8"/>
            <color indexed="81"/>
            <rFont val="Tahoma"/>
            <family val="2"/>
          </rPr>
          <t>mm98285:</t>
        </r>
        <r>
          <rPr>
            <sz val="8"/>
            <color indexed="81"/>
            <rFont val="Tahoma"/>
            <family val="2"/>
          </rPr>
          <t xml:space="preserve">
10K expect to add net of 8 stores in 06</t>
        </r>
      </text>
    </comment>
    <comment ref="U287" authorId="3">
      <text>
        <r>
          <rPr>
            <b/>
            <sz val="8"/>
            <color indexed="81"/>
            <rFont val="Tahoma"/>
            <family val="2"/>
          </rPr>
          <t>Kimberly Greenberger:</t>
        </r>
        <r>
          <rPr>
            <sz val="8"/>
            <color indexed="81"/>
            <rFont val="Tahoma"/>
            <family val="2"/>
          </rPr>
          <t xml:space="preserve">
per 4/05 10-K co believes total store potential is over 1,000</t>
        </r>
      </text>
    </comment>
    <comment ref="V287" authorId="3">
      <text>
        <r>
          <rPr>
            <b/>
            <sz val="8"/>
            <color indexed="81"/>
            <rFont val="Tahoma"/>
            <family val="2"/>
          </rPr>
          <t>Kimberly Greenberger:</t>
        </r>
        <r>
          <rPr>
            <sz val="8"/>
            <color indexed="81"/>
            <rFont val="Tahoma"/>
            <family val="2"/>
          </rPr>
          <t xml:space="preserve">
per 4/05 10-K co believes total store potential is over 1,000</t>
        </r>
      </text>
    </comment>
    <comment ref="S309" authorId="9">
      <text>
        <r>
          <rPr>
            <b/>
            <sz val="8"/>
            <color indexed="81"/>
            <rFont val="Tahoma"/>
            <family val="2"/>
          </rPr>
          <t>10/26: linked back to previous year (otherwise this is an error)</t>
        </r>
      </text>
    </comment>
    <comment ref="R326" authorId="5">
      <text>
        <r>
          <rPr>
            <b/>
            <sz val="8"/>
            <color indexed="81"/>
            <rFont val="Tahoma"/>
            <family val="2"/>
          </rPr>
          <t>mm98285:</t>
        </r>
        <r>
          <rPr>
            <sz val="8"/>
            <color indexed="81"/>
            <rFont val="Tahoma"/>
            <family val="2"/>
          </rPr>
          <t xml:space="preserve">
10K expect to open one store in 06</t>
        </r>
      </text>
    </comment>
    <comment ref="U328" authorId="3">
      <text>
        <r>
          <rPr>
            <b/>
            <sz val="8"/>
            <color indexed="81"/>
            <rFont val="Tahoma"/>
            <family val="2"/>
          </rPr>
          <t>Kimberly Greenberger:</t>
        </r>
        <r>
          <rPr>
            <sz val="8"/>
            <color indexed="81"/>
            <rFont val="Tahoma"/>
            <family val="2"/>
          </rPr>
          <t xml:space="preserve">
per 4/05 10-K co believes total store potential is 400</t>
        </r>
      </text>
    </comment>
    <comment ref="V328" authorId="3">
      <text>
        <r>
          <rPr>
            <b/>
            <sz val="8"/>
            <color indexed="81"/>
            <rFont val="Tahoma"/>
            <family val="2"/>
          </rPr>
          <t>Kimberly Greenberger:</t>
        </r>
        <r>
          <rPr>
            <sz val="8"/>
            <color indexed="81"/>
            <rFont val="Tahoma"/>
            <family val="2"/>
          </rPr>
          <t xml:space="preserve">
per 4/05 10-K co believes total store potential is 400</t>
        </r>
      </text>
    </comment>
    <comment ref="T350" authorId="9">
      <text>
        <r>
          <rPr>
            <b/>
            <sz val="8"/>
            <color indexed="81"/>
            <rFont val="Tahoma"/>
            <family val="2"/>
          </rPr>
          <t>10/26: linked back to previous year (otherwise this is an error)</t>
        </r>
      </text>
    </comment>
  </commentList>
</comments>
</file>

<file path=xl/comments9.xml><?xml version="1.0" encoding="utf-8"?>
<comments xmlns="http://schemas.openxmlformats.org/spreadsheetml/2006/main">
  <authors>
    <author>balskyh</author>
    <author>lehman</author>
    <author>duol</author>
    <author>mm98285</author>
    <author>Kimberly Greenberger</author>
    <author>Morry Brown</author>
  </authors>
  <commentList>
    <comment ref="AX12" authorId="0">
      <text>
        <r>
          <rPr>
            <b/>
            <sz val="8"/>
            <color indexed="81"/>
            <rFont val="Tahoma"/>
            <family val="2"/>
          </rPr>
          <t xml:space="preserve">8/14/2012: </t>
        </r>
        <r>
          <rPr>
            <sz val="8"/>
            <color indexed="81"/>
            <rFont val="Tahoma"/>
            <family val="2"/>
          </rPr>
          <t>Inv down y/y</t>
        </r>
      </text>
    </comment>
    <comment ref="P14" authorId="1">
      <text>
        <r>
          <rPr>
            <b/>
            <sz val="8"/>
            <color indexed="81"/>
            <rFont val="Tahoma"/>
            <family val="2"/>
          </rPr>
          <t>lehman:</t>
        </r>
        <r>
          <rPr>
            <sz val="8"/>
            <color indexed="81"/>
            <rFont val="Tahoma"/>
            <family val="2"/>
          </rPr>
          <t xml:space="preserve">
incl assets of discontinued ops 76.287</t>
        </r>
      </text>
    </comment>
    <comment ref="R14" authorId="1">
      <text>
        <r>
          <rPr>
            <b/>
            <sz val="8"/>
            <color indexed="81"/>
            <rFont val="Tahoma"/>
            <family val="2"/>
          </rPr>
          <t>lehman:</t>
        </r>
        <r>
          <rPr>
            <sz val="8"/>
            <color indexed="81"/>
            <rFont val="Tahoma"/>
            <family val="2"/>
          </rPr>
          <t xml:space="preserve">
54.451 is current assets of discontinued operations</t>
        </r>
      </text>
    </comment>
    <comment ref="AZ21" authorId="2">
      <text>
        <r>
          <rPr>
            <b/>
            <sz val="8"/>
            <color indexed="81"/>
            <rFont val="Tahoma"/>
            <family val="2"/>
          </rPr>
          <t>2/26/14: details not broken out</t>
        </r>
        <r>
          <rPr>
            <sz val="8"/>
            <color indexed="81"/>
            <rFont val="Tahoma"/>
            <family val="2"/>
          </rPr>
          <t xml:space="preserve">
</t>
        </r>
      </text>
    </comment>
    <comment ref="BB21" authorId="2">
      <text>
        <r>
          <rPr>
            <b/>
            <sz val="8"/>
            <color indexed="81"/>
            <rFont val="Tahoma"/>
            <family val="2"/>
          </rPr>
          <t>2/26/14: details not broken out</t>
        </r>
        <r>
          <rPr>
            <sz val="8"/>
            <color indexed="81"/>
            <rFont val="Tahoma"/>
            <family val="2"/>
          </rPr>
          <t xml:space="preserve">
</t>
        </r>
      </text>
    </comment>
    <comment ref="AP23" authorId="3">
      <text>
        <r>
          <rPr>
            <b/>
            <sz val="8"/>
            <color indexed="81"/>
            <rFont val="Tahoma"/>
            <family val="2"/>
          </rPr>
          <t>mm98285:</t>
        </r>
        <r>
          <rPr>
            <sz val="8"/>
            <color indexed="81"/>
            <rFont val="Tahoma"/>
            <family val="2"/>
          </rPr>
          <t xml:space="preserve">
8/08: subtracted $23mm from sale of bob's so that B/S would balance</t>
        </r>
      </text>
    </comment>
    <comment ref="AH34" authorId="4">
      <text>
        <r>
          <rPr>
            <b/>
            <sz val="8"/>
            <color indexed="81"/>
            <rFont val="Tahoma"/>
            <family val="2"/>
          </rPr>
          <t>Kimberly Greenberger:</t>
        </r>
        <r>
          <rPr>
            <sz val="8"/>
            <color indexed="81"/>
            <rFont val="Tahoma"/>
            <family val="2"/>
          </rPr>
          <t xml:space="preserve">
see debt schedule below</t>
        </r>
      </text>
    </comment>
    <comment ref="AJ34" authorId="4">
      <text>
        <r>
          <rPr>
            <b/>
            <sz val="8"/>
            <color indexed="81"/>
            <rFont val="Tahoma"/>
            <family val="2"/>
          </rPr>
          <t>Kimberly Greenberger:</t>
        </r>
        <r>
          <rPr>
            <sz val="8"/>
            <color indexed="81"/>
            <rFont val="Tahoma"/>
            <family val="2"/>
          </rPr>
          <t xml:space="preserve">
see debt schedule below</t>
        </r>
      </text>
    </comment>
    <comment ref="AL34" authorId="4">
      <text>
        <r>
          <rPr>
            <b/>
            <sz val="8"/>
            <color indexed="81"/>
            <rFont val="Tahoma"/>
            <family val="2"/>
          </rPr>
          <t>Kimberly Greenberger:</t>
        </r>
        <r>
          <rPr>
            <sz val="8"/>
            <color indexed="81"/>
            <rFont val="Tahoma"/>
            <family val="2"/>
          </rPr>
          <t xml:space="preserve">
see debt schedule below</t>
        </r>
      </text>
    </comment>
    <comment ref="AN34" authorId="4">
      <text>
        <r>
          <rPr>
            <b/>
            <sz val="8"/>
            <color indexed="81"/>
            <rFont val="Tahoma"/>
            <family val="2"/>
          </rPr>
          <t>Kimberly Greenberger:</t>
        </r>
        <r>
          <rPr>
            <sz val="8"/>
            <color indexed="81"/>
            <rFont val="Tahoma"/>
            <family val="2"/>
          </rPr>
          <t xml:space="preserve">
see debt schedule below</t>
        </r>
      </text>
    </comment>
    <comment ref="AP34" authorId="3">
      <text>
        <r>
          <rPr>
            <b/>
            <sz val="8"/>
            <color indexed="81"/>
            <rFont val="Tahoma"/>
            <family val="2"/>
          </rPr>
          <t>mm98285:</t>
        </r>
        <r>
          <rPr>
            <sz val="8"/>
            <color indexed="81"/>
            <rFont val="Tahoma"/>
            <family val="2"/>
          </rPr>
          <t xml:space="preserve">
$200mm unsecured note is due in December 2009 and the C$235mm term credit facility is due in January 2010</t>
        </r>
      </text>
    </comment>
    <comment ref="M35" authorId="4">
      <text>
        <r>
          <rPr>
            <b/>
            <sz val="8"/>
            <color indexed="81"/>
            <rFont val="Tahoma"/>
            <family val="2"/>
          </rPr>
          <t>Kimberly Greenberger:</t>
        </r>
        <r>
          <rPr>
            <sz val="8"/>
            <color indexed="81"/>
            <rFont val="Tahoma"/>
            <family val="2"/>
          </rPr>
          <t xml:space="preserve">
This was Income Taxes Payable, NOT Current Deferred Income Taxes</t>
        </r>
      </text>
    </comment>
    <comment ref="AP39" authorId="3">
      <text>
        <r>
          <rPr>
            <b/>
            <sz val="8"/>
            <color indexed="81"/>
            <rFont val="Tahoma"/>
            <family val="2"/>
          </rPr>
          <t>mm98285:</t>
        </r>
        <r>
          <rPr>
            <sz val="8"/>
            <color indexed="81"/>
            <rFont val="Tahoma"/>
            <family val="2"/>
          </rPr>
          <t xml:space="preserve">
10K: Zero coupon convertible subordinated notes due 2/13/2021 (net of reduction of unamortized debt discount of $99,360 and $118,625 in '08 &amp; '07, respectively) </t>
        </r>
      </text>
    </comment>
    <comment ref="AR39" authorId="3">
      <text>
        <r>
          <rPr>
            <b/>
            <sz val="8"/>
            <color indexed="81"/>
            <rFont val="Tahoma"/>
            <family val="2"/>
          </rPr>
          <t xml:space="preserve">lr73192:
</t>
        </r>
        <r>
          <rPr>
            <sz val="8"/>
            <color indexed="81"/>
            <rFont val="Tahoma"/>
            <family val="2"/>
          </rPr>
          <t>See RepoNotes tab
$400mm 4.2% due 2015
$374mm 6.98% due 2019</t>
        </r>
      </text>
    </comment>
    <comment ref="AD51" authorId="4">
      <text>
        <r>
          <rPr>
            <b/>
            <sz val="8"/>
            <color indexed="81"/>
            <rFont val="Tahoma"/>
            <family val="2"/>
          </rPr>
          <t>Kimberly Greenberger:</t>
        </r>
        <r>
          <rPr>
            <sz val="8"/>
            <color indexed="81"/>
            <rFont val="Tahoma"/>
            <family val="2"/>
          </rPr>
          <t xml:space="preserve">
equity deal?</t>
        </r>
      </text>
    </comment>
    <comment ref="R54" authorId="1">
      <text>
        <r>
          <rPr>
            <b/>
            <sz val="8"/>
            <color indexed="81"/>
            <rFont val="Tahoma"/>
            <family val="2"/>
          </rPr>
          <t>lehman:</t>
        </r>
        <r>
          <rPr>
            <sz val="8"/>
            <color indexed="81"/>
            <rFont val="Tahoma"/>
            <family val="2"/>
          </rPr>
          <t xml:space="preserve">
included in additional paid in capital</t>
        </r>
      </text>
    </comment>
    <comment ref="AJ96" authorId="5">
      <text>
        <r>
          <rPr>
            <b/>
            <sz val="8"/>
            <color indexed="81"/>
            <rFont val="Tahoma"/>
            <family val="2"/>
          </rPr>
          <t>Morry Brown:</t>
        </r>
        <r>
          <rPr>
            <sz val="8"/>
            <color indexed="81"/>
            <rFont val="Tahoma"/>
            <family val="2"/>
          </rPr>
          <t xml:space="preserve">
Used 20% growth rate, inline with last 4-5 years</t>
        </r>
      </text>
    </comment>
    <comment ref="AL96" authorId="5">
      <text>
        <r>
          <rPr>
            <b/>
            <sz val="8"/>
            <color indexed="81"/>
            <rFont val="Tahoma"/>
            <family val="2"/>
          </rPr>
          <t>Morry Brown:</t>
        </r>
        <r>
          <rPr>
            <sz val="8"/>
            <color indexed="81"/>
            <rFont val="Tahoma"/>
            <family val="2"/>
          </rPr>
          <t xml:space="preserve">
Used 20% growth rate, inline with last 4-5 years</t>
        </r>
      </text>
    </comment>
    <comment ref="AN96" authorId="5">
      <text>
        <r>
          <rPr>
            <b/>
            <sz val="8"/>
            <color indexed="81"/>
            <rFont val="Tahoma"/>
            <family val="2"/>
          </rPr>
          <t>Morry Brown:</t>
        </r>
        <r>
          <rPr>
            <sz val="8"/>
            <color indexed="81"/>
            <rFont val="Tahoma"/>
            <family val="2"/>
          </rPr>
          <t xml:space="preserve">
Used 20% growth rate, inline with last 4-5 years</t>
        </r>
      </text>
    </comment>
    <comment ref="AP96" authorId="5">
      <text>
        <r>
          <rPr>
            <b/>
            <sz val="8"/>
            <color indexed="81"/>
            <rFont val="Tahoma"/>
            <family val="2"/>
          </rPr>
          <t>Morry Brown:</t>
        </r>
        <r>
          <rPr>
            <sz val="8"/>
            <color indexed="81"/>
            <rFont val="Tahoma"/>
            <family val="2"/>
          </rPr>
          <t xml:space="preserve">
Used 20% growth rate, inline with last 4-5 years</t>
        </r>
      </text>
    </comment>
    <comment ref="AR96" authorId="5">
      <text>
        <r>
          <rPr>
            <b/>
            <sz val="8"/>
            <color indexed="81"/>
            <rFont val="Tahoma"/>
            <family val="2"/>
          </rPr>
          <t>Morry Brown:</t>
        </r>
        <r>
          <rPr>
            <sz val="8"/>
            <color indexed="81"/>
            <rFont val="Tahoma"/>
            <family val="2"/>
          </rPr>
          <t xml:space="preserve">
Used 20% growth rate, inline with last 4-5 years</t>
        </r>
      </text>
    </comment>
    <comment ref="AT96" authorId="5">
      <text>
        <r>
          <rPr>
            <b/>
            <sz val="8"/>
            <color indexed="81"/>
            <rFont val="Tahoma"/>
            <family val="2"/>
          </rPr>
          <t>Morry Brown:</t>
        </r>
        <r>
          <rPr>
            <sz val="8"/>
            <color indexed="81"/>
            <rFont val="Tahoma"/>
            <family val="2"/>
          </rPr>
          <t xml:space="preserve">
Used 20% growth rate, inline with last 4-5 years</t>
        </r>
      </text>
    </comment>
    <comment ref="AV96" authorId="5">
      <text>
        <r>
          <rPr>
            <b/>
            <sz val="8"/>
            <color indexed="81"/>
            <rFont val="Tahoma"/>
            <family val="2"/>
          </rPr>
          <t>Morry Brown:</t>
        </r>
        <r>
          <rPr>
            <sz val="8"/>
            <color indexed="81"/>
            <rFont val="Tahoma"/>
            <family val="2"/>
          </rPr>
          <t xml:space="preserve">
Used 20% growth rate, inline with last 4-5 years</t>
        </r>
      </text>
    </comment>
    <comment ref="AX96" authorId="5">
      <text>
        <r>
          <rPr>
            <b/>
            <sz val="8"/>
            <color indexed="81"/>
            <rFont val="Tahoma"/>
            <family val="2"/>
          </rPr>
          <t>Morry Brown:</t>
        </r>
        <r>
          <rPr>
            <sz val="8"/>
            <color indexed="81"/>
            <rFont val="Tahoma"/>
            <family val="2"/>
          </rPr>
          <t xml:space="preserve">
Used 20% growth rate, inline with last 4-5 years</t>
        </r>
      </text>
    </comment>
    <comment ref="AZ96" authorId="5">
      <text>
        <r>
          <rPr>
            <b/>
            <sz val="8"/>
            <color indexed="81"/>
            <rFont val="Tahoma"/>
            <family val="2"/>
          </rPr>
          <t>Morry Brown:</t>
        </r>
        <r>
          <rPr>
            <sz val="8"/>
            <color indexed="81"/>
            <rFont val="Tahoma"/>
            <family val="2"/>
          </rPr>
          <t xml:space="preserve">
Used 20% growth rate, inline with last 4-5 years</t>
        </r>
      </text>
    </comment>
    <comment ref="BB96" authorId="5">
      <text>
        <r>
          <rPr>
            <b/>
            <sz val="8"/>
            <color indexed="81"/>
            <rFont val="Tahoma"/>
            <family val="2"/>
          </rPr>
          <t>Morry Brown:</t>
        </r>
        <r>
          <rPr>
            <sz val="8"/>
            <color indexed="81"/>
            <rFont val="Tahoma"/>
            <family val="2"/>
          </rPr>
          <t xml:space="preserve">
Used 20% growth rate, inline with last 4-5 years</t>
        </r>
      </text>
    </comment>
    <comment ref="BD96" authorId="5">
      <text>
        <r>
          <rPr>
            <b/>
            <sz val="8"/>
            <color indexed="81"/>
            <rFont val="Tahoma"/>
            <family val="2"/>
          </rPr>
          <t>Morry Brown:</t>
        </r>
        <r>
          <rPr>
            <sz val="8"/>
            <color indexed="81"/>
            <rFont val="Tahoma"/>
            <family val="2"/>
          </rPr>
          <t xml:space="preserve">
Used 20% growth rate, inline with last 4-5 years</t>
        </r>
      </text>
    </comment>
    <comment ref="BF96" authorId="5">
      <text>
        <r>
          <rPr>
            <b/>
            <sz val="8"/>
            <color indexed="81"/>
            <rFont val="Tahoma"/>
            <family val="2"/>
          </rPr>
          <t>Morry Brown:</t>
        </r>
        <r>
          <rPr>
            <sz val="8"/>
            <color indexed="81"/>
            <rFont val="Tahoma"/>
            <family val="2"/>
          </rPr>
          <t xml:space="preserve">
Used 20% growth rate, inline with last 4-5 years</t>
        </r>
      </text>
    </comment>
    <comment ref="BH96" authorId="5">
      <text>
        <r>
          <rPr>
            <b/>
            <sz val="8"/>
            <color indexed="81"/>
            <rFont val="Tahoma"/>
            <family val="2"/>
          </rPr>
          <t>Morry Brown:</t>
        </r>
        <r>
          <rPr>
            <sz val="8"/>
            <color indexed="81"/>
            <rFont val="Tahoma"/>
            <family val="2"/>
          </rPr>
          <t xml:space="preserve">
Used 20% growth rate, inline with last 4-5 years</t>
        </r>
      </text>
    </comment>
    <comment ref="BJ96" authorId="5">
      <text>
        <r>
          <rPr>
            <b/>
            <sz val="8"/>
            <color indexed="81"/>
            <rFont val="Tahoma"/>
            <family val="2"/>
          </rPr>
          <t>Morry Brown:</t>
        </r>
        <r>
          <rPr>
            <sz val="8"/>
            <color indexed="81"/>
            <rFont val="Tahoma"/>
            <family val="2"/>
          </rPr>
          <t xml:space="preserve">
Used 20% growth rate, inline with last 4-5 years</t>
        </r>
      </text>
    </comment>
    <comment ref="AJ97" authorId="5">
      <text>
        <r>
          <rPr>
            <b/>
            <sz val="8"/>
            <color indexed="81"/>
            <rFont val="Tahoma"/>
            <family val="2"/>
          </rPr>
          <t>Morry Brown:</t>
        </r>
        <r>
          <rPr>
            <sz val="8"/>
            <color indexed="81"/>
            <rFont val="Tahoma"/>
            <family val="2"/>
          </rPr>
          <t xml:space="preserve">
Used 20% growth rate, inline with last 4-5 years</t>
        </r>
      </text>
    </comment>
    <comment ref="AL97" authorId="5">
      <text>
        <r>
          <rPr>
            <b/>
            <sz val="8"/>
            <color indexed="81"/>
            <rFont val="Tahoma"/>
            <family val="2"/>
          </rPr>
          <t>Morry Brown:</t>
        </r>
        <r>
          <rPr>
            <sz val="8"/>
            <color indexed="81"/>
            <rFont val="Tahoma"/>
            <family val="2"/>
          </rPr>
          <t xml:space="preserve">
Used 20% growth rate, inline with last 4-5 years</t>
        </r>
      </text>
    </comment>
    <comment ref="AN97" authorId="5">
      <text>
        <r>
          <rPr>
            <b/>
            <sz val="8"/>
            <color indexed="81"/>
            <rFont val="Tahoma"/>
            <family val="2"/>
          </rPr>
          <t>Morry Brown:</t>
        </r>
        <r>
          <rPr>
            <sz val="8"/>
            <color indexed="81"/>
            <rFont val="Tahoma"/>
            <family val="2"/>
          </rPr>
          <t xml:space="preserve">
Used 20% growth rate, inline with last 4-5 years</t>
        </r>
      </text>
    </comment>
    <comment ref="AP97" authorId="5">
      <text>
        <r>
          <rPr>
            <b/>
            <sz val="8"/>
            <color indexed="81"/>
            <rFont val="Tahoma"/>
            <family val="2"/>
          </rPr>
          <t>Morry Brown:</t>
        </r>
        <r>
          <rPr>
            <sz val="8"/>
            <color indexed="81"/>
            <rFont val="Tahoma"/>
            <family val="2"/>
          </rPr>
          <t xml:space="preserve">
Used 20% growth rate, inline with last 4-5 years</t>
        </r>
      </text>
    </comment>
    <comment ref="AR97" authorId="5">
      <text>
        <r>
          <rPr>
            <b/>
            <sz val="8"/>
            <color indexed="81"/>
            <rFont val="Tahoma"/>
            <family val="2"/>
          </rPr>
          <t>Morry Brown:</t>
        </r>
        <r>
          <rPr>
            <sz val="8"/>
            <color indexed="81"/>
            <rFont val="Tahoma"/>
            <family val="2"/>
          </rPr>
          <t xml:space="preserve">
Used 20% growth rate, inline with last 4-5 years</t>
        </r>
      </text>
    </comment>
    <comment ref="AT97" authorId="5">
      <text>
        <r>
          <rPr>
            <b/>
            <sz val="8"/>
            <color indexed="81"/>
            <rFont val="Tahoma"/>
            <family val="2"/>
          </rPr>
          <t>Morry Brown:</t>
        </r>
        <r>
          <rPr>
            <sz val="8"/>
            <color indexed="81"/>
            <rFont val="Tahoma"/>
            <family val="2"/>
          </rPr>
          <t xml:space="preserve">
Used 20% growth rate, inline with last 4-5 years</t>
        </r>
      </text>
    </comment>
    <comment ref="AV97" authorId="5">
      <text>
        <r>
          <rPr>
            <b/>
            <sz val="8"/>
            <color indexed="81"/>
            <rFont val="Tahoma"/>
            <family val="2"/>
          </rPr>
          <t>Morry Brown:</t>
        </r>
        <r>
          <rPr>
            <sz val="8"/>
            <color indexed="81"/>
            <rFont val="Tahoma"/>
            <family val="2"/>
          </rPr>
          <t xml:space="preserve">
Used 20% growth rate, inline with last 4-5 years</t>
        </r>
      </text>
    </comment>
    <comment ref="AX97" authorId="5">
      <text>
        <r>
          <rPr>
            <b/>
            <sz val="8"/>
            <color indexed="81"/>
            <rFont val="Tahoma"/>
            <family val="2"/>
          </rPr>
          <t>Morry Brown:</t>
        </r>
        <r>
          <rPr>
            <sz val="8"/>
            <color indexed="81"/>
            <rFont val="Tahoma"/>
            <family val="2"/>
          </rPr>
          <t xml:space="preserve">
Used 20% growth rate, inline with last 4-5 years</t>
        </r>
      </text>
    </comment>
    <comment ref="AZ97" authorId="5">
      <text>
        <r>
          <rPr>
            <b/>
            <sz val="8"/>
            <color indexed="81"/>
            <rFont val="Tahoma"/>
            <family val="2"/>
          </rPr>
          <t>Morry Brown:</t>
        </r>
        <r>
          <rPr>
            <sz val="8"/>
            <color indexed="81"/>
            <rFont val="Tahoma"/>
            <family val="2"/>
          </rPr>
          <t xml:space="preserve">
Used 20% growth rate, inline with last 4-5 years</t>
        </r>
      </text>
    </comment>
    <comment ref="BB97" authorId="5">
      <text>
        <r>
          <rPr>
            <b/>
            <sz val="8"/>
            <color indexed="81"/>
            <rFont val="Tahoma"/>
            <family val="2"/>
          </rPr>
          <t>Morry Brown:</t>
        </r>
        <r>
          <rPr>
            <sz val="8"/>
            <color indexed="81"/>
            <rFont val="Tahoma"/>
            <family val="2"/>
          </rPr>
          <t xml:space="preserve">
Used 20% growth rate, inline with last 4-5 years</t>
        </r>
      </text>
    </comment>
    <comment ref="BD97" authorId="5">
      <text>
        <r>
          <rPr>
            <b/>
            <sz val="8"/>
            <color indexed="81"/>
            <rFont val="Tahoma"/>
            <family val="2"/>
          </rPr>
          <t>Morry Brown:</t>
        </r>
        <r>
          <rPr>
            <sz val="8"/>
            <color indexed="81"/>
            <rFont val="Tahoma"/>
            <family val="2"/>
          </rPr>
          <t xml:space="preserve">
Used 20% growth rate, inline with last 4-5 years</t>
        </r>
      </text>
    </comment>
    <comment ref="BF97" authorId="5">
      <text>
        <r>
          <rPr>
            <b/>
            <sz val="8"/>
            <color indexed="81"/>
            <rFont val="Tahoma"/>
            <family val="2"/>
          </rPr>
          <t>Morry Brown:</t>
        </r>
        <r>
          <rPr>
            <sz val="8"/>
            <color indexed="81"/>
            <rFont val="Tahoma"/>
            <family val="2"/>
          </rPr>
          <t xml:space="preserve">
Used 20% growth rate, inline with last 4-5 years</t>
        </r>
      </text>
    </comment>
    <comment ref="BH97" authorId="5">
      <text>
        <r>
          <rPr>
            <b/>
            <sz val="8"/>
            <color indexed="81"/>
            <rFont val="Tahoma"/>
            <family val="2"/>
          </rPr>
          <t>Morry Brown:</t>
        </r>
        <r>
          <rPr>
            <sz val="8"/>
            <color indexed="81"/>
            <rFont val="Tahoma"/>
            <family val="2"/>
          </rPr>
          <t xml:space="preserve">
Used 20% growth rate, inline with last 4-5 years</t>
        </r>
      </text>
    </comment>
    <comment ref="BJ97" authorId="5">
      <text>
        <r>
          <rPr>
            <b/>
            <sz val="8"/>
            <color indexed="81"/>
            <rFont val="Tahoma"/>
            <family val="2"/>
          </rPr>
          <t>Morry Brown:</t>
        </r>
        <r>
          <rPr>
            <sz val="8"/>
            <color indexed="81"/>
            <rFont val="Tahoma"/>
            <family val="2"/>
          </rPr>
          <t xml:space="preserve">
Used 20% growth rate, inline with last 4-5 years</t>
        </r>
      </text>
    </comment>
  </commentList>
</comments>
</file>

<file path=xl/comments10.xml><?xml version="1.0" encoding="utf-8"?>
<comments xmlns="http://schemas.openxmlformats.org/spreadsheetml/2006/main">
  <authors>
    <author>oc48540</author>
    <author>mm98285</author>
    <author>Roberts, Cynthia (Research)</author>
    <author>kgreenbe</author>
    <author>Kimberly Greenberger</author>
    <author>lehman</author>
    <author>OC48540</author>
    <author>duol</author>
    <author>lauraro</author>
    <author>balskyh</author>
    <author>Turley, Amber (Research)</author>
    <author>Morry Brown</author>
    <author>kahng</author>
    <author>Mains, Spencer (Research)</author>
    <author>Baglione, Gregory  (Research)</author>
    <author>lr73192</author>
  </authors>
  <commentList>
    <comment ref="AJ8" authorId="0">
      <text>
        <r>
          <rPr>
            <b/>
            <sz val="8"/>
            <color indexed="81"/>
            <rFont val="Tahoma"/>
            <family val="2"/>
          </rPr>
          <t>mm98285:</t>
        </r>
        <r>
          <rPr>
            <sz val="8"/>
            <color indexed="81"/>
            <rFont val="Tahoma"/>
            <family val="2"/>
          </rPr>
          <t xml:space="preserve">
subtracted out $38.110 for loss on disposal of discontinued operations, net of income taxes and $0.607 loss of discontinued operations, net of income taxes</t>
        </r>
      </text>
    </comment>
    <comment ref="AL8" authorId="1">
      <text>
        <r>
          <rPr>
            <b/>
            <sz val="8"/>
            <color indexed="81"/>
            <rFont val="Tahoma"/>
            <family val="2"/>
          </rPr>
          <t>mm98285:</t>
        </r>
        <r>
          <rPr>
            <sz val="8"/>
            <color indexed="81"/>
            <rFont val="Tahoma"/>
            <family val="2"/>
          </rPr>
          <t xml:space="preserve">
includes $1.8mm for bob's 3Q07 restatement
includes provision for computer intrusion related costs ($215,922)</t>
        </r>
      </text>
    </comment>
    <comment ref="BD8" authorId="2">
      <text>
        <r>
          <rPr>
            <b/>
            <sz val="9"/>
            <color indexed="81"/>
            <rFont val="Tahoma"/>
            <family val="2"/>
          </rPr>
          <t>Roberts, Cynthia (Research):</t>
        </r>
        <r>
          <rPr>
            <sz val="9"/>
            <color indexed="81"/>
            <rFont val="Tahoma"/>
            <family val="2"/>
          </rPr>
          <t xml:space="preserve">
2/22/17
$51.773M in loss on early extinguishment of debt
$31.173M pension settlement charge</t>
        </r>
      </text>
    </comment>
    <comment ref="AF9" authorId="3">
      <text>
        <r>
          <rPr>
            <b/>
            <sz val="10"/>
            <color indexed="81"/>
            <rFont val="Tahoma"/>
            <family val="2"/>
          </rPr>
          <t>kgreenbe:</t>
        </r>
        <r>
          <rPr>
            <sz val="10"/>
            <color indexed="81"/>
            <rFont val="Tahoma"/>
            <family val="2"/>
          </rPr>
          <t xml:space="preserve">
maybe s/b $300 for '04 given addition of Bob's - check 1Q 10Q</t>
        </r>
      </text>
    </comment>
    <comment ref="AH9" authorId="4">
      <text>
        <r>
          <rPr>
            <b/>
            <sz val="8"/>
            <color indexed="81"/>
            <rFont val="Tahoma"/>
            <family val="2"/>
          </rPr>
          <t>Kimberly Greenberger:</t>
        </r>
        <r>
          <rPr>
            <sz val="8"/>
            <color indexed="81"/>
            <rFont val="Tahoma"/>
            <family val="2"/>
          </rPr>
          <t xml:space="preserve">
7/04 per Sherry s/b $328mm
2/23/05 per 4Q04 conf call, 2005 depc'n s/b $315mm</t>
        </r>
      </text>
    </comment>
    <comment ref="AJ9" authorId="4">
      <text>
        <r>
          <rPr>
            <b/>
            <sz val="8"/>
            <color indexed="81"/>
            <rFont val="Tahoma"/>
            <family val="2"/>
          </rPr>
          <t>Kimberly Greenberger:</t>
        </r>
        <r>
          <rPr>
            <sz val="8"/>
            <color indexed="81"/>
            <rFont val="Tahoma"/>
            <family val="2"/>
          </rPr>
          <t xml:space="preserve">
KG estimate 328</t>
        </r>
      </text>
    </comment>
    <comment ref="AL9" authorId="4">
      <text>
        <r>
          <rPr>
            <b/>
            <sz val="8"/>
            <color indexed="81"/>
            <rFont val="Tahoma"/>
            <family val="2"/>
          </rPr>
          <t>Kimberly Greenberger:</t>
        </r>
        <r>
          <rPr>
            <sz val="8"/>
            <color indexed="81"/>
            <rFont val="Tahoma"/>
            <family val="2"/>
          </rPr>
          <t xml:space="preserve">
2/07: guided to $370
KG estimate 362</t>
        </r>
      </text>
    </comment>
    <comment ref="AL10" authorId="1">
      <text>
        <r>
          <rPr>
            <b/>
            <sz val="8"/>
            <color indexed="81"/>
            <rFont val="Tahoma"/>
            <family val="2"/>
          </rPr>
          <t>mm98285:</t>
        </r>
        <r>
          <rPr>
            <sz val="8"/>
            <color indexed="81"/>
            <rFont val="Tahoma"/>
            <family val="2"/>
          </rPr>
          <t xml:space="preserve">
$18.318 loss on property disposal
$7.626 asset impairment charge</t>
        </r>
      </text>
    </comment>
    <comment ref="L13" authorId="5">
      <text>
        <r>
          <rPr>
            <b/>
            <sz val="8"/>
            <color indexed="81"/>
            <rFont val="Tahoma"/>
            <family val="2"/>
          </rPr>
          <t>lehman:</t>
        </r>
        <r>
          <rPr>
            <sz val="8"/>
            <color indexed="81"/>
            <rFont val="Tahoma"/>
            <family val="2"/>
          </rPr>
          <t xml:space="preserve">
$1.861 is loss from discontinued ops</t>
        </r>
      </text>
    </comment>
    <comment ref="N13" authorId="5">
      <text>
        <r>
          <rPr>
            <b/>
            <sz val="8"/>
            <color indexed="81"/>
            <rFont val="Tahoma"/>
            <family val="2"/>
          </rPr>
          <t>lehman:</t>
        </r>
        <r>
          <rPr>
            <sz val="8"/>
            <color indexed="81"/>
            <rFont val="Tahoma"/>
            <family val="2"/>
          </rPr>
          <t xml:space="preserve">
(9.7) - income from discont'd ops; 31.7 - loss on disposal of discont'd ops; 3.338 extraordinary charge</t>
        </r>
      </text>
    </comment>
    <comment ref="P13" authorId="5">
      <text>
        <r>
          <rPr>
            <b/>
            <sz val="8"/>
            <color indexed="81"/>
            <rFont val="Tahoma"/>
            <family val="2"/>
          </rPr>
          <t>lehman:</t>
        </r>
        <r>
          <rPr>
            <sz val="8"/>
            <color indexed="81"/>
            <rFont val="Tahoma"/>
            <family val="2"/>
          </rPr>
          <t xml:space="preserve">
income from discontinued ops. $5.620 is extraoridinary charge</t>
        </r>
      </text>
    </comment>
    <comment ref="R13" authorId="5">
      <text>
        <r>
          <rPr>
            <b/>
            <sz val="8"/>
            <color indexed="81"/>
            <rFont val="Tahoma"/>
            <family val="2"/>
          </rPr>
          <t>lehman:</t>
        </r>
        <r>
          <rPr>
            <sz val="8"/>
            <color indexed="81"/>
            <rFont val="Tahoma"/>
            <family val="2"/>
          </rPr>
          <t xml:space="preserve">
1.777 is extraordinary charge. (3.928) related to deferred taxes and tax benefit from exercise of stock options</t>
        </r>
      </text>
    </comment>
    <comment ref="T13" authorId="5">
      <text>
        <r>
          <rPr>
            <sz val="8"/>
            <color indexed="81"/>
            <rFont val="Tahoma"/>
            <family val="2"/>
          </rPr>
          <t>loss from discontinued ops</t>
        </r>
      </text>
    </comment>
    <comment ref="AB13" authorId="5">
      <text>
        <r>
          <rPr>
            <sz val="8"/>
            <color indexed="81"/>
            <rFont val="Tahoma"/>
            <family val="2"/>
          </rPr>
          <t>amortization of unearned stock compensation</t>
        </r>
      </text>
    </comment>
    <comment ref="AD13" authorId="5">
      <text>
        <r>
          <rPr>
            <sz val="8"/>
            <color indexed="81"/>
            <rFont val="Tahoma"/>
            <family val="2"/>
          </rPr>
          <t>amortization of unearned stock compensation</t>
        </r>
      </text>
    </comment>
    <comment ref="AF13" authorId="5">
      <text>
        <r>
          <rPr>
            <sz val="8"/>
            <color indexed="81"/>
            <rFont val="Tahoma"/>
            <family val="2"/>
          </rPr>
          <t>amortization of unearned stock compensation</t>
        </r>
      </text>
    </comment>
    <comment ref="AH13" authorId="5">
      <text>
        <r>
          <rPr>
            <sz val="8"/>
            <color indexed="81"/>
            <rFont val="Tahoma"/>
            <family val="2"/>
          </rPr>
          <t>amortization of stock compensation expense</t>
        </r>
      </text>
    </comment>
    <comment ref="AJ13" authorId="5">
      <text>
        <r>
          <rPr>
            <sz val="8"/>
            <color indexed="81"/>
            <rFont val="Tahoma"/>
            <family val="2"/>
          </rPr>
          <t>amortization of unearned stock compensation</t>
        </r>
      </text>
    </comment>
    <comment ref="AL13" authorId="5">
      <text>
        <r>
          <rPr>
            <sz val="8"/>
            <color indexed="81"/>
            <rFont val="Tahoma"/>
            <family val="2"/>
          </rPr>
          <t>amortization of unearned stock compensation</t>
        </r>
      </text>
    </comment>
    <comment ref="AN13" authorId="6">
      <text>
        <r>
          <rPr>
            <sz val="8"/>
            <color indexed="81"/>
            <rFont val="Tahoma"/>
            <family val="2"/>
          </rPr>
          <t>3Q07-10Q: We also expect to incur non-cash charges in fiscal 2009 or 2010 pursuant to the proposed settlement of the customer class action litigation.</t>
        </r>
      </text>
    </comment>
    <comment ref="AP13" authorId="6">
      <text>
        <r>
          <rPr>
            <sz val="8"/>
            <color indexed="81"/>
            <rFont val="Tahoma"/>
            <family val="2"/>
          </rPr>
          <t>3Q07-10Q: We also expect to incur non-cash charges in fiscal 2009 or 2010 pursuant to the proposed settlement of the customer class action litigation.</t>
        </r>
        <r>
          <rPr>
            <sz val="8"/>
            <color indexed="81"/>
            <rFont val="Tahoma"/>
            <family val="2"/>
          </rPr>
          <t xml:space="preserve">
</t>
        </r>
      </text>
    </comment>
    <comment ref="AX13" authorId="7">
      <text>
        <r>
          <rPr>
            <b/>
            <sz val="8"/>
            <color indexed="81"/>
            <rFont val="Tahoma"/>
            <family val="2"/>
          </rPr>
          <t xml:space="preserve">2/25/14 PR:
</t>
        </r>
        <r>
          <rPr>
            <sz val="8"/>
            <color indexed="81"/>
            <rFont val="Tahoma"/>
            <family val="2"/>
          </rPr>
          <t>Share-based comp + Other</t>
        </r>
        <r>
          <rPr>
            <sz val="8"/>
            <color indexed="81"/>
            <rFont val="Tahoma"/>
            <family val="2"/>
          </rPr>
          <t xml:space="preserve">
</t>
        </r>
      </text>
    </comment>
    <comment ref="AD21" authorId="5">
      <text>
        <r>
          <rPr>
            <sz val="8"/>
            <color indexed="81"/>
            <rFont val="Tahoma"/>
            <family val="2"/>
          </rPr>
          <t>4/20/04 We added $57.138mm to capex for the acquisition of Bob's Stores, net of cash acquired
4/20/05 CapEx as reported was $409mm: $164.7 for new stores, $147.3 for store renovt'ns &amp; impvmts, and $97.0 for office/DC's.</t>
        </r>
      </text>
    </comment>
    <comment ref="AF21" authorId="4">
      <text>
        <r>
          <rPr>
            <b/>
            <sz val="8"/>
            <color indexed="81"/>
            <rFont val="Tahoma"/>
            <family val="2"/>
          </rPr>
          <t>Kimberly Greenberger:</t>
        </r>
        <r>
          <rPr>
            <sz val="8"/>
            <color indexed="81"/>
            <rFont val="Tahoma"/>
            <family val="2"/>
          </rPr>
          <t xml:space="preserve">
7/04 confirmed w/ Sherry $500mm.
We had estimated $500mm. Actual $429.133mm.
$429.1 mm spent on: $162.6 on new stores, $193.7 on store renovat'ns &amp; impvmts, and $72.8 on office/DC's
</t>
        </r>
        <r>
          <rPr>
            <b/>
            <u/>
            <sz val="8"/>
            <color indexed="81"/>
            <rFont val="Tahoma"/>
            <family val="2"/>
          </rPr>
          <t>10-K 2005</t>
        </r>
        <r>
          <rPr>
            <sz val="8"/>
            <color indexed="81"/>
            <rFont val="Tahoma"/>
            <family val="2"/>
          </rPr>
          <t xml:space="preserve">
$162.6m New Stores
$193.7m Store Renovations
$72.8m Office/DC</t>
        </r>
      </text>
    </comment>
    <comment ref="AH21" authorId="4">
      <text>
        <r>
          <rPr>
            <b/>
            <sz val="8"/>
            <color indexed="81"/>
            <rFont val="Tahoma"/>
            <family val="2"/>
          </rPr>
          <t>Kimberly Greenberger:</t>
        </r>
        <r>
          <rPr>
            <sz val="8"/>
            <color indexed="81"/>
            <rFont val="Tahoma"/>
            <family val="2"/>
          </rPr>
          <t xml:space="preserve">
2005 10K: $495.9mm (Property additions)  - $9.688mm (Proceeds from sale of property) 
7/04 confirmed w/ Sherry $590mm b/c add'l DC coming on line
4/05 per 10-K co. indicating $530mm expected for 2005 capex: $168 for new stores, $262 for renovt'ns &amp; impvmts, $100 for office/DC's
</t>
        </r>
        <r>
          <rPr>
            <b/>
            <u/>
            <sz val="8"/>
            <color indexed="81"/>
            <rFont val="Tahoma"/>
            <family val="2"/>
          </rPr>
          <t>10-K 2006</t>
        </r>
        <r>
          <rPr>
            <sz val="8"/>
            <color indexed="81"/>
            <rFont val="Tahoma"/>
            <family val="2"/>
          </rPr>
          <t xml:space="preserve">
$171.9m New Stores
$267.1m Store Renovations
$56.9m Office/DC</t>
        </r>
      </text>
    </comment>
    <comment ref="AJ21" authorId="4">
      <text>
        <r>
          <rPr>
            <b/>
            <sz val="8"/>
            <color indexed="81"/>
            <rFont val="Tahoma"/>
            <family val="2"/>
          </rPr>
          <t xml:space="preserve">mm98285:
</t>
        </r>
        <r>
          <rPr>
            <sz val="8"/>
            <color indexed="81"/>
            <rFont val="Tahoma"/>
            <family val="2"/>
          </rPr>
          <t xml:space="preserve">10-K 2006
$123.0m New Stores
$190.2m Store Renovations
$64.8m Office/DC
</t>
        </r>
        <r>
          <rPr>
            <b/>
            <sz val="8"/>
            <color indexed="81"/>
            <rFont val="Tahoma"/>
            <family val="2"/>
          </rPr>
          <t xml:space="preserve">
Kimberly Greenberger:</t>
        </r>
        <r>
          <rPr>
            <sz val="8"/>
            <color indexed="81"/>
            <rFont val="Tahoma"/>
            <family val="2"/>
          </rPr>
          <t xml:space="preserve">
2005 10K: $395mm ($115mm for new stores, $226mm for renov/expan., $54mm for office and DC)
2/06 Guided to 390-$400</t>
        </r>
      </text>
    </comment>
    <comment ref="AL21" authorId="1">
      <text>
        <r>
          <rPr>
            <b/>
            <sz val="8"/>
            <color indexed="81"/>
            <rFont val="Tahoma"/>
            <family val="2"/>
          </rPr>
          <t>mm98285:</t>
        </r>
        <r>
          <rPr>
            <sz val="8"/>
            <color indexed="81"/>
            <rFont val="Tahoma"/>
            <family val="2"/>
          </rPr>
          <t xml:space="preserve">
10K: $120.7mm new stores; $269.8 store renovations &amp; impvts, $136.5 office &amp; DC
2/07: guided to $500mm
$95M in 1Q07; 4Q: 120.909M</t>
        </r>
      </text>
    </comment>
    <comment ref="AN21" authorId="1">
      <text>
        <r>
          <rPr>
            <b/>
            <sz val="8"/>
            <color indexed="81"/>
            <rFont val="Tahoma"/>
            <family val="2"/>
          </rPr>
          <t>mm98285:</t>
        </r>
        <r>
          <rPr>
            <sz val="8"/>
            <color indexed="81"/>
            <rFont val="Tahoma"/>
            <family val="2"/>
          </rPr>
          <t xml:space="preserve">
1Q: $110.762M, 2Q: $148.243M; 3Q: $183.995M
2/08 &amp; 10K: expect $575 ($140mm new stores; $288mm store renovations, expansions, imprvmts; $147mm HQ &amp; DC) 
-planned increase for increased spending on renovations and imprvmts to existing stores (esp. TJ Maxx, Marshalls, TK Maxx)</t>
        </r>
      </text>
    </comment>
    <comment ref="AP21" authorId="1">
      <text>
        <r>
          <rPr>
            <b/>
            <sz val="8"/>
            <color indexed="81"/>
            <rFont val="Tahoma"/>
            <family val="2"/>
          </rPr>
          <t>mm98285:</t>
        </r>
        <r>
          <rPr>
            <sz val="8"/>
            <color indexed="81"/>
            <rFont val="Tahoma"/>
            <family val="2"/>
          </rPr>
          <t xml:space="preserve">
1Q: $66.449M, 2Q: $97.188M; 3Q: $155.236
5/09: $450-$475M (given incremental store openings 80-85 net)
10K: $450M incl $153M for new stores, $182M for store renovations, exp &amp; imprvmt's, $115M for office &amp; DC; Decrease in CapEx vs. LY due to fewer planned store openings &amp; reduced spending on renovations &amp; imprvmt's to existing stores
2/09: expect $450mm (expect &gt;50% store renovations, &lt;25% new stores, 25% HQ, DC)
9/08: mgmt presentation: expect capex of $1.8B from 2008-2010</t>
        </r>
      </text>
    </comment>
    <comment ref="AR21" authorId="1">
      <text>
        <r>
          <rPr>
            <b/>
            <sz val="8"/>
            <color indexed="81"/>
            <rFont val="Tahoma"/>
            <family val="2"/>
          </rPr>
          <t xml:space="preserve">mm98285:
10K: </t>
        </r>
        <r>
          <rPr>
            <sz val="8"/>
            <color indexed="81"/>
            <rFont val="Tahoma"/>
            <family val="2"/>
          </rPr>
          <t>$196M new stores; $300M store renovations and improvements; $210M Office and DCs
Marmaxx: $360.3M; HG: $46.6M; AJW: $29.1M; TJX Can $66.4M; TJX Europe $204.7M</t>
        </r>
        <r>
          <rPr>
            <sz val="8"/>
            <color indexed="81"/>
            <rFont val="Tahoma"/>
            <family val="2"/>
          </rPr>
          <t xml:space="preserve">
</t>
        </r>
        <r>
          <rPr>
            <b/>
            <sz val="8"/>
            <color indexed="81"/>
            <rFont val="Tahoma"/>
            <family val="2"/>
          </rPr>
          <t>2/10:</t>
        </r>
        <r>
          <rPr>
            <sz val="8"/>
            <color indexed="81"/>
            <rFont val="Tahoma"/>
            <family val="2"/>
          </rPr>
          <t xml:space="preserve"> from sherry: $250 new stores, $300 store reno's 
$200 office/DCs, $10 million fx negative impact 
</t>
        </r>
        <r>
          <rPr>
            <b/>
            <sz val="8"/>
            <color indexed="81"/>
            <rFont val="Tahoma"/>
            <family val="2"/>
          </rPr>
          <t>2/10:</t>
        </r>
        <r>
          <rPr>
            <sz val="8"/>
            <color indexed="81"/>
            <rFont val="Tahoma"/>
            <family val="2"/>
          </rPr>
          <t xml:space="preserve"> $750M to accelerate annual store growth to 5% from 3% and make signif investments to enhance stores and provide infrastructure for future growth
</t>
        </r>
        <r>
          <rPr>
            <b/>
            <sz val="8"/>
            <color indexed="81"/>
            <rFont val="Tahoma"/>
            <family val="2"/>
          </rPr>
          <t xml:space="preserve">9/08: </t>
        </r>
        <r>
          <rPr>
            <sz val="8"/>
            <color indexed="81"/>
            <rFont val="Tahoma"/>
            <family val="2"/>
          </rPr>
          <t>mgmt presentation: expect capex of $1.8B from 2008-2010</t>
        </r>
      </text>
    </comment>
    <comment ref="AT21" authorId="8">
      <text>
        <r>
          <rPr>
            <b/>
            <sz val="8"/>
            <color indexed="81"/>
            <rFont val="Tahoma"/>
            <family val="2"/>
          </rPr>
          <t xml:space="preserve">10K: </t>
        </r>
        <r>
          <rPr>
            <sz val="8"/>
            <color indexed="81"/>
            <rFont val="Tahoma"/>
            <family val="2"/>
          </rPr>
          <t>$239 million for new stores, $55 million of which is associated with converting the 90 A.J. Wright stores to other banners. Additionally, $269 million is for our offices and distribution centers to support growth and $317 million is for store renovations.</t>
        </r>
        <r>
          <rPr>
            <sz val="8"/>
            <color indexed="81"/>
            <rFont val="Tahoma"/>
            <family val="2"/>
          </rPr>
          <t xml:space="preserve">
</t>
        </r>
        <r>
          <rPr>
            <b/>
            <sz val="8"/>
            <color indexed="81"/>
            <rFont val="Tahoma"/>
            <family val="2"/>
          </rPr>
          <t>2/11:</t>
        </r>
        <r>
          <rPr>
            <sz val="8"/>
            <color indexed="81"/>
            <rFont val="Tahoma"/>
            <family val="2"/>
          </rPr>
          <t xml:space="preserve"> Exp $800-$825M
increase in capital spending is driven primarily by a greater number of remodels, which includes investments to convert former A.J. Wright stores to their new banners. It also includes replacement of the Company's existing data center, as well as additional distribution capacity.</t>
        </r>
      </text>
    </comment>
    <comment ref="AV21" authorId="8">
      <text>
        <r>
          <rPr>
            <b/>
            <sz val="8"/>
            <color indexed="81"/>
            <rFont val="Tahoma"/>
            <family val="2"/>
          </rPr>
          <t xml:space="preserve">8/14/2012:
</t>
        </r>
        <r>
          <rPr>
            <sz val="8"/>
            <color indexed="81"/>
            <rFont val="Tahoma"/>
            <family val="2"/>
          </rPr>
          <t>$1Bn (includes purchase of home office)</t>
        </r>
        <r>
          <rPr>
            <b/>
            <sz val="8"/>
            <color indexed="81"/>
            <rFont val="Tahoma"/>
            <family val="2"/>
          </rPr>
          <t xml:space="preserve">
lauraro:</t>
        </r>
        <r>
          <rPr>
            <sz val="8"/>
            <color indexed="81"/>
            <rFont val="Tahoma"/>
            <family val="2"/>
          </rPr>
          <t xml:space="preserve">
$875-900M
$415M for offices and distribution centers (incl Info systems) to suppt growth
$305M for store renovations
$180M for new stores
</t>
        </r>
      </text>
    </comment>
    <comment ref="AX21" authorId="9">
      <text>
        <r>
          <rPr>
            <b/>
            <sz val="8"/>
            <color indexed="81"/>
            <rFont val="Tahoma"/>
            <family val="2"/>
          </rPr>
          <t xml:space="preserve">2/28/2013 guidance: </t>
        </r>
        <r>
          <rPr>
            <sz val="8"/>
            <color indexed="81"/>
            <rFont val="Tahoma"/>
            <family val="2"/>
          </rPr>
          <t>$925-950M</t>
        </r>
      </text>
    </comment>
    <comment ref="AZ21" authorId="7">
      <text>
        <r>
          <rPr>
            <b/>
            <sz val="8"/>
            <color indexed="81"/>
            <rFont val="Tahoma"/>
            <family val="2"/>
          </rPr>
          <t>2/25/14 Guidacne: $975M</t>
        </r>
        <r>
          <rPr>
            <sz val="8"/>
            <color indexed="81"/>
            <rFont val="Tahoma"/>
            <family val="2"/>
          </rPr>
          <t xml:space="preserve">
</t>
        </r>
      </text>
    </comment>
    <comment ref="BB21" authorId="10">
      <text>
        <r>
          <rPr>
            <b/>
            <sz val="9"/>
            <color indexed="81"/>
            <rFont val="Tahoma"/>
            <family val="2"/>
          </rPr>
          <t>Turley, Amber (Research):</t>
        </r>
        <r>
          <rPr>
            <sz val="9"/>
            <color indexed="81"/>
            <rFont val="Tahoma"/>
            <family val="2"/>
          </rPr>
          <t xml:space="preserve">
2/25/15: Plan to continue investing to support growth including investing in new stores, store remodels, and supply chain and infrastructure. </t>
        </r>
      </text>
    </comment>
    <comment ref="AV22" authorId="9">
      <text>
        <r>
          <rPr>
            <b/>
            <sz val="8"/>
            <color indexed="81"/>
            <rFont val="Tahoma"/>
            <family val="2"/>
          </rPr>
          <t xml:space="preserve">2/27/2013: </t>
        </r>
        <r>
          <rPr>
            <sz val="8"/>
            <color indexed="81"/>
            <rFont val="Tahoma"/>
            <family val="2"/>
          </rPr>
          <t>Acquisition of Sierra Trading Post less cash acquired</t>
        </r>
      </text>
    </comment>
    <comment ref="AX22" authorId="9">
      <text>
        <r>
          <rPr>
            <b/>
            <sz val="8"/>
            <color indexed="81"/>
            <rFont val="Tahoma"/>
            <family val="2"/>
          </rPr>
          <t xml:space="preserve">2/27/2013: </t>
        </r>
        <r>
          <rPr>
            <sz val="8"/>
            <color indexed="81"/>
            <rFont val="Tahoma"/>
            <family val="2"/>
          </rPr>
          <t>Acquisition of Sierra Trading Post less cash acquired</t>
        </r>
      </text>
    </comment>
    <comment ref="AX27" authorId="7">
      <text>
        <r>
          <rPr>
            <b/>
            <sz val="8"/>
            <color indexed="81"/>
            <rFont val="Tahoma"/>
            <family val="2"/>
          </rPr>
          <t>duol:</t>
        </r>
        <r>
          <rPr>
            <sz val="8"/>
            <color indexed="81"/>
            <rFont val="Tahoma"/>
            <family val="2"/>
          </rPr>
          <t xml:space="preserve">
AR+ Other</t>
        </r>
      </text>
    </comment>
    <comment ref="AZ27" authorId="7">
      <text>
        <r>
          <rPr>
            <b/>
            <sz val="8"/>
            <color indexed="81"/>
            <rFont val="Tahoma"/>
            <family val="2"/>
          </rPr>
          <t>duol:</t>
        </r>
        <r>
          <rPr>
            <sz val="8"/>
            <color indexed="81"/>
            <rFont val="Tahoma"/>
            <family val="2"/>
          </rPr>
          <t xml:space="preserve">
AR+ Other</t>
        </r>
      </text>
    </comment>
    <comment ref="AP38" authorId="1">
      <text>
        <r>
          <rPr>
            <b/>
            <sz val="8"/>
            <color indexed="81"/>
            <rFont val="Tahoma"/>
            <family val="2"/>
          </rPr>
          <t>mm98285:</t>
        </r>
        <r>
          <rPr>
            <sz val="8"/>
            <color indexed="81"/>
            <rFont val="Tahoma"/>
            <family val="2"/>
          </rPr>
          <t xml:space="preserve">
2/09: expect $950-$1050 FCF</t>
        </r>
      </text>
    </comment>
    <comment ref="BD45" authorId="2">
      <text>
        <r>
          <rPr>
            <b/>
            <sz val="9"/>
            <color indexed="81"/>
            <rFont val="Tahoma"/>
            <family val="2"/>
          </rPr>
          <t>Roberts, Cynthia (Research):</t>
        </r>
        <r>
          <rPr>
            <sz val="9"/>
            <color indexed="81"/>
            <rFont val="Tahoma"/>
            <family val="2"/>
          </rPr>
          <t xml:space="preserve">
2/22/17
$992.5M proceeds from issuance of long-term debt - $425.6M payments on early extinguishment of debt</t>
        </r>
      </text>
    </comment>
    <comment ref="AH50" authorId="4">
      <text>
        <r>
          <rPr>
            <b/>
            <sz val="8"/>
            <color indexed="81"/>
            <rFont val="Tahoma"/>
            <family val="2"/>
          </rPr>
          <t>Kimberly Greenberger:</t>
        </r>
        <r>
          <rPr>
            <sz val="8"/>
            <color indexed="81"/>
            <rFont val="Tahoma"/>
            <family val="2"/>
          </rPr>
          <t xml:space="preserve">
assume $100mm stock options issued</t>
        </r>
      </text>
    </comment>
    <comment ref="AJ50" authorId="4">
      <text>
        <r>
          <rPr>
            <b/>
            <sz val="8"/>
            <color indexed="81"/>
            <rFont val="Tahoma"/>
            <family val="2"/>
          </rPr>
          <t>Kimberly Greenberger:</t>
        </r>
        <r>
          <rPr>
            <sz val="8"/>
            <color indexed="81"/>
            <rFont val="Tahoma"/>
            <family val="2"/>
          </rPr>
          <t xml:space="preserve">
assume $100mm stock options issued</t>
        </r>
      </text>
    </comment>
    <comment ref="AL50" authorId="4">
      <text>
        <r>
          <rPr>
            <b/>
            <sz val="8"/>
            <color indexed="81"/>
            <rFont val="Tahoma"/>
            <family val="2"/>
          </rPr>
          <t>Kimberly Greenberger:</t>
        </r>
        <r>
          <rPr>
            <sz val="8"/>
            <color indexed="81"/>
            <rFont val="Tahoma"/>
            <family val="2"/>
          </rPr>
          <t xml:space="preserve">
assume $100mm stock options issued</t>
        </r>
      </text>
    </comment>
    <comment ref="AF51" authorId="4">
      <text>
        <r>
          <rPr>
            <b/>
            <sz val="8"/>
            <color indexed="81"/>
            <rFont val="Tahoma"/>
            <family val="2"/>
          </rPr>
          <t>Kimberly Greenberger:</t>
        </r>
        <r>
          <rPr>
            <sz val="8"/>
            <color indexed="81"/>
            <rFont val="Tahoma"/>
            <family val="2"/>
          </rPr>
          <t xml:space="preserve">
In May 2004 completed $1 bil share repo authoriz'n appv'd in 2002. May 2004 authoriz'd additional $1 bil program. As of 1/29/05 co. had repurchased 17.7mm shares at $406.6mm. In 2004, company repurchased 25.1mm shares.</t>
        </r>
      </text>
    </comment>
    <comment ref="AH51" authorId="4">
      <text>
        <r>
          <rPr>
            <b/>
            <sz val="8"/>
            <color indexed="81"/>
            <rFont val="Tahoma"/>
            <family val="2"/>
          </rPr>
          <t>Kimberly Greenberger:</t>
        </r>
        <r>
          <rPr>
            <sz val="8"/>
            <color indexed="81"/>
            <rFont val="Tahoma"/>
            <family val="2"/>
          </rPr>
          <t xml:space="preserve">
2005 10K: In 2005 repurchased 25.9mm shares for $603.7mm. Completed previous $1B repurchase program and announced new $1B program.
press release 4/5/05 indicated $600mm in share buybacks 2005. $593.4mm remaining from May 2004 authoriz'n of $1 bil buyback</t>
        </r>
      </text>
    </comment>
    <comment ref="AJ51" authorId="11">
      <text>
        <r>
          <rPr>
            <b/>
            <sz val="8"/>
            <color indexed="81"/>
            <rFont val="Tahoma"/>
            <family val="2"/>
          </rPr>
          <t>Morry Brown:</t>
        </r>
        <r>
          <rPr>
            <sz val="8"/>
            <color indexed="81"/>
            <rFont val="Tahoma"/>
            <family val="2"/>
          </rPr>
          <t xml:space="preserve">
10K repo'd $557.2mm in 2006 for 22.0 shares
2/07: repo'd 3.7m shares ($107)
1/07: repo'd 2.4m shares ($70m) in 3Q; repo'd 18.3m shares ($450m) YTD
8/06: repo'd 8.7m shares ($203.5m) in 2Q ($612.9 remains under $1B auth.)
5/06: repo'd $177m of stock, retiring 7.2mm shares ($816.4m remains under $1B auth.)
4/06: expect to repo $650m shares of stock in '06
10/12/05: approved new $1 billion auth., we estimate at least $500mm for 2006</t>
        </r>
      </text>
    </comment>
    <comment ref="AL51" authorId="1">
      <text>
        <r>
          <rPr>
            <b/>
            <sz val="8"/>
            <color indexed="81"/>
            <rFont val="Tahoma"/>
            <family val="2"/>
          </rPr>
          <t xml:space="preserve">mm98285:
</t>
        </r>
        <r>
          <rPr>
            <sz val="8"/>
            <color indexed="81"/>
            <rFont val="Tahoma"/>
            <family val="2"/>
          </rPr>
          <t xml:space="preserve">10K: repo'd $950.2mm for 33.3mm shares
</t>
        </r>
        <r>
          <rPr>
            <b/>
            <sz val="8"/>
            <color indexed="81"/>
            <rFont val="Tahoma"/>
            <family val="2"/>
          </rPr>
          <t xml:space="preserve">
1Q07: </t>
        </r>
        <r>
          <rPr>
            <sz val="8"/>
            <color indexed="81"/>
            <rFont val="Tahoma"/>
            <family val="2"/>
          </rPr>
          <t>share buyback activity temporarily suspended since Dec 2006 given discovery of the computer intrusion. On March 28, 2007, TJX announced that it had entered into a plan to repurchase shares pursuant to a 10b5-1. Under this plan, TJX resumed its share repurchase activity at the end of 1Q07, spending $6M in April. TJX continues to expect to repurchase up to $900M of TJX stock during 2007 (purchased $557M in 2006), accelerated repurchase activity likely in 2Q.</t>
        </r>
        <r>
          <rPr>
            <b/>
            <sz val="8"/>
            <color indexed="81"/>
            <rFont val="Tahoma"/>
            <family val="2"/>
          </rPr>
          <t xml:space="preserve">
mm98285:</t>
        </r>
        <r>
          <rPr>
            <sz val="8"/>
            <color indexed="81"/>
            <rFont val="Tahoma"/>
            <family val="2"/>
          </rPr>
          <t xml:space="preserve">
2/07: expect $900mm repo in 2007
</t>
        </r>
        <r>
          <rPr>
            <b/>
            <sz val="8"/>
            <color indexed="81"/>
            <rFont val="Tahoma"/>
            <family val="2"/>
          </rPr>
          <t>4/09/07:</t>
        </r>
        <r>
          <rPr>
            <sz val="8"/>
            <color indexed="81"/>
            <rFont val="Tahoma"/>
            <family val="2"/>
          </rPr>
          <t xml:space="preserve">
Board of Directors authorized the purchase of $1.0 billion of TJX common stock, which is in addition to the $436 million remaining under our existing program. We continue to expect to repurchase $900 million of TJX stock in 2007.” </t>
        </r>
      </text>
    </comment>
    <comment ref="AN51" authorId="0">
      <text>
        <r>
          <rPr>
            <b/>
            <sz val="8"/>
            <color indexed="81"/>
            <rFont val="Tahoma"/>
            <family val="2"/>
          </rPr>
          <t>oc48540:</t>
        </r>
        <r>
          <rPr>
            <sz val="8"/>
            <color indexed="81"/>
            <rFont val="Tahoma"/>
            <family val="2"/>
          </rPr>
          <t xml:space="preserve">
1Q: repo'd 7mm shares for $225mm, 2Q: repo'd 7mm shares for $225mm, 3Q: repo'd 7.2mm for $226mm, 4Q: repo'd 2.7mm shares for $65M = 2008: repo'd 24M shares for $741M
2/4/08: new $1b auth. in addition to $486mm remaining in prior auth (expect to complete $486mm in FY08). - assume will repurch $900mm in FY08 inline with FY07
changed from 500 to 700 following management meetings 7/07</t>
        </r>
      </text>
    </comment>
    <comment ref="AP51" authorId="1">
      <text>
        <r>
          <rPr>
            <b/>
            <sz val="8"/>
            <color indexed="81"/>
            <rFont val="Tahoma"/>
            <family val="2"/>
          </rPr>
          <t>mm98285:</t>
        </r>
        <r>
          <rPr>
            <sz val="8"/>
            <color indexed="81"/>
            <rFont val="Tahoma"/>
            <family val="2"/>
          </rPr>
          <t xml:space="preserve">
2/10: spent $950M to repo 27M shares with $409M to repo 10.9M shares in 4Q
1/10: expect to repurch $900M-$1BN in 2009
11/09: 3Q repo'd 8.2M shares for $304M (16.1M shares for $541M YTD)
2/09: expect to spend $250M to repurch stock ($745M remains under auth. at 1/31/09)
9/08: mgmt presentation says $2.7B in share repo from 2008-2010E</t>
        </r>
      </text>
    </comment>
    <comment ref="AR51" authorId="1">
      <text>
        <r>
          <rPr>
            <b/>
            <sz val="8"/>
            <color indexed="81"/>
            <rFont val="Tahoma"/>
            <family val="2"/>
          </rPr>
          <t xml:space="preserve">2/11: </t>
        </r>
        <r>
          <rPr>
            <sz val="8"/>
            <color indexed="81"/>
            <rFont val="Tahoma"/>
            <family val="2"/>
          </rPr>
          <t>Spent $1.2Bn to retire 27.6M shares</t>
        </r>
        <r>
          <rPr>
            <b/>
            <sz val="8"/>
            <color indexed="81"/>
            <rFont val="Tahoma"/>
            <family val="2"/>
          </rPr>
          <t xml:space="preserve">
mm98285:</t>
        </r>
        <r>
          <rPr>
            <sz val="8"/>
            <color indexed="81"/>
            <rFont val="Tahoma"/>
            <family val="2"/>
          </rPr>
          <t xml:space="preserve">
2/10: expect to repo $900M-$1BN in stock ($795M remaining under prior Sept 2009 auth and new $1BN auth for total of $1.795BN under auth)
9/08: mgmt presentation says $2.7B in share repo from 2008-2010E</t>
        </r>
      </text>
    </comment>
    <comment ref="AT51" authorId="8">
      <text>
        <r>
          <rPr>
            <b/>
            <sz val="8"/>
            <color indexed="81"/>
            <rFont val="Tahoma"/>
            <family val="2"/>
          </rPr>
          <t>lauraro:</t>
        </r>
        <r>
          <rPr>
            <sz val="8"/>
            <color indexed="81"/>
            <rFont val="Tahoma"/>
            <family val="2"/>
          </rPr>
          <t xml:space="preserve">
2/11: Plans to repo $1.2Bn of TJX stock during the year</t>
        </r>
      </text>
    </comment>
    <comment ref="AV51" authorId="12">
      <text>
        <r>
          <rPr>
            <sz val="8"/>
            <color indexed="81"/>
            <rFont val="Tahoma"/>
            <family val="2"/>
          </rPr>
          <t xml:space="preserve">11/13/2012 and 8/14/2012: confirmed repo $1.2B-$1.3Bn ($600M ytd 2Q)
2/22/2012: annc plans to repurchase approx $1.2B - $1.3B of TJX stock during FY ending 2/2/2013. Have approx $225m remaining under existing program. BoD authorized additional $2B repurchase program. </t>
        </r>
      </text>
    </comment>
    <comment ref="AX51" authorId="9">
      <text>
        <r>
          <rPr>
            <b/>
            <sz val="8"/>
            <color indexed="81"/>
            <rFont val="Tahoma"/>
            <family val="2"/>
          </rPr>
          <t>11/19/13:</t>
        </r>
        <r>
          <rPr>
            <sz val="8"/>
            <color indexed="81"/>
            <rFont val="Tahoma"/>
            <family val="2"/>
          </rPr>
          <t xml:space="preserve"> continues to expect 1.3B - 1.4B buyback
8/20/13: For the first half of Fiscal 2014, the Company spent a total of $625 million in repurchases of TJX stock, retiring 12.9 million shares and it</t>
        </r>
        <r>
          <rPr>
            <b/>
            <sz val="8"/>
            <color indexed="81"/>
            <rFont val="Tahoma"/>
            <family val="2"/>
          </rPr>
          <t xml:space="preserve"> continues to expect to repurchase approximately $1.3 billion to $1.4 billion of TJX stock in Fiscal 2014. </t>
        </r>
        <r>
          <rPr>
            <sz val="8"/>
            <color indexed="81"/>
            <rFont val="Tahoma"/>
            <family val="2"/>
          </rPr>
          <t>The Company may adjust the amount of this spending up or down depending on various factors.</t>
        </r>
        <r>
          <rPr>
            <b/>
            <sz val="8"/>
            <color indexed="81"/>
            <rFont val="Tahoma"/>
            <family val="2"/>
          </rPr>
          <t xml:space="preserve">
2/27/2013 guidance: </t>
        </r>
        <r>
          <rPr>
            <sz val="8"/>
            <color indexed="81"/>
            <rFont val="Tahoma"/>
            <family val="2"/>
          </rPr>
          <t>$1.3-1.4M in expected repo</t>
        </r>
      </text>
    </comment>
    <comment ref="AZ51" authorId="7">
      <text>
        <r>
          <rPr>
            <b/>
            <sz val="8"/>
            <color indexed="81"/>
            <rFont val="Tahoma"/>
            <family val="2"/>
          </rPr>
          <t>2/26/14: guidance $1.6-1.7B
11/18/14: guidance $1.6-1.7B</t>
        </r>
        <r>
          <rPr>
            <sz val="8"/>
            <color indexed="81"/>
            <rFont val="Tahoma"/>
            <family val="2"/>
          </rPr>
          <t xml:space="preserve">
</t>
        </r>
      </text>
    </comment>
    <comment ref="BB51" authorId="13">
      <text>
        <r>
          <rPr>
            <b/>
            <sz val="9"/>
            <color indexed="81"/>
            <rFont val="Tahoma"/>
            <family val="2"/>
          </rPr>
          <t>Mains, Spencer (Research):</t>
        </r>
        <r>
          <rPr>
            <sz val="9"/>
            <color indexed="81"/>
            <rFont val="Tahoma"/>
            <family val="2"/>
          </rPr>
          <t xml:space="preserve">
5/19/15: continue to expect to repurchase $1.8-1.9B of stock
8/18/15
reaffirmed $1.-1.9B</t>
        </r>
      </text>
    </comment>
    <comment ref="BD51" authorId="14">
      <text>
        <r>
          <rPr>
            <b/>
            <sz val="9"/>
            <color indexed="81"/>
            <rFont val="Tahoma"/>
            <family val="2"/>
          </rPr>
          <t>Baglione, Gregory  (Research):</t>
        </r>
        <r>
          <rPr>
            <sz val="9"/>
            <color indexed="81"/>
            <rFont val="Tahoma"/>
            <family val="2"/>
          </rPr>
          <t xml:space="preserve">
2/24/16
The Company also announced today its plan to repurchase approximately $1.5 to $2.0 billion of TJX stock during the fiscal year ending January 28, 2017. With $1.5 billion remaining at Fiscal 2016 year end under the Company’s existing stock repurchase program, the Company’s Board of Directors approved a new stock repurchase program that authorizes the repurchase of up to an additional $2.0 billion of TJX common stock from time to time.
5/17/16
The Company continues to expect to repurchase approximately $1.5 to $2.0 billion of TJX stock in Fiscal 2017. </t>
        </r>
      </text>
    </comment>
    <comment ref="AN54" authorId="1">
      <text>
        <r>
          <rPr>
            <b/>
            <sz val="8"/>
            <color indexed="81"/>
            <rFont val="Tahoma"/>
            <family val="2"/>
          </rPr>
          <t>mm98285:</t>
        </r>
        <r>
          <rPr>
            <sz val="8"/>
            <color indexed="81"/>
            <rFont val="Tahoma"/>
            <family val="2"/>
          </rPr>
          <t xml:space="preserve">
proceeds to settle net investment hedges</t>
        </r>
      </text>
    </comment>
    <comment ref="AP54" authorId="15">
      <text>
        <r>
          <rPr>
            <b/>
            <sz val="8"/>
            <color indexed="81"/>
            <rFont val="Tahoma"/>
            <family val="2"/>
          </rPr>
          <t>lr73192:</t>
        </r>
        <r>
          <rPr>
            <sz val="8"/>
            <color indexed="81"/>
            <rFont val="Tahoma"/>
            <family val="2"/>
          </rPr>
          <t xml:space="preserve">
Cash payments for debt issuance expenses</t>
        </r>
      </text>
    </comment>
    <comment ref="AX54" authorId="7">
      <text>
        <r>
          <rPr>
            <b/>
            <sz val="8"/>
            <color indexed="81"/>
            <rFont val="Tahoma"/>
            <family val="2"/>
          </rPr>
          <t xml:space="preserve">2/24/13 PR:
</t>
        </r>
        <r>
          <rPr>
            <sz val="8"/>
            <color indexed="81"/>
            <rFont val="Tahoma"/>
            <family val="2"/>
          </rPr>
          <t>-$59.4M Other CFFO
+59.6M Other CFFF</t>
        </r>
        <r>
          <rPr>
            <b/>
            <sz val="8"/>
            <color indexed="81"/>
            <rFont val="Tahoma"/>
            <family val="2"/>
          </rPr>
          <t xml:space="preserve">
Net: </t>
        </r>
        <r>
          <rPr>
            <sz val="8"/>
            <color indexed="81"/>
            <rFont val="Tahoma"/>
            <family val="2"/>
          </rPr>
          <t>$0.2M</t>
        </r>
        <r>
          <rPr>
            <b/>
            <sz val="8"/>
            <color indexed="81"/>
            <rFont val="Tahoma"/>
            <family val="2"/>
          </rPr>
          <t xml:space="preserve">
Missing from LY's:
CFFO:
</t>
        </r>
        <r>
          <rPr>
            <sz val="8"/>
            <color indexed="81"/>
            <rFont val="Tahoma"/>
            <family val="2"/>
          </rPr>
          <t>$11.9M Property disposals and impairment</t>
        </r>
        <r>
          <rPr>
            <sz val="8"/>
            <color indexed="81"/>
            <rFont val="Tahoma"/>
            <family val="2"/>
          </rPr>
          <t xml:space="preserve">
$8.8M Other (-)
</t>
        </r>
        <r>
          <rPr>
            <b/>
            <sz val="8"/>
            <color indexed="81"/>
            <rFont val="Tahoma"/>
            <family val="2"/>
          </rPr>
          <t>CFFF:</t>
        </r>
        <r>
          <rPr>
            <sz val="8"/>
            <color indexed="81"/>
            <rFont val="Tahoma"/>
            <family val="2"/>
          </rPr>
          <t xml:space="preserve">
$-1.5M capital lease
$-1.4M Other
</t>
        </r>
        <r>
          <rPr>
            <b/>
            <sz val="8"/>
            <color indexed="81"/>
            <rFont val="Tahoma"/>
            <family val="2"/>
          </rPr>
          <t>Net:</t>
        </r>
        <r>
          <rPr>
            <sz val="8"/>
            <color indexed="81"/>
            <rFont val="Tahoma"/>
            <family val="2"/>
          </rPr>
          <t xml:space="preserve">
0.2M</t>
        </r>
      </text>
    </comment>
    <comment ref="AD58" authorId="4">
      <text>
        <r>
          <rPr>
            <b/>
            <sz val="8"/>
            <color indexed="81"/>
            <rFont val="Tahoma"/>
            <family val="2"/>
          </rPr>
          <t>Kimberly Greenberger:</t>
        </r>
        <r>
          <rPr>
            <sz val="8"/>
            <color indexed="81"/>
            <rFont val="Tahoma"/>
            <family val="2"/>
          </rPr>
          <t xml:space="preserve">
quarterly dividend is $0.035
</t>
        </r>
      </text>
    </comment>
    <comment ref="AF58" authorId="4">
      <text>
        <r>
          <rPr>
            <b/>
            <sz val="8"/>
            <color indexed="81"/>
            <rFont val="Tahoma"/>
            <family val="2"/>
          </rPr>
          <t>Kimberly Greenberger:</t>
        </r>
        <r>
          <rPr>
            <sz val="8"/>
            <color indexed="81"/>
            <rFont val="Tahoma"/>
            <family val="2"/>
          </rPr>
          <t xml:space="preserve">
quarterly dividend is $0.045
</t>
        </r>
      </text>
    </comment>
    <comment ref="AH58" authorId="4">
      <text>
        <r>
          <rPr>
            <b/>
            <sz val="8"/>
            <color indexed="81"/>
            <rFont val="Tahoma"/>
            <family val="2"/>
          </rPr>
          <t>Kimberly Greenberger:</t>
        </r>
        <r>
          <rPr>
            <sz val="8"/>
            <color indexed="81"/>
            <rFont val="Tahoma"/>
            <family val="2"/>
          </rPr>
          <t xml:space="preserve">
press release 4/5/05 indicated 33% increase in dividend approved by Board. Now at $0.06/qtr per share up from $0.045 prior.</t>
        </r>
      </text>
    </comment>
    <comment ref="AJ58" authorId="1">
      <text>
        <r>
          <rPr>
            <b/>
            <sz val="8"/>
            <color indexed="81"/>
            <rFont val="Tahoma"/>
            <family val="2"/>
          </rPr>
          <t>mm98285:</t>
        </r>
        <r>
          <rPr>
            <sz val="8"/>
            <color indexed="81"/>
            <rFont val="Tahoma"/>
            <family val="2"/>
          </rPr>
          <t xml:space="preserve">
4/06: raised quarterly dividend from 6c to 7c payable June 1, 2006</t>
        </r>
      </text>
    </comment>
    <comment ref="BD59" authorId="14">
      <text>
        <r>
          <rPr>
            <b/>
            <sz val="9"/>
            <color indexed="81"/>
            <rFont val="Tahoma"/>
            <family val="2"/>
          </rPr>
          <t>Baglione, Gregory  (Research):</t>
        </r>
        <r>
          <rPr>
            <sz val="9"/>
            <color indexed="81"/>
            <rFont val="Tahoma"/>
            <family val="2"/>
          </rPr>
          <t xml:space="preserve">
$97M QTD</t>
        </r>
      </text>
    </comment>
    <comment ref="T63" authorId="5">
      <text>
        <r>
          <rPr>
            <sz val="8"/>
            <color indexed="81"/>
            <rFont val="Tahoma"/>
            <family val="2"/>
          </rPr>
          <t>actual from 2000 10k is 56.875 million. Difference due to restated net income of 424.154</t>
        </r>
      </text>
    </comment>
    <comment ref="AZ64" authorId="7">
      <text>
        <r>
          <rPr>
            <b/>
            <sz val="8"/>
            <color indexed="81"/>
            <rFont val="Tahoma"/>
            <family val="2"/>
          </rPr>
          <t xml:space="preserve">2/26/14 guidance: </t>
        </r>
        <r>
          <rPr>
            <sz val="8"/>
            <color indexed="81"/>
            <rFont val="Tahoma"/>
            <family val="2"/>
          </rPr>
          <t>Expects to end the year with $2.3-2.4B</t>
        </r>
        <r>
          <rPr>
            <sz val="8"/>
            <color indexed="81"/>
            <rFont val="Tahoma"/>
            <family val="2"/>
          </rPr>
          <t xml:space="preserve">
</t>
        </r>
      </text>
    </comment>
  </commentList>
</comments>
</file>

<file path=xl/comments11.xml><?xml version="1.0" encoding="utf-8"?>
<comments xmlns="http://schemas.openxmlformats.org/spreadsheetml/2006/main">
  <authors>
    <author>lauraro</author>
  </authors>
  <commentList>
    <comment ref="A1" authorId="0">
      <text>
        <r>
          <rPr>
            <b/>
            <sz val="8"/>
            <color indexed="81"/>
            <rFont val="Tahoma"/>
            <family val="2"/>
          </rPr>
          <t>卟䙄_x0001_＀＀㕑䲯0䥔幆噁⡇彐塅䡃剟呁⡅䉇ⱐ单ⱄ〲㠰㌯⭆䐱㈬〰⼸䘴⤩_x0018_＀＀_x0018_＀＀_x0008_＀＀_x0001_＀＀_x0001_＀＀弁⭶㿹㕑䲯,啄䵍幙噁⡇彐塅䡃剟呁⡅䉇ⱐ单ⱄ〲㠰ㄫⱄ〲㤰⤩_x0018_＀＀_x0018_＀＀_x0008_＀＀_x0001_＀＀_x0001_＀＀肏穇ဣ㿹_xDBB3_为,啄䵍幙噁⡇彐塅䡃剟呁⡅单ⱄ䅃ⱄ〲㤰ㄫⱄ〲〱⤩_x0018_＀＀_x0018_＀＀_x0008_＀＀_x0001_＀＀_x0001_＀＀㬻究㿰㕑䲯0䥔幆噁⡇彐塅䡃剟呁⡅䉇ⱐ单ⱄ〲㠰㐯⭆䐱㈬〰⼹䘱⤩_x0018_＀＀_x0018_＀＀_x0008_＀＀_x0001_＀＀_x0001_＀＀菚䕶㿶㕑䲯0䥔幆噁⡇彐塅䡃剟呁⡅䉇ⱐ单ⱄ〲㠰ㄯ⭆䐱㈬〰⼸䘲⤩_x0018_＀＀_x0018_＀＀_x0008_＀＀_x0001_＀＀_x0001_＀＀梳_xDA01_衖㿿_xDB26_为0䩔幘噁⡇彐塅䡃剟呁⡅单ⱄ䅃ⱄ〲㠰㈯⭆䐱㈬〰⼸䘳⤩_x0018_＀＀_x0018_＀＀_x0008_＀＀_x0001_＀＀_x0001_＀＀⦛礈ꡘ㿰넅䲄_x001F_佒呓唭幓䝆偟䥒䕃〨⼱ㄳ㈯〰ⰹ䐬착_x0018_＀＀_x0018_＀＀_x0008_＀＀_x0001_＀＀_x0001_＀＀凬Ẹ殅䀽㕑䲯0䥔幆噁⡇彐塅䡃剟呁⡅啅ⱒ单ⱄ〲㠰㈯⭆䐱㈬〰⼸䘳⤩_x0018_＀＀_x0018_＀＀_x0008_＀＀_x0001_＀＀_x0001_＀＀涕㫱ฬ㿸㐾䲯0橔幸噁⡇彐塅䡃剟呁⡅单ⱄ䅃ⱄ〲㠰㐯⭆䐱㈬〰⼹䘱⤩_x0018_＀＀_x0018_＀＀_x0008_＀＀_x0001_＀＀_x0001_＀＀계䞶㿳_xD9E2_为0䩔幘噁⡇彐塅䡃剟呁⡅单ⱄ䅃ⱄ〲〱㈯⭆䐱㈬㄰⼰䘳⤩_x0018_＀＀_x0018_＀＀_x0008_＀＀_x0001_＀＀_x0001_＀＀⢌鿭㿰蠷䲀_x001A_䩔ⵘ单坞当奆⡃⤰䍀彁奆⡃⤰_x0018_＀＀_x0018_＀＀_x0008_＀＀_x0001_＀＀_x0008_＀＀㄰㈯㄰0넅䲄_x001F_佒呓唭幓䝆偟䥒䕃〨⼱ㄳ㈯〰ⰴ䐬착_x0018_＀＀_x0018_＀＀_x0008_＀＀_x0001_＀＀_x0001_＀＀馚香_xD999_䀻㕑䲯0䥔幆噁⡇彐塅䡃剟呁⡅䉇ⱐ单ⱄ〲〱ㄯ⭆䐱㈬㄰⼰䘲⤩_x0018_＀＀_x0018_＀＀_x0008_＀＀_x0001_＀＀_x0001_＀＀庿_xDF45_㿷㕑䲯0䥔幆噁⡇彐塅䡃剟呁⡅啅ⱒ单ⱄ〲㘰㐯⭆䐱㈬〰⼷䘱⤩_x0018_＀＀_x0018_＀＀_x0008_＀＀_x0001_＀＀_x0001_＀＀ꃀ쮽㿴㕑䲯0䥔幆噁⡇彐塅䡃剟呁⡅䉇ⱐ单ⱄ〲㤰㈯⭆䐱㈬〰⼹䘳⤩_x0018_＀＀_x0018_＀＀_x0008_＀＀_x0001_＀＀_x0001_＀＀㗙脐㿙㿺_xD98D_为0䩔幘噁⡇彐塅䡃剟呁⡅单ⱄ䅃ⱄ〲㤰㌯⭆䐱㈬〰⼹䘴⤩_x0018_＀＀_x0018_＀＀_x0008_＀＀_x0001_＀＀_x0001_＀＀_xFFFF_Ｐﴡ㿰_xD9E3_为0橔幸噁⡇彐塅䡃剟呁⡅单ⱄ䅃ⱄ〲〱㐯⭆䐱㈬㄰⼱䘱⤩_x0018_＀＀_x0018_＀＀_x0008_＀＀_x0001_＀＀_x0001_＀＀ᙎﴆ誑㿯㐑䲯0橔幸噁⡇彐塅䡃剟呁⡅单ⱄ䅃ⱄ〲〱ㄯ⭆䐱㈬㄰⼰䘲⤩_x0018_＀＀_x0018_＀＀_x0008_＀＀_x0001_＀＀_x0001_＀＀缲鞖獇㿰㕑䲯0䥔幆噁⡇彐塅䡃剟呁⡅䉇ⱐ单ⱄ〲㜰㌯⭆䐱㈬〰⼷䘴⤩_x0018_＀＀_x0018_＀＀_x0008_＀＀_x0001_＀＀_x0001_＀＀澙嫎䀀_xD98D_为0䩔幘噁⡇彐塅䡃剟呁⡅单ⱄ䅃ⱄ〲㤰ㄯ⭆䐱㈬〰⼹䘲⤩_x0018_＀＀_x0018_＀＀_x0008_＀＀_x0001_＀＀_x0001_＀＀槣쯾꾐㿲㕑䲯0䥔幆噁⡇彐塅䡃剟呁⡅啅ⱒ单ⱄ〲㤰㌯⭆䐱㈬〰⼹䘴⤩_x0018_＀＀_x0018_＀＀_x0008_＀＀_x0001_＀＀_x0001_＀＀츆儙ꇚ㿷넅䲄_x001F_佒呓唭幓䝆偟䥒䕃〨⼱ㄳ㈯〰ⰸ䐬착_x0018_＀＀_x0018_＀＀_x0008_＀＀_x0001_＀＀_x0001_＀＀晦晦♦䀽㐾䲯0橔幸噁⡇彐塅䡃剟呁⡅单ⱄ䅃ⱄ〲㤰㈯⭆䐱㈬〰⼹䘳⤩_x0018_＀＀_x0018_＀＀_x0008_＀＀_x0001_＀＀_x0001_＀＀蔟凫躸㿱㕑䲯0䥔幆噁⡇彐塅䡃剟呁⡅䉇ⱐ单ⱄ〲㜰㐯⭆䐱㈬〰⼸䘱⤩_x0018_＀＀_x0018_＀＀_x0008_＀＀_x0001_＀＀_x0001_＀＀ꩩ㿿㕑䲯0䥔幆噁⡇彐塅䡃剟呁⡅䉇ⱐ单ⱄ〲㜰ㄯ⭆䐱㈬〰⼷䘲⤩_x0018_＀＀_x0018_＀＀_x0008_＀＀_x0001_＀＀_x0001_＀＀䈋줶㿿㕑䲯0䥔幆噁⡇彐塅䡃剟呁⡅啅ⱒ单ⱄ〲㤰ㄯ⭆䐱㈬〰⼹䘲⤩_x0018_＀＀_x0018_＀＀_x0008_＀＀_x0001_＀＀_x0001_＀＀螋屰쮪㿵_xDB94_为,啄䵍幙噁⡇彐塅䡃剟呁⡅单ⱄ䅃ⱄ〲㠰ㄫⱄ〲㤰⤩_x0018_＀＀_x0018_＀＀_x0008_＀＀_x0001_＀＀_x0001_＀＀ꛪ㸧㿲蠷䲀_x0015_䩔ⵘ单坞当卉彏佃䕄〨착_x0014_＀＀_x0018_＀＀_x0004_＀＀_x0001_＀＀_x0008_＀＀单D넅䲄_x001F_佒呓唭幓䝆偟䥒䕃〨⼱ㄳ㈯〰ⰳ䐬착_x0018_＀＀_x0018_＀＀_x0008_＀＀_x0001_＀＀_x0001_＀＀竡긔腇䀳㕑䲯0䥔幆噁⡇彐塅䡃剟呁⡅䉇ⱐ单ⱄ〲㤰㐯⭆䐱㈬㄰⼰䘱⤩_x0018_＀＀_x0018_＀＀_x0008_＀＀_x0001_＀＀_x0001_＀＀ꂏ㿸㕑䲯0䥔幆噁⡇彐塅䡃剟呁⡅啅ⱒ单ⱄ〲㜰㈯⭆䐱㈬〰⼷䘳⤩_x0018_＀＀_x0018_＀＀_x0008_＀＀_x0001_＀＀_x0001_＀＀쁻ྫ_xFFFF_ｒ㿵_xD98E_为0橔幸噁⡇彐塅䡃剟呁⡅单ⱄ䅃ⱄ〲㤰㐯⭆䐱㈬㄰⼰䘱⤩_x0018_＀＀_x0018_＀＀_x0008_＀＀_x0001_＀＀_x0001_＀＀ꄖ㰲ꒇ㿰㕑䲯,啄䵍幙噁⡇彐塅䡃剟呁⡅䉇ⱐ单ⱄ〲㜰ㄫⱄ〲㠰⤩_x0018_＀＀_x0018_＀＀_x0008_＀＀_x0001_＀＀_x0001_＀＀婸̏ꏅ㿽㕑䲯*䥔幆噁⡇彐塅䡃剟呁⡅䉇ⱐ单ⱄ〲㘰ㄫⱄ〲㜰⤩_x0018_＀＀_x0018_＀＀_x0008_＀＀_x0001_＀＀_x0001_＀＀腞_xDEBE_ї䀀_xDB26_为0䩔幘噁⡇彐塅䡃剟呁⡅单ⱄ䅃ⱄ〲㠰㌯⭆䐱㈬〰⼸䘴⤩_x0018_＀＀_x0018_＀＀_x0008_＀＀_x0001_＀＀_x0001_＀＀ᖶ쯻忮㿳넅䲄_x001F_佒呓唭幓䝆偟䥒䕃〨⼱ㄳ㈯〰ⰷ䐬착_x0018_＀＀_x0018_＀＀_x0008_＀＀_x0001_＀＀_x0001_＀＀롒蔞㇫䁀㕑䲯0䥔幆噁⡇彐塅䡃剟呁⡅䉇ⱐ单ⱄ〲㠰㈯⭆䐱㈬〰⼸䘳⤩_x0018_＀＀_x0018_＀＀_x0008_＀＀_x0001_＀＀_x0001_＀＀硩ꕺ䤬㿾㕑䲯,啄䵍幙噁⡇彐塅䡃剟呁⡅啅ⱒ单ⱄ〲㠰ㄫⱄ〲㤰⤩_x0018_＀＀_x0018_＀＀_x0008_＀＀_x0001_＀＀_x0001_＀＀讟쳗侯㿶㕑䲯0䥔幆噁⡇彐塅䡃剟呁⡅啅ⱒ单ⱄ〲㠰㌯⭆䐱㈬〰⼸䘴⤩_x0018_＀＀_x0018_＀＀_x0008_＀＀_x0001_＀＀_x0001_＀＀♖馡ᵌ㿵_xD98E_为%单䍄䑁坞前䙟剏䅗䑒剟呁彅䥍⡄ⰰⰬ㤢≍착_x0018_＀＀_x0018_＀＀_x0008_＀＀_x0001_＀＀_x0001_＀＀븣댓౞㿯㕑䲯%啅啒䑓坞前䙟剏䅗䑒剟呁彅䥍⡄ⰰⰬ㘢≍착_x0018_＀＀_x0018_＀＀_x0008_＀＀_x0001_＀＀_x0001_＀＀륐믂䑜㿶_xD98D_为0䩔幘噁⡇彐塅䡃剟呁⡅单ⱄ䅃ⱄ〲㠰㐯⭆䐱㈬〰⼹䘱⤩_x0018_＀＀_x0018_＀＀_x0008_＀＀_x0001_＀＀_x0001_＀＀계䞶㿳_xDB26_为0䩔幘噁⡇彐塅䡃剟呁⡅单ⱄ䅃ⱄ〲㠰ㄯ⭆䐱㈬〰⼸䘲⤩_x0018_＀＀_x0018_＀＀_x0008_＀＀_x0001_＀＀_x0001_＀＀鹸间⪲㿰_xD98E_为%单䍄䑁坞前䙟剏䅗䑒剟呁彅䥍⡄ⰰⰬ㘢≍착_x0018_＀＀_x0018_＀＀_x0008_＀＀_x0001_＀＀_x0001_＀＀ǎ㦂ﱺ㿮냺䲄_x001F_佒呓唭幓䝆偟䥒䕃〨⼱ㄳ㈯〰ⰲ䐬착_x0018_＀＀_x0018_＀＀_x0008_＀＀_x0001_＀＀_x0001_＀＀휊炣⨽䀲_xD98E_为%单䍄䑁坞前䙟剏䅗䑒剟呁彅䥍⡄ⰰⰬ㌢≍착_x0018_＀＀_x0018_＀＀_x0008_＀＀_x0001_＀＀_x0001_＀＀椆ꋆ㿮㕑䲯0䥔幆噁⡇彐塅䡃剟呁⡅䉇ⱐ单ⱄ〲㘰㐯⭆䐱㈬〰⼷䘱⤩_x0018_＀＀_x0018_＀＀_x0008_＀＀_x0001_＀＀_x0001_＀＀쨽_xD85E_䐇㿿㕑䲯0䥔幆噁⡇彐塅䡃剟呁⡅啅ⱒ单ⱄ〲㠰㐯⭆䐱㈬〰⼹䘱⤩_x0018_＀＀_x0018_＀＀_x0008_＀＀_x0001_＀＀_x0001_＀＀忌_xD84F__xD9F0_㿴_xD9E3_为0䩔幘噁⡇彐塅䡃剟呁⡅单ⱄ䅃ⱄ〲〱㌯⭆䐱㈬㄰⼰䘴⤩_x0018_＀＀_x0018_＀＀_x0008_＀＀_x0001_＀＀_x0001_＀＀⭺㏻㿰㕑䲯0䥔幆噁⡇彐塅䡃剟呁⡅啅ⱒ单ⱄ〲㠰ㄯ⭆䐱㈬〰⼸䘲⤩_x0018_＀＀_x0018_＀＀_x0008_＀＀_x0001_＀＀_x0001_＀＀㫞ず﹌㿸_xD9FE_为0䩔幘噁⡇彐塅䡃剟呁⡅单ⱄ䅃ⱄ〲〱㐯⭆䐱㈬㄰⼱䘱⤩_x0018_＀＀_x0018_＀＀_x0008_＀＀_x0001_＀＀_x0001_＀＀ᙎﴆ誑㿯_xD98D_为0䩔幘噁⡇彐塅䡃剟呁⡅单ⱄ䅃ⱄ〲〱ㄯ⭆䐱㈬㄰⼰䘲⤩_x0018_＀＀_x0018_＀＀_x0008_＀＀_x0001_＀＀_x0001_＀＀缲鞖獇㿰㕑䲯0䥔幆噁⡇彐塅䡃剟呁⡅啅ⱒ单ⱄ〲〱ㄯ⭆䐱㈬㄰⼰䘲⤩_x0018_＀＀_x0018_＀＀_x0008_＀＀_x0001_＀＀_x0001_＀＀伨审㿴넅䲄_x001F_佒呓唭幓䝆偟䥒䕃〨⼱ㄳ㈯〰ⰶ䐬착_x0018_＀＀_x0018_＀＀_x0008_＀＀_x0001_＀＀_x0001_＀＀＀＀＀＀耀䀼_xD98D_为0䩔幘噁⡇彐塅䡃剟呁⡅单ⱄ䅃ⱄ〲㤰㈯⭆䐱㈬〰⼹䘳⤩_x0018_＀＀_x0018_＀＀_x0008_＀＀_x0001_＀＀_x0001_＀＀蔟凫躸㿱㕑䲯0䥔幆噁⡇彐塅䡃剟呁⡅䉇ⱐ单ⱄ〲㤰㌯⭆䐱㈬〰⼹䘴⤩_x0018_＀＀_x0018_＀＀_x0008_＀＀_x0001_＀＀_x0001_＀＀ᮢ═⊹㿺㐾䲯0橔幸噁⡇彐塅䡃剟呁⡅单ⱄ䅃ⱄ〲㤰㌯⭆䐱㈬〰⼹䘴⤩_x0018_＀＀_x0018_＀＀_x0008_＀＀_x0001_＀＀_x0001_＀＀_xFFFF_Ｐﴡ㿰㕑䲯0䥔幆噁⡇彐塅䡃剟呁⡅䉇ⱐ单ⱄ〲㜰㈯⭆䐱㈬〰⼷䘳⤩_x0018_＀＀_x0018_＀＀_x0008_＀＀_x0001_＀＀_x0001_＀＀ዹ㩆⭳䀀_xDB6E_为,啄䵍幙噁⡇彐塅䡃剟呁⡅单ⱄ䅃ⱄ〲㜰ㄫⱄ〲㠰⤩_x0018_＀＀_x0018_＀＀_x0008_＀＀_x0001_＀＀_x0001_＀＀_xDD00_﫼Ꮲ㿱㕑䲯0䥔幆噁⡇彐塅䡃剟呁⡅䉇ⱐ单ⱄ〲㤰ㄯ⭆䐱㈬〰⼹䘲⤩_x0018_＀＀_x0018_＀＀_x0008_＀＀_x0001_＀＀_x0001_＀＀屼톼㿸㕑䲯0䥔幆噁⡇彐塅䡃剟呁⡅啅ⱒ单ⱄ〲㤰㈯⭆䐱㈬〰⼹䘳⤩_x0018_＀＀_x0018_＀＀_x0008_＀＀_x0001_＀＀_x0001_＀＀笄ꑌ㿶냱䲄_x001F_佒呓唭幓䝆偟䥒䕃〨⼱ㄳ㈯〰ⰱ䐬착_x0018_＀＀_x0018_＀＀_x0008_＀＀_x0001_＀＀_x0001_＀＀＀＀＀＀䀦㕑䲯%䉇啐䑓坞前䙟剏䅗䑒剟呁彅䥍⡄ⰰⰬ㘢≍착_x0018_＀＀_x0018_＀＀_x0008_＀＀_x0001_＀＀_x0001_＀＀膘磊㿹_xDB26_为0䩔幘噁⡇彐塅䡃剟呁⡅单ⱄ䅃ⱄ〲㜰㐯⭆䐱㈬〰⼸䘱⤩_x0018_＀＀_x0018_＀＀_x0008_＀＀_x0001_＀＀_x0001_＀＀儃ၨ㿰㕑䲯0䥔幆噁⡇彐塅䡃剟呁⡅啅ⱒ单ⱄ〲㜰㌯⭆䐱㈬〰⼷䘴⤩_x0018_＀＀_x0018_＀＀_x0008_＀＀_x0001_＀＀_x0001_＀＀ؗ䙶⤥㿷㕑䲯%䉇啐䑓坞前䙟剏䅗䑒剟呁彅䥍⡄ⰰⰬ㌢≍착_x0018_＀＀_x0018_＀＀_x0008_＀＀_x0001_＀＀_x0001_＀＀絠㿹㐾䲯0橔幸噁⡇彐塅䡃剟呁⡅单ⱄ䅃ⱄ〲㤰ㄯ⭆䐱㈬〰⼹䘲⤩_x0018_＀＀_x0018_＀＀_x0008_＀＀_x0001_＀＀_x0001_＀＀槣쯾꾐㿲㕑䲯0䥔幆噁⡇彐塅䡃剟呁⡅啅ⱒ单ⱄ〲㜰㐯⭆䐱㈬〰⼸䘱⤩_x0018_＀＀_x0018_＀＀_x0008_＀＀_x0001_＀＀_x0001_＀＀륫_xFFFF_ﾙ㿷㕑䲯0䥔幆噁⡇彐塅䡃剟呁⡅啅ⱒ单ⱄ〲㜰ㄯ⭆䐱㈬〰⼷䘲⤩_x0018_＀＀_x0018_＀＀_x0008_＀＀_x0001_＀＀_x0001_＀＀릜吾鐩㿵㕑䲯,啄䵍幙噁⡇彐塅䡃剟呁⡅啅ⱒ单ⱄ〲㜰ㄫⱄ〲㠰⤩_x0018_＀＀_x0018_＀＀_x0008_＀＀_x0001_＀＀_x0001_＀＀핿붢裳㿷_xD98D_为0䩔幘噁⡇彐塅䡃剟呁⡅单ⱄ䅃ⱄ〲㤰㐯⭆䐱㈬㄰⼰䘱⤩_x0018_＀＀_x0018_＀＀_x0008_＀＀_x0001_＀＀_x0001_＀＀ꄖ㰲ꒇ㿰넅䲄_x001F_佒呓唭幓䝆偟䥒䕃〨⼱ㄳ㈯㄰ⰰ䐬착_x0018_＀＀_x0018_＀＀_x0008_＀＀_x0001_＀＀_x0001_＀＀ꏗ㵰䁆ပ䴦_x0012_䩔ⵘ单䙞彇剐䍉⡅⤰_x0018_＀＀_x0018_＀＀_x0008_＀＀_x0001_＀＀_x0001_＀＀＀＀＀＀耀䁅㕑䲯*䥔幆噁⡇彐塅䡃剟呁⡅啅ⱒ单ⱄ〲㘰ㄫⱄ〲㜰⤩_x0018_＀＀_x0018_＀＀_x0008_＀＀_x0001_＀＀_x0001_＀＀旝䨳㿵넅䲄_x001F_佒呓唭幓䝆偟䥒䕃〨⼱ㄳ㈯〰ⰵ䐬착_x0018_＀＀_x0018_＀＀_x0008_＀＀_x0001_＀＀_x0001_＀＀蔟凫麸䀼㕑䲯%啅啒䑓坞前䙟剏䅗䑒剟呁彅䥍⡄ⰰⰬㄢ≍착_x0018_＀＀_x0018_＀＀_x0008_＀＀_x0001_＀＀_x0001_＀＀罺垼䲭㿶㕑䲯0䥔幆噁⡇彐塅䡃剟呁⡅啅ⱒ单ⱄ〲㤰㐯⭆䐱㈬㄰⼰䘱⤩_x0018_＀＀_x0018_＀＀_x0008_＀＀_x0001_＀＀_x0001_＀＀꺾ꛌᶊ㿶</t>
        </r>
      </text>
    </comment>
    <comment ref="B1" authorId="0">
      <text>
        <r>
          <rPr>
            <b/>
            <sz val="8"/>
            <color indexed="81"/>
            <rFont val="Tahoma"/>
            <family val="2"/>
          </rPr>
          <t>3381</t>
        </r>
      </text>
    </comment>
  </commentList>
</comments>
</file>

<file path=xl/comments12.xml><?xml version="1.0" encoding="utf-8"?>
<comments xmlns="http://schemas.openxmlformats.org/spreadsheetml/2006/main">
  <authors>
    <author>lehman</author>
    <author>lr73192</author>
    <author>MB33100</author>
  </authors>
  <commentList>
    <comment ref="D6" authorId="0">
      <text>
        <r>
          <rPr>
            <b/>
            <sz val="8"/>
            <color indexed="81"/>
            <rFont val="Tahoma"/>
            <family val="2"/>
          </rPr>
          <t>lehman:</t>
        </r>
        <r>
          <rPr>
            <sz val="8"/>
            <color indexed="81"/>
            <rFont val="Tahoma"/>
            <family val="2"/>
          </rPr>
          <t xml:space="preserve">
Historical data</t>
        </r>
      </text>
    </comment>
    <comment ref="F6" authorId="0">
      <text>
        <r>
          <rPr>
            <b/>
            <sz val="8"/>
            <color indexed="81"/>
            <rFont val="Tahoma"/>
            <family val="2"/>
          </rPr>
          <t>lehman:</t>
        </r>
        <r>
          <rPr>
            <sz val="8"/>
            <color indexed="81"/>
            <rFont val="Tahoma"/>
            <family val="2"/>
          </rPr>
          <t xml:space="preserve">
Historical data</t>
        </r>
      </text>
    </comment>
    <comment ref="H6" authorId="0">
      <text>
        <r>
          <rPr>
            <b/>
            <sz val="8"/>
            <color indexed="81"/>
            <rFont val="Tahoma"/>
            <family val="2"/>
          </rPr>
          <t>lehman:</t>
        </r>
        <r>
          <rPr>
            <sz val="8"/>
            <color indexed="81"/>
            <rFont val="Tahoma"/>
            <family val="2"/>
          </rPr>
          <t xml:space="preserve">
Historical data</t>
        </r>
      </text>
    </comment>
    <comment ref="J6" authorId="0">
      <text>
        <r>
          <rPr>
            <b/>
            <sz val="8"/>
            <color indexed="81"/>
            <rFont val="Tahoma"/>
            <family val="2"/>
          </rPr>
          <t>lehman:</t>
        </r>
        <r>
          <rPr>
            <sz val="8"/>
            <color indexed="81"/>
            <rFont val="Tahoma"/>
            <family val="2"/>
          </rPr>
          <t xml:space="preserve">
Historical data</t>
        </r>
      </text>
    </comment>
    <comment ref="L6" authorId="0">
      <text>
        <r>
          <rPr>
            <b/>
            <sz val="8"/>
            <color indexed="81"/>
            <rFont val="Tahoma"/>
            <family val="2"/>
          </rPr>
          <t>lehman:</t>
        </r>
        <r>
          <rPr>
            <sz val="8"/>
            <color indexed="81"/>
            <rFont val="Tahoma"/>
            <family val="2"/>
          </rPr>
          <t xml:space="preserve">
Historical data</t>
        </r>
      </text>
    </comment>
    <comment ref="T6" authorId="0">
      <text>
        <r>
          <rPr>
            <b/>
            <sz val="8"/>
            <color indexed="81"/>
            <rFont val="Tahoma"/>
            <family val="2"/>
          </rPr>
          <t>lehman:</t>
        </r>
        <r>
          <rPr>
            <sz val="8"/>
            <color indexed="81"/>
            <rFont val="Tahoma"/>
            <family val="2"/>
          </rPr>
          <t xml:space="preserve">
No restated (SH Equity)</t>
        </r>
      </text>
    </comment>
    <comment ref="V6" authorId="0">
      <text>
        <r>
          <rPr>
            <b/>
            <sz val="8"/>
            <color indexed="81"/>
            <rFont val="Tahoma"/>
            <family val="2"/>
          </rPr>
          <t>lehman:</t>
        </r>
        <r>
          <rPr>
            <sz val="8"/>
            <color indexed="81"/>
            <rFont val="Tahoma"/>
            <family val="2"/>
          </rPr>
          <t xml:space="preserve">
Retained earnings impacted by change in layaway accounting; SH Equity restated b/c</t>
        </r>
      </text>
    </comment>
    <comment ref="AP8" authorId="1">
      <text>
        <r>
          <rPr>
            <b/>
            <sz val="8"/>
            <color indexed="81"/>
            <rFont val="Tahoma"/>
            <family val="2"/>
          </rPr>
          <t>lr73192:</t>
        </r>
        <r>
          <rPr>
            <sz val="8"/>
            <color indexed="81"/>
            <rFont val="Tahoma"/>
            <family val="2"/>
          </rPr>
          <t xml:space="preserve">
5/2010: removed $57.6 mm of Short Term Investments from A/R and other current assets (moved to Cash &amp; Cash Equivalents) per new statements with this line item broken out</t>
        </r>
      </text>
    </comment>
    <comment ref="AF41" authorId="2">
      <text>
        <r>
          <rPr>
            <b/>
            <sz val="8"/>
            <color indexed="81"/>
            <rFont val="Tahoma"/>
            <family val="2"/>
          </rPr>
          <t>MB33100:</t>
        </r>
        <r>
          <rPr>
            <sz val="8"/>
            <color indexed="81"/>
            <rFont val="Tahoma"/>
            <family val="2"/>
          </rPr>
          <t xml:space="preserve">
restated</t>
        </r>
      </text>
    </comment>
  </commentList>
</comments>
</file>

<file path=xl/comments13.xml><?xml version="1.0" encoding="utf-8"?>
<comments xmlns="http://schemas.openxmlformats.org/spreadsheetml/2006/main">
  <authors>
    <author>lehman</author>
    <author>lauraro</author>
    <author>casselau</author>
    <author>Mains, Spencer (Research)</author>
    <author>Roberts, Cynthia (Research)</author>
    <author>DL</author>
    <author>Baglione, Gregory  (Research)</author>
    <author>balskyh</author>
    <author>duol</author>
    <author>Baglione, Gregory (Research)</author>
    <author>Morry Brown</author>
    <author>Turley, Amber (Research)</author>
    <author>Lehman Brothers</author>
    <author>lr73192</author>
    <author>mm98285</author>
  </authors>
  <commentList>
    <comment ref="R7" authorId="0">
      <text>
        <r>
          <rPr>
            <b/>
            <sz val="8"/>
            <color indexed="81"/>
            <rFont val="Tahoma"/>
            <family val="2"/>
          </rPr>
          <t>lehman:</t>
        </r>
        <r>
          <rPr>
            <sz val="8"/>
            <color indexed="81"/>
            <rFont val="Tahoma"/>
            <family val="2"/>
          </rPr>
          <t xml:space="preserve">
2q-4q restated for HorM</t>
        </r>
      </text>
    </comment>
    <comment ref="V7" authorId="0">
      <text>
        <r>
          <rPr>
            <b/>
            <sz val="8"/>
            <color indexed="81"/>
            <rFont val="Tahoma"/>
            <family val="2"/>
          </rPr>
          <t>lehman:</t>
        </r>
        <r>
          <rPr>
            <sz val="8"/>
            <color indexed="81"/>
            <rFont val="Tahoma"/>
            <family val="2"/>
          </rPr>
          <t xml:space="preserve">
4q only retstated for Chadwicks; Also restated for sale of Hit or Miss on aug 14</t>
        </r>
      </text>
    </comment>
    <comment ref="Z7" authorId="0">
      <text>
        <r>
          <rPr>
            <b/>
            <sz val="8"/>
            <color indexed="81"/>
            <rFont val="Tahoma"/>
            <family val="2"/>
          </rPr>
          <t>lehman:</t>
        </r>
        <r>
          <rPr>
            <sz val="8"/>
            <color indexed="81"/>
            <rFont val="Tahoma"/>
            <family val="2"/>
          </rPr>
          <t xml:space="preserve">
Restated for Chadwicks</t>
        </r>
      </text>
    </comment>
    <comment ref="AH7" authorId="0">
      <text>
        <r>
          <rPr>
            <b/>
            <sz val="8"/>
            <color indexed="81"/>
            <rFont val="Tahoma"/>
            <family val="2"/>
          </rPr>
          <t>lehman:</t>
        </r>
        <r>
          <rPr>
            <sz val="8"/>
            <color indexed="81"/>
            <rFont val="Tahoma"/>
            <family val="2"/>
          </rPr>
          <t xml:space="preserve">
Not restated Data</t>
        </r>
      </text>
    </comment>
    <comment ref="R10" authorId="0">
      <text>
        <r>
          <rPr>
            <b/>
            <sz val="8"/>
            <color indexed="81"/>
            <rFont val="Tahoma"/>
            <family val="2"/>
          </rPr>
          <t>lehman:</t>
        </r>
        <r>
          <rPr>
            <sz val="8"/>
            <color indexed="81"/>
            <rFont val="Tahoma"/>
            <family val="2"/>
          </rPr>
          <t xml:space="preserve">
historical data</t>
        </r>
      </text>
    </comment>
    <comment ref="CH10" authorId="1">
      <text>
        <r>
          <rPr>
            <b/>
            <sz val="8"/>
            <color indexed="81"/>
            <rFont val="Tahoma"/>
            <family val="2"/>
          </rPr>
          <t xml:space="preserve">5/17: </t>
        </r>
        <r>
          <rPr>
            <sz val="8"/>
            <color indexed="81"/>
            <rFont val="Tahoma"/>
            <family val="2"/>
          </rPr>
          <t>Consolidated inventories on a per-store basis including the DCs were +12% (+10% on a constant currency basis) vs. -12% LY,  primarily due to larger available quantities of end-of-season branded packaway product.  Inventories in the stores were lower than LY on a per-store basis, and store inventory turns continued to increase over prior year during the qtr.</t>
        </r>
        <r>
          <rPr>
            <sz val="8"/>
            <color indexed="81"/>
            <rFont val="Tahoma"/>
            <family val="2"/>
          </rPr>
          <t xml:space="preserve">
</t>
        </r>
      </text>
    </comment>
    <comment ref="CU10" authorId="2">
      <text>
        <r>
          <rPr>
            <b/>
            <sz val="8"/>
            <color indexed="81"/>
            <rFont val="Tahoma"/>
            <family val="2"/>
          </rPr>
          <t>5/20/14:</t>
        </r>
        <r>
          <rPr>
            <sz val="8"/>
            <color indexed="81"/>
            <rFont val="Tahoma"/>
            <family val="2"/>
          </rPr>
          <t xml:space="preserve"> consolidated inventories on a per store basis were flat (down 1% in constant currency). Includes DC but exlude inv.in transit and eComm</t>
        </r>
      </text>
    </comment>
    <comment ref="CY10" authorId="3">
      <text>
        <r>
          <rPr>
            <b/>
            <sz val="9"/>
            <color indexed="81"/>
            <rFont val="Tahoma"/>
            <family val="2"/>
          </rPr>
          <t>Mains, Spencer (Research):</t>
        </r>
        <r>
          <rPr>
            <sz val="9"/>
            <color indexed="81"/>
            <rFont val="Tahoma"/>
            <family val="2"/>
          </rPr>
          <t xml:space="preserve">
5/19/15: Consolidated inventories on a per-store basis as of 5/2/15, incl distribution centers but excl inventory in transit and the ecomm business, were up 2% on a reported basis (up 4% on constant currency basis)</t>
        </r>
      </text>
    </comment>
    <comment ref="DG10" authorId="4">
      <text>
        <r>
          <rPr>
            <b/>
            <sz val="9"/>
            <color indexed="81"/>
            <rFont val="Tahoma"/>
            <family val="2"/>
          </rPr>
          <t>Roberts, Cynthia (Research):</t>
        </r>
        <r>
          <rPr>
            <sz val="9"/>
            <color indexed="81"/>
            <rFont val="Tahoma"/>
            <family val="2"/>
          </rPr>
          <t xml:space="preserve">
5/16/17: consolidated inventories on a per-store basis, including inventories held in warehouses, but excluding
in-transit and e-commerce inventories, were down 7% on a constant currency basis</t>
        </r>
      </text>
    </comment>
    <comment ref="CQ11" authorId="2">
      <text>
        <r>
          <rPr>
            <b/>
            <sz val="8"/>
            <color indexed="81"/>
            <rFont val="Tahoma"/>
            <family val="2"/>
          </rPr>
          <t>casselau:</t>
        </r>
        <r>
          <rPr>
            <sz val="8"/>
            <color indexed="81"/>
            <rFont val="Tahoma"/>
            <family val="2"/>
          </rPr>
          <t xml:space="preserve">
8/20/13: consolidated inventories on a per store basis were down 5% (down 4% in constant currency)</t>
        </r>
      </text>
    </comment>
    <comment ref="CU11" authorId="5">
      <text>
        <r>
          <rPr>
            <b/>
            <sz val="9"/>
            <color indexed="81"/>
            <rFont val="Tahoma"/>
            <family val="2"/>
          </rPr>
          <t xml:space="preserve">8/19/14: </t>
        </r>
        <r>
          <rPr>
            <sz val="9"/>
            <color indexed="81"/>
            <rFont val="Tahoma"/>
            <family val="2"/>
          </rPr>
          <t xml:space="preserve">Consolidated inventories on a per-store basis as of August 2, 2014, including the distribution centers, but excluding inventory in transit and the Company’s e-commerce businesses, were up 1% on a reported basis (flat on a constant currency basis).
</t>
        </r>
      </text>
    </comment>
    <comment ref="DB11" authorId="6">
      <text>
        <r>
          <rPr>
            <b/>
            <sz val="9"/>
            <color indexed="81"/>
            <rFont val="Tahoma"/>
            <family val="2"/>
          </rPr>
          <t>Baglione, Gregory  (Research):</t>
        </r>
        <r>
          <rPr>
            <sz val="9"/>
            <color indexed="81"/>
            <rFont val="Tahoma"/>
            <family val="2"/>
          </rPr>
          <t xml:space="preserve">
8/16/16
Total inventories as of July 30, 2016, were $3.9 billion, compared with $3.7 billion at the end of the second quarter last year. Consolidated inventories on a per-store basis as of July 30, 2016, including the distribution centers, but excluding inventory in transit and the Company’s e-commerce businesses, were down 2% on a reported basis (flat on a constant currency basis). The Company enters the third quarter in an excellent inventory position to take advantage of the plentiful buying opportunities it sees in the marketplace and ship fresh, branded assortments throughout the fall and holiday seasons.</t>
        </r>
      </text>
    </comment>
    <comment ref="DG11" authorId="4">
      <text>
        <r>
          <rPr>
            <b/>
            <sz val="9"/>
            <color indexed="81"/>
            <rFont val="Tahoma"/>
            <family val="2"/>
          </rPr>
          <t>Roberts, Cynthia (Research):</t>
        </r>
        <r>
          <rPr>
            <sz val="9"/>
            <color indexed="81"/>
            <rFont val="Tahoma"/>
            <family val="2"/>
          </rPr>
          <t xml:space="preserve">
inventory on per store basis -6% on reported and cc basis.
Mgmt noted "plenty of liquidity to take advantage of abundant buying opportunities in the market for quality branded merchandise"</t>
        </r>
      </text>
    </comment>
    <comment ref="CM12" authorId="7">
      <text>
        <r>
          <rPr>
            <b/>
            <sz val="8"/>
            <color indexed="81"/>
            <rFont val="Tahoma"/>
            <family val="2"/>
          </rPr>
          <t xml:space="preserve">11/13/2012: </t>
        </r>
        <r>
          <rPr>
            <sz val="8"/>
            <color indexed="81"/>
            <rFont val="Tahoma"/>
            <family val="2"/>
          </rPr>
          <t>-13% on constant currency</t>
        </r>
      </text>
    </comment>
    <comment ref="CQ12" authorId="8">
      <text>
        <r>
          <rPr>
            <b/>
            <sz val="8"/>
            <color indexed="81"/>
            <rFont val="Tahoma"/>
            <family val="2"/>
          </rPr>
          <t xml:space="preserve">11/19/13: </t>
        </r>
        <r>
          <rPr>
            <sz val="8"/>
            <color indexed="81"/>
            <rFont val="Tahoma"/>
            <family val="2"/>
          </rPr>
          <t>consolidated inventories on a per store basis were down 5% (also down 5% in constant currency)</t>
        </r>
        <r>
          <rPr>
            <sz val="8"/>
            <color indexed="81"/>
            <rFont val="Tahoma"/>
            <family val="2"/>
          </rPr>
          <t xml:space="preserve">
</t>
        </r>
      </text>
    </comment>
    <comment ref="CU12" authorId="5">
      <text>
        <r>
          <rPr>
            <b/>
            <sz val="9"/>
            <color indexed="81"/>
            <rFont val="Tahoma"/>
            <family val="2"/>
          </rPr>
          <t xml:space="preserve">11/18/14: </t>
        </r>
        <r>
          <rPr>
            <sz val="9"/>
            <color indexed="81"/>
            <rFont val="Tahoma"/>
            <family val="2"/>
          </rPr>
          <t>At the end of the third quarter, consolidated inventories on a per store basis including the warehouses and excluding in transit and eCommerce inventories were up 3% on a constant currency basis, versus a 4% decline last year, as we transitioned into gift giving a bit earlier this year. We are very comfortable with our inventory position with excellent liquidity. I should also note that our in-store inventories are planned to be down at year-end versus the prior year.</t>
        </r>
      </text>
    </comment>
    <comment ref="CX12" authorId="9">
      <text>
        <r>
          <rPr>
            <b/>
            <sz val="9"/>
            <color indexed="81"/>
            <rFont val="Tahoma"/>
            <family val="2"/>
          </rPr>
          <t>Baglione, Gregory (Research):</t>
        </r>
        <r>
          <rPr>
            <sz val="9"/>
            <color indexed="81"/>
            <rFont val="Tahoma"/>
            <family val="2"/>
          </rPr>
          <t xml:space="preserve">
Restated from $4415.3</t>
        </r>
      </text>
    </comment>
    <comment ref="DB12" authorId="9">
      <text>
        <r>
          <rPr>
            <b/>
            <sz val="9"/>
            <color indexed="81"/>
            <rFont val="Tahoma"/>
            <family val="2"/>
          </rPr>
          <t>Baglione, Gregory (Research):</t>
        </r>
        <r>
          <rPr>
            <sz val="9"/>
            <color indexed="81"/>
            <rFont val="Tahoma"/>
            <family val="2"/>
          </rPr>
          <t xml:space="preserve">
Total inventories as of October 29, 2016, were $4.4 billion, compared with $4.4 billion at the end of the third quarter last year. Consolidated inventories on a per-store basis as of October 29, 2016, including the distribution centers, but excluding inventory in transit and the Company’s e-commerce businesses, were down 5% on a reported basis (down 2% on a constant currency basis). The Company enters the fourth quarter in an excellent inventory position to take advantage of the plentiful buying opportunities it sees in the marketplace and ship ever-changing gift assortments to its stores throughout the holiday season.</t>
        </r>
      </text>
    </comment>
    <comment ref="DG12" authorId="4">
      <text>
        <r>
          <rPr>
            <b/>
            <sz val="9"/>
            <color indexed="81"/>
            <rFont val="Tahoma"/>
            <family val="2"/>
          </rPr>
          <t>Roberts, Cynthia (Research):</t>
        </r>
        <r>
          <rPr>
            <sz val="9"/>
            <color indexed="81"/>
            <rFont val="Tahoma"/>
            <family val="2"/>
          </rPr>
          <t xml:space="preserve">
inventory per store -2% on reported basis and -4% on cc basis</t>
        </r>
      </text>
    </comment>
    <comment ref="BF13" authorId="10">
      <text>
        <r>
          <rPr>
            <b/>
            <sz val="8"/>
            <color indexed="81"/>
            <rFont val="Tahoma"/>
            <family val="2"/>
          </rPr>
          <t>Morry Brown:</t>
        </r>
        <r>
          <rPr>
            <sz val="8"/>
            <color indexed="81"/>
            <rFont val="Tahoma"/>
            <family val="2"/>
          </rPr>
          <t xml:space="preserve">
Includes $237mm as TJX began to accrue for inventory purchase obligations at time of shipping versus reciept</t>
        </r>
      </text>
    </comment>
    <comment ref="CU13" authorId="11">
      <text>
        <r>
          <rPr>
            <b/>
            <sz val="9"/>
            <color indexed="81"/>
            <rFont val="Tahoma"/>
            <family val="2"/>
          </rPr>
          <t>Turley, Amber (Research):</t>
        </r>
        <r>
          <rPr>
            <sz val="9"/>
            <color indexed="81"/>
            <rFont val="Tahoma"/>
            <family val="2"/>
          </rPr>
          <t xml:space="preserve">
2/25/15: Consolidated inventories on a
per-store basis as of January 31, 2015, including the distribution centers, but
excluding inventory in transit and the Company`s e-commerce businesses, were up
3% on a reported basis (up 5% on a constant currency basis) versus an 8% decline
last year. TJX enters the new fiscal year in an excellent inventory position and
is set up well to take advantage of the plentiful opportunities it sees in the
marketplace and to continue shipping fresh spring merchandise to its stores.</t>
        </r>
      </text>
    </comment>
    <comment ref="CX13" authorId="6">
      <text>
        <r>
          <rPr>
            <b/>
            <sz val="9"/>
            <color indexed="81"/>
            <rFont val="Tahoma"/>
            <family val="2"/>
          </rPr>
          <t>Baglione, Gregory  (Research):</t>
        </r>
        <r>
          <rPr>
            <sz val="9"/>
            <color indexed="81"/>
            <rFont val="Tahoma"/>
            <family val="2"/>
          </rPr>
          <t xml:space="preserve">
Total inventories as of January 30, 2016, were $3.7 billion, compared with $3.2 billion at the end of the prior fiscal year. Consolidated inventories on a per-store basis as of January 30, 2016, including the distribution centers, but excluding inventory in transit and the Company’s e-commerce businesses, were up 5% on a reported basis (up 6% on a constant currency basis). TJX enters the new fiscal year in an excellent inventory position to continue shipping fresh merchandise to its stores and take advantage of the plentiful opportunities it is seeing in the marketplace for quality, branded goods.</t>
        </r>
      </text>
    </comment>
    <comment ref="DB13" authorId="4">
      <text>
        <r>
          <rPr>
            <b/>
            <sz val="9"/>
            <color indexed="81"/>
            <rFont val="Tahoma"/>
            <family val="2"/>
          </rPr>
          <t>Roberts, Cynthia (Research):</t>
        </r>
        <r>
          <rPr>
            <sz val="9"/>
            <color indexed="81"/>
            <rFont val="Tahoma"/>
            <family val="2"/>
          </rPr>
          <t xml:space="preserve">
2/22/17: consolidated inventories -4% on a cc basis</t>
        </r>
      </text>
    </comment>
    <comment ref="DG13" authorId="4">
      <text>
        <r>
          <rPr>
            <b/>
            <sz val="9"/>
            <color indexed="81"/>
            <rFont val="Tahoma"/>
            <family val="2"/>
          </rPr>
          <t>Roberts, Cynthia (Research):</t>
        </r>
        <r>
          <rPr>
            <sz val="9"/>
            <color indexed="81"/>
            <rFont val="Tahoma"/>
            <family val="2"/>
          </rPr>
          <t xml:space="preserve">
inentory per store +6% on a reported basis  or +4% on a constant currency basis</t>
        </r>
      </text>
    </comment>
    <comment ref="Z16" authorId="12">
      <text>
        <r>
          <rPr>
            <b/>
            <sz val="8"/>
            <color indexed="81"/>
            <rFont val="Tahoma"/>
            <family val="2"/>
          </rPr>
          <t>Lehman Brothers:</t>
        </r>
        <r>
          <rPr>
            <sz val="8"/>
            <color indexed="81"/>
            <rFont val="Tahoma"/>
            <family val="2"/>
          </rPr>
          <t xml:space="preserve">
incl. Net current assets of discontinued ops</t>
        </r>
      </text>
    </comment>
    <comment ref="BZ16" authorId="13">
      <text>
        <r>
          <rPr>
            <b/>
            <sz val="8"/>
            <color indexed="81"/>
            <rFont val="Tahoma"/>
            <family val="2"/>
          </rPr>
          <t>lr73192:</t>
        </r>
        <r>
          <rPr>
            <sz val="8"/>
            <color indexed="81"/>
            <rFont val="Tahoma"/>
            <family val="2"/>
          </rPr>
          <t xml:space="preserve">
5/2010: removed $57.6 mm of Short Term Investments from here (moved to Cash &amp; Cash Equivalents) per new statements with this line item broken out</t>
        </r>
      </text>
    </comment>
    <comment ref="CX17" authorId="6">
      <text>
        <r>
          <rPr>
            <b/>
            <sz val="9"/>
            <color indexed="81"/>
            <rFont val="Tahoma"/>
            <family val="2"/>
          </rPr>
          <t>Baglione, Gregory  (Research):</t>
        </r>
        <r>
          <rPr>
            <sz val="9"/>
            <color indexed="81"/>
            <rFont val="Tahoma"/>
            <family val="2"/>
          </rPr>
          <t xml:space="preserve">
8/16/16
Restated from $1.14B</t>
        </r>
      </text>
    </comment>
    <comment ref="CX18" authorId="6">
      <text>
        <r>
          <rPr>
            <b/>
            <sz val="9"/>
            <color indexed="81"/>
            <rFont val="Tahoma"/>
            <family val="2"/>
          </rPr>
          <t>Baglione, Gregory  (Research):</t>
        </r>
        <r>
          <rPr>
            <sz val="9"/>
            <color indexed="81"/>
            <rFont val="Tahoma"/>
            <family val="2"/>
          </rPr>
          <t xml:space="preserve">
11/15/16
Restated from $1.18B</t>
        </r>
      </text>
    </comment>
    <comment ref="AL22" authorId="0">
      <text>
        <r>
          <rPr>
            <sz val="8"/>
            <color indexed="81"/>
            <rFont val="Tahoma"/>
            <family val="2"/>
          </rPr>
          <t>No restatement of accounts payable</t>
        </r>
      </text>
    </comment>
    <comment ref="BF24" authorId="10">
      <text>
        <r>
          <rPr>
            <b/>
            <sz val="8"/>
            <color indexed="81"/>
            <rFont val="Tahoma"/>
            <family val="2"/>
          </rPr>
          <t>Morry Brown:</t>
        </r>
        <r>
          <rPr>
            <sz val="8"/>
            <color indexed="81"/>
            <rFont val="Tahoma"/>
            <family val="2"/>
          </rPr>
          <t xml:space="preserve">
1578</t>
        </r>
      </text>
    </comment>
    <comment ref="CX24" authorId="9">
      <text>
        <r>
          <rPr>
            <b/>
            <sz val="9"/>
            <color indexed="81"/>
            <rFont val="Tahoma"/>
            <family val="2"/>
          </rPr>
          <t>Baglione, Gregory (Research):</t>
        </r>
        <r>
          <rPr>
            <sz val="9"/>
            <color indexed="81"/>
            <rFont val="Tahoma"/>
            <family val="2"/>
          </rPr>
          <t xml:space="preserve">
Restated from $2696.6</t>
        </r>
      </text>
    </comment>
    <comment ref="BW25" authorId="14">
      <text>
        <r>
          <rPr>
            <b/>
            <sz val="8"/>
            <color indexed="81"/>
            <rFont val="Tahoma"/>
            <family val="2"/>
          </rPr>
          <t>mm98285:</t>
        </r>
        <r>
          <rPr>
            <sz val="8"/>
            <color indexed="81"/>
            <rFont val="Tahoma"/>
            <family val="2"/>
          </rPr>
          <t xml:space="preserve">
decline due to timing difference in payment of A/P due to change in buying pattern</t>
        </r>
      </text>
    </comment>
    <comment ref="A27" authorId="0">
      <text>
        <r>
          <rPr>
            <sz val="8"/>
            <color indexed="81"/>
            <rFont val="Tahoma"/>
            <family val="2"/>
          </rPr>
          <t>Excludes obligation under capital lease, less portion due within one year</t>
        </r>
      </text>
    </comment>
    <comment ref="CH27" authorId="0">
      <text>
        <r>
          <rPr>
            <sz val="8"/>
            <color indexed="81"/>
            <rFont val="Tahoma"/>
            <family val="2"/>
          </rPr>
          <t>Excludes obligation under capital lease, less portion due within one year</t>
        </r>
      </text>
    </comment>
    <comment ref="CX30" authorId="9">
      <text>
        <r>
          <rPr>
            <b/>
            <sz val="9"/>
            <color indexed="81"/>
            <rFont val="Tahoma"/>
            <family val="2"/>
          </rPr>
          <t>Baglione, Gregory (Research):</t>
        </r>
        <r>
          <rPr>
            <sz val="9"/>
            <color indexed="81"/>
            <rFont val="Tahoma"/>
            <family val="2"/>
          </rPr>
          <t xml:space="preserve">
Restated from $2031.8</t>
        </r>
      </text>
    </comment>
  </commentList>
</comments>
</file>

<file path=xl/comments14.xml><?xml version="1.0" encoding="utf-8"?>
<comments xmlns="http://schemas.openxmlformats.org/spreadsheetml/2006/main">
  <authors>
    <author>Kimberly Greenberger</author>
    <author>Morry Brown</author>
    <author>mm98285</author>
    <author>oc48540</author>
    <author>OC48540</author>
    <author>ti23070</author>
    <author>TI23070</author>
    <author>Margaret Marchant</author>
    <author>sancfa</author>
    <author>lauraro</author>
    <author>solejay</author>
    <author>balskyh</author>
  </authors>
  <commentList>
    <comment ref="AF111" authorId="0">
      <text>
        <r>
          <rPr>
            <b/>
            <sz val="8"/>
            <color indexed="81"/>
            <rFont val="Tahoma"/>
            <family val="2"/>
          </rPr>
          <t>Kimberly Greenberger:</t>
        </r>
        <r>
          <rPr>
            <sz val="8"/>
            <color indexed="81"/>
            <rFont val="Tahoma"/>
            <family val="2"/>
          </rPr>
          <t xml:space="preserve">
11/4/04 Co indicated inv per store +1%. Changed from +2% to +1%.</t>
        </r>
      </text>
    </comment>
    <comment ref="Z112" authorId="0">
      <text>
        <r>
          <rPr>
            <b/>
            <sz val="8"/>
            <color indexed="81"/>
            <rFont val="Tahoma"/>
            <family val="2"/>
          </rPr>
          <t>Kimberly Greenberger:</t>
        </r>
        <r>
          <rPr>
            <sz val="8"/>
            <color indexed="81"/>
            <rFont val="Tahoma"/>
            <family val="2"/>
          </rPr>
          <t xml:space="preserve">
actual increase in inventory per store, incl. Inv at the DC's increased 1% per store.  However, $237mm added to inv balance due to change in acctg for inventory in-transit. Began booking inv in transit as Inv and A/P starting 3Q04.</t>
        </r>
      </text>
    </comment>
    <comment ref="AF118" authorId="1">
      <text>
        <r>
          <rPr>
            <b/>
            <sz val="8"/>
            <color indexed="81"/>
            <rFont val="Tahoma"/>
            <family val="2"/>
          </rPr>
          <t>Morry Brown:</t>
        </r>
        <r>
          <rPr>
            <sz val="8"/>
            <color indexed="81"/>
            <rFont val="Tahoma"/>
            <family val="2"/>
          </rPr>
          <t xml:space="preserve">
+2.0</t>
        </r>
      </text>
    </comment>
    <comment ref="Z123" authorId="2">
      <text>
        <r>
          <rPr>
            <b/>
            <sz val="8"/>
            <color indexed="81"/>
            <rFont val="Tahoma"/>
            <family val="2"/>
          </rPr>
          <t>mm98285:</t>
        </r>
        <r>
          <rPr>
            <sz val="8"/>
            <color indexed="81"/>
            <rFont val="Tahoma"/>
            <family val="2"/>
          </rPr>
          <t xml:space="preserve">
3/06- down per store in Feb</t>
        </r>
      </text>
    </comment>
    <comment ref="AF124" authorId="2">
      <text>
        <r>
          <rPr>
            <b/>
            <sz val="8"/>
            <color indexed="81"/>
            <rFont val="Tahoma"/>
            <family val="2"/>
          </rPr>
          <t>mm98285:</t>
        </r>
        <r>
          <rPr>
            <sz val="8"/>
            <color indexed="81"/>
            <rFont val="Tahoma"/>
            <family val="2"/>
          </rPr>
          <t xml:space="preserve">
6/06: flat eo May</t>
        </r>
      </text>
    </comment>
    <comment ref="AF131" authorId="3">
      <text>
        <r>
          <rPr>
            <b/>
            <sz val="8"/>
            <color indexed="81"/>
            <rFont val="Tahoma"/>
            <family val="2"/>
          </rPr>
          <t>oc48540:</t>
        </r>
        <r>
          <rPr>
            <sz val="8"/>
            <color indexed="81"/>
            <rFont val="Tahoma"/>
            <family val="2"/>
          </rPr>
          <t xml:space="preserve">
2Q: Consolidated avg per store inventories, including inventory on hand at its DC +2%; MM's avg. per store inventories, incl. inventory on hand at its DC was flat
7/07: Down on a per store total commitment basis in May and June
</t>
        </r>
      </text>
    </comment>
    <comment ref="AF132" authorId="3">
      <text>
        <r>
          <rPr>
            <b/>
            <sz val="8"/>
            <color indexed="81"/>
            <rFont val="Tahoma"/>
            <family val="2"/>
          </rPr>
          <t>oc48540:</t>
        </r>
        <r>
          <rPr>
            <sz val="8"/>
            <color indexed="81"/>
            <rFont val="Tahoma"/>
            <family val="2"/>
          </rPr>
          <t xml:space="preserve">
Aug: Total inv. commitment down on a per store basis
Sep: Total inv. commitment down on a per store basis
Oct: Total inv. commitment down on a per store basis</t>
        </r>
      </text>
    </comment>
    <comment ref="AF133" authorId="4">
      <text>
        <r>
          <rPr>
            <b/>
            <sz val="8"/>
            <color indexed="81"/>
            <rFont val="Tahoma"/>
            <family val="2"/>
          </rPr>
          <t>OC48540:</t>
        </r>
        <r>
          <rPr>
            <sz val="8"/>
            <color indexed="81"/>
            <rFont val="Tahoma"/>
            <family val="2"/>
          </rPr>
          <t xml:space="preserve">
3/08: avg in-store inventories including inv. on hand at DC were up 2% vs. +7% LY
(down 2% at MM vs. +8% LY)
Nov: Total inv. down on a per store basis entered Dec less committed
Dec &amp; Jan: Inv/warehouse/stores merch down vs. LY on a per store basis
</t>
        </r>
      </text>
    </comment>
    <comment ref="AF138" authorId="5">
      <text>
        <r>
          <rPr>
            <b/>
            <sz val="8"/>
            <color indexed="81"/>
            <rFont val="Tahoma"/>
            <family val="2"/>
          </rPr>
          <t>ti23070:</t>
        </r>
        <r>
          <rPr>
            <sz val="8"/>
            <color indexed="81"/>
            <rFont val="Tahoma"/>
            <family val="2"/>
          </rPr>
          <t xml:space="preserve">
2Q: Consolidated avg per store inventories, including inventory on hand at its DC -2%; MM's avg. per store inventories, incl. inventory on hand at its DC -2% 
8/7/08: Inv. (warehouses/stores /merch on order) -slightly per store</t>
        </r>
      </text>
    </comment>
    <comment ref="AF139" authorId="6">
      <text>
        <r>
          <rPr>
            <b/>
            <sz val="8"/>
            <color indexed="81"/>
            <rFont val="Tahoma"/>
            <family val="2"/>
          </rPr>
          <t>TI23070:</t>
        </r>
        <r>
          <rPr>
            <sz val="8"/>
            <color indexed="81"/>
            <rFont val="Tahoma"/>
            <family val="2"/>
          </rPr>
          <t xml:space="preserve">
11/08: consolidated inv. on per store basis including warehouses -6% vs. -1% LY; ex F/X impact inv. -1% per store vs. -3% LY; At MM total inv. commitment incl. warehouses, stores and merch on order down vs. LY on per store basis
Aug &amp; Sept:  Inv. (warehouses/ stores/merch on order) down vs. LY per store</t>
        </r>
      </text>
    </comment>
    <comment ref="AF140" authorId="2">
      <text>
        <r>
          <rPr>
            <b/>
            <sz val="8"/>
            <color indexed="81"/>
            <rFont val="Tahoma"/>
            <family val="2"/>
          </rPr>
          <t>mm98285:</t>
        </r>
        <r>
          <rPr>
            <sz val="8"/>
            <color indexed="81"/>
            <rFont val="Tahoma"/>
            <family val="2"/>
          </rPr>
          <t xml:space="preserve">
10K: avg per store inv. -6% vs. +2% LY. On comparable basis (adj for FX &amp; calendar) avg inv per store (incl DC) -4% vs. flat LY
2/09: expect down on a per store basis
1/09: expect down on per store basis
12/08: expect flat on psf basis
2/08: expect flat on per store basis</t>
        </r>
      </text>
    </comment>
    <comment ref="AF144" authorId="2">
      <text>
        <r>
          <rPr>
            <b/>
            <sz val="8"/>
            <color indexed="81"/>
            <rFont val="Tahoma"/>
            <family val="2"/>
          </rPr>
          <t>mm98285:</t>
        </r>
        <r>
          <rPr>
            <sz val="8"/>
            <color indexed="81"/>
            <rFont val="Tahoma"/>
            <family val="2"/>
          </rPr>
          <t xml:space="preserve">
5/09: -4% on a per store basis including the warehouses vs. -2% LY. At Marmaxx, total inv. commitment per store was down vs. LY (MM: avg per store inventory, incl inv. on hand at DCs +4% vs. -5% LY)
excluding impact of F/X, avg per store inventories including invnetnory on hand at DC decreased slightly vs. LY
3/09-5/09: Inv incl warehouse/stores/merch on order was down vs. LY on per store basis
</t>
        </r>
      </text>
    </comment>
    <comment ref="AF145" authorId="6">
      <text>
        <r>
          <rPr>
            <b/>
            <sz val="8"/>
            <color indexed="81"/>
            <rFont val="Tahoma"/>
            <family val="2"/>
          </rPr>
          <t>TI23070:</t>
        </r>
        <r>
          <rPr>
            <sz val="8"/>
            <color indexed="81"/>
            <rFont val="Tahoma"/>
            <family val="2"/>
          </rPr>
          <t xml:space="preserve">
9/09: Consolidated avg. per store inventory (including inventory at DCs) at 2Q end were down -4% vs. LY or -2% excl. F/X impact
Marmaxx avg per store inventory flat</t>
        </r>
      </text>
    </comment>
    <comment ref="AF146" authorId="6">
      <text>
        <r>
          <rPr>
            <b/>
            <sz val="8"/>
            <color indexed="81"/>
            <rFont val="Tahoma"/>
            <family val="2"/>
          </rPr>
          <t xml:space="preserve">TI230
</t>
        </r>
        <r>
          <rPr>
            <sz val="8"/>
            <color indexed="81"/>
            <rFont val="Tahoma"/>
            <family val="2"/>
          </rPr>
          <t xml:space="preserve">10Q: consolidated avg per store inventory incl inv. on hand at DC was -5% (vs. -6% LY) or -7% excl. impact of F/X
Marmaxx avg per store inv (incl DC) -6% (vs. -1% LY), also had fewer dollars committed to inv'ty as inv'ty on hand &amp; merch on order were down per store vs. LY
inventory including warehouse/stores/merch. on order was down vs. LY on a per store basis in Oct, sept, Aug. </t>
        </r>
        <r>
          <rPr>
            <b/>
            <sz val="8"/>
            <color indexed="81"/>
            <rFont val="Tahoma"/>
            <family val="2"/>
          </rPr>
          <t xml:space="preserve">
</t>
        </r>
      </text>
    </comment>
    <comment ref="AF147" authorId="6">
      <text>
        <r>
          <rPr>
            <b/>
            <sz val="8"/>
            <color indexed="81"/>
            <rFont val="Tahoma"/>
            <family val="2"/>
          </rPr>
          <t>TI23070:</t>
        </r>
        <r>
          <rPr>
            <sz val="8"/>
            <color indexed="81"/>
            <rFont val="Tahoma"/>
            <family val="2"/>
          </rPr>
          <t xml:space="preserve">
2/10: consolidated inventory on per store basis including warehouses -10% vs. -6% LY (Marmaxx flat vs. down LY)
November: inventory including warehouse/stores/merchandise on order was down vs. LY on a per store basis.
December: inventory incl. warehouse/stores/merchandise on order was down vs. LY on a per store basis
January: inv. Including warehouse/stores/merchandise on order was flat vs. LY on a per store basis</t>
        </r>
      </text>
    </comment>
    <comment ref="AF151" authorId="2">
      <text>
        <r>
          <rPr>
            <b/>
            <sz val="8"/>
            <color indexed="81"/>
            <rFont val="Tahoma"/>
            <family val="2"/>
          </rPr>
          <t>mm98285:</t>
        </r>
        <r>
          <rPr>
            <sz val="8"/>
            <color indexed="81"/>
            <rFont val="Tahoma"/>
            <family val="2"/>
          </rPr>
          <t xml:space="preserve">
2/10: expect Marmaxx's inventory  commitments to be flat to +slightly in 1H10 given the strong pace of business vs. LY
3/10: Feb: Invemtory incl. warehouse/stores/merchandise on order was flat vs. LY on a per store basis
4/10: inventory including warehouse/stores/merchandise on order was flat to slightly up vs. LY on a per store basis
5/10:  inventory including warehouses/stores/merchandise on order was up slightly vs LY on a per store basis as of end of April</t>
        </r>
      </text>
    </comment>
    <comment ref="AF152" authorId="6">
      <text>
        <r>
          <rPr>
            <b/>
            <sz val="8"/>
            <color indexed="81"/>
            <rFont val="Tahoma"/>
            <family val="2"/>
          </rPr>
          <t>TI23070:</t>
        </r>
        <r>
          <rPr>
            <sz val="8"/>
            <color indexed="81"/>
            <rFont val="Tahoma"/>
            <family val="2"/>
          </rPr>
          <t xml:space="preserve">
8/10: total inv commitment down vsl LY on per store basis at Marmxx</t>
        </r>
      </text>
    </comment>
    <comment ref="AF153" authorId="7">
      <text>
        <r>
          <rPr>
            <b/>
            <sz val="8"/>
            <color indexed="81"/>
            <rFont val="Tahoma"/>
            <family val="2"/>
          </rPr>
          <t>Margaret Marchant:</t>
        </r>
        <r>
          <rPr>
            <sz val="8"/>
            <color indexed="81"/>
            <rFont val="Tahoma"/>
            <family val="2"/>
          </rPr>
          <t xml:space="preserve">
10/10: Total inv'ty commitment +slightly per store; inv'ty in stores and DCs -signif. per store  
Aug sales call: inventory down signif and turning quickly (inv commitments flat)</t>
        </r>
      </text>
    </comment>
    <comment ref="AF154" authorId="8">
      <text>
        <r>
          <rPr>
            <b/>
            <sz val="8"/>
            <color indexed="81"/>
            <rFont val="Tahoma"/>
            <family val="2"/>
          </rPr>
          <t>sancfa:</t>
        </r>
        <r>
          <rPr>
            <sz val="8"/>
            <color indexed="81"/>
            <rFont val="Tahoma"/>
            <family val="2"/>
          </rPr>
          <t xml:space="preserve">
1/11: Total inv. commitment incl. WH’s/stores/mdse on order was up per store.
12/10:Total inv. commitment incl. WH’s/stores/mdse on order was up per store.
11/10:Total inv. commitment incl. WH’s/stores/mdse on order was up per store.</t>
        </r>
      </text>
    </comment>
    <comment ref="AF158" authorId="9">
      <text>
        <r>
          <rPr>
            <b/>
            <sz val="8"/>
            <color indexed="81"/>
            <rFont val="Tahoma"/>
            <family val="2"/>
          </rPr>
          <t xml:space="preserve">5/17: </t>
        </r>
        <r>
          <rPr>
            <sz val="8"/>
            <color indexed="81"/>
            <rFont val="Tahoma"/>
            <family val="2"/>
          </rPr>
          <t>Consolidated inventories on a per-store basis including the DCs were +12% (+10% on a constant currency basis) vs. -12% LY,  primarily due to larger available quantities of end-of-season branded packaway product.  Inventories in the stores were lower than LY on a per-store basis, and store inventory turns continued to increase over prior year during the qtr.</t>
        </r>
        <r>
          <rPr>
            <sz val="8"/>
            <color indexed="81"/>
            <rFont val="Tahoma"/>
            <family val="2"/>
          </rPr>
          <t xml:space="preserve">
</t>
        </r>
      </text>
    </comment>
    <comment ref="AF159" authorId="8">
      <text>
        <r>
          <rPr>
            <b/>
            <sz val="8"/>
            <color indexed="81"/>
            <rFont val="Tahoma"/>
            <family val="2"/>
          </rPr>
          <t>sancfa:</t>
        </r>
        <r>
          <rPr>
            <sz val="8"/>
            <color indexed="81"/>
            <rFont val="Tahoma"/>
            <family val="2"/>
          </rPr>
          <t xml:space="preserve">
2Q: Consolidated inventories on a per-store basis, including the warehouses, increased +16% vs. -13% LY.  The increase is largely driven by the YoY swing in packaway inventory from depressed year-ago levels.
Beginning of quarter total inventory +15% vs. 2Q total sales growth +7% and our estimate for +HSD total inventory growth</t>
        </r>
      </text>
    </comment>
    <comment ref="AF160" authorId="10">
      <text>
        <r>
          <rPr>
            <b/>
            <sz val="8"/>
            <color indexed="81"/>
            <rFont val="Tahoma"/>
            <family val="2"/>
          </rPr>
          <t>solejay:</t>
        </r>
        <r>
          <rPr>
            <sz val="8"/>
            <color indexed="81"/>
            <rFont val="Tahoma"/>
            <family val="2"/>
          </rPr>
          <t xml:space="preserve">
11/15:  Press release - The increase continues to be primarily due to large quantities of available, branded, pack-away product, including merchandise acquired at the end of the summer season. It’s important to note that this increase is all in our distribution center inventories, as store inventories remain down versus last year on a per-store basis, and store turns continue to be faster than last year. Furthermore, the Company’s forward inventory purchase commitments are significantly lower than at this time last year. As a result, the Company enters the fourth quarter with very liquid inventory levels, positioning it well to take advantage of the excellent buying opportunities in the marketplace. The Company expects total inventories on a per-store basis at year end to be up in the low- to mid-single-digit percentages compared with the prior year, although this will ultimately depend upon the level of pack-away at that time.</t>
        </r>
      </text>
    </comment>
    <comment ref="N161" authorId="9">
      <text>
        <r>
          <rPr>
            <b/>
            <sz val="8"/>
            <color indexed="81"/>
            <rFont val="Tahoma"/>
            <family val="2"/>
          </rPr>
          <t>lauraro:</t>
        </r>
        <r>
          <rPr>
            <sz val="8"/>
            <color indexed="81"/>
            <rFont val="Tahoma"/>
            <family val="2"/>
          </rPr>
          <t xml:space="preserve">
Expect flat total inventory vs. LY at end of 2011</t>
        </r>
      </text>
    </comment>
    <comment ref="AF161" authorId="9">
      <text>
        <r>
          <rPr>
            <b/>
            <sz val="8"/>
            <color indexed="81"/>
            <rFont val="Tahoma"/>
            <family val="2"/>
          </rPr>
          <t>lauraro:</t>
        </r>
        <r>
          <rPr>
            <sz val="8"/>
            <color indexed="81"/>
            <rFont val="Tahoma"/>
            <family val="2"/>
          </rPr>
          <t xml:space="preserve">
11/15: The Company expects total inventories on a per-store basis at year end to be up in the low- to mid-single-digit percentages compared with the prior year, although this will ultimately depend upon the level of pack-away at that time.</t>
        </r>
      </text>
    </comment>
    <comment ref="AF167" authorId="11">
      <text>
        <r>
          <rPr>
            <b/>
            <sz val="8"/>
            <color indexed="81"/>
            <rFont val="Tahoma"/>
            <family val="2"/>
          </rPr>
          <t xml:space="preserve">8/14/2012: </t>
        </r>
        <r>
          <rPr>
            <sz val="8"/>
            <color indexed="81"/>
            <rFont val="Tahoma"/>
            <family val="2"/>
          </rPr>
          <t>planning inventories down 2H</t>
        </r>
      </text>
    </comment>
    <comment ref="AF168" authorId="11">
      <text>
        <r>
          <rPr>
            <b/>
            <sz val="8"/>
            <color indexed="81"/>
            <rFont val="Tahoma"/>
            <family val="2"/>
          </rPr>
          <t xml:space="preserve">8/14/2012: </t>
        </r>
        <r>
          <rPr>
            <sz val="8"/>
            <color indexed="81"/>
            <rFont val="Tahoma"/>
            <family val="2"/>
          </rPr>
          <t>planning inventories down 2H</t>
        </r>
      </text>
    </comment>
    <comment ref="AF173" authorId="10">
      <text>
        <r>
          <rPr>
            <sz val="8"/>
            <color indexed="81"/>
            <rFont val="Tahoma"/>
            <family val="2"/>
          </rPr>
          <t xml:space="preserve">8/20/13: Consolidated inventories on a per-store basis at August 3, 2013, including the distribution centers, but excluding the Company’s e-commerce businesses, were down 5% (down 4% on a constant currency basis). The Company enters the third quarter in an excellent inventory position which gives it the flexibility to take advantage of the great buying opportunities it is seeing in the marketplace. 
</t>
        </r>
      </text>
    </comment>
    <comment ref="AF174" authorId="11">
      <text>
        <r>
          <rPr>
            <b/>
            <sz val="8"/>
            <color indexed="81"/>
            <rFont val="Tahoma"/>
            <family val="2"/>
          </rPr>
          <t xml:space="preserve">8/14/2012: </t>
        </r>
        <r>
          <rPr>
            <sz val="8"/>
            <color indexed="81"/>
            <rFont val="Tahoma"/>
            <family val="2"/>
          </rPr>
          <t>planning inventories down 2H</t>
        </r>
      </text>
    </comment>
    <comment ref="AF175" authorId="11">
      <text>
        <r>
          <rPr>
            <b/>
            <sz val="8"/>
            <color indexed="81"/>
            <rFont val="Tahoma"/>
            <family val="2"/>
          </rPr>
          <t xml:space="preserve">8/14/2012: </t>
        </r>
        <r>
          <rPr>
            <sz val="8"/>
            <color indexed="81"/>
            <rFont val="Tahoma"/>
            <family val="2"/>
          </rPr>
          <t>planning inventories down 2H</t>
        </r>
      </text>
    </comment>
    <comment ref="AF180" authorId="10">
      <text>
        <r>
          <rPr>
            <sz val="8"/>
            <color indexed="81"/>
            <rFont val="Tahoma"/>
            <family val="2"/>
          </rPr>
          <t xml:space="preserve">8/20/13: Consolidated inventories on a per-store basis at August 3, 2013, including the distribution centers, but excluding the Company’s e-commerce businesses, were down 5% (down 4% on a constant currency basis). The Company enters the third quarter in an excellent inventory position which gives it the flexibility to take advantage of the great buying opportunities it is seeing in the marketplace. 
</t>
        </r>
      </text>
    </comment>
    <comment ref="AF181" authorId="11">
      <text>
        <r>
          <rPr>
            <b/>
            <sz val="8"/>
            <color indexed="81"/>
            <rFont val="Tahoma"/>
            <family val="2"/>
          </rPr>
          <t xml:space="preserve">8/14/2012: </t>
        </r>
        <r>
          <rPr>
            <sz val="8"/>
            <color indexed="81"/>
            <rFont val="Tahoma"/>
            <family val="2"/>
          </rPr>
          <t>planning inventories down 2H</t>
        </r>
      </text>
    </comment>
    <comment ref="AF182" authorId="11">
      <text>
        <r>
          <rPr>
            <b/>
            <sz val="8"/>
            <color indexed="81"/>
            <rFont val="Tahoma"/>
            <family val="2"/>
          </rPr>
          <t xml:space="preserve">8/14/2012: </t>
        </r>
        <r>
          <rPr>
            <sz val="8"/>
            <color indexed="81"/>
            <rFont val="Tahoma"/>
            <family val="2"/>
          </rPr>
          <t>planning inventories down 2H</t>
        </r>
      </text>
    </comment>
  </commentList>
</comments>
</file>

<file path=xl/comments15.xml><?xml version="1.0" encoding="utf-8"?>
<comments xmlns="http://schemas.openxmlformats.org/spreadsheetml/2006/main">
  <authors>
    <author>Lehman Brothers</author>
    <author>mm98285</author>
    <author>Margaret Marchant</author>
    <author>balskyh</author>
    <author>lehman</author>
    <author>MS</author>
    <author>SB</author>
    <author>Morry Brown</author>
    <author>Kimberly Greenberger</author>
    <author>MB33100</author>
    <author>oc48540</author>
    <author>OC48540</author>
    <author>lauraro</author>
    <author>lr73192</author>
    <author>duol</author>
    <author>DL</author>
    <author>Turley, Amber (Research)</author>
    <author>Baglione, Gregory  (Research)</author>
    <author>Roberts, Cynthia (Research)</author>
    <author>solejay</author>
  </authors>
  <commentList>
    <comment ref="D5" authorId="0">
      <text>
        <r>
          <rPr>
            <b/>
            <sz val="8"/>
            <color indexed="81"/>
            <rFont val="Tahoma"/>
            <family val="2"/>
          </rPr>
          <t>2/11:</t>
        </r>
        <r>
          <rPr>
            <sz val="8"/>
            <color indexed="81"/>
            <rFont val="Tahoma"/>
            <family val="2"/>
          </rPr>
          <t xml:space="preserve"> TJX believes potential to grow to 2300 to 2400 stores, 300 to 400 more than originally envisioned</t>
        </r>
        <r>
          <rPr>
            <b/>
            <sz val="8"/>
            <color indexed="81"/>
            <rFont val="Tahoma"/>
            <family val="2"/>
          </rPr>
          <t xml:space="preserve">
mm98285: 
</t>
        </r>
        <r>
          <rPr>
            <sz val="8"/>
            <color indexed="81"/>
            <rFont val="Tahoma"/>
            <family val="2"/>
          </rPr>
          <t>3/08: Company believes Marmaxx has 2,000 total store potential</t>
        </r>
        <r>
          <rPr>
            <b/>
            <sz val="8"/>
            <color indexed="81"/>
            <rFont val="Tahoma"/>
            <family val="2"/>
          </rPr>
          <t xml:space="preserve">
Lehman Brothers:</t>
        </r>
        <r>
          <rPr>
            <sz val="8"/>
            <color indexed="81"/>
            <rFont val="Tahoma"/>
            <family val="2"/>
          </rPr>
          <t xml:space="preserve">
Company believes Marmaxx has 1,800 total store potential</t>
        </r>
      </text>
    </comment>
    <comment ref="Y5" authorId="0">
      <text>
        <r>
          <rPr>
            <b/>
            <sz val="8"/>
            <color indexed="81"/>
            <rFont val="Tahoma"/>
            <family val="2"/>
          </rPr>
          <t xml:space="preserve">2/11: </t>
        </r>
        <r>
          <rPr>
            <sz val="8"/>
            <color indexed="81"/>
            <rFont val="Tahoma"/>
            <family val="2"/>
          </rPr>
          <t>Expects Marshall's (Canada) can be a 90-100 store chain, and TJX Canada's L-T potential to be around 425.</t>
        </r>
        <r>
          <rPr>
            <b/>
            <sz val="8"/>
            <color indexed="81"/>
            <rFont val="Tahoma"/>
            <family val="2"/>
          </rPr>
          <t xml:space="preserve">
mm98285: 
</t>
        </r>
        <r>
          <rPr>
            <sz val="8"/>
            <color indexed="81"/>
            <rFont val="Tahoma"/>
            <family val="2"/>
          </rPr>
          <t>3/08: Company believes winners has 230 total store potential</t>
        </r>
        <r>
          <rPr>
            <b/>
            <sz val="8"/>
            <color indexed="81"/>
            <rFont val="Tahoma"/>
            <family val="2"/>
          </rPr>
          <t xml:space="preserve">
Lehman Brothers:</t>
        </r>
        <r>
          <rPr>
            <sz val="8"/>
            <color indexed="81"/>
            <rFont val="Tahoma"/>
            <family val="2"/>
          </rPr>
          <t xml:space="preserve">
Company believes winners has 200 total store potential</t>
        </r>
      </text>
    </comment>
    <comment ref="AF5" authorId="0">
      <text>
        <r>
          <rPr>
            <b/>
            <sz val="8"/>
            <color indexed="81"/>
            <rFont val="Tahoma"/>
            <family val="2"/>
          </rPr>
          <t>2/11:</t>
        </r>
        <r>
          <rPr>
            <sz val="8"/>
            <color indexed="81"/>
            <rFont val="Tahoma"/>
            <family val="2"/>
          </rPr>
          <t xml:space="preserve"> Long-term, we see the potential for TJX Europe to grow to 750 to 875 stores in just our current European markets and many more beyond.
</t>
        </r>
        <r>
          <rPr>
            <b/>
            <sz val="8"/>
            <color indexed="81"/>
            <rFont val="Tahoma"/>
            <family val="2"/>
          </rPr>
          <t xml:space="preserve">
mm98285: 
</t>
        </r>
        <r>
          <rPr>
            <sz val="8"/>
            <color indexed="81"/>
            <rFont val="Tahoma"/>
            <family val="2"/>
          </rPr>
          <t xml:space="preserve">2008 10K: 525-575 potential including UK, Germany, Ireland
</t>
        </r>
        <r>
          <rPr>
            <b/>
            <sz val="8"/>
            <color indexed="81"/>
            <rFont val="Tahoma"/>
            <family val="2"/>
          </rPr>
          <t xml:space="preserve">
</t>
        </r>
        <r>
          <rPr>
            <sz val="8"/>
            <color indexed="81"/>
            <rFont val="Tahoma"/>
            <family val="2"/>
          </rPr>
          <t>3/08: Company believes TK Maxx has 275 total store potential in UK and Ireland (excludes Germany)</t>
        </r>
        <r>
          <rPr>
            <b/>
            <sz val="8"/>
            <color indexed="81"/>
            <rFont val="Tahoma"/>
            <family val="2"/>
          </rPr>
          <t xml:space="preserve">
Lehman Brothers:</t>
        </r>
        <r>
          <rPr>
            <sz val="8"/>
            <color indexed="81"/>
            <rFont val="Tahoma"/>
            <family val="2"/>
          </rPr>
          <t xml:space="preserve">
Company believes TK Maxx has 300-600 store potential</t>
        </r>
      </text>
    </comment>
    <comment ref="AM5" authorId="0">
      <text>
        <r>
          <rPr>
            <b/>
            <sz val="8"/>
            <color indexed="81"/>
            <rFont val="Tahoma"/>
            <family val="2"/>
          </rPr>
          <t xml:space="preserve">2/11: </t>
        </r>
        <r>
          <rPr>
            <sz val="8"/>
            <color indexed="81"/>
            <rFont val="Tahoma"/>
            <family val="2"/>
          </rPr>
          <t>over time, TJX believes that it can nearly double the number of HomeGoods stores to at least 600</t>
        </r>
        <r>
          <rPr>
            <b/>
            <sz val="8"/>
            <color indexed="81"/>
            <rFont val="Tahoma"/>
            <family val="2"/>
          </rPr>
          <t xml:space="preserve">
mm98285:
</t>
        </r>
        <r>
          <rPr>
            <sz val="8"/>
            <color indexed="81"/>
            <rFont val="Tahoma"/>
            <family val="2"/>
          </rPr>
          <t xml:space="preserve">3/08: Company believes Homegoods has 550-600 total store potential
</t>
        </r>
        <r>
          <rPr>
            <b/>
            <sz val="8"/>
            <color indexed="81"/>
            <rFont val="Tahoma"/>
            <family val="2"/>
          </rPr>
          <t xml:space="preserve">
Lehman Brothers:</t>
        </r>
        <r>
          <rPr>
            <sz val="8"/>
            <color indexed="81"/>
            <rFont val="Tahoma"/>
            <family val="2"/>
          </rPr>
          <t xml:space="preserve">
Company believes Homegoods has 650 total store potential</t>
        </r>
      </text>
    </comment>
    <comment ref="AT5" authorId="0">
      <text>
        <r>
          <rPr>
            <b/>
            <sz val="8"/>
            <color indexed="81"/>
            <rFont val="Tahoma"/>
            <family val="2"/>
          </rPr>
          <t>Lehman Brothers:</t>
        </r>
        <r>
          <rPr>
            <sz val="8"/>
            <color indexed="81"/>
            <rFont val="Tahoma"/>
            <family val="2"/>
          </rPr>
          <t xml:space="preserve">
2008 10K: 500 store potential
Company believes AJ Wright has 1,000+ total store potential</t>
        </r>
      </text>
    </comment>
    <comment ref="BA5" authorId="0">
      <text>
        <r>
          <rPr>
            <b/>
            <sz val="8"/>
            <color indexed="81"/>
            <rFont val="Tahoma"/>
            <family val="2"/>
          </rPr>
          <t xml:space="preserve">mm98285: 
</t>
        </r>
        <r>
          <rPr>
            <sz val="8"/>
            <color indexed="81"/>
            <rFont val="Tahoma"/>
            <family val="2"/>
          </rPr>
          <t>3/08: Company believes HomeSense has 80 total store potential</t>
        </r>
        <r>
          <rPr>
            <b/>
            <sz val="8"/>
            <color indexed="81"/>
            <rFont val="Tahoma"/>
            <family val="2"/>
          </rPr>
          <t xml:space="preserve">
Lehman Brothers:</t>
        </r>
        <r>
          <rPr>
            <sz val="8"/>
            <color indexed="81"/>
            <rFont val="Tahoma"/>
            <family val="2"/>
          </rPr>
          <t xml:space="preserve">
Company believes Homesense has 80 total store potential</t>
        </r>
      </text>
    </comment>
    <comment ref="BH5" authorId="1">
      <text>
        <r>
          <rPr>
            <b/>
            <sz val="8"/>
            <color indexed="81"/>
            <rFont val="Tahoma"/>
            <family val="2"/>
          </rPr>
          <t xml:space="preserve">2/11: </t>
        </r>
        <r>
          <rPr>
            <sz val="8"/>
            <color indexed="81"/>
            <rFont val="Tahoma"/>
            <family val="2"/>
          </rPr>
          <t>Long-term, we see the potential for TJX Europe to grow to 750 to 875 stores in just our current European markets and many more beyond.</t>
        </r>
        <r>
          <rPr>
            <b/>
            <sz val="8"/>
            <color indexed="81"/>
            <rFont val="Tahoma"/>
            <family val="2"/>
          </rPr>
          <t xml:space="preserve">
mm98285:</t>
        </r>
        <r>
          <rPr>
            <sz val="8"/>
            <color indexed="81"/>
            <rFont val="Tahoma"/>
            <family val="2"/>
          </rPr>
          <t xml:space="preserve">
2008 10K: 100-150 store potential</t>
        </r>
      </text>
    </comment>
    <comment ref="BO5" authorId="2">
      <text>
        <r>
          <rPr>
            <b/>
            <sz val="8"/>
            <color indexed="81"/>
            <rFont val="Tahoma"/>
            <family val="2"/>
          </rPr>
          <t xml:space="preserve">2/11: </t>
        </r>
        <r>
          <rPr>
            <sz val="8"/>
            <color indexed="81"/>
            <rFont val="Tahoma"/>
            <family val="2"/>
          </rPr>
          <t>Expects Marshall's (Canada) can be a 90-100 store chain, and TJX Canada's L-T potential to be around 425.</t>
        </r>
        <r>
          <rPr>
            <b/>
            <sz val="8"/>
            <color indexed="81"/>
            <rFont val="Tahoma"/>
            <family val="2"/>
          </rPr>
          <t xml:space="preserve">
Margaret Marchant:</t>
        </r>
        <r>
          <rPr>
            <sz val="8"/>
            <color indexed="81"/>
            <rFont val="Tahoma"/>
            <family val="2"/>
          </rPr>
          <t xml:space="preserve">
8/10: expect to open first marshalls canada in Spring 2011 with potential for 90-100 stores</t>
        </r>
      </text>
    </comment>
    <comment ref="CC5" authorId="0">
      <text>
        <r>
          <rPr>
            <b/>
            <sz val="8"/>
            <color indexed="81"/>
            <rFont val="Tahoma"/>
            <family val="2"/>
          </rPr>
          <t>Lehman Brothers:</t>
        </r>
        <r>
          <rPr>
            <sz val="8"/>
            <color indexed="81"/>
            <rFont val="Tahoma"/>
            <family val="2"/>
          </rPr>
          <t xml:space="preserve">
Company believes Homesense has 80 total store potential</t>
        </r>
      </text>
    </comment>
    <comment ref="CW5" authorId="0">
      <text>
        <r>
          <rPr>
            <b/>
            <sz val="8"/>
            <color indexed="81"/>
            <rFont val="Tahoma"/>
            <family val="2"/>
          </rPr>
          <t>Lehman Brothers:</t>
        </r>
        <r>
          <rPr>
            <sz val="8"/>
            <color indexed="81"/>
            <rFont val="Tahoma"/>
            <family val="2"/>
          </rPr>
          <t xml:space="preserve">
Company believes TJX has 4,330 total store potential</t>
        </r>
      </text>
    </comment>
    <comment ref="M18" authorId="3">
      <text>
        <r>
          <rPr>
            <sz val="8"/>
            <color indexed="81"/>
            <rFont val="Tahoma"/>
            <family val="2"/>
          </rPr>
          <t>Guidance</t>
        </r>
      </text>
    </comment>
    <comment ref="N21" authorId="4">
      <text>
        <r>
          <rPr>
            <b/>
            <sz val="8"/>
            <color indexed="81"/>
            <rFont val="Tahoma"/>
            <family val="2"/>
          </rPr>
          <t>lehman:</t>
        </r>
        <r>
          <rPr>
            <sz val="8"/>
            <color indexed="81"/>
            <rFont val="Tahoma"/>
            <family val="2"/>
          </rPr>
          <t xml:space="preserve">
1993 10k</t>
        </r>
      </text>
    </comment>
    <comment ref="AB21" authorId="4">
      <text>
        <r>
          <rPr>
            <b/>
            <sz val="8"/>
            <color indexed="81"/>
            <rFont val="Tahoma"/>
            <family val="2"/>
          </rPr>
          <t>lehman:</t>
        </r>
        <r>
          <rPr>
            <sz val="8"/>
            <color indexed="81"/>
            <rFont val="Tahoma"/>
            <family val="2"/>
          </rPr>
          <t xml:space="preserve">
1993 10k</t>
        </r>
      </text>
    </comment>
    <comment ref="N29" authorId="4">
      <text>
        <r>
          <rPr>
            <b/>
            <sz val="8"/>
            <color indexed="81"/>
            <rFont val="Tahoma"/>
            <family val="2"/>
          </rPr>
          <t>lehman:</t>
        </r>
        <r>
          <rPr>
            <sz val="8"/>
            <color indexed="81"/>
            <rFont val="Tahoma"/>
            <family val="2"/>
          </rPr>
          <t xml:space="preserve">
1993 10k</t>
        </r>
      </text>
    </comment>
    <comment ref="AB29" authorId="4">
      <text>
        <r>
          <rPr>
            <b/>
            <sz val="8"/>
            <color indexed="81"/>
            <rFont val="Tahoma"/>
            <family val="2"/>
          </rPr>
          <t>lehman:</t>
        </r>
        <r>
          <rPr>
            <sz val="8"/>
            <color indexed="81"/>
            <rFont val="Tahoma"/>
            <family val="2"/>
          </rPr>
          <t xml:space="preserve">
1993 10k</t>
        </r>
      </text>
    </comment>
    <comment ref="N37" authorId="4">
      <text>
        <r>
          <rPr>
            <b/>
            <sz val="8"/>
            <color indexed="81"/>
            <rFont val="Tahoma"/>
            <family val="2"/>
          </rPr>
          <t>lehman:</t>
        </r>
        <r>
          <rPr>
            <sz val="8"/>
            <color indexed="81"/>
            <rFont val="Tahoma"/>
            <family val="2"/>
          </rPr>
          <t xml:space="preserve">
1993 10k</t>
        </r>
      </text>
    </comment>
    <comment ref="AB37" authorId="4">
      <text>
        <r>
          <rPr>
            <b/>
            <sz val="8"/>
            <color indexed="81"/>
            <rFont val="Tahoma"/>
            <family val="2"/>
          </rPr>
          <t>lehman:</t>
        </r>
        <r>
          <rPr>
            <sz val="8"/>
            <color indexed="81"/>
            <rFont val="Tahoma"/>
            <family val="2"/>
          </rPr>
          <t xml:space="preserve">
1993 10k</t>
        </r>
      </text>
    </comment>
    <comment ref="AQ77" authorId="0">
      <text>
        <r>
          <rPr>
            <b/>
            <sz val="8"/>
            <color indexed="81"/>
            <rFont val="Tahoma"/>
            <family val="2"/>
          </rPr>
          <t>Lehman Brothers:</t>
        </r>
        <r>
          <rPr>
            <sz val="8"/>
            <color indexed="81"/>
            <rFont val="Tahoma"/>
            <family val="2"/>
          </rPr>
          <t xml:space="preserve">
38k sqf for stand alone store, 21k sqf for superstore</t>
        </r>
      </text>
    </comment>
    <comment ref="AQ93" authorId="0">
      <text>
        <r>
          <rPr>
            <b/>
            <sz val="8"/>
            <color indexed="81"/>
            <rFont val="Tahoma"/>
            <family val="2"/>
          </rPr>
          <t>Lehman Brothers:</t>
        </r>
        <r>
          <rPr>
            <sz val="8"/>
            <color indexed="81"/>
            <rFont val="Tahoma"/>
            <family val="2"/>
          </rPr>
          <t xml:space="preserve">
32k sqf for stand alone store, 22k sqf for superstore</t>
        </r>
      </text>
    </comment>
    <comment ref="AM101" authorId="0">
      <text>
        <r>
          <rPr>
            <b/>
            <sz val="8"/>
            <color indexed="81"/>
            <rFont val="Tahoma"/>
            <family val="2"/>
          </rPr>
          <t>Lehman Brothers:</t>
        </r>
        <r>
          <rPr>
            <sz val="8"/>
            <color indexed="81"/>
            <rFont val="Tahoma"/>
            <family val="2"/>
          </rPr>
          <t xml:space="preserve">
45 stand alone, 36 superstore</t>
        </r>
      </text>
    </comment>
    <comment ref="AM109" authorId="0">
      <text>
        <r>
          <rPr>
            <b/>
            <sz val="8"/>
            <color indexed="81"/>
            <rFont val="Tahoma"/>
            <family val="2"/>
          </rPr>
          <t>Lehman Brothers:</t>
        </r>
        <r>
          <rPr>
            <sz val="8"/>
            <color indexed="81"/>
            <rFont val="Tahoma"/>
            <family val="2"/>
          </rPr>
          <t xml:space="preserve">
71 stand alone, 41 superstore formats</t>
        </r>
      </text>
    </comment>
    <comment ref="AQ109" authorId="0">
      <text>
        <r>
          <rPr>
            <b/>
            <sz val="8"/>
            <color indexed="81"/>
            <rFont val="Tahoma"/>
            <family val="2"/>
          </rPr>
          <t>Lehman Brothers:</t>
        </r>
        <r>
          <rPr>
            <sz val="8"/>
            <color indexed="81"/>
            <rFont val="Tahoma"/>
            <family val="2"/>
          </rPr>
          <t xml:space="preserve">
29k sqf for stand alone store, 21k sqf for homegoods portion of superstore</t>
        </r>
      </text>
    </comment>
    <comment ref="AQ117" authorId="0">
      <text>
        <r>
          <rPr>
            <b/>
            <sz val="8"/>
            <color indexed="81"/>
            <rFont val="Tahoma"/>
            <family val="2"/>
          </rPr>
          <t>Lehman Brothers:</t>
        </r>
        <r>
          <rPr>
            <sz val="8"/>
            <color indexed="81"/>
            <rFont val="Tahoma"/>
            <family val="2"/>
          </rPr>
          <t xml:space="preserve">
28k sqf for stand alone store, 21k sqf for homegoods portion of superstore</t>
        </r>
      </text>
    </comment>
    <comment ref="Z121" authorId="4">
      <text>
        <r>
          <rPr>
            <b/>
            <sz val="8"/>
            <color indexed="81"/>
            <rFont val="Tahoma"/>
            <family val="2"/>
          </rPr>
          <t>lehman:</t>
        </r>
        <r>
          <rPr>
            <sz val="8"/>
            <color indexed="81"/>
            <rFont val="Tahoma"/>
            <family val="2"/>
          </rPr>
          <t xml:space="preserve">
Opened first superstore Winners and More</t>
        </r>
      </text>
    </comment>
    <comment ref="L122" authorId="4">
      <text>
        <r>
          <rPr>
            <b/>
            <sz val="8"/>
            <color indexed="81"/>
            <rFont val="Tahoma"/>
            <family val="2"/>
          </rPr>
          <t>lehman:</t>
        </r>
        <r>
          <rPr>
            <sz val="8"/>
            <color indexed="81"/>
            <rFont val="Tahoma"/>
            <family val="2"/>
          </rPr>
          <t xml:space="preserve">
5</t>
        </r>
      </text>
    </comment>
    <comment ref="AG122" authorId="4">
      <text>
        <r>
          <rPr>
            <b/>
            <sz val="8"/>
            <color indexed="81"/>
            <rFont val="Tahoma"/>
            <family val="2"/>
          </rPr>
          <t>lehman:</t>
        </r>
        <r>
          <rPr>
            <sz val="8"/>
            <color indexed="81"/>
            <rFont val="Tahoma"/>
            <family val="2"/>
          </rPr>
          <t xml:space="preserve">
10</t>
        </r>
      </text>
    </comment>
    <comment ref="AN122" authorId="4">
      <text>
        <r>
          <rPr>
            <b/>
            <sz val="8"/>
            <color indexed="81"/>
            <rFont val="Tahoma"/>
            <family val="2"/>
          </rPr>
          <t>lehman:</t>
        </r>
        <r>
          <rPr>
            <sz val="8"/>
            <color indexed="81"/>
            <rFont val="Tahoma"/>
            <family val="2"/>
          </rPr>
          <t xml:space="preserve">
8</t>
        </r>
      </text>
    </comment>
    <comment ref="AU122" authorId="4">
      <text>
        <r>
          <rPr>
            <b/>
            <sz val="8"/>
            <color indexed="81"/>
            <rFont val="Tahoma"/>
            <family val="2"/>
          </rPr>
          <t>lehman:</t>
        </r>
        <r>
          <rPr>
            <sz val="8"/>
            <color indexed="81"/>
            <rFont val="Tahoma"/>
            <family val="2"/>
          </rPr>
          <t xml:space="preserve">
5</t>
        </r>
      </text>
    </comment>
    <comment ref="K123" authorId="4">
      <text>
        <r>
          <rPr>
            <b/>
            <sz val="8"/>
            <color indexed="81"/>
            <rFont val="Tahoma"/>
            <family val="2"/>
          </rPr>
          <t>lehman:</t>
        </r>
        <r>
          <rPr>
            <sz val="8"/>
            <color indexed="81"/>
            <rFont val="Tahoma"/>
            <family val="2"/>
          </rPr>
          <t xml:space="preserve">
737</t>
        </r>
      </text>
    </comment>
    <comment ref="L123" authorId="4">
      <text>
        <r>
          <rPr>
            <b/>
            <sz val="8"/>
            <color indexed="81"/>
            <rFont val="Tahoma"/>
            <family val="2"/>
          </rPr>
          <t>lehman:</t>
        </r>
        <r>
          <rPr>
            <sz val="8"/>
            <color indexed="81"/>
            <rFont val="Tahoma"/>
            <family val="2"/>
          </rPr>
          <t xml:space="preserve">
10</t>
        </r>
      </text>
    </comment>
    <comment ref="R123" authorId="4">
      <text>
        <r>
          <rPr>
            <b/>
            <sz val="8"/>
            <color indexed="81"/>
            <rFont val="Tahoma"/>
            <family val="2"/>
          </rPr>
          <t>lehman:</t>
        </r>
        <r>
          <rPr>
            <sz val="8"/>
            <color indexed="81"/>
            <rFont val="Tahoma"/>
            <family val="2"/>
          </rPr>
          <t xml:space="preserve">
669</t>
        </r>
      </text>
    </comment>
    <comment ref="S123" authorId="4">
      <text>
        <r>
          <rPr>
            <b/>
            <sz val="8"/>
            <color indexed="81"/>
            <rFont val="Tahoma"/>
            <family val="2"/>
          </rPr>
          <t>lehman:</t>
        </r>
        <r>
          <rPr>
            <sz val="8"/>
            <color indexed="81"/>
            <rFont val="Tahoma"/>
            <family val="2"/>
          </rPr>
          <t xml:space="preserve">
20</t>
        </r>
      </text>
    </comment>
    <comment ref="Y123" authorId="4">
      <text>
        <r>
          <rPr>
            <b/>
            <sz val="8"/>
            <color indexed="81"/>
            <rFont val="Tahoma"/>
            <family val="2"/>
          </rPr>
          <t>lehman:</t>
        </r>
        <r>
          <rPr>
            <sz val="8"/>
            <color indexed="81"/>
            <rFont val="Tahoma"/>
            <family val="2"/>
          </rPr>
          <t xml:space="preserve">
158</t>
        </r>
      </text>
    </comment>
    <comment ref="Z123" authorId="4">
      <text>
        <r>
          <rPr>
            <b/>
            <sz val="8"/>
            <color indexed="81"/>
            <rFont val="Tahoma"/>
            <family val="2"/>
          </rPr>
          <t>lehman:</t>
        </r>
        <r>
          <rPr>
            <sz val="8"/>
            <color indexed="81"/>
            <rFont val="Tahoma"/>
            <family val="2"/>
          </rPr>
          <t xml:space="preserve">
4</t>
        </r>
      </text>
    </comment>
    <comment ref="AF123" authorId="4">
      <text>
        <r>
          <rPr>
            <b/>
            <sz val="8"/>
            <color indexed="81"/>
            <rFont val="Tahoma"/>
            <family val="2"/>
          </rPr>
          <t>lehman:</t>
        </r>
        <r>
          <rPr>
            <sz val="8"/>
            <color indexed="81"/>
            <rFont val="Tahoma"/>
            <family val="2"/>
          </rPr>
          <t xml:space="preserve">
142</t>
        </r>
      </text>
    </comment>
    <comment ref="AG123" authorId="4">
      <text>
        <r>
          <rPr>
            <b/>
            <sz val="8"/>
            <color indexed="81"/>
            <rFont val="Tahoma"/>
            <family val="2"/>
          </rPr>
          <t>lehman:</t>
        </r>
        <r>
          <rPr>
            <sz val="8"/>
            <color indexed="81"/>
            <rFont val="Tahoma"/>
            <family val="2"/>
          </rPr>
          <t xml:space="preserve">
10</t>
        </r>
      </text>
    </comment>
    <comment ref="AM123" authorId="4">
      <text>
        <r>
          <rPr>
            <b/>
            <sz val="8"/>
            <color indexed="81"/>
            <rFont val="Tahoma"/>
            <family val="2"/>
          </rPr>
          <t>lehman:</t>
        </r>
        <r>
          <rPr>
            <sz val="8"/>
            <color indexed="81"/>
            <rFont val="Tahoma"/>
            <family val="2"/>
          </rPr>
          <t xml:space="preserve">
172</t>
        </r>
      </text>
    </comment>
    <comment ref="AN123" authorId="4">
      <text>
        <r>
          <rPr>
            <b/>
            <sz val="8"/>
            <color indexed="81"/>
            <rFont val="Tahoma"/>
            <family val="2"/>
          </rPr>
          <t>lehman:</t>
        </r>
        <r>
          <rPr>
            <sz val="8"/>
            <color indexed="81"/>
            <rFont val="Tahoma"/>
            <family val="2"/>
          </rPr>
          <t xml:space="preserve">
12</t>
        </r>
      </text>
    </comment>
    <comment ref="AU123" authorId="4">
      <text>
        <r>
          <rPr>
            <b/>
            <sz val="8"/>
            <color indexed="81"/>
            <rFont val="Tahoma"/>
            <family val="2"/>
          </rPr>
          <t>lehman:</t>
        </r>
        <r>
          <rPr>
            <sz val="8"/>
            <color indexed="81"/>
            <rFont val="Tahoma"/>
            <family val="2"/>
          </rPr>
          <t xml:space="preserve">
9</t>
        </r>
      </text>
    </comment>
    <comment ref="BB123" authorId="4">
      <text>
        <r>
          <rPr>
            <b/>
            <sz val="8"/>
            <color indexed="81"/>
            <rFont val="Tahoma"/>
            <family val="2"/>
          </rPr>
          <t>lehman:</t>
        </r>
        <r>
          <rPr>
            <sz val="8"/>
            <color indexed="81"/>
            <rFont val="Tahoma"/>
            <family val="2"/>
          </rPr>
          <t xml:space="preserve">
4</t>
        </r>
      </text>
    </comment>
    <comment ref="K124" authorId="4">
      <text>
        <r>
          <rPr>
            <b/>
            <sz val="8"/>
            <color indexed="81"/>
            <rFont val="Tahoma"/>
            <family val="2"/>
          </rPr>
          <t>lehman:</t>
        </r>
        <r>
          <rPr>
            <sz val="8"/>
            <color indexed="81"/>
            <rFont val="Tahoma"/>
            <family val="2"/>
          </rPr>
          <t xml:space="preserve">
740</t>
        </r>
      </text>
    </comment>
    <comment ref="R124" authorId="4">
      <text>
        <r>
          <rPr>
            <b/>
            <sz val="8"/>
            <color indexed="81"/>
            <rFont val="Tahoma"/>
            <family val="2"/>
          </rPr>
          <t>lehman:</t>
        </r>
        <r>
          <rPr>
            <sz val="8"/>
            <color indexed="81"/>
            <rFont val="Tahoma"/>
            <family val="2"/>
          </rPr>
          <t xml:space="preserve">
679</t>
        </r>
      </text>
    </comment>
    <comment ref="Y124" authorId="4">
      <text>
        <r>
          <rPr>
            <b/>
            <sz val="8"/>
            <color indexed="81"/>
            <rFont val="Tahoma"/>
            <family val="2"/>
          </rPr>
          <t>lehman:</t>
        </r>
        <r>
          <rPr>
            <sz val="8"/>
            <color indexed="81"/>
            <rFont val="Tahoma"/>
            <family val="2"/>
          </rPr>
          <t xml:space="preserve">
160</t>
        </r>
      </text>
    </comment>
    <comment ref="AM124" authorId="4">
      <text>
        <r>
          <rPr>
            <b/>
            <sz val="8"/>
            <color indexed="81"/>
            <rFont val="Tahoma"/>
            <family val="2"/>
          </rPr>
          <t>lehman:</t>
        </r>
        <r>
          <rPr>
            <sz val="8"/>
            <color indexed="81"/>
            <rFont val="Tahoma"/>
            <family val="2"/>
          </rPr>
          <t xml:space="preserve">
181</t>
        </r>
      </text>
    </comment>
    <comment ref="Z125" authorId="4">
      <text>
        <r>
          <rPr>
            <b/>
            <sz val="8"/>
            <color indexed="81"/>
            <rFont val="Tahoma"/>
            <family val="2"/>
          </rPr>
          <t>lehman:</t>
        </r>
        <r>
          <rPr>
            <sz val="8"/>
            <color indexed="81"/>
            <rFont val="Tahoma"/>
            <family val="2"/>
          </rPr>
          <t xml:space="preserve">
Guided to 13 stores on 4Q conf call
8/12 now expect 14</t>
        </r>
      </text>
    </comment>
    <comment ref="AG125" authorId="4">
      <text>
        <r>
          <rPr>
            <b/>
            <sz val="8"/>
            <color indexed="81"/>
            <rFont val="Tahoma"/>
            <family val="2"/>
          </rPr>
          <t>lehman:</t>
        </r>
        <r>
          <rPr>
            <sz val="8"/>
            <color indexed="81"/>
            <rFont val="Tahoma"/>
            <family val="2"/>
          </rPr>
          <t xml:space="preserve">
30 new stores in 2003 per 4q02 conf call
8/12 Now expect to open 24, on 2q03 press release</t>
        </r>
      </text>
    </comment>
    <comment ref="AN125" authorId="4">
      <text>
        <r>
          <rPr>
            <b/>
            <sz val="8"/>
            <color indexed="81"/>
            <rFont val="Tahoma"/>
            <family val="2"/>
          </rPr>
          <t>lehman:</t>
        </r>
        <r>
          <rPr>
            <sz val="8"/>
            <color indexed="81"/>
            <rFont val="Tahoma"/>
            <family val="2"/>
          </rPr>
          <t xml:space="preserve">
37 stores in 2003 per 4q02 conf call
8/12 now expect 39 2Q earnings release</t>
        </r>
      </text>
    </comment>
    <comment ref="AU125" authorId="4">
      <text>
        <r>
          <rPr>
            <b/>
            <sz val="8"/>
            <color indexed="81"/>
            <rFont val="Tahoma"/>
            <family val="2"/>
          </rPr>
          <t>lehman:</t>
        </r>
        <r>
          <rPr>
            <sz val="8"/>
            <color indexed="81"/>
            <rFont val="Tahoma"/>
            <family val="2"/>
          </rPr>
          <t xml:space="preserve">
only adding 25 stores in 2003, per 4q02 conf call
8/12 Per 2Q release, now expect 24</t>
        </r>
      </text>
    </comment>
    <comment ref="BB125" authorId="4">
      <text>
        <r>
          <rPr>
            <b/>
            <sz val="8"/>
            <color indexed="81"/>
            <rFont val="Tahoma"/>
            <family val="2"/>
          </rPr>
          <t>lehman:</t>
        </r>
        <r>
          <rPr>
            <sz val="8"/>
            <color indexed="81"/>
            <rFont val="Tahoma"/>
            <family val="2"/>
          </rPr>
          <t xml:space="preserve">
Per 4q conf call expect 8 new stores
8/12 Per 2q release, now expect 10</t>
        </r>
      </text>
    </comment>
    <comment ref="K129" authorId="4">
      <text>
        <r>
          <rPr>
            <b/>
            <sz val="8"/>
            <color indexed="81"/>
            <rFont val="Tahoma"/>
            <family val="2"/>
          </rPr>
          <t>lehman:</t>
        </r>
        <r>
          <rPr>
            <sz val="8"/>
            <color indexed="81"/>
            <rFont val="Tahoma"/>
            <family val="2"/>
          </rPr>
          <t xml:space="preserve">
752</t>
        </r>
      </text>
    </comment>
    <comment ref="R129" authorId="4">
      <text>
        <r>
          <rPr>
            <b/>
            <sz val="8"/>
            <color indexed="81"/>
            <rFont val="Tahoma"/>
            <family val="2"/>
          </rPr>
          <t>lehman:</t>
        </r>
        <r>
          <rPr>
            <sz val="8"/>
            <color indexed="81"/>
            <rFont val="Tahoma"/>
            <family val="2"/>
          </rPr>
          <t xml:space="preserve">
683</t>
        </r>
      </text>
    </comment>
    <comment ref="Y129" authorId="4">
      <text>
        <r>
          <rPr>
            <b/>
            <sz val="8"/>
            <color indexed="81"/>
            <rFont val="Tahoma"/>
            <family val="2"/>
          </rPr>
          <t>lehman:</t>
        </r>
        <r>
          <rPr>
            <sz val="8"/>
            <color indexed="81"/>
            <rFont val="Tahoma"/>
            <family val="2"/>
          </rPr>
          <t xml:space="preserve">
164</t>
        </r>
      </text>
    </comment>
    <comment ref="AF129" authorId="4">
      <text>
        <r>
          <rPr>
            <b/>
            <sz val="8"/>
            <color indexed="81"/>
            <rFont val="Tahoma"/>
            <family val="2"/>
          </rPr>
          <t>lehman:</t>
        </r>
        <r>
          <rPr>
            <sz val="8"/>
            <color indexed="81"/>
            <rFont val="Tahoma"/>
            <family val="2"/>
          </rPr>
          <t xml:space="preserve">
152</t>
        </r>
      </text>
    </comment>
    <comment ref="AM129" authorId="4">
      <text>
        <r>
          <rPr>
            <b/>
            <sz val="8"/>
            <color indexed="81"/>
            <rFont val="Tahoma"/>
            <family val="2"/>
          </rPr>
          <t>lehman:</t>
        </r>
        <r>
          <rPr>
            <sz val="8"/>
            <color indexed="81"/>
            <rFont val="Tahoma"/>
            <family val="2"/>
          </rPr>
          <t xml:space="preserve">
195</t>
        </r>
      </text>
    </comment>
    <comment ref="AT129" authorId="4">
      <text>
        <r>
          <rPr>
            <b/>
            <sz val="8"/>
            <color indexed="81"/>
            <rFont val="Tahoma"/>
            <family val="2"/>
          </rPr>
          <t>lehman:</t>
        </r>
        <r>
          <rPr>
            <sz val="8"/>
            <color indexed="81"/>
            <rFont val="Tahoma"/>
            <family val="2"/>
          </rPr>
          <t xml:space="preserve">
111</t>
        </r>
      </text>
    </comment>
    <comment ref="BA129" authorId="4">
      <text>
        <r>
          <rPr>
            <b/>
            <sz val="8"/>
            <color indexed="81"/>
            <rFont val="Tahoma"/>
            <family val="2"/>
          </rPr>
          <t>lehman:</t>
        </r>
        <r>
          <rPr>
            <sz val="8"/>
            <color indexed="81"/>
            <rFont val="Tahoma"/>
            <family val="2"/>
          </rPr>
          <t xml:space="preserve">
28</t>
        </r>
      </text>
    </comment>
    <comment ref="K130" authorId="5">
      <text>
        <r>
          <rPr>
            <b/>
            <sz val="8"/>
            <color indexed="81"/>
            <rFont val="Tahoma"/>
            <family val="2"/>
          </rPr>
          <t>MS:</t>
        </r>
        <r>
          <rPr>
            <sz val="8"/>
            <color indexed="81"/>
            <rFont val="Tahoma"/>
            <family val="2"/>
          </rPr>
          <t xml:space="preserve">
757</t>
        </r>
      </text>
    </comment>
    <comment ref="R130" authorId="5">
      <text>
        <r>
          <rPr>
            <b/>
            <sz val="8"/>
            <color indexed="81"/>
            <rFont val="Tahoma"/>
            <family val="2"/>
          </rPr>
          <t>MS:</t>
        </r>
        <r>
          <rPr>
            <sz val="8"/>
            <color indexed="81"/>
            <rFont val="Tahoma"/>
            <family val="2"/>
          </rPr>
          <t xml:space="preserve">
683</t>
        </r>
      </text>
    </comment>
    <comment ref="Y130" authorId="5">
      <text>
        <r>
          <rPr>
            <b/>
            <sz val="8"/>
            <color indexed="81"/>
            <rFont val="Tahoma"/>
            <family val="2"/>
          </rPr>
          <t>MS:</t>
        </r>
        <r>
          <rPr>
            <sz val="8"/>
            <color indexed="81"/>
            <rFont val="Tahoma"/>
            <family val="2"/>
          </rPr>
          <t xml:space="preserve">
163</t>
        </r>
      </text>
    </comment>
    <comment ref="AF130" authorId="5">
      <text>
        <r>
          <rPr>
            <b/>
            <sz val="8"/>
            <color indexed="81"/>
            <rFont val="Tahoma"/>
            <family val="2"/>
          </rPr>
          <t>MS:</t>
        </r>
        <r>
          <rPr>
            <sz val="8"/>
            <color indexed="81"/>
            <rFont val="Tahoma"/>
            <family val="2"/>
          </rPr>
          <t xml:space="preserve">
155</t>
        </r>
      </text>
    </comment>
    <comment ref="AM130" authorId="5">
      <text>
        <r>
          <rPr>
            <b/>
            <sz val="8"/>
            <color indexed="81"/>
            <rFont val="Tahoma"/>
            <family val="2"/>
          </rPr>
          <t>MS:</t>
        </r>
        <r>
          <rPr>
            <sz val="8"/>
            <color indexed="81"/>
            <rFont val="Tahoma"/>
            <family val="2"/>
          </rPr>
          <t xml:space="preserve">
192</t>
        </r>
      </text>
    </comment>
    <comment ref="AT130" authorId="5">
      <text>
        <r>
          <rPr>
            <b/>
            <sz val="8"/>
            <color indexed="81"/>
            <rFont val="Tahoma"/>
            <family val="2"/>
          </rPr>
          <t>MS:</t>
        </r>
        <r>
          <rPr>
            <sz val="8"/>
            <color indexed="81"/>
            <rFont val="Tahoma"/>
            <family val="2"/>
          </rPr>
          <t xml:space="preserve">
105</t>
        </r>
      </text>
    </comment>
    <comment ref="BA130" authorId="5">
      <text>
        <r>
          <rPr>
            <b/>
            <sz val="8"/>
            <color indexed="81"/>
            <rFont val="Tahoma"/>
            <family val="2"/>
          </rPr>
          <t>MS:</t>
        </r>
        <r>
          <rPr>
            <sz val="8"/>
            <color indexed="81"/>
            <rFont val="Tahoma"/>
            <family val="2"/>
          </rPr>
          <t xml:space="preserve">
32</t>
        </r>
      </text>
    </comment>
    <comment ref="K131" authorId="6">
      <text>
        <r>
          <rPr>
            <b/>
            <sz val="8"/>
            <color indexed="81"/>
            <rFont val="Tahoma"/>
            <family val="2"/>
          </rPr>
          <t>SB:</t>
        </r>
        <r>
          <rPr>
            <sz val="8"/>
            <color indexed="81"/>
            <rFont val="Tahoma"/>
            <family val="2"/>
          </rPr>
          <t xml:space="preserve">
762</t>
        </r>
      </text>
    </comment>
    <comment ref="R131" authorId="6">
      <text>
        <r>
          <rPr>
            <b/>
            <sz val="8"/>
            <color indexed="81"/>
            <rFont val="Tahoma"/>
            <family val="2"/>
          </rPr>
          <t>SB:</t>
        </r>
        <r>
          <rPr>
            <sz val="8"/>
            <color indexed="81"/>
            <rFont val="Tahoma"/>
            <family val="2"/>
          </rPr>
          <t xml:space="preserve">
694</t>
        </r>
      </text>
    </comment>
    <comment ref="Y131" authorId="6">
      <text>
        <r>
          <rPr>
            <b/>
            <sz val="8"/>
            <color indexed="81"/>
            <rFont val="Tahoma"/>
            <family val="2"/>
          </rPr>
          <t>SB:</t>
        </r>
        <r>
          <rPr>
            <sz val="8"/>
            <color indexed="81"/>
            <rFont val="Tahoma"/>
            <family val="2"/>
          </rPr>
          <t xml:space="preserve">
164</t>
        </r>
      </text>
    </comment>
    <comment ref="AF131" authorId="6">
      <text>
        <r>
          <rPr>
            <b/>
            <sz val="8"/>
            <color indexed="81"/>
            <rFont val="Tahoma"/>
            <family val="2"/>
          </rPr>
          <t>SB:</t>
        </r>
        <r>
          <rPr>
            <sz val="8"/>
            <color indexed="81"/>
            <rFont val="Tahoma"/>
            <family val="2"/>
          </rPr>
          <t xml:space="preserve">
166</t>
        </r>
      </text>
    </comment>
    <comment ref="AM131" authorId="6">
      <text>
        <r>
          <rPr>
            <b/>
            <sz val="8"/>
            <color indexed="81"/>
            <rFont val="Tahoma"/>
            <family val="2"/>
          </rPr>
          <t>SB:</t>
        </r>
        <r>
          <rPr>
            <sz val="8"/>
            <color indexed="81"/>
            <rFont val="Tahoma"/>
            <family val="2"/>
          </rPr>
          <t xml:space="preserve">
207</t>
        </r>
      </text>
    </comment>
    <comment ref="AT131" authorId="6">
      <text>
        <r>
          <rPr>
            <b/>
            <sz val="8"/>
            <color indexed="81"/>
            <rFont val="Tahoma"/>
            <family val="2"/>
          </rPr>
          <t>SB:</t>
        </r>
        <r>
          <rPr>
            <sz val="8"/>
            <color indexed="81"/>
            <rFont val="Tahoma"/>
            <family val="2"/>
          </rPr>
          <t xml:space="preserve">
128</t>
        </r>
      </text>
    </comment>
    <comment ref="CC131" authorId="6">
      <text>
        <r>
          <rPr>
            <b/>
            <sz val="8"/>
            <color indexed="81"/>
            <rFont val="Tahoma"/>
            <family val="2"/>
          </rPr>
          <t>SB:</t>
        </r>
        <r>
          <rPr>
            <sz val="8"/>
            <color indexed="81"/>
            <rFont val="Tahoma"/>
            <family val="2"/>
          </rPr>
          <t xml:space="preserve">
32</t>
        </r>
      </text>
    </comment>
    <comment ref="K132" authorId="7">
      <text>
        <r>
          <rPr>
            <b/>
            <sz val="8"/>
            <color indexed="81"/>
            <rFont val="Tahoma"/>
            <family val="2"/>
          </rPr>
          <t>Morry Brown:</t>
        </r>
        <r>
          <rPr>
            <sz val="8"/>
            <color indexed="81"/>
            <rFont val="Tahoma"/>
            <family val="2"/>
          </rPr>
          <t xml:space="preserve">
768
</t>
        </r>
      </text>
    </comment>
    <comment ref="R132" authorId="7">
      <text>
        <r>
          <rPr>
            <b/>
            <sz val="8"/>
            <color indexed="81"/>
            <rFont val="Tahoma"/>
            <family val="2"/>
          </rPr>
          <t>Morry Brown:</t>
        </r>
        <r>
          <rPr>
            <sz val="8"/>
            <color indexed="81"/>
            <rFont val="Tahoma"/>
            <family val="2"/>
          </rPr>
          <t xml:space="preserve">
700
</t>
        </r>
      </text>
    </comment>
    <comment ref="Y132" authorId="7">
      <text>
        <r>
          <rPr>
            <b/>
            <sz val="8"/>
            <color indexed="81"/>
            <rFont val="Tahoma"/>
            <family val="2"/>
          </rPr>
          <t>Morry Brown:</t>
        </r>
        <r>
          <rPr>
            <sz val="8"/>
            <color indexed="81"/>
            <rFont val="Tahoma"/>
            <family val="2"/>
          </rPr>
          <t xml:space="preserve">
168
</t>
        </r>
      </text>
    </comment>
    <comment ref="AF132" authorId="7">
      <text>
        <r>
          <rPr>
            <b/>
            <sz val="8"/>
            <color indexed="81"/>
            <rFont val="Tahoma"/>
            <family val="2"/>
          </rPr>
          <t>Morry Brown:</t>
        </r>
        <r>
          <rPr>
            <sz val="8"/>
            <color indexed="81"/>
            <rFont val="Tahoma"/>
            <family val="2"/>
          </rPr>
          <t xml:space="preserve">
170
</t>
        </r>
      </text>
    </comment>
    <comment ref="AM132" authorId="7">
      <text>
        <r>
          <rPr>
            <b/>
            <sz val="8"/>
            <color indexed="81"/>
            <rFont val="Tahoma"/>
            <family val="2"/>
          </rPr>
          <t>Morry Brown:</t>
        </r>
        <r>
          <rPr>
            <sz val="8"/>
            <color indexed="81"/>
            <rFont val="Tahoma"/>
            <family val="2"/>
          </rPr>
          <t xml:space="preserve">
216
</t>
        </r>
      </text>
    </comment>
    <comment ref="AT132" authorId="7">
      <text>
        <r>
          <rPr>
            <b/>
            <sz val="8"/>
            <color indexed="81"/>
            <rFont val="Tahoma"/>
            <family val="2"/>
          </rPr>
          <t>Morry Brown:</t>
        </r>
        <r>
          <rPr>
            <sz val="8"/>
            <color indexed="81"/>
            <rFont val="Tahoma"/>
            <family val="2"/>
          </rPr>
          <t xml:space="preserve">
131</t>
        </r>
      </text>
    </comment>
    <comment ref="BA132" authorId="7">
      <text>
        <r>
          <rPr>
            <b/>
            <sz val="8"/>
            <color indexed="81"/>
            <rFont val="Tahoma"/>
            <family val="2"/>
          </rPr>
          <t>Morry Brown:</t>
        </r>
        <r>
          <rPr>
            <sz val="8"/>
            <color indexed="81"/>
            <rFont val="Tahoma"/>
            <family val="2"/>
          </rPr>
          <t xml:space="preserve">
40</t>
        </r>
      </text>
    </comment>
    <comment ref="CC132" authorId="7">
      <text>
        <r>
          <rPr>
            <b/>
            <sz val="8"/>
            <color indexed="81"/>
            <rFont val="Tahoma"/>
            <family val="2"/>
          </rPr>
          <t>Morry Brown:</t>
        </r>
        <r>
          <rPr>
            <sz val="8"/>
            <color indexed="81"/>
            <rFont val="Tahoma"/>
            <family val="2"/>
          </rPr>
          <t xml:space="preserve">
32</t>
        </r>
      </text>
    </comment>
    <comment ref="E133" authorId="4">
      <text>
        <r>
          <rPr>
            <b/>
            <sz val="8"/>
            <color indexed="81"/>
            <rFont val="Tahoma"/>
            <family val="2"/>
          </rPr>
          <t>lehman:</t>
        </r>
        <r>
          <rPr>
            <sz val="8"/>
            <color indexed="81"/>
            <rFont val="Tahoma"/>
            <family val="2"/>
          </rPr>
          <t xml:space="preserve">
guided for 60 at start of year
8/17 now expect 50 stores</t>
        </r>
      </text>
    </comment>
    <comment ref="L133" authorId="4">
      <text>
        <r>
          <rPr>
            <b/>
            <sz val="8"/>
            <color indexed="81"/>
            <rFont val="Tahoma"/>
            <family val="2"/>
          </rPr>
          <t>lehman:</t>
        </r>
        <r>
          <rPr>
            <sz val="8"/>
            <color indexed="81"/>
            <rFont val="Tahoma"/>
            <family val="2"/>
          </rPr>
          <t xml:space="preserve">
Per 4q conf call expect 8 new stores
8/12 Per 2q release, now expect 10</t>
        </r>
      </text>
    </comment>
    <comment ref="N133" authorId="8">
      <text>
        <r>
          <rPr>
            <b/>
            <sz val="8"/>
            <color indexed="81"/>
            <rFont val="Tahoma"/>
            <family val="2"/>
          </rPr>
          <t>Kimberly Greenberger:</t>
        </r>
        <r>
          <rPr>
            <sz val="8"/>
            <color indexed="81"/>
            <rFont val="Tahoma"/>
            <family val="2"/>
          </rPr>
          <t xml:space="preserve">
per 4/05 10-K per store avg size is 30k sq ft. Total yr end sq footage for division is 22.766mm sq ft</t>
        </r>
      </text>
    </comment>
    <comment ref="O133" authorId="8">
      <text>
        <r>
          <rPr>
            <b/>
            <sz val="8"/>
            <color indexed="81"/>
            <rFont val="Tahoma"/>
            <family val="2"/>
          </rPr>
          <t>Kimberly Greenberger:</t>
        </r>
        <r>
          <rPr>
            <sz val="8"/>
            <color indexed="81"/>
            <rFont val="Tahoma"/>
            <family val="2"/>
          </rPr>
          <t xml:space="preserve">
per 4/05 10-K per store avg size is 30k sq ft. Total yr end sq footage for division is 22.766mm sq ft</t>
        </r>
      </text>
    </comment>
    <comment ref="S133" authorId="4">
      <text>
        <r>
          <rPr>
            <b/>
            <sz val="8"/>
            <color indexed="81"/>
            <rFont val="Tahoma"/>
            <family val="2"/>
          </rPr>
          <t>lehman:</t>
        </r>
        <r>
          <rPr>
            <sz val="8"/>
            <color indexed="81"/>
            <rFont val="Tahoma"/>
            <family val="2"/>
          </rPr>
          <t xml:space="preserve">
Per 4q conf call expect 8 new stores
8/12 Per 2q release, now expect 10</t>
        </r>
      </text>
    </comment>
    <comment ref="U133" authorId="8">
      <text>
        <r>
          <rPr>
            <b/>
            <sz val="8"/>
            <color indexed="81"/>
            <rFont val="Tahoma"/>
            <family val="2"/>
          </rPr>
          <t>Kimberly Greenberger:</t>
        </r>
        <r>
          <rPr>
            <sz val="8"/>
            <color indexed="81"/>
            <rFont val="Tahoma"/>
            <family val="2"/>
          </rPr>
          <t xml:space="preserve">
per 4/05 10-K avg store size is 31k sq ft. Total division sq footage is 21.885mm sq ft.</t>
        </r>
      </text>
    </comment>
    <comment ref="V133" authorId="8">
      <text>
        <r>
          <rPr>
            <b/>
            <sz val="8"/>
            <color indexed="81"/>
            <rFont val="Tahoma"/>
            <family val="2"/>
          </rPr>
          <t>Kimberly Greenberger:</t>
        </r>
        <r>
          <rPr>
            <sz val="8"/>
            <color indexed="81"/>
            <rFont val="Tahoma"/>
            <family val="2"/>
          </rPr>
          <t xml:space="preserve">
per 4/05 10-K avg store size is 31k sq ft. Total division sq footage is 21.885mm sq ft.</t>
        </r>
      </text>
    </comment>
    <comment ref="Z133" authorId="4">
      <text>
        <r>
          <rPr>
            <b/>
            <sz val="8"/>
            <color indexed="81"/>
            <rFont val="Tahoma"/>
            <family val="2"/>
          </rPr>
          <t>lehman:</t>
        </r>
        <r>
          <rPr>
            <sz val="8"/>
            <color indexed="81"/>
            <rFont val="Tahoma"/>
            <family val="2"/>
          </rPr>
          <t xml:space="preserve">
Per 4q conf call expect 8 new stores
8/12 Per 2q release, now expect 10</t>
        </r>
      </text>
    </comment>
    <comment ref="AB133" authorId="8">
      <text>
        <r>
          <rPr>
            <b/>
            <sz val="8"/>
            <color indexed="81"/>
            <rFont val="Tahoma"/>
            <family val="2"/>
          </rPr>
          <t>Kimberly Greenberger:</t>
        </r>
        <r>
          <rPr>
            <sz val="8"/>
            <color indexed="81"/>
            <rFont val="Tahoma"/>
            <family val="2"/>
          </rPr>
          <t xml:space="preserve">
per 4/05 10-K 29k sq ft on avg and total yr end sq footage of 4.88mm</t>
        </r>
      </text>
    </comment>
    <comment ref="AC133" authorId="8">
      <text>
        <r>
          <rPr>
            <b/>
            <sz val="8"/>
            <color indexed="81"/>
            <rFont val="Tahoma"/>
            <family val="2"/>
          </rPr>
          <t>Kimberly Greenberger:</t>
        </r>
        <r>
          <rPr>
            <sz val="8"/>
            <color indexed="81"/>
            <rFont val="Tahoma"/>
            <family val="2"/>
          </rPr>
          <t xml:space="preserve">
per 4/05 10-K 29k sq ft on avg and total yr end sq footage of 4.88mm</t>
        </r>
      </text>
    </comment>
    <comment ref="AG133" authorId="4">
      <text>
        <r>
          <rPr>
            <b/>
            <sz val="8"/>
            <color indexed="81"/>
            <rFont val="Tahoma"/>
            <family val="2"/>
          </rPr>
          <t>lehman:</t>
        </r>
        <r>
          <rPr>
            <sz val="8"/>
            <color indexed="81"/>
            <rFont val="Tahoma"/>
            <family val="2"/>
          </rPr>
          <t xml:space="preserve">
Per 4q conf call expect 8 new stores
8/12 Per 2q release, now expect 10</t>
        </r>
      </text>
    </comment>
    <comment ref="AI133" authorId="8">
      <text>
        <r>
          <rPr>
            <b/>
            <sz val="8"/>
            <color indexed="81"/>
            <rFont val="Tahoma"/>
            <family val="2"/>
          </rPr>
          <t>Kimberly Greenberger:</t>
        </r>
        <r>
          <rPr>
            <sz val="8"/>
            <color indexed="81"/>
            <rFont val="Tahoma"/>
            <family val="2"/>
          </rPr>
          <t xml:space="preserve">
per 4/05 10-K per store avg size is 28k sq ft. Total division sq footage is 4.842mm sq ft.</t>
        </r>
      </text>
    </comment>
    <comment ref="AJ133" authorId="8">
      <text>
        <r>
          <rPr>
            <b/>
            <sz val="8"/>
            <color indexed="81"/>
            <rFont val="Tahoma"/>
            <family val="2"/>
          </rPr>
          <t>Kimberly Greenberger:</t>
        </r>
        <r>
          <rPr>
            <sz val="8"/>
            <color indexed="81"/>
            <rFont val="Tahoma"/>
            <family val="2"/>
          </rPr>
          <t xml:space="preserve">
per 4/05 10-K per store avg size is 28k sq ft. Total division sq footage is 4.842mm sq ft.</t>
        </r>
      </text>
    </comment>
    <comment ref="AM133" authorId="8">
      <text>
        <r>
          <rPr>
            <b/>
            <sz val="8"/>
            <color indexed="81"/>
            <rFont val="Tahoma"/>
            <family val="2"/>
          </rPr>
          <t>Kimberly Greenberger:</t>
        </r>
        <r>
          <rPr>
            <sz val="8"/>
            <color indexed="81"/>
            <rFont val="Tahoma"/>
            <family val="2"/>
          </rPr>
          <t xml:space="preserve">
120 stand alone stores avg 52,000 sq ft plus 96 superstores w/ Home sq footage avg 21.000</t>
        </r>
      </text>
    </comment>
    <comment ref="AN133" authorId="4">
      <text>
        <r>
          <rPr>
            <b/>
            <sz val="8"/>
            <color indexed="81"/>
            <rFont val="Tahoma"/>
            <family val="2"/>
          </rPr>
          <t>lehman:</t>
        </r>
        <r>
          <rPr>
            <sz val="8"/>
            <color indexed="81"/>
            <rFont val="Tahoma"/>
            <family val="2"/>
          </rPr>
          <t xml:space="preserve">
Per 4q conf call expect 8 new stores
8/12 Per 2q release, now expect 10</t>
        </r>
      </text>
    </comment>
    <comment ref="AP133" authorId="8">
      <text>
        <r>
          <rPr>
            <b/>
            <sz val="8"/>
            <color indexed="81"/>
            <rFont val="Tahoma"/>
            <family val="2"/>
          </rPr>
          <t>Kimberly Greenberger:</t>
        </r>
        <r>
          <rPr>
            <sz val="8"/>
            <color indexed="81"/>
            <rFont val="Tahoma"/>
            <family val="2"/>
          </rPr>
          <t xml:space="preserve">
per 4/05 10-K per store avg is 26k sq ft. Total division sq footage is 3.345mm sq ft.</t>
        </r>
      </text>
    </comment>
    <comment ref="AQ133" authorId="8">
      <text>
        <r>
          <rPr>
            <b/>
            <sz val="8"/>
            <color indexed="81"/>
            <rFont val="Tahoma"/>
            <family val="2"/>
          </rPr>
          <t>Kimberly Greenberger:</t>
        </r>
        <r>
          <rPr>
            <sz val="8"/>
            <color indexed="81"/>
            <rFont val="Tahoma"/>
            <family val="2"/>
          </rPr>
          <t xml:space="preserve">
per 4/05 10-K avg store size is 25k sq ft. Total division sq footage is 5.354mm sq ft.</t>
        </r>
      </text>
    </comment>
    <comment ref="AU133" authorId="4">
      <text>
        <r>
          <rPr>
            <b/>
            <sz val="8"/>
            <color indexed="81"/>
            <rFont val="Tahoma"/>
            <family val="2"/>
          </rPr>
          <t>lehman:</t>
        </r>
        <r>
          <rPr>
            <sz val="8"/>
            <color indexed="81"/>
            <rFont val="Tahoma"/>
            <family val="2"/>
          </rPr>
          <t xml:space="preserve">
Per 4q conf call expect 8 new stores
8/12 Per 2q release, now expect 10</t>
        </r>
      </text>
    </comment>
    <comment ref="AW133" authorId="8">
      <text>
        <r>
          <rPr>
            <b/>
            <sz val="8"/>
            <color indexed="81"/>
            <rFont val="Tahoma"/>
            <family val="2"/>
          </rPr>
          <t>Kimberly Greenberger:</t>
        </r>
        <r>
          <rPr>
            <sz val="8"/>
            <color indexed="81"/>
            <rFont val="Tahoma"/>
            <family val="2"/>
          </rPr>
          <t xml:space="preserve">
per 4/05 10-K per store avg is 26k sq ft. Total division sq footage is 3.345mm sq ft.</t>
        </r>
      </text>
    </comment>
    <comment ref="AX133" authorId="8">
      <text>
        <r>
          <rPr>
            <b/>
            <sz val="8"/>
            <color indexed="81"/>
            <rFont val="Tahoma"/>
            <family val="2"/>
          </rPr>
          <t>Kimberly Greenberger:</t>
        </r>
        <r>
          <rPr>
            <sz val="8"/>
            <color indexed="81"/>
            <rFont val="Tahoma"/>
            <family val="2"/>
          </rPr>
          <t xml:space="preserve">
per 4/05 10-K per store avg is 26k sq ft. Total division sq footage is 3.345mm sq ft.</t>
        </r>
      </text>
    </comment>
    <comment ref="BB133" authorId="4">
      <text>
        <r>
          <rPr>
            <b/>
            <sz val="8"/>
            <color indexed="81"/>
            <rFont val="Tahoma"/>
            <family val="2"/>
          </rPr>
          <t>lehman:</t>
        </r>
        <r>
          <rPr>
            <sz val="8"/>
            <color indexed="81"/>
            <rFont val="Tahoma"/>
            <family val="2"/>
          </rPr>
          <t xml:space="preserve">
Per 4q conf call expect 8 new stores
8/12 Per 2q release, now expect 10</t>
        </r>
      </text>
    </comment>
    <comment ref="BD133" authorId="8">
      <text>
        <r>
          <rPr>
            <b/>
            <sz val="8"/>
            <color indexed="81"/>
            <rFont val="Tahoma"/>
            <family val="2"/>
          </rPr>
          <t>Kimberly Greenberger:</t>
        </r>
        <r>
          <rPr>
            <sz val="8"/>
            <color indexed="81"/>
            <rFont val="Tahoma"/>
            <family val="2"/>
          </rPr>
          <t xml:space="preserve">
per 4/05 10-K per store avg is 24k sq ft. Total division sq footage is 0.975mm sq ft.</t>
        </r>
      </text>
    </comment>
    <comment ref="BE133" authorId="8">
      <text>
        <r>
          <rPr>
            <b/>
            <sz val="8"/>
            <color indexed="81"/>
            <rFont val="Tahoma"/>
            <family val="2"/>
          </rPr>
          <t>Kimberly Greenberger:</t>
        </r>
        <r>
          <rPr>
            <sz val="8"/>
            <color indexed="81"/>
            <rFont val="Tahoma"/>
            <family val="2"/>
          </rPr>
          <t xml:space="preserve">
per 4/05 10-K per store avg is 24k sq ft. Total division sq footage is 0.975mm sq ft.</t>
        </r>
      </text>
    </comment>
    <comment ref="CF133" authorId="8">
      <text>
        <r>
          <rPr>
            <b/>
            <sz val="8"/>
            <color indexed="81"/>
            <rFont val="Tahoma"/>
            <family val="2"/>
          </rPr>
          <t>Kimberly Greenberger:</t>
        </r>
        <r>
          <rPr>
            <sz val="8"/>
            <color indexed="81"/>
            <rFont val="Tahoma"/>
            <family val="2"/>
          </rPr>
          <t xml:space="preserve">
per 4/05 10-K per store avg is 46k sq ft. Total division sq footage is 1.461mm sq ft.</t>
        </r>
      </text>
    </comment>
    <comment ref="CG133" authorId="8">
      <text>
        <r>
          <rPr>
            <b/>
            <sz val="8"/>
            <color indexed="81"/>
            <rFont val="Tahoma"/>
            <family val="2"/>
          </rPr>
          <t>Kimberly Greenberger:</t>
        </r>
        <r>
          <rPr>
            <sz val="8"/>
            <color indexed="81"/>
            <rFont val="Tahoma"/>
            <family val="2"/>
          </rPr>
          <t xml:space="preserve">
per 4/05 10-K per store avg is 46k sq ft. Total division sq footage is 1.461mm sq ft.</t>
        </r>
      </text>
    </comment>
    <comment ref="DB133" authorId="1">
      <text>
        <r>
          <rPr>
            <b/>
            <sz val="8"/>
            <color indexed="81"/>
            <rFont val="Tahoma"/>
            <family val="2"/>
          </rPr>
          <t>mm98285:</t>
        </r>
        <r>
          <rPr>
            <sz val="8"/>
            <color indexed="81"/>
            <rFont val="Tahoma"/>
            <family val="2"/>
          </rPr>
          <t xml:space="preserve">
50.358 selling sq ft (ex bob's)</t>
        </r>
      </text>
    </comment>
    <comment ref="E141" authorId="8">
      <text>
        <r>
          <rPr>
            <b/>
            <sz val="8"/>
            <color indexed="81"/>
            <rFont val="Tahoma"/>
            <family val="2"/>
          </rPr>
          <t>Kimberly Greenberger:</t>
        </r>
        <r>
          <rPr>
            <sz val="8"/>
            <color indexed="81"/>
            <rFont val="Tahoma"/>
            <family val="2"/>
          </rPr>
          <t xml:space="preserve">
per 10-K 4/05 plan to open 47 MarMaxx in 2005 (fiscal 2006)</t>
        </r>
      </text>
    </comment>
    <comment ref="O141" authorId="8">
      <text>
        <r>
          <rPr>
            <b/>
            <sz val="8"/>
            <color indexed="81"/>
            <rFont val="Tahoma"/>
            <family val="2"/>
          </rPr>
          <t>Kimberly Greenberger:</t>
        </r>
        <r>
          <rPr>
            <sz val="8"/>
            <color indexed="81"/>
            <rFont val="Tahoma"/>
            <family val="2"/>
          </rPr>
          <t xml:space="preserve">
per 3/06 10-K: avg store size is 30k sq ft. </t>
        </r>
      </text>
    </comment>
    <comment ref="V141" authorId="8">
      <text>
        <r>
          <rPr>
            <b/>
            <sz val="8"/>
            <color indexed="81"/>
            <rFont val="Tahoma"/>
            <family val="2"/>
          </rPr>
          <t>Kimberly Greenberger:</t>
        </r>
        <r>
          <rPr>
            <sz val="8"/>
            <color indexed="81"/>
            <rFont val="Tahoma"/>
            <family val="2"/>
          </rPr>
          <t xml:space="preserve">
per 3/06 10-K: avg store size is 32k sq ft. </t>
        </r>
      </text>
    </comment>
    <comment ref="Z141" authorId="8">
      <text>
        <r>
          <rPr>
            <b/>
            <sz val="8"/>
            <color indexed="81"/>
            <rFont val="Tahoma"/>
            <family val="2"/>
          </rPr>
          <t>Kimberly Greenberger:</t>
        </r>
        <r>
          <rPr>
            <sz val="8"/>
            <color indexed="81"/>
            <rFont val="Tahoma"/>
            <family val="2"/>
          </rPr>
          <t xml:space="preserve">
per 4/05 10-K co expects to add 4 net new Winners in 2005 (fiscal 2006)</t>
        </r>
      </text>
    </comment>
    <comment ref="AC141" authorId="8">
      <text>
        <r>
          <rPr>
            <b/>
            <sz val="8"/>
            <color indexed="81"/>
            <rFont val="Tahoma"/>
            <family val="2"/>
          </rPr>
          <t>Kimberly Greenberger:</t>
        </r>
        <r>
          <rPr>
            <sz val="8"/>
            <color indexed="81"/>
            <rFont val="Tahoma"/>
            <family val="2"/>
          </rPr>
          <t xml:space="preserve">
per 3/06 10-K: avg store size is 30k sq ft. </t>
        </r>
      </text>
    </comment>
    <comment ref="AG141" authorId="7">
      <text>
        <r>
          <rPr>
            <b/>
            <sz val="8"/>
            <color indexed="81"/>
            <rFont val="Tahoma"/>
            <family val="2"/>
          </rPr>
          <t>Morry Brown:</t>
        </r>
        <r>
          <rPr>
            <sz val="8"/>
            <color indexed="81"/>
            <rFont val="Tahoma"/>
            <family val="2"/>
          </rPr>
          <t xml:space="preserve">
Company stated 27 stores planned in 2Q release</t>
        </r>
      </text>
    </comment>
    <comment ref="AJ141" authorId="8">
      <text>
        <r>
          <rPr>
            <b/>
            <sz val="8"/>
            <color indexed="81"/>
            <rFont val="Tahoma"/>
            <family val="2"/>
          </rPr>
          <t>Kimberly Greenberger:</t>
        </r>
        <r>
          <rPr>
            <sz val="8"/>
            <color indexed="81"/>
            <rFont val="Tahoma"/>
            <family val="2"/>
          </rPr>
          <t xml:space="preserve">
per 3/06 10-K: avg store size is 30k sq ft. </t>
        </r>
      </text>
    </comment>
    <comment ref="AN141" authorId="8">
      <text>
        <r>
          <rPr>
            <b/>
            <sz val="8"/>
            <color indexed="81"/>
            <rFont val="Tahoma"/>
            <family val="2"/>
          </rPr>
          <t>Kimberly Greenberger:</t>
        </r>
        <r>
          <rPr>
            <sz val="8"/>
            <color indexed="81"/>
            <rFont val="Tahoma"/>
            <family val="2"/>
          </rPr>
          <t xml:space="preserve">
10-K 4/05 co plans to open 40 HG in 2005 (fiscal 2006) including 21 superstores
8/16 company stated in 2Q release 37 stores planned</t>
        </r>
      </text>
    </comment>
    <comment ref="AQ141" authorId="1">
      <text>
        <r>
          <rPr>
            <b/>
            <sz val="8"/>
            <color indexed="81"/>
            <rFont val="Tahoma"/>
            <family val="2"/>
          </rPr>
          <t>mm98285:</t>
        </r>
        <r>
          <rPr>
            <sz val="8"/>
            <color indexed="81"/>
            <rFont val="Tahoma"/>
            <family val="2"/>
          </rPr>
          <t xml:space="preserve">
2005 10K: avg. stand alone stores 27k sq ft and avg. superstores 22k sq ft</t>
        </r>
      </text>
    </comment>
    <comment ref="AU141" authorId="8">
      <text>
        <r>
          <rPr>
            <b/>
            <sz val="8"/>
            <color indexed="81"/>
            <rFont val="Tahoma"/>
            <family val="2"/>
          </rPr>
          <t>Kimberly Greenberger:</t>
        </r>
        <r>
          <rPr>
            <sz val="8"/>
            <color indexed="81"/>
            <rFont val="Tahoma"/>
            <family val="2"/>
          </rPr>
          <t xml:space="preserve">
10-K 4/05 co plans to open 25 AJ in 2005 (fiscal 2006) </t>
        </r>
      </text>
    </comment>
    <comment ref="AX141" authorId="8">
      <text>
        <r>
          <rPr>
            <b/>
            <sz val="8"/>
            <color indexed="81"/>
            <rFont val="Tahoma"/>
            <family val="2"/>
          </rPr>
          <t>Kimberly Greenberger:</t>
        </r>
        <r>
          <rPr>
            <sz val="8"/>
            <color indexed="81"/>
            <rFont val="Tahoma"/>
            <family val="2"/>
          </rPr>
          <t xml:space="preserve">
per 3/06 10-K: avg store size is 26k sq ft. </t>
        </r>
      </text>
    </comment>
    <comment ref="BB141" authorId="8">
      <text>
        <r>
          <rPr>
            <b/>
            <sz val="8"/>
            <color indexed="81"/>
            <rFont val="Tahoma"/>
            <family val="2"/>
          </rPr>
          <t>Kimberly Greenberger:</t>
        </r>
        <r>
          <rPr>
            <sz val="8"/>
            <color indexed="81"/>
            <rFont val="Tahoma"/>
            <family val="2"/>
          </rPr>
          <t xml:space="preserve">
10-K 4/05 co plans to open 17 HS in 2005 (fiscal 2006) </t>
        </r>
      </text>
    </comment>
    <comment ref="BE141" authorId="8">
      <text>
        <r>
          <rPr>
            <b/>
            <sz val="8"/>
            <color indexed="81"/>
            <rFont val="Tahoma"/>
            <family val="2"/>
          </rPr>
          <t>Kimberly Greenberger:</t>
        </r>
        <r>
          <rPr>
            <sz val="8"/>
            <color indexed="81"/>
            <rFont val="Tahoma"/>
            <family val="2"/>
          </rPr>
          <t xml:space="preserve">
per 3/06 10-K: avg store size is 24k sq ft. </t>
        </r>
      </text>
    </comment>
    <comment ref="CD141" authorId="8">
      <text>
        <r>
          <rPr>
            <b/>
            <sz val="8"/>
            <color indexed="81"/>
            <rFont val="Tahoma"/>
            <family val="2"/>
          </rPr>
          <t>Kimberly Greenberger:</t>
        </r>
        <r>
          <rPr>
            <sz val="8"/>
            <color indexed="81"/>
            <rFont val="Tahoma"/>
            <family val="2"/>
          </rPr>
          <t xml:space="preserve">
10-K 4/05 co plans to open 5 Bobs in 2005 (fiscal 2006) </t>
        </r>
      </text>
    </comment>
    <comment ref="CG141" authorId="8">
      <text>
        <r>
          <rPr>
            <b/>
            <sz val="8"/>
            <color indexed="81"/>
            <rFont val="Tahoma"/>
            <family val="2"/>
          </rPr>
          <t>Kimberly Greenberger:</t>
        </r>
        <r>
          <rPr>
            <sz val="8"/>
            <color indexed="81"/>
            <rFont val="Tahoma"/>
            <family val="2"/>
          </rPr>
          <t xml:space="preserve">
per 3/06 10-K: avg store size is 46k sq ft. </t>
        </r>
      </text>
    </comment>
    <comment ref="DB141" authorId="1">
      <text>
        <r>
          <rPr>
            <b/>
            <sz val="8"/>
            <color indexed="81"/>
            <rFont val="Tahoma"/>
            <family val="2"/>
          </rPr>
          <t>mm98285:</t>
        </r>
        <r>
          <rPr>
            <sz val="8"/>
            <color indexed="81"/>
            <rFont val="Tahoma"/>
            <family val="2"/>
          </rPr>
          <t xml:space="preserve">
54.228 selling sq ft (ex bobs)</t>
        </r>
      </text>
    </comment>
    <comment ref="E149" authorId="9">
      <text>
        <r>
          <rPr>
            <b/>
            <sz val="8"/>
            <color indexed="81"/>
            <rFont val="Tahoma"/>
            <family val="2"/>
          </rPr>
          <t>MB33100:</t>
        </r>
        <r>
          <rPr>
            <sz val="8"/>
            <color indexed="81"/>
            <rFont val="Tahoma"/>
            <family val="2"/>
          </rPr>
          <t xml:space="preserve">
2/06 guided to +50 stores for the year</t>
        </r>
      </text>
    </comment>
    <comment ref="R149" authorId="10">
      <text>
        <r>
          <rPr>
            <b/>
            <sz val="8"/>
            <color indexed="81"/>
            <rFont val="Tahoma"/>
            <family val="2"/>
          </rPr>
          <t>oc48540:</t>
        </r>
        <r>
          <rPr>
            <sz val="8"/>
            <color indexed="81"/>
            <rFont val="Tahoma"/>
            <family val="2"/>
          </rPr>
          <t xml:space="preserve">
734 + 14 in Puerto Rico</t>
        </r>
      </text>
    </comment>
    <comment ref="Z149" authorId="9">
      <text>
        <r>
          <rPr>
            <b/>
            <sz val="8"/>
            <color indexed="81"/>
            <rFont val="Tahoma"/>
            <family val="2"/>
          </rPr>
          <t>MB33100:</t>
        </r>
        <r>
          <rPr>
            <sz val="8"/>
            <color indexed="81"/>
            <rFont val="Tahoma"/>
            <family val="2"/>
          </rPr>
          <t xml:space="preserve">
2/06 guided to 185 stores at year end</t>
        </r>
      </text>
    </comment>
    <comment ref="AF149" authorId="10">
      <text>
        <r>
          <rPr>
            <b/>
            <sz val="8"/>
            <color indexed="81"/>
            <rFont val="Tahoma"/>
            <family val="2"/>
          </rPr>
          <t>oc48540:</t>
        </r>
        <r>
          <rPr>
            <sz val="8"/>
            <color indexed="81"/>
            <rFont val="Tahoma"/>
            <family val="2"/>
          </rPr>
          <t xml:space="preserve">
2006 10-K, Believe UK and Ireland can support up to 275 stores</t>
        </r>
      </text>
    </comment>
    <comment ref="AG149" authorId="9">
      <text>
        <r>
          <rPr>
            <b/>
            <sz val="8"/>
            <color indexed="81"/>
            <rFont val="Tahoma"/>
            <family val="2"/>
          </rPr>
          <t>MB33100:</t>
        </r>
        <r>
          <rPr>
            <sz val="8"/>
            <color indexed="81"/>
            <rFont val="Tahoma"/>
            <family val="2"/>
          </rPr>
          <t xml:space="preserve">
2/06 guided to +16 store for the year</t>
        </r>
      </text>
    </comment>
    <comment ref="AN149" authorId="7">
      <text>
        <r>
          <rPr>
            <b/>
            <sz val="8"/>
            <color indexed="81"/>
            <rFont val="Tahoma"/>
            <family val="2"/>
          </rPr>
          <t>Morry Brown:</t>
        </r>
        <r>
          <rPr>
            <sz val="8"/>
            <color indexed="81"/>
            <rFont val="Tahoma"/>
            <family val="2"/>
          </rPr>
          <t xml:space="preserve">
2/06 plans 10 net new stores (15 openings, 5 closings)
per 10-11-05 call, mgmt plans 15 stores in 2006, down from 40</t>
        </r>
      </text>
    </comment>
    <comment ref="AT149" authorId="10">
      <text>
        <r>
          <rPr>
            <b/>
            <sz val="8"/>
            <color indexed="81"/>
            <rFont val="Tahoma"/>
            <family val="2"/>
          </rPr>
          <t>oc48540:</t>
        </r>
        <r>
          <rPr>
            <sz val="8"/>
            <color indexed="81"/>
            <rFont val="Tahoma"/>
            <family val="2"/>
          </rPr>
          <t xml:space="preserve">
2006 10-K, believes US mkt can support 1000 stores</t>
        </r>
      </text>
    </comment>
    <comment ref="AU149" authorId="7">
      <text>
        <r>
          <rPr>
            <b/>
            <sz val="8"/>
            <color indexed="81"/>
            <rFont val="Tahoma"/>
            <family val="2"/>
          </rPr>
          <t>Morry Brown:</t>
        </r>
        <r>
          <rPr>
            <sz val="8"/>
            <color indexed="81"/>
            <rFont val="Tahoma"/>
            <family val="2"/>
          </rPr>
          <t xml:space="preserve">
2/07: includes 34 underperforming store closures on 11/30/06
2/06 plan 8 net openings (10-2)
Per 10-11-05 call, mgmt expects 10 new stores in 2006, down from ~40 previously</t>
        </r>
      </text>
    </comment>
    <comment ref="BB149" authorId="9">
      <text>
        <r>
          <rPr>
            <b/>
            <sz val="8"/>
            <color indexed="81"/>
            <rFont val="Tahoma"/>
            <family val="2"/>
          </rPr>
          <t>MB33100:</t>
        </r>
        <r>
          <rPr>
            <sz val="8"/>
            <color indexed="81"/>
            <rFont val="Tahoma"/>
            <family val="2"/>
          </rPr>
          <t xml:space="preserve">
guided to 68 at year end</t>
        </r>
      </text>
    </comment>
    <comment ref="CD149" authorId="7">
      <text>
        <r>
          <rPr>
            <b/>
            <sz val="8"/>
            <color indexed="81"/>
            <rFont val="Tahoma"/>
            <family val="2"/>
          </rPr>
          <t>Morry Brown:</t>
        </r>
        <r>
          <rPr>
            <sz val="8"/>
            <color indexed="81"/>
            <rFont val="Tahoma"/>
            <family val="2"/>
          </rPr>
          <t xml:space="preserve">
2/06 guided to +1 store
10-11-05: Mgmt plans only 1 Bob's store in 2006</t>
        </r>
      </text>
    </comment>
    <comment ref="DB149" authorId="1">
      <text>
        <r>
          <rPr>
            <b/>
            <sz val="8"/>
            <color indexed="81"/>
            <rFont val="Tahoma"/>
            <family val="2"/>
          </rPr>
          <t>mm98285:</t>
        </r>
        <r>
          <rPr>
            <sz val="8"/>
            <color indexed="81"/>
            <rFont val="Tahoma"/>
            <family val="2"/>
          </rPr>
          <t xml:space="preserve">
56.356 selling sq ft (ex Bobs)</t>
        </r>
      </text>
    </comment>
    <comment ref="DB153" authorId="11">
      <text>
        <r>
          <rPr>
            <b/>
            <sz val="8"/>
            <color indexed="81"/>
            <rFont val="Tahoma"/>
            <family val="2"/>
          </rPr>
          <t>OC48540:</t>
        </r>
        <r>
          <rPr>
            <sz val="8"/>
            <color indexed="81"/>
            <rFont val="Tahoma"/>
            <family val="2"/>
          </rPr>
          <t xml:space="preserve">
Gross Square Feet</t>
        </r>
      </text>
    </comment>
    <comment ref="DB154" authorId="11">
      <text>
        <r>
          <rPr>
            <b/>
            <sz val="8"/>
            <color indexed="81"/>
            <rFont val="Tahoma"/>
            <family val="2"/>
          </rPr>
          <t>OC48540:</t>
        </r>
        <r>
          <rPr>
            <sz val="8"/>
            <color indexed="81"/>
            <rFont val="Tahoma"/>
            <family val="2"/>
          </rPr>
          <t xml:space="preserve">
was 76.8 but rounding up to 76.9</t>
        </r>
      </text>
    </comment>
    <comment ref="D156" authorId="1">
      <text>
        <r>
          <rPr>
            <b/>
            <sz val="8"/>
            <color indexed="81"/>
            <rFont val="Tahoma"/>
            <family val="2"/>
          </rPr>
          <t>mm98285:</t>
        </r>
        <r>
          <rPr>
            <sz val="8"/>
            <color indexed="81"/>
            <rFont val="Tahoma"/>
            <family val="2"/>
          </rPr>
          <t xml:space="preserve">
2/07: guided to 1619 stores</t>
        </r>
      </text>
    </comment>
    <comment ref="E156" authorId="1">
      <text>
        <r>
          <rPr>
            <b/>
            <sz val="8"/>
            <color indexed="81"/>
            <rFont val="Tahoma"/>
            <family val="2"/>
          </rPr>
          <t>mm98285:</t>
        </r>
        <r>
          <rPr>
            <sz val="8"/>
            <color indexed="81"/>
            <rFont val="Tahoma"/>
            <family val="2"/>
          </rPr>
          <t xml:space="preserve">
2/07: guided to +50 net new stores</t>
        </r>
      </text>
    </comment>
    <comment ref="I156" authorId="1">
      <text>
        <r>
          <rPr>
            <b/>
            <sz val="8"/>
            <color indexed="81"/>
            <rFont val="Tahoma"/>
            <family val="2"/>
          </rPr>
          <t>mm98285:</t>
        </r>
        <r>
          <rPr>
            <sz val="8"/>
            <color indexed="81"/>
            <rFont val="Tahoma"/>
            <family val="2"/>
          </rPr>
          <t xml:space="preserve">
2/07: guided to 3%</t>
        </r>
      </text>
    </comment>
    <comment ref="R156" authorId="1">
      <text>
        <r>
          <rPr>
            <b/>
            <sz val="8"/>
            <color indexed="81"/>
            <rFont val="Tahoma"/>
            <family val="2"/>
          </rPr>
          <t>mm98285:</t>
        </r>
        <r>
          <rPr>
            <sz val="8"/>
            <color indexed="81"/>
            <rFont val="Tahoma"/>
            <family val="2"/>
          </rPr>
          <t xml:space="preserve">
3/08: includes 14 in Puerto Rico</t>
        </r>
      </text>
    </comment>
    <comment ref="Y156" authorId="1">
      <text>
        <r>
          <rPr>
            <b/>
            <sz val="8"/>
            <color indexed="81"/>
            <rFont val="Tahoma"/>
            <family val="2"/>
          </rPr>
          <t>mm98285:</t>
        </r>
        <r>
          <rPr>
            <sz val="8"/>
            <color indexed="81"/>
            <rFont val="Tahoma"/>
            <family val="2"/>
          </rPr>
          <t xml:space="preserve">
2/07: guided to 188 stores</t>
        </r>
      </text>
    </comment>
    <comment ref="Z156" authorId="1">
      <text>
        <r>
          <rPr>
            <b/>
            <sz val="8"/>
            <color indexed="81"/>
            <rFont val="Tahoma"/>
            <family val="2"/>
          </rPr>
          <t>mm98285:</t>
        </r>
        <r>
          <rPr>
            <sz val="8"/>
            <color indexed="81"/>
            <rFont val="Tahoma"/>
            <family val="2"/>
          </rPr>
          <t xml:space="preserve">
2/07: guided to +7 new stores for Winners and HomeSense with 188 Winner stores at the end of 2007</t>
        </r>
      </text>
    </comment>
    <comment ref="AD156" authorId="1">
      <text>
        <r>
          <rPr>
            <b/>
            <sz val="8"/>
            <color indexed="81"/>
            <rFont val="Tahoma"/>
            <family val="2"/>
          </rPr>
          <t>mm98285:</t>
        </r>
        <r>
          <rPr>
            <sz val="8"/>
            <color indexed="81"/>
            <rFont val="Tahoma"/>
            <family val="2"/>
          </rPr>
          <t xml:space="preserve">
2/07: guided to +3% for Winners and HS</t>
        </r>
      </text>
    </comment>
    <comment ref="AF156" authorId="1">
      <text>
        <r>
          <rPr>
            <b/>
            <sz val="8"/>
            <color indexed="81"/>
            <rFont val="Tahoma"/>
            <family val="2"/>
          </rPr>
          <t>mm98285:</t>
        </r>
        <r>
          <rPr>
            <sz val="8"/>
            <color indexed="81"/>
            <rFont val="Tahoma"/>
            <family val="2"/>
          </rPr>
          <t xml:space="preserve">
3/08: 221 in UK and Ireland and 5 in Germany
2/07: guided to 220 stores</t>
        </r>
      </text>
    </comment>
    <comment ref="AG156" authorId="1">
      <text>
        <r>
          <rPr>
            <b/>
            <sz val="8"/>
            <color indexed="81"/>
            <rFont val="Tahoma"/>
            <family val="2"/>
          </rPr>
          <t>mm98285:</t>
        </r>
        <r>
          <rPr>
            <sz val="8"/>
            <color indexed="81"/>
            <rFont val="Tahoma"/>
            <family val="2"/>
          </rPr>
          <t xml:space="preserve">
2/07: guided to +10 new stores</t>
        </r>
      </text>
    </comment>
    <comment ref="AK156" authorId="1">
      <text>
        <r>
          <rPr>
            <b/>
            <sz val="8"/>
            <color indexed="81"/>
            <rFont val="Tahoma"/>
            <family val="2"/>
          </rPr>
          <t>mm98285:</t>
        </r>
        <r>
          <rPr>
            <sz val="8"/>
            <color indexed="81"/>
            <rFont val="Tahoma"/>
            <family val="2"/>
          </rPr>
          <t xml:space="preserve">
2/07: guided to 7%</t>
        </r>
      </text>
    </comment>
    <comment ref="AM156" authorId="1">
      <text>
        <r>
          <rPr>
            <b/>
            <sz val="8"/>
            <color indexed="81"/>
            <rFont val="Tahoma"/>
            <family val="2"/>
          </rPr>
          <t>mm98285:</t>
        </r>
        <r>
          <rPr>
            <sz val="8"/>
            <color indexed="81"/>
            <rFont val="Tahoma"/>
            <family val="2"/>
          </rPr>
          <t xml:space="preserve">
3/08: includes 156 stand-alone, 105 superstores, 28 combo stores</t>
        </r>
      </text>
    </comment>
    <comment ref="AN156" authorId="1">
      <text>
        <r>
          <rPr>
            <b/>
            <sz val="8"/>
            <color indexed="81"/>
            <rFont val="Tahoma"/>
            <family val="2"/>
          </rPr>
          <t>mm98285:</t>
        </r>
        <r>
          <rPr>
            <sz val="8"/>
            <color indexed="81"/>
            <rFont val="Tahoma"/>
            <family val="2"/>
          </rPr>
          <t xml:space="preserve">
2/07: guided to +15 new stores</t>
        </r>
      </text>
    </comment>
    <comment ref="AR156" authorId="1">
      <text>
        <r>
          <rPr>
            <b/>
            <sz val="8"/>
            <color indexed="81"/>
            <rFont val="Tahoma"/>
            <family val="2"/>
          </rPr>
          <t>mm98285:</t>
        </r>
        <r>
          <rPr>
            <sz val="8"/>
            <color indexed="81"/>
            <rFont val="Tahoma"/>
            <family val="2"/>
          </rPr>
          <t xml:space="preserve">
2/07: guided to +5%</t>
        </r>
      </text>
    </comment>
    <comment ref="AU156" authorId="1">
      <text>
        <r>
          <rPr>
            <b/>
            <sz val="8"/>
            <color indexed="81"/>
            <rFont val="Tahoma"/>
            <family val="2"/>
          </rPr>
          <t>mm98285:</t>
        </r>
        <r>
          <rPr>
            <sz val="8"/>
            <color indexed="81"/>
            <rFont val="Tahoma"/>
            <family val="2"/>
          </rPr>
          <t xml:space="preserve">
2/07: guided to +5 stores</t>
        </r>
      </text>
    </comment>
    <comment ref="BB156" authorId="1">
      <text>
        <r>
          <rPr>
            <b/>
            <sz val="8"/>
            <color indexed="81"/>
            <rFont val="Tahoma"/>
            <family val="2"/>
          </rPr>
          <t>mm98285:</t>
        </r>
        <r>
          <rPr>
            <sz val="8"/>
            <color indexed="81"/>
            <rFont val="Tahoma"/>
            <family val="2"/>
          </rPr>
          <t xml:space="preserve">
2/07: guided to +7 new stores for Winners and HomeSense with 71 HS stores at the end of 2007</t>
        </r>
      </text>
    </comment>
    <comment ref="CD156" authorId="1">
      <text>
        <r>
          <rPr>
            <b/>
            <sz val="8"/>
            <color indexed="81"/>
            <rFont val="Tahoma"/>
            <family val="2"/>
          </rPr>
          <t>mm98285:</t>
        </r>
        <r>
          <rPr>
            <sz val="8"/>
            <color indexed="81"/>
            <rFont val="Tahoma"/>
            <family val="2"/>
          </rPr>
          <t xml:space="preserve">
2/07: guided to 0 store openings</t>
        </r>
      </text>
    </comment>
    <comment ref="DB156" authorId="1">
      <text>
        <r>
          <rPr>
            <b/>
            <sz val="8"/>
            <color indexed="81"/>
            <rFont val="Tahoma"/>
            <family val="2"/>
          </rPr>
          <t>mm98285:</t>
        </r>
        <r>
          <rPr>
            <sz val="8"/>
            <color indexed="81"/>
            <rFont val="Tahoma"/>
            <family val="2"/>
          </rPr>
          <t xml:space="preserve">
3/09: 58.772 selling sq ft
3/08: 60.014 selling sq ft</t>
        </r>
      </text>
    </comment>
    <comment ref="N159" authorId="1">
      <text>
        <r>
          <rPr>
            <b/>
            <sz val="8"/>
            <color indexed="81"/>
            <rFont val="Tahoma"/>
            <family val="2"/>
          </rPr>
          <t>mm98285:</t>
        </r>
        <r>
          <rPr>
            <sz val="8"/>
            <color indexed="81"/>
            <rFont val="Tahoma"/>
            <family val="2"/>
          </rPr>
          <t xml:space="preserve">
10Q: 20.237 selling</t>
        </r>
      </text>
    </comment>
    <comment ref="U159" authorId="1">
      <text>
        <r>
          <rPr>
            <b/>
            <sz val="8"/>
            <color indexed="81"/>
            <rFont val="Tahoma"/>
            <family val="2"/>
          </rPr>
          <t>mm98285:</t>
        </r>
        <r>
          <rPr>
            <sz val="8"/>
            <color indexed="81"/>
            <rFont val="Tahoma"/>
            <family val="2"/>
          </rPr>
          <t xml:space="preserve">
10Q: 19.941 selling</t>
        </r>
      </text>
    </comment>
    <comment ref="AB159" authorId="1">
      <text>
        <r>
          <rPr>
            <b/>
            <sz val="8"/>
            <color indexed="81"/>
            <rFont val="Tahoma"/>
            <family val="2"/>
          </rPr>
          <t>mm98285:</t>
        </r>
        <r>
          <rPr>
            <sz val="8"/>
            <color indexed="81"/>
            <rFont val="Tahoma"/>
            <family val="2"/>
          </rPr>
          <t xml:space="preserve">
10Q: 4.505 selling</t>
        </r>
      </text>
    </comment>
    <comment ref="AI159" authorId="1">
      <text>
        <r>
          <rPr>
            <b/>
            <sz val="8"/>
            <color indexed="81"/>
            <rFont val="Tahoma"/>
            <family val="2"/>
          </rPr>
          <t>mm98285:</t>
        </r>
        <r>
          <rPr>
            <sz val="8"/>
            <color indexed="81"/>
            <rFont val="Tahoma"/>
            <family val="2"/>
          </rPr>
          <t xml:space="preserve">
10Q: 5.138 selling</t>
        </r>
      </text>
    </comment>
    <comment ref="AP159" authorId="1">
      <text>
        <r>
          <rPr>
            <b/>
            <sz val="8"/>
            <color indexed="81"/>
            <rFont val="Tahoma"/>
            <family val="2"/>
          </rPr>
          <t>mm98285:</t>
        </r>
        <r>
          <rPr>
            <sz val="8"/>
            <color indexed="81"/>
            <rFont val="Tahoma"/>
            <family val="2"/>
          </rPr>
          <t xml:space="preserve">
10Q: 5.673 selling</t>
        </r>
      </text>
    </comment>
    <comment ref="AW159" authorId="1">
      <text>
        <r>
          <rPr>
            <b/>
            <sz val="8"/>
            <color indexed="81"/>
            <rFont val="Tahoma"/>
            <family val="2"/>
          </rPr>
          <t>mm98285:</t>
        </r>
        <r>
          <rPr>
            <sz val="8"/>
            <color indexed="81"/>
            <rFont val="Tahoma"/>
            <family val="2"/>
          </rPr>
          <t xml:space="preserve">
10Q: 2.594 selling</t>
        </r>
      </text>
    </comment>
    <comment ref="BB159" authorId="11">
      <text>
        <r>
          <rPr>
            <b/>
            <sz val="8"/>
            <color indexed="81"/>
            <rFont val="Tahoma"/>
            <family val="2"/>
          </rPr>
          <t>OC48540:</t>
        </r>
        <r>
          <rPr>
            <sz val="8"/>
            <color indexed="81"/>
            <rFont val="Tahoma"/>
            <family val="2"/>
          </rPr>
          <t xml:space="preserve">
includes 1 in europe too</t>
        </r>
      </text>
    </comment>
    <comment ref="BD159" authorId="1">
      <text>
        <r>
          <rPr>
            <b/>
            <sz val="8"/>
            <color indexed="81"/>
            <rFont val="Tahoma"/>
            <family val="2"/>
          </rPr>
          <t>mm98285:</t>
        </r>
        <r>
          <rPr>
            <sz val="8"/>
            <color indexed="81"/>
            <rFont val="Tahoma"/>
            <family val="2"/>
          </rPr>
          <t xml:space="preserve">
10Q: 1.398 selling</t>
        </r>
      </text>
    </comment>
    <comment ref="BA160" authorId="1">
      <text>
        <r>
          <rPr>
            <b/>
            <sz val="8"/>
            <color indexed="81"/>
            <rFont val="Tahoma"/>
            <family val="2"/>
          </rPr>
          <t>mm98285:</t>
        </r>
        <r>
          <rPr>
            <sz val="8"/>
            <color indexed="81"/>
            <rFont val="Tahoma"/>
            <family val="2"/>
          </rPr>
          <t xml:space="preserve">
includes 6 in UK</t>
        </r>
      </text>
    </comment>
    <comment ref="Y161" authorId="2">
      <text>
        <r>
          <rPr>
            <b/>
            <sz val="8"/>
            <color indexed="81"/>
            <rFont val="Tahoma"/>
            <family val="2"/>
          </rPr>
          <t>Margaret Marchant:</t>
        </r>
        <r>
          <rPr>
            <sz val="8"/>
            <color indexed="81"/>
            <rFont val="Tahoma"/>
            <family val="2"/>
          </rPr>
          <t xml:space="preserve">
opened new concept: 2 style sense</t>
        </r>
      </text>
    </comment>
    <comment ref="Z161" authorId="2">
      <text>
        <r>
          <rPr>
            <b/>
            <sz val="8"/>
            <color indexed="81"/>
            <rFont val="Tahoma"/>
            <family val="2"/>
          </rPr>
          <t>Margaret Marchant:</t>
        </r>
        <r>
          <rPr>
            <sz val="8"/>
            <color indexed="81"/>
            <rFont val="Tahoma"/>
            <family val="2"/>
          </rPr>
          <t xml:space="preserve">
incl 2 style sense</t>
        </r>
      </text>
    </comment>
    <comment ref="BA161" authorId="1">
      <text>
        <r>
          <rPr>
            <b/>
            <sz val="8"/>
            <color indexed="81"/>
            <rFont val="Tahoma"/>
            <family val="2"/>
          </rPr>
          <t>mm98285:</t>
        </r>
        <r>
          <rPr>
            <sz val="8"/>
            <color indexed="81"/>
            <rFont val="Tahoma"/>
            <family val="2"/>
          </rPr>
          <t xml:space="preserve">
includes 7 in UK and 2 Stylesense in Canada</t>
        </r>
      </text>
    </comment>
    <comment ref="N162" authorId="1">
      <text>
        <r>
          <rPr>
            <b/>
            <sz val="8"/>
            <color indexed="81"/>
            <rFont val="Tahoma"/>
            <family val="2"/>
          </rPr>
          <t>mm98285:</t>
        </r>
        <r>
          <rPr>
            <sz val="8"/>
            <color indexed="81"/>
            <rFont val="Tahoma"/>
            <family val="2"/>
          </rPr>
          <t xml:space="preserve">
20.543 selling sq ft</t>
        </r>
      </text>
    </comment>
    <comment ref="U162" authorId="1">
      <text>
        <r>
          <rPr>
            <b/>
            <sz val="8"/>
            <color indexed="81"/>
            <rFont val="Tahoma"/>
            <family val="2"/>
          </rPr>
          <t>mm98285:</t>
        </r>
        <r>
          <rPr>
            <sz val="8"/>
            <color indexed="81"/>
            <rFont val="Tahoma"/>
            <family val="2"/>
          </rPr>
          <t xml:space="preserve">
20.388 selling sq. ft</t>
        </r>
      </text>
    </comment>
    <comment ref="AB162" authorId="1">
      <text>
        <r>
          <rPr>
            <b/>
            <sz val="8"/>
            <color indexed="81"/>
            <rFont val="Tahoma"/>
            <family val="2"/>
          </rPr>
          <t>mm98285:</t>
        </r>
        <r>
          <rPr>
            <sz val="8"/>
            <color indexed="81"/>
            <rFont val="Tahoma"/>
            <family val="2"/>
          </rPr>
          <t xml:space="preserve">
4.647 selling sq ft</t>
        </r>
      </text>
    </comment>
    <comment ref="AI162" authorId="1">
      <text>
        <r>
          <rPr>
            <b/>
            <sz val="8"/>
            <color indexed="81"/>
            <rFont val="Tahoma"/>
            <family val="2"/>
          </rPr>
          <t>mm98285:</t>
        </r>
        <r>
          <rPr>
            <sz val="8"/>
            <color indexed="81"/>
            <rFont val="Tahoma"/>
            <family val="2"/>
          </rPr>
          <t xml:space="preserve">
5.404 selling sq ft</t>
        </r>
      </text>
    </comment>
    <comment ref="AP162" authorId="1">
      <text>
        <r>
          <rPr>
            <b/>
            <sz val="8"/>
            <color indexed="81"/>
            <rFont val="Tahoma"/>
            <family val="2"/>
          </rPr>
          <t>mm98285:</t>
        </r>
        <r>
          <rPr>
            <sz val="8"/>
            <color indexed="81"/>
            <rFont val="Tahoma"/>
            <family val="2"/>
          </rPr>
          <t xml:space="preserve">
6.248 selling sq ft</t>
        </r>
      </text>
    </comment>
    <comment ref="AW162" authorId="1">
      <text>
        <r>
          <rPr>
            <b/>
            <sz val="8"/>
            <color indexed="81"/>
            <rFont val="Tahoma"/>
            <family val="2"/>
          </rPr>
          <t>mm98285:</t>
        </r>
        <r>
          <rPr>
            <sz val="8"/>
            <color indexed="81"/>
            <rFont val="Tahoma"/>
            <family val="2"/>
          </rPr>
          <t xml:space="preserve">
2.680 selling sq. </t>
        </r>
      </text>
    </comment>
    <comment ref="BD162" authorId="1">
      <text>
        <r>
          <rPr>
            <b/>
            <sz val="8"/>
            <color indexed="81"/>
            <rFont val="Tahoma"/>
            <family val="2"/>
          </rPr>
          <t>mm98285:</t>
        </r>
        <r>
          <rPr>
            <sz val="8"/>
            <color indexed="81"/>
            <rFont val="Tahoma"/>
            <family val="2"/>
          </rPr>
          <t xml:space="preserve">
1.437 selling sq. </t>
        </r>
      </text>
    </comment>
    <comment ref="BK162" authorId="1">
      <text>
        <r>
          <rPr>
            <b/>
            <sz val="8"/>
            <color indexed="81"/>
            <rFont val="Tahoma"/>
            <family val="2"/>
          </rPr>
          <t>mm98285:</t>
        </r>
        <r>
          <rPr>
            <sz val="8"/>
            <color indexed="81"/>
            <rFont val="Tahoma"/>
            <family val="2"/>
          </rPr>
          <t xml:space="preserve">
.107 selling sq ft</t>
        </r>
      </text>
    </comment>
    <comment ref="D163" authorId="1">
      <text>
        <r>
          <rPr>
            <b/>
            <sz val="8"/>
            <color indexed="81"/>
            <rFont val="Tahoma"/>
            <family val="2"/>
          </rPr>
          <t>mm98285:</t>
        </r>
        <r>
          <rPr>
            <sz val="8"/>
            <color indexed="81"/>
            <rFont val="Tahoma"/>
            <family val="2"/>
          </rPr>
          <t xml:space="preserve">
2/08: expect 1,168</t>
        </r>
      </text>
    </comment>
    <comment ref="E163" authorId="1">
      <text>
        <r>
          <rPr>
            <b/>
            <sz val="8"/>
            <color indexed="81"/>
            <rFont val="Tahoma"/>
            <family val="2"/>
          </rPr>
          <t>mm98285:</t>
        </r>
        <r>
          <rPr>
            <sz val="8"/>
            <color indexed="81"/>
            <rFont val="Tahoma"/>
            <family val="2"/>
          </rPr>
          <t xml:space="preserve">
2/08: expect 45 net new stores</t>
        </r>
      </text>
    </comment>
    <comment ref="I163" authorId="1">
      <text>
        <r>
          <rPr>
            <b/>
            <sz val="8"/>
            <color indexed="81"/>
            <rFont val="Tahoma"/>
            <family val="2"/>
          </rPr>
          <t>mm98285:</t>
        </r>
        <r>
          <rPr>
            <sz val="8"/>
            <color indexed="81"/>
            <rFont val="Tahoma"/>
            <family val="2"/>
          </rPr>
          <t xml:space="preserve">
2/08: expect 2% sq. ft growth</t>
        </r>
      </text>
    </comment>
    <comment ref="Y163" authorId="8">
      <text>
        <r>
          <rPr>
            <b/>
            <sz val="8"/>
            <color indexed="81"/>
            <rFont val="Tahoma"/>
            <family val="2"/>
          </rPr>
          <t>Kimberly Greenberger:</t>
        </r>
        <r>
          <rPr>
            <sz val="8"/>
            <color indexed="81"/>
            <rFont val="Tahoma"/>
            <family val="2"/>
          </rPr>
          <t xml:space="preserve">
2/08: expect 278 stores in Canada (includes Winners and HomeSense)
per 4/05 10-K co indicated Winners store potential is 200 stores</t>
        </r>
      </text>
    </comment>
    <comment ref="Z163" authorId="1">
      <text>
        <r>
          <rPr>
            <b/>
            <sz val="8"/>
            <color indexed="81"/>
            <rFont val="Tahoma"/>
            <family val="2"/>
          </rPr>
          <t>mm98285:</t>
        </r>
        <r>
          <rPr>
            <sz val="8"/>
            <color indexed="81"/>
            <rFont val="Tahoma"/>
            <family val="2"/>
          </rPr>
          <t xml:space="preserve">
2/08: expect +16 net new stores in Canada (includes 9 Winners, 4 Homesense &amp; test a new off-price concept with 3 new stores in Canada)</t>
        </r>
      </text>
    </comment>
    <comment ref="AD163" authorId="1">
      <text>
        <r>
          <rPr>
            <b/>
            <sz val="8"/>
            <color indexed="81"/>
            <rFont val="Tahoma"/>
            <family val="2"/>
          </rPr>
          <t>mm98285:</t>
        </r>
        <r>
          <rPr>
            <sz val="8"/>
            <color indexed="81"/>
            <rFont val="Tahoma"/>
            <family val="2"/>
          </rPr>
          <t xml:space="preserve">
2/08: expect 6%</t>
        </r>
      </text>
    </comment>
    <comment ref="AF163" authorId="1">
      <text>
        <r>
          <rPr>
            <b/>
            <sz val="8"/>
            <color indexed="81"/>
            <rFont val="Tahoma"/>
            <family val="2"/>
          </rPr>
          <t>mm98285:</t>
        </r>
        <r>
          <rPr>
            <sz val="8"/>
            <color indexed="81"/>
            <rFont val="Tahoma"/>
            <family val="2"/>
          </rPr>
          <t xml:space="preserve">
2/08: expect 236 stores</t>
        </r>
      </text>
    </comment>
    <comment ref="AG163" authorId="1">
      <text>
        <r>
          <rPr>
            <b/>
            <sz val="8"/>
            <color indexed="81"/>
            <rFont val="Tahoma"/>
            <family val="2"/>
          </rPr>
          <t>mm98285:</t>
        </r>
        <r>
          <rPr>
            <sz val="8"/>
            <color indexed="81"/>
            <rFont val="Tahoma"/>
            <family val="2"/>
          </rPr>
          <t xml:space="preserve">
2/08: expect 10 new stores
(add 10 T.K. Maxx stores as well as 5 HomeSense stores, for a combined total of 236 by end of year. Also expect to open 5 stores in Germany for a total of 10 in Germany by the end of year)</t>
        </r>
      </text>
    </comment>
    <comment ref="AK163" authorId="1">
      <text>
        <r>
          <rPr>
            <b/>
            <sz val="8"/>
            <color indexed="81"/>
            <rFont val="Tahoma"/>
            <family val="2"/>
          </rPr>
          <t>mm98285:</t>
        </r>
        <r>
          <rPr>
            <sz val="8"/>
            <color indexed="81"/>
            <rFont val="Tahoma"/>
            <family val="2"/>
          </rPr>
          <t xml:space="preserve">
2/08: expect +9% sq ft</t>
        </r>
      </text>
    </comment>
    <comment ref="AN163" authorId="1">
      <text>
        <r>
          <rPr>
            <b/>
            <sz val="8"/>
            <color indexed="81"/>
            <rFont val="Tahoma"/>
            <family val="2"/>
          </rPr>
          <t>mm98285:</t>
        </r>
        <r>
          <rPr>
            <sz val="8"/>
            <color indexed="81"/>
            <rFont val="Tahoma"/>
            <family val="2"/>
          </rPr>
          <t xml:space="preserve">
2/08: expect to open 25 stores</t>
        </r>
      </text>
    </comment>
    <comment ref="AR163" authorId="1">
      <text>
        <r>
          <rPr>
            <b/>
            <sz val="8"/>
            <color indexed="81"/>
            <rFont val="Tahoma"/>
            <family val="2"/>
          </rPr>
          <t>mm98285:</t>
        </r>
        <r>
          <rPr>
            <sz val="8"/>
            <color indexed="81"/>
            <rFont val="Tahoma"/>
            <family val="2"/>
          </rPr>
          <t xml:space="preserve">
2/08: expect 9%</t>
        </r>
      </text>
    </comment>
    <comment ref="AU163" authorId="1">
      <text>
        <r>
          <rPr>
            <b/>
            <sz val="8"/>
            <color indexed="81"/>
            <rFont val="Tahoma"/>
            <family val="2"/>
          </rPr>
          <t>mm98285:</t>
        </r>
        <r>
          <rPr>
            <sz val="8"/>
            <color indexed="81"/>
            <rFont val="Tahoma"/>
            <family val="2"/>
          </rPr>
          <t xml:space="preserve">
2/08: expect to open 5 stores</t>
        </r>
      </text>
    </comment>
    <comment ref="BA163" authorId="8">
      <text>
        <r>
          <rPr>
            <b/>
            <sz val="8"/>
            <color indexed="81"/>
            <rFont val="Tahoma"/>
            <family val="2"/>
          </rPr>
          <t>Kimberly Greenberger:</t>
        </r>
        <r>
          <rPr>
            <sz val="8"/>
            <color indexed="81"/>
            <rFont val="Tahoma"/>
            <family val="2"/>
          </rPr>
          <t xml:space="preserve">
2/08: expect 278 stores in Canada (includes Winners and HomeSense)
per 4/05 10-K co indicated store potential for HS is 80 stores</t>
        </r>
      </text>
    </comment>
    <comment ref="BB163" authorId="1">
      <text>
        <r>
          <rPr>
            <b/>
            <sz val="8"/>
            <color indexed="81"/>
            <rFont val="Tahoma"/>
            <family val="2"/>
          </rPr>
          <t>mm98285:</t>
        </r>
        <r>
          <rPr>
            <sz val="8"/>
            <color indexed="81"/>
            <rFont val="Tahoma"/>
            <family val="2"/>
          </rPr>
          <t xml:space="preserve">
2/08: expect +16 net new stores in Canada (9 Winners, 4 Homesense, 3 new concept) + 5 new Homesense in UK</t>
        </r>
      </text>
    </comment>
    <comment ref="BF163" authorId="1">
      <text>
        <r>
          <rPr>
            <b/>
            <sz val="8"/>
            <color indexed="81"/>
            <rFont val="Tahoma"/>
            <family val="2"/>
          </rPr>
          <t>mm98285:</t>
        </r>
        <r>
          <rPr>
            <sz val="8"/>
            <color indexed="81"/>
            <rFont val="Tahoma"/>
            <family val="2"/>
          </rPr>
          <t xml:space="preserve">
2/08: expect 6%</t>
        </r>
      </text>
    </comment>
    <comment ref="CD163" authorId="1">
      <text>
        <r>
          <rPr>
            <b/>
            <sz val="8"/>
            <color indexed="81"/>
            <rFont val="Tahoma"/>
            <family val="2"/>
          </rPr>
          <t>mm98285:</t>
        </r>
        <r>
          <rPr>
            <sz val="8"/>
            <color indexed="81"/>
            <rFont val="Tahoma"/>
            <family val="2"/>
          </rPr>
          <t xml:space="preserve">
2/08: expect to open 0 stores</t>
        </r>
      </text>
    </comment>
    <comment ref="N166" authorId="1">
      <text>
        <r>
          <rPr>
            <b/>
            <sz val="8"/>
            <color indexed="81"/>
            <rFont val="Tahoma"/>
            <family val="2"/>
          </rPr>
          <t>mm98285:</t>
        </r>
        <r>
          <rPr>
            <sz val="8"/>
            <color indexed="81"/>
            <rFont val="Tahoma"/>
            <family val="2"/>
          </rPr>
          <t xml:space="preserve">
10Q: 20.714 selling</t>
        </r>
      </text>
    </comment>
    <comment ref="U166" authorId="1">
      <text>
        <r>
          <rPr>
            <b/>
            <sz val="8"/>
            <color indexed="81"/>
            <rFont val="Tahoma"/>
            <family val="2"/>
          </rPr>
          <t>mm98285:</t>
        </r>
        <r>
          <rPr>
            <sz val="8"/>
            <color indexed="81"/>
            <rFont val="Tahoma"/>
            <family val="2"/>
          </rPr>
          <t xml:space="preserve">
10Q: 20.405 selling</t>
        </r>
      </text>
    </comment>
    <comment ref="Y166" authorId="1">
      <text>
        <r>
          <rPr>
            <b/>
            <sz val="8"/>
            <color indexed="81"/>
            <rFont val="Tahoma"/>
            <family val="2"/>
          </rPr>
          <t>mm98285:</t>
        </r>
        <r>
          <rPr>
            <sz val="8"/>
            <color indexed="81"/>
            <rFont val="Tahoma"/>
            <family val="2"/>
          </rPr>
          <t xml:space="preserve">
206 includes 3 Style Sense Canada</t>
        </r>
      </text>
    </comment>
    <comment ref="Z166" authorId="2">
      <text>
        <r>
          <rPr>
            <b/>
            <sz val="8"/>
            <color indexed="81"/>
            <rFont val="Tahoma"/>
            <family val="2"/>
          </rPr>
          <t>Margaret Marchant:</t>
        </r>
        <r>
          <rPr>
            <sz val="8"/>
            <color indexed="81"/>
            <rFont val="Tahoma"/>
            <family val="2"/>
          </rPr>
          <t xml:space="preserve">
includes 1 style sense</t>
        </r>
      </text>
    </comment>
    <comment ref="AB166" authorId="1">
      <text>
        <r>
          <rPr>
            <b/>
            <sz val="8"/>
            <color indexed="81"/>
            <rFont val="Tahoma"/>
            <family val="2"/>
          </rPr>
          <t>mm98285:</t>
        </r>
        <r>
          <rPr>
            <sz val="8"/>
            <color indexed="81"/>
            <rFont val="Tahoma"/>
            <family val="2"/>
          </rPr>
          <t xml:space="preserve">
10Q: 4.716 selling</t>
        </r>
      </text>
    </comment>
    <comment ref="AI166" authorId="1">
      <text>
        <r>
          <rPr>
            <b/>
            <sz val="8"/>
            <color indexed="81"/>
            <rFont val="Tahoma"/>
            <family val="2"/>
          </rPr>
          <t>mm98285:</t>
        </r>
        <r>
          <rPr>
            <sz val="8"/>
            <color indexed="81"/>
            <rFont val="Tahoma"/>
            <family val="2"/>
          </rPr>
          <t xml:space="preserve">
10Q: 5.518 selling</t>
        </r>
      </text>
    </comment>
    <comment ref="AP166" authorId="1">
      <text>
        <r>
          <rPr>
            <b/>
            <sz val="8"/>
            <color indexed="81"/>
            <rFont val="Tahoma"/>
            <family val="2"/>
          </rPr>
          <t>mm98285:</t>
        </r>
        <r>
          <rPr>
            <sz val="8"/>
            <color indexed="81"/>
            <rFont val="Tahoma"/>
            <family val="2"/>
          </rPr>
          <t xml:space="preserve">
10Q: 6.321 selling</t>
        </r>
      </text>
    </comment>
    <comment ref="AW166" authorId="1">
      <text>
        <r>
          <rPr>
            <b/>
            <sz val="8"/>
            <color indexed="81"/>
            <rFont val="Tahoma"/>
            <family val="2"/>
          </rPr>
          <t>mm98285:</t>
        </r>
        <r>
          <rPr>
            <sz val="8"/>
            <color indexed="81"/>
            <rFont val="Tahoma"/>
            <family val="2"/>
          </rPr>
          <t xml:space="preserve">
10Q: 2.786 selling</t>
        </r>
      </text>
    </comment>
    <comment ref="BD166" authorId="1">
      <text>
        <r>
          <rPr>
            <b/>
            <sz val="8"/>
            <color indexed="81"/>
            <rFont val="Tahoma"/>
            <family val="2"/>
          </rPr>
          <t>mm98285:</t>
        </r>
        <r>
          <rPr>
            <sz val="8"/>
            <color indexed="81"/>
            <rFont val="Tahoma"/>
            <family val="2"/>
          </rPr>
          <t xml:space="preserve">
10Q: 1.437 selling</t>
        </r>
      </text>
    </comment>
    <comment ref="BK166" authorId="1">
      <text>
        <r>
          <rPr>
            <b/>
            <sz val="8"/>
            <color indexed="81"/>
            <rFont val="Tahoma"/>
            <family val="2"/>
          </rPr>
          <t>mm98285:</t>
        </r>
        <r>
          <rPr>
            <sz val="8"/>
            <color indexed="81"/>
            <rFont val="Tahoma"/>
            <family val="2"/>
          </rPr>
          <t xml:space="preserve">
10Q: 0.123 selling</t>
        </r>
      </text>
    </comment>
    <comment ref="Y167" authorId="2">
      <text>
        <r>
          <rPr>
            <b/>
            <sz val="8"/>
            <color indexed="81"/>
            <rFont val="Tahoma"/>
            <family val="2"/>
          </rPr>
          <t>Margaret Marchant:</t>
        </r>
        <r>
          <rPr>
            <sz val="8"/>
            <color indexed="81"/>
            <rFont val="Tahoma"/>
            <family val="2"/>
          </rPr>
          <t xml:space="preserve">
includes 3 style sense</t>
        </r>
      </text>
    </comment>
    <comment ref="Y168" authorId="2">
      <text>
        <r>
          <rPr>
            <b/>
            <sz val="8"/>
            <color indexed="81"/>
            <rFont val="Tahoma"/>
            <family val="2"/>
          </rPr>
          <t>Margaret Marchant:</t>
        </r>
        <r>
          <rPr>
            <sz val="8"/>
            <color indexed="81"/>
            <rFont val="Tahoma"/>
            <family val="2"/>
          </rPr>
          <t xml:space="preserve">
includes 3 style sense</t>
        </r>
      </text>
    </comment>
    <comment ref="Y169" authorId="2">
      <text>
        <r>
          <rPr>
            <b/>
            <sz val="8"/>
            <color indexed="81"/>
            <rFont val="Tahoma"/>
            <family val="2"/>
          </rPr>
          <t>Margaret Marchant:</t>
        </r>
        <r>
          <rPr>
            <sz val="8"/>
            <color indexed="81"/>
            <rFont val="Tahoma"/>
            <family val="2"/>
          </rPr>
          <t xml:space="preserve">
includes 3 style sense</t>
        </r>
      </text>
    </comment>
    <comment ref="E170" authorId="1">
      <text>
        <r>
          <rPr>
            <b/>
            <sz val="8"/>
            <color indexed="81"/>
            <rFont val="Tahoma"/>
            <family val="2"/>
          </rPr>
          <t>mm98285:</t>
        </r>
        <r>
          <rPr>
            <sz val="8"/>
            <color indexed="81"/>
            <rFont val="Tahoma"/>
            <family val="2"/>
          </rPr>
          <t xml:space="preserve">
2/09: net 17 stores</t>
        </r>
      </text>
    </comment>
    <comment ref="Y170" authorId="12">
      <text>
        <r>
          <rPr>
            <b/>
            <sz val="8"/>
            <color indexed="81"/>
            <rFont val="Tahoma"/>
            <family val="2"/>
          </rPr>
          <t>lauraro:</t>
        </r>
        <r>
          <rPr>
            <sz val="8"/>
            <color indexed="81"/>
            <rFont val="Tahoma"/>
            <family val="2"/>
          </rPr>
          <t xml:space="preserve">
5/10: 208 Winners (Canada) + 3 StyleSense (Canada) = 211 stores per the 10-K</t>
        </r>
      </text>
    </comment>
    <comment ref="Z170" authorId="1">
      <text>
        <r>
          <rPr>
            <b/>
            <sz val="8"/>
            <color indexed="81"/>
            <rFont val="Tahoma"/>
            <family val="2"/>
          </rPr>
          <t>mm98285:</t>
        </r>
        <r>
          <rPr>
            <sz val="8"/>
            <color indexed="81"/>
            <rFont val="Tahoma"/>
            <family val="2"/>
          </rPr>
          <t xml:space="preserve">
2/09: net 13 in Canada</t>
        </r>
      </text>
    </comment>
    <comment ref="AF170" authorId="8">
      <text>
        <r>
          <rPr>
            <b/>
            <sz val="8"/>
            <color indexed="81"/>
            <rFont val="Tahoma"/>
            <family val="2"/>
          </rPr>
          <t>Kimberly Greenberger:</t>
        </r>
        <r>
          <rPr>
            <sz val="8"/>
            <color indexed="81"/>
            <rFont val="Tahoma"/>
            <family val="2"/>
          </rPr>
          <t xml:space="preserve">
per 4/05 10-K, so indicated it has total store potential of 300 stores in Ireland and UK</t>
        </r>
      </text>
    </comment>
    <comment ref="AG170" authorId="1">
      <text>
        <r>
          <rPr>
            <b/>
            <sz val="8"/>
            <color indexed="81"/>
            <rFont val="Tahoma"/>
            <family val="2"/>
          </rPr>
          <t>mm98285:</t>
        </r>
        <r>
          <rPr>
            <sz val="8"/>
            <color indexed="81"/>
            <rFont val="Tahoma"/>
            <family val="2"/>
          </rPr>
          <t xml:space="preserve">
6/09: 10Q expect 35 new stores in Europe incl. 3 in Poland
10K: expect 249
2/09: net 5 TK + 10 Germany</t>
        </r>
      </text>
    </comment>
    <comment ref="AN170" authorId="1">
      <text>
        <r>
          <rPr>
            <b/>
            <sz val="8"/>
            <color indexed="81"/>
            <rFont val="Tahoma"/>
            <family val="2"/>
          </rPr>
          <t>mm98285:</t>
        </r>
        <r>
          <rPr>
            <sz val="8"/>
            <color indexed="81"/>
            <rFont val="Tahoma"/>
            <family val="2"/>
          </rPr>
          <t xml:space="preserve">
2/09: net 4</t>
        </r>
      </text>
    </comment>
    <comment ref="AU170" authorId="1">
      <text>
        <r>
          <rPr>
            <b/>
            <sz val="8"/>
            <color indexed="81"/>
            <rFont val="Tahoma"/>
            <family val="2"/>
          </rPr>
          <t>mm98285:</t>
        </r>
        <r>
          <rPr>
            <sz val="8"/>
            <color indexed="81"/>
            <rFont val="Tahoma"/>
            <family val="2"/>
          </rPr>
          <t xml:space="preserve">
2/09: net 13</t>
        </r>
      </text>
    </comment>
    <comment ref="BB170" authorId="1">
      <text>
        <r>
          <rPr>
            <b/>
            <sz val="8"/>
            <color indexed="81"/>
            <rFont val="Tahoma"/>
            <family val="2"/>
          </rPr>
          <t>mm98285:</t>
        </r>
        <r>
          <rPr>
            <sz val="8"/>
            <color indexed="81"/>
            <rFont val="Tahoma"/>
            <family val="2"/>
          </rPr>
          <t xml:space="preserve">
2/09: net 13 in Canada</t>
        </r>
      </text>
    </comment>
    <comment ref="BI170" authorId="1">
      <text>
        <r>
          <rPr>
            <b/>
            <sz val="8"/>
            <color indexed="81"/>
            <rFont val="Tahoma"/>
            <family val="2"/>
          </rPr>
          <t>mm98285:</t>
        </r>
        <r>
          <rPr>
            <sz val="8"/>
            <color indexed="81"/>
            <rFont val="Tahoma"/>
            <family val="2"/>
          </rPr>
          <t xml:space="preserve">
2/09: 3 HS europe</t>
        </r>
      </text>
    </comment>
    <comment ref="BW170" authorId="1">
      <text>
        <r>
          <rPr>
            <b/>
            <sz val="8"/>
            <color indexed="81"/>
            <rFont val="Tahoma"/>
            <family val="2"/>
          </rPr>
          <t>mm98285:</t>
        </r>
        <r>
          <rPr>
            <sz val="8"/>
            <color indexed="81"/>
            <rFont val="Tahoma"/>
            <family val="2"/>
          </rPr>
          <t xml:space="preserve">
2/09: expect 1 StyleSense</t>
        </r>
      </text>
    </comment>
    <comment ref="CW170" authorId="1">
      <text>
        <r>
          <rPr>
            <b/>
            <sz val="8"/>
            <color indexed="81"/>
            <rFont val="Tahoma"/>
            <family val="2"/>
          </rPr>
          <t>mm98285:</t>
        </r>
        <r>
          <rPr>
            <sz val="8"/>
            <color indexed="81"/>
            <rFont val="Tahoma"/>
            <family val="2"/>
          </rPr>
          <t xml:space="preserve">
5/09: raised opening guidance to 80-85 net vs. 65 prior
10K: expect 2,716</t>
        </r>
      </text>
    </comment>
    <comment ref="CX170" authorId="1">
      <text>
        <r>
          <rPr>
            <b/>
            <sz val="8"/>
            <color indexed="81"/>
            <rFont val="Tahoma"/>
            <family val="2"/>
          </rPr>
          <t>mm98285:</t>
        </r>
        <r>
          <rPr>
            <sz val="8"/>
            <color indexed="81"/>
            <rFont val="Tahoma"/>
            <family val="2"/>
          </rPr>
          <t xml:space="preserve">
8/09: expect 90 net new stores
5/09: expect 80-85 net stores vs. 65 previously</t>
        </r>
      </text>
    </comment>
    <comment ref="L173" authorId="13">
      <text>
        <r>
          <rPr>
            <b/>
            <sz val="8"/>
            <color indexed="81"/>
            <rFont val="Tahoma"/>
            <family val="2"/>
          </rPr>
          <t>lr73192:</t>
        </r>
        <r>
          <rPr>
            <sz val="8"/>
            <color indexed="81"/>
            <rFont val="Tahoma"/>
            <family val="2"/>
          </rPr>
          <t xml:space="preserve">
5/10: prev 11</t>
        </r>
      </text>
    </comment>
    <comment ref="S173" authorId="13">
      <text>
        <r>
          <rPr>
            <b/>
            <sz val="8"/>
            <color indexed="81"/>
            <rFont val="Tahoma"/>
            <family val="2"/>
          </rPr>
          <t>lr73192:</t>
        </r>
        <r>
          <rPr>
            <sz val="8"/>
            <color indexed="81"/>
            <rFont val="Tahoma"/>
            <family val="2"/>
          </rPr>
          <t xml:space="preserve">
5/10: prev 8</t>
        </r>
      </text>
    </comment>
    <comment ref="Y173" authorId="2">
      <text>
        <r>
          <rPr>
            <b/>
            <sz val="8"/>
            <color indexed="81"/>
            <rFont val="Tahoma"/>
            <family val="2"/>
          </rPr>
          <t>Margaret Marchant:</t>
        </r>
        <r>
          <rPr>
            <sz val="8"/>
            <color indexed="81"/>
            <rFont val="Tahoma"/>
            <family val="2"/>
          </rPr>
          <t xml:space="preserve">
includes 3 style sense</t>
        </r>
      </text>
    </comment>
    <comment ref="AG173" authorId="13">
      <text>
        <r>
          <rPr>
            <b/>
            <sz val="8"/>
            <color indexed="81"/>
            <rFont val="Tahoma"/>
            <family val="2"/>
          </rPr>
          <t>lr73192:</t>
        </r>
        <r>
          <rPr>
            <sz val="8"/>
            <color indexed="81"/>
            <rFont val="Tahoma"/>
            <family val="2"/>
          </rPr>
          <t xml:space="preserve">
5/10: previous 15</t>
        </r>
      </text>
    </comment>
    <comment ref="AN173" authorId="13">
      <text>
        <r>
          <rPr>
            <b/>
            <sz val="8"/>
            <color indexed="81"/>
            <rFont val="Tahoma"/>
            <family val="2"/>
          </rPr>
          <t>lr73192:</t>
        </r>
        <r>
          <rPr>
            <sz val="8"/>
            <color indexed="81"/>
            <rFont val="Tahoma"/>
            <family val="2"/>
          </rPr>
          <t xml:space="preserve">
5/10: previous 6</t>
        </r>
      </text>
    </comment>
    <comment ref="AU173" authorId="13">
      <text>
        <r>
          <rPr>
            <b/>
            <sz val="8"/>
            <color indexed="81"/>
            <rFont val="Tahoma"/>
            <family val="2"/>
          </rPr>
          <t>lr73192:</t>
        </r>
        <r>
          <rPr>
            <sz val="8"/>
            <color indexed="81"/>
            <rFont val="Tahoma"/>
            <family val="2"/>
          </rPr>
          <t xml:space="preserve">
5/10: previous 5</t>
        </r>
      </text>
    </comment>
    <comment ref="BB173" authorId="13">
      <text>
        <r>
          <rPr>
            <b/>
            <sz val="8"/>
            <color indexed="81"/>
            <rFont val="Tahoma"/>
            <family val="2"/>
          </rPr>
          <t>lr73192:</t>
        </r>
        <r>
          <rPr>
            <sz val="8"/>
            <color indexed="81"/>
            <rFont val="Tahoma"/>
            <family val="2"/>
          </rPr>
          <t xml:space="preserve">
5/10: previous 1</t>
        </r>
      </text>
    </comment>
    <comment ref="BI173" authorId="13">
      <text>
        <r>
          <rPr>
            <b/>
            <sz val="8"/>
            <color indexed="81"/>
            <rFont val="Tahoma"/>
            <family val="2"/>
          </rPr>
          <t>lr73192:</t>
        </r>
        <r>
          <rPr>
            <sz val="8"/>
            <color indexed="81"/>
            <rFont val="Tahoma"/>
            <family val="2"/>
          </rPr>
          <t xml:space="preserve">
5/10: previous 2</t>
        </r>
      </text>
    </comment>
    <comment ref="BW173" authorId="13">
      <text>
        <r>
          <rPr>
            <b/>
            <sz val="8"/>
            <color indexed="81"/>
            <rFont val="Tahoma"/>
            <family val="2"/>
          </rPr>
          <t>lr73192:</t>
        </r>
        <r>
          <rPr>
            <sz val="8"/>
            <color indexed="81"/>
            <rFont val="Tahoma"/>
            <family val="2"/>
          </rPr>
          <t xml:space="preserve">
5/2010: No reference to StyleSense Canada in 1Q10 press release. And 2,766 stores listed as total, but website shows 3 locations.</t>
        </r>
      </text>
    </comment>
    <comment ref="CX173" authorId="13">
      <text>
        <r>
          <rPr>
            <b/>
            <sz val="8"/>
            <color indexed="81"/>
            <rFont val="Tahoma"/>
            <family val="2"/>
          </rPr>
          <t>lr73192:</t>
        </r>
        <r>
          <rPr>
            <sz val="8"/>
            <color indexed="81"/>
            <rFont val="Tahoma"/>
            <family val="2"/>
          </rPr>
          <t xml:space="preserve">
5/10: previous 51</t>
        </r>
      </text>
    </comment>
    <comment ref="Y174" authorId="2">
      <text>
        <r>
          <rPr>
            <b/>
            <sz val="8"/>
            <color indexed="81"/>
            <rFont val="Tahoma"/>
            <family val="2"/>
          </rPr>
          <t>Margaret Marchant:</t>
        </r>
        <r>
          <rPr>
            <sz val="8"/>
            <color indexed="81"/>
            <rFont val="Tahoma"/>
            <family val="2"/>
          </rPr>
          <t xml:space="preserve">
includes 3 style sense</t>
        </r>
      </text>
    </comment>
    <comment ref="Y175" authorId="12">
      <text>
        <r>
          <rPr>
            <b/>
            <sz val="8"/>
            <color indexed="81"/>
            <rFont val="Tahoma"/>
            <family val="2"/>
          </rPr>
          <t>lauraro:</t>
        </r>
        <r>
          <rPr>
            <sz val="8"/>
            <color indexed="81"/>
            <rFont val="Tahoma"/>
            <family val="2"/>
          </rPr>
          <t xml:space="preserve">
includes 3 style sense</t>
        </r>
      </text>
    </comment>
    <comment ref="N176" authorId="12">
      <text>
        <r>
          <rPr>
            <b/>
            <sz val="8"/>
            <color indexed="81"/>
            <rFont val="Tahoma"/>
            <family val="2"/>
          </rPr>
          <t xml:space="preserve">10K: </t>
        </r>
        <r>
          <rPr>
            <sz val="8"/>
            <color indexed="81"/>
            <rFont val="Tahoma"/>
            <family val="2"/>
          </rPr>
          <t>21.611 selling sq ft</t>
        </r>
        <r>
          <rPr>
            <sz val="8"/>
            <color indexed="81"/>
            <rFont val="Tahoma"/>
            <family val="2"/>
          </rPr>
          <t xml:space="preserve">
</t>
        </r>
      </text>
    </comment>
    <comment ref="U176" authorId="12">
      <text>
        <r>
          <rPr>
            <b/>
            <sz val="8"/>
            <color indexed="81"/>
            <rFont val="Tahoma"/>
            <family val="2"/>
          </rPr>
          <t xml:space="preserve">10K: </t>
        </r>
        <r>
          <rPr>
            <sz val="8"/>
            <color indexed="81"/>
            <rFont val="Tahoma"/>
            <family val="2"/>
          </rPr>
          <t>20.912 selling sq ft</t>
        </r>
        <r>
          <rPr>
            <sz val="8"/>
            <color indexed="81"/>
            <rFont val="Tahoma"/>
            <family val="2"/>
          </rPr>
          <t xml:space="preserve">
</t>
        </r>
      </text>
    </comment>
    <comment ref="E177" authorId="1">
      <text>
        <r>
          <rPr>
            <b/>
            <sz val="8"/>
            <color indexed="81"/>
            <rFont val="Tahoma"/>
            <family val="2"/>
          </rPr>
          <t>mm98285:</t>
        </r>
        <r>
          <rPr>
            <sz val="8"/>
            <color indexed="81"/>
            <rFont val="Tahoma"/>
            <family val="2"/>
          </rPr>
          <t xml:space="preserve">
2/10: +43 net new stores</t>
        </r>
      </text>
    </comment>
    <comment ref="Y177" authorId="12">
      <text>
        <r>
          <rPr>
            <b/>
            <sz val="8"/>
            <color indexed="81"/>
            <rFont val="Tahoma"/>
            <family val="2"/>
          </rPr>
          <t>lauraro:</t>
        </r>
        <r>
          <rPr>
            <sz val="8"/>
            <color indexed="81"/>
            <rFont val="Tahoma"/>
            <family val="2"/>
          </rPr>
          <t xml:space="preserve">
includes 3 StyleSense</t>
        </r>
      </text>
    </comment>
    <comment ref="Z177" authorId="1">
      <text>
        <r>
          <rPr>
            <b/>
            <sz val="8"/>
            <color indexed="81"/>
            <rFont val="Tahoma"/>
            <family val="2"/>
          </rPr>
          <t>mm98285:</t>
        </r>
        <r>
          <rPr>
            <sz val="8"/>
            <color indexed="81"/>
            <rFont val="Tahoma"/>
            <family val="2"/>
          </rPr>
          <t xml:space="preserve">
2/10: +4 Winners and +2HS</t>
        </r>
      </text>
    </comment>
    <comment ref="AF177" authorId="8">
      <text>
        <r>
          <rPr>
            <b/>
            <sz val="8"/>
            <color indexed="81"/>
            <rFont val="Tahoma"/>
            <family val="2"/>
          </rPr>
          <t>Kimberly Greenberger:</t>
        </r>
        <r>
          <rPr>
            <sz val="8"/>
            <color indexed="81"/>
            <rFont val="Tahoma"/>
            <family val="2"/>
          </rPr>
          <t xml:space="preserve">
per 4/05 10-K, so indicated it has total store potential of 300 stores in Ireland and UK</t>
        </r>
      </text>
    </comment>
    <comment ref="AG177" authorId="1">
      <text>
        <r>
          <rPr>
            <b/>
            <sz val="8"/>
            <color indexed="81"/>
            <rFont val="Tahoma"/>
            <family val="2"/>
          </rPr>
          <t xml:space="preserve">11/10: </t>
        </r>
        <r>
          <rPr>
            <sz val="8"/>
            <color indexed="81"/>
            <rFont val="Tahoma"/>
            <family val="2"/>
          </rPr>
          <t>Exp 54 net new stores by year end in Europe</t>
        </r>
        <r>
          <rPr>
            <b/>
            <sz val="8"/>
            <color indexed="81"/>
            <rFont val="Tahoma"/>
            <family val="2"/>
          </rPr>
          <t xml:space="preserve">
5/10:
</t>
        </r>
        <r>
          <rPr>
            <sz val="8"/>
            <color indexed="81"/>
            <rFont val="Tahoma"/>
            <family val="2"/>
          </rPr>
          <t>Expect 311 at end of year</t>
        </r>
        <r>
          <rPr>
            <b/>
            <sz val="8"/>
            <color indexed="81"/>
            <rFont val="Tahoma"/>
            <family val="2"/>
          </rPr>
          <t xml:space="preserve">
mm98285:</t>
        </r>
        <r>
          <rPr>
            <sz val="8"/>
            <color indexed="81"/>
            <rFont val="Tahoma"/>
            <family val="2"/>
          </rPr>
          <t xml:space="preserve">
2/10: 10 TK in UK, 25 in Germany, 3 in Poland </t>
        </r>
      </text>
    </comment>
    <comment ref="AN177" authorId="1">
      <text>
        <r>
          <rPr>
            <b/>
            <sz val="8"/>
            <color indexed="81"/>
            <rFont val="Tahoma"/>
            <family val="2"/>
          </rPr>
          <t>mm98285:</t>
        </r>
        <r>
          <rPr>
            <sz val="8"/>
            <color indexed="81"/>
            <rFont val="Tahoma"/>
            <family val="2"/>
          </rPr>
          <t xml:space="preserve">
2/10: +9 </t>
        </r>
      </text>
    </comment>
    <comment ref="AP177" authorId="12">
      <text>
        <r>
          <rPr>
            <b/>
            <sz val="8"/>
            <color indexed="81"/>
            <rFont val="Tahoma"/>
            <family val="2"/>
          </rPr>
          <t xml:space="preserve">10K: </t>
        </r>
        <r>
          <rPr>
            <sz val="8"/>
            <color indexed="81"/>
            <rFont val="Tahoma"/>
            <family val="2"/>
          </rPr>
          <t>Selling sq. ftge. 6,619,000</t>
        </r>
        <r>
          <rPr>
            <sz val="8"/>
            <color indexed="81"/>
            <rFont val="Tahoma"/>
            <family val="2"/>
          </rPr>
          <t xml:space="preserve">
</t>
        </r>
      </text>
    </comment>
    <comment ref="AU177" authorId="1">
      <text>
        <r>
          <rPr>
            <b/>
            <sz val="8"/>
            <color indexed="81"/>
            <rFont val="Tahoma"/>
            <family val="2"/>
          </rPr>
          <t>mm98285:</t>
        </r>
        <r>
          <rPr>
            <sz val="8"/>
            <color indexed="81"/>
            <rFont val="Tahoma"/>
            <family val="2"/>
          </rPr>
          <t xml:space="preserve">
2/10: +8</t>
        </r>
      </text>
    </comment>
    <comment ref="BB177" authorId="1">
      <text>
        <r>
          <rPr>
            <b/>
            <sz val="8"/>
            <color indexed="81"/>
            <rFont val="Tahoma"/>
            <family val="2"/>
          </rPr>
          <t>mm98285:</t>
        </r>
        <r>
          <rPr>
            <sz val="8"/>
            <color indexed="81"/>
            <rFont val="Tahoma"/>
            <family val="2"/>
          </rPr>
          <t xml:space="preserve">
2/10: +2 HS canada</t>
        </r>
      </text>
    </comment>
    <comment ref="BI177" authorId="1">
      <text>
        <r>
          <rPr>
            <b/>
            <sz val="8"/>
            <color indexed="81"/>
            <rFont val="Tahoma"/>
            <family val="2"/>
          </rPr>
          <t xml:space="preserve">11/10: </t>
        </r>
        <r>
          <rPr>
            <sz val="8"/>
            <color indexed="81"/>
            <rFont val="Tahoma"/>
            <family val="2"/>
          </rPr>
          <t xml:space="preserve">Exp 54 net new stores by year end in Europe
</t>
        </r>
        <r>
          <rPr>
            <b/>
            <sz val="8"/>
            <color indexed="81"/>
            <rFont val="Tahoma"/>
            <family val="2"/>
          </rPr>
          <t>mm98285:</t>
        </r>
        <r>
          <rPr>
            <sz val="8"/>
            <color indexed="81"/>
            <rFont val="Tahoma"/>
            <family val="2"/>
          </rPr>
          <t xml:space="preserve">
2/10: 6 HS in UK</t>
        </r>
      </text>
    </comment>
    <comment ref="BW177" authorId="13">
      <text>
        <r>
          <rPr>
            <b/>
            <sz val="8"/>
            <color indexed="81"/>
            <rFont val="Tahoma"/>
            <family val="2"/>
          </rPr>
          <t>lr73192:</t>
        </r>
        <r>
          <rPr>
            <sz val="8"/>
            <color indexed="81"/>
            <rFont val="Tahoma"/>
            <family val="2"/>
          </rPr>
          <t xml:space="preserve">
5/2010: No reference to StyleSense Canada in 1Q10 press release. And 2,766 stores listed as total.</t>
        </r>
      </text>
    </comment>
    <comment ref="CW177" authorId="12">
      <text>
        <r>
          <rPr>
            <b/>
            <sz val="8"/>
            <color indexed="81"/>
            <rFont val="Tahoma"/>
            <family val="2"/>
          </rPr>
          <t>lauraro:</t>
        </r>
        <r>
          <rPr>
            <sz val="8"/>
            <color indexed="81"/>
            <rFont val="Tahoma"/>
            <family val="2"/>
          </rPr>
          <t xml:space="preserve">
11/10: Can ultimately grow over 2800 stores today to over 4300 stores long term</t>
        </r>
      </text>
    </comment>
    <comment ref="CX177" authorId="1">
      <text>
        <r>
          <rPr>
            <b/>
            <sz val="8"/>
            <color indexed="81"/>
            <rFont val="Tahoma"/>
            <family val="2"/>
          </rPr>
          <t xml:space="preserve">5/10:
</t>
        </r>
        <r>
          <rPr>
            <sz val="8"/>
            <color indexed="81"/>
            <rFont val="Tahoma"/>
            <family val="2"/>
          </rPr>
          <t>Exp 130 net new stores</t>
        </r>
        <r>
          <rPr>
            <b/>
            <sz val="8"/>
            <color indexed="81"/>
            <rFont val="Tahoma"/>
            <family val="2"/>
          </rPr>
          <t xml:space="preserve">
mm98285:</t>
        </r>
        <r>
          <rPr>
            <sz val="8"/>
            <color indexed="81"/>
            <rFont val="Tahoma"/>
            <family val="2"/>
          </rPr>
          <t xml:space="preserve">
8/09: expect greater than 90 net new stores</t>
        </r>
      </text>
    </comment>
    <comment ref="K180" authorId="12">
      <text>
        <r>
          <rPr>
            <b/>
            <sz val="8"/>
            <color indexed="81"/>
            <rFont val="Tahoma"/>
            <family val="2"/>
          </rPr>
          <t>lauraro:</t>
        </r>
        <r>
          <rPr>
            <sz val="8"/>
            <color indexed="81"/>
            <rFont val="Tahoma"/>
            <family val="2"/>
          </rPr>
          <t xml:space="preserve">
TJX plans to convert 90 stores to Marmaxx and HomeGoods banners and close 72 stores.
81 of these 90 conversions will be incremental to the store count, with nine of these representing relocations of existing Marmaxx stores</t>
        </r>
      </text>
    </comment>
    <comment ref="R180" authorId="12">
      <text>
        <r>
          <rPr>
            <b/>
            <sz val="8"/>
            <color indexed="81"/>
            <rFont val="Tahoma"/>
            <family val="2"/>
          </rPr>
          <t>lauraro:</t>
        </r>
        <r>
          <rPr>
            <sz val="8"/>
            <color indexed="81"/>
            <rFont val="Tahoma"/>
            <family val="2"/>
          </rPr>
          <t xml:space="preserve">
TJX plans to convert 90 stores to Marmaxx and HomeGoods banners and close 72 stores.
81 of these 90 conversions will be incremental to the store count, with nine of these representing relocations of existing Marmaxx stores</t>
        </r>
      </text>
    </comment>
    <comment ref="AM180" authorId="12">
      <text>
        <r>
          <rPr>
            <b/>
            <sz val="8"/>
            <color indexed="81"/>
            <rFont val="Tahoma"/>
            <family val="2"/>
          </rPr>
          <t>lauraro:</t>
        </r>
        <r>
          <rPr>
            <sz val="8"/>
            <color indexed="81"/>
            <rFont val="Tahoma"/>
            <family val="2"/>
          </rPr>
          <t xml:space="preserve">
TJX plans to convert 90 stores to Marmaxx and HomeGoods banners and close 72 stores.
81 of these 90 conversions will be incremental to the store count, with nine of these representing relocations of existing Marmaxx stores</t>
        </r>
      </text>
    </comment>
    <comment ref="AU180" authorId="12">
      <text>
        <r>
          <rPr>
            <b/>
            <sz val="8"/>
            <color indexed="81"/>
            <rFont val="Tahoma"/>
            <family val="2"/>
          </rPr>
          <t xml:space="preserve">10K: </t>
        </r>
        <r>
          <rPr>
            <sz val="8"/>
            <color indexed="81"/>
            <rFont val="Tahoma"/>
            <family val="2"/>
          </rPr>
          <t>TJX commenced the liquidation process in the fiscal 2011 fourth quarter and 20 stores had been closed as of January 29, 2011. All of the remaining stores ceased operation by February 13, 2011.</t>
        </r>
        <r>
          <rPr>
            <sz val="8"/>
            <color indexed="81"/>
            <rFont val="Tahoma"/>
            <family val="2"/>
          </rPr>
          <t xml:space="preserve">
</t>
        </r>
        <r>
          <rPr>
            <b/>
            <sz val="8"/>
            <color indexed="81"/>
            <rFont val="Tahoma"/>
            <family val="2"/>
          </rPr>
          <t>2/11:</t>
        </r>
        <r>
          <rPr>
            <sz val="8"/>
            <color indexed="81"/>
            <rFont val="Tahoma"/>
            <family val="2"/>
          </rPr>
          <t xml:space="preserve"> As of Feb 13, 2011 all remaining AJW stores ceased operation. TJX plans to convert 90 stores to other banners and close 72 stores.</t>
        </r>
      </text>
    </comment>
    <comment ref="BR180" authorId="12">
      <text>
        <r>
          <rPr>
            <b/>
            <sz val="8"/>
            <color indexed="81"/>
            <rFont val="Tahoma"/>
            <family val="2"/>
          </rPr>
          <t>lauraro:</t>
        </r>
        <r>
          <rPr>
            <sz val="8"/>
            <color indexed="81"/>
            <rFont val="Tahoma"/>
            <family val="2"/>
          </rPr>
          <t xml:space="preserve">
.132 selling square ftge</t>
        </r>
      </text>
    </comment>
    <comment ref="CW180" authorId="12">
      <text>
        <r>
          <rPr>
            <b/>
            <sz val="8"/>
            <color indexed="81"/>
            <rFont val="Tahoma"/>
            <family val="2"/>
          </rPr>
          <t>lauraro:</t>
        </r>
        <r>
          <rPr>
            <sz val="8"/>
            <color indexed="81"/>
            <rFont val="Tahoma"/>
            <family val="2"/>
          </rPr>
          <t xml:space="preserve">
Total includes 142 stores, or 3.6M gross sq ft, from former AJ Wright stores</t>
        </r>
      </text>
    </comment>
    <comment ref="DB180" authorId="12">
      <text>
        <r>
          <rPr>
            <b/>
            <sz val="8"/>
            <color indexed="81"/>
            <rFont val="Tahoma"/>
            <family val="2"/>
          </rPr>
          <t>lauraro:</t>
        </r>
        <r>
          <rPr>
            <sz val="8"/>
            <color indexed="81"/>
            <rFont val="Tahoma"/>
            <family val="2"/>
          </rPr>
          <t xml:space="preserve">
Total includes 142 stores, or 3.6M gross sq ft, from former AJ Wright stores</t>
        </r>
      </text>
    </comment>
    <comment ref="DD180" authorId="12">
      <text>
        <r>
          <rPr>
            <sz val="8"/>
            <color indexed="81"/>
            <rFont val="Tahoma"/>
            <family val="2"/>
          </rPr>
          <t>~2% sq. ftge. Growth lower than normal due to AJW closures</t>
        </r>
        <r>
          <rPr>
            <sz val="8"/>
            <color indexed="81"/>
            <rFont val="Tahoma"/>
            <family val="2"/>
          </rPr>
          <t xml:space="preserve">
</t>
        </r>
      </text>
    </comment>
    <comment ref="E184" authorId="12">
      <text>
        <r>
          <rPr>
            <b/>
            <sz val="8"/>
            <color indexed="81"/>
            <rFont val="Tahoma"/>
            <family val="2"/>
          </rPr>
          <t xml:space="preserve">10K: </t>
        </r>
        <r>
          <rPr>
            <sz val="8"/>
            <color indexed="81"/>
            <rFont val="Tahoma"/>
            <family val="2"/>
          </rPr>
          <t>Exp 116 net new stores</t>
        </r>
        <r>
          <rPr>
            <b/>
            <sz val="8"/>
            <color indexed="81"/>
            <rFont val="Tahoma"/>
            <family val="2"/>
          </rPr>
          <t xml:space="preserve">
3/11:</t>
        </r>
        <r>
          <rPr>
            <sz val="8"/>
            <color indexed="81"/>
            <rFont val="Tahoma"/>
            <family val="2"/>
          </rPr>
          <t xml:space="preserve">
Exp 51 Marmaxx stores + 65 of the 81 new stores converted from AJW
</t>
        </r>
        <r>
          <rPr>
            <b/>
            <sz val="8"/>
            <color indexed="81"/>
            <rFont val="Tahoma"/>
            <family val="2"/>
          </rPr>
          <t>2/11:</t>
        </r>
        <r>
          <rPr>
            <sz val="8"/>
            <color indexed="81"/>
            <rFont val="Tahoma"/>
            <family val="2"/>
          </rPr>
          <t xml:space="preserve"> TJX believes potential to grow to 2300 to 2400 stores, 300 to 400 more than originally envisioned</t>
        </r>
      </text>
    </comment>
    <comment ref="I184" authorId="12">
      <text>
        <r>
          <rPr>
            <b/>
            <sz val="8"/>
            <color indexed="81"/>
            <rFont val="Tahoma"/>
            <family val="2"/>
          </rPr>
          <t xml:space="preserve">10K: </t>
        </r>
        <r>
          <rPr>
            <sz val="8"/>
            <color indexed="81"/>
            <rFont val="Tahoma"/>
            <family val="2"/>
          </rPr>
          <t>Expect to grow selling square footage 7%</t>
        </r>
        <r>
          <rPr>
            <sz val="8"/>
            <color indexed="81"/>
            <rFont val="Tahoma"/>
            <family val="2"/>
          </rPr>
          <t xml:space="preserve">
</t>
        </r>
      </text>
    </comment>
    <comment ref="L184" authorId="12">
      <text>
        <r>
          <rPr>
            <b/>
            <sz val="8"/>
            <color indexed="81"/>
            <rFont val="Tahoma"/>
            <family val="2"/>
          </rPr>
          <t>lauraro:</t>
        </r>
        <r>
          <rPr>
            <sz val="8"/>
            <color indexed="81"/>
            <rFont val="Tahoma"/>
            <family val="2"/>
          </rPr>
          <t xml:space="preserve">
Exp 51 Marmaxx stores + most of the 81 new stores converted from AJW</t>
        </r>
      </text>
    </comment>
    <comment ref="S184" authorId="12">
      <text>
        <r>
          <rPr>
            <b/>
            <sz val="8"/>
            <color indexed="81"/>
            <rFont val="Tahoma"/>
            <family val="2"/>
          </rPr>
          <t>lauraro:</t>
        </r>
        <r>
          <rPr>
            <sz val="8"/>
            <color indexed="81"/>
            <rFont val="Tahoma"/>
            <family val="2"/>
          </rPr>
          <t xml:space="preserve">
Exp 51 Marmaxx stores + most of the 81 new stores converted from AJW</t>
        </r>
      </text>
    </comment>
    <comment ref="Y184" authorId="12">
      <text>
        <r>
          <rPr>
            <b/>
            <sz val="8"/>
            <color indexed="81"/>
            <rFont val="Tahoma"/>
            <family val="2"/>
          </rPr>
          <t>2/11:</t>
        </r>
        <r>
          <rPr>
            <sz val="8"/>
            <color indexed="81"/>
            <rFont val="Tahoma"/>
            <family val="2"/>
          </rPr>
          <t xml:space="preserve"> Canada, we have 15 stores. Last year, we had seven. The primary driver there obviously is opening Marshalls. With Marshalls opening this year, that is driving a little higher store count in Canada.
Expects Marshall's (Canada) can be a 90-100 store chain, and TJX Canada's L-T potential to be around 425.</t>
        </r>
      </text>
    </comment>
    <comment ref="AD184" authorId="12">
      <text>
        <r>
          <rPr>
            <b/>
            <sz val="8"/>
            <color indexed="81"/>
            <rFont val="Tahoma"/>
            <family val="2"/>
          </rPr>
          <t xml:space="preserve">10K: </t>
        </r>
        <r>
          <rPr>
            <sz val="8"/>
            <color indexed="81"/>
            <rFont val="Tahoma"/>
            <family val="2"/>
          </rPr>
          <t>Expect TJX Canada selling sq ftge to increase 5%</t>
        </r>
        <r>
          <rPr>
            <sz val="8"/>
            <color indexed="81"/>
            <rFont val="Tahoma"/>
            <family val="2"/>
          </rPr>
          <t xml:space="preserve">
</t>
        </r>
      </text>
    </comment>
    <comment ref="AF184" authorId="8">
      <text>
        <r>
          <rPr>
            <b/>
            <sz val="8"/>
            <color indexed="81"/>
            <rFont val="Tahoma"/>
            <family val="2"/>
          </rPr>
          <t>2/11:</t>
        </r>
        <r>
          <rPr>
            <sz val="8"/>
            <color indexed="81"/>
            <rFont val="Tahoma"/>
            <family val="2"/>
          </rPr>
          <t xml:space="preserve"> Long-term, we see the potential for TJX Europe to grow to 750 to 875 stores in just our current European markets and many more beyond.
</t>
        </r>
        <r>
          <rPr>
            <b/>
            <sz val="8"/>
            <color indexed="81"/>
            <rFont val="Tahoma"/>
            <family val="2"/>
          </rPr>
          <t xml:space="preserve">
Kimberly Greenberger:</t>
        </r>
        <r>
          <rPr>
            <sz val="8"/>
            <color indexed="81"/>
            <rFont val="Tahoma"/>
            <family val="2"/>
          </rPr>
          <t xml:space="preserve">
per 4/05 10-K, so indicated it has total store potential of 300 stores in Ireland and UK</t>
        </r>
      </text>
    </comment>
    <comment ref="AG184" authorId="2">
      <text>
        <r>
          <rPr>
            <b/>
            <sz val="8"/>
            <color indexed="81"/>
            <rFont val="Tahoma"/>
            <family val="2"/>
          </rPr>
          <t xml:space="preserve">2/11: </t>
        </r>
        <r>
          <rPr>
            <sz val="8"/>
            <color indexed="81"/>
            <rFont val="Tahoma"/>
            <family val="2"/>
          </rPr>
          <t>10 are in the UK, 10 are in Poland and 7 are in Germany</t>
        </r>
        <r>
          <rPr>
            <b/>
            <sz val="8"/>
            <color indexed="81"/>
            <rFont val="Tahoma"/>
            <family val="2"/>
          </rPr>
          <t xml:space="preserve">
11/10: </t>
        </r>
        <r>
          <rPr>
            <sz val="8"/>
            <color indexed="81"/>
            <rFont val="Tahoma"/>
            <family val="2"/>
          </rPr>
          <t>Expect to slow the opening of stores in Europe in 2011</t>
        </r>
        <r>
          <rPr>
            <b/>
            <sz val="8"/>
            <color indexed="81"/>
            <rFont val="Tahoma"/>
            <family val="2"/>
          </rPr>
          <t xml:space="preserve">
Margaret Marchant:</t>
        </r>
        <r>
          <rPr>
            <sz val="8"/>
            <color indexed="81"/>
            <rFont val="Tahoma"/>
            <family val="2"/>
          </rPr>
          <t xml:space="preserve">
8/10: expect 65 stores in Europe (55 TK, 10 Homesense)</t>
        </r>
      </text>
    </comment>
    <comment ref="AM184" authorId="12">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over time, TJX believes that it can nearly double the number of HomeGoods stores to at least 600</t>
        </r>
      </text>
    </comment>
    <comment ref="AN184" authorId="12">
      <text>
        <r>
          <rPr>
            <b/>
            <sz val="8"/>
            <color indexed="81"/>
            <rFont val="Tahoma"/>
            <family val="2"/>
          </rPr>
          <t xml:space="preserve">10K: </t>
        </r>
        <r>
          <rPr>
            <sz val="8"/>
            <color indexed="81"/>
            <rFont val="Tahoma"/>
            <family val="2"/>
          </rPr>
          <t>Reit net 38 stores</t>
        </r>
        <r>
          <rPr>
            <sz val="8"/>
            <color indexed="81"/>
            <rFont val="Tahoma"/>
            <family val="2"/>
          </rPr>
          <t xml:space="preserve">
2/11: +22 HG stores + 16 AJW conversions to HG (of 81 conversions)</t>
        </r>
      </text>
    </comment>
    <comment ref="AR184" authorId="12">
      <text>
        <r>
          <rPr>
            <b/>
            <sz val="8"/>
            <color indexed="81"/>
            <rFont val="Tahoma"/>
            <family val="2"/>
          </rPr>
          <t xml:space="preserve">10K: </t>
        </r>
        <r>
          <rPr>
            <sz val="8"/>
            <color indexed="81"/>
            <rFont val="Tahoma"/>
            <family val="2"/>
          </rPr>
          <t>Expect to grow selling square footage 11%</t>
        </r>
        <r>
          <rPr>
            <sz val="8"/>
            <color indexed="81"/>
            <rFont val="Tahoma"/>
            <family val="2"/>
          </rPr>
          <t xml:space="preserve">
</t>
        </r>
      </text>
    </comment>
    <comment ref="BA184" authorId="12">
      <text>
        <r>
          <rPr>
            <b/>
            <sz val="8"/>
            <color indexed="81"/>
            <rFont val="Tahoma"/>
            <family val="2"/>
          </rPr>
          <t>2/11:</t>
        </r>
        <r>
          <rPr>
            <sz val="8"/>
            <color indexed="81"/>
            <rFont val="Tahoma"/>
            <family val="2"/>
          </rPr>
          <t xml:space="preserve"> Canada, we have 15 stores. Last year, we had seven. The primary driver there obviously is opening Marshalls. With Marshalls opening this year, that is driving a little higher store count in Canada.
Expects Marshall's (Canada) can be a 90-100 store chain, and TJX Canada's L-T potential to be around 425.</t>
        </r>
      </text>
    </comment>
    <comment ref="BH184" authorId="8">
      <text>
        <r>
          <rPr>
            <b/>
            <sz val="8"/>
            <color indexed="81"/>
            <rFont val="Tahoma"/>
            <family val="2"/>
          </rPr>
          <t>2/11:</t>
        </r>
        <r>
          <rPr>
            <sz val="8"/>
            <color indexed="81"/>
            <rFont val="Tahoma"/>
            <family val="2"/>
          </rPr>
          <t xml:space="preserve"> Long-term, we see the potential for TJX Europe to grow to 750 to 875 stores in just our current European markets and many more beyond.
</t>
        </r>
        <r>
          <rPr>
            <b/>
            <sz val="8"/>
            <color indexed="81"/>
            <rFont val="Tahoma"/>
            <family val="2"/>
          </rPr>
          <t xml:space="preserve">
Kimberly Greenberger:</t>
        </r>
        <r>
          <rPr>
            <sz val="8"/>
            <color indexed="81"/>
            <rFont val="Tahoma"/>
            <family val="2"/>
          </rPr>
          <t xml:space="preserve">
per 4/05 10-K, so indicated it has total store potential of 300 stores in Ireland and UK</t>
        </r>
      </text>
    </comment>
    <comment ref="BO184" authorId="12">
      <text>
        <r>
          <rPr>
            <b/>
            <sz val="8"/>
            <color indexed="81"/>
            <rFont val="Tahoma"/>
            <family val="2"/>
          </rPr>
          <t>2/11:</t>
        </r>
        <r>
          <rPr>
            <sz val="8"/>
            <color indexed="81"/>
            <rFont val="Tahoma"/>
            <family val="2"/>
          </rPr>
          <t xml:space="preserve"> Canada, we have 15 stores. Last year, we had seven. The primary driver there obviously is opening Marshalls. With Marshalls opening this year, that is driving a little higher store count in Canada.
Expects Marshall's (Canada) can be a 90-100 store chain, and TJX Canada's L-T potential to be around 425.</t>
        </r>
      </text>
    </comment>
    <comment ref="CW184" authorId="12">
      <text>
        <r>
          <rPr>
            <b/>
            <sz val="8"/>
            <color indexed="81"/>
            <rFont val="Tahoma"/>
            <family val="2"/>
          </rPr>
          <t xml:space="preserve">2/11: </t>
        </r>
        <r>
          <rPr>
            <sz val="8"/>
            <color indexed="81"/>
            <rFont val="Tahoma"/>
            <family val="2"/>
          </rPr>
          <t>Reit 4300 LT</t>
        </r>
        <r>
          <rPr>
            <b/>
            <sz val="8"/>
            <color indexed="81"/>
            <rFont val="Tahoma"/>
            <family val="2"/>
          </rPr>
          <t xml:space="preserve">
lauraro:</t>
        </r>
        <r>
          <rPr>
            <sz val="8"/>
            <color indexed="81"/>
            <rFont val="Tahoma"/>
            <family val="2"/>
          </rPr>
          <t xml:space="preserve">
11/10: Can ultimately grow over 2800 stores today to over 4300 stores long term</t>
        </r>
      </text>
    </comment>
    <comment ref="DD184" authorId="12">
      <text>
        <r>
          <rPr>
            <b/>
            <sz val="8"/>
            <color indexed="81"/>
            <rFont val="Tahoma"/>
            <family val="2"/>
          </rPr>
          <t>lauraro:</t>
        </r>
        <r>
          <rPr>
            <sz val="8"/>
            <color indexed="81"/>
            <rFont val="Tahoma"/>
            <family val="2"/>
          </rPr>
          <t xml:space="preserve">
2/11: ~2%</t>
        </r>
      </text>
    </comment>
    <comment ref="CI190" authorId="3">
      <text>
        <r>
          <rPr>
            <b/>
            <sz val="8"/>
            <color indexed="81"/>
            <rFont val="Tahoma"/>
            <family val="2"/>
          </rPr>
          <t xml:space="preserve">2/27/2013: </t>
        </r>
        <r>
          <rPr>
            <sz val="8"/>
            <color indexed="81"/>
            <rFont val="Tahoma"/>
            <family val="2"/>
          </rPr>
          <t>Acquired 12/21/12</t>
        </r>
      </text>
    </comment>
    <comment ref="CP190" authorId="3">
      <text>
        <r>
          <rPr>
            <b/>
            <sz val="8"/>
            <color indexed="81"/>
            <rFont val="Tahoma"/>
            <family val="2"/>
          </rPr>
          <t xml:space="preserve">2/27/2013: </t>
        </r>
        <r>
          <rPr>
            <sz val="8"/>
            <color indexed="81"/>
            <rFont val="Tahoma"/>
            <family val="2"/>
          </rPr>
          <t>Acquired 12/21/12</t>
        </r>
      </text>
    </comment>
    <comment ref="D191" authorId="12">
      <text>
        <r>
          <rPr>
            <b/>
            <sz val="8"/>
            <color indexed="81"/>
            <rFont val="Tahoma"/>
            <family val="2"/>
          </rPr>
          <t>lauraro:</t>
        </r>
        <r>
          <rPr>
            <sz val="8"/>
            <color indexed="81"/>
            <rFont val="Tahoma"/>
            <family val="2"/>
          </rPr>
          <t xml:space="preserve">
</t>
        </r>
        <r>
          <rPr>
            <b/>
            <sz val="8"/>
            <color indexed="81"/>
            <rFont val="Tahoma"/>
            <family val="2"/>
          </rPr>
          <t xml:space="preserve">10/25/11: </t>
        </r>
        <r>
          <rPr>
            <sz val="8"/>
            <color indexed="81"/>
            <rFont val="Tahoma"/>
            <family val="2"/>
          </rPr>
          <t>Add 75-80 stores</t>
        </r>
        <r>
          <rPr>
            <sz val="8"/>
            <color indexed="81"/>
            <rFont val="Tahoma"/>
            <family val="2"/>
          </rPr>
          <t xml:space="preserve">
</t>
        </r>
        <r>
          <rPr>
            <b/>
            <sz val="8"/>
            <color indexed="81"/>
            <rFont val="Tahoma"/>
            <family val="2"/>
          </rPr>
          <t xml:space="preserve">2/11: </t>
        </r>
        <r>
          <rPr>
            <sz val="8"/>
            <color indexed="81"/>
            <rFont val="Tahoma"/>
            <family val="2"/>
          </rPr>
          <t>TJX believes potential to grow to 2300 to 2400 stores, 300 to 400 more than originally envisioned</t>
        </r>
      </text>
    </comment>
    <comment ref="Y191" authorId="12">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Expects Marshall's (Canada) can be a 90-100 store chain, and TJX Canada's L-T potential to be around 425.</t>
        </r>
      </text>
    </comment>
    <comment ref="AF191" authorId="8">
      <text>
        <r>
          <rPr>
            <b/>
            <sz val="8"/>
            <color indexed="81"/>
            <rFont val="Tahoma"/>
            <family val="2"/>
          </rPr>
          <t>2/11:</t>
        </r>
        <r>
          <rPr>
            <sz val="8"/>
            <color indexed="81"/>
            <rFont val="Tahoma"/>
            <family val="2"/>
          </rPr>
          <t xml:space="preserve"> Long-term, we see the potential for TJX Europe to grow to 750 to 875 stores in just our current European markets and many more beyond.
</t>
        </r>
        <r>
          <rPr>
            <b/>
            <sz val="8"/>
            <color indexed="81"/>
            <rFont val="Tahoma"/>
            <family val="2"/>
          </rPr>
          <t xml:space="preserve">
Kimberly Greenberger:</t>
        </r>
        <r>
          <rPr>
            <sz val="8"/>
            <color indexed="81"/>
            <rFont val="Tahoma"/>
            <family val="2"/>
          </rPr>
          <t xml:space="preserve">
per 4/05 10-K, so indicated it has total store potential of 300 stores in Ireland and UK</t>
        </r>
      </text>
    </comment>
    <comment ref="AM191" authorId="12">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over time, TJX believes that it can nearly double the number of HomeGoods stores to at least 600</t>
        </r>
      </text>
    </comment>
    <comment ref="BA191" authorId="12">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Expects Marshall's (Canada) can be a 90-100 store chain, and TJX Canada's L-T potential to be around 425.</t>
        </r>
      </text>
    </comment>
    <comment ref="BH191" authorId="8">
      <text>
        <r>
          <rPr>
            <b/>
            <sz val="8"/>
            <color indexed="81"/>
            <rFont val="Tahoma"/>
            <family val="2"/>
          </rPr>
          <t>2/11:</t>
        </r>
        <r>
          <rPr>
            <sz val="8"/>
            <color indexed="81"/>
            <rFont val="Tahoma"/>
            <family val="2"/>
          </rPr>
          <t xml:space="preserve"> Long-term, we see the potential for TJX Europe to grow to 750 to 875 stores in just our current European markets and many more beyond.
</t>
        </r>
        <r>
          <rPr>
            <b/>
            <sz val="8"/>
            <color indexed="81"/>
            <rFont val="Tahoma"/>
            <family val="2"/>
          </rPr>
          <t xml:space="preserve">
Kimberly Greenberger:</t>
        </r>
        <r>
          <rPr>
            <sz val="8"/>
            <color indexed="81"/>
            <rFont val="Tahoma"/>
            <family val="2"/>
          </rPr>
          <t xml:space="preserve">
per 4/05 10-K, so indicated it has total store potential of 300 stores in Ireland and UK</t>
        </r>
      </text>
    </comment>
    <comment ref="BO191" authorId="12">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Expects Marshall's (Canada) can be a 90-100 store chain, and TJX Canada's L-T potential to be around 425.</t>
        </r>
      </text>
    </comment>
    <comment ref="CW191" authorId="12">
      <text>
        <r>
          <rPr>
            <b/>
            <sz val="8"/>
            <color indexed="81"/>
            <rFont val="Tahoma"/>
            <family val="2"/>
          </rPr>
          <t xml:space="preserve">2/11: </t>
        </r>
        <r>
          <rPr>
            <sz val="8"/>
            <color indexed="81"/>
            <rFont val="Tahoma"/>
            <family val="2"/>
          </rPr>
          <t>Reit 4300 LT</t>
        </r>
        <r>
          <rPr>
            <b/>
            <sz val="8"/>
            <color indexed="81"/>
            <rFont val="Tahoma"/>
            <family val="2"/>
          </rPr>
          <t xml:space="preserve">
lauraro:</t>
        </r>
        <r>
          <rPr>
            <sz val="8"/>
            <color indexed="81"/>
            <rFont val="Tahoma"/>
            <family val="2"/>
          </rPr>
          <t xml:space="preserve">
11/10: Can ultimately grow over 2800 stores today to over 4300 stores long term</t>
        </r>
      </text>
    </comment>
    <comment ref="N194" authorId="3">
      <text>
        <r>
          <rPr>
            <b/>
            <sz val="8"/>
            <color indexed="81"/>
            <rFont val="Tahoma"/>
            <family val="2"/>
          </rPr>
          <t xml:space="preserve">6/5/2013: </t>
        </r>
        <r>
          <rPr>
            <sz val="8"/>
            <color indexed="81"/>
            <rFont val="Tahoma"/>
            <family val="2"/>
          </rPr>
          <t>24,093 selling sq ft</t>
        </r>
      </text>
    </comment>
    <comment ref="U194" authorId="3">
      <text>
        <r>
          <rPr>
            <b/>
            <sz val="8"/>
            <color indexed="81"/>
            <rFont val="Tahoma"/>
            <family val="2"/>
          </rPr>
          <t xml:space="preserve">6/5/2013: </t>
        </r>
        <r>
          <rPr>
            <sz val="8"/>
            <color indexed="81"/>
            <rFont val="Tahoma"/>
            <family val="2"/>
          </rPr>
          <t>22,513 selling sq ft</t>
        </r>
      </text>
    </comment>
    <comment ref="AB194" authorId="3">
      <text>
        <r>
          <rPr>
            <b/>
            <sz val="8"/>
            <color indexed="81"/>
            <rFont val="Tahoma"/>
            <family val="2"/>
          </rPr>
          <t xml:space="preserve">6/5/2013: </t>
        </r>
        <r>
          <rPr>
            <sz val="8"/>
            <color indexed="81"/>
            <rFont val="Tahoma"/>
            <family val="2"/>
          </rPr>
          <t>5,179 selling sq ft</t>
        </r>
      </text>
    </comment>
    <comment ref="AI194" authorId="3">
      <text>
        <r>
          <rPr>
            <b/>
            <sz val="8"/>
            <color indexed="81"/>
            <rFont val="Tahoma"/>
            <family val="2"/>
          </rPr>
          <t xml:space="preserve">6/5/2013: </t>
        </r>
        <r>
          <rPr>
            <sz val="8"/>
            <color indexed="81"/>
            <rFont val="Tahoma"/>
            <family val="2"/>
          </rPr>
          <t>8,020 selling sq ft</t>
        </r>
      </text>
    </comment>
    <comment ref="AP194" authorId="3">
      <text>
        <r>
          <rPr>
            <b/>
            <sz val="8"/>
            <color indexed="81"/>
            <rFont val="Tahoma"/>
            <family val="2"/>
          </rPr>
          <t xml:space="preserve">6/5/2013: </t>
        </r>
        <r>
          <rPr>
            <sz val="8"/>
            <color indexed="81"/>
            <rFont val="Tahoma"/>
            <family val="2"/>
          </rPr>
          <t>8,417 selling sq ft</t>
        </r>
      </text>
    </comment>
    <comment ref="BD194" authorId="3">
      <text>
        <r>
          <rPr>
            <b/>
            <sz val="8"/>
            <color indexed="81"/>
            <rFont val="Tahoma"/>
            <family val="2"/>
          </rPr>
          <t xml:space="preserve">6/5/2013: </t>
        </r>
        <r>
          <rPr>
            <sz val="8"/>
            <color indexed="81"/>
            <rFont val="Tahoma"/>
            <family val="2"/>
          </rPr>
          <t>1,710 selling sq ft</t>
        </r>
      </text>
    </comment>
    <comment ref="BK194" authorId="3">
      <text>
        <r>
          <rPr>
            <b/>
            <sz val="8"/>
            <color indexed="81"/>
            <rFont val="Tahoma"/>
            <family val="2"/>
          </rPr>
          <t xml:space="preserve">6/5/2013: </t>
        </r>
        <r>
          <rPr>
            <sz val="8"/>
            <color indexed="81"/>
            <rFont val="Tahoma"/>
            <family val="2"/>
          </rPr>
          <t>24 selling sq ft</t>
        </r>
      </text>
    </comment>
    <comment ref="BR194" authorId="3">
      <text>
        <r>
          <rPr>
            <b/>
            <sz val="8"/>
            <color indexed="81"/>
            <rFont val="Tahoma"/>
            <family val="2"/>
          </rPr>
          <t xml:space="preserve">6/5/2013: </t>
        </r>
        <r>
          <rPr>
            <sz val="8"/>
            <color indexed="81"/>
            <rFont val="Tahoma"/>
            <family val="2"/>
          </rPr>
          <t>529 selling sq ft</t>
        </r>
      </text>
    </comment>
    <comment ref="CL194" authorId="3">
      <text>
        <r>
          <rPr>
            <b/>
            <sz val="8"/>
            <color indexed="81"/>
            <rFont val="Tahoma"/>
            <family val="2"/>
          </rPr>
          <t xml:space="preserve">6/5/2013: </t>
        </r>
        <r>
          <rPr>
            <sz val="8"/>
            <color indexed="81"/>
            <rFont val="Tahoma"/>
            <family val="2"/>
          </rPr>
          <t>84M selling sq ft</t>
        </r>
      </text>
    </comment>
    <comment ref="CS194" authorId="3">
      <text>
        <r>
          <rPr>
            <b/>
            <sz val="8"/>
            <color indexed="81"/>
            <rFont val="Tahoma"/>
            <family val="2"/>
          </rPr>
          <t xml:space="preserve">6/5/2013: </t>
        </r>
        <r>
          <rPr>
            <sz val="8"/>
            <color indexed="81"/>
            <rFont val="Tahoma"/>
            <family val="2"/>
          </rPr>
          <t>84M selling sq ft</t>
        </r>
      </text>
    </comment>
    <comment ref="D198" authorId="12">
      <text>
        <r>
          <rPr>
            <b/>
            <sz val="8"/>
            <color indexed="81"/>
            <rFont val="Tahoma"/>
            <family val="2"/>
          </rPr>
          <t xml:space="preserve">
lauraro:</t>
        </r>
        <r>
          <rPr>
            <sz val="8"/>
            <color indexed="81"/>
            <rFont val="Tahoma"/>
            <family val="2"/>
          </rPr>
          <t xml:space="preserve">
</t>
        </r>
        <r>
          <rPr>
            <b/>
            <sz val="8"/>
            <color indexed="81"/>
            <rFont val="Tahoma"/>
            <family val="2"/>
          </rPr>
          <t xml:space="preserve">2/11: </t>
        </r>
        <r>
          <rPr>
            <sz val="8"/>
            <color indexed="81"/>
            <rFont val="Tahoma"/>
            <family val="2"/>
          </rPr>
          <t>TJX believes potential to grow to 2300 to 2400 stores, 300 to 400 more than originally envisioned</t>
        </r>
      </text>
    </comment>
    <comment ref="E198" authorId="3">
      <text>
        <r>
          <rPr>
            <b/>
            <sz val="8"/>
            <color indexed="81"/>
            <rFont val="Tahoma"/>
            <family val="2"/>
          </rPr>
          <t xml:space="preserve">2/28/2013 guidance: </t>
        </r>
        <r>
          <rPr>
            <sz val="8"/>
            <color indexed="81"/>
            <rFont val="Tahoma"/>
            <family val="2"/>
          </rPr>
          <t>75, net</t>
        </r>
      </text>
    </comment>
    <comment ref="Y198" authorId="12">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Expects Marshall's (Canada) can be a 90-100 store chain, and TJX Canada's L-T potential to be around 425.</t>
        </r>
      </text>
    </comment>
    <comment ref="AF198" authorId="8">
      <text>
        <r>
          <rPr>
            <b/>
            <sz val="8"/>
            <color indexed="81"/>
            <rFont val="Tahoma"/>
            <family val="2"/>
          </rPr>
          <t>2/11:</t>
        </r>
        <r>
          <rPr>
            <sz val="8"/>
            <color indexed="81"/>
            <rFont val="Tahoma"/>
            <family val="2"/>
          </rPr>
          <t xml:space="preserve"> Long-term, we see the potential for TJX Europe to grow to 750 to 875 stores in just our current European markets and many more beyond.
</t>
        </r>
        <r>
          <rPr>
            <b/>
            <sz val="8"/>
            <color indexed="81"/>
            <rFont val="Tahoma"/>
            <family val="2"/>
          </rPr>
          <t xml:space="preserve">
Kimberly Greenberger:</t>
        </r>
        <r>
          <rPr>
            <sz val="8"/>
            <color indexed="81"/>
            <rFont val="Tahoma"/>
            <family val="2"/>
          </rPr>
          <t xml:space="preserve">
per 4/05 10-K, so indicated it has total store potential of 300 stores in Ireland and UK</t>
        </r>
      </text>
    </comment>
    <comment ref="AM198" authorId="12">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over time, TJX believes that it can nearly double the number of HomeGoods stores to at least 600</t>
        </r>
      </text>
    </comment>
    <comment ref="BA198" authorId="12">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Expects Marshall's (Canada) can be a 90-100 store chain, and TJX Canada's L-T potential to be around 425.</t>
        </r>
      </text>
    </comment>
    <comment ref="BH198" authorId="8">
      <text>
        <r>
          <rPr>
            <b/>
            <sz val="8"/>
            <color indexed="81"/>
            <rFont val="Tahoma"/>
            <family val="2"/>
          </rPr>
          <t>2/11:</t>
        </r>
        <r>
          <rPr>
            <sz val="8"/>
            <color indexed="81"/>
            <rFont val="Tahoma"/>
            <family val="2"/>
          </rPr>
          <t xml:space="preserve"> Long-term, we see the potential for TJX Europe to grow to 750 to 875 stores in just our current European markets and many more beyond.
</t>
        </r>
        <r>
          <rPr>
            <b/>
            <sz val="8"/>
            <color indexed="81"/>
            <rFont val="Tahoma"/>
            <family val="2"/>
          </rPr>
          <t xml:space="preserve">
Kimberly Greenberger:</t>
        </r>
        <r>
          <rPr>
            <sz val="8"/>
            <color indexed="81"/>
            <rFont val="Tahoma"/>
            <family val="2"/>
          </rPr>
          <t xml:space="preserve">
per 4/05 10-K, so indicated it has total store potential of 300 stores in Ireland and UK</t>
        </r>
      </text>
    </comment>
    <comment ref="BO198" authorId="12">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Expects Marshall's (Canada) can be a 90-100 store chain, and TJX Canada's L-T potential to be around 425.</t>
        </r>
      </text>
    </comment>
    <comment ref="CW198" authorId="12">
      <text>
        <r>
          <rPr>
            <b/>
            <sz val="8"/>
            <color indexed="81"/>
            <rFont val="Tahoma"/>
            <family val="2"/>
          </rPr>
          <t xml:space="preserve">2/11: </t>
        </r>
        <r>
          <rPr>
            <sz val="8"/>
            <color indexed="81"/>
            <rFont val="Tahoma"/>
            <family val="2"/>
          </rPr>
          <t>Reit 4300 LT</t>
        </r>
        <r>
          <rPr>
            <b/>
            <sz val="8"/>
            <color indexed="81"/>
            <rFont val="Tahoma"/>
            <family val="2"/>
          </rPr>
          <t xml:space="preserve">
lauraro:</t>
        </r>
        <r>
          <rPr>
            <sz val="8"/>
            <color indexed="81"/>
            <rFont val="Tahoma"/>
            <family val="2"/>
          </rPr>
          <t xml:space="preserve">
11/10: Can ultimately grow over 2800 stores today to over 4300 stores long term</t>
        </r>
      </text>
    </comment>
    <comment ref="CX198" authorId="3">
      <text>
        <r>
          <rPr>
            <b/>
            <sz val="8"/>
            <color indexed="81"/>
            <rFont val="Tahoma"/>
            <family val="2"/>
          </rPr>
          <t xml:space="preserve">2/28/2013 guidance: </t>
        </r>
        <r>
          <rPr>
            <sz val="8"/>
            <color indexed="81"/>
            <rFont val="Tahoma"/>
            <family val="2"/>
          </rPr>
          <t>expect to open 165 stores and close 15</t>
        </r>
      </text>
    </comment>
    <comment ref="D205" authorId="12">
      <text>
        <r>
          <rPr>
            <b/>
            <sz val="8"/>
            <color indexed="81"/>
            <rFont val="Tahoma"/>
            <family val="2"/>
          </rPr>
          <t>lauraro:</t>
        </r>
        <r>
          <rPr>
            <sz val="8"/>
            <color indexed="81"/>
            <rFont val="Tahoma"/>
            <family val="2"/>
          </rPr>
          <t xml:space="preserve">
</t>
        </r>
        <r>
          <rPr>
            <b/>
            <sz val="8"/>
            <color indexed="81"/>
            <rFont val="Tahoma"/>
            <family val="2"/>
          </rPr>
          <t xml:space="preserve">2/11: </t>
        </r>
        <r>
          <rPr>
            <sz val="8"/>
            <color indexed="81"/>
            <rFont val="Tahoma"/>
            <family val="2"/>
          </rPr>
          <t>TJX believes potential to grow to 2300 to 2400 stores, 300 to 400 more than originally envisioned</t>
        </r>
      </text>
    </comment>
    <comment ref="E205" authorId="14">
      <text>
        <r>
          <rPr>
            <b/>
            <sz val="8"/>
            <color indexed="81"/>
            <rFont val="Tahoma"/>
            <family val="2"/>
          </rPr>
          <t>2/26/14 guidance: +75</t>
        </r>
        <r>
          <rPr>
            <sz val="8"/>
            <color indexed="81"/>
            <rFont val="Tahoma"/>
            <family val="2"/>
          </rPr>
          <t xml:space="preserve">
</t>
        </r>
      </text>
    </comment>
    <comment ref="Y205" authorId="12">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Expects Marshall's (Canada) can be a 90-100 store chain, and TJX Canada's L-T potential to be around 425.</t>
        </r>
      </text>
    </comment>
    <comment ref="Z205" authorId="14">
      <text>
        <r>
          <rPr>
            <b/>
            <sz val="8"/>
            <color indexed="81"/>
            <rFont val="Tahoma"/>
            <family val="2"/>
          </rPr>
          <t>2/26/14: guidance 20 in Canada</t>
        </r>
        <r>
          <rPr>
            <sz val="8"/>
            <color indexed="81"/>
            <rFont val="Tahoma"/>
            <family val="2"/>
          </rPr>
          <t xml:space="preserve">
</t>
        </r>
      </text>
    </comment>
    <comment ref="AF205" authorId="8">
      <text>
        <r>
          <rPr>
            <b/>
            <sz val="8"/>
            <color indexed="81"/>
            <rFont val="Tahoma"/>
            <family val="2"/>
          </rPr>
          <t>2/11:</t>
        </r>
        <r>
          <rPr>
            <sz val="8"/>
            <color indexed="81"/>
            <rFont val="Tahoma"/>
            <family val="2"/>
          </rPr>
          <t xml:space="preserve"> Long-term, we see the potential for TJX Europe to grow to 750 to 875 stores in just our current European markets and many more beyond.
</t>
        </r>
        <r>
          <rPr>
            <b/>
            <sz val="8"/>
            <color indexed="81"/>
            <rFont val="Tahoma"/>
            <family val="2"/>
          </rPr>
          <t xml:space="preserve">
Kimberly Greenberger:</t>
        </r>
        <r>
          <rPr>
            <sz val="8"/>
            <color indexed="81"/>
            <rFont val="Tahoma"/>
            <family val="2"/>
          </rPr>
          <t xml:space="preserve">
per 4/05 10-K, so indicated it has total store potential of 300 stores in Ireland and UK</t>
        </r>
      </text>
    </comment>
    <comment ref="AG205" authorId="15">
      <text>
        <r>
          <rPr>
            <b/>
            <sz val="9"/>
            <color indexed="81"/>
            <rFont val="Tahoma"/>
            <family val="2"/>
          </rPr>
          <t xml:space="preserve">8/19/14: </t>
        </r>
        <r>
          <rPr>
            <sz val="9"/>
            <color indexed="81"/>
            <rFont val="Tahoma"/>
            <family val="2"/>
          </rPr>
          <t xml:space="preserve">We are on track to open 40 stores in Europe this year, up 25% from last year, and may further accelerate the pace of store openings in 2015. Our 2014 plans include more than doubling the number of stores in Germany versus the prior year. 
</t>
        </r>
      </text>
    </comment>
    <comment ref="AM205" authorId="12">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over time, TJX believes that it can nearly double the number of HomeGoods stores to at least 600</t>
        </r>
      </text>
    </comment>
    <comment ref="AN205" authorId="14">
      <text>
        <r>
          <rPr>
            <b/>
            <sz val="8"/>
            <color indexed="81"/>
            <rFont val="Tahoma"/>
            <family val="2"/>
          </rPr>
          <t>2/26/14 guidance: 35</t>
        </r>
        <r>
          <rPr>
            <sz val="8"/>
            <color indexed="81"/>
            <rFont val="Tahoma"/>
            <family val="2"/>
          </rPr>
          <t xml:space="preserve">
</t>
        </r>
      </text>
    </comment>
    <comment ref="BA205" authorId="12">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Expects Marshall's (Canada) can be a 90-100 store chain, and TJX Canada's L-T potential to be around 425.</t>
        </r>
      </text>
    </comment>
    <comment ref="BH205" authorId="8">
      <text>
        <r>
          <rPr>
            <b/>
            <sz val="8"/>
            <color indexed="81"/>
            <rFont val="Tahoma"/>
            <family val="2"/>
          </rPr>
          <t>2/11:</t>
        </r>
        <r>
          <rPr>
            <sz val="8"/>
            <color indexed="81"/>
            <rFont val="Tahoma"/>
            <family val="2"/>
          </rPr>
          <t xml:space="preserve"> Long-term, we see the potential for TJX Europe to grow to 750 to 875 stores in just our current European markets and many more beyond.
</t>
        </r>
        <r>
          <rPr>
            <b/>
            <sz val="8"/>
            <color indexed="81"/>
            <rFont val="Tahoma"/>
            <family val="2"/>
          </rPr>
          <t xml:space="preserve">
Kimberly Greenberger:</t>
        </r>
        <r>
          <rPr>
            <sz val="8"/>
            <color indexed="81"/>
            <rFont val="Tahoma"/>
            <family val="2"/>
          </rPr>
          <t xml:space="preserve">
per 4/05 10-K, so indicated it has total store potential of 300 stores in Ireland and UK</t>
        </r>
      </text>
    </comment>
    <comment ref="BO205" authorId="12">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Expects Marshall's (Canada) can be a 90-100 store chain, and TJX Canada's L-T potential to be around 425.</t>
        </r>
      </text>
    </comment>
    <comment ref="CW205" authorId="12">
      <text>
        <r>
          <rPr>
            <b/>
            <sz val="8"/>
            <color indexed="81"/>
            <rFont val="Tahoma"/>
            <family val="2"/>
          </rPr>
          <t xml:space="preserve">2/11: </t>
        </r>
        <r>
          <rPr>
            <sz val="8"/>
            <color indexed="81"/>
            <rFont val="Tahoma"/>
            <family val="2"/>
          </rPr>
          <t>Reit 4300 LT</t>
        </r>
        <r>
          <rPr>
            <b/>
            <sz val="8"/>
            <color indexed="81"/>
            <rFont val="Tahoma"/>
            <family val="2"/>
          </rPr>
          <t xml:space="preserve">
lauraro:</t>
        </r>
        <r>
          <rPr>
            <sz val="8"/>
            <color indexed="81"/>
            <rFont val="Tahoma"/>
            <family val="2"/>
          </rPr>
          <t xml:space="preserve">
11/10: Can ultimately grow over 2800 stores today to over 4300 stores long term</t>
        </r>
      </text>
    </comment>
    <comment ref="E212" authorId="16">
      <text>
        <r>
          <rPr>
            <b/>
            <sz val="9"/>
            <color indexed="81"/>
            <rFont val="Tahoma"/>
            <family val="2"/>
          </rPr>
          <t>Turley, Amber (Research):</t>
        </r>
        <r>
          <rPr>
            <sz val="9"/>
            <color indexed="81"/>
            <rFont val="Tahoma"/>
            <family val="2"/>
          </rPr>
          <t xml:space="preserve">
2/25/15 guidance: 70 stores</t>
        </r>
      </text>
    </comment>
    <comment ref="Y212" authorId="12">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Expects Marshall's (Canada) can be a 90-100 store chain, and TJX Canada's L-T potential to be around 425.</t>
        </r>
      </text>
    </comment>
    <comment ref="Z212" authorId="16">
      <text>
        <r>
          <rPr>
            <b/>
            <sz val="9"/>
            <color indexed="81"/>
            <rFont val="Tahoma"/>
            <family val="2"/>
          </rPr>
          <t>Turley, Amber (Research):</t>
        </r>
        <r>
          <rPr>
            <sz val="9"/>
            <color indexed="81"/>
            <rFont val="Tahoma"/>
            <family val="2"/>
          </rPr>
          <t xml:space="preserve">
2/25/15 guidance: 20 stores</t>
        </r>
      </text>
    </comment>
    <comment ref="AF212" authorId="8">
      <text>
        <r>
          <rPr>
            <b/>
            <sz val="8"/>
            <color indexed="81"/>
            <rFont val="Tahoma"/>
            <family val="2"/>
          </rPr>
          <t>2/11:</t>
        </r>
        <r>
          <rPr>
            <sz val="8"/>
            <color indexed="81"/>
            <rFont val="Tahoma"/>
            <family val="2"/>
          </rPr>
          <t xml:space="preserve"> Long-term, we see the potential for TJX Europe to grow to 750 to 875 stores in just our current European markets and many more beyond.
</t>
        </r>
        <r>
          <rPr>
            <b/>
            <sz val="8"/>
            <color indexed="81"/>
            <rFont val="Tahoma"/>
            <family val="2"/>
          </rPr>
          <t xml:space="preserve">
Kimberly Greenberger:</t>
        </r>
        <r>
          <rPr>
            <sz val="8"/>
            <color indexed="81"/>
            <rFont val="Tahoma"/>
            <family val="2"/>
          </rPr>
          <t xml:space="preserve">
per 4/05 10-K, so indicated it has total store potential of 300 stores in Ireland and UK</t>
        </r>
      </text>
    </comment>
    <comment ref="AG212" authorId="16">
      <text>
        <r>
          <rPr>
            <b/>
            <sz val="9"/>
            <color indexed="81"/>
            <rFont val="Tahoma"/>
            <family val="2"/>
          </rPr>
          <t>Turley, Amber (Research):</t>
        </r>
        <r>
          <rPr>
            <sz val="9"/>
            <color indexed="81"/>
            <rFont val="Tahoma"/>
            <family val="2"/>
          </rPr>
          <t xml:space="preserve">
2/25/15 guidance: 50 stores</t>
        </r>
      </text>
    </comment>
    <comment ref="AN212" authorId="16">
      <text>
        <r>
          <rPr>
            <b/>
            <sz val="9"/>
            <color indexed="81"/>
            <rFont val="Tahoma"/>
            <family val="2"/>
          </rPr>
          <t>Turley, Amber (Research):</t>
        </r>
        <r>
          <rPr>
            <sz val="9"/>
            <color indexed="81"/>
            <rFont val="Tahoma"/>
            <family val="2"/>
          </rPr>
          <t xml:space="preserve">
2/25/15 guidance: 40 stores</t>
        </r>
      </text>
    </comment>
    <comment ref="BA212" authorId="12">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Expects Marshall's (Canada) can be a 90-100 store chain, and TJX Canada's L-T potential to be around 425.</t>
        </r>
      </text>
    </comment>
    <comment ref="BH212" authorId="8">
      <text>
        <r>
          <rPr>
            <b/>
            <sz val="8"/>
            <color indexed="81"/>
            <rFont val="Tahoma"/>
            <family val="2"/>
          </rPr>
          <t>2/11:</t>
        </r>
        <r>
          <rPr>
            <sz val="8"/>
            <color indexed="81"/>
            <rFont val="Tahoma"/>
            <family val="2"/>
          </rPr>
          <t xml:space="preserve"> Long-term, we see the potential for TJX Europe to grow to 750 to 875 stores in just our current European markets and many more beyond.
</t>
        </r>
        <r>
          <rPr>
            <b/>
            <sz val="8"/>
            <color indexed="81"/>
            <rFont val="Tahoma"/>
            <family val="2"/>
          </rPr>
          <t xml:space="preserve">
Kimberly Greenberger:</t>
        </r>
        <r>
          <rPr>
            <sz val="8"/>
            <color indexed="81"/>
            <rFont val="Tahoma"/>
            <family val="2"/>
          </rPr>
          <t xml:space="preserve">
per 4/05 10-K, so indicated it has total store potential of 300 stores in Ireland and UK</t>
        </r>
      </text>
    </comment>
    <comment ref="BI212" authorId="16">
      <text>
        <r>
          <rPr>
            <b/>
            <sz val="9"/>
            <color indexed="81"/>
            <rFont val="Tahoma"/>
            <family val="2"/>
          </rPr>
          <t>Turley, Amber (Research):</t>
        </r>
        <r>
          <rPr>
            <sz val="9"/>
            <color indexed="81"/>
            <rFont val="Tahoma"/>
            <family val="2"/>
          </rPr>
          <t xml:space="preserve">
2/25/15 guidance: 50 stores</t>
        </r>
      </text>
    </comment>
    <comment ref="BO212" authorId="12">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Expects Marshall's (Canada) can be a 90-100 store chain, and TJX Canada's L-T potential to be around 425.</t>
        </r>
      </text>
    </comment>
    <comment ref="BP212" authorId="16">
      <text>
        <r>
          <rPr>
            <b/>
            <sz val="9"/>
            <color indexed="81"/>
            <rFont val="Tahoma"/>
            <family val="2"/>
          </rPr>
          <t>Turley, Amber (Research):</t>
        </r>
        <r>
          <rPr>
            <sz val="9"/>
            <color indexed="81"/>
            <rFont val="Tahoma"/>
            <family val="2"/>
          </rPr>
          <t xml:space="preserve">
2/25/15 guidance: 20 stores</t>
        </r>
      </text>
    </comment>
    <comment ref="CJ212" authorId="16">
      <text>
        <r>
          <rPr>
            <b/>
            <sz val="9"/>
            <color indexed="81"/>
            <rFont val="Tahoma"/>
            <family val="2"/>
          </rPr>
          <t>Turley, Amber (Research):</t>
        </r>
        <r>
          <rPr>
            <sz val="9"/>
            <color indexed="81"/>
            <rFont val="Tahoma"/>
            <family val="2"/>
          </rPr>
          <t xml:space="preserve">
2/25/15 guidance: 1 store</t>
        </r>
      </text>
    </comment>
    <comment ref="CQ212" authorId="16">
      <text>
        <r>
          <rPr>
            <b/>
            <sz val="9"/>
            <color indexed="81"/>
            <rFont val="Tahoma"/>
            <family val="2"/>
          </rPr>
          <t>Turley, Amber (Research):</t>
        </r>
        <r>
          <rPr>
            <sz val="9"/>
            <color indexed="81"/>
            <rFont val="Tahoma"/>
            <family val="2"/>
          </rPr>
          <t xml:space="preserve">
2/25/15 guidance: 1 store</t>
        </r>
      </text>
    </comment>
    <comment ref="CW212" authorId="12">
      <text>
        <r>
          <rPr>
            <b/>
            <sz val="8"/>
            <color indexed="81"/>
            <rFont val="Tahoma"/>
            <family val="2"/>
          </rPr>
          <t xml:space="preserve">2/11: </t>
        </r>
        <r>
          <rPr>
            <sz val="8"/>
            <color indexed="81"/>
            <rFont val="Tahoma"/>
            <family val="2"/>
          </rPr>
          <t>Reit 4300 LT</t>
        </r>
        <r>
          <rPr>
            <b/>
            <sz val="8"/>
            <color indexed="81"/>
            <rFont val="Tahoma"/>
            <family val="2"/>
          </rPr>
          <t xml:space="preserve">
lauraro:</t>
        </r>
        <r>
          <rPr>
            <sz val="8"/>
            <color indexed="81"/>
            <rFont val="Tahoma"/>
            <family val="2"/>
          </rPr>
          <t xml:space="preserve">
11/10: Can ultimately grow over 2800 stores today to over 4300 stores long term</t>
        </r>
      </text>
    </comment>
    <comment ref="DB216" authorId="17">
      <text>
        <r>
          <rPr>
            <b/>
            <sz val="9"/>
            <color indexed="81"/>
            <rFont val="Tahoma"/>
            <family val="2"/>
          </rPr>
          <t>Baglione, Gregory  (Research):</t>
        </r>
        <r>
          <rPr>
            <sz val="9"/>
            <color indexed="81"/>
            <rFont val="Tahoma"/>
            <family val="2"/>
          </rPr>
          <t xml:space="preserve">
8/16/16
~0.1 discrep vs. press release</t>
        </r>
      </text>
    </comment>
    <comment ref="DB217" authorId="17">
      <text>
        <r>
          <rPr>
            <b/>
            <sz val="9"/>
            <color indexed="81"/>
            <rFont val="Tahoma"/>
            <family val="2"/>
          </rPr>
          <t>Baglione, Gregory  (Research):</t>
        </r>
        <r>
          <rPr>
            <sz val="9"/>
            <color indexed="81"/>
            <rFont val="Tahoma"/>
            <family val="2"/>
          </rPr>
          <t xml:space="preserve">
8/16/16
~0.1 discrep vs. press release</t>
        </r>
      </text>
    </comment>
    <comment ref="D219" authorId="12">
      <text>
        <r>
          <rPr>
            <b/>
            <sz val="8"/>
            <color indexed="81"/>
            <rFont val="Tahoma"/>
            <family val="2"/>
          </rPr>
          <t>lauraro:</t>
        </r>
        <r>
          <rPr>
            <sz val="8"/>
            <color indexed="81"/>
            <rFont val="Tahoma"/>
            <family val="2"/>
          </rPr>
          <t xml:space="preserve">
</t>
        </r>
        <r>
          <rPr>
            <b/>
            <sz val="8"/>
            <color indexed="81"/>
            <rFont val="Tahoma"/>
            <family val="2"/>
          </rPr>
          <t xml:space="preserve">2/11: </t>
        </r>
        <r>
          <rPr>
            <sz val="8"/>
            <color indexed="81"/>
            <rFont val="Tahoma"/>
            <family val="2"/>
          </rPr>
          <t>TJX believes potential to grow to 2300 to 2400 stores, 300 to 400 more than originally envisioned</t>
        </r>
      </text>
    </comment>
    <comment ref="E219" authorId="17">
      <text>
        <r>
          <rPr>
            <b/>
            <sz val="9"/>
            <color indexed="81"/>
            <rFont val="Tahoma"/>
            <family val="2"/>
          </rPr>
          <t>Baglione, Gregory  (Research):</t>
        </r>
        <r>
          <rPr>
            <sz val="9"/>
            <color indexed="81"/>
            <rFont val="Tahoma"/>
            <family val="2"/>
          </rPr>
          <t xml:space="preserve">
2/24/16 Guidance
60 Marmaxx doors</t>
        </r>
      </text>
    </comment>
    <comment ref="Y219" authorId="12">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Expects Marshall's (Canada) can be a 90-100 store chain, and TJX Canada's L-T potential to be around 425.
2/24/16 Guidance
Canada plan for 30 new doors</t>
        </r>
      </text>
    </comment>
    <comment ref="AF219" authorId="8">
      <text>
        <r>
          <rPr>
            <b/>
            <sz val="8"/>
            <color indexed="81"/>
            <rFont val="Tahoma"/>
            <family val="2"/>
          </rPr>
          <t>2/11:</t>
        </r>
        <r>
          <rPr>
            <sz val="8"/>
            <color indexed="81"/>
            <rFont val="Tahoma"/>
            <family val="2"/>
          </rPr>
          <t xml:space="preserve"> Long-term, we see the potential for TJX Europe to grow to 750 to 875 stores in just our current European markets and many more beyond.
</t>
        </r>
        <r>
          <rPr>
            <b/>
            <sz val="8"/>
            <color indexed="81"/>
            <rFont val="Tahoma"/>
            <family val="2"/>
          </rPr>
          <t xml:space="preserve">
Kimberly Greenberger:</t>
        </r>
        <r>
          <rPr>
            <sz val="8"/>
            <color indexed="81"/>
            <rFont val="Tahoma"/>
            <family val="2"/>
          </rPr>
          <t xml:space="preserve">
per 4/05 10-K, so indicated it has total store potential of 300 stores in Ireland and UK</t>
        </r>
      </text>
    </comment>
    <comment ref="AM219" authorId="12">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over time, TJX believes that it can nearly double the number of HomeGoods stores to at least 600</t>
        </r>
      </text>
    </comment>
    <comment ref="BA219" authorId="12">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Expects Marshall's (Canada) can be a 90-100 store chain, and TJX Canada's L-T potential to be around 425.</t>
        </r>
      </text>
    </comment>
    <comment ref="BH219" authorId="8">
      <text>
        <r>
          <rPr>
            <b/>
            <sz val="8"/>
            <color indexed="81"/>
            <rFont val="Tahoma"/>
            <family val="2"/>
          </rPr>
          <t>2/11:</t>
        </r>
        <r>
          <rPr>
            <sz val="8"/>
            <color indexed="81"/>
            <rFont val="Tahoma"/>
            <family val="2"/>
          </rPr>
          <t xml:space="preserve"> Long-term, we see the potential for TJX Europe to grow to 750 to 875 stores in just our current European markets and many more beyond.
</t>
        </r>
        <r>
          <rPr>
            <b/>
            <sz val="8"/>
            <color indexed="81"/>
            <rFont val="Tahoma"/>
            <family val="2"/>
          </rPr>
          <t xml:space="preserve">
Kimberly Greenberger:</t>
        </r>
        <r>
          <rPr>
            <sz val="8"/>
            <color indexed="81"/>
            <rFont val="Tahoma"/>
            <family val="2"/>
          </rPr>
          <t xml:space="preserve">
per 4/05 10-K, so indicated it has total store potential of 300 stores in Ireland and UK</t>
        </r>
      </text>
    </comment>
    <comment ref="BO219" authorId="12">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Expects Marshall's (Canada) can be a 90-100 store chain, and TJX Canada's L-T potential to be around 425.</t>
        </r>
      </text>
    </comment>
    <comment ref="CJ219" authorId="17">
      <text>
        <r>
          <rPr>
            <b/>
            <sz val="9"/>
            <color indexed="81"/>
            <rFont val="Tahoma"/>
            <family val="2"/>
          </rPr>
          <t>Baglione, Gregory  (Research):</t>
        </r>
        <r>
          <rPr>
            <sz val="9"/>
            <color indexed="81"/>
            <rFont val="Tahoma"/>
            <family val="2"/>
          </rPr>
          <t xml:space="preserve">
2/24/16 Plan to open 5 STP</t>
        </r>
      </text>
    </comment>
    <comment ref="CW219" authorId="12">
      <text>
        <r>
          <rPr>
            <b/>
            <sz val="8"/>
            <color indexed="81"/>
            <rFont val="Tahoma"/>
            <family val="2"/>
          </rPr>
          <t xml:space="preserve">2/11: </t>
        </r>
        <r>
          <rPr>
            <sz val="8"/>
            <color indexed="81"/>
            <rFont val="Tahoma"/>
            <family val="2"/>
          </rPr>
          <t>Reit 4300 LT</t>
        </r>
        <r>
          <rPr>
            <b/>
            <sz val="8"/>
            <color indexed="81"/>
            <rFont val="Tahoma"/>
            <family val="2"/>
          </rPr>
          <t xml:space="preserve">
lauraro:</t>
        </r>
        <r>
          <rPr>
            <sz val="8"/>
            <color indexed="81"/>
            <rFont val="Tahoma"/>
            <family val="2"/>
          </rPr>
          <t xml:space="preserve">
11/10: Can ultimately grow over 2800 stores today to over 4300 stores long term</t>
        </r>
      </text>
    </comment>
    <comment ref="CX219" authorId="17">
      <text>
        <r>
          <rPr>
            <b/>
            <sz val="9"/>
            <color indexed="81"/>
            <rFont val="Tahoma"/>
            <family val="2"/>
          </rPr>
          <t>Baglione, Gregory  (Research):</t>
        </r>
        <r>
          <rPr>
            <sz val="9"/>
            <color indexed="81"/>
            <rFont val="Tahoma"/>
            <family val="2"/>
          </rPr>
          <t xml:space="preserve">
" store growth plans for fiscal 2017. We plan to add approximately 195 you new stores which would bring our year end total to 3,809 stores. This represents store growth of approximately 5% and is at the upper end of our range for the last several years'
5/17/16
As a reminder, in 2016 we plan to add approximately 195 new stores, an increase of 5%.</t>
        </r>
      </text>
    </comment>
    <comment ref="AN224" authorId="18">
      <text>
        <r>
          <rPr>
            <b/>
            <sz val="9"/>
            <color indexed="81"/>
            <rFont val="Tahoma"/>
            <family val="2"/>
          </rPr>
          <t>Roberts, Cynthia (Research):</t>
        </r>
        <r>
          <rPr>
            <sz val="9"/>
            <color indexed="81"/>
            <rFont val="Tahoma"/>
            <family val="2"/>
          </rPr>
          <t xml:space="preserve">
11/14/17: includes 3 HomeSense
5/16/17: includes opening of new concept HomeSense (1 late summer opening and a few openinsgs in the fall)</t>
        </r>
      </text>
    </comment>
    <comment ref="AP224" authorId="18">
      <text>
        <r>
          <rPr>
            <b/>
            <sz val="9"/>
            <color indexed="81"/>
            <rFont val="Tahoma"/>
            <family val="2"/>
          </rPr>
          <t>Roberts, Cynthia (Research):</t>
        </r>
        <r>
          <rPr>
            <sz val="9"/>
            <color indexed="81"/>
            <rFont val="Tahoma"/>
            <family val="2"/>
          </rPr>
          <t xml:space="preserve">
11/14/17: includes 0.1 from HomeSense</t>
        </r>
      </text>
    </comment>
    <comment ref="AN225" authorId="18">
      <text>
        <r>
          <rPr>
            <b/>
            <sz val="9"/>
            <color indexed="81"/>
            <rFont val="Tahoma"/>
            <family val="2"/>
          </rPr>
          <t>Roberts, Cynthia (Research):</t>
        </r>
        <r>
          <rPr>
            <sz val="9"/>
            <color indexed="81"/>
            <rFont val="Tahoma"/>
            <family val="2"/>
          </rPr>
          <t xml:space="preserve">
2/28/18: includes 4 HomeSense openings</t>
        </r>
      </text>
    </comment>
    <comment ref="AP225" authorId="18">
      <text>
        <r>
          <rPr>
            <b/>
            <sz val="9"/>
            <color indexed="81"/>
            <rFont val="Tahoma"/>
            <family val="2"/>
          </rPr>
          <t>Roberts, Cynthia (Research):</t>
        </r>
        <r>
          <rPr>
            <sz val="9"/>
            <color indexed="81"/>
            <rFont val="Tahoma"/>
            <family val="2"/>
          </rPr>
          <t xml:space="preserve">
0.1 from HomeSense</t>
        </r>
      </text>
    </comment>
    <comment ref="D226" authorId="12">
      <text>
        <r>
          <rPr>
            <b/>
            <sz val="8"/>
            <color indexed="81"/>
            <rFont val="Tahoma"/>
            <family val="2"/>
          </rPr>
          <t>2/22/17:</t>
        </r>
        <r>
          <rPr>
            <sz val="8"/>
            <color indexed="81"/>
            <rFont val="Tahoma"/>
            <family val="2"/>
          </rPr>
          <t xml:space="preserve"> Guidance: 65 Marmaxx openings, we are assuming net 50 openings</t>
        </r>
        <r>
          <rPr>
            <b/>
            <sz val="8"/>
            <color indexed="81"/>
            <rFont val="Tahoma"/>
            <family val="2"/>
          </rPr>
          <t xml:space="preserve">
lauraro:</t>
        </r>
        <r>
          <rPr>
            <sz val="8"/>
            <color indexed="81"/>
            <rFont val="Tahoma"/>
            <family val="2"/>
          </rPr>
          <t xml:space="preserve">
</t>
        </r>
        <r>
          <rPr>
            <b/>
            <sz val="8"/>
            <color indexed="81"/>
            <rFont val="Tahoma"/>
            <family val="2"/>
          </rPr>
          <t xml:space="preserve">2/11: </t>
        </r>
        <r>
          <rPr>
            <sz val="8"/>
            <color indexed="81"/>
            <rFont val="Tahoma"/>
            <family val="2"/>
          </rPr>
          <t>TJX believes potential to grow to 2300 to 2400 stores, 300 to 400 more than originally envisioned</t>
        </r>
      </text>
    </comment>
    <comment ref="AF226" authorId="8">
      <text>
        <r>
          <rPr>
            <b/>
            <sz val="8"/>
            <color indexed="81"/>
            <rFont val="Tahoma"/>
            <family val="2"/>
          </rPr>
          <t xml:space="preserve">2/22/17: </t>
        </r>
        <r>
          <rPr>
            <sz val="8"/>
            <color indexed="81"/>
            <rFont val="Tahoma"/>
            <family val="2"/>
          </rPr>
          <t>Guidance: 45 stores in Europe, 4 in Asutralia, we model net 40 openings</t>
        </r>
        <r>
          <rPr>
            <b/>
            <sz val="8"/>
            <color indexed="81"/>
            <rFont val="Tahoma"/>
            <family val="2"/>
          </rPr>
          <t xml:space="preserve">
2/11:</t>
        </r>
        <r>
          <rPr>
            <sz val="8"/>
            <color indexed="81"/>
            <rFont val="Tahoma"/>
            <family val="2"/>
          </rPr>
          <t xml:space="preserve"> Long-term, we see the potential for TJX Europe to grow to 750 to 875 stores in just our current European markets and many more beyond.
</t>
        </r>
        <r>
          <rPr>
            <b/>
            <sz val="8"/>
            <color indexed="81"/>
            <rFont val="Tahoma"/>
            <family val="2"/>
          </rPr>
          <t xml:space="preserve">
Kimberly Greenberger:</t>
        </r>
        <r>
          <rPr>
            <sz val="8"/>
            <color indexed="81"/>
            <rFont val="Tahoma"/>
            <family val="2"/>
          </rPr>
          <t xml:space="preserve">
per 4/05 10-K, so indicated it has total store potential of 300 stores in Ireland and UK</t>
        </r>
      </text>
    </comment>
    <comment ref="AM226" authorId="12">
      <text>
        <r>
          <rPr>
            <b/>
            <sz val="8"/>
            <color indexed="81"/>
            <rFont val="Tahoma"/>
            <family val="2"/>
          </rPr>
          <t xml:space="preserve">2/22/17: </t>
        </r>
        <r>
          <rPr>
            <sz val="8"/>
            <color indexed="81"/>
            <rFont val="Tahoma"/>
            <family val="2"/>
          </rPr>
          <t>Guidance 85 stores, including 4 of the new U.S. Home concept. We model net 80 openings</t>
        </r>
        <r>
          <rPr>
            <b/>
            <sz val="8"/>
            <color indexed="81"/>
            <rFont val="Tahoma"/>
            <family val="2"/>
          </rPr>
          <t xml:space="preserve">
lauraro:</t>
        </r>
        <r>
          <rPr>
            <sz val="8"/>
            <color indexed="81"/>
            <rFont val="Tahoma"/>
            <family val="2"/>
          </rPr>
          <t xml:space="preserve">
</t>
        </r>
        <r>
          <rPr>
            <b/>
            <sz val="8"/>
            <color indexed="81"/>
            <rFont val="Tahoma"/>
            <family val="2"/>
          </rPr>
          <t>2/11</t>
        </r>
        <r>
          <rPr>
            <sz val="8"/>
            <color indexed="81"/>
            <rFont val="Tahoma"/>
            <family val="2"/>
          </rPr>
          <t>: over time, TJX believes that it can nearly double the number of HomeGoods stores to at least 600</t>
        </r>
      </text>
    </comment>
    <comment ref="BA226" authorId="12">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Expects Marshall's (Canada) can be a 90-100 store chain, and TJX Canada's L-T potential to be around 425.</t>
        </r>
      </text>
    </comment>
    <comment ref="BH226" authorId="8">
      <text>
        <r>
          <rPr>
            <b/>
            <sz val="8"/>
            <color indexed="81"/>
            <rFont val="Tahoma"/>
            <family val="2"/>
          </rPr>
          <t>2/11:</t>
        </r>
        <r>
          <rPr>
            <sz val="8"/>
            <color indexed="81"/>
            <rFont val="Tahoma"/>
            <family val="2"/>
          </rPr>
          <t xml:space="preserve"> Long-term, we see the potential for TJX Europe to grow to 750 to 875 stores in just our current European markets and many more beyond.
</t>
        </r>
        <r>
          <rPr>
            <b/>
            <sz val="8"/>
            <color indexed="81"/>
            <rFont val="Tahoma"/>
            <family val="2"/>
          </rPr>
          <t xml:space="preserve">
Kimberly Greenberger:</t>
        </r>
        <r>
          <rPr>
            <sz val="8"/>
            <color indexed="81"/>
            <rFont val="Tahoma"/>
            <family val="2"/>
          </rPr>
          <t xml:space="preserve">
per 4/05 10-K, so indicated it has total store potential of 300 stores in Ireland and UK</t>
        </r>
      </text>
    </comment>
    <comment ref="BO226" authorId="12">
      <text>
        <r>
          <rPr>
            <b/>
            <sz val="8"/>
            <color indexed="81"/>
            <rFont val="Tahoma"/>
            <family val="2"/>
          </rPr>
          <t xml:space="preserve">2/22/17: </t>
        </r>
        <r>
          <rPr>
            <sz val="8"/>
            <color indexed="81"/>
            <rFont val="Tahoma"/>
            <family val="2"/>
          </rPr>
          <t>Guidance: 35 stores in Canada. We model net 30 openings</t>
        </r>
        <r>
          <rPr>
            <b/>
            <sz val="8"/>
            <color indexed="81"/>
            <rFont val="Tahoma"/>
            <family val="2"/>
          </rPr>
          <t xml:space="preserve">
lauraro:</t>
        </r>
        <r>
          <rPr>
            <sz val="8"/>
            <color indexed="81"/>
            <rFont val="Tahoma"/>
            <family val="2"/>
          </rPr>
          <t xml:space="preserve">
</t>
        </r>
        <r>
          <rPr>
            <b/>
            <sz val="8"/>
            <color indexed="81"/>
            <rFont val="Tahoma"/>
            <family val="2"/>
          </rPr>
          <t>2/11:</t>
        </r>
        <r>
          <rPr>
            <sz val="8"/>
            <color indexed="81"/>
            <rFont val="Tahoma"/>
            <family val="2"/>
          </rPr>
          <t xml:space="preserve"> Expects Marshall's (Canada) can be a 90-100 store chain, and TJX Canada's L-T potential to be around 425.</t>
        </r>
      </text>
    </comment>
    <comment ref="CJ226" authorId="18">
      <text>
        <r>
          <rPr>
            <b/>
            <sz val="9"/>
            <color indexed="81"/>
            <rFont val="Tahoma"/>
            <family val="2"/>
          </rPr>
          <t>Roberts, Cynthia (Research):</t>
        </r>
        <r>
          <rPr>
            <sz val="9"/>
            <color indexed="81"/>
            <rFont val="Tahoma"/>
            <family val="2"/>
          </rPr>
          <t xml:space="preserve">
2/22/17: Guidance: 50</t>
        </r>
      </text>
    </comment>
    <comment ref="CW226" authorId="12">
      <text>
        <r>
          <rPr>
            <sz val="8"/>
            <color indexed="81"/>
            <rFont val="Tahoma"/>
            <family val="2"/>
          </rPr>
          <t>5/16/17: Guidance open 250
2/22/17: Guidance: 4062, net 250 openings</t>
        </r>
        <r>
          <rPr>
            <b/>
            <sz val="8"/>
            <color indexed="81"/>
            <rFont val="Tahoma"/>
            <family val="2"/>
          </rPr>
          <t xml:space="preserve">
2/11: </t>
        </r>
        <r>
          <rPr>
            <sz val="8"/>
            <color indexed="81"/>
            <rFont val="Tahoma"/>
            <family val="2"/>
          </rPr>
          <t>Reit 4300 LT</t>
        </r>
        <r>
          <rPr>
            <b/>
            <sz val="8"/>
            <color indexed="81"/>
            <rFont val="Tahoma"/>
            <family val="2"/>
          </rPr>
          <t xml:space="preserve">
lauraro:</t>
        </r>
        <r>
          <rPr>
            <sz val="8"/>
            <color indexed="81"/>
            <rFont val="Tahoma"/>
            <family val="2"/>
          </rPr>
          <t xml:space="preserve">
11/10: Can ultimately grow over 2800 stores today to over 4300 stores long term</t>
        </r>
      </text>
    </comment>
    <comment ref="D233" authorId="12">
      <text>
        <r>
          <rPr>
            <b/>
            <sz val="8"/>
            <color indexed="81"/>
            <rFont val="Tahoma"/>
            <family val="2"/>
          </rPr>
          <t>2/28/18: Guidance 65 openings
lauraro:</t>
        </r>
        <r>
          <rPr>
            <sz val="8"/>
            <color indexed="81"/>
            <rFont val="Tahoma"/>
            <family val="2"/>
          </rPr>
          <t xml:space="preserve">
</t>
        </r>
        <r>
          <rPr>
            <b/>
            <sz val="8"/>
            <color indexed="81"/>
            <rFont val="Tahoma"/>
            <family val="2"/>
          </rPr>
          <t xml:space="preserve">2/11: </t>
        </r>
        <r>
          <rPr>
            <sz val="8"/>
            <color indexed="81"/>
            <rFont val="Tahoma"/>
            <family val="2"/>
          </rPr>
          <t>TJX believes potential to grow to 2300 to 2400 stores, 300 to 400 more than originally envisioned</t>
        </r>
      </text>
    </comment>
    <comment ref="Y233" authorId="12">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Expects Marshall's (Canada) can be a 90-100 store chain, and TJX Canada's L-T potential to be around 425.</t>
        </r>
      </text>
    </comment>
    <comment ref="AF233" authorId="8">
      <text>
        <r>
          <rPr>
            <b/>
            <sz val="8"/>
            <color indexed="81"/>
            <rFont val="Tahoma"/>
            <family val="2"/>
          </rPr>
          <t>2/11:</t>
        </r>
        <r>
          <rPr>
            <sz val="8"/>
            <color indexed="81"/>
            <rFont val="Tahoma"/>
            <family val="2"/>
          </rPr>
          <t xml:space="preserve"> Long-term, we see the potential for TJX Europe to grow to 750 to 875 stores in just our current European markets and many more beyond.
</t>
        </r>
        <r>
          <rPr>
            <b/>
            <sz val="8"/>
            <color indexed="81"/>
            <rFont val="Tahoma"/>
            <family val="2"/>
          </rPr>
          <t xml:space="preserve">
Kimberly Greenberger:</t>
        </r>
        <r>
          <rPr>
            <sz val="8"/>
            <color indexed="81"/>
            <rFont val="Tahoma"/>
            <family val="2"/>
          </rPr>
          <t xml:space="preserve">
per 4/05 10-K, so indicated it has total store potential of 300 stores in Ireland and UK</t>
        </r>
      </text>
    </comment>
    <comment ref="AM233" authorId="12">
      <text>
        <r>
          <rPr>
            <b/>
            <sz val="8"/>
            <color indexed="81"/>
            <rFont val="Tahoma"/>
            <family val="2"/>
          </rPr>
          <t>2/28/18: Guidance 100 openings including 15 HomeSense
lauraro:</t>
        </r>
        <r>
          <rPr>
            <sz val="8"/>
            <color indexed="81"/>
            <rFont val="Tahoma"/>
            <family val="2"/>
          </rPr>
          <t xml:space="preserve">
</t>
        </r>
        <r>
          <rPr>
            <b/>
            <sz val="8"/>
            <color indexed="81"/>
            <rFont val="Tahoma"/>
            <family val="2"/>
          </rPr>
          <t>2/11</t>
        </r>
        <r>
          <rPr>
            <sz val="8"/>
            <color indexed="81"/>
            <rFont val="Tahoma"/>
            <family val="2"/>
          </rPr>
          <t>: over time, TJX believes that it can nearly double the number of HomeGoods stores to at least 600</t>
        </r>
      </text>
    </comment>
    <comment ref="BA233" authorId="12">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Expects Marshall's (Canada) can be a 90-100 store chain, and TJX Canada's L-T potential to be around 425.</t>
        </r>
      </text>
    </comment>
    <comment ref="BH233" authorId="8">
      <text>
        <r>
          <rPr>
            <b/>
            <sz val="8"/>
            <color indexed="81"/>
            <rFont val="Tahoma"/>
            <family val="2"/>
          </rPr>
          <t>2/11:</t>
        </r>
        <r>
          <rPr>
            <sz val="8"/>
            <color indexed="81"/>
            <rFont val="Tahoma"/>
            <family val="2"/>
          </rPr>
          <t xml:space="preserve"> Long-term, we see the potential for TJX Europe to grow to 750 to 875 stores in just our current European markets and many more beyond.
</t>
        </r>
        <r>
          <rPr>
            <b/>
            <sz val="8"/>
            <color indexed="81"/>
            <rFont val="Tahoma"/>
            <family val="2"/>
          </rPr>
          <t xml:space="preserve">
Kimberly Greenberger:</t>
        </r>
        <r>
          <rPr>
            <sz val="8"/>
            <color indexed="81"/>
            <rFont val="Tahoma"/>
            <family val="2"/>
          </rPr>
          <t xml:space="preserve">
per 4/05 10-K, so indicated it has total store potential of 300 stores in Ireland and UK</t>
        </r>
      </text>
    </comment>
    <comment ref="BO233" authorId="12">
      <text>
        <r>
          <rPr>
            <b/>
            <sz val="8"/>
            <color indexed="81"/>
            <rFont val="Tahoma"/>
            <family val="2"/>
          </rPr>
          <t>lauraro:</t>
        </r>
        <r>
          <rPr>
            <sz val="8"/>
            <color indexed="81"/>
            <rFont val="Tahoma"/>
            <family val="2"/>
          </rPr>
          <t xml:space="preserve">
</t>
        </r>
        <r>
          <rPr>
            <b/>
            <sz val="8"/>
            <color indexed="81"/>
            <rFont val="Tahoma"/>
            <family val="2"/>
          </rPr>
          <t>2/11:</t>
        </r>
        <r>
          <rPr>
            <sz val="8"/>
            <color indexed="81"/>
            <rFont val="Tahoma"/>
            <family val="2"/>
          </rPr>
          <t xml:space="preserve"> Expects Marshall's (Canada) can be a 90-100 store chain, and TJX Canada's L-T potential to be around 425.</t>
        </r>
      </text>
    </comment>
    <comment ref="CJ233" authorId="18">
      <text>
        <r>
          <rPr>
            <b/>
            <sz val="9"/>
            <color indexed="81"/>
            <rFont val="Tahoma"/>
            <family val="2"/>
          </rPr>
          <t>Roberts, Cynthia (Research):</t>
        </r>
        <r>
          <rPr>
            <sz val="9"/>
            <color indexed="81"/>
            <rFont val="Tahoma"/>
            <family val="2"/>
          </rPr>
          <t xml:space="preserve">
2/28/18: Guidance 8 openings</t>
        </r>
      </text>
    </comment>
    <comment ref="CW233" authorId="12">
      <text>
        <r>
          <rPr>
            <b/>
            <sz val="8"/>
            <color indexed="81"/>
            <rFont val="Tahoma"/>
            <family val="2"/>
          </rPr>
          <t xml:space="preserve">2/11: </t>
        </r>
        <r>
          <rPr>
            <sz val="8"/>
            <color indexed="81"/>
            <rFont val="Tahoma"/>
            <family val="2"/>
          </rPr>
          <t>Reit 4300 LT</t>
        </r>
        <r>
          <rPr>
            <b/>
            <sz val="8"/>
            <color indexed="81"/>
            <rFont val="Tahoma"/>
            <family val="2"/>
          </rPr>
          <t xml:space="preserve">
lauraro:</t>
        </r>
        <r>
          <rPr>
            <sz val="8"/>
            <color indexed="81"/>
            <rFont val="Tahoma"/>
            <family val="2"/>
          </rPr>
          <t xml:space="preserve">
11/10: Can ultimately grow over 2800 stores today to over 4300 stores long term</t>
        </r>
      </text>
    </comment>
    <comment ref="D260" authorId="19">
      <text>
        <r>
          <rPr>
            <b/>
            <sz val="8"/>
            <color indexed="81"/>
            <rFont val="Tahoma"/>
            <family val="2"/>
          </rPr>
          <t>solejay:</t>
        </r>
        <r>
          <rPr>
            <sz val="8"/>
            <color indexed="81"/>
            <rFont val="Tahoma"/>
            <family val="2"/>
          </rPr>
          <t xml:space="preserve">
8/20/13: 2400-2600
5/20/14: 3000</t>
        </r>
      </text>
    </comment>
    <comment ref="Y260" authorId="19">
      <text>
        <r>
          <rPr>
            <b/>
            <sz val="8"/>
            <color indexed="81"/>
            <rFont val="Tahoma"/>
            <family val="2"/>
          </rPr>
          <t>solejay:</t>
        </r>
        <r>
          <rPr>
            <sz val="8"/>
            <color indexed="81"/>
            <rFont val="Tahoma"/>
            <family val="2"/>
          </rPr>
          <t xml:space="preserve">
8/20/13:  430 overall with Marshall's going to about 100
5/20/14: 450 overall in Canada</t>
        </r>
      </text>
    </comment>
    <comment ref="AF260" authorId="19">
      <text>
        <r>
          <rPr>
            <b/>
            <sz val="8"/>
            <color indexed="81"/>
            <rFont val="Tahoma"/>
            <family val="2"/>
          </rPr>
          <t>solejay:</t>
        </r>
        <r>
          <rPr>
            <sz val="8"/>
            <color indexed="81"/>
            <rFont val="Tahoma"/>
            <family val="2"/>
          </rPr>
          <t xml:space="preserve">
8/20/13: 750-875
5/20/14: 875 in existing markets</t>
        </r>
      </text>
    </comment>
    <comment ref="AM260" authorId="19">
      <text>
        <r>
          <rPr>
            <b/>
            <sz val="8"/>
            <color indexed="81"/>
            <rFont val="Tahoma"/>
            <family val="2"/>
          </rPr>
          <t>solejay:</t>
        </r>
        <r>
          <rPr>
            <sz val="8"/>
            <color indexed="81"/>
            <rFont val="Tahoma"/>
            <family val="2"/>
          </rPr>
          <t xml:space="preserve">
8/20/13: 750-825
5/20/14: 825</t>
        </r>
      </text>
    </comment>
    <comment ref="BO260" authorId="19">
      <text>
        <r>
          <rPr>
            <b/>
            <sz val="8"/>
            <color indexed="81"/>
            <rFont val="Tahoma"/>
            <family val="2"/>
          </rPr>
          <t>solejay:</t>
        </r>
        <r>
          <rPr>
            <sz val="8"/>
            <color indexed="81"/>
            <rFont val="Tahoma"/>
            <family val="2"/>
          </rPr>
          <t xml:space="preserve">
8/20/13:  430 overall with Marshall's going to about 100
5/20/14: 100 Marshall's</t>
        </r>
      </text>
    </comment>
  </commentList>
</comments>
</file>

<file path=xl/comments16.xml><?xml version="1.0" encoding="utf-8"?>
<comments xmlns="http://schemas.openxmlformats.org/spreadsheetml/2006/main">
  <authors>
    <author>John Mark Warren</author>
    <author>Leon Michaelides</author>
    <author>jccastro</author>
  </authors>
  <commentList>
    <comment ref="C31" authorId="0">
      <text>
        <r>
          <rPr>
            <sz val="8"/>
            <color indexed="81"/>
            <rFont val="Tahoma"/>
            <family val="2"/>
          </rPr>
          <t xml:space="preserve">The repayment is equal to the rent expense because the rent expense can be thought of as a payment of interest and principal  to the owner (lessor) of the asset.
</t>
        </r>
      </text>
    </comment>
    <comment ref="G35" authorId="1">
      <text>
        <r>
          <rPr>
            <sz val="8"/>
            <color indexed="81"/>
            <rFont val="Tahoma"/>
            <family val="2"/>
          </rPr>
          <t>This is assuming that the take on portfolio of leases is on average half way through their life.   Use the simple example to calculate what % this will be using the same assumptions as in the first year for this model.</t>
        </r>
      </text>
    </comment>
    <comment ref="C44" authorId="1">
      <text>
        <r>
          <rPr>
            <sz val="8"/>
            <color indexed="81"/>
            <rFont val="Tahoma"/>
            <family val="2"/>
          </rPr>
          <t>If the company only begins using operating leases during the historical periods included in the template then for first year set weighted average interest rate equal to the interest implicit in new leases signed.</t>
        </r>
      </text>
    </comment>
    <comment ref="H44" authorId="2">
      <text>
        <r>
          <rPr>
            <sz val="8"/>
            <color indexed="81"/>
            <rFont val="Tahoma"/>
            <family val="2"/>
          </rPr>
          <t>this rate is supposed to represent the average borrowing rate of the lease portfolio. If the company does not disclose this rate, you can use the regular borrowing rate of the company or the rate of capital</t>
        </r>
        <r>
          <rPr>
            <b/>
            <sz val="8"/>
            <color indexed="81"/>
            <rFont val="Tahoma"/>
            <family val="2"/>
          </rPr>
          <t xml:space="preserve"> </t>
        </r>
        <r>
          <rPr>
            <sz val="8"/>
            <color indexed="81"/>
            <rFont val="Tahoma"/>
            <family val="2"/>
          </rPr>
          <t>leases, if exists</t>
        </r>
      </text>
    </comment>
    <comment ref="H45" authorId="2">
      <text>
        <r>
          <rPr>
            <sz val="8"/>
            <color indexed="81"/>
            <rFont val="Tahoma"/>
            <family val="2"/>
          </rPr>
          <t>this rate is supposed to represent the average borrowing rate of the lease portfolio. If the company does not disclose this rate, you can use the regular borrowing rate of the company or the rate of capital</t>
        </r>
        <r>
          <rPr>
            <b/>
            <sz val="8"/>
            <color indexed="81"/>
            <rFont val="Tahoma"/>
            <family val="2"/>
          </rPr>
          <t xml:space="preserve"> </t>
        </r>
        <r>
          <rPr>
            <sz val="8"/>
            <color indexed="81"/>
            <rFont val="Tahoma"/>
            <family val="2"/>
          </rPr>
          <t>leases, if exists</t>
        </r>
      </text>
    </comment>
    <comment ref="C47" authorId="1">
      <text>
        <r>
          <rPr>
            <sz val="8"/>
            <color indexed="81"/>
            <rFont val="Tahoma"/>
            <family val="2"/>
          </rPr>
          <t xml:space="preserve">Use as an alternate method of forecasting lease payments.  Or if disclosures are available then use as a sensibility check on forecast lease payments.  </t>
        </r>
      </text>
    </comment>
    <comment ref="C51" authorId="1">
      <text>
        <r>
          <rPr>
            <sz val="8"/>
            <color indexed="81"/>
            <rFont val="Tahoma"/>
            <family val="2"/>
          </rPr>
          <t>An option if disclosure is available is to forecast lease payments per number of leased units.</t>
        </r>
      </text>
    </comment>
    <comment ref="C54" authorId="1">
      <text>
        <r>
          <rPr>
            <sz val="8"/>
            <color indexed="81"/>
            <rFont val="Tahoma"/>
            <family val="2"/>
          </rPr>
          <t>Present Value of the Increase in lease payments each year.  This is the PV of new leases signed and is equivalent to the capital spending financed through operating leases.
Either use an assumed growth rate or forecast capex explicitly.</t>
        </r>
      </text>
    </comment>
    <comment ref="H58" authorId="2">
      <text>
        <r>
          <rPr>
            <sz val="8"/>
            <color indexed="81"/>
            <rFont val="Tahoma"/>
            <family val="2"/>
          </rPr>
          <t>You can break down your lease capex into maintenance and growth, if you don't know the breakdown you can assume all capex is maintenance</t>
        </r>
      </text>
    </comment>
    <comment ref="I58" authorId="2">
      <text>
        <r>
          <rPr>
            <sz val="8"/>
            <color indexed="81"/>
            <rFont val="Tahoma"/>
            <family val="2"/>
          </rPr>
          <t>You can break down your lease capex into maintenance and growth, if you don't know the breakdown you can assume all capex is maintenance</t>
        </r>
      </text>
    </comment>
    <comment ref="J58" authorId="2">
      <text>
        <r>
          <rPr>
            <sz val="8"/>
            <color indexed="81"/>
            <rFont val="Tahoma"/>
            <family val="2"/>
          </rPr>
          <t>You can break down your lease capex into maintenance and growth, if you don't know the breakdown you can assume all capex is maintenance</t>
        </r>
      </text>
    </comment>
    <comment ref="C59" authorId="1">
      <text>
        <r>
          <rPr>
            <sz val="8"/>
            <color indexed="81"/>
            <rFont val="Tahoma"/>
            <family val="2"/>
          </rPr>
          <t>Present Value of the Increase in lease payments each year.  This is the PV of new leases signed and is equivalent to the capital spending for sustaining operations financed through operating leases.
Either use an assumed growth rate or forecast capex explicitly.</t>
        </r>
      </text>
    </comment>
    <comment ref="C60" authorId="1">
      <text>
        <r>
          <rPr>
            <sz val="8"/>
            <color indexed="81"/>
            <rFont val="Tahoma"/>
            <family val="2"/>
          </rPr>
          <t>Present Value of the Increase in lease payments each year.  This is the PV of new leases signed and is equivalent to the capital spending for growth of operations financed through operating leases.
Either use an assumed growth rate or forecast capex explicitly.</t>
        </r>
      </text>
    </comment>
    <comment ref="Q64" authorId="0">
      <text>
        <r>
          <rPr>
            <sz val="8"/>
            <color indexed="81"/>
            <rFont val="Tahoma"/>
            <family val="2"/>
          </rPr>
          <t>This is the main driver of the model. It is supposed to represent the growth rate on the rent expense and is used for growing all future payments.  When thinking about this rate, make sure it makes sense in relation to your units and/or your total operating expenses</t>
        </r>
      </text>
    </comment>
    <comment ref="R64" authorId="0">
      <text>
        <r>
          <rPr>
            <sz val="8"/>
            <color indexed="81"/>
            <rFont val="Tahoma"/>
            <family val="2"/>
          </rPr>
          <t>This is the main driver of the model. It is supposed to represent the growth rate on the rent expense and is used for growing all future payments.  When thinking about this rate, make sure it makes sense in relation to your units and/or your total operating expenses</t>
        </r>
      </text>
    </comment>
    <comment ref="S64" authorId="0">
      <text>
        <r>
          <rPr>
            <sz val="8"/>
            <color indexed="81"/>
            <rFont val="Tahoma"/>
            <family val="2"/>
          </rPr>
          <t>This is the main driver of the model. It is supposed to represent the growth rate on the rent expense and is used for growing all future payments.  When thinking about this rate, make sure it makes sense in relation to your units and/or your total operating expenses</t>
        </r>
      </text>
    </comment>
    <comment ref="C66" authorId="1">
      <text>
        <r>
          <rPr>
            <sz val="8"/>
            <color indexed="81"/>
            <rFont val="Tahoma"/>
            <family val="2"/>
          </rPr>
          <t>non cancelable leases only</t>
        </r>
      </text>
    </comment>
    <comment ref="H70" authorId="2">
      <text>
        <r>
          <rPr>
            <sz val="8"/>
            <color indexed="81"/>
            <rFont val="Tahoma"/>
            <family val="2"/>
          </rPr>
          <t xml:space="preserve">This is used for calculating the rate of depreciation for the assets added due to the leases
</t>
        </r>
      </text>
    </comment>
    <comment ref="H71" authorId="2">
      <text>
        <r>
          <rPr>
            <sz val="8"/>
            <color indexed="81"/>
            <rFont val="Tahoma"/>
            <family val="2"/>
          </rPr>
          <t>if you don't know what this is, one good approach is to calculate it taking the cumulative payments after year 5 (line 68) and dividing it by the payment in year 5 (line 81).
This row is used to distribute the remaining payments (line 68) over what is left of the lease life (starting in line 82)</t>
        </r>
      </text>
    </comment>
    <comment ref="H112" authorId="2">
      <text>
        <r>
          <rPr>
            <sz val="8"/>
            <color indexed="81"/>
            <rFont val="Tahoma"/>
            <family val="2"/>
          </rPr>
          <t xml:space="preserve">Sum of all future NPV's = </t>
        </r>
        <r>
          <rPr>
            <u/>
            <sz val="8"/>
            <color indexed="81"/>
            <rFont val="Tahoma"/>
            <family val="2"/>
          </rPr>
          <t>Initial</t>
        </r>
        <r>
          <rPr>
            <sz val="8"/>
            <color indexed="81"/>
            <rFont val="Tahoma"/>
            <family val="2"/>
          </rPr>
          <t xml:space="preserve"> debt balance</t>
        </r>
        <r>
          <rPr>
            <sz val="8"/>
            <color indexed="81"/>
            <rFont val="Tahoma"/>
            <family val="2"/>
          </rPr>
          <t xml:space="preserve">
</t>
        </r>
      </text>
    </comment>
    <comment ref="I112" authorId="2">
      <text>
        <r>
          <rPr>
            <sz val="8"/>
            <color indexed="81"/>
            <rFont val="Tahoma"/>
            <family val="2"/>
          </rPr>
          <t xml:space="preserve">Starting with this column (and all columns to the right) this calculates the </t>
        </r>
        <r>
          <rPr>
            <u/>
            <sz val="8"/>
            <color indexed="81"/>
            <rFont val="Tahoma"/>
            <family val="2"/>
          </rPr>
          <t>'additional'</t>
        </r>
        <r>
          <rPr>
            <sz val="8"/>
            <color indexed="81"/>
            <rFont val="Tahoma"/>
            <family val="2"/>
          </rPr>
          <t xml:space="preserve"> NPV value created through leases. What the formula does is compare what you thought you were going to pay last year, with what you really paid. It adjusts the period over period difference and then calculates the NPV of this difference.</t>
        </r>
        <r>
          <rPr>
            <sz val="8"/>
            <color indexed="81"/>
            <rFont val="Tahoma"/>
            <family val="2"/>
          </rPr>
          <t xml:space="preserve">
</t>
        </r>
      </text>
    </comment>
    <comment ref="H150" authorId="1">
      <text>
        <r>
          <rPr>
            <sz val="8"/>
            <color indexed="81"/>
            <rFont val="Tahoma"/>
            <family val="2"/>
          </rPr>
          <t>Pls input to estimated percentage of leased assets that would not be depreciated (i.e. land). This will be excluded from the calculation of your depreciation in the waterfall schedule. We will assume the same portion applies to all years.</t>
        </r>
      </text>
    </comment>
    <comment ref="H151" authorId="1">
      <text>
        <r>
          <rPr>
            <sz val="8"/>
            <color indexed="81"/>
            <rFont val="Tahoma"/>
            <family val="2"/>
          </rPr>
          <t xml:space="preserve">Factor to apply to smooth depreciation of the take on carrying value of leased assets.  This is used to depreciate them on a reducing balance method to simulate a portfolio where leases would roll off over time. </t>
        </r>
      </text>
    </comment>
    <comment ref="H152" authorId="2">
      <text>
        <r>
          <rPr>
            <sz val="8"/>
            <color indexed="81"/>
            <rFont val="Tahoma"/>
            <family val="2"/>
          </rPr>
          <t>This factor is between 1 and 2. It should be related to how advanced you are into your lease life (how many remaining years you have left). If you are towards the beginning of your lease life, then the factor should be close to 1 (because the asset you are recognizing is almost the same value as the original asset, if you are towards the mid point, then it should be closer to 2 times. Your input should be directly related to the input you put in cell C20.</t>
        </r>
        <r>
          <rPr>
            <sz val="8"/>
            <color indexed="81"/>
            <rFont val="Tahoma"/>
            <family val="2"/>
          </rPr>
          <t xml:space="preserve">
</t>
        </r>
      </text>
    </comment>
    <comment ref="H153" authorId="2">
      <text>
        <r>
          <rPr>
            <sz val="8"/>
            <color indexed="81"/>
            <rFont val="Tahoma"/>
            <family val="2"/>
          </rPr>
          <t>Original value of the asset recognized in the BS , excluding the portion that would not be depreciable</t>
        </r>
      </text>
    </comment>
    <comment ref="I153" authorId="2">
      <text>
        <r>
          <rPr>
            <sz val="8"/>
            <color indexed="81"/>
            <rFont val="Tahoma"/>
            <family val="2"/>
          </rPr>
          <t>total additions, except for the portion considered to be non-depreciable</t>
        </r>
      </text>
    </comment>
    <comment ref="H154" authorId="2">
      <text>
        <r>
          <rPr>
            <sz val="8"/>
            <color indexed="81"/>
            <rFont val="Tahoma"/>
            <family val="2"/>
          </rPr>
          <t>The original depreciation value is the total value of the asset divided by the total life. The total value of the asset will be affected by the multiple in cell C152. For example, if we assume we are at the mid-point of the lease life, then the multiple would be 2, which means we would multiply the asset by this factor to get to the original "book value" of the asset</t>
        </r>
        <r>
          <rPr>
            <sz val="8"/>
            <color indexed="81"/>
            <rFont val="Tahoma"/>
            <family val="2"/>
          </rPr>
          <t xml:space="preserve">
</t>
        </r>
      </text>
    </comment>
    <comment ref="I155" authorId="2">
      <text>
        <r>
          <rPr>
            <sz val="8"/>
            <color indexed="81"/>
            <rFont val="Tahoma"/>
            <family val="2"/>
          </rPr>
          <t>Depreciation of the additions, excluding the portion that is non depreciable</t>
        </r>
        <r>
          <rPr>
            <sz val="8"/>
            <color indexed="81"/>
            <rFont val="Tahoma"/>
            <family val="2"/>
          </rPr>
          <t xml:space="preserve">
</t>
        </r>
      </text>
    </comment>
  </commentList>
</comments>
</file>

<file path=xl/sharedStrings.xml><?xml version="1.0" encoding="utf-8"?>
<sst xmlns="http://schemas.openxmlformats.org/spreadsheetml/2006/main" count="5753" uniqueCount="1226">
  <si>
    <t>MS</t>
  </si>
  <si>
    <t>Variance vs.</t>
  </si>
  <si>
    <t>FINL.O,mscalc:targetPrice,,,,USD</t>
  </si>
  <si>
    <t>FINL.O,mscalc:closePriceCurrencyCalc</t>
  </si>
  <si>
    <t>BASE CASE</t>
  </si>
  <si>
    <t>2011A</t>
  </si>
  <si>
    <t>2012A</t>
  </si>
  <si>
    <t>Depreciation &amp; Amortization</t>
  </si>
  <si>
    <t>Interest and Other Exp/(Inc)</t>
  </si>
  <si>
    <t>Net Income from Operations</t>
  </si>
  <si>
    <t>Operating EPS</t>
  </si>
  <si>
    <t>Average Diluted Shares</t>
  </si>
  <si>
    <t>Comparable Store Sales</t>
  </si>
  <si>
    <t>Tax-impact non-recurrent</t>
  </si>
  <si>
    <t>BULL CASE</t>
  </si>
  <si>
    <t>Base Case Sales Comp Spread</t>
  </si>
  <si>
    <t>Bull Case Sales Comp Spread</t>
  </si>
  <si>
    <t>BEAR CASE</t>
  </si>
  <si>
    <t>Bear Case Sales Comp Spread</t>
  </si>
  <si>
    <t>INTERACTIVE</t>
  </si>
  <si>
    <t>Base</t>
  </si>
  <si>
    <t xml:space="preserve">Type "Bull / Base / Bear" here to toggle scenarios &gt;&gt; </t>
  </si>
  <si>
    <t>FINL.O,mscalc:sedolCodeCalc</t>
  </si>
  <si>
    <t>2349819</t>
  </si>
  <si>
    <t>Comp</t>
  </si>
  <si>
    <t>Total/Comp</t>
  </si>
  <si>
    <t>Spread</t>
  </si>
  <si>
    <t>(1) - (2)</t>
  </si>
  <si>
    <t>(3)</t>
  </si>
  <si>
    <t>(1)</t>
  </si>
  <si>
    <t>(2)</t>
  </si>
  <si>
    <t>No. of Stores</t>
  </si>
  <si>
    <t>(4)</t>
  </si>
  <si>
    <t>(5)</t>
  </si>
  <si>
    <t>Expansion</t>
  </si>
  <si>
    <t>(6)</t>
  </si>
  <si>
    <t>Non-Comp</t>
  </si>
  <si>
    <t>Space</t>
  </si>
  <si>
    <t>Productivity (3)/(6)</t>
  </si>
  <si>
    <t>(7)</t>
  </si>
  <si>
    <t>(8)</t>
  </si>
  <si>
    <t>Per Avg.</t>
  </si>
  <si>
    <t>(9)</t>
  </si>
  <si>
    <t>Percent</t>
  </si>
  <si>
    <t>(10)</t>
  </si>
  <si>
    <t>vs.</t>
  </si>
  <si>
    <t>Turnover Analysis</t>
  </si>
  <si>
    <t>Average (a)</t>
  </si>
  <si>
    <t>Quarter (b)</t>
  </si>
  <si>
    <t>of Quarter</t>
  </si>
  <si>
    <t>Year-to-Year Dollar Change in Working Capital</t>
  </si>
  <si>
    <t>Net income</t>
  </si>
  <si>
    <t>Depreciation and amortization</t>
  </si>
  <si>
    <t>Other non-cash adjustments</t>
  </si>
  <si>
    <t>TOTAL OPERATING SOURCES</t>
  </si>
  <si>
    <t>Uses of Cash</t>
  </si>
  <si>
    <t>Increase (decrease) in</t>
  </si>
  <si>
    <t>Inventories</t>
  </si>
  <si>
    <t xml:space="preserve">(Increase) decrease in </t>
  </si>
  <si>
    <t>Total working capital uses</t>
  </si>
  <si>
    <t>INTERNAL CASH GENERATION (FUNDS NEEDED)</t>
  </si>
  <si>
    <t>TOTAL OPERATING USES</t>
  </si>
  <si>
    <t>External Sources and Changes in Cash</t>
  </si>
  <si>
    <t>Increase in long-term debt</t>
  </si>
  <si>
    <t>Issuance of common and preferred stock</t>
  </si>
  <si>
    <t>Repurchase of stock</t>
  </si>
  <si>
    <t>Beginning cash balance</t>
  </si>
  <si>
    <t>Ending cash balance</t>
  </si>
  <si>
    <t>Increase (decrease) in cash</t>
  </si>
  <si>
    <t>Accrued liabilities and other</t>
  </si>
  <si>
    <t xml:space="preserve">       </t>
  </si>
  <si>
    <t>At January 31 of the following year</t>
  </si>
  <si>
    <t>Period</t>
  </si>
  <si>
    <t>2015E</t>
  </si>
  <si>
    <t>Marmaxx (U.S.)</t>
  </si>
  <si>
    <t>T.J. Maxx (U.S.)</t>
  </si>
  <si>
    <t>Marshalls (U.S.)</t>
  </si>
  <si>
    <t>TK Maxx (Europe)</t>
  </si>
  <si>
    <t>HomeGoods (U.S.)</t>
  </si>
  <si>
    <t>AJ Wright (U.S.)</t>
  </si>
  <si>
    <t>HomeSense (Europe)</t>
  </si>
  <si>
    <t>StyleSense (Canada)</t>
  </si>
  <si>
    <t>Depreciation</t>
  </si>
  <si>
    <t>Estimated additions to leased assets in period</t>
  </si>
  <si>
    <t>Depreciation schedule</t>
  </si>
  <si>
    <t>Assumed Average Lease Life</t>
  </si>
  <si>
    <t>Percentage of assets, non depreciable</t>
  </si>
  <si>
    <t>Fade rate for depreciation of opening balance</t>
  </si>
  <si>
    <t>Multiple to take the asset to the original book value</t>
  </si>
  <si>
    <t>Total depreciable assets</t>
  </si>
  <si>
    <t>Depreciation of take on book value</t>
  </si>
  <si>
    <t>why is total sales % less than comps</t>
  </si>
  <si>
    <t>+Net New Stores</t>
  </si>
  <si>
    <t>+ Net New Stores (check)</t>
  </si>
  <si>
    <t>The aggregate maturities of long-term debt excluding current portion as of January 29, 2005 were as follows:</t>
  </si>
  <si>
    <t>In Thousands</t>
  </si>
  <si>
    <t>Calendar Year (Fiscal Year)</t>
  </si>
  <si>
    <t>2006 (2007)</t>
  </si>
  <si>
    <t>L-T Debt</t>
  </si>
  <si>
    <t>2007 (2008)</t>
  </si>
  <si>
    <t>2008 (2009)</t>
  </si>
  <si>
    <t>2009 (2010)</t>
  </si>
  <si>
    <t>Later Years</t>
  </si>
  <si>
    <t>Deferred (loss) on settlement of derivatives (hedges, swaps, etc.)</t>
  </si>
  <si>
    <t>Restated for sale of HorM &amp; Chadwicks</t>
  </si>
  <si>
    <t>Off-Price Family Apparel</t>
  </si>
  <si>
    <t>Historical info</t>
  </si>
  <si>
    <t>Restated for</t>
  </si>
  <si>
    <t>Sale of HorM</t>
  </si>
  <si>
    <t>Net noncurrent assets of discontinued operations</t>
  </si>
  <si>
    <t>Restated for sale</t>
  </si>
  <si>
    <t>HorM and Chadwicks</t>
  </si>
  <si>
    <t xml:space="preserve">  Earnings Per Share Avail to Common Shareholders After Items and Extraordinary Charges -- Fully Diluted   (% Change)</t>
  </si>
  <si>
    <t>Accrued liabilities and other current liabilities</t>
  </si>
  <si>
    <t>Intercompany Accts/Short-term Debt</t>
  </si>
  <si>
    <t>Accumulated other comprehensive loss (Foreign currency translation adj.)</t>
  </si>
  <si>
    <t>Accrued Liabilities / SG&amp;A</t>
  </si>
  <si>
    <t>Accumulated Depreciation</t>
  </si>
  <si>
    <t>Note: Company maintains a $370mm five-year revolving credit facility started in 2002 (fiscal 2003). Also co. renewed its 364-day revolving credit facility for $220mm through July 15, 2005.</t>
  </si>
  <si>
    <t>Long-Term Contractual Obligations</t>
  </si>
  <si>
    <t>NA</t>
  </si>
  <si>
    <t>Winners (Canada)</t>
  </si>
  <si>
    <t>As of end of 2004</t>
  </si>
  <si>
    <t>EBIT</t>
  </si>
  <si>
    <t xml:space="preserve">       Tax impact non-recurr</t>
  </si>
  <si>
    <t>Jan '16</t>
  </si>
  <si>
    <t>Jan '17</t>
  </si>
  <si>
    <t>2016E</t>
  </si>
  <si>
    <t>Div</t>
  </si>
  <si>
    <t>Internet Sales</t>
  </si>
  <si>
    <t xml:space="preserve">Net Retail Sales ($MM) </t>
  </si>
  <si>
    <t>Jan '14</t>
  </si>
  <si>
    <t>Jan '15</t>
  </si>
  <si>
    <t>Bull</t>
  </si>
  <si>
    <t>Bear</t>
  </si>
  <si>
    <t>Revenue</t>
  </si>
  <si>
    <t>Equity Value</t>
  </si>
  <si>
    <t>Capital Expenditures</t>
  </si>
  <si>
    <t>Assumptions</t>
  </si>
  <si>
    <t>Multiple</t>
  </si>
  <si>
    <t>Land and buildings</t>
  </si>
  <si>
    <t>Leasehold costs and improvements</t>
  </si>
  <si>
    <t>Furniture, fixtures, and equipment</t>
  </si>
  <si>
    <t>Source:  Company reports.</t>
  </si>
  <si>
    <t xml:space="preserve">                                                                                                                        </t>
  </si>
  <si>
    <t>NM</t>
  </si>
  <si>
    <t>- Stores Closed (a)</t>
  </si>
  <si>
    <t>Avg. Sales Per Store ($MM)</t>
  </si>
  <si>
    <t>Sales Per Avg. Gross Sq. Ft.</t>
  </si>
  <si>
    <t xml:space="preserve">New Store Size (Gross Sq. Ft.) </t>
  </si>
  <si>
    <t>Assets</t>
  </si>
  <si>
    <t>Cash and equivalents</t>
  </si>
  <si>
    <t>Merchandise inventory</t>
  </si>
  <si>
    <t>TOTAL LIABILITIES</t>
  </si>
  <si>
    <t>2017E</t>
  </si>
  <si>
    <t>3.  Operating Expenses - Selling, General &amp; Administrative Expenses   (% of Sales)</t>
  </si>
  <si>
    <t xml:space="preserve">4.  Operating Income (% Operating Margin) </t>
  </si>
  <si>
    <t>7.  Income Taxes/(Credit)   (% Tax Rate)</t>
  </si>
  <si>
    <t>8.  Net Earnings   (% Change)</t>
  </si>
  <si>
    <t>Operating Income ex AJW</t>
  </si>
  <si>
    <t>Sales ex AJW</t>
  </si>
  <si>
    <t>Do Not Delete</t>
  </si>
  <si>
    <t>5.  Net Interest (Income) / Expense   (% of Sales)</t>
  </si>
  <si>
    <t>6.  Pre-Tax Income / (Loss) (% Pre-Tax Margin) / %Change</t>
  </si>
  <si>
    <t xml:space="preserve"> </t>
  </si>
  <si>
    <t># Stores</t>
  </si>
  <si>
    <t>% Increase</t>
  </si>
  <si>
    <t>check</t>
  </si>
  <si>
    <t>Notes payable</t>
  </si>
  <si>
    <t>Operating Profit</t>
  </si>
  <si>
    <t>Occupancy</t>
  </si>
  <si>
    <t>Advertising</t>
  </si>
  <si>
    <t>% Gross Margin</t>
  </si>
  <si>
    <t>Merchandise</t>
  </si>
  <si>
    <t>% Margin</t>
  </si>
  <si>
    <t>% Net Sales</t>
  </si>
  <si>
    <t>Current portion of long-term debt</t>
  </si>
  <si>
    <t xml:space="preserve">    Depreciation and Amortization   (% of Sales)</t>
  </si>
  <si>
    <t>Interest Expense/(Income)</t>
  </si>
  <si>
    <t>Tax benefit from exercise of stock options</t>
  </si>
  <si>
    <t xml:space="preserve">   % Chg. Ending Units</t>
  </si>
  <si>
    <t>n/m</t>
  </si>
  <si>
    <t>Other Operating Expenses</t>
  </si>
  <si>
    <t>9.  Extraordinary items   (% Change)</t>
  </si>
  <si>
    <t>Notes:</t>
  </si>
  <si>
    <t>Options expense is excluded from net income from 1997-2005</t>
  </si>
  <si>
    <t>3a.  Options Expense</t>
  </si>
  <si>
    <t>8.  Net Earnings before items  (% Change)</t>
  </si>
  <si>
    <t>CAGR</t>
  </si>
  <si>
    <t>2000E</t>
  </si>
  <si>
    <t>%</t>
  </si>
  <si>
    <t xml:space="preserve">   % Chg. from LY</t>
  </si>
  <si>
    <t># Stores Open BOY</t>
  </si>
  <si>
    <t>- Stores Closed</t>
  </si>
  <si>
    <t># Stores Open EOY</t>
  </si>
  <si>
    <t>Avg. # Open</t>
  </si>
  <si>
    <t>'09 &amp; Beyond: Comp Excl. F/X Impact</t>
  </si>
  <si>
    <t xml:space="preserve">   % Chg. Avg. Units</t>
  </si>
  <si>
    <t>Avg Net Sales Per Store ($MM)</t>
  </si>
  <si>
    <t>Avg. Gross Sq. Ft. (MM)</t>
  </si>
  <si>
    <t>Ending Gross Sq. Ft. (MM)</t>
  </si>
  <si>
    <t>Avg. Store Size (Gross Sq. Ft.)</t>
  </si>
  <si>
    <t>Interest</t>
  </si>
  <si>
    <t>Repayment</t>
  </si>
  <si>
    <t>Debt Issuances (Reductions)</t>
  </si>
  <si>
    <t>Implied debt</t>
  </si>
  <si>
    <t>% assets to liabilities</t>
  </si>
  <si>
    <t>Cumulative Adjustment To Equity</t>
  </si>
  <si>
    <t>Principal Paid</t>
  </si>
  <si>
    <t>Year over Year Adjustment in Equity</t>
  </si>
  <si>
    <t>Weighted average interest rate of lease portfolio</t>
  </si>
  <si>
    <t>Interest implicit in new leases signed</t>
  </si>
  <si>
    <t>Number of Units Leased</t>
  </si>
  <si>
    <t>Growth in Leased Units</t>
  </si>
  <si>
    <t>Leased Units / Total Units in Capacity (%)</t>
  </si>
  <si>
    <t>Capex per Unit</t>
  </si>
  <si>
    <t>% change in capex per unit</t>
  </si>
  <si>
    <t>Capital expenditure financed through operating leases</t>
  </si>
  <si>
    <t>Marginal Tax Rate</t>
  </si>
  <si>
    <t>% of Capital Expenditures financed through operating leases (sustainable)</t>
  </si>
  <si>
    <t>Capital expenditure financed through operating leases (Sustainable)</t>
  </si>
  <si>
    <t>Capital expenditure financed through operating leases (Growth)</t>
  </si>
  <si>
    <t>Current Year Operating Lease Payments</t>
  </si>
  <si>
    <t>YOY % Change in Current Year Operating Lease Expense</t>
  </si>
  <si>
    <t>Total Reported Lease Commitments</t>
  </si>
  <si>
    <t>Growth in Aggregate Lease Obligations</t>
  </si>
  <si>
    <t>Cumulative Payments After Year 5</t>
  </si>
  <si>
    <t>Implied Total Lease Life</t>
  </si>
  <si>
    <t>Implied Remaining Duration on Reported Lease Payments</t>
  </si>
  <si>
    <t>% of average lease life term completed</t>
  </si>
  <si>
    <t>Lease Payment Schedule - Non Cancelable Leases Only</t>
  </si>
  <si>
    <t>Current year rental payment</t>
  </si>
  <si>
    <t>Expected payments forecast year 1</t>
  </si>
  <si>
    <t>Expected payments forecast year 2</t>
  </si>
  <si>
    <t>Expected payments forecast year 3</t>
  </si>
  <si>
    <t>Expected payments forecast year 4</t>
  </si>
  <si>
    <t>Expected payments forecast year 5</t>
  </si>
  <si>
    <t>Expected payments forecast year 6</t>
  </si>
  <si>
    <t>Expected payments forecast year 7</t>
  </si>
  <si>
    <t>Expected payments forecast year 8</t>
  </si>
  <si>
    <t>Expected payments forecast year 9</t>
  </si>
  <si>
    <t>Expected payments forecast year 10</t>
  </si>
  <si>
    <t>Expected payments forecast year 11</t>
  </si>
  <si>
    <t>Expected payments forecast year 12</t>
  </si>
  <si>
    <t>Expected payments forecast year 13</t>
  </si>
  <si>
    <t>Expected payments forecast year 14</t>
  </si>
  <si>
    <t>Expected payments forecast year 15</t>
  </si>
  <si>
    <t>Expected payments forecast year 16</t>
  </si>
  <si>
    <t>Expected payments forecast year 17</t>
  </si>
  <si>
    <t>Expected payments forecast year 18</t>
  </si>
  <si>
    <t>Expected payments forecast year 19</t>
  </si>
  <si>
    <t>TJX - Ex Marmaxx/Winners</t>
  </si>
  <si>
    <t>Segment Profit</t>
  </si>
  <si>
    <t>Marmaxx/Winners</t>
  </si>
  <si>
    <t xml:space="preserve">   % Margin</t>
  </si>
  <si>
    <t>Note: 2007 EPS adds back intrusion expense of  ~3c in 1Q07 and ~25c in 2Q07 (Operating income excludes $20mm pretax charges to 1Q07 and $196mm to 2Q07 );</t>
  </si>
  <si>
    <t>4Q06 Operating income excludes a $5mm intrusion charge</t>
  </si>
  <si>
    <t>Note: 2007 Continuing EPS adds back intrusion expense of  ~3c in 1Q07 and ~25c in 2Q07 (Excludes non-recurring $20mm pretax charges to 1Q07 and $196mm to 2Q07).</t>
  </si>
  <si>
    <t xml:space="preserve">     % Operating Margin</t>
  </si>
  <si>
    <t>TJX.N</t>
  </si>
  <si>
    <t>TJX Companies Inc.</t>
  </si>
  <si>
    <t>TJX.N,mscalc:targetPrice,,,,USD</t>
  </si>
  <si>
    <t>TJX.N,mscalc:sedolCodeCalc</t>
  </si>
  <si>
    <t>TJX.N,mscalc:closePriceCurrencyCalc</t>
  </si>
  <si>
    <t>2004A</t>
  </si>
  <si>
    <t>Less than</t>
  </si>
  <si>
    <t>1 Year</t>
  </si>
  <si>
    <t>1-3</t>
  </si>
  <si>
    <t>3-5</t>
  </si>
  <si>
    <t>More than</t>
  </si>
  <si>
    <t>5 Years</t>
  </si>
  <si>
    <t>Payments Due by Year</t>
  </si>
  <si>
    <t>Long-term debt obligations</t>
  </si>
  <si>
    <t>Operating lease commitments</t>
  </si>
  <si>
    <t>Capital lease obligations</t>
  </si>
  <si>
    <t>Purchase obligations</t>
  </si>
  <si>
    <t>Short term investments</t>
  </si>
  <si>
    <t>Excludes 34 AJ Wright Stores in 2006 and beyond</t>
  </si>
  <si>
    <t>Consensus</t>
  </si>
  <si>
    <t>Upsides/Downsides</t>
  </si>
  <si>
    <t>Comp. Store Sales (A)</t>
  </si>
  <si>
    <t>historical</t>
  </si>
  <si>
    <t>General Merchandise</t>
  </si>
  <si>
    <t>Home</t>
  </si>
  <si>
    <t>9.  Earnings Per Share</t>
  </si>
  <si>
    <t>Total Segment Profit</t>
  </si>
  <si>
    <t>1. Sales</t>
  </si>
  <si>
    <t>2. Segment Profit</t>
  </si>
  <si>
    <t>3. Corporate Expense</t>
  </si>
  <si>
    <t>4. Operating Income</t>
  </si>
  <si>
    <t>5. Operating Margin</t>
  </si>
  <si>
    <t>Loss Discon Ops</t>
  </si>
  <si>
    <t>GAAP Net Earnings (If applicable)</t>
  </si>
  <si>
    <t>GAAP EPS -- Fully Diluted   (% Change)</t>
  </si>
  <si>
    <t>Non-Recurring Charges  (Pre-Tax)</t>
  </si>
  <si>
    <t>Source: Company reports and Citi Investment Research estimates.</t>
  </si>
  <si>
    <t>GAAP EPS (if different)</t>
  </si>
  <si>
    <t xml:space="preserve">    Nonrecurring Charges</t>
  </si>
  <si>
    <t xml:space="preserve">   % of Net Sales</t>
  </si>
  <si>
    <t>GAAP Net Income (if different)</t>
  </si>
  <si>
    <t>8a.  Extraordinary Items  (% Change)</t>
  </si>
  <si>
    <t>TJX Consolidated</t>
  </si>
  <si>
    <t>SALES</t>
  </si>
  <si>
    <t>Comp Stores</t>
  </si>
  <si>
    <t>New Stores</t>
  </si>
  <si>
    <t>SALES BY DIVISION</t>
  </si>
  <si>
    <t>MarMaxx</t>
  </si>
  <si>
    <t>% of TOTAL SALES</t>
  </si>
  <si>
    <t>Contribution % from:</t>
  </si>
  <si>
    <t>SALES % CHANGE</t>
  </si>
  <si>
    <t>Shares</t>
  </si>
  <si>
    <t>Turnover</t>
  </si>
  <si>
    <t>Analysis</t>
  </si>
  <si>
    <t xml:space="preserve">Excl.  </t>
  </si>
  <si>
    <t>Occup. Costs</t>
  </si>
  <si>
    <t>A</t>
  </si>
  <si>
    <t>Quarterly Analysis of Debt and Total Capital</t>
  </si>
  <si>
    <t>Market Capitalization</t>
  </si>
  <si>
    <t>2010E</t>
  </si>
  <si>
    <t>2006A</t>
  </si>
  <si>
    <t>Cash &amp; Equivalents</t>
  </si>
  <si>
    <t>Long-Term Debt</t>
  </si>
  <si>
    <t>Total Debt</t>
  </si>
  <si>
    <t>Operating Cash Flow</t>
  </si>
  <si>
    <t>Financing Cash Flow</t>
  </si>
  <si>
    <t>Net Debt (Total Debt Less Cash)</t>
  </si>
  <si>
    <t>Shareholders' Equity</t>
  </si>
  <si>
    <t>Total Capital</t>
  </si>
  <si>
    <t>Total Debt as % of Total Capital</t>
  </si>
  <si>
    <t>Net Debt as % of Total Capital</t>
  </si>
  <si>
    <t>Options Expense</t>
  </si>
  <si>
    <t>(11)</t>
  </si>
  <si>
    <t>(12)</t>
  </si>
  <si>
    <t>(13)</t>
  </si>
  <si>
    <t>Square Ft.</t>
  </si>
  <si>
    <t>(14)</t>
  </si>
  <si>
    <t>(15)</t>
  </si>
  <si>
    <t>(16)</t>
  </si>
  <si>
    <t>(17)</t>
  </si>
  <si>
    <t>Productivity (3)/(13)</t>
  </si>
  <si>
    <t>Sales (mm)</t>
  </si>
  <si>
    <t>Sales (mm, except per foot data)</t>
  </si>
  <si>
    <t>Apr-A</t>
  </si>
  <si>
    <t>Store Analysis</t>
  </si>
  <si>
    <t>Square Footage Analysis</t>
  </si>
  <si>
    <t>+ New Store Openings</t>
  </si>
  <si>
    <r>
      <t>Risks</t>
    </r>
    <r>
      <rPr>
        <sz val="10"/>
        <rFont val="Arial"/>
        <family val="2"/>
      </rPr>
      <t>: need to increase advertising $$ b/c don't have critical mass (less efficient use of ad $'s b/c of how spread out stores are)</t>
    </r>
  </si>
  <si>
    <t>NOPAT</t>
  </si>
  <si>
    <t>ROIC</t>
  </si>
  <si>
    <t>Inv. Capital</t>
  </si>
  <si>
    <t>10.  Net Earnings   (% Change)</t>
  </si>
  <si>
    <t xml:space="preserve">  10. Earnings Per Share After Items and Extraordinary Charges -- Fully Diluted   (% Change)</t>
  </si>
  <si>
    <t>Bob's Stores</t>
  </si>
  <si>
    <t>EPS if convert Dilutive</t>
  </si>
  <si>
    <t>Share count</t>
  </si>
  <si>
    <t>Winners + Homesense</t>
  </si>
  <si>
    <t>HomeSense (Canada)</t>
  </si>
  <si>
    <t>Rate</t>
  </si>
  <si>
    <t>Repurchase</t>
  </si>
  <si>
    <t>% of Net Sales</t>
  </si>
  <si>
    <t>Prepaid Expenses / Sales</t>
  </si>
  <si>
    <t>Lease Rights / Sales</t>
  </si>
  <si>
    <t>Net</t>
  </si>
  <si>
    <t>Cash Dividends Paid</t>
  </si>
  <si>
    <t>Effect of exchange rate change</t>
  </si>
  <si>
    <t>Total - Comp Spread</t>
  </si>
  <si>
    <t>Jul-A</t>
  </si>
  <si>
    <t>Return on Equity</t>
  </si>
  <si>
    <t>TJX</t>
  </si>
  <si>
    <t>TJX Companies</t>
  </si>
  <si>
    <t>Marshalls</t>
  </si>
  <si>
    <t>01/2010</t>
  </si>
  <si>
    <t>HG</t>
  </si>
  <si>
    <t>TK Maxx</t>
  </si>
  <si>
    <t>A.J. Wright</t>
  </si>
  <si>
    <t>TJ Maxx</t>
  </si>
  <si>
    <t>AJ Wright</t>
  </si>
  <si>
    <t>Marmaxx</t>
  </si>
  <si>
    <t>Homegoods</t>
  </si>
  <si>
    <t>TJX Companies Total</t>
  </si>
  <si>
    <t>T.K. Maxx</t>
  </si>
  <si>
    <t>HomeGoods</t>
  </si>
  <si>
    <t>Homesense</t>
  </si>
  <si>
    <t>Winners</t>
  </si>
  <si>
    <t>Marmaxx Group</t>
  </si>
  <si>
    <t>Segment Information</t>
  </si>
  <si>
    <t>T.J. Maxx</t>
  </si>
  <si>
    <t>Net Sales</t>
  </si>
  <si>
    <t>% Ch</t>
  </si>
  <si>
    <t>% of Total Net Sales</t>
  </si>
  <si>
    <t>Average Basic Shares</t>
  </si>
  <si>
    <t>Floor Space (Sq Ft millions)</t>
  </si>
  <si>
    <t>Statutory Tax Rate</t>
  </si>
  <si>
    <t>Federal taxes</t>
  </si>
  <si>
    <t>State Taxes</t>
  </si>
  <si>
    <t>Lease-5.16</t>
  </si>
  <si>
    <t>LEASE MODEL</t>
  </si>
  <si>
    <t>FINL.O</t>
  </si>
  <si>
    <t>SegmentID</t>
  </si>
  <si>
    <t>Template Start Year</t>
  </si>
  <si>
    <t>Reverse Rent Payment</t>
  </si>
  <si>
    <t>Add Implied Depreciation Expense</t>
  </si>
  <si>
    <t>Net Increase/(Decrease) to Pre-Tax Operating Income</t>
  </si>
  <si>
    <t>Add Estimated Interest Expense</t>
  </si>
  <si>
    <t>Net Increase/(Decrease) to Pre-tax Income</t>
  </si>
  <si>
    <t>Implied leased assets, beginning of period</t>
  </si>
  <si>
    <t xml:space="preserve">Additions </t>
  </si>
  <si>
    <t>Current year charge</t>
  </si>
  <si>
    <t>Implied leased assets</t>
  </si>
  <si>
    <t>Operating Lease Debt schedule</t>
  </si>
  <si>
    <t>Implied debt, beginning of period</t>
  </si>
  <si>
    <t>Marshalls (Canada)</t>
  </si>
  <si>
    <t>For the fiscal year ending January 31 of the following year</t>
  </si>
  <si>
    <t xml:space="preserve">Net Sales ($MM) </t>
  </si>
  <si>
    <t>Closures</t>
  </si>
  <si>
    <t>TJM</t>
  </si>
  <si>
    <t>WinHS</t>
  </si>
  <si>
    <t>TKM</t>
  </si>
  <si>
    <t>AJW</t>
  </si>
  <si>
    <t>Bob's</t>
  </si>
  <si>
    <t>HS Can</t>
  </si>
  <si>
    <t>HS Eur</t>
  </si>
  <si>
    <t>MarCan</t>
  </si>
  <si>
    <t>Openings</t>
  </si>
  <si>
    <t>TOTAL EXTERNAL SOURCES</t>
  </si>
  <si>
    <t>Total External Sources &amp; Cash</t>
  </si>
  <si>
    <t>Inventory     (Y-o-Y % Change vs. % Sales Growth)</t>
  </si>
  <si>
    <t>Equals:  "Operating" Working Capital     (Y-o-Y % Change vs. % Sales Growth)</t>
  </si>
  <si>
    <t>Check if company restated for dilutive impact of CoCo (3 years of restatement possible)</t>
  </si>
  <si>
    <t>Deferred income taxes, net</t>
  </si>
  <si>
    <t>Plus:  Receivables and Other Current Assets     (Y-o-Y % Change vs. % Sales Growth)</t>
  </si>
  <si>
    <t>Total Sales</t>
  </si>
  <si>
    <t>New Store Size (Gross Sq. Ft.)</t>
  </si>
  <si>
    <t>Square Footage</t>
  </si>
  <si>
    <t>At</t>
  </si>
  <si>
    <t>Sq. Ft.</t>
  </si>
  <si>
    <t>EBITDA</t>
  </si>
  <si>
    <t>Pretax Income</t>
  </si>
  <si>
    <t>EPS</t>
  </si>
  <si>
    <t>Gross Margin</t>
  </si>
  <si>
    <t>EBITDA Margin</t>
  </si>
  <si>
    <t>Operating Margin</t>
  </si>
  <si>
    <t>Net Margin</t>
  </si>
  <si>
    <t>Source:  Company data.</t>
  </si>
  <si>
    <t>($ millions, except inventory per sq. ft. data)</t>
  </si>
  <si>
    <t>($ millions except per-share data)</t>
  </si>
  <si>
    <t>Quarterly Results and Estimates</t>
  </si>
  <si>
    <t>Annual Results and Estimates</t>
  </si>
  <si>
    <t/>
  </si>
  <si>
    <t>Income Statement</t>
  </si>
  <si>
    <t>Cost of Goods Sold</t>
  </si>
  <si>
    <t>Gross Profit</t>
  </si>
  <si>
    <t>SG&amp;A Expense</t>
  </si>
  <si>
    <t>Depr. &amp; Amort.</t>
  </si>
  <si>
    <t xml:space="preserve">  Operating Income</t>
  </si>
  <si>
    <t xml:space="preserve">   Pretax Income</t>
  </si>
  <si>
    <t>Taxes</t>
  </si>
  <si>
    <t>Net Inc. From Ops</t>
  </si>
  <si>
    <t xml:space="preserve">Earnings Per Share </t>
  </si>
  <si>
    <t>Average Shares</t>
  </si>
  <si>
    <t xml:space="preserve">EBITDA </t>
  </si>
  <si>
    <t>Margin Analysis</t>
  </si>
  <si>
    <t xml:space="preserve">Gross Margin </t>
  </si>
  <si>
    <t>Expense Ratio</t>
  </si>
  <si>
    <t>Pretax Margin</t>
  </si>
  <si>
    <t>Tax Rate</t>
  </si>
  <si>
    <t>Year-Over-Year Growth</t>
  </si>
  <si>
    <t>Comp. Store Sales</t>
  </si>
  <si>
    <t>SG&amp;A  Expense</t>
  </si>
  <si>
    <t>Operating Income</t>
  </si>
  <si>
    <t>Earnings Per Share</t>
  </si>
  <si>
    <t>Inventory Turnover</t>
  </si>
  <si>
    <t>Total Sq Ft (millions)</t>
  </si>
  <si>
    <t>Payables / Inventory</t>
  </si>
  <si>
    <t xml:space="preserve">Avg Size </t>
  </si>
  <si>
    <t>Debt to Total capital</t>
  </si>
  <si>
    <t xml:space="preserve">Sales / Avg Sq Ft </t>
  </si>
  <si>
    <t>Expected payments forecast year 20</t>
  </si>
  <si>
    <t>Expected payments forecast year 21</t>
  </si>
  <si>
    <t>,mscalc:sedolCodeCalc</t>
  </si>
  <si>
    <t>,mscalc:closePriceCurrencyCalc</t>
  </si>
  <si>
    <t>,mscalc:targetPrice,,,,USD</t>
  </si>
  <si>
    <t>TJX.N,mscalc:targetPrice</t>
  </si>
  <si>
    <t>Expected payments forecast year 22</t>
  </si>
  <si>
    <t>Expected payments forecast year 23</t>
  </si>
  <si>
    <t>Expected payments forecast year 24</t>
  </si>
  <si>
    <t>Expected payments forecast year 25</t>
  </si>
  <si>
    <t>Expected payments forecast year 26</t>
  </si>
  <si>
    <t>Expected payments forecast year 27</t>
  </si>
  <si>
    <t>Expected payments forecast year 28</t>
  </si>
  <si>
    <t>Expected payments forecast year 29</t>
  </si>
  <si>
    <t>Expected payments forecast year 30</t>
  </si>
  <si>
    <t>Rental Payments Schedule</t>
  </si>
  <si>
    <t>Present Value of Incremental Lease Payments</t>
  </si>
  <si>
    <t>Increase in current year lease payments versus previous years expected</t>
  </si>
  <si>
    <t>Intrusion charges for add back to DataCiti EPS:</t>
  </si>
  <si>
    <t>2001A</t>
  </si>
  <si>
    <t>Source: Company reports and Morgan Stanley Research estimates.</t>
  </si>
  <si>
    <t>2989301</t>
  </si>
  <si>
    <t>06-11A</t>
  </si>
  <si>
    <t>Source: Company reports and Citigroup Investment Research estimates.</t>
  </si>
  <si>
    <t>2002A</t>
  </si>
  <si>
    <t>MEMO ACCOUNT NOT INCLUDED IN TOTAL</t>
  </si>
  <si>
    <t>57</t>
  </si>
  <si>
    <t>Adjustment</t>
  </si>
  <si>
    <t>Net Sales Per Avg Gross Sq Ft</t>
  </si>
  <si>
    <t>Comparable-Store Sales</t>
  </si>
  <si>
    <t>New Space Productivity</t>
  </si>
  <si>
    <t>Operating Profit ($MM)</t>
  </si>
  <si>
    <t xml:space="preserve">     % Margin</t>
  </si>
  <si>
    <t>TOTAL ASSETS</t>
  </si>
  <si>
    <t>F/X hit incl. in Total</t>
  </si>
  <si>
    <t>Feb</t>
  </si>
  <si>
    <t>Mar</t>
  </si>
  <si>
    <t>Apr</t>
  </si>
  <si>
    <t>Jul</t>
  </si>
  <si>
    <t>Oct</t>
  </si>
  <si>
    <t>Jan</t>
  </si>
  <si>
    <t>($ millions except per share data)</t>
  </si>
  <si>
    <t>1.  Sales</t>
  </si>
  <si>
    <t>3.  SG&amp;A Expense</t>
  </si>
  <si>
    <t xml:space="preserve">       % Margin</t>
  </si>
  <si>
    <t xml:space="preserve">       % Tax Rate</t>
  </si>
  <si>
    <t xml:space="preserve">       % Net Margin</t>
  </si>
  <si>
    <t xml:space="preserve">       % Increase</t>
  </si>
  <si>
    <t>Quarterly Operating Results and Financial Analysis</t>
  </si>
  <si>
    <t>($ in millions except per share data)</t>
  </si>
  <si>
    <t>1Q</t>
  </si>
  <si>
    <t>2Q</t>
  </si>
  <si>
    <t>3Q</t>
  </si>
  <si>
    <t>4Q</t>
  </si>
  <si>
    <t>Year</t>
  </si>
  <si>
    <t>6 Mos</t>
  </si>
  <si>
    <t>9 Mos</t>
  </si>
  <si>
    <t>2.  Cost of Goods Sold   (% Gross Margin)</t>
  </si>
  <si>
    <t>Balance Sheet</t>
  </si>
  <si>
    <t>($ in millions)</t>
  </si>
  <si>
    <t>Accounts receivable</t>
  </si>
  <si>
    <t>Deferred taxes</t>
  </si>
  <si>
    <t>Total Current Assets</t>
  </si>
  <si>
    <t>Liabilities and Shareholders' Equity</t>
  </si>
  <si>
    <t>Current Liabilities:</t>
  </si>
  <si>
    <t>Accounts payable</t>
  </si>
  <si>
    <t>Total Current Liabilities</t>
  </si>
  <si>
    <t>Shareholders' Equity:</t>
  </si>
  <si>
    <t>Common stock</t>
  </si>
  <si>
    <t>Additional paid-in capital</t>
  </si>
  <si>
    <t>Total Shareholders' Equity</t>
  </si>
  <si>
    <t>Total Long-Term Liabilities</t>
  </si>
  <si>
    <t>Balance Check</t>
  </si>
  <si>
    <t>Long-term debt</t>
  </si>
  <si>
    <t>TJX Canada (Marshall's as of 2011 and Winners (incl Homesense))</t>
  </si>
  <si>
    <t>TJX Europe</t>
  </si>
  <si>
    <t>TJX Europe (T.K. Maxx &amp; HomeSense)</t>
  </si>
  <si>
    <t>DATA</t>
  </si>
  <si>
    <t>TOTAL LIABILITIES AND S/H EQUITY</t>
  </si>
  <si>
    <t>Sales</t>
  </si>
  <si>
    <t>COGS</t>
  </si>
  <si>
    <t>SG&amp;A</t>
  </si>
  <si>
    <t>Ratio calculations:</t>
  </si>
  <si>
    <t>Net Income</t>
  </si>
  <si>
    <t>TJX.US,mscalc:epsForConsensusForThomsonFeed,2011Q4,,FYR</t>
  </si>
  <si>
    <t>#Refresh#</t>
  </si>
  <si>
    <t>TJX.N,mscalc:epsForConsensusForThomsonFeed,2011Q4,,FYR</t>
  </si>
  <si>
    <t>1.20979096461982</t>
  </si>
  <si>
    <t>,mscalc:epsForConsensusForThomsonFeed,2011FY,,FYR</t>
  </si>
  <si>
    <t>TJX.N,mscalc:epsForConsensusForThomsonFeed,2011FY,,FYR</t>
  </si>
  <si>
    <t>3.93815024994565</t>
  </si>
  <si>
    <t>A/R / Sales</t>
  </si>
  <si>
    <t>A/P / Inventory</t>
  </si>
  <si>
    <t>Merchandise Inventory / Sales</t>
  </si>
  <si>
    <t>Cash Flow Statement</t>
  </si>
  <si>
    <t>Stores Left (max potential - 2015 store count) / Saturation</t>
  </si>
  <si>
    <t>($ millions)</t>
  </si>
  <si>
    <t>$ in Millions</t>
  </si>
  <si>
    <t>2010A</t>
  </si>
  <si>
    <t>% Change</t>
  </si>
  <si>
    <t>Quarterly</t>
  </si>
  <si>
    <t>Stores</t>
  </si>
  <si>
    <t>Inventory</t>
  </si>
  <si>
    <t>Inventory vs.</t>
  </si>
  <si>
    <t>Open</t>
  </si>
  <si>
    <t>Net Sales (qtr P&amp;L)</t>
  </si>
  <si>
    <t>Op Income (qtr P&amp;L)</t>
  </si>
  <si>
    <t>Y-o-Y</t>
  </si>
  <si>
    <t>Proceeds from sale</t>
  </si>
  <si>
    <t>Cost of</t>
  </si>
  <si>
    <t>End of</t>
  </si>
  <si>
    <t>Prior</t>
  </si>
  <si>
    <t>Following</t>
  </si>
  <si>
    <t>at End</t>
  </si>
  <si>
    <t>per</t>
  </si>
  <si>
    <t>Goods Sold</t>
  </si>
  <si>
    <t>Quarter</t>
  </si>
  <si>
    <t>Average</t>
  </si>
  <si>
    <t>Prior Year</t>
  </si>
  <si>
    <t>Store</t>
  </si>
  <si>
    <t>Change</t>
  </si>
  <si>
    <t>x</t>
  </si>
  <si>
    <t>Jan '05</t>
  </si>
  <si>
    <t>Jan '07</t>
  </si>
  <si>
    <t>Jan '08</t>
  </si>
  <si>
    <t>Jan '09</t>
  </si>
  <si>
    <t>Jan '10</t>
  </si>
  <si>
    <t>Jan '11</t>
  </si>
  <si>
    <t>Jan '12</t>
  </si>
  <si>
    <t>Jan '13</t>
  </si>
  <si>
    <t>Jan '06</t>
  </si>
  <si>
    <t>(a) Cost of Goods Sold divided by average inventory for the quarter.</t>
  </si>
  <si>
    <t>(b) Following quarter's COGS divided by inventory at the end of the quarter.</t>
  </si>
  <si>
    <t>Total</t>
  </si>
  <si>
    <t>Includes 34 AJ Wright Stores</t>
  </si>
  <si>
    <t xml:space="preserve">   Tax impact non-recurr</t>
  </si>
  <si>
    <t>$</t>
  </si>
  <si>
    <t xml:space="preserve">Oct </t>
  </si>
  <si>
    <t>Retained earnings (less unearned stock compensation)</t>
  </si>
  <si>
    <t>square footage growth in binder notes</t>
  </si>
  <si>
    <t>Increase / (Decrease) notes payables, S-T debt</t>
  </si>
  <si>
    <t>avg:</t>
  </si>
  <si>
    <t>Cash &amp; Equivalents as % of Total Capital</t>
  </si>
  <si>
    <t>9a.  EPS excl Options Expense</t>
  </si>
  <si>
    <t>Annual Data (Yr-End)</t>
  </si>
  <si>
    <t>Depr and Amort</t>
  </si>
  <si>
    <t>Cash flow</t>
  </si>
  <si>
    <t>Per share</t>
  </si>
  <si>
    <t>10. Earnings Per Share After Items and Extraordinary Charges -- Fully Diluted   (% Change)</t>
  </si>
  <si>
    <t>9.  EPS from continuing operations -- Fully Diluted   (% Change)</t>
  </si>
  <si>
    <t>Marshall's Canada</t>
  </si>
  <si>
    <t>Excl. AJW sales</t>
  </si>
  <si>
    <t>TJX Canada (Winners)</t>
  </si>
  <si>
    <t>Years</t>
  </si>
  <si>
    <t>Dilutive Effect of Preferred Dividends</t>
  </si>
  <si>
    <t>Results included in general corp expense</t>
  </si>
  <si>
    <t>Prepaid expenses and other current assets</t>
  </si>
  <si>
    <t>Op Income</t>
  </si>
  <si>
    <t>Home Goods</t>
  </si>
  <si>
    <t>TJX Companies - Total</t>
  </si>
  <si>
    <t>Corp Expense</t>
  </si>
  <si>
    <t>avg</t>
  </si>
  <si>
    <t>1. Net Sales    (% Increase -- Total/Comparable Stores)</t>
  </si>
  <si>
    <t>nm</t>
  </si>
  <si>
    <t># Ch</t>
  </si>
  <si>
    <t>n/a</t>
  </si>
  <si>
    <t>% of Total</t>
  </si>
  <si>
    <t>open/</t>
  </si>
  <si>
    <t>close</t>
  </si>
  <si>
    <t>FY - Open / (Close)</t>
  </si>
  <si>
    <t>Sierra Trading Post (US)</t>
  </si>
  <si>
    <t>Sierra Trading</t>
  </si>
  <si>
    <t>Home-sense Canada</t>
  </si>
  <si>
    <t>Home-sense Europe</t>
  </si>
  <si>
    <t>Acquisitions</t>
  </si>
  <si>
    <t>Winners acquired in 1990</t>
  </si>
  <si>
    <t>Goodwill, net of amortization</t>
  </si>
  <si>
    <t>Preferred Stock</t>
  </si>
  <si>
    <t>Less:   Accounts Payables    (Y-o-Y % Change vs. % Sales Growth)</t>
  </si>
  <si>
    <t>2H</t>
  </si>
  <si>
    <t>Repo</t>
  </si>
  <si>
    <t>Shrs</t>
  </si>
  <si>
    <t>Px</t>
  </si>
  <si>
    <t>Less:  Accrued Expenses and Other     (Y-o-Y % Change vs. % Sales Growth)</t>
  </si>
  <si>
    <t>9.  Earnings Per Share from continuing operations -- Fully Diluted   (% Change)</t>
  </si>
  <si>
    <t>Property and equipment, net</t>
  </si>
  <si>
    <t>Obligation under capital lease (&lt; 1 year)</t>
  </si>
  <si>
    <t>Capital lease obligations &amp; other liabilities</t>
  </si>
  <si>
    <t>Property disposals and impairment</t>
  </si>
  <si>
    <t>Other</t>
  </si>
  <si>
    <t>Cash Per Share</t>
  </si>
  <si>
    <t>(Increase) / Decrease notes receivable</t>
  </si>
  <si>
    <t>Capital lease obligation</t>
  </si>
  <si>
    <t>Income taxes payable</t>
  </si>
  <si>
    <t>Homesens</t>
  </si>
  <si>
    <t>Divsions</t>
  </si>
  <si>
    <t>Comps</t>
  </si>
  <si>
    <t>Segment P&amp;L Information</t>
  </si>
  <si>
    <t>Check</t>
  </si>
  <si>
    <t>Restated Data</t>
  </si>
  <si>
    <t>Short-Term Debt (including current portion of long-term debt)</t>
  </si>
  <si>
    <t>Seg Op Income</t>
  </si>
  <si>
    <t>Preferred Dividends</t>
  </si>
  <si>
    <t>Net Cash Provided by Discontinued Operations</t>
  </si>
  <si>
    <t>Other assets, property under capital lease</t>
  </si>
  <si>
    <t>4.  Operating Income</t>
  </si>
  <si>
    <t>5.  Interest Expense (Income)</t>
  </si>
  <si>
    <t>6.  Pretax Income</t>
  </si>
  <si>
    <t>7.  Income Taxes</t>
  </si>
  <si>
    <t>8.  Net Income</t>
  </si>
  <si>
    <t>10.  Shares Outstanding</t>
  </si>
  <si>
    <t>Prepaid expenses and other</t>
  </si>
  <si>
    <t>Capital expenditures</t>
  </si>
  <si>
    <t>Cash Dividends</t>
  </si>
  <si>
    <t>+ New Store Openings (net from '99+)</t>
  </si>
  <si>
    <t>Square Feet</t>
  </si>
  <si>
    <t>+ Net New Stores</t>
  </si>
  <si>
    <t>% of Total Operating Income</t>
  </si>
  <si>
    <t>2.  Cost of Goods Sold</t>
  </si>
  <si>
    <t>* 1995 4Q SGA includes $35 million charge for store closures</t>
  </si>
  <si>
    <t>Historical data</t>
  </si>
  <si>
    <t>Add Back for Convertible Debt if Dilutive</t>
  </si>
  <si>
    <t>TJX-US</t>
  </si>
  <si>
    <t>This sheet contains Factset binary data for use with this workbook's =FDS codes.  Modifying the worksheet's contents may damage the workbook's =FDS functionality.</t>
  </si>
  <si>
    <t xml:space="preserve">Bob's </t>
  </si>
  <si>
    <t>Short Term Investments &amp; Other</t>
  </si>
  <si>
    <t>2H Operation Margin History</t>
  </si>
  <si>
    <t>-</t>
  </si>
  <si>
    <t>Interest Add-back</t>
  </si>
  <si>
    <t>after-tax quarterly interest expense</t>
  </si>
  <si>
    <t>Note: Net income hardcoded for 2003 and 2004 reflecting as reported numbers prior to restatement for options expense</t>
  </si>
  <si>
    <t xml:space="preserve">Total Store Count </t>
  </si>
  <si>
    <t>HomeSense</t>
  </si>
  <si>
    <t>Sq. Ft. YoY Growth</t>
  </si>
  <si>
    <t>people could be really surprised by AJ's performance this year</t>
  </si>
  <si>
    <t>end of calendar 2007 would look to decide AJ's future</t>
  </si>
  <si>
    <t>mgmt thinks can get back to peak margins at MM and Winners, maybe not at HG &amp; HS b/c of incr freight</t>
  </si>
  <si>
    <t>Bob's - they see an oppty - either get to work, could be decent sized chain (+200 stores), and gives them experience in a promo retail environ instead of off px</t>
  </si>
  <si>
    <t>EPS Added Back:</t>
  </si>
  <si>
    <t>Intrusion Add:</t>
  </si>
  <si>
    <t>Bob's - will increase promo's b/c reduced too much. Increasing W's mdse at 2 stores w/ nice positive results. Increasing % of off-px mdse in Bob's to 33% from 7% in Sept 05.</t>
  </si>
  <si>
    <t>$40mm oppty at Winners, $185mm oppty at MM, maybe $15mm oppty at TK</t>
  </si>
  <si>
    <t>TK will likely enter a new market on the continent (narrowed down to 2 markets)</t>
  </si>
  <si>
    <t>promo environ increases</t>
  </si>
  <si>
    <t xml:space="preserve">   % Chg. from LY (Avg. Sq. Ft.)</t>
  </si>
  <si>
    <t>Pension Plan Assets</t>
  </si>
  <si>
    <t>Pension Plan Obligation</t>
  </si>
  <si>
    <t>Defecit/Surplus</t>
  </si>
  <si>
    <t>Total Other Intangible Assets</t>
  </si>
  <si>
    <t>Total Other NonCurrent Tangible Assets</t>
  </si>
  <si>
    <t>Cash &amp; ST Investments Per Share</t>
  </si>
  <si>
    <t xml:space="preserve">Amortization </t>
  </si>
  <si>
    <t>Total D&amp;A</t>
  </si>
  <si>
    <t>Depreciation as % of Total D&amp;A</t>
  </si>
  <si>
    <t>Growth Capex</t>
  </si>
  <si>
    <t>Maintenance Capex</t>
  </si>
  <si>
    <t>1999A</t>
  </si>
  <si>
    <t>2000A</t>
  </si>
  <si>
    <t xml:space="preserve">Apr </t>
  </si>
  <si>
    <t xml:space="preserve">     Adjusted Rent Expense</t>
  </si>
  <si>
    <t xml:space="preserve">     Adj. Rent % of Sales</t>
  </si>
  <si>
    <t>FY</t>
  </si>
  <si>
    <t>** Discontinued Operations</t>
  </si>
  <si>
    <t>N/A</t>
  </si>
  <si>
    <t>2003A</t>
  </si>
  <si>
    <r>
      <t>10.  Average Shares Outstanding -- Fully Diluted</t>
    </r>
    <r>
      <rPr>
        <b/>
        <sz val="8"/>
        <color indexed="12"/>
        <rFont val="Arial"/>
        <family val="2"/>
      </rPr>
      <t xml:space="preserve">  </t>
    </r>
  </si>
  <si>
    <r>
      <t>10.  Average Shares Outstanding -- Fully Diluted</t>
    </r>
    <r>
      <rPr>
        <b/>
        <sz val="8"/>
        <rFont val="Arial"/>
        <family val="2"/>
      </rPr>
      <t xml:space="preserve">  </t>
    </r>
  </si>
  <si>
    <r>
      <t>Average Shares Outstanding -- Fully Diluted</t>
    </r>
    <r>
      <rPr>
        <b/>
        <sz val="8"/>
        <color indexed="12"/>
        <rFont val="Arial"/>
        <family val="2"/>
      </rPr>
      <t xml:space="preserve">  </t>
    </r>
  </si>
  <si>
    <t>Basic Shares Outstanding</t>
  </si>
  <si>
    <t>Depreciation Expense   (% of Sales)</t>
  </si>
  <si>
    <t>Weighted Average Basic Shares Outstanding</t>
  </si>
  <si>
    <t>USD</t>
  </si>
  <si>
    <t>2013A</t>
  </si>
  <si>
    <t>Unrecorded Goodwill</t>
  </si>
  <si>
    <t>ND</t>
  </si>
  <si>
    <t>Net Issuance</t>
  </si>
  <si>
    <t>Dividend</t>
  </si>
  <si>
    <t>TJX Canada</t>
  </si>
  <si>
    <t>Canada</t>
  </si>
  <si>
    <t>2005A</t>
  </si>
  <si>
    <t>2007A</t>
  </si>
  <si>
    <t>2008A</t>
  </si>
  <si>
    <t>2009A</t>
  </si>
  <si>
    <t>Modelware requirement</t>
  </si>
  <si>
    <t>Currency</t>
  </si>
  <si>
    <t>Current Stock Price</t>
  </si>
  <si>
    <t>Count</t>
  </si>
  <si>
    <t>Quarterly Analysis of "Operating" Working Capital, 1990-2011E</t>
  </si>
  <si>
    <t>2018E</t>
  </si>
  <si>
    <t>2019E</t>
  </si>
  <si>
    <t>Weighted Average Basic Shares</t>
  </si>
  <si>
    <t>Basic Shares</t>
  </si>
  <si>
    <t>Repo Price</t>
  </si>
  <si>
    <t>2014A</t>
  </si>
  <si>
    <t>F/X Impact</t>
  </si>
  <si>
    <t>Currency 1</t>
  </si>
  <si>
    <t>Currency 2</t>
  </si>
  <si>
    <t>Currency 3</t>
  </si>
  <si>
    <t>Wtd.</t>
  </si>
  <si>
    <t>Avg FX</t>
  </si>
  <si>
    <t>FX</t>
  </si>
  <si>
    <t>Trans.</t>
  </si>
  <si>
    <t>Chg</t>
  </si>
  <si>
    <t>Impact</t>
  </si>
  <si>
    <t>Effect</t>
  </si>
  <si>
    <t>Growth (ex F/X)</t>
  </si>
  <si>
    <t>Canadian $ (CAD)</t>
  </si>
  <si>
    <t>Euro</t>
  </si>
  <si>
    <t>British Pound (GBP)</t>
  </si>
  <si>
    <t>Segment</t>
  </si>
  <si>
    <t>Profit</t>
  </si>
  <si>
    <t>Wtd</t>
  </si>
  <si>
    <t xml:space="preserve">Quarter % </t>
  </si>
  <si>
    <t>of Year</t>
  </si>
  <si>
    <t>WACC</t>
  </si>
  <si>
    <t>TJX.N,mscalc:sharePriceCurrent</t>
  </si>
  <si>
    <t>$AD$2</t>
  </si>
  <si>
    <t>68.13</t>
  </si>
  <si>
    <t>Jan '18</t>
  </si>
  <si>
    <t>Jan '19</t>
  </si>
  <si>
    <t>Jan '20</t>
  </si>
  <si>
    <t>.</t>
  </si>
  <si>
    <t>2015A</t>
  </si>
  <si>
    <t>Metric</t>
  </si>
  <si>
    <t>1Q16A</t>
  </si>
  <si>
    <t>TJX International</t>
  </si>
  <si>
    <t>2020E</t>
  </si>
  <si>
    <t>PT</t>
  </si>
  <si>
    <t>2021E</t>
  </si>
  <si>
    <t>Operating Results Summary &amp; Financial Analysis, Fiscal 2004-2021E</t>
  </si>
  <si>
    <t>Multi-Year Stacks</t>
  </si>
  <si>
    <t>2 Year</t>
  </si>
  <si>
    <t>3 Year</t>
  </si>
  <si>
    <t>Analysis of Space Productivity, 1999A-2017E</t>
  </si>
  <si>
    <t>4Q16E</t>
  </si>
  <si>
    <t>1Q17A</t>
  </si>
  <si>
    <t>1Q17E</t>
  </si>
  <si>
    <t>Model</t>
  </si>
  <si>
    <t>Forecasts</t>
  </si>
  <si>
    <t>Growth</t>
  </si>
  <si>
    <t>Margin</t>
  </si>
  <si>
    <t>Operating Taxes</t>
  </si>
  <si>
    <t xml:space="preserve">  NOPAT Margin</t>
  </si>
  <si>
    <t>+Depreciation &amp; Amortization</t>
  </si>
  <si>
    <t xml:space="preserve"> Increase in WC (&amp; other NOA)</t>
  </si>
  <si>
    <t>Total Reinvestment</t>
  </si>
  <si>
    <t xml:space="preserve">  Reinvest Rate</t>
  </si>
  <si>
    <t>Free Cash Flow from Operations</t>
  </si>
  <si>
    <t>Discount Factor</t>
  </si>
  <si>
    <t>NPV of Forecasted Cash Flows</t>
  </si>
  <si>
    <t>Terminal Value</t>
  </si>
  <si>
    <t>NPV of Terminal Value</t>
  </si>
  <si>
    <t>Terminal Value Growth Rate</t>
  </si>
  <si>
    <t xml:space="preserve">Debt Balance </t>
  </si>
  <si>
    <t>Risk-Free Rate</t>
  </si>
  <si>
    <t>Cash Balance (2018E)</t>
  </si>
  <si>
    <t>Market Risk Premium</t>
  </si>
  <si>
    <t>Net Debt</t>
  </si>
  <si>
    <t>Equity Beta</t>
  </si>
  <si>
    <t>Cost of Debt (Pre-tax)</t>
  </si>
  <si>
    <t>Required Equity Return</t>
  </si>
  <si>
    <t>Cost of Debt (Post-tax @ 35%)</t>
  </si>
  <si>
    <t xml:space="preserve">Fully Diluted Shares </t>
  </si>
  <si>
    <t>Current Share Price</t>
  </si>
  <si>
    <t>Market Enterprise Value</t>
  </si>
  <si>
    <t>Sum of NPV Forecasted CFs</t>
  </si>
  <si>
    <t>Intrinsic Enterprise Value</t>
  </si>
  <si>
    <t>Less: Debt</t>
  </si>
  <si>
    <t>Plus: Cash</t>
  </si>
  <si>
    <t>Less: MV of Non-controlling Interest</t>
  </si>
  <si>
    <t>Plus: MV of Equity Investments</t>
  </si>
  <si>
    <t>Equity Value per Share</t>
  </si>
  <si>
    <t>Thomson</t>
  </si>
  <si>
    <t>2 yr Stack</t>
  </si>
  <si>
    <t>Forward Sales</t>
  </si>
  <si>
    <t>Trade Secret (TK Maxx Australia)</t>
  </si>
  <si>
    <t>12-17E</t>
  </si>
  <si>
    <t>17E-22E</t>
  </si>
  <si>
    <t>07-12A</t>
  </si>
  <si>
    <t>2022E</t>
  </si>
  <si>
    <t>Analysis of Space Productivity, 1990A-2018E</t>
  </si>
  <si>
    <t>Annual Earnings Model, Fiscal 2002A-2022E</t>
  </si>
  <si>
    <t>Annual Sales Model, Fiscal 2002A-2022E</t>
  </si>
  <si>
    <t>Quarterly Analysis of Inventory Turnover, 1990-2018E</t>
  </si>
  <si>
    <t>Intl</t>
  </si>
  <si>
    <t>4QFY2018</t>
  </si>
  <si>
    <t>86</t>
  </si>
  <si>
    <t>2017A</t>
  </si>
  <si>
    <t>MSA13041</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</si>
  <si>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</si>
  <si>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</si>
  <si>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</si>
  <si>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</si>
  <si>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</si>
  <si>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</si>
  <si>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</si>
  <si>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</si>
  <si>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Kimberly Greenberger</t>
  </si>
  <si>
    <t>Date: 20 Mar 2018</t>
  </si>
  <si>
    <t>Ticker: TJX.N</t>
  </si>
  <si>
    <t>Stock Rating: Overweight</t>
  </si>
  <si>
    <t>Industry: Retail, Off-Price</t>
  </si>
  <si>
    <t>Industry View: Attractive</t>
  </si>
  <si>
    <t>Price as of 20 Mar 2018: 81.39</t>
  </si>
  <si>
    <t>Target Price: 99</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</si>
  <si>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</si>
  <si>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</si>
  <si>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</si>
  <si>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</si>
  <si>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TJX Companies Inc..</t>
  </si>
  <si>
    <t>STOCK RATINGS</t>
  </si>
  <si>
    <t>Global Stock Ratings Distribution</t>
  </si>
  <si>
    <t>(as of February 28, 2018)</t>
  </si>
  <si>
    <t>Coverage Universe</t>
  </si>
  <si>
    <t>Investment Banking Clients (IBC)</t>
  </si>
  <si>
    <t>Other Material Investment Services Clients (MISC)</t>
  </si>
  <si>
    <t>Stock Rating Category</t>
  </si>
  <si>
    <t>% of Total IBC</t>
  </si>
  <si>
    <t>% of Rating Category</t>
  </si>
  <si>
    <t>% of Total Other MISC</t>
  </si>
  <si>
    <t>Overweight/Buy</t>
  </si>
  <si>
    <t>Equal-weight/Hold</t>
  </si>
  <si>
    <t>Not-Rated/Hold</t>
  </si>
  <si>
    <t>Underweight/Sell</t>
  </si>
  <si>
    <t>Analyst Stock Ratings</t>
  </si>
  <si>
    <t>Analyst Industry Views</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</si>
  <si>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</si>
  <si>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</si>
  <si>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</si>
  <si>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</si>
  <si>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</si>
  <si>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</si>
  <si>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</si>
  <si>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</si>
  <si>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</si>
  <si>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</si>
  <si>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</si>
  <si>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</si>
  <si>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</si>
  <si>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</si>
  <si>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</si>
  <si>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</si>
  <si>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</si>
  <si>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</si>
  <si>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</si>
  <si>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</si>
  <si>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</si>
  <si>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</si>
  <si>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</si>
  <si>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</si>
  <si>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</si>
  <si>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</si>
  <si>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</si>
  <si>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</si>
  <si>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</si>
  <si>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</si>
  <si>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</si>
  <si>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</si>
  <si>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</si>
  <si>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</si>
  <si>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</si>
  <si>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</si>
  <si>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</si>
  <si>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</si>
  <si>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</si>
  <si>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</si>
  <si>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</si>
  <si>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</si>
  <si>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</si>
  <si>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</si>
  <si>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</si>
  <si>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</si>
  <si>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</si>
  <si>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</si>
  <si>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</si>
  <si>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</si>
  <si>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</si>
  <si>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</si>
  <si>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</si>
  <si>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</si>
  <si>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</si>
  <si>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</si>
  <si>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</si>
  <si>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</si>
  <si>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</si>
  <si>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</si>
  <si>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</si>
  <si>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</si>
  <si>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</si>
  <si>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</si>
  <si>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</si>
  <si>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</si>
  <si>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</si>
  <si>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</si>
  <si>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</si>
  <si>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</si>
  <si>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</si>
  <si>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</si>
  <si>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</si>
  <si>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</si>
  <si>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</si>
  <si>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</si>
  <si>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</si>
  <si>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</si>
  <si>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</si>
  <si>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</si>
  <si>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</si>
  <si>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</si>
  <si>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</si>
  <si>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</si>
  <si>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</si>
  <si>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</si>
  <si>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</si>
  <si>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</si>
  <si>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</si>
  <si>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</si>
  <si>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</si>
  <si>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</si>
  <si>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</si>
  <si>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</si>
  <si>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</si>
  <si>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</si>
  <si>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</si>
  <si>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</si>
  <si>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</si>
  <si>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</si>
  <si>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</si>
  <si>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</si>
  <si>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</si>
  <si>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</si>
  <si>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</si>
  <si>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</si>
  <si>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</si>
  <si>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</si>
  <si>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</si>
  <si>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</si>
  <si>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</si>
  <si>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</si>
  <si>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</si>
  <si>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</si>
  <si>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</si>
  <si>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</si>
  <si>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</si>
  <si>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</si>
  <si>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</si>
  <si>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</si>
  <si>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</si>
  <si>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</si>
  <si>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</si>
  <si>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</si>
  <si>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</si>
  <si>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</si>
  <si>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</si>
  <si>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</si>
  <si>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</si>
  <si>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</si>
  <si>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</si>
  <si>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</si>
  <si>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</si>
  <si>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</si>
  <si>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</si>
  <si>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</si>
  <si>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</si>
  <si>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</si>
  <si>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</si>
  <si>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</si>
  <si>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</si>
  <si>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</si>
  <si>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</si>
  <si>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</si>
  <si>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</si>
  <si>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</si>
  <si>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</si>
  <si>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</si>
  <si>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</si>
  <si>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</si>
  <si>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</si>
  <si>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</si>
  <si>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</si>
  <si>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</si>
  <si>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</si>
  <si>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</si>
  <si>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</si>
  <si>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</si>
  <si>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TJX Companies Inc..</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</si>
  <si>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</si>
  <si>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</si>
  <si>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</si>
  <si>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</si>
  <si>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</si>
  <si>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</si>
  <si>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</si>
  <si>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</si>
  <si>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</si>
  <si>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</si>
  <si>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</si>
  <si>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</si>
  <si>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</si>
  <si>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</si>
  <si>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</si>
  <si>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</si>
  <si>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</si>
  <si>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</si>
  <si>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</si>
  <si>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</si>
  <si>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</si>
  <si>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</si>
  <si>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</si>
  <si>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</si>
  <si>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</si>
  <si>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</si>
  <si>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</si>
  <si>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</si>
  <si>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</si>
  <si>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</si>
  <si>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</si>
  <si>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</si>
  <si>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</si>
  <si>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</si>
  <si>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</si>
  <si>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</si>
  <si>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</si>
  <si>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</si>
  <si>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</si>
  <si>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</si>
  <si>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</si>
  <si>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</si>
  <si>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</si>
  <si>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</si>
  <si>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</si>
  <si>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</si>
  <si>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</si>
  <si>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</si>
  <si>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</si>
  <si>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</si>
  <si>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</si>
  <si>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</si>
  <si>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</si>
  <si>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</si>
  <si>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</si>
  <si>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</si>
  <si>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</si>
  <si>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</si>
  <si>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</si>
  <si>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</si>
  <si>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</si>
  <si>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</si>
  <si>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</si>
  <si>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</si>
  <si>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</si>
  <si>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</si>
  <si>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</si>
  <si>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</si>
  <si>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TJX Companies Inc..</t>
  </si>
  <si>
    <t>Within the last 12 months, Morgan Stanley has provided or is providing investment banking services to,</t>
  </si>
  <si>
    <t>or has an investment banking client relationship with, the following company: TJX Companies Inc..</t>
  </si>
  <si>
    <t>In the next 3 months, Morgan Stanley expects to receive or intends to seek compensation for investment</t>
  </si>
  <si>
    <t>banking services from TJX Companies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</si>
  <si>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</si>
  <si>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</si>
  <si>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</si>
  <si>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</si>
  <si>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</si>
  <si>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Kimberly C Greenberger.</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</si>
  <si>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</si>
  <si>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</si>
  <si>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</si>
  <si>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</si>
  <si>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</si>
  <si>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</si>
  <si>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</si>
  <si>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</si>
  <si>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</si>
  <si>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</si>
  <si>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</si>
  <si>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</si>
  <si>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</si>
  <si>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</si>
  <si>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</si>
  <si>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</si>
  <si>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</si>
  <si>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</si>
  <si>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</si>
  <si>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</si>
  <si>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</si>
  <si>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</si>
  <si>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</si>
  <si>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</si>
  <si>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</si>
  <si>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</si>
  <si>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</si>
  <si>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</si>
  <si>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</si>
  <si>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</si>
  <si>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</si>
  <si>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</si>
  <si>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</si>
  <si>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</si>
  <si>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</si>
  <si>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</si>
  <si>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</si>
  <si>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</si>
  <si>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</si>
  <si>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</si>
  <si>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</si>
  <si>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</si>
  <si>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</si>
  <si>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</si>
  <si>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</si>
  <si>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</si>
  <si>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</si>
  <si>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</si>
  <si>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</si>
  <si>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</si>
  <si>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</si>
  <si>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</si>
  <si>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</si>
  <si>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</si>
  <si>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</si>
  <si>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</si>
  <si>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</si>
  <si>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</si>
  <si>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</si>
  <si>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</si>
  <si>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</si>
  <si>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</si>
  <si>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</si>
  <si>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</si>
  <si>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</si>
  <si>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</si>
  <si>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</si>
  <si>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Attractive</t>
  </si>
  <si>
    <t>Regular Update</t>
  </si>
  <si>
    <t>NorthAmerica</t>
  </si>
  <si>
    <t>robertcy</t>
  </si>
  <si>
    <t>L:\RETAIL\Greenberger\Companies\TJX\Models\TJX.xlsm</t>
  </si>
  <si>
    <t>[BRO MSA]</t>
  </si>
  <si>
    <t>[PRODUCT MODEL]</t>
  </si>
  <si>
    <t>[EMAIL_ALERT YES]</t>
  </si>
  <si>
    <t>[DISCIPLINE Company]</t>
  </si>
  <si>
    <t>[SUPPRESSED NO]</t>
  </si>
  <si>
    <t>[DOCDAT 2018-03-20]</t>
  </si>
  <si>
    <t>[DOCTIME 08:09]</t>
  </si>
  <si>
    <t>[PSYM TJX.N(S&amp;P) (None)]</t>
  </si>
  <si>
    <t>[COU 1]</t>
  </si>
  <si>
    <t>[ANA ]</t>
  </si>
  <si>
    <t>[HL TJX.N Model]</t>
  </si>
  <si>
    <t>[IND RETSPA]</t>
  </si>
  <si>
    <t>[PANA MSA13041]</t>
  </si>
</sst>
</file>

<file path=xl/styles.xml><?xml version="1.0" encoding="utf-8"?>
<styleSheet xmlns="http://schemas.openxmlformats.org/spreadsheetml/2006/main" xmlns:mc="http://schemas.openxmlformats.org/markup-compatibility/2006" xmlns:x14ac="http://schemas.microsoft.com/office/spreadsheetml/2009/9/ac" mc:Ignorable="x14ac">
  <numFmts count="107">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0.0"/>
    <numFmt numFmtId="165" formatCode="0.0"/>
    <numFmt numFmtId="166" formatCode="0.0%"/>
    <numFmt numFmtId="167" formatCode="#,##0.0;\(#,##0.0\)"/>
    <numFmt numFmtId="168" formatCode="#,##0.0_);\(#,##0.0\)"/>
    <numFmt numFmtId="169" formatCode="#,##0.0000_);[Red]\(#,##0.0000\)"/>
    <numFmt numFmtId="170" formatCode="#,##0.0_);[Red]\(#,##0.0\)"/>
    <numFmt numFmtId="171" formatCode="0.000"/>
    <numFmt numFmtId="172" formatCode="&quot;$&quot;#,##0.0_);[Red]\(&quot;$&quot;#,##0.0\)"/>
    <numFmt numFmtId="173" formatCode="&quot;$&quot;#,##0.0_);\(&quot;$&quot;#,##0.0\)"/>
    <numFmt numFmtId="174" formatCode="0.000000"/>
    <numFmt numFmtId="175" formatCode="#,##0.0000"/>
    <numFmt numFmtId="176" formatCode="_(* #,##0.0_);_(* \(#,##0.0\);_(* &quot;-&quot;??_);_(@_)"/>
    <numFmt numFmtId="177" formatCode="0.0000000"/>
    <numFmt numFmtId="178" formatCode="&quot;$&quot;#,##0.00"/>
    <numFmt numFmtId="179" formatCode="&quot;$&quot;#,##0"/>
    <numFmt numFmtId="180" formatCode="General_)"/>
    <numFmt numFmtId="181" formatCode="0.0_)"/>
    <numFmt numFmtId="182" formatCode="&quot;$&quot;#,##0.0"/>
    <numFmt numFmtId="183" formatCode="0.0_);\(0.0\)"/>
    <numFmt numFmtId="184" formatCode="_(* #,##0.0000_);_(* \(#,##0.0000\);_(* &quot;-&quot;??_);_(@_)"/>
    <numFmt numFmtId="185" formatCode="0_);\(0\)"/>
    <numFmt numFmtId="186" formatCode="&quot;$&quot;#,##0.000_);\(&quot;$&quot;#,##0.000\)"/>
    <numFmt numFmtId="187" formatCode="mm/dd/yy_)"/>
    <numFmt numFmtId="188" formatCode="&quot;$&quot;#,##0.0\ ;[Red]\(&quot;$&quot;#,##0.0\)"/>
    <numFmt numFmtId="189" formatCode="0.0%;\(0.0%\)"/>
    <numFmt numFmtId="190" formatCode="\(0.0\)"/>
    <numFmt numFmtId="191" formatCode="\+0.0;\-0.0"/>
    <numFmt numFmtId="193" formatCode="0.000_)"/>
    <numFmt numFmtId="194" formatCode="&quot;$&quot;#,##0.000"/>
    <numFmt numFmtId="195" formatCode="####\A"/>
    <numFmt numFmtId="196" formatCode="\/0.0;\/\-0.0"/>
    <numFmt numFmtId="197" formatCode="####&quot;E&quot;"/>
    <numFmt numFmtId="198" formatCode="#,##0.0\ ;\(#,##0.0\)"/>
    <numFmt numFmtId="199" formatCode="#,##0.0\ ;[Red]\(#,##0.0\)"/>
    <numFmt numFmtId="200" formatCode="0.0_);[Red]\(0.0\)"/>
    <numFmt numFmtId="201" formatCode="0_);[Red]\(0\)"/>
    <numFmt numFmtId="202" formatCode="\+0;\-0"/>
    <numFmt numFmtId="203" formatCode="#,##0.000_);\(#,##0.000\)"/>
    <numFmt numFmtId="204" formatCode="#,##0.000_);[Red]\(#,##0.000\)"/>
    <numFmt numFmtId="205" formatCode="\/0\)"/>
    <numFmt numFmtId="206" formatCode="&quot;$&quot;#,##0.000_);[Red]\(&quot;$&quot;#,##0.000\)"/>
    <numFmt numFmtId="207" formatCode="#,##0.0000_);\(#,##0.0000\)"/>
    <numFmt numFmtId="208" formatCode="\/\+0\);\/\-0\);"/>
    <numFmt numFmtId="209" formatCode="\/\+0\);\/\-0\);\/\ 0\)"/>
    <numFmt numFmtId="210" formatCode="&quot;$&quot;#,##0.0;\(&quot;$&quot;#,##0.0\)"/>
    <numFmt numFmtId="211" formatCode="#,##0.0;\(&quot;$&quot;#,##0.0\)"/>
    <numFmt numFmtId="212" formatCode="0.0\ \/;\-0.0\ \/"/>
    <numFmt numFmtId="213" formatCode="0.0;\-0.0"/>
    <numFmt numFmtId="214" formatCode="0\ \/;\-0\ \/"/>
    <numFmt numFmtId="215" formatCode="0;\-0"/>
    <numFmt numFmtId="216" formatCode="###0\A"/>
    <numFmt numFmtId="217" formatCode="###0&quot;E&quot;"/>
    <numFmt numFmtId="218" formatCode="0;\(0\)"/>
    <numFmt numFmtId="219" formatCode="0_)"/>
    <numFmt numFmtId="220" formatCode="&quot;$&quot;#,##0;\(&quot;$&quot;#,##0\)"/>
    <numFmt numFmtId="221" formatCode="&quot;n/a&quot;"/>
    <numFmt numFmtId="222" formatCode="\+0.00;\-0.00"/>
    <numFmt numFmtId="223" formatCode="####\E"/>
    <numFmt numFmtId="224" formatCode="\+0.000;\-0.000"/>
    <numFmt numFmtId="225" formatCode="_(* #,##0_);_(* \(#,##0\);_(* &quot;-&quot;??_);_(@_)"/>
    <numFmt numFmtId="226" formatCode="m/d/yy;@"/>
    <numFmt numFmtId="229" formatCode="\(0\)"/>
    <numFmt numFmtId="231" formatCode="\(0.00\)"/>
    <numFmt numFmtId="232" formatCode="_(* #,##0.000_);_(* \(#,##0.000\);_(* &quot;-&quot;??_);_(@_)"/>
    <numFmt numFmtId="233" formatCode="_(&quot;$&quot;* #,##0.0_);_(&quot;$&quot;* \(#,##0.0\);_(&quot;$&quot;* &quot;-&quot;??_);_(@_)"/>
    <numFmt numFmtId="234" formatCode="0.00_);\(0.00\)"/>
    <numFmt numFmtId="235" formatCode="####&quot;A&quot;"/>
    <numFmt numFmtId="237" formatCode="###0&quot;A&quot;"/>
    <numFmt numFmtId="238" formatCode="&quot;$&quot;#,##0.00;\(&quot;$&quot;#,##0.00\)"/>
    <numFmt numFmtId="240" formatCode="0.000%"/>
    <numFmt numFmtId="241" formatCode="_-&quot;£&quot;* #,##0.00_-;\-&quot;£&quot;* #,##0.00_-;_-&quot;£&quot;* &quot;-&quot;??_-;_-@_-"/>
    <numFmt numFmtId="242" formatCode="_-* #,##0.00_-;\-* #,##0.00_-;_-* &quot;-&quot;??_-;_-@_-"/>
    <numFmt numFmtId="256" formatCode="0\ &quot;bps&quot;"/>
    <numFmt numFmtId="260" formatCode="#,##0.0000000000000_);[Red]\(#,##0.0000000000000\)"/>
    <numFmt numFmtId="261" formatCode="#,##0.00;\(&quot;$&quot;#,##0.00\)"/>
    <numFmt numFmtId="263" formatCode="&quot;$&quot;#,##0.00\ ;[Red]\(&quot;$&quot;#,##0.00\)"/>
    <numFmt numFmtId="264" formatCode="#,##0;\(#,##0\)"/>
    <numFmt numFmtId="265" formatCode="\F###0\A"/>
    <numFmt numFmtId="266" formatCode="\F###0\E"/>
    <numFmt numFmtId="267" formatCode="###0"/>
    <numFmt numFmtId="268" formatCode="\F###0"/>
    <numFmt numFmtId="269" formatCode="###0.00"/>
    <numFmt numFmtId="270" formatCode="###0.0"/>
    <numFmt numFmtId="278" formatCode="_(&quot;$&quot;* #,##0.0_);_(&quot;$&quot;* \(#,##0.0\);_(&quot;$&quot;* &quot;-&quot;?_);_(@_)"/>
    <numFmt numFmtId="279" formatCode="&quot;$&quot;#,##0.000;\(&quot;$&quot;#,##0.000\)"/>
    <numFmt numFmtId="280" formatCode="&quot;$&quot;#,##0.00_)&quot; e&quot;;[Red]\(&quot;$&quot;#,##0.00\)&quot; e&quot;"/>
    <numFmt numFmtId="281" formatCode="#,##0.00_)&quot; e&quot;;[Red]\(#,##0.00\)&quot; e&quot;"/>
    <numFmt numFmtId="282" formatCode="_(&quot;$&quot;* #,##0_);_(&quot;$&quot;* \(#,##0\);_(&quot;$&quot;* &quot;-&quot;??_);_(@_)"/>
    <numFmt numFmtId="283" formatCode="0.0%_);\(0.0%\);&quot;–&quot;_)"/>
    <numFmt numFmtId="284" formatCode="#,##0.000"/>
    <numFmt numFmtId="285" formatCode="0.0000"/>
    <numFmt numFmtId="286" formatCode="&quot;$&quot;#,##0.0000_);[Red]\(&quot;$&quot;#,##0.0000\)"/>
    <numFmt numFmtId="287" formatCode="0000&quot;E&quot;"/>
    <numFmt numFmtId="288" formatCode="0.00000_);\(0.00000\)"/>
    <numFmt numFmtId="290" formatCode="#,##0.000;\(&quot;$&quot;#,##0.000\)"/>
    <numFmt numFmtId="291" formatCode="\/\+0.0\);\/\-0.0\);\/\ 0.0\)"/>
    <numFmt numFmtId="292" formatCode="0.00000000"/>
    <numFmt numFmtId="293" formatCode="\/\+0.00\);\/\-0.00\);\/\ 0.00\)"/>
    <numFmt numFmtId="294" formatCode="General&quot;E&quot;"/>
    <numFmt numFmtId="300" formatCode="mm/dd/yy\ hh:mm"/>
  </numFmts>
  <fonts count="200">
    <font>
      <sz val="10"/>
      <name val="Arial"/>
    </font>
    <font>
      <sz val="11"/>
      <color theme="1"/>
      <name val="Calibri"/>
      <family val="2"/>
      <scheme val="minor"/>
    </font>
    <font>
      <sz val="10"/>
      <name val="Arial"/>
      <family val="2"/>
    </font>
    <font>
      <sz val="10"/>
      <name val="MS Sans Serif"/>
      <family val="2"/>
    </font>
    <font>
      <sz val="10"/>
      <name val="Helv"/>
    </font>
    <font>
      <sz val="10"/>
      <name val="Courier"/>
      <family val="3"/>
    </font>
    <font>
      <sz val="8"/>
      <name val="Arial"/>
      <family val="2"/>
    </font>
    <font>
      <sz val="7"/>
      <name val="Courier"/>
      <family val="3"/>
    </font>
    <font>
      <sz val="8"/>
      <name val="Helv"/>
    </font>
    <font>
      <u/>
      <sz val="10"/>
      <name val="Helv"/>
    </font>
    <font>
      <sz val="10"/>
      <name val="Arial"/>
      <family val="2"/>
    </font>
    <font>
      <b/>
      <sz val="8"/>
      <name val="Arial"/>
      <family val="2"/>
    </font>
    <font>
      <b/>
      <sz val="10"/>
      <name val="Arial"/>
      <family val="2"/>
    </font>
    <font>
      <sz val="10"/>
      <color indexed="12"/>
      <name val="Arial"/>
      <family val="2"/>
    </font>
    <font>
      <i/>
      <sz val="8"/>
      <name val="Arial"/>
      <family val="2"/>
    </font>
    <font>
      <b/>
      <u/>
      <sz val="8"/>
      <name val="Arial"/>
      <family val="2"/>
    </font>
    <font>
      <b/>
      <sz val="8"/>
      <color indexed="12"/>
      <name val="Arial"/>
      <family val="2"/>
    </font>
    <font>
      <b/>
      <u/>
      <sz val="8"/>
      <color indexed="12"/>
      <name val="Arial"/>
      <family val="2"/>
    </font>
    <font>
      <sz val="8"/>
      <color indexed="12"/>
      <name val="Arial"/>
      <family val="2"/>
    </font>
    <font>
      <sz val="8"/>
      <color indexed="81"/>
      <name val="Tahoma"/>
      <family val="2"/>
    </font>
    <font>
      <b/>
      <sz val="8"/>
      <color indexed="81"/>
      <name val="Tahoma"/>
      <family val="2"/>
    </font>
    <font>
      <b/>
      <sz val="10"/>
      <color indexed="12"/>
      <name val="Arial"/>
      <family val="2"/>
    </font>
    <font>
      <sz val="8"/>
      <color indexed="10"/>
      <name val="Arial"/>
      <family val="2"/>
    </font>
    <font>
      <b/>
      <u/>
      <sz val="10"/>
      <name val="Arial"/>
      <family val="2"/>
    </font>
    <font>
      <sz val="9"/>
      <name val="Arial"/>
      <family val="2"/>
    </font>
    <font>
      <sz val="10"/>
      <color indexed="10"/>
      <name val="Arial"/>
      <family val="2"/>
    </font>
    <font>
      <sz val="8"/>
      <color indexed="8"/>
      <name val="Arial"/>
      <family val="2"/>
    </font>
    <font>
      <u/>
      <sz val="8"/>
      <name val="Arial"/>
      <family val="2"/>
    </font>
    <font>
      <sz val="8"/>
      <color indexed="57"/>
      <name val="Arial"/>
      <family val="2"/>
    </font>
    <font>
      <i/>
      <sz val="10"/>
      <name val="Arial"/>
      <family val="2"/>
    </font>
    <font>
      <b/>
      <sz val="10"/>
      <name val="Arial"/>
      <family val="2"/>
    </font>
    <font>
      <b/>
      <sz val="12"/>
      <name val="Arial"/>
      <family val="2"/>
    </font>
    <font>
      <b/>
      <sz val="8"/>
      <color indexed="10"/>
      <name val="Arial"/>
      <family val="2"/>
    </font>
    <font>
      <b/>
      <sz val="9"/>
      <name val="Arial"/>
      <family val="2"/>
    </font>
    <font>
      <b/>
      <sz val="8"/>
      <color indexed="81"/>
      <name val="Arial"/>
      <family val="2"/>
    </font>
    <font>
      <sz val="8"/>
      <color indexed="81"/>
      <name val="Arial"/>
      <family val="2"/>
    </font>
    <font>
      <i/>
      <sz val="6"/>
      <name val="Arial"/>
      <family val="2"/>
    </font>
    <font>
      <i/>
      <sz val="6"/>
      <color indexed="10"/>
      <name val="Arial"/>
      <family val="2"/>
    </font>
    <font>
      <sz val="7"/>
      <name val="Comic Sans MS"/>
      <family val="4"/>
    </font>
    <font>
      <sz val="8"/>
      <name val="Comic Sans MS"/>
      <family val="4"/>
    </font>
    <font>
      <b/>
      <sz val="10"/>
      <name val="Comic Sans MS"/>
      <family val="4"/>
    </font>
    <font>
      <b/>
      <sz val="8"/>
      <name val="Comic Sans MS"/>
      <family val="4"/>
    </font>
    <font>
      <i/>
      <sz val="8"/>
      <name val="Comic Sans MS"/>
      <family val="4"/>
    </font>
    <font>
      <sz val="10"/>
      <name val="Comic Sans MS"/>
      <family val="4"/>
    </font>
    <font>
      <sz val="8"/>
      <color indexed="12"/>
      <name val="Comic Sans MS"/>
      <family val="4"/>
    </font>
    <font>
      <i/>
      <sz val="8"/>
      <color indexed="12"/>
      <name val="Comic Sans MS"/>
      <family val="4"/>
    </font>
    <font>
      <sz val="8"/>
      <color indexed="10"/>
      <name val="Comic Sans MS"/>
      <family val="4"/>
    </font>
    <font>
      <b/>
      <u/>
      <sz val="7"/>
      <name val="Comic Sans MS"/>
      <family val="4"/>
    </font>
    <font>
      <b/>
      <sz val="7"/>
      <name val="Comic Sans MS"/>
      <family val="4"/>
    </font>
    <font>
      <b/>
      <sz val="7"/>
      <color indexed="81"/>
      <name val="Arial"/>
      <family val="2"/>
    </font>
    <font>
      <sz val="7"/>
      <color indexed="81"/>
      <name val="Arial"/>
      <family val="2"/>
    </font>
    <font>
      <b/>
      <sz val="8"/>
      <color indexed="50"/>
      <name val="Arial"/>
      <family val="2"/>
    </font>
    <font>
      <sz val="8"/>
      <color indexed="21"/>
      <name val="Arial"/>
      <family val="2"/>
    </font>
    <font>
      <b/>
      <i/>
      <sz val="10"/>
      <name val="Arial"/>
      <family val="2"/>
    </font>
    <font>
      <b/>
      <i/>
      <sz val="8"/>
      <name val="Arial"/>
      <family val="2"/>
    </font>
    <font>
      <sz val="8"/>
      <color indexed="56"/>
      <name val="Arial"/>
      <family val="2"/>
    </font>
    <font>
      <sz val="8"/>
      <name val="Arial"/>
      <family val="2"/>
    </font>
    <font>
      <i/>
      <sz val="9"/>
      <name val="Arial"/>
      <family val="2"/>
    </font>
    <font>
      <b/>
      <sz val="8"/>
      <color indexed="12"/>
      <name val="Comic Sans MS"/>
      <family val="4"/>
    </font>
    <font>
      <sz val="10"/>
      <color indexed="81"/>
      <name val="Tahoma"/>
      <family val="2"/>
    </font>
    <font>
      <b/>
      <sz val="10"/>
      <color indexed="81"/>
      <name val="Tahoma"/>
      <family val="2"/>
    </font>
    <font>
      <sz val="8"/>
      <color indexed="17"/>
      <name val="Arial"/>
      <family val="2"/>
    </font>
    <font>
      <sz val="10"/>
      <color indexed="8"/>
      <name val="Arial"/>
      <family val="2"/>
    </font>
    <font>
      <u/>
      <sz val="10"/>
      <name val="Arial"/>
      <family val="2"/>
    </font>
    <font>
      <sz val="10"/>
      <color indexed="17"/>
      <name val="Arial"/>
      <family val="2"/>
    </font>
    <font>
      <i/>
      <u/>
      <sz val="9"/>
      <name val="Arial"/>
      <family val="2"/>
    </font>
    <font>
      <sz val="10"/>
      <color indexed="56"/>
      <name val="Arial"/>
      <family val="2"/>
    </font>
    <font>
      <i/>
      <sz val="10"/>
      <color indexed="12"/>
      <name val="Arial"/>
      <family val="2"/>
    </font>
    <font>
      <b/>
      <u/>
      <sz val="9"/>
      <name val="Arial"/>
      <family val="2"/>
    </font>
    <font>
      <b/>
      <sz val="10"/>
      <color indexed="9"/>
      <name val="Arial"/>
      <family val="2"/>
    </font>
    <font>
      <b/>
      <sz val="8"/>
      <color indexed="21"/>
      <name val="Arial"/>
      <family val="2"/>
    </font>
    <font>
      <sz val="9"/>
      <name val="Futura UBS Bk"/>
    </font>
    <font>
      <i/>
      <sz val="10"/>
      <color indexed="9"/>
      <name val="Arial"/>
      <family val="2"/>
    </font>
    <font>
      <sz val="10"/>
      <color indexed="9"/>
      <name val="Arial"/>
      <family val="2"/>
    </font>
    <font>
      <b/>
      <sz val="8"/>
      <color indexed="17"/>
      <name val="Arial"/>
      <family val="2"/>
    </font>
    <font>
      <u/>
      <sz val="8"/>
      <color indexed="81"/>
      <name val="Tahoma"/>
      <family val="2"/>
    </font>
    <font>
      <b/>
      <sz val="10"/>
      <name val="CIR Trade Gothic Cn"/>
    </font>
    <font>
      <sz val="10"/>
      <color indexed="8"/>
      <name val="CIR Trade Gothic Cn"/>
    </font>
    <font>
      <sz val="10"/>
      <name val="CIR Trade Gothic Cn"/>
    </font>
    <font>
      <b/>
      <sz val="10"/>
      <color indexed="12"/>
      <name val="CIR Trade Gothic Cn"/>
    </font>
    <font>
      <sz val="8"/>
      <color indexed="8"/>
      <name val="CIR Trade Gothic Cn"/>
    </font>
    <font>
      <sz val="8"/>
      <name val="CIR Trade Gothic Cn"/>
    </font>
    <font>
      <b/>
      <u/>
      <sz val="8"/>
      <color indexed="8"/>
      <name val="CIR Trade Gothic Cn"/>
    </font>
    <font>
      <sz val="10"/>
      <color indexed="12"/>
      <name val="CIR Trade Gothic Cn"/>
    </font>
    <font>
      <sz val="10"/>
      <color indexed="22"/>
      <name val="CIR Trade Gothic Cn"/>
    </font>
    <font>
      <sz val="9"/>
      <color indexed="10"/>
      <name val="CIR Trade Gothic Cn"/>
    </font>
    <font>
      <b/>
      <sz val="9"/>
      <name val="CIR Trade Gothic Cn"/>
    </font>
    <font>
      <sz val="9"/>
      <name val="CIR Trade Gothic Cn"/>
    </font>
    <font>
      <i/>
      <sz val="9"/>
      <color indexed="12"/>
      <name val="CIR Trade Gothic Cn"/>
    </font>
    <font>
      <i/>
      <sz val="9"/>
      <name val="CIR Trade Gothic Cn"/>
    </font>
    <font>
      <b/>
      <sz val="9"/>
      <color indexed="12"/>
      <name val="CIR Trade Gothic Cn"/>
    </font>
    <font>
      <b/>
      <u/>
      <sz val="9"/>
      <name val="CIR Trade Gothic Cn"/>
    </font>
    <font>
      <u/>
      <sz val="9"/>
      <name val="CIR Trade Gothic Cn"/>
    </font>
    <font>
      <sz val="9"/>
      <color indexed="12"/>
      <name val="CIR Trade Gothic Cn"/>
    </font>
    <font>
      <sz val="10"/>
      <color indexed="20"/>
      <name val="CIR Trade Gothic Cn"/>
    </font>
    <font>
      <b/>
      <sz val="10"/>
      <color indexed="20"/>
      <name val="CIR Trade Gothic Cn"/>
    </font>
    <font>
      <u/>
      <sz val="10"/>
      <color indexed="20"/>
      <name val="CIR Trade Gothic Cn"/>
    </font>
    <font>
      <b/>
      <sz val="9"/>
      <color indexed="10"/>
      <name val="CIR Trade Gothic Cn"/>
    </font>
    <font>
      <sz val="9"/>
      <color indexed="63"/>
      <name val="CIR Trade Gothic Cn"/>
    </font>
    <font>
      <b/>
      <u/>
      <sz val="10"/>
      <name val="CIR Trade Gothic Cn"/>
    </font>
    <font>
      <b/>
      <u/>
      <sz val="10"/>
      <color indexed="12"/>
      <name val="CIR Trade Gothic Cn"/>
    </font>
    <font>
      <b/>
      <u/>
      <sz val="8"/>
      <color indexed="81"/>
      <name val="Tahoma"/>
      <family val="2"/>
    </font>
    <font>
      <sz val="8"/>
      <color indexed="16"/>
      <name val="Arial"/>
      <family val="2"/>
    </font>
    <font>
      <sz val="10"/>
      <color indexed="21"/>
      <name val="CIR Trade Gothic Cn"/>
    </font>
    <font>
      <b/>
      <sz val="10"/>
      <name val="CIR Trade Gothic Cn"/>
      <family val="3"/>
    </font>
    <font>
      <b/>
      <sz val="7"/>
      <color indexed="81"/>
      <name val="Tahoma"/>
      <family val="2"/>
    </font>
    <font>
      <sz val="7"/>
      <color indexed="81"/>
      <name val="Tahoma"/>
      <family val="2"/>
    </font>
    <font>
      <sz val="9"/>
      <color indexed="50"/>
      <name val="CIR Trade Gothic Cn"/>
      <family val="3"/>
    </font>
    <font>
      <sz val="10"/>
      <color indexed="20"/>
      <name val="Arial"/>
      <family val="2"/>
    </font>
    <font>
      <sz val="10"/>
      <color indexed="23"/>
      <name val="Arial"/>
      <family val="2"/>
    </font>
    <font>
      <sz val="8"/>
      <color indexed="23"/>
      <name val="Arial"/>
      <family val="2"/>
    </font>
    <font>
      <sz val="10"/>
      <color indexed="22"/>
      <name val="Arial"/>
      <family val="2"/>
    </font>
    <font>
      <sz val="8"/>
      <color indexed="22"/>
      <name val="Arial"/>
      <family val="2"/>
    </font>
    <font>
      <sz val="8"/>
      <color indexed="22"/>
      <name val="Comic Sans MS"/>
      <family val="4"/>
    </font>
    <font>
      <i/>
      <sz val="8"/>
      <color indexed="22"/>
      <name val="Comic Sans MS"/>
      <family val="4"/>
    </font>
    <font>
      <sz val="8"/>
      <color indexed="9"/>
      <name val="Comic Sans MS"/>
      <family val="4"/>
    </font>
    <font>
      <i/>
      <sz val="8"/>
      <color indexed="9"/>
      <name val="Comic Sans MS"/>
      <family val="4"/>
    </font>
    <font>
      <sz val="11"/>
      <name val="Calibri"/>
      <family val="2"/>
    </font>
    <font>
      <b/>
      <sz val="10"/>
      <color indexed="8"/>
      <name val="Times New Roman"/>
      <family val="1"/>
    </font>
    <font>
      <sz val="9"/>
      <name val="Times New Roman"/>
      <family val="1"/>
    </font>
    <font>
      <sz val="9"/>
      <name val="Times New Roman"/>
      <family val="1"/>
    </font>
    <font>
      <sz val="10"/>
      <color indexed="8"/>
      <name val="Times New Roman"/>
      <family val="1"/>
    </font>
    <font>
      <i/>
      <sz val="8"/>
      <name val="Times New Roman"/>
      <family val="1"/>
    </font>
    <font>
      <sz val="8"/>
      <color indexed="9"/>
      <name val="Arial"/>
      <family val="2"/>
    </font>
    <font>
      <b/>
      <sz val="14"/>
      <color indexed="18"/>
      <name val="Arial"/>
      <family val="2"/>
    </font>
    <font>
      <sz val="10"/>
      <color indexed="9"/>
      <name val="Arial"/>
      <family val="2"/>
    </font>
    <font>
      <b/>
      <sz val="10"/>
      <color indexed="12"/>
      <name val="Arial"/>
      <family val="2"/>
    </font>
    <font>
      <sz val="10"/>
      <color indexed="10"/>
      <name val="Arial"/>
      <family val="2"/>
    </font>
    <font>
      <b/>
      <sz val="10"/>
      <color indexed="10"/>
      <name val="Arial"/>
      <family val="2"/>
    </font>
    <font>
      <b/>
      <sz val="12"/>
      <color indexed="12"/>
      <name val="Arial"/>
      <family val="2"/>
    </font>
    <font>
      <sz val="10"/>
      <color indexed="12"/>
      <name val="Arial"/>
      <family val="2"/>
    </font>
    <font>
      <b/>
      <sz val="10"/>
      <color indexed="9"/>
      <name val="Arial"/>
      <family val="2"/>
    </font>
    <font>
      <sz val="10"/>
      <color indexed="53"/>
      <name val="Arial"/>
      <family val="2"/>
    </font>
    <font>
      <b/>
      <sz val="12"/>
      <name val="Arial"/>
      <family val="2"/>
    </font>
    <font>
      <i/>
      <sz val="10"/>
      <name val="Arial"/>
      <family val="2"/>
    </font>
    <font>
      <i/>
      <sz val="10"/>
      <color indexed="9"/>
      <name val="Arial"/>
      <family val="2"/>
    </font>
    <font>
      <sz val="10"/>
      <color indexed="8"/>
      <name val="Arial"/>
      <family val="2"/>
    </font>
    <font>
      <i/>
      <sz val="10"/>
      <color indexed="8"/>
      <name val="Arial"/>
      <family val="2"/>
    </font>
    <font>
      <b/>
      <i/>
      <sz val="10"/>
      <color indexed="12"/>
      <name val="Arial"/>
      <family val="2"/>
    </font>
    <font>
      <sz val="10"/>
      <color indexed="53"/>
      <name val="Arial"/>
      <family val="2"/>
    </font>
    <font>
      <sz val="10"/>
      <color indexed="23"/>
      <name val="Arial"/>
      <family val="2"/>
    </font>
    <font>
      <b/>
      <u/>
      <sz val="10"/>
      <name val="Arial"/>
      <family val="2"/>
    </font>
    <font>
      <sz val="11"/>
      <name val="Arial"/>
      <family val="2"/>
    </font>
    <font>
      <sz val="8"/>
      <name val="Times New Roman"/>
      <family val="1"/>
    </font>
    <font>
      <b/>
      <sz val="8"/>
      <color indexed="9"/>
      <name val="Arial"/>
      <family val="2"/>
    </font>
    <font>
      <b/>
      <sz val="8"/>
      <color indexed="8"/>
      <name val="Arial"/>
      <family val="2"/>
    </font>
    <font>
      <sz val="8"/>
      <color indexed="9"/>
      <name val="Arial"/>
      <family val="2"/>
    </font>
    <font>
      <sz val="11"/>
      <name val="Calibri"/>
      <family val="2"/>
    </font>
    <font>
      <sz val="11"/>
      <name val="Calibri"/>
      <family val="2"/>
    </font>
    <font>
      <sz val="11"/>
      <name val="Calibri"/>
      <family val="2"/>
    </font>
    <font>
      <u/>
      <sz val="8"/>
      <color indexed="12"/>
      <name val="Arial"/>
      <family val="2"/>
    </font>
    <font>
      <sz val="8"/>
      <color indexed="55"/>
      <name val="Arial"/>
      <family val="2"/>
    </font>
    <font>
      <sz val="8"/>
      <color indexed="61"/>
      <name val="Arial"/>
      <family val="2"/>
    </font>
    <font>
      <sz val="11"/>
      <name val="Calibri"/>
      <family val="2"/>
    </font>
    <font>
      <sz val="11"/>
      <name val="Calibri"/>
      <family val="2"/>
    </font>
    <font>
      <sz val="8"/>
      <color indexed="18"/>
      <name val="Arial"/>
      <family val="2"/>
    </font>
    <font>
      <sz val="8"/>
      <color indexed="20"/>
      <name val="Arial"/>
      <family val="2"/>
    </font>
    <font>
      <b/>
      <u/>
      <sz val="8"/>
      <color indexed="8"/>
      <name val="Arial"/>
      <family val="2"/>
    </font>
    <font>
      <u/>
      <sz val="8"/>
      <color indexed="8"/>
      <name val="Arial"/>
      <family val="2"/>
    </font>
    <font>
      <sz val="8"/>
      <color indexed="60"/>
      <name val="Arial"/>
      <family val="2"/>
    </font>
    <font>
      <sz val="11"/>
      <name val="Calibri"/>
      <family val="2"/>
    </font>
    <font>
      <sz val="7"/>
      <name val="Arial"/>
      <family val="2"/>
    </font>
    <font>
      <b/>
      <u/>
      <sz val="8"/>
      <color indexed="23"/>
      <name val="Arial"/>
      <family val="2"/>
    </font>
    <font>
      <b/>
      <sz val="8"/>
      <color indexed="62"/>
      <name val="Arial"/>
      <family val="2"/>
    </font>
    <font>
      <sz val="9"/>
      <color indexed="81"/>
      <name val="Tahoma"/>
      <family val="2"/>
    </font>
    <font>
      <b/>
      <sz val="9"/>
      <color indexed="81"/>
      <name val="Tahoma"/>
      <family val="2"/>
    </font>
    <font>
      <sz val="10"/>
      <name val="Arial"/>
      <family val="2"/>
    </font>
    <font>
      <sz val="8"/>
      <name val="Arial"/>
      <family val="2"/>
    </font>
    <font>
      <sz val="10"/>
      <color indexed="8"/>
      <name val="MS Sans Serif"/>
      <family val="2"/>
    </font>
    <font>
      <sz val="8.25"/>
      <name val="Microsoft Sans Serif"/>
      <family val="2"/>
    </font>
    <font>
      <sz val="8"/>
      <color indexed="17"/>
      <name val="Arial"/>
      <family val="2"/>
    </font>
    <font>
      <sz val="11"/>
      <color indexed="40"/>
      <name val="Calibri"/>
      <family val="2"/>
    </font>
    <font>
      <sz val="8"/>
      <color indexed="56"/>
      <name val="Arial"/>
      <family val="2"/>
    </font>
    <font>
      <sz val="8"/>
      <color indexed="12"/>
      <name val="Arial"/>
      <family val="2"/>
    </font>
    <font>
      <b/>
      <sz val="8"/>
      <color indexed="30"/>
      <name val="Arial"/>
      <family val="2"/>
    </font>
    <font>
      <sz val="10"/>
      <color indexed="12"/>
      <name val="Arial"/>
      <family val="2"/>
    </font>
    <font>
      <b/>
      <sz val="10"/>
      <color theme="0"/>
      <name val="Arial"/>
      <family val="2"/>
    </font>
    <font>
      <sz val="10"/>
      <color theme="0"/>
      <name val="Arial"/>
      <family val="2"/>
    </font>
    <font>
      <sz val="8"/>
      <color theme="0"/>
      <name val="Arial"/>
      <family val="2"/>
    </font>
    <font>
      <b/>
      <sz val="8"/>
      <color theme="0"/>
      <name val="Arial"/>
      <family val="2"/>
    </font>
    <font>
      <b/>
      <sz val="10"/>
      <color rgb="FF0000FF"/>
      <name val="CIR Trade Gothic Cn"/>
    </font>
    <font>
      <sz val="8"/>
      <color rgb="FF0000FF"/>
      <name val="Arial"/>
      <family val="2"/>
    </font>
    <font>
      <b/>
      <u/>
      <sz val="8"/>
      <color rgb="FF0000FF"/>
      <name val="Arial"/>
      <family val="2"/>
    </font>
    <font>
      <b/>
      <sz val="8"/>
      <color rgb="FF0000FF"/>
      <name val="Arial"/>
      <family val="2"/>
    </font>
    <font>
      <sz val="10"/>
      <color rgb="FF0000FF"/>
      <name val="Arial"/>
      <family val="2"/>
    </font>
    <font>
      <i/>
      <sz val="8"/>
      <color rgb="FF0000FF"/>
      <name val="Comic Sans MS"/>
      <family val="4"/>
    </font>
    <font>
      <sz val="8"/>
      <color rgb="FF0000FF"/>
      <name val="Comic Sans MS"/>
      <family val="4"/>
    </font>
    <font>
      <b/>
      <u/>
      <sz val="8"/>
      <name val="CIR Trade Gothic Cn"/>
    </font>
    <font>
      <sz val="9"/>
      <color rgb="FF0000FF"/>
      <name val="CIR Trade Gothic Cn"/>
    </font>
    <font>
      <b/>
      <sz val="10"/>
      <color indexed="8"/>
      <name val="Arial"/>
      <family val="2"/>
    </font>
    <font>
      <b/>
      <i/>
      <sz val="10"/>
      <color indexed="62"/>
      <name val="Arial"/>
      <family val="2"/>
    </font>
    <font>
      <i/>
      <sz val="10"/>
      <color rgb="FF0000FF"/>
      <name val="Arial"/>
      <family val="2"/>
    </font>
    <font>
      <i/>
      <sz val="10"/>
      <color indexed="23"/>
      <name val="Arial"/>
      <family val="2"/>
    </font>
    <font>
      <i/>
      <sz val="10"/>
      <color indexed="44"/>
      <name val="Arial"/>
      <family val="2"/>
    </font>
    <font>
      <i/>
      <sz val="8"/>
      <color indexed="55"/>
      <name val="Arial"/>
      <family val="2"/>
    </font>
    <font>
      <i/>
      <sz val="8"/>
      <color indexed="9"/>
      <name val="Arial"/>
      <family val="2"/>
    </font>
    <font>
      <sz val="8"/>
      <color rgb="FF008000"/>
      <name val="Arial"/>
      <family val="2"/>
    </font>
    <font>
      <b/>
      <u/>
      <sz val="8"/>
      <color rgb="FF0000FF"/>
      <name val="CIR Trade Gothic Cn"/>
    </font>
    <font>
      <sz val="10"/>
      <color rgb="FF000000"/>
      <name val="Arial"/>
      <family val="2"/>
    </font>
    <font>
      <b/>
      <sz val="12"/>
      <color rgb="FF000080"/>
      <name val="Arial"/>
      <family val="2"/>
    </font>
  </fonts>
  <fills count="16">
    <fill>
      <patternFill patternType="none"/>
    </fill>
    <fill>
      <patternFill patternType="gray125"/>
    </fill>
    <fill>
      <patternFill patternType="solid">
        <fgColor indexed="43"/>
        <bgColor indexed="64"/>
      </patternFill>
    </fill>
    <fill>
      <patternFill patternType="solid">
        <fgColor indexed="9"/>
        <bgColor indexed="64"/>
      </patternFill>
    </fill>
    <fill>
      <patternFill patternType="solid">
        <fgColor indexed="47"/>
        <bgColor indexed="64"/>
      </patternFill>
    </fill>
    <fill>
      <patternFill patternType="solid">
        <fgColor indexed="41"/>
        <bgColor indexed="64"/>
      </patternFill>
    </fill>
    <fill>
      <patternFill patternType="solid">
        <fgColor indexed="22"/>
        <bgColor indexed="64"/>
      </patternFill>
    </fill>
    <fill>
      <patternFill patternType="solid">
        <fgColor indexed="53"/>
        <bgColor indexed="64"/>
      </patternFill>
    </fill>
    <fill>
      <patternFill patternType="solid">
        <fgColor indexed="48"/>
        <bgColor indexed="64"/>
      </patternFill>
    </fill>
    <fill>
      <patternFill patternType="solid">
        <fgColor theme="0"/>
        <bgColor indexed="64"/>
      </patternFill>
    </fill>
    <fill>
      <patternFill patternType="solid">
        <fgColor theme="3"/>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indexed="65"/>
        <bgColor indexed="64"/>
      </patternFill>
    </fill>
  </fills>
  <borders count="53">
    <border>
      <left/>
      <right/>
      <top/>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20"/>
      </top>
      <bottom style="thin">
        <color indexed="2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bottom style="thin">
        <color indexed="64"/>
      </bottom>
      <diagonal/>
    </border>
    <border>
      <left/>
      <right/>
      <top/>
      <bottom style="dashed">
        <color indexed="64"/>
      </bottom>
      <diagonal/>
    </border>
    <border>
      <left style="thin">
        <color theme="3"/>
      </left>
      <right/>
      <top style="thin">
        <color theme="3"/>
      </top>
      <bottom/>
      <diagonal/>
    </border>
    <border>
      <left/>
      <right style="thin">
        <color theme="3"/>
      </right>
      <top style="thin">
        <color theme="3"/>
      </top>
      <bottom/>
      <diagonal/>
    </border>
    <border>
      <left style="thin">
        <color theme="3"/>
      </left>
      <right/>
      <top/>
      <bottom/>
      <diagonal/>
    </border>
    <border>
      <left/>
      <right style="thin">
        <color theme="3"/>
      </right>
      <top/>
      <bottom/>
      <diagonal/>
    </border>
    <border>
      <left style="thin">
        <color theme="3"/>
      </left>
      <right/>
      <top/>
      <bottom style="thin">
        <color indexed="64"/>
      </bottom>
      <diagonal/>
    </border>
    <border>
      <left/>
      <right style="thin">
        <color theme="3"/>
      </right>
      <top/>
      <bottom style="thin">
        <color indexed="64"/>
      </bottom>
      <diagonal/>
    </border>
    <border>
      <left style="thin">
        <color theme="3"/>
      </left>
      <right/>
      <top/>
      <bottom style="thin">
        <color theme="3"/>
      </bottom>
      <diagonal/>
    </border>
    <border>
      <left/>
      <right style="thin">
        <color theme="3"/>
      </right>
      <top/>
      <bottom style="thin">
        <color theme="3"/>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52">
    <xf numFmtId="0" fontId="0" fillId="0" borderId="0"/>
    <xf numFmtId="0" fontId="2" fillId="0" borderId="0"/>
    <xf numFmtId="0" fontId="166" fillId="0" borderId="0" applyNumberFormat="0" applyFont="0" applyFill="0" applyBorder="0" applyAlignment="0" applyProtection="0"/>
    <xf numFmtId="0" fontId="10" fillId="0" borderId="0" applyFill="0" applyAlignment="0">
      <protection locked="0"/>
    </xf>
    <xf numFmtId="0" fontId="2" fillId="0" borderId="0"/>
    <xf numFmtId="0" fontId="3" fillId="0" borderId="0"/>
    <xf numFmtId="0" fontId="3" fillId="0" borderId="0"/>
    <xf numFmtId="0" fontId="118" fillId="0" borderId="0"/>
    <xf numFmtId="43" fontId="2" fillId="0" borderId="0" applyFont="0" applyFill="0" applyBorder="0" applyAlignment="0" applyProtection="0"/>
    <xf numFmtId="43" fontId="166" fillId="0" borderId="0" applyFont="0" applyFill="0" applyBorder="0" applyAlignment="0" applyProtection="0"/>
    <xf numFmtId="40" fontId="3" fillId="0" borderId="0" applyFont="0" applyFill="0" applyBorder="0" applyAlignment="0" applyProtection="0"/>
    <xf numFmtId="43" fontId="2" fillId="0" borderId="0" applyFont="0" applyFill="0" applyBorder="0" applyAlignment="0" applyProtection="0"/>
    <xf numFmtId="40" fontId="3" fillId="0" borderId="0" applyFont="0" applyFill="0" applyBorder="0" applyAlignment="0" applyProtection="0"/>
    <xf numFmtId="44" fontId="2" fillId="0" borderId="0" applyFont="0" applyFill="0" applyBorder="0" applyAlignment="0" applyProtection="0"/>
    <xf numFmtId="0" fontId="166" fillId="0" borderId="0" applyNumberFormat="0" applyFill="0" applyBorder="0" applyAlignment="0" applyProtection="0">
      <alignment vertical="top"/>
      <protection locked="0"/>
    </xf>
    <xf numFmtId="0" fontId="10" fillId="0" borderId="0"/>
    <xf numFmtId="0" fontId="5" fillId="0" borderId="0"/>
    <xf numFmtId="0" fontId="4" fillId="0" borderId="0"/>
    <xf numFmtId="0" fontId="2" fillId="0" borderId="0"/>
    <xf numFmtId="0" fontId="2" fillId="0" borderId="0"/>
    <xf numFmtId="37" fontId="5" fillId="0" borderId="0"/>
    <xf numFmtId="0" fontId="5" fillId="0" borderId="0"/>
    <xf numFmtId="180" fontId="7" fillId="0" borderId="0" applyNumberFormat="0" applyBorder="0" applyAlignment="0">
      <alignment horizontal="left"/>
    </xf>
    <xf numFmtId="0" fontId="119" fillId="0" borderId="0"/>
    <xf numFmtId="0" fontId="56" fillId="0" borderId="0"/>
    <xf numFmtId="0" fontId="56" fillId="0" borderId="0"/>
    <xf numFmtId="180" fontId="5" fillId="0" borderId="0"/>
    <xf numFmtId="0" fontId="5" fillId="0" borderId="0"/>
    <xf numFmtId="37" fontId="5" fillId="0" borderId="0"/>
    <xf numFmtId="37" fontId="5" fillId="0" borderId="0"/>
    <xf numFmtId="0" fontId="2" fillId="0" borderId="0"/>
    <xf numFmtId="180" fontId="5" fillId="0" borderId="0"/>
    <xf numFmtId="0" fontId="8" fillId="0" borderId="0"/>
    <xf numFmtId="0" fontId="10" fillId="0" borderId="0"/>
    <xf numFmtId="0" fontId="120" fillId="0" borderId="0">
      <alignment vertical="center"/>
    </xf>
    <xf numFmtId="9" fontId="2" fillId="0" borderId="0" applyFont="0" applyFill="0" applyBorder="0" applyAlignment="0" applyProtection="0"/>
    <xf numFmtId="9" fontId="166" fillId="0" borderId="0" applyFont="0" applyFill="0" applyBorder="0" applyAlignment="0" applyProtection="0"/>
    <xf numFmtId="9" fontId="10" fillId="0" borderId="0" applyFont="0" applyFill="0" applyBorder="0" applyAlignment="0" applyProtection="0"/>
    <xf numFmtId="0" fontId="10" fillId="2" borderId="0" applyNumberFormat="0" applyFont="0" applyBorder="0" applyAlignment="0" applyProtection="0"/>
    <xf numFmtId="0" fontId="121" fillId="0" borderId="0"/>
    <xf numFmtId="0" fontId="121" fillId="0" borderId="2">
      <alignment horizontal="centerContinuous"/>
    </xf>
    <xf numFmtId="0" fontId="122" fillId="0" borderId="2"/>
    <xf numFmtId="0" fontId="56" fillId="3" borderId="3" applyNumberFormat="0" applyProtection="0">
      <alignment wrapText="1"/>
    </xf>
    <xf numFmtId="170" fontId="9"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2" borderId="0" applyNumberFormat="0" applyFont="0" applyBorder="0" applyAlignment="0" applyProtection="0"/>
    <xf numFmtId="0" fontId="2" fillId="0" borderId="0"/>
    <xf numFmtId="0" fontId="1" fillId="0" borderId="0"/>
    <xf numFmtId="0" fontId="5" fillId="0" borderId="0"/>
  </cellStyleXfs>
  <cellXfs count="2149">
    <xf numFmtId="0" fontId="0" fillId="0" borderId="0" xfId="0"/>
    <xf numFmtId="5" fontId="26" fillId="9" borderId="14" xfId="21" applyNumberFormat="1" applyFont="1" applyFill="1" applyBorder="1"/>
    <xf numFmtId="0" fontId="12" fillId="0" borderId="4" xfId="0" applyFont="1" applyBorder="1" applyAlignment="1">
      <alignment horizontal="left"/>
    </xf>
    <xf numFmtId="0" fontId="11" fillId="0" borderId="4" xfId="0" applyFont="1" applyBorder="1" applyAlignment="1">
      <alignment horizontal="center"/>
    </xf>
    <xf numFmtId="166" fontId="10" fillId="0" borderId="0" xfId="35" applyNumberFormat="1" applyFont="1"/>
    <xf numFmtId="0" fontId="10" fillId="0" borderId="0" xfId="0" applyFont="1"/>
    <xf numFmtId="0" fontId="6" fillId="0" borderId="0" xfId="0" applyFont="1"/>
    <xf numFmtId="0" fontId="12" fillId="0" borderId="0" xfId="0" applyFont="1"/>
    <xf numFmtId="0" fontId="12" fillId="0" borderId="4" xfId="0" applyFont="1" applyBorder="1"/>
    <xf numFmtId="0" fontId="15" fillId="0" borderId="0" xfId="0" applyFont="1"/>
    <xf numFmtId="195" fontId="11" fillId="0" borderId="4" xfId="0" applyNumberFormat="1" applyFont="1" applyBorder="1" applyAlignment="1">
      <alignment horizontal="centerContinuous"/>
    </xf>
    <xf numFmtId="0" fontId="6" fillId="0" borderId="0" xfId="0" applyFont="1" applyBorder="1"/>
    <xf numFmtId="0" fontId="18" fillId="0" borderId="0" xfId="0" applyFont="1"/>
    <xf numFmtId="191" fontId="6" fillId="0" borderId="0" xfId="35" applyNumberFormat="1" applyFont="1"/>
    <xf numFmtId="182" fontId="6" fillId="0" borderId="0" xfId="0" applyNumberFormat="1" applyFont="1"/>
    <xf numFmtId="164" fontId="6" fillId="0" borderId="0" xfId="0" applyNumberFormat="1" applyFont="1"/>
    <xf numFmtId="178" fontId="6" fillId="0" borderId="0" xfId="0" applyNumberFormat="1" applyFont="1"/>
    <xf numFmtId="165" fontId="18" fillId="0" borderId="0" xfId="0" applyNumberFormat="1" applyFont="1"/>
    <xf numFmtId="165" fontId="6" fillId="0" borderId="0" xfId="0" applyNumberFormat="1" applyFont="1"/>
    <xf numFmtId="164" fontId="6" fillId="0" borderId="4" xfId="0" applyNumberFormat="1" applyFont="1" applyBorder="1"/>
    <xf numFmtId="4" fontId="6" fillId="0" borderId="0" xfId="0" applyNumberFormat="1" applyFont="1"/>
    <xf numFmtId="196" fontId="6" fillId="0" borderId="0" xfId="0" applyNumberFormat="1" applyFont="1" applyAlignment="1">
      <alignment horizontal="left"/>
    </xf>
    <xf numFmtId="172" fontId="6" fillId="0" borderId="0" xfId="0" applyNumberFormat="1" applyFont="1"/>
    <xf numFmtId="170" fontId="6" fillId="0" borderId="0" xfId="0" applyNumberFormat="1" applyFont="1"/>
    <xf numFmtId="191" fontId="10" fillId="0" borderId="0" xfId="0" applyNumberFormat="1" applyFont="1"/>
    <xf numFmtId="191" fontId="10" fillId="0" borderId="4" xfId="0" applyNumberFormat="1" applyFont="1" applyBorder="1"/>
    <xf numFmtId="0" fontId="22" fillId="0" borderId="0" xfId="0" applyFont="1"/>
    <xf numFmtId="0" fontId="12" fillId="0" borderId="0" xfId="0" applyFont="1" applyBorder="1"/>
    <xf numFmtId="191" fontId="10" fillId="0" borderId="0" xfId="0" applyNumberFormat="1" applyFont="1" applyBorder="1"/>
    <xf numFmtId="37" fontId="14" fillId="0" borderId="0" xfId="20" applyFont="1"/>
    <xf numFmtId="187" fontId="14" fillId="0" borderId="0" xfId="20" applyNumberFormat="1" applyFont="1" applyProtection="1"/>
    <xf numFmtId="37" fontId="6" fillId="0" borderId="0" xfId="20" applyFont="1"/>
    <xf numFmtId="37" fontId="6" fillId="0" borderId="0" xfId="20" applyFont="1" applyAlignment="1" applyProtection="1">
      <alignment horizontal="left"/>
    </xf>
    <xf numFmtId="181" fontId="6" fillId="0" borderId="0" xfId="20" applyNumberFormat="1" applyFont="1" applyProtection="1"/>
    <xf numFmtId="37" fontId="14" fillId="0" borderId="0" xfId="20" applyFont="1" applyAlignment="1" applyProtection="1">
      <alignment horizontal="left"/>
    </xf>
    <xf numFmtId="181" fontId="14" fillId="0" borderId="0" xfId="20" applyNumberFormat="1" applyFont="1" applyProtection="1"/>
    <xf numFmtId="37" fontId="6" fillId="0" borderId="0" xfId="20" applyFont="1" applyAlignment="1">
      <alignment horizontal="center"/>
    </xf>
    <xf numFmtId="0" fontId="6" fillId="0" borderId="4" xfId="0" applyFont="1" applyBorder="1"/>
    <xf numFmtId="0" fontId="11" fillId="0" borderId="0" xfId="0" applyFont="1" applyAlignment="1">
      <alignment horizontal="center"/>
    </xf>
    <xf numFmtId="0" fontId="11" fillId="0" borderId="0" xfId="0" applyFont="1" applyBorder="1" applyAlignment="1">
      <alignment horizontal="center"/>
    </xf>
    <xf numFmtId="195" fontId="15" fillId="0" borderId="0" xfId="0" applyNumberFormat="1" applyFont="1" applyAlignment="1">
      <alignment horizontal="left"/>
    </xf>
    <xf numFmtId="0" fontId="12" fillId="0" borderId="0" xfId="0" applyFont="1" applyAlignment="1">
      <alignment horizontal="left"/>
    </xf>
    <xf numFmtId="195" fontId="17" fillId="0" borderId="0" xfId="0" applyNumberFormat="1" applyFont="1" applyAlignment="1">
      <alignment horizontal="left"/>
    </xf>
    <xf numFmtId="0" fontId="11" fillId="0" borderId="6" xfId="0" applyFont="1" applyBorder="1" applyAlignment="1">
      <alignment horizontal="center"/>
    </xf>
    <xf numFmtId="0" fontId="6" fillId="0" borderId="7" xfId="0" applyFont="1" applyBorder="1"/>
    <xf numFmtId="0" fontId="6" fillId="0" borderId="8" xfId="0" applyFont="1" applyBorder="1"/>
    <xf numFmtId="170" fontId="6" fillId="0" borderId="4" xfId="0" applyNumberFormat="1" applyFont="1" applyBorder="1"/>
    <xf numFmtId="170" fontId="6" fillId="0" borderId="0" xfId="0" applyNumberFormat="1" applyFont="1" applyBorder="1"/>
    <xf numFmtId="4" fontId="6" fillId="0" borderId="7" xfId="0" applyNumberFormat="1" applyFont="1" applyBorder="1"/>
    <xf numFmtId="0" fontId="14" fillId="0" borderId="0" xfId="0" applyFont="1"/>
    <xf numFmtId="6" fontId="14" fillId="0" borderId="0" xfId="0" quotePrefix="1" applyNumberFormat="1" applyFont="1"/>
    <xf numFmtId="195" fontId="16" fillId="0" borderId="4" xfId="0" applyNumberFormat="1" applyFont="1" applyBorder="1" applyAlignment="1">
      <alignment horizontal="center"/>
    </xf>
    <xf numFmtId="195" fontId="11" fillId="0" borderId="0" xfId="0" applyNumberFormat="1" applyFont="1" applyBorder="1" applyAlignment="1">
      <alignment horizontal="center"/>
    </xf>
    <xf numFmtId="38" fontId="6" fillId="0" borderId="0" xfId="0" applyNumberFormat="1" applyFont="1"/>
    <xf numFmtId="38" fontId="18" fillId="0" borderId="0" xfId="0" applyNumberFormat="1" applyFont="1"/>
    <xf numFmtId="0" fontId="15" fillId="0" borderId="0" xfId="0" applyFont="1" applyAlignment="1">
      <alignment horizontal="center"/>
    </xf>
    <xf numFmtId="164" fontId="6" fillId="0" borderId="0" xfId="0" applyNumberFormat="1" applyFont="1" applyBorder="1"/>
    <xf numFmtId="0" fontId="10" fillId="0" borderId="0" xfId="0" applyFont="1" applyAlignment="1">
      <alignment horizontal="center"/>
    </xf>
    <xf numFmtId="0" fontId="6" fillId="0" borderId="0" xfId="0" applyFont="1" applyAlignment="1">
      <alignment horizontal="right"/>
    </xf>
    <xf numFmtId="0" fontId="18" fillId="0" borderId="0" xfId="0" applyFont="1" applyBorder="1"/>
    <xf numFmtId="4" fontId="18" fillId="0" borderId="0" xfId="0" applyNumberFormat="1" applyFont="1" applyAlignment="1">
      <alignment horizontal="right"/>
    </xf>
    <xf numFmtId="166" fontId="6" fillId="0" borderId="0" xfId="35" applyNumberFormat="1" applyFont="1"/>
    <xf numFmtId="166" fontId="6" fillId="0" borderId="0" xfId="0" applyNumberFormat="1" applyFont="1"/>
    <xf numFmtId="0" fontId="12" fillId="0" borderId="4" xfId="0" applyFont="1" applyFill="1" applyBorder="1" applyAlignment="1">
      <alignment horizontal="center"/>
    </xf>
    <xf numFmtId="0" fontId="15" fillId="0" borderId="0" xfId="0" applyFont="1" applyBorder="1" applyAlignment="1">
      <alignment horizontal="center"/>
    </xf>
    <xf numFmtId="0" fontId="27" fillId="0" borderId="0" xfId="0" applyFont="1" applyBorder="1"/>
    <xf numFmtId="0" fontId="15" fillId="0" borderId="0" xfId="0" applyFont="1" applyAlignment="1">
      <alignment horizontal="left"/>
    </xf>
    <xf numFmtId="0" fontId="10" fillId="0" borderId="4" xfId="0" applyFont="1" applyBorder="1"/>
    <xf numFmtId="172" fontId="18" fillId="0" borderId="0" xfId="0" applyNumberFormat="1" applyFont="1"/>
    <xf numFmtId="173" fontId="6" fillId="0" borderId="0" xfId="0" applyNumberFormat="1" applyFont="1"/>
    <xf numFmtId="0" fontId="6" fillId="0" borderId="0" xfId="0" applyFont="1" applyAlignment="1">
      <alignment horizontal="center"/>
    </xf>
    <xf numFmtId="171" fontId="6" fillId="0" borderId="0" xfId="0" applyNumberFormat="1" applyFont="1"/>
    <xf numFmtId="171" fontId="18" fillId="0" borderId="0" xfId="0" applyNumberFormat="1" applyFont="1"/>
    <xf numFmtId="0" fontId="18" fillId="0" borderId="0" xfId="0" applyFont="1" applyFill="1"/>
    <xf numFmtId="170" fontId="18" fillId="0" borderId="0" xfId="0" applyNumberFormat="1" applyFont="1"/>
    <xf numFmtId="179" fontId="6" fillId="0" borderId="0" xfId="0" applyNumberFormat="1" applyFont="1"/>
    <xf numFmtId="3" fontId="6" fillId="0" borderId="0" xfId="0" applyNumberFormat="1" applyFont="1"/>
    <xf numFmtId="0" fontId="17" fillId="0" borderId="0" xfId="0" applyFont="1" applyAlignment="1">
      <alignment horizontal="centerContinuous"/>
    </xf>
    <xf numFmtId="0" fontId="6" fillId="0" borderId="0" xfId="0" applyFont="1" applyAlignment="1">
      <alignment horizontal="centerContinuous"/>
    </xf>
    <xf numFmtId="0" fontId="15" fillId="0" borderId="0" xfId="0" applyFont="1" applyAlignment="1">
      <alignment horizontal="centerContinuous"/>
    </xf>
    <xf numFmtId="0" fontId="10" fillId="0" borderId="0" xfId="0" applyFont="1" applyFill="1"/>
    <xf numFmtId="0" fontId="17" fillId="0" borderId="0" xfId="0" applyFont="1" applyAlignment="1">
      <alignment horizontal="center"/>
    </xf>
    <xf numFmtId="168" fontId="18" fillId="0" borderId="0" xfId="0" applyNumberFormat="1" applyFont="1"/>
    <xf numFmtId="168" fontId="6" fillId="0" borderId="0" xfId="0" applyNumberFormat="1" applyFont="1"/>
    <xf numFmtId="5" fontId="6" fillId="0" borderId="0" xfId="0" applyNumberFormat="1" applyFont="1"/>
    <xf numFmtId="173" fontId="18" fillId="0" borderId="0" xfId="0" applyNumberFormat="1" applyFont="1"/>
    <xf numFmtId="189" fontId="6" fillId="0" borderId="0" xfId="0" applyNumberFormat="1" applyFont="1"/>
    <xf numFmtId="0" fontId="6" fillId="0" borderId="0" xfId="0" applyFont="1" applyFill="1"/>
    <xf numFmtId="170" fontId="18" fillId="0" borderId="0" xfId="0" applyNumberFormat="1" applyFont="1" applyFill="1" applyBorder="1"/>
    <xf numFmtId="201" fontId="6" fillId="0" borderId="0" xfId="0" applyNumberFormat="1" applyFont="1"/>
    <xf numFmtId="168" fontId="22" fillId="0" borderId="0" xfId="0" applyNumberFormat="1" applyFont="1" applyFill="1" applyProtection="1"/>
    <xf numFmtId="0" fontId="12" fillId="0" borderId="4" xfId="0" applyFont="1" applyBorder="1" applyAlignment="1" applyProtection="1">
      <alignment horizontal="left"/>
    </xf>
    <xf numFmtId="204" fontId="18" fillId="0" borderId="0" xfId="0" applyNumberFormat="1" applyFont="1"/>
    <xf numFmtId="0" fontId="15" fillId="0" borderId="0" xfId="0" applyFont="1" applyFill="1"/>
    <xf numFmtId="0" fontId="27" fillId="0" borderId="0" xfId="0" applyFont="1" applyFill="1" applyBorder="1"/>
    <xf numFmtId="0" fontId="15" fillId="0" borderId="0" xfId="0" applyFont="1" applyFill="1" applyBorder="1" applyAlignment="1">
      <alignment horizontal="center"/>
    </xf>
    <xf numFmtId="0" fontId="15" fillId="0" borderId="0" xfId="0" applyFont="1" applyFill="1" applyAlignment="1">
      <alignment horizontal="left"/>
    </xf>
    <xf numFmtId="195" fontId="11" fillId="0" borderId="4" xfId="0" applyNumberFormat="1" applyFont="1" applyFill="1" applyBorder="1" applyAlignment="1">
      <alignment horizontal="centerContinuous"/>
    </xf>
    <xf numFmtId="0" fontId="12" fillId="0" borderId="0" xfId="0" applyFont="1" applyFill="1"/>
    <xf numFmtId="0" fontId="12" fillId="0" borderId="4" xfId="0" applyFont="1" applyFill="1" applyBorder="1"/>
    <xf numFmtId="0" fontId="6" fillId="0" borderId="0" xfId="0" applyFont="1" applyFill="1" applyBorder="1"/>
    <xf numFmtId="182" fontId="6" fillId="0" borderId="0" xfId="0" applyNumberFormat="1" applyFont="1" applyFill="1" applyBorder="1"/>
    <xf numFmtId="170" fontId="6" fillId="0" borderId="0" xfId="0" applyNumberFormat="1" applyFont="1" applyFill="1"/>
    <xf numFmtId="0" fontId="11" fillId="0" borderId="4" xfId="0" applyFont="1" applyFill="1" applyBorder="1" applyAlignment="1">
      <alignment horizontal="center"/>
    </xf>
    <xf numFmtId="182" fontId="6" fillId="0" borderId="0" xfId="0" applyNumberFormat="1" applyFont="1" applyFill="1"/>
    <xf numFmtId="168" fontId="6" fillId="0" borderId="0" xfId="0" applyNumberFormat="1" applyFont="1" applyFill="1" applyProtection="1"/>
    <xf numFmtId="166" fontId="0" fillId="0" borderId="0" xfId="35" applyNumberFormat="1" applyFont="1"/>
    <xf numFmtId="0" fontId="6" fillId="0" borderId="0" xfId="0" applyFont="1" applyFill="1" applyAlignment="1">
      <alignment horizontal="center"/>
    </xf>
    <xf numFmtId="164" fontId="6" fillId="0" borderId="0" xfId="0" applyNumberFormat="1" applyFont="1" applyFill="1"/>
    <xf numFmtId="164" fontId="6" fillId="0" borderId="4" xfId="0" applyNumberFormat="1" applyFont="1" applyFill="1" applyBorder="1"/>
    <xf numFmtId="0" fontId="12" fillId="4" borderId="4" xfId="0" applyFont="1" applyFill="1" applyBorder="1" applyAlignment="1">
      <alignment horizontal="centerContinuous"/>
    </xf>
    <xf numFmtId="166" fontId="10" fillId="0" borderId="0" xfId="0" applyNumberFormat="1" applyFont="1"/>
    <xf numFmtId="173" fontId="22" fillId="0" borderId="0" xfId="0" applyNumberFormat="1" applyFont="1"/>
    <xf numFmtId="168" fontId="22" fillId="0" borderId="0" xfId="0" applyNumberFormat="1" applyFont="1"/>
    <xf numFmtId="0" fontId="11" fillId="5" borderId="4" xfId="0" applyFont="1" applyFill="1" applyBorder="1" applyAlignment="1">
      <alignment horizontal="center"/>
    </xf>
    <xf numFmtId="195" fontId="32" fillId="0" borderId="4" xfId="0" applyNumberFormat="1" applyFont="1" applyBorder="1" applyAlignment="1">
      <alignment horizontal="centerContinuous"/>
    </xf>
    <xf numFmtId="195" fontId="51" fillId="0" borderId="0" xfId="0" applyNumberFormat="1" applyFont="1" applyBorder="1" applyAlignment="1">
      <alignment horizontal="left"/>
    </xf>
    <xf numFmtId="0" fontId="52" fillId="0" borderId="0" xfId="0" applyFont="1" applyAlignment="1">
      <alignment horizontal="right"/>
    </xf>
    <xf numFmtId="0" fontId="53" fillId="4" borderId="4" xfId="0" applyFont="1" applyFill="1" applyBorder="1" applyAlignment="1">
      <alignment horizontal="centerContinuous"/>
    </xf>
    <xf numFmtId="0" fontId="54" fillId="4" borderId="4" xfId="0" applyFont="1" applyFill="1" applyBorder="1" applyAlignment="1">
      <alignment horizontal="centerContinuous"/>
    </xf>
    <xf numFmtId="9" fontId="0" fillId="0" borderId="0" xfId="35" applyFont="1"/>
    <xf numFmtId="2" fontId="6" fillId="0" borderId="0" xfId="0" applyNumberFormat="1" applyFont="1"/>
    <xf numFmtId="9" fontId="6" fillId="0" borderId="0" xfId="35" applyFont="1"/>
    <xf numFmtId="0" fontId="18" fillId="0" borderId="0" xfId="0" applyFont="1" applyFill="1" applyBorder="1"/>
    <xf numFmtId="0" fontId="0" fillId="0" borderId="0" xfId="0" applyFill="1"/>
    <xf numFmtId="166" fontId="6" fillId="0" borderId="0" xfId="0" applyNumberFormat="1" applyFont="1" applyFill="1"/>
    <xf numFmtId="166" fontId="6" fillId="0" borderId="0" xfId="35" applyNumberFormat="1" applyFont="1" applyFill="1"/>
    <xf numFmtId="0" fontId="14" fillId="0" borderId="0" xfId="0" applyFont="1" applyFill="1"/>
    <xf numFmtId="4" fontId="6" fillId="0" borderId="0" xfId="0" applyNumberFormat="1" applyFont="1" applyAlignment="1">
      <alignment horizontal="right"/>
    </xf>
    <xf numFmtId="0" fontId="6" fillId="0" borderId="6" xfId="0" applyFont="1" applyBorder="1"/>
    <xf numFmtId="168" fontId="18" fillId="0" borderId="0" xfId="0" applyNumberFormat="1" applyFont="1" applyFill="1"/>
    <xf numFmtId="0" fontId="70" fillId="0" borderId="0" xfId="0" applyFont="1" applyBorder="1" applyAlignment="1">
      <alignment horizontal="right"/>
    </xf>
    <xf numFmtId="0" fontId="70" fillId="0" borderId="4" xfId="0" applyFont="1" applyBorder="1" applyAlignment="1">
      <alignment horizontal="right"/>
    </xf>
    <xf numFmtId="0" fontId="70" fillId="0" borderId="0" xfId="0" applyFont="1" applyAlignment="1">
      <alignment horizontal="right"/>
    </xf>
    <xf numFmtId="4" fontId="52" fillId="0" borderId="0" xfId="0" applyNumberFormat="1" applyFont="1" applyBorder="1" applyAlignment="1">
      <alignment horizontal="right"/>
    </xf>
    <xf numFmtId="4" fontId="52" fillId="0" borderId="7" xfId="0" applyNumberFormat="1" applyFont="1" applyBorder="1" applyAlignment="1">
      <alignment horizontal="right"/>
    </xf>
    <xf numFmtId="0" fontId="52" fillId="0" borderId="8" xfId="0" applyFont="1" applyBorder="1" applyAlignment="1">
      <alignment horizontal="right"/>
    </xf>
    <xf numFmtId="0" fontId="52" fillId="0" borderId="0" xfId="0" applyFont="1" applyBorder="1" applyAlignment="1">
      <alignment horizontal="right"/>
    </xf>
    <xf numFmtId="235" fontId="11" fillId="0" borderId="4" xfId="0" applyNumberFormat="1" applyFont="1" applyFill="1" applyBorder="1" applyAlignment="1">
      <alignment horizontal="centerContinuous"/>
    </xf>
    <xf numFmtId="235" fontId="15" fillId="0" borderId="0" xfId="0" applyNumberFormat="1" applyFont="1" applyAlignment="1">
      <alignment horizontal="left"/>
    </xf>
    <xf numFmtId="4" fontId="6" fillId="0" borderId="0" xfId="0" applyNumberFormat="1" applyFont="1" applyBorder="1"/>
    <xf numFmtId="180" fontId="10" fillId="0" borderId="0" xfId="22" applyFont="1" applyAlignment="1"/>
    <xf numFmtId="9" fontId="6" fillId="0" borderId="0" xfId="35" applyFont="1" applyBorder="1"/>
    <xf numFmtId="3" fontId="6" fillId="0" borderId="0" xfId="0" applyNumberFormat="1" applyFont="1" applyFill="1"/>
    <xf numFmtId="171" fontId="6" fillId="0" borderId="0" xfId="0" applyNumberFormat="1" applyFont="1" applyFill="1"/>
    <xf numFmtId="179" fontId="6" fillId="0" borderId="0" xfId="0" applyNumberFormat="1" applyFont="1" applyFill="1"/>
    <xf numFmtId="0" fontId="53" fillId="4" borderId="7" xfId="0" applyFont="1" applyFill="1" applyBorder="1" applyAlignment="1">
      <alignment horizontal="centerContinuous"/>
    </xf>
    <xf numFmtId="0" fontId="54" fillId="4" borderId="6" xfId="0" applyFont="1" applyFill="1" applyBorder="1" applyAlignment="1">
      <alignment horizontal="centerContinuous"/>
    </xf>
    <xf numFmtId="0" fontId="53" fillId="4" borderId="6" xfId="0" applyFont="1" applyFill="1" applyBorder="1" applyAlignment="1">
      <alignment horizontal="centerContinuous"/>
    </xf>
    <xf numFmtId="0" fontId="53" fillId="4" borderId="8" xfId="0" applyFont="1" applyFill="1" applyBorder="1" applyAlignment="1">
      <alignment horizontal="centerContinuous"/>
    </xf>
    <xf numFmtId="0" fontId="11" fillId="4" borderId="6" xfId="0" applyFont="1" applyFill="1" applyBorder="1" applyAlignment="1">
      <alignment horizontal="centerContinuous"/>
    </xf>
    <xf numFmtId="0" fontId="12" fillId="4" borderId="6" xfId="0" applyFont="1" applyFill="1" applyBorder="1" applyAlignment="1">
      <alignment horizontal="centerContinuous"/>
    </xf>
    <xf numFmtId="0" fontId="12" fillId="4" borderId="8" xfId="0" applyFont="1" applyFill="1" applyBorder="1" applyAlignment="1">
      <alignment horizontal="centerContinuous"/>
    </xf>
    <xf numFmtId="0" fontId="6" fillId="4" borderId="6" xfId="0" applyFont="1" applyFill="1" applyBorder="1" applyAlignment="1">
      <alignment horizontal="centerContinuous"/>
    </xf>
    <xf numFmtId="0" fontId="36" fillId="4" borderId="6" xfId="0" applyFont="1" applyFill="1" applyBorder="1" applyAlignment="1">
      <alignment horizontal="centerContinuous" vertical="center"/>
    </xf>
    <xf numFmtId="166" fontId="6" fillId="0" borderId="0" xfId="35" applyNumberFormat="1" applyFont="1" applyBorder="1"/>
    <xf numFmtId="0" fontId="10" fillId="6" borderId="0" xfId="0" applyFont="1" applyFill="1"/>
    <xf numFmtId="39" fontId="18" fillId="0" borderId="0" xfId="0" applyNumberFormat="1" applyFont="1"/>
    <xf numFmtId="172" fontId="18" fillId="0" borderId="0" xfId="0" applyNumberFormat="1" applyFont="1" applyFill="1"/>
    <xf numFmtId="191" fontId="6" fillId="0" borderId="0" xfId="35" applyNumberFormat="1" applyFont="1" applyFill="1"/>
    <xf numFmtId="196" fontId="6" fillId="0" borderId="0" xfId="0" applyNumberFormat="1" applyFont="1" applyFill="1" applyAlignment="1">
      <alignment horizontal="left"/>
    </xf>
    <xf numFmtId="172" fontId="27" fillId="0" borderId="0" xfId="0" applyNumberFormat="1" applyFont="1" applyFill="1" applyBorder="1"/>
    <xf numFmtId="196" fontId="27" fillId="0" borderId="0" xfId="0" applyNumberFormat="1" applyFont="1" applyFill="1" applyBorder="1"/>
    <xf numFmtId="173" fontId="18" fillId="0" borderId="0" xfId="0" applyNumberFormat="1" applyFont="1" applyFill="1"/>
    <xf numFmtId="166" fontId="6" fillId="0" borderId="0" xfId="35" applyNumberFormat="1" applyFont="1" applyAlignment="1">
      <alignment horizontal="centerContinuous"/>
    </xf>
    <xf numFmtId="170" fontId="18" fillId="0" borderId="0" xfId="0" applyNumberFormat="1" applyFont="1" applyFill="1"/>
    <xf numFmtId="0" fontId="56" fillId="0" borderId="18" xfId="30" applyFont="1" applyBorder="1" applyAlignment="1">
      <alignment wrapText="1"/>
    </xf>
    <xf numFmtId="0" fontId="123" fillId="0" borderId="19" xfId="30" applyFont="1" applyBorder="1"/>
    <xf numFmtId="0" fontId="124" fillId="3" borderId="19" xfId="25" applyFont="1" applyFill="1" applyBorder="1" applyAlignment="1">
      <alignment vertical="center"/>
    </xf>
    <xf numFmtId="0" fontId="56" fillId="0" borderId="19" xfId="30" applyFont="1" applyBorder="1"/>
    <xf numFmtId="0" fontId="56" fillId="0" borderId="19" xfId="30" applyFont="1" applyBorder="1" applyAlignment="1">
      <alignment horizontal="right"/>
    </xf>
    <xf numFmtId="0" fontId="56" fillId="0" borderId="0" xfId="30" applyFont="1"/>
    <xf numFmtId="0" fontId="2" fillId="2" borderId="0" xfId="30" applyFont="1" applyFill="1" applyAlignment="1">
      <alignment wrapText="1"/>
    </xf>
    <xf numFmtId="0" fontId="125" fillId="2" borderId="0" xfId="30" applyFont="1" applyFill="1"/>
    <xf numFmtId="0" fontId="2" fillId="2" borderId="0" xfId="30" applyFont="1" applyFill="1" applyBorder="1"/>
    <xf numFmtId="0" fontId="2" fillId="2" borderId="0" xfId="30" applyFont="1" applyFill="1" applyAlignment="1">
      <alignment horizontal="right"/>
    </xf>
    <xf numFmtId="0" fontId="2" fillId="2" borderId="0" xfId="30" applyFont="1" applyFill="1"/>
    <xf numFmtId="0" fontId="2" fillId="0" borderId="0" xfId="30" applyFont="1"/>
    <xf numFmtId="0" fontId="2" fillId="0" borderId="0" xfId="30" applyFont="1" applyFill="1" applyAlignment="1">
      <alignment wrapText="1"/>
    </xf>
    <xf numFmtId="0" fontId="125" fillId="0" borderId="0" xfId="30" applyFont="1" applyFill="1"/>
    <xf numFmtId="0" fontId="2" fillId="0" borderId="0" xfId="30" applyFont="1" applyFill="1" applyBorder="1"/>
    <xf numFmtId="0" fontId="2" fillId="0" borderId="0" xfId="30" applyFont="1" applyFill="1" applyAlignment="1">
      <alignment horizontal="right"/>
    </xf>
    <xf numFmtId="0" fontId="125" fillId="0" borderId="0" xfId="30" applyFont="1" applyFill="1" applyAlignment="1">
      <alignment horizontal="right"/>
    </xf>
    <xf numFmtId="0" fontId="2" fillId="0" borderId="0" xfId="30" applyFont="1" applyFill="1"/>
    <xf numFmtId="0" fontId="2" fillId="0" borderId="0" xfId="30" applyFont="1" applyAlignment="1">
      <alignment wrapText="1"/>
    </xf>
    <xf numFmtId="0" fontId="125" fillId="0" borderId="0" xfId="30" applyFont="1"/>
    <xf numFmtId="0" fontId="31" fillId="0" borderId="0" xfId="25" applyFont="1" applyBorder="1"/>
    <xf numFmtId="0" fontId="126" fillId="0" borderId="0" xfId="23" applyFont="1" applyBorder="1"/>
    <xf numFmtId="0" fontId="2" fillId="0" borderId="0" xfId="30" applyFont="1" applyBorder="1"/>
    <xf numFmtId="0" fontId="12" fillId="3" borderId="0" xfId="42" applyNumberFormat="1" applyFont="1" applyBorder="1" applyAlignment="1">
      <alignment horizontal="center" wrapText="1"/>
    </xf>
    <xf numFmtId="0" fontId="125" fillId="0" borderId="0" xfId="30" applyFont="1" applyBorder="1"/>
    <xf numFmtId="0" fontId="127" fillId="0" borderId="0" xfId="23" applyFont="1" applyFill="1" applyAlignment="1">
      <alignment horizontal="right"/>
    </xf>
    <xf numFmtId="0" fontId="128" fillId="0" borderId="0" xfId="23" applyFont="1" applyAlignment="1">
      <alignment horizontal="right"/>
    </xf>
    <xf numFmtId="0" fontId="2" fillId="0" borderId="0" xfId="23" applyFont="1" applyAlignment="1">
      <alignment horizontal="right"/>
    </xf>
    <xf numFmtId="0" fontId="2" fillId="0" borderId="0" xfId="30" applyFont="1" applyAlignment="1">
      <alignment horizontal="right"/>
    </xf>
    <xf numFmtId="0" fontId="129" fillId="3" borderId="0" xfId="42" applyNumberFormat="1" applyFont="1" applyBorder="1" applyAlignment="1">
      <alignment horizontal="center" wrapText="1"/>
    </xf>
    <xf numFmtId="0" fontId="130" fillId="0" borderId="0" xfId="23" applyFont="1" applyFill="1" applyAlignment="1">
      <alignment horizontal="right"/>
    </xf>
    <xf numFmtId="0" fontId="131" fillId="0" borderId="0" xfId="23" applyFont="1" applyBorder="1"/>
    <xf numFmtId="0" fontId="127" fillId="0" borderId="0" xfId="30" applyFont="1" applyFill="1" applyAlignment="1">
      <alignment horizontal="right"/>
    </xf>
    <xf numFmtId="0" fontId="125" fillId="0" borderId="0" xfId="30" applyFont="1" applyAlignment="1">
      <alignment wrapText="1"/>
    </xf>
    <xf numFmtId="1" fontId="125" fillId="0" borderId="0" xfId="23" applyNumberFormat="1" applyFont="1" applyFill="1" applyBorder="1" applyAlignment="1">
      <alignment horizontal="right"/>
    </xf>
    <xf numFmtId="37" fontId="31" fillId="0" borderId="0" xfId="25" applyNumberFormat="1" applyFont="1" applyFill="1" applyBorder="1"/>
    <xf numFmtId="185" fontId="30" fillId="0" borderId="0" xfId="24" applyNumberFormat="1" applyFont="1" applyFill="1" applyBorder="1"/>
    <xf numFmtId="266" fontId="30" fillId="0" borderId="6" xfId="23" applyNumberFormat="1" applyFont="1" applyBorder="1" applyAlignment="1">
      <alignment horizontal="right"/>
    </xf>
    <xf numFmtId="37" fontId="12" fillId="0" borderId="0" xfId="25" applyNumberFormat="1" applyFont="1" applyFill="1" applyBorder="1"/>
    <xf numFmtId="179" fontId="2" fillId="0" borderId="0" xfId="30" applyNumberFormat="1" applyFont="1" applyAlignment="1">
      <alignment horizontal="right"/>
    </xf>
    <xf numFmtId="0" fontId="2" fillId="0" borderId="0" xfId="24" applyFont="1" applyFill="1" applyBorder="1"/>
    <xf numFmtId="264" fontId="2" fillId="0" borderId="0" xfId="11" applyNumberFormat="1" applyFont="1" applyFill="1" applyAlignment="1">
      <alignment horizontal="right"/>
    </xf>
    <xf numFmtId="185" fontId="2" fillId="0" borderId="0" xfId="24" applyNumberFormat="1" applyFont="1" applyFill="1" applyBorder="1" applyAlignment="1" applyProtection="1">
      <alignment horizontal="left"/>
    </xf>
    <xf numFmtId="264" fontId="2" fillId="0" borderId="4" xfId="11" applyNumberFormat="1" applyFont="1" applyFill="1" applyBorder="1" applyAlignment="1">
      <alignment horizontal="right"/>
    </xf>
    <xf numFmtId="0" fontId="12" fillId="0" borderId="0" xfId="24" applyFont="1" applyFill="1" applyBorder="1"/>
    <xf numFmtId="264" fontId="12" fillId="0" borderId="0" xfId="11" applyNumberFormat="1" applyFont="1" applyFill="1" applyAlignment="1">
      <alignment horizontal="right"/>
    </xf>
    <xf numFmtId="264" fontId="2" fillId="0" borderId="0" xfId="11" applyNumberFormat="1" applyFont="1" applyFill="1" applyBorder="1" applyAlignment="1">
      <alignment horizontal="right"/>
    </xf>
    <xf numFmtId="0" fontId="30" fillId="0" borderId="0" xfId="24" applyFont="1" applyFill="1" applyBorder="1"/>
    <xf numFmtId="179" fontId="2" fillId="0" borderId="0" xfId="30" applyNumberFormat="1" applyFont="1" applyFill="1" applyBorder="1" applyAlignment="1">
      <alignment horizontal="right"/>
    </xf>
    <xf numFmtId="179" fontId="2" fillId="0" borderId="0" xfId="30" applyNumberFormat="1" applyFont="1" applyFill="1" applyAlignment="1">
      <alignment horizontal="right"/>
    </xf>
    <xf numFmtId="0" fontId="2" fillId="0" borderId="0" xfId="30" applyFont="1" applyBorder="1" applyAlignment="1">
      <alignment wrapText="1"/>
    </xf>
    <xf numFmtId="0" fontId="30" fillId="0" borderId="0" xfId="30" applyFont="1" applyFill="1" applyBorder="1"/>
    <xf numFmtId="267" fontId="30" fillId="0" borderId="0" xfId="18" applyNumberFormat="1" applyFont="1" applyFill="1" applyBorder="1" applyAlignment="1">
      <alignment horizontal="right"/>
    </xf>
    <xf numFmtId="266" fontId="126" fillId="0" borderId="0" xfId="23" applyNumberFormat="1" applyFont="1" applyFill="1" applyBorder="1" applyAlignment="1">
      <alignment horizontal="right"/>
    </xf>
    <xf numFmtId="0" fontId="2" fillId="0" borderId="0" xfId="24" applyFont="1" applyFill="1" applyBorder="1" applyAlignment="1">
      <alignment horizontal="left"/>
    </xf>
    <xf numFmtId="264" fontId="2" fillId="0" borderId="0" xfId="30" applyNumberFormat="1" applyFont="1" applyFill="1" applyAlignment="1">
      <alignment horizontal="right"/>
    </xf>
    <xf numFmtId="264" fontId="125" fillId="0" borderId="0" xfId="30" applyNumberFormat="1" applyFont="1"/>
    <xf numFmtId="0" fontId="2" fillId="0" borderId="0" xfId="30" applyFont="1" applyFill="1" applyBorder="1" applyAlignment="1">
      <alignment horizontal="left" indent="1"/>
    </xf>
    <xf numFmtId="264" fontId="2" fillId="0" borderId="4" xfId="30" applyNumberFormat="1" applyFont="1" applyFill="1" applyBorder="1" applyAlignment="1">
      <alignment horizontal="right"/>
    </xf>
    <xf numFmtId="0" fontId="12" fillId="0" borderId="0" xfId="30" applyFont="1" applyFill="1" applyBorder="1"/>
    <xf numFmtId="264" fontId="12" fillId="0" borderId="0" xfId="30" applyNumberFormat="1" applyFont="1" applyFill="1" applyAlignment="1">
      <alignment horizontal="right"/>
    </xf>
    <xf numFmtId="267" fontId="30" fillId="0" borderId="0" xfId="18" applyNumberFormat="1" applyFont="1" applyBorder="1" applyAlignment="1">
      <alignment horizontal="right"/>
    </xf>
    <xf numFmtId="266" fontId="126" fillId="0" borderId="0" xfId="23" applyNumberFormat="1" applyFont="1" applyBorder="1" applyAlignment="1">
      <alignment horizontal="right"/>
    </xf>
    <xf numFmtId="0" fontId="2" fillId="0" borderId="0" xfId="24" applyFont="1" applyFill="1" applyBorder="1" applyAlignment="1">
      <alignment horizontal="left" indent="1"/>
    </xf>
    <xf numFmtId="0" fontId="2" fillId="0" borderId="0" xfId="24" applyFont="1" applyFill="1" applyBorder="1" applyAlignment="1">
      <alignment horizontal="left" indent="2"/>
    </xf>
    <xf numFmtId="0" fontId="12" fillId="0" borderId="0" xfId="30" applyFont="1" applyAlignment="1">
      <alignment wrapText="1"/>
    </xf>
    <xf numFmtId="0" fontId="69" fillId="0" borderId="0" xfId="30" applyFont="1"/>
    <xf numFmtId="0" fontId="12" fillId="0" borderId="0" xfId="24" applyFont="1" applyFill="1" applyBorder="1" applyAlignment="1">
      <alignment horizontal="left" indent="1"/>
    </xf>
    <xf numFmtId="0" fontId="12" fillId="0" borderId="0" xfId="30" applyFont="1"/>
    <xf numFmtId="0" fontId="10" fillId="0" borderId="0" xfId="24" applyFont="1" applyFill="1" applyBorder="1" applyAlignment="1">
      <alignment horizontal="left" indent="1"/>
    </xf>
    <xf numFmtId="264" fontId="132" fillId="0" borderId="0" xfId="30" applyNumberFormat="1" applyFont="1" applyAlignment="1">
      <alignment horizontal="right"/>
    </xf>
    <xf numFmtId="0" fontId="2" fillId="3" borderId="0" xfId="30" applyFont="1" applyFill="1" applyAlignment="1">
      <alignment wrapText="1"/>
    </xf>
    <xf numFmtId="0" fontId="125" fillId="3" borderId="0" xfId="30" applyFont="1" applyFill="1"/>
    <xf numFmtId="0" fontId="2" fillId="3" borderId="0" xfId="30" applyFont="1" applyFill="1" applyBorder="1"/>
    <xf numFmtId="0" fontId="30" fillId="3" borderId="0" xfId="30" applyFont="1" applyFill="1" applyBorder="1"/>
    <xf numFmtId="9" fontId="126" fillId="3" borderId="1" xfId="35" applyFont="1" applyFill="1" applyBorder="1" applyAlignment="1">
      <alignment horizontal="right"/>
    </xf>
    <xf numFmtId="9" fontId="2" fillId="3" borderId="0" xfId="35" applyFont="1" applyFill="1" applyAlignment="1">
      <alignment horizontal="right"/>
    </xf>
    <xf numFmtId="0" fontId="2" fillId="3" borderId="0" xfId="30" applyFont="1" applyFill="1"/>
    <xf numFmtId="0" fontId="10" fillId="0" borderId="0" xfId="30" applyFont="1" applyBorder="1"/>
    <xf numFmtId="264" fontId="10" fillId="0" borderId="0" xfId="30" applyNumberFormat="1" applyFont="1" applyAlignment="1">
      <alignment horizontal="right"/>
    </xf>
    <xf numFmtId="0" fontId="12" fillId="0" borderId="0" xfId="24" applyFont="1" applyBorder="1"/>
    <xf numFmtId="0" fontId="30" fillId="0" borderId="0" xfId="24" applyFont="1" applyBorder="1"/>
    <xf numFmtId="0" fontId="12" fillId="0" borderId="0" xfId="30" applyFont="1" applyBorder="1" applyAlignment="1">
      <alignment horizontal="left" indent="1"/>
    </xf>
    <xf numFmtId="0" fontId="10" fillId="0" borderId="0" xfId="30" applyFont="1" applyBorder="1" applyAlignment="1">
      <alignment horizontal="left" indent="1"/>
    </xf>
    <xf numFmtId="0" fontId="30" fillId="0" borderId="0" xfId="30" applyFont="1" applyBorder="1" applyAlignment="1">
      <alignment horizontal="left" indent="1"/>
    </xf>
    <xf numFmtId="264" fontId="10" fillId="0" borderId="0" xfId="30" applyNumberFormat="1" applyFont="1" applyFill="1" applyAlignment="1">
      <alignment horizontal="right"/>
    </xf>
    <xf numFmtId="264" fontId="2" fillId="0" borderId="0" xfId="30" applyNumberFormat="1" applyFont="1" applyAlignment="1">
      <alignment horizontal="right"/>
    </xf>
    <xf numFmtId="0" fontId="133" fillId="0" borderId="0" xfId="30" applyFont="1" applyBorder="1"/>
    <xf numFmtId="0" fontId="30" fillId="0" borderId="0" xfId="30" applyFont="1" applyBorder="1"/>
    <xf numFmtId="0" fontId="30" fillId="0" borderId="0" xfId="18" applyNumberFormat="1" applyFont="1" applyBorder="1" applyAlignment="1">
      <alignment horizontal="right"/>
    </xf>
    <xf numFmtId="0" fontId="134" fillId="0" borderId="0" xfId="30" applyFont="1" applyAlignment="1">
      <alignment wrapText="1"/>
    </xf>
    <xf numFmtId="0" fontId="135" fillId="0" borderId="0" xfId="30" applyFont="1"/>
    <xf numFmtId="0" fontId="29" fillId="0" borderId="0" xfId="30" applyFont="1" applyBorder="1"/>
    <xf numFmtId="0" fontId="134" fillId="0" borderId="0" xfId="30" applyFont="1" applyBorder="1"/>
    <xf numFmtId="0" fontId="134" fillId="0" borderId="0" xfId="30" applyFont="1"/>
    <xf numFmtId="0" fontId="10" fillId="0" borderId="0" xfId="30" applyFont="1" applyFill="1" applyBorder="1"/>
    <xf numFmtId="166" fontId="130" fillId="0" borderId="0" xfId="35" applyNumberFormat="1" applyFont="1" applyFill="1" applyBorder="1"/>
    <xf numFmtId="166" fontId="136" fillId="0" borderId="0" xfId="35" applyNumberFormat="1" applyFont="1" applyFill="1" applyBorder="1"/>
    <xf numFmtId="166" fontId="137" fillId="0" borderId="0" xfId="30" applyNumberFormat="1" applyFont="1" applyFill="1" applyBorder="1" applyAlignment="1">
      <alignment horizontal="right"/>
    </xf>
    <xf numFmtId="166" fontId="67" fillId="0" borderId="0" xfId="30" applyNumberFormat="1" applyFont="1" applyFill="1" applyBorder="1" applyAlignment="1">
      <alignment horizontal="right"/>
    </xf>
    <xf numFmtId="264" fontId="136" fillId="0" borderId="0" xfId="11" applyNumberFormat="1" applyFont="1" applyFill="1" applyAlignment="1">
      <alignment horizontal="right"/>
    </xf>
    <xf numFmtId="264" fontId="2" fillId="0" borderId="0" xfId="11" applyNumberFormat="1" applyFont="1" applyAlignment="1">
      <alignment horizontal="right"/>
    </xf>
    <xf numFmtId="166" fontId="2" fillId="0" borderId="0" xfId="35" applyNumberFormat="1" applyFont="1" applyBorder="1" applyAlignment="1">
      <alignment horizontal="right"/>
    </xf>
    <xf numFmtId="166" fontId="130" fillId="0" borderId="0" xfId="35" applyNumberFormat="1" applyFont="1" applyFill="1" applyBorder="1" applyAlignment="1">
      <alignment horizontal="right"/>
    </xf>
    <xf numFmtId="265" fontId="2" fillId="0" borderId="0" xfId="18" applyNumberFormat="1" applyFont="1" applyBorder="1" applyAlignment="1">
      <alignment horizontal="right"/>
    </xf>
    <xf numFmtId="266" fontId="130" fillId="0" borderId="0" xfId="23" applyNumberFormat="1" applyFont="1" applyBorder="1" applyAlignment="1">
      <alignment horizontal="right"/>
    </xf>
    <xf numFmtId="264" fontId="2" fillId="0" borderId="0" xfId="23" applyNumberFormat="1" applyFont="1" applyBorder="1" applyAlignment="1">
      <alignment horizontal="right"/>
    </xf>
    <xf numFmtId="189" fontId="2" fillId="0" borderId="0" xfId="35" applyNumberFormat="1" applyFont="1" applyBorder="1" applyAlignment="1">
      <alignment horizontal="right"/>
    </xf>
    <xf numFmtId="264" fontId="2" fillId="0" borderId="0" xfId="23" applyNumberFormat="1" applyFont="1" applyFill="1" applyBorder="1" applyAlignment="1">
      <alignment horizontal="right"/>
    </xf>
    <xf numFmtId="166" fontId="126" fillId="3" borderId="1" xfId="35" applyNumberFormat="1" applyFont="1" applyFill="1" applyBorder="1" applyAlignment="1">
      <alignment horizontal="right"/>
    </xf>
    <xf numFmtId="0" fontId="2" fillId="0" borderId="0" xfId="25" applyNumberFormat="1" applyFont="1"/>
    <xf numFmtId="166" fontId="2" fillId="0" borderId="0" xfId="35" applyNumberFormat="1" applyFont="1" applyFill="1" applyBorder="1" applyAlignment="1">
      <alignment horizontal="right"/>
    </xf>
    <xf numFmtId="166" fontId="2" fillId="3" borderId="0" xfId="35" applyNumberFormat="1" applyFont="1" applyFill="1" applyBorder="1" applyAlignment="1">
      <alignment horizontal="right"/>
    </xf>
    <xf numFmtId="9" fontId="130" fillId="3" borderId="0" xfId="35" applyNumberFormat="1" applyFont="1" applyFill="1" applyBorder="1" applyAlignment="1">
      <alignment horizontal="right"/>
    </xf>
    <xf numFmtId="0" fontId="30" fillId="0" borderId="0" xfId="30" applyFont="1" applyAlignment="1">
      <alignment wrapText="1"/>
    </xf>
    <xf numFmtId="0" fontId="131" fillId="0" borderId="0" xfId="30" applyFont="1" applyBorder="1"/>
    <xf numFmtId="264" fontId="10" fillId="0" borderId="0" xfId="11" applyNumberFormat="1" applyFont="1" applyFill="1" applyBorder="1" applyAlignment="1">
      <alignment horizontal="right"/>
    </xf>
    <xf numFmtId="264" fontId="130" fillId="0" borderId="0" xfId="11" applyNumberFormat="1" applyFont="1" applyFill="1" applyBorder="1" applyAlignment="1">
      <alignment horizontal="right"/>
    </xf>
    <xf numFmtId="9" fontId="138" fillId="0" borderId="0" xfId="35" applyFont="1" applyFill="1" applyBorder="1" applyAlignment="1">
      <alignment horizontal="right"/>
    </xf>
    <xf numFmtId="265" fontId="2" fillId="0" borderId="0" xfId="18" applyNumberFormat="1" applyFont="1" applyFill="1" applyBorder="1" applyAlignment="1">
      <alignment horizontal="right"/>
    </xf>
    <xf numFmtId="266" fontId="130" fillId="0" borderId="0" xfId="23" applyNumberFormat="1" applyFont="1" applyFill="1" applyBorder="1" applyAlignment="1">
      <alignment horizontal="right"/>
    </xf>
    <xf numFmtId="0" fontId="2" fillId="0" borderId="0" xfId="30" applyFont="1" applyBorder="1" applyAlignment="1">
      <alignment horizontal="left" indent="1"/>
    </xf>
    <xf numFmtId="166" fontId="13" fillId="0" borderId="0" xfId="35" applyNumberFormat="1" applyFont="1" applyFill="1" applyBorder="1" applyAlignment="1">
      <alignment horizontal="right"/>
    </xf>
    <xf numFmtId="9" fontId="130" fillId="0" borderId="0" xfId="35" applyFont="1" applyFill="1" applyBorder="1" applyAlignment="1">
      <alignment horizontal="right"/>
    </xf>
    <xf numFmtId="264" fontId="139" fillId="0" borderId="0" xfId="23" applyNumberFormat="1" applyFont="1" applyFill="1" applyBorder="1" applyAlignment="1">
      <alignment horizontal="right"/>
    </xf>
    <xf numFmtId="0" fontId="12" fillId="0" borderId="0" xfId="30" applyFont="1" applyBorder="1"/>
    <xf numFmtId="264" fontId="12" fillId="0" borderId="0" xfId="11" applyNumberFormat="1" applyFont="1" applyBorder="1" applyAlignment="1">
      <alignment horizontal="right"/>
    </xf>
    <xf numFmtId="0" fontId="134" fillId="0" borderId="0" xfId="30" applyFont="1" applyBorder="1" applyAlignment="1">
      <alignment horizontal="left" indent="2"/>
    </xf>
    <xf numFmtId="225" fontId="130" fillId="0" borderId="0" xfId="10" applyNumberFormat="1" applyFont="1" applyFill="1" applyBorder="1"/>
    <xf numFmtId="264" fontId="2" fillId="0" borderId="0" xfId="11" applyNumberFormat="1" applyFont="1" applyBorder="1" applyAlignment="1">
      <alignment horizontal="right"/>
    </xf>
    <xf numFmtId="9" fontId="2" fillId="0" borderId="0" xfId="35" applyFont="1" applyAlignment="1">
      <alignment horizontal="right"/>
    </xf>
    <xf numFmtId="166" fontId="2" fillId="0" borderId="0" xfId="35" applyNumberFormat="1" applyFont="1" applyAlignment="1">
      <alignment horizontal="right"/>
    </xf>
    <xf numFmtId="264" fontId="13" fillId="0" borderId="0" xfId="11" applyNumberFormat="1" applyFont="1" applyFill="1" applyBorder="1" applyAlignment="1">
      <alignment horizontal="right"/>
    </xf>
    <xf numFmtId="9" fontId="2" fillId="0" borderId="0" xfId="35" applyFont="1" applyFill="1" applyBorder="1" applyAlignment="1">
      <alignment horizontal="right"/>
    </xf>
    <xf numFmtId="264" fontId="130" fillId="0" borderId="0" xfId="23" applyNumberFormat="1" applyFont="1" applyBorder="1" applyAlignment="1">
      <alignment horizontal="right"/>
    </xf>
    <xf numFmtId="268" fontId="12" fillId="0" borderId="6" xfId="23" applyNumberFormat="1" applyFont="1" applyBorder="1" applyAlignment="1">
      <alignment horizontal="right"/>
    </xf>
    <xf numFmtId="0" fontId="2" fillId="0" borderId="0" xfId="30" applyFont="1" applyBorder="1" applyAlignment="1">
      <alignment horizontal="left"/>
    </xf>
    <xf numFmtId="264" fontId="130" fillId="0" borderId="0" xfId="11" applyNumberFormat="1" applyFont="1" applyBorder="1" applyAlignment="1">
      <alignment horizontal="right"/>
    </xf>
    <xf numFmtId="179" fontId="2" fillId="0" borderId="0" xfId="30" applyNumberFormat="1" applyFont="1" applyAlignment="1">
      <alignment wrapText="1"/>
    </xf>
    <xf numFmtId="185" fontId="2" fillId="0" borderId="0" xfId="24" applyNumberFormat="1" applyFont="1" applyBorder="1" applyAlignment="1" applyProtection="1">
      <alignment horizontal="left"/>
    </xf>
    <xf numFmtId="264" fontId="130" fillId="0" borderId="16" xfId="11" applyNumberFormat="1" applyFont="1" applyFill="1" applyBorder="1" applyAlignment="1">
      <alignment horizontal="right"/>
    </xf>
    <xf numFmtId="264" fontId="130" fillId="0" borderId="5" xfId="11" applyNumberFormat="1" applyFont="1" applyFill="1" applyBorder="1" applyAlignment="1">
      <alignment horizontal="right"/>
    </xf>
    <xf numFmtId="264" fontId="130" fillId="0" borderId="17" xfId="11" applyNumberFormat="1" applyFont="1" applyFill="1" applyBorder="1" applyAlignment="1">
      <alignment horizontal="right"/>
    </xf>
    <xf numFmtId="179" fontId="2" fillId="0" borderId="0" xfId="30" applyNumberFormat="1" applyFont="1"/>
    <xf numFmtId="264" fontId="130" fillId="0" borderId="12" xfId="11" applyNumberFormat="1" applyFont="1" applyFill="1" applyBorder="1" applyAlignment="1">
      <alignment horizontal="right"/>
    </xf>
    <xf numFmtId="264" fontId="130" fillId="0" borderId="13" xfId="11" applyNumberFormat="1" applyFont="1" applyFill="1" applyBorder="1" applyAlignment="1">
      <alignment horizontal="right"/>
    </xf>
    <xf numFmtId="264" fontId="130" fillId="0" borderId="14" xfId="11" applyNumberFormat="1" applyFont="1" applyFill="1" applyBorder="1" applyAlignment="1">
      <alignment horizontal="right"/>
    </xf>
    <xf numFmtId="264" fontId="130" fillId="0" borderId="4" xfId="11" applyNumberFormat="1" applyFont="1" applyFill="1" applyBorder="1" applyAlignment="1">
      <alignment horizontal="right"/>
    </xf>
    <xf numFmtId="264" fontId="130" fillId="0" borderId="15" xfId="11" applyNumberFormat="1" applyFont="1" applyFill="1" applyBorder="1" applyAlignment="1">
      <alignment horizontal="right"/>
    </xf>
    <xf numFmtId="0" fontId="125" fillId="0" borderId="0" xfId="30" applyFont="1" applyFill="1" applyAlignment="1">
      <alignment vertical="justify" textRotation="90" readingOrder="2"/>
    </xf>
    <xf numFmtId="225" fontId="140" fillId="0" borderId="0" xfId="11" applyNumberFormat="1" applyFont="1" applyFill="1" applyBorder="1"/>
    <xf numFmtId="179" fontId="2" fillId="0" borderId="0" xfId="30" applyNumberFormat="1" applyFont="1" applyBorder="1" applyAlignment="1">
      <alignment wrapText="1"/>
    </xf>
    <xf numFmtId="0" fontId="125" fillId="0" borderId="0" xfId="30" applyFont="1" applyFill="1" applyBorder="1" applyAlignment="1">
      <alignment vertical="justify" textRotation="90" readingOrder="2"/>
    </xf>
    <xf numFmtId="179" fontId="2" fillId="0" borderId="0" xfId="30" applyNumberFormat="1" applyFont="1" applyBorder="1"/>
    <xf numFmtId="225" fontId="2" fillId="0" borderId="0" xfId="11" applyNumberFormat="1" applyFont="1" applyFill="1" applyBorder="1"/>
    <xf numFmtId="264" fontId="141" fillId="0" borderId="0" xfId="11" applyNumberFormat="1" applyFont="1" applyFill="1" applyBorder="1" applyAlignment="1">
      <alignment horizontal="left" indent="1"/>
    </xf>
    <xf numFmtId="0" fontId="125" fillId="0" borderId="0" xfId="30" applyFont="1" applyBorder="1" applyAlignment="1">
      <alignment vertical="center" textRotation="90" readingOrder="2"/>
    </xf>
    <xf numFmtId="267" fontId="10" fillId="0" borderId="0" xfId="18" applyNumberFormat="1" applyFont="1" applyBorder="1" applyAlignment="1">
      <alignment horizontal="right"/>
    </xf>
    <xf numFmtId="266" fontId="10" fillId="0" borderId="0" xfId="23" applyNumberFormat="1" applyFont="1" applyBorder="1" applyAlignment="1">
      <alignment horizontal="right"/>
    </xf>
    <xf numFmtId="165" fontId="125" fillId="0" borderId="0" xfId="30" applyNumberFormat="1" applyFont="1" applyFill="1"/>
    <xf numFmtId="167" fontId="2" fillId="0" borderId="0" xfId="11" applyNumberFormat="1" applyFont="1" applyFill="1" applyBorder="1" applyAlignment="1">
      <alignment horizontal="right"/>
    </xf>
    <xf numFmtId="179" fontId="2" fillId="0" borderId="0" xfId="30" applyNumberFormat="1" applyFont="1" applyFill="1" applyAlignment="1">
      <alignment wrapText="1"/>
    </xf>
    <xf numFmtId="179" fontId="2" fillId="0" borderId="0" xfId="30" applyNumberFormat="1" applyFont="1" applyFill="1"/>
    <xf numFmtId="179" fontId="125" fillId="0" borderId="0" xfId="30" applyNumberFormat="1" applyFont="1"/>
    <xf numFmtId="264" fontId="2" fillId="0" borderId="0" xfId="30" applyNumberFormat="1" applyFont="1" applyBorder="1" applyAlignment="1">
      <alignment horizontal="right"/>
    </xf>
    <xf numFmtId="167" fontId="2" fillId="0" borderId="0" xfId="30" applyNumberFormat="1" applyFont="1" applyAlignment="1">
      <alignment horizontal="right"/>
    </xf>
    <xf numFmtId="0" fontId="10" fillId="0" borderId="0" xfId="30" applyFont="1" applyFill="1" applyAlignment="1">
      <alignment wrapText="1"/>
    </xf>
    <xf numFmtId="0" fontId="10" fillId="0" borderId="0" xfId="30" applyFont="1" applyFill="1"/>
    <xf numFmtId="264" fontId="10" fillId="0" borderId="0" xfId="30" applyNumberFormat="1" applyFont="1" applyFill="1" applyBorder="1" applyAlignment="1">
      <alignment horizontal="right"/>
    </xf>
    <xf numFmtId="264" fontId="10" fillId="0" borderId="0" xfId="30" applyNumberFormat="1" applyFont="1" applyFill="1"/>
    <xf numFmtId="9" fontId="126" fillId="0" borderId="1" xfId="35" applyFont="1" applyFill="1" applyBorder="1" applyAlignment="1">
      <alignment horizontal="right"/>
    </xf>
    <xf numFmtId="0" fontId="2" fillId="0" borderId="0" xfId="25" applyNumberFormat="1" applyFont="1" applyFill="1"/>
    <xf numFmtId="264" fontId="2" fillId="0" borderId="0" xfId="30" applyNumberFormat="1" applyFont="1" applyFill="1"/>
    <xf numFmtId="269" fontId="126" fillId="0" borderId="1" xfId="18" applyNumberFormat="1" applyFont="1" applyFill="1" applyBorder="1" applyAlignment="1">
      <alignment horizontal="right"/>
    </xf>
    <xf numFmtId="0" fontId="10" fillId="0" borderId="0" xfId="30" applyFont="1" applyFill="1" applyBorder="1" applyAlignment="1">
      <alignment wrapText="1"/>
    </xf>
    <xf numFmtId="270" fontId="10" fillId="0" borderId="0" xfId="18" applyNumberFormat="1" applyFont="1" applyFill="1" applyBorder="1" applyAlignment="1">
      <alignment horizontal="right"/>
    </xf>
    <xf numFmtId="264" fontId="10" fillId="0" borderId="0" xfId="30" applyNumberFormat="1" applyFont="1" applyFill="1" applyBorder="1"/>
    <xf numFmtId="165" fontId="10" fillId="0" borderId="0" xfId="30" applyNumberFormat="1" applyFont="1" applyFill="1" applyBorder="1" applyAlignment="1">
      <alignment horizontal="right"/>
    </xf>
    <xf numFmtId="167" fontId="10" fillId="0" borderId="0" xfId="30" applyNumberFormat="1" applyFont="1" applyFill="1" applyBorder="1" applyAlignment="1">
      <alignment horizontal="right"/>
    </xf>
    <xf numFmtId="0" fontId="2" fillId="0" borderId="0" xfId="24" applyNumberFormat="1" applyFont="1" applyFill="1" applyBorder="1" applyAlignment="1" applyProtection="1">
      <alignment horizontal="left"/>
    </xf>
    <xf numFmtId="167" fontId="2" fillId="0" borderId="0" xfId="30" applyNumberFormat="1" applyFont="1" applyFill="1" applyAlignment="1">
      <alignment horizontal="right"/>
    </xf>
    <xf numFmtId="167" fontId="2" fillId="0" borderId="0" xfId="30" applyNumberFormat="1" applyFont="1" applyFill="1" applyBorder="1" applyAlignment="1">
      <alignment horizontal="right"/>
    </xf>
    <xf numFmtId="264" fontId="125" fillId="0" borderId="0" xfId="30" applyNumberFormat="1" applyFont="1" applyFill="1"/>
    <xf numFmtId="0" fontId="2" fillId="0" borderId="0" xfId="30" applyFont="1" applyFill="1" applyBorder="1" applyAlignment="1">
      <alignment wrapText="1"/>
    </xf>
    <xf numFmtId="264" fontId="125" fillId="0" borderId="0" xfId="30" applyNumberFormat="1" applyFont="1" applyFill="1" applyBorder="1"/>
    <xf numFmtId="165" fontId="2" fillId="0" borderId="0" xfId="30" applyNumberFormat="1" applyFont="1" applyFill="1" applyBorder="1" applyAlignment="1">
      <alignment horizontal="right"/>
    </xf>
    <xf numFmtId="49" fontId="0" fillId="0" borderId="0" xfId="0" applyNumberFormat="1"/>
    <xf numFmtId="14" fontId="12" fillId="0" borderId="0" xfId="0" applyNumberFormat="1" applyFont="1"/>
    <xf numFmtId="172" fontId="6" fillId="0" borderId="0" xfId="0" applyNumberFormat="1" applyFont="1" applyFill="1"/>
    <xf numFmtId="168" fontId="6" fillId="0" borderId="0" xfId="0" applyNumberFormat="1" applyFont="1" applyFill="1"/>
    <xf numFmtId="170" fontId="6" fillId="0" borderId="0" xfId="0" applyNumberFormat="1" applyFont="1" applyFill="1" applyBorder="1"/>
    <xf numFmtId="170" fontId="6" fillId="0" borderId="4" xfId="0" applyNumberFormat="1" applyFont="1" applyFill="1" applyBorder="1"/>
    <xf numFmtId="166" fontId="18" fillId="0" borderId="0" xfId="35" applyNumberFormat="1" applyFont="1"/>
    <xf numFmtId="166" fontId="6" fillId="0" borderId="0" xfId="35" applyNumberFormat="1" applyFont="1" applyAlignment="1">
      <alignment horizontal="right"/>
    </xf>
    <xf numFmtId="191" fontId="18" fillId="0" borderId="0" xfId="35" applyNumberFormat="1" applyFont="1" applyFill="1"/>
    <xf numFmtId="0" fontId="150" fillId="0" borderId="0" xfId="0" applyFont="1" applyBorder="1"/>
    <xf numFmtId="197" fontId="17" fillId="0" borderId="0" xfId="0" applyNumberFormat="1" applyFont="1" applyFill="1" applyAlignment="1">
      <alignment horizontal="left"/>
    </xf>
    <xf numFmtId="4" fontId="6" fillId="0" borderId="0" xfId="0" applyNumberFormat="1" applyFont="1" applyFill="1"/>
    <xf numFmtId="178" fontId="6" fillId="0" borderId="0" xfId="0" applyNumberFormat="1" applyFont="1" applyFill="1"/>
    <xf numFmtId="4" fontId="18" fillId="0" borderId="0" xfId="0" applyNumberFormat="1" applyFont="1" applyFill="1" applyAlignment="1">
      <alignment horizontal="right"/>
    </xf>
    <xf numFmtId="4" fontId="6" fillId="0" borderId="7" xfId="0" applyNumberFormat="1" applyFont="1" applyFill="1" applyBorder="1"/>
    <xf numFmtId="0" fontId="6" fillId="0" borderId="8" xfId="0" applyFont="1" applyFill="1" applyBorder="1"/>
    <xf numFmtId="168" fontId="18" fillId="0" borderId="0" xfId="0" applyNumberFormat="1" applyFont="1" applyFill="1" applyProtection="1"/>
    <xf numFmtId="283" fontId="10" fillId="0" borderId="0" xfId="0" applyNumberFormat="1" applyFont="1"/>
    <xf numFmtId="182" fontId="11" fillId="0" borderId="0" xfId="0" applyNumberFormat="1" applyFont="1" applyFill="1"/>
    <xf numFmtId="182" fontId="11" fillId="0" borderId="0" xfId="0" applyNumberFormat="1" applyFont="1" applyFill="1" applyBorder="1"/>
    <xf numFmtId="182" fontId="32" fillId="0" borderId="0" xfId="0" applyNumberFormat="1" applyFont="1" applyFill="1"/>
    <xf numFmtId="0" fontId="32" fillId="0" borderId="0" xfId="0" applyFont="1" applyFill="1"/>
    <xf numFmtId="166" fontId="32" fillId="0" borderId="0" xfId="35" applyNumberFormat="1" applyFont="1" applyFill="1"/>
    <xf numFmtId="0" fontId="32" fillId="0" borderId="0" xfId="0" applyFont="1" applyFill="1" applyAlignment="1">
      <alignment horizontal="center"/>
    </xf>
    <xf numFmtId="4" fontId="32" fillId="0" borderId="0" xfId="0" applyNumberFormat="1" applyFont="1" applyFill="1"/>
    <xf numFmtId="283" fontId="6" fillId="0" borderId="0" xfId="0" applyNumberFormat="1" applyFont="1" applyFill="1" applyBorder="1"/>
    <xf numFmtId="4" fontId="6" fillId="0" borderId="0" xfId="0" applyNumberFormat="1" applyFont="1" applyFill="1" applyBorder="1"/>
    <xf numFmtId="201" fontId="6" fillId="0" borderId="0" xfId="0" applyNumberFormat="1" applyFont="1" applyFill="1"/>
    <xf numFmtId="0" fontId="150" fillId="0" borderId="0" xfId="0" applyFont="1" applyFill="1" applyBorder="1"/>
    <xf numFmtId="38" fontId="6" fillId="0" borderId="0" xfId="0" applyNumberFormat="1" applyFont="1" applyFill="1"/>
    <xf numFmtId="0" fontId="16" fillId="0" borderId="0" xfId="0" applyFont="1"/>
    <xf numFmtId="0" fontId="11" fillId="0" borderId="5" xfId="0" applyFont="1" applyBorder="1" applyAlignment="1">
      <alignment horizontal="center"/>
    </xf>
    <xf numFmtId="0" fontId="110" fillId="0" borderId="0" xfId="0" applyFont="1"/>
    <xf numFmtId="278" fontId="151" fillId="0" borderId="0" xfId="0" applyNumberFormat="1" applyFont="1"/>
    <xf numFmtId="168" fontId="151" fillId="0" borderId="0" xfId="0" applyNumberFormat="1" applyFont="1"/>
    <xf numFmtId="0" fontId="110" fillId="0" borderId="0" xfId="0" applyFont="1" applyAlignment="1">
      <alignment horizontal="left" indent="1"/>
    </xf>
    <xf numFmtId="44" fontId="6" fillId="0" borderId="6" xfId="0" applyNumberFormat="1" applyFont="1" applyBorder="1"/>
    <xf numFmtId="0" fontId="162" fillId="0" borderId="0" xfId="0" applyFont="1"/>
    <xf numFmtId="166" fontId="151" fillId="0" borderId="0" xfId="35" applyNumberFormat="1" applyFont="1"/>
    <xf numFmtId="166" fontId="151" fillId="0" borderId="0" xfId="35" applyNumberFormat="1" applyFont="1" applyAlignment="1">
      <alignment horizontal="right"/>
    </xf>
    <xf numFmtId="168" fontId="151" fillId="0" borderId="0" xfId="0" applyNumberFormat="1" applyFont="1" applyAlignment="1">
      <alignment horizontal="right"/>
    </xf>
    <xf numFmtId="278" fontId="6" fillId="0" borderId="0" xfId="0" applyNumberFormat="1" applyFont="1"/>
    <xf numFmtId="0" fontId="6" fillId="0" borderId="0" xfId="0" applyFont="1" applyAlignment="1">
      <alignment horizontal="left" indent="1"/>
    </xf>
    <xf numFmtId="0" fontId="10" fillId="7" borderId="0" xfId="0" applyFont="1" applyFill="1"/>
    <xf numFmtId="0" fontId="163" fillId="0" borderId="0" xfId="0" applyFont="1"/>
    <xf numFmtId="0" fontId="11" fillId="0" borderId="0" xfId="19" applyFont="1" applyFill="1" applyAlignment="1">
      <alignment horizontal="right"/>
    </xf>
    <xf numFmtId="0" fontId="11" fillId="4" borderId="20" xfId="19" applyFont="1" applyFill="1" applyBorder="1" applyAlignment="1">
      <alignment horizontal="left" indent="1"/>
    </xf>
    <xf numFmtId="0" fontId="56" fillId="0" borderId="0" xfId="19" applyFont="1" applyBorder="1" applyAlignment="1">
      <alignment horizontal="center"/>
    </xf>
    <xf numFmtId="0" fontId="6" fillId="0" borderId="0" xfId="19" applyFont="1" applyBorder="1" applyAlignment="1">
      <alignment horizontal="center"/>
    </xf>
    <xf numFmtId="166" fontId="56" fillId="0" borderId="0" xfId="35" applyNumberFormat="1" applyFont="1" applyBorder="1" applyAlignment="1">
      <alignment horizontal="right"/>
    </xf>
    <xf numFmtId="166" fontId="56" fillId="0" borderId="0" xfId="35" applyNumberFormat="1" applyFont="1" applyBorder="1"/>
    <xf numFmtId="166" fontId="56" fillId="0" borderId="0" xfId="35" applyNumberFormat="1" applyFont="1" applyFill="1" applyBorder="1"/>
    <xf numFmtId="0" fontId="11" fillId="3" borderId="0" xfId="0" applyFont="1" applyFill="1" applyAlignment="1">
      <alignment horizontal="left"/>
    </xf>
    <xf numFmtId="0" fontId="6" fillId="3" borderId="0" xfId="0" applyFont="1" applyFill="1" applyAlignment="1">
      <alignment horizontal="center"/>
    </xf>
    <xf numFmtId="0" fontId="6" fillId="3" borderId="0" xfId="0" applyFont="1" applyFill="1"/>
    <xf numFmtId="0" fontId="11" fillId="8" borderId="0" xfId="0" applyFont="1" applyFill="1"/>
    <xf numFmtId="0" fontId="6" fillId="8" borderId="0" xfId="0" applyFont="1" applyFill="1"/>
    <xf numFmtId="0" fontId="144" fillId="8" borderId="0" xfId="0" applyFont="1" applyFill="1" applyAlignment="1">
      <alignment horizontal="center"/>
    </xf>
    <xf numFmtId="0" fontId="144" fillId="8" borderId="38" xfId="0" applyFont="1" applyFill="1" applyBorder="1" applyAlignment="1">
      <alignment horizontal="centerContinuous"/>
    </xf>
    <xf numFmtId="0" fontId="146" fillId="8" borderId="38" xfId="0" applyFont="1" applyFill="1" applyBorder="1" applyAlignment="1">
      <alignment horizontal="centerContinuous"/>
    </xf>
    <xf numFmtId="5" fontId="6" fillId="3" borderId="0" xfId="0" applyNumberFormat="1" applyFont="1" applyFill="1" applyAlignment="1">
      <alignment horizontal="left"/>
    </xf>
    <xf numFmtId="173" fontId="11" fillId="3" borderId="0" xfId="0" applyNumberFormat="1" applyFont="1" applyFill="1" applyAlignment="1" applyProtection="1">
      <alignment horizontal="center"/>
    </xf>
    <xf numFmtId="6" fontId="11" fillId="3" borderId="0" xfId="0" applyNumberFormat="1" applyFont="1" applyFill="1" applyAlignment="1">
      <alignment horizontal="center"/>
    </xf>
    <xf numFmtId="5" fontId="11" fillId="3" borderId="0" xfId="0" applyNumberFormat="1" applyFont="1" applyFill="1" applyAlignment="1" applyProtection="1">
      <alignment horizontal="center"/>
    </xf>
    <xf numFmtId="5" fontId="6" fillId="3" borderId="0" xfId="0" applyNumberFormat="1" applyFont="1" applyFill="1" applyAlignment="1" applyProtection="1">
      <alignment horizontal="center"/>
    </xf>
    <xf numFmtId="256" fontId="6" fillId="3" borderId="0" xfId="0" applyNumberFormat="1" applyFont="1" applyFill="1" applyAlignment="1">
      <alignment horizontal="center"/>
    </xf>
    <xf numFmtId="37" fontId="6" fillId="3" borderId="0" xfId="0" applyNumberFormat="1" applyFont="1" applyFill="1" applyAlignment="1" applyProtection="1">
      <alignment horizontal="center"/>
    </xf>
    <xf numFmtId="6" fontId="6" fillId="3" borderId="0" xfId="0" applyNumberFormat="1" applyFont="1" applyFill="1" applyAlignment="1">
      <alignment horizontal="center"/>
    </xf>
    <xf numFmtId="37" fontId="6" fillId="3" borderId="0" xfId="0" applyNumberFormat="1" applyFont="1" applyFill="1" applyAlignment="1">
      <alignment horizontal="center"/>
    </xf>
    <xf numFmtId="7" fontId="6" fillId="3" borderId="0" xfId="0" applyNumberFormat="1" applyFont="1" applyFill="1" applyAlignment="1" applyProtection="1">
      <alignment horizontal="center"/>
    </xf>
    <xf numFmtId="8" fontId="11" fillId="3" borderId="0" xfId="0" applyNumberFormat="1" applyFont="1" applyFill="1" applyAlignment="1">
      <alignment horizontal="center"/>
    </xf>
    <xf numFmtId="168" fontId="6" fillId="3" borderId="0" xfId="0" applyNumberFormat="1" applyFont="1" applyFill="1" applyAlignment="1" applyProtection="1">
      <alignment horizontal="center"/>
    </xf>
    <xf numFmtId="170" fontId="6" fillId="3" borderId="0" xfId="0" applyNumberFormat="1" applyFont="1" applyFill="1" applyAlignment="1">
      <alignment horizontal="center"/>
    </xf>
    <xf numFmtId="5" fontId="11" fillId="3" borderId="0" xfId="0" applyNumberFormat="1" applyFont="1" applyFill="1" applyAlignment="1">
      <alignment horizontal="left"/>
    </xf>
    <xf numFmtId="189" fontId="6" fillId="3" borderId="0" xfId="0" applyNumberFormat="1" applyFont="1" applyFill="1" applyAlignment="1" applyProtection="1">
      <alignment horizontal="center"/>
    </xf>
    <xf numFmtId="166" fontId="6" fillId="3" borderId="0" xfId="0" applyNumberFormat="1" applyFont="1" applyFill="1" applyAlignment="1" applyProtection="1">
      <alignment horizontal="center"/>
    </xf>
    <xf numFmtId="9" fontId="6" fillId="3" borderId="0" xfId="35" applyFont="1" applyFill="1" applyAlignment="1">
      <alignment horizontal="center"/>
    </xf>
    <xf numFmtId="0" fontId="15" fillId="3" borderId="0" xfId="0" applyFont="1" applyFill="1"/>
    <xf numFmtId="5" fontId="6" fillId="3" borderId="0" xfId="0" applyNumberFormat="1" applyFont="1" applyFill="1" applyAlignment="1">
      <alignment horizontal="left" indent="1"/>
    </xf>
    <xf numFmtId="8" fontId="6" fillId="3" borderId="0" xfId="0" applyNumberFormat="1" applyFont="1" applyFill="1" applyAlignment="1">
      <alignment horizontal="center"/>
    </xf>
    <xf numFmtId="5" fontId="11" fillId="3" borderId="0" xfId="0" applyNumberFormat="1" applyFont="1" applyFill="1" applyAlignment="1">
      <alignment horizontal="left" indent="1"/>
    </xf>
    <xf numFmtId="37" fontId="18" fillId="3" borderId="0" xfId="0" applyNumberFormat="1" applyFont="1" applyFill="1" applyAlignment="1" applyProtection="1">
      <alignment horizontal="center"/>
    </xf>
    <xf numFmtId="168" fontId="18" fillId="3" borderId="0" xfId="0" applyNumberFormat="1" applyFont="1" applyFill="1" applyAlignment="1" applyProtection="1">
      <alignment horizontal="center"/>
    </xf>
    <xf numFmtId="189" fontId="18" fillId="3" borderId="0" xfId="0" applyNumberFormat="1" applyFont="1" applyFill="1" applyAlignment="1" applyProtection="1">
      <alignment horizontal="center"/>
    </xf>
    <xf numFmtId="173" fontId="16" fillId="3" borderId="0" xfId="0" applyNumberFormat="1" applyFont="1" applyFill="1" applyAlignment="1" applyProtection="1">
      <alignment horizontal="center"/>
    </xf>
    <xf numFmtId="5" fontId="16" fillId="3" borderId="0" xfId="0" applyNumberFormat="1" applyFont="1" applyFill="1" applyAlignment="1" applyProtection="1">
      <alignment horizontal="center"/>
    </xf>
    <xf numFmtId="7" fontId="18" fillId="3" borderId="0" xfId="0" applyNumberFormat="1" applyFont="1" applyFill="1" applyAlignment="1" applyProtection="1">
      <alignment horizontal="center"/>
    </xf>
    <xf numFmtId="44" fontId="10" fillId="0" borderId="0" xfId="0" applyNumberFormat="1" applyFont="1"/>
    <xf numFmtId="264" fontId="12" fillId="0" borderId="0" xfId="11" applyNumberFormat="1" applyFont="1" applyFill="1" applyBorder="1" applyAlignment="1">
      <alignment horizontal="right"/>
    </xf>
    <xf numFmtId="189" fontId="2" fillId="0" borderId="0" xfId="35" applyNumberFormat="1" applyFont="1" applyFill="1" applyBorder="1" applyAlignment="1">
      <alignment horizontal="right"/>
    </xf>
    <xf numFmtId="166" fontId="2" fillId="0" borderId="0" xfId="35" applyNumberFormat="1" applyFont="1" applyFill="1" applyAlignment="1">
      <alignment horizontal="right"/>
    </xf>
    <xf numFmtId="264" fontId="130" fillId="0" borderId="0" xfId="23" applyNumberFormat="1" applyFont="1" applyFill="1" applyBorder="1" applyAlignment="1">
      <alignment horizontal="right"/>
    </xf>
    <xf numFmtId="268" fontId="12" fillId="0" borderId="6" xfId="23" applyNumberFormat="1" applyFont="1" applyFill="1" applyBorder="1" applyAlignment="1">
      <alignment horizontal="right"/>
    </xf>
    <xf numFmtId="44" fontId="0" fillId="0" borderId="0" xfId="0" applyNumberFormat="1"/>
    <xf numFmtId="0" fontId="10" fillId="6" borderId="0" xfId="0" applyFont="1" applyFill="1" applyBorder="1"/>
    <xf numFmtId="0" fontId="0" fillId="0" borderId="0" xfId="0"/>
    <xf numFmtId="0" fontId="6" fillId="3" borderId="0" xfId="33" applyNumberFormat="1" applyFont="1" applyFill="1" applyAlignment="1">
      <alignment horizontal="right"/>
    </xf>
    <xf numFmtId="0" fontId="11" fillId="0" borderId="4" xfId="0" applyFont="1" applyBorder="1" applyAlignment="1">
      <alignment horizontal="center"/>
    </xf>
    <xf numFmtId="0" fontId="12" fillId="9" borderId="4" xfId="0" applyFont="1" applyFill="1" applyBorder="1"/>
    <xf numFmtId="0" fontId="0" fillId="9" borderId="0" xfId="0" applyFill="1"/>
    <xf numFmtId="0" fontId="2" fillId="0" borderId="0" xfId="0" applyFont="1"/>
    <xf numFmtId="37" fontId="6" fillId="9" borderId="0" xfId="15" applyNumberFormat="1" applyFont="1" applyFill="1" applyAlignment="1" applyProtection="1">
      <alignment horizontal="center"/>
    </xf>
    <xf numFmtId="37" fontId="6" fillId="9" borderId="0" xfId="33" applyNumberFormat="1" applyFont="1" applyFill="1" applyAlignment="1">
      <alignment horizontal="center"/>
    </xf>
    <xf numFmtId="6" fontId="6" fillId="9" borderId="0" xfId="44" applyNumberFormat="1" applyFont="1" applyFill="1" applyAlignment="1" applyProtection="1">
      <alignment horizontal="center"/>
    </xf>
    <xf numFmtId="7" fontId="6" fillId="9" borderId="0" xfId="33" applyNumberFormat="1" applyFont="1" applyFill="1" applyAlignment="1">
      <alignment horizontal="center"/>
    </xf>
    <xf numFmtId="37" fontId="6" fillId="9" borderId="0" xfId="44" applyNumberFormat="1" applyFont="1" applyFill="1" applyAlignment="1" applyProtection="1">
      <alignment horizontal="center"/>
    </xf>
    <xf numFmtId="168" fontId="6" fillId="3" borderId="0" xfId="33" applyNumberFormat="1" applyFont="1" applyFill="1" applyAlignment="1">
      <alignment horizontal="center"/>
    </xf>
    <xf numFmtId="168" fontId="6" fillId="9" borderId="0" xfId="44" applyNumberFormat="1" applyFont="1" applyFill="1" applyAlignment="1" applyProtection="1">
      <alignment horizontal="center"/>
    </xf>
    <xf numFmtId="37" fontId="13" fillId="9" borderId="0" xfId="0" applyNumberFormat="1" applyFont="1" applyFill="1" applyAlignment="1">
      <alignment horizontal="right"/>
    </xf>
    <xf numFmtId="0" fontId="11" fillId="0" borderId="0" xfId="0" applyFont="1" applyBorder="1" applyAlignment="1">
      <alignment horizontal="center"/>
    </xf>
    <xf numFmtId="182" fontId="6" fillId="0" borderId="4" xfId="0" applyNumberFormat="1" applyFont="1" applyFill="1" applyBorder="1"/>
    <xf numFmtId="0" fontId="11" fillId="0" borderId="0" xfId="0" applyFont="1" applyBorder="1" applyAlignment="1">
      <alignment horizontal="center"/>
    </xf>
    <xf numFmtId="14" fontId="12" fillId="9" borderId="0" xfId="0" applyNumberFormat="1" applyFont="1" applyFill="1"/>
    <xf numFmtId="0" fontId="62" fillId="9" borderId="0" xfId="21" applyFont="1" applyFill="1" applyAlignment="1">
      <alignment horizontal="left"/>
    </xf>
    <xf numFmtId="0" fontId="62" fillId="9" borderId="0" xfId="21" applyFont="1" applyFill="1"/>
    <xf numFmtId="0" fontId="10" fillId="9" borderId="0" xfId="0" applyFont="1" applyFill="1"/>
    <xf numFmtId="0" fontId="2" fillId="9" borderId="0" xfId="0" applyFont="1" applyFill="1"/>
    <xf numFmtId="0" fontId="21" fillId="9" borderId="4" xfId="21" applyFont="1" applyFill="1" applyBorder="1"/>
    <xf numFmtId="0" fontId="62" fillId="9" borderId="4" xfId="21" applyFont="1" applyFill="1" applyBorder="1" applyAlignment="1">
      <alignment horizontal="left"/>
    </xf>
    <xf numFmtId="0" fontId="62" fillId="9" borderId="4" xfId="21" applyFont="1" applyFill="1" applyBorder="1"/>
    <xf numFmtId="0" fontId="177" fillId="9" borderId="0" xfId="0" applyFont="1" applyFill="1"/>
    <xf numFmtId="0" fontId="177" fillId="9" borderId="4" xfId="21" applyFont="1" applyFill="1" applyBorder="1" applyAlignment="1">
      <alignment horizontal="left"/>
    </xf>
    <xf numFmtId="0" fontId="177" fillId="9" borderId="4" xfId="21" applyFont="1" applyFill="1" applyBorder="1"/>
    <xf numFmtId="0" fontId="2" fillId="9" borderId="4" xfId="0" applyFont="1" applyFill="1" applyBorder="1"/>
    <xf numFmtId="0" fontId="2" fillId="9" borderId="4" xfId="21" applyFont="1" applyFill="1" applyBorder="1" applyAlignment="1">
      <alignment horizontal="left"/>
    </xf>
    <xf numFmtId="0" fontId="2" fillId="9" borderId="4" xfId="21" applyFont="1" applyFill="1" applyBorder="1"/>
    <xf numFmtId="0" fontId="177" fillId="9" borderId="4" xfId="0" applyFont="1" applyFill="1" applyBorder="1"/>
    <xf numFmtId="0" fontId="10" fillId="9" borderId="4" xfId="0" applyFont="1" applyFill="1" applyBorder="1"/>
    <xf numFmtId="0" fontId="26" fillId="9" borderId="0" xfId="21" applyFont="1" applyFill="1"/>
    <xf numFmtId="0" fontId="26" fillId="9" borderId="0" xfId="21" applyFont="1" applyFill="1" applyAlignment="1">
      <alignment horizontal="left"/>
    </xf>
    <xf numFmtId="0" fontId="178" fillId="9" borderId="0" xfId="21" applyFont="1" applyFill="1" applyAlignment="1">
      <alignment horizontal="left"/>
    </xf>
    <xf numFmtId="0" fontId="178" fillId="9" borderId="0" xfId="21" applyFont="1" applyFill="1"/>
    <xf numFmtId="0" fontId="6" fillId="9" borderId="0" xfId="21" applyFont="1" applyFill="1" applyAlignment="1">
      <alignment horizontal="left"/>
    </xf>
    <xf numFmtId="0" fontId="6" fillId="9" borderId="0" xfId="21" applyFont="1" applyFill="1"/>
    <xf numFmtId="7" fontId="6" fillId="9" borderId="0" xfId="35" applyNumberFormat="1" applyFont="1" applyFill="1" applyAlignment="1">
      <alignment horizontal="left"/>
    </xf>
    <xf numFmtId="0" fontId="6" fillId="9" borderId="0" xfId="0" applyFont="1" applyFill="1"/>
    <xf numFmtId="166" fontId="6" fillId="9" borderId="0" xfId="35" applyNumberFormat="1" applyFont="1" applyFill="1" applyAlignment="1">
      <alignment horizontal="left"/>
    </xf>
    <xf numFmtId="166" fontId="11" fillId="9" borderId="0" xfId="35" applyNumberFormat="1" applyFont="1" applyFill="1" applyBorder="1" applyAlignment="1">
      <alignment horizontal="centerContinuous"/>
    </xf>
    <xf numFmtId="166" fontId="179" fillId="9" borderId="0" xfId="35" applyNumberFormat="1" applyFont="1" applyFill="1" applyBorder="1" applyAlignment="1">
      <alignment horizontal="centerContinuous"/>
    </xf>
    <xf numFmtId="7" fontId="0" fillId="9" borderId="0" xfId="0" applyNumberFormat="1" applyFill="1"/>
    <xf numFmtId="186" fontId="0" fillId="9" borderId="0" xfId="0" applyNumberFormat="1" applyFill="1"/>
    <xf numFmtId="166" fontId="0" fillId="9" borderId="0" xfId="35" applyNumberFormat="1" applyFont="1" applyFill="1"/>
    <xf numFmtId="15" fontId="26" fillId="9" borderId="0" xfId="21" applyNumberFormat="1" applyFont="1" applyFill="1" applyBorder="1"/>
    <xf numFmtId="0" fontId="145" fillId="9" borderId="0" xfId="21" applyFont="1" applyFill="1" applyBorder="1" applyAlignment="1">
      <alignment horizontal="centerContinuous"/>
    </xf>
    <xf numFmtId="0" fontId="145" fillId="9" borderId="0" xfId="21" applyFont="1" applyFill="1" applyBorder="1" applyAlignment="1">
      <alignment horizontal="center"/>
    </xf>
    <xf numFmtId="0" fontId="26" fillId="9" borderId="0" xfId="21" applyFont="1" applyFill="1" applyAlignment="1">
      <alignment horizontal="centerContinuous"/>
    </xf>
    <xf numFmtId="7" fontId="145" fillId="9" borderId="0" xfId="21" applyNumberFormat="1" applyFont="1" applyFill="1" applyBorder="1" applyAlignment="1">
      <alignment horizontal="centerContinuous"/>
    </xf>
    <xf numFmtId="0" fontId="6" fillId="9" borderId="0" xfId="0" applyFont="1" applyFill="1" applyBorder="1"/>
    <xf numFmtId="0" fontId="26" fillId="9" borderId="16" xfId="21" applyNumberFormat="1" applyFont="1" applyFill="1" applyBorder="1"/>
    <xf numFmtId="0" fontId="26" fillId="9" borderId="5" xfId="35" quotePrefix="1" applyNumberFormat="1" applyFont="1" applyFill="1" applyBorder="1" applyAlignment="1">
      <alignment horizontal="centerContinuous"/>
    </xf>
    <xf numFmtId="0" fontId="16" fillId="9" borderId="6" xfId="35" applyNumberFormat="1" applyFont="1" applyFill="1" applyBorder="1" applyAlignment="1">
      <alignment horizontal="centerContinuous"/>
    </xf>
    <xf numFmtId="0" fontId="26" fillId="9" borderId="6" xfId="35" applyNumberFormat="1" applyFont="1" applyFill="1" applyBorder="1" applyAlignment="1">
      <alignment horizontal="centerContinuous"/>
    </xf>
    <xf numFmtId="0" fontId="26" fillId="9" borderId="5" xfId="35" applyNumberFormat="1" applyFont="1" applyFill="1" applyBorder="1" applyAlignment="1">
      <alignment horizontal="centerContinuous"/>
    </xf>
    <xf numFmtId="0" fontId="11" fillId="9" borderId="6" xfId="35" applyNumberFormat="1" applyFont="1" applyFill="1" applyBorder="1" applyAlignment="1">
      <alignment horizontal="centerContinuous"/>
    </xf>
    <xf numFmtId="0" fontId="6" fillId="9" borderId="6" xfId="35" applyNumberFormat="1" applyFont="1" applyFill="1" applyBorder="1" applyAlignment="1">
      <alignment horizontal="centerContinuous"/>
    </xf>
    <xf numFmtId="0" fontId="26" fillId="9" borderId="5" xfId="21" applyNumberFormat="1" applyFont="1" applyFill="1" applyBorder="1"/>
    <xf numFmtId="287" fontId="16" fillId="9" borderId="6" xfId="35" applyNumberFormat="1" applyFont="1" applyFill="1" applyBorder="1" applyAlignment="1">
      <alignment horizontal="centerContinuous"/>
    </xf>
    <xf numFmtId="0" fontId="16" fillId="9" borderId="5" xfId="43" applyNumberFormat="1" applyFont="1" applyFill="1" applyBorder="1" applyAlignment="1">
      <alignment horizontal="center"/>
    </xf>
    <xf numFmtId="0" fontId="11" fillId="9" borderId="5" xfId="43" applyNumberFormat="1" applyFont="1" applyFill="1" applyBorder="1" applyAlignment="1">
      <alignment horizontal="center"/>
    </xf>
    <xf numFmtId="0" fontId="11" fillId="9" borderId="16" xfId="43" applyNumberFormat="1" applyFont="1" applyFill="1" applyBorder="1" applyAlignment="1">
      <alignment horizontal="center"/>
    </xf>
    <xf numFmtId="0" fontId="6" fillId="9" borderId="12" xfId="0" applyFont="1" applyFill="1" applyBorder="1"/>
    <xf numFmtId="0" fontId="157" fillId="9" borderId="12" xfId="21" applyFont="1" applyFill="1" applyBorder="1"/>
    <xf numFmtId="170" fontId="157" fillId="9" borderId="0" xfId="43" applyFont="1" applyFill="1" applyBorder="1" applyAlignment="1">
      <alignment horizontal="center"/>
    </xf>
    <xf numFmtId="170" fontId="17" fillId="9" borderId="0" xfId="43" applyFont="1" applyFill="1" applyBorder="1" applyAlignment="1">
      <alignment horizontal="center"/>
    </xf>
    <xf numFmtId="170" fontId="15" fillId="9" borderId="0" xfId="43" applyFont="1" applyFill="1" applyBorder="1" applyAlignment="1">
      <alignment horizontal="center"/>
    </xf>
    <xf numFmtId="0" fontId="157" fillId="9" borderId="0" xfId="21" applyFont="1" applyFill="1" applyBorder="1" applyAlignment="1">
      <alignment horizontal="center"/>
    </xf>
    <xf numFmtId="170" fontId="182" fillId="9" borderId="0" xfId="43" applyFont="1" applyFill="1" applyBorder="1" applyAlignment="1">
      <alignment horizontal="center"/>
    </xf>
    <xf numFmtId="170" fontId="15" fillId="9" borderId="12" xfId="43" applyFont="1" applyFill="1" applyBorder="1" applyAlignment="1">
      <alignment horizontal="center"/>
    </xf>
    <xf numFmtId="170" fontId="68" fillId="9" borderId="0" xfId="43" applyFont="1" applyFill="1" applyBorder="1" applyAlignment="1">
      <alignment horizontal="center"/>
    </xf>
    <xf numFmtId="170" fontId="68" fillId="9" borderId="12" xfId="43" applyFont="1" applyFill="1" applyBorder="1" applyAlignment="1">
      <alignment horizontal="center"/>
    </xf>
    <xf numFmtId="0" fontId="26" fillId="9" borderId="12" xfId="21" applyFont="1" applyFill="1" applyBorder="1"/>
    <xf numFmtId="170" fontId="158" fillId="9" borderId="0" xfId="43" applyFont="1" applyFill="1" applyBorder="1" applyAlignment="1">
      <alignment horizontal="center"/>
    </xf>
    <xf numFmtId="0" fontId="158" fillId="9" borderId="0" xfId="21" applyFont="1" applyFill="1" applyBorder="1" applyAlignment="1">
      <alignment horizontal="center"/>
    </xf>
    <xf numFmtId="0" fontId="26" fillId="9" borderId="0" xfId="21" applyFont="1" applyFill="1" applyBorder="1"/>
    <xf numFmtId="5" fontId="26" fillId="9" borderId="12" xfId="21" applyNumberFormat="1" applyFont="1" applyFill="1" applyBorder="1"/>
    <xf numFmtId="5" fontId="26" fillId="9" borderId="0" xfId="21" applyNumberFormat="1" applyFont="1" applyFill="1" applyBorder="1" applyAlignment="1">
      <alignment horizontal="right"/>
    </xf>
    <xf numFmtId="173" fontId="26" fillId="9" borderId="0" xfId="21" applyNumberFormat="1" applyFont="1" applyFill="1" applyBorder="1" applyAlignment="1">
      <alignment horizontal="right"/>
    </xf>
    <xf numFmtId="5" fontId="26" fillId="9" borderId="12" xfId="21" applyNumberFormat="1" applyFont="1" applyFill="1" applyBorder="1" applyAlignment="1">
      <alignment horizontal="right"/>
    </xf>
    <xf numFmtId="188" fontId="26" fillId="9" borderId="0" xfId="21" applyNumberFormat="1" applyFont="1" applyFill="1" applyBorder="1" applyAlignment="1">
      <alignment horizontal="right"/>
    </xf>
    <xf numFmtId="37" fontId="26" fillId="9" borderId="12" xfId="21" applyNumberFormat="1" applyFont="1" applyFill="1" applyBorder="1"/>
    <xf numFmtId="37" fontId="26" fillId="9" borderId="0" xfId="21" applyNumberFormat="1" applyFont="1" applyFill="1" applyBorder="1" applyAlignment="1">
      <alignment horizontal="center"/>
    </xf>
    <xf numFmtId="37" fontId="26" fillId="9" borderId="0" xfId="21" applyNumberFormat="1" applyFont="1" applyFill="1" applyBorder="1"/>
    <xf numFmtId="37" fontId="26" fillId="9" borderId="0" xfId="21" applyNumberFormat="1" applyFont="1" applyFill="1" applyBorder="1" applyAlignment="1">
      <alignment horizontal="right"/>
    </xf>
    <xf numFmtId="37" fontId="26" fillId="9" borderId="12" xfId="21" applyNumberFormat="1" applyFont="1" applyFill="1" applyBorder="1" applyAlignment="1">
      <alignment horizontal="right"/>
    </xf>
    <xf numFmtId="37" fontId="6" fillId="9" borderId="0" xfId="0" applyNumberFormat="1" applyFont="1" applyFill="1"/>
    <xf numFmtId="10" fontId="6" fillId="9" borderId="0" xfId="35" applyNumberFormat="1" applyFont="1" applyFill="1"/>
    <xf numFmtId="10" fontId="0" fillId="9" borderId="0" xfId="0" applyNumberFormat="1" applyFill="1"/>
    <xf numFmtId="2" fontId="26" fillId="9" borderId="0" xfId="21" applyNumberFormat="1" applyFont="1" applyFill="1" applyBorder="1"/>
    <xf numFmtId="2" fontId="26" fillId="9" borderId="12" xfId="21" applyNumberFormat="1" applyFont="1" applyFill="1" applyBorder="1"/>
    <xf numFmtId="2" fontId="26" fillId="9" borderId="0" xfId="21" applyNumberFormat="1" applyFont="1" applyFill="1" applyBorder="1" applyAlignment="1">
      <alignment horizontal="right"/>
    </xf>
    <xf numFmtId="2" fontId="26" fillId="9" borderId="12" xfId="21" applyNumberFormat="1" applyFont="1" applyFill="1" applyBorder="1" applyAlignment="1">
      <alignment horizontal="right"/>
    </xf>
    <xf numFmtId="168" fontId="26" fillId="9" borderId="0" xfId="21" applyNumberFormat="1" applyFont="1" applyFill="1" applyBorder="1"/>
    <xf numFmtId="1" fontId="26" fillId="9" borderId="0" xfId="21" applyNumberFormat="1" applyFont="1" applyFill="1" applyBorder="1"/>
    <xf numFmtId="188" fontId="26" fillId="9" borderId="0" xfId="21" applyNumberFormat="1" applyFont="1" applyFill="1" applyBorder="1"/>
    <xf numFmtId="263" fontId="22" fillId="9" borderId="0" xfId="21" applyNumberFormat="1" applyFont="1" applyFill="1" applyBorder="1"/>
    <xf numFmtId="188" fontId="26" fillId="9" borderId="12" xfId="21" applyNumberFormat="1" applyFont="1" applyFill="1" applyBorder="1"/>
    <xf numFmtId="188" fontId="26" fillId="9" borderId="12" xfId="21" applyNumberFormat="1" applyFont="1" applyFill="1" applyBorder="1" applyAlignment="1">
      <alignment horizontal="right"/>
    </xf>
    <xf numFmtId="263" fontId="159" fillId="9" borderId="0" xfId="21" applyNumberFormat="1" applyFont="1" applyFill="1" applyBorder="1" applyAlignment="1">
      <alignment horizontal="right"/>
    </xf>
    <xf numFmtId="263" fontId="159" fillId="9" borderId="12" xfId="21" applyNumberFormat="1" applyFont="1" applyFill="1" applyBorder="1"/>
    <xf numFmtId="263" fontId="159" fillId="9" borderId="0" xfId="21" applyNumberFormat="1" applyFont="1" applyFill="1" applyBorder="1"/>
    <xf numFmtId="5" fontId="10" fillId="9" borderId="0" xfId="0" applyNumberFormat="1" applyFont="1" applyFill="1"/>
    <xf numFmtId="5" fontId="6" fillId="9" borderId="0" xfId="0" applyNumberFormat="1" applyFont="1" applyFill="1"/>
    <xf numFmtId="168" fontId="26" fillId="9" borderId="12" xfId="21" applyNumberFormat="1" applyFont="1" applyFill="1" applyBorder="1"/>
    <xf numFmtId="168" fontId="26" fillId="9" borderId="0" xfId="21" applyNumberFormat="1" applyFont="1" applyFill="1" applyBorder="1" applyAlignment="1">
      <alignment horizontal="right"/>
    </xf>
    <xf numFmtId="168" fontId="26" fillId="9" borderId="12" xfId="21" applyNumberFormat="1" applyFont="1" applyFill="1" applyBorder="1" applyAlignment="1">
      <alignment horizontal="right"/>
    </xf>
    <xf numFmtId="168" fontId="26" fillId="9" borderId="5" xfId="21" applyNumberFormat="1" applyFont="1" applyFill="1" applyBorder="1" applyAlignment="1">
      <alignment horizontal="right"/>
    </xf>
    <xf numFmtId="166" fontId="6" fillId="9" borderId="0" xfId="35" applyNumberFormat="1" applyFont="1" applyFill="1"/>
    <xf numFmtId="168" fontId="26" fillId="9" borderId="14" xfId="21" applyNumberFormat="1" applyFont="1" applyFill="1" applyBorder="1"/>
    <xf numFmtId="168" fontId="26" fillId="9" borderId="4" xfId="21" applyNumberFormat="1" applyFont="1" applyFill="1" applyBorder="1" applyAlignment="1">
      <alignment horizontal="right"/>
    </xf>
    <xf numFmtId="168" fontId="26" fillId="9" borderId="14" xfId="21" applyNumberFormat="1" applyFont="1" applyFill="1" applyBorder="1" applyAlignment="1">
      <alignment horizontal="right"/>
    </xf>
    <xf numFmtId="171" fontId="6" fillId="9" borderId="0" xfId="0" applyNumberFormat="1" applyFont="1" applyFill="1"/>
    <xf numFmtId="171" fontId="0" fillId="9" borderId="0" xfId="0" applyNumberFormat="1" applyFill="1"/>
    <xf numFmtId="7" fontId="26" fillId="9" borderId="0" xfId="21" applyNumberFormat="1" applyFont="1" applyFill="1"/>
    <xf numFmtId="0" fontId="26" fillId="9" borderId="0" xfId="21" applyFont="1" applyFill="1" applyBorder="1" applyAlignment="1">
      <alignment horizontal="right"/>
    </xf>
    <xf numFmtId="0" fontId="26" fillId="9" borderId="12" xfId="21" applyFont="1" applyFill="1" applyBorder="1" applyAlignment="1">
      <alignment horizontal="right"/>
    </xf>
    <xf numFmtId="166" fontId="6" fillId="9" borderId="0" xfId="0" applyNumberFormat="1" applyFont="1" applyFill="1"/>
    <xf numFmtId="5" fontId="26" fillId="9" borderId="0" xfId="21" applyNumberFormat="1" applyFont="1" applyFill="1" applyAlignment="1">
      <alignment horizontal="right"/>
    </xf>
    <xf numFmtId="173" fontId="26" fillId="9" borderId="0" xfId="21" applyNumberFormat="1" applyFont="1" applyFill="1" applyAlignment="1">
      <alignment horizontal="right"/>
    </xf>
    <xf numFmtId="0" fontId="0" fillId="9" borderId="12" xfId="0" applyFill="1" applyBorder="1"/>
    <xf numFmtId="189" fontId="26" fillId="9" borderId="0" xfId="21" applyNumberFormat="1" applyFont="1" applyFill="1"/>
    <xf numFmtId="7" fontId="6" fillId="9" borderId="0" xfId="0" applyNumberFormat="1" applyFont="1" applyFill="1"/>
    <xf numFmtId="166" fontId="26" fillId="9" borderId="0" xfId="21" applyNumberFormat="1" applyFont="1" applyFill="1" applyAlignment="1">
      <alignment horizontal="right"/>
    </xf>
    <xf numFmtId="189" fontId="26" fillId="9" borderId="0" xfId="35" applyNumberFormat="1" applyFont="1" applyFill="1" applyAlignment="1">
      <alignment horizontal="right"/>
    </xf>
    <xf numFmtId="166" fontId="26" fillId="9" borderId="0" xfId="35" applyNumberFormat="1" applyFont="1" applyFill="1" applyBorder="1" applyAlignment="1">
      <alignment horizontal="right"/>
    </xf>
    <xf numFmtId="166" fontId="26" fillId="9" borderId="12" xfId="35" applyNumberFormat="1" applyFont="1" applyFill="1" applyBorder="1" applyAlignment="1">
      <alignment horizontal="right"/>
    </xf>
    <xf numFmtId="168" fontId="26" fillId="9" borderId="0" xfId="21" applyNumberFormat="1" applyFont="1" applyFill="1" applyAlignment="1">
      <alignment horizontal="right"/>
    </xf>
    <xf numFmtId="166" fontId="26" fillId="9" borderId="0" xfId="35" applyNumberFormat="1" applyFont="1" applyFill="1" applyAlignment="1">
      <alignment horizontal="right"/>
    </xf>
    <xf numFmtId="10" fontId="26" fillId="9" borderId="0" xfId="35" applyNumberFormat="1" applyFont="1" applyFill="1" applyBorder="1" applyAlignment="1">
      <alignment horizontal="right"/>
    </xf>
    <xf numFmtId="166" fontId="26" fillId="9" borderId="0" xfId="21" applyNumberFormat="1" applyFont="1" applyFill="1"/>
    <xf numFmtId="166" fontId="26" fillId="9" borderId="0" xfId="21" applyNumberFormat="1" applyFont="1" applyFill="1" applyBorder="1"/>
    <xf numFmtId="166" fontId="26" fillId="9" borderId="12" xfId="21" applyNumberFormat="1" applyFont="1" applyFill="1" applyBorder="1"/>
    <xf numFmtId="166" fontId="26" fillId="9" borderId="0" xfId="21" applyNumberFormat="1" applyFont="1" applyFill="1" applyBorder="1" applyAlignment="1">
      <alignment horizontal="right"/>
    </xf>
    <xf numFmtId="166" fontId="26" fillId="9" borderId="12" xfId="21" applyNumberFormat="1" applyFont="1" applyFill="1" applyBorder="1" applyAlignment="1">
      <alignment horizontal="right"/>
    </xf>
    <xf numFmtId="0" fontId="26" fillId="9" borderId="0" xfId="21" applyNumberFormat="1" applyFont="1" applyFill="1"/>
    <xf numFmtId="166" fontId="26" fillId="9" borderId="0" xfId="35" applyNumberFormat="1" applyFont="1" applyFill="1"/>
    <xf numFmtId="189" fontId="26" fillId="9" borderId="0" xfId="27" applyNumberFormat="1" applyFont="1" applyFill="1" applyAlignment="1">
      <alignment horizontal="right"/>
    </xf>
    <xf numFmtId="166" fontId="26" fillId="9" borderId="0" xfId="27" applyNumberFormat="1" applyFont="1" applyFill="1" applyAlignment="1">
      <alignment horizontal="right"/>
    </xf>
    <xf numFmtId="166" fontId="26" fillId="9" borderId="0" xfId="27" applyNumberFormat="1" applyFont="1" applyFill="1" applyBorder="1" applyAlignment="1">
      <alignment horizontal="right"/>
    </xf>
    <xf numFmtId="170" fontId="26" fillId="9" borderId="0" xfId="8" applyNumberFormat="1" applyFont="1" applyFill="1" applyAlignment="1">
      <alignment horizontal="right"/>
    </xf>
    <xf numFmtId="166" fontId="26" fillId="9" borderId="0" xfId="8" applyNumberFormat="1" applyFont="1" applyFill="1" applyAlignment="1">
      <alignment horizontal="right"/>
    </xf>
    <xf numFmtId="189" fontId="61" fillId="9" borderId="0" xfId="35" applyNumberFormat="1" applyFont="1" applyFill="1" applyAlignment="1">
      <alignment horizontal="right"/>
    </xf>
    <xf numFmtId="166" fontId="61" fillId="9" borderId="0" xfId="8" applyNumberFormat="1" applyFont="1" applyFill="1" applyAlignment="1">
      <alignment horizontal="right"/>
    </xf>
    <xf numFmtId="166" fontId="61" fillId="9" borderId="0" xfId="35" applyNumberFormat="1" applyFont="1" applyFill="1" applyBorder="1" applyAlignment="1">
      <alignment horizontal="right"/>
    </xf>
    <xf numFmtId="166" fontId="61" fillId="9" borderId="12" xfId="35" applyNumberFormat="1" applyFont="1" applyFill="1" applyBorder="1" applyAlignment="1">
      <alignment horizontal="right"/>
    </xf>
    <xf numFmtId="189" fontId="61" fillId="9" borderId="12" xfId="35" applyNumberFormat="1" applyFont="1" applyFill="1" applyBorder="1" applyAlignment="1">
      <alignment horizontal="right"/>
    </xf>
    <xf numFmtId="189" fontId="61" fillId="9" borderId="0" xfId="35" applyNumberFormat="1" applyFont="1" applyFill="1" applyBorder="1" applyAlignment="1">
      <alignment horizontal="right"/>
    </xf>
    <xf numFmtId="0" fontId="78" fillId="9" borderId="0" xfId="0" applyFont="1" applyFill="1"/>
    <xf numFmtId="166" fontId="28" fillId="9" borderId="0" xfId="35" applyNumberFormat="1" applyFont="1" applyFill="1" applyBorder="1" applyAlignment="1">
      <alignment horizontal="right"/>
    </xf>
    <xf numFmtId="166" fontId="6" fillId="9" borderId="0" xfId="35" applyNumberFormat="1" applyFont="1" applyFill="1" applyAlignment="1">
      <alignment horizontal="right"/>
    </xf>
    <xf numFmtId="166" fontId="6" fillId="9" borderId="0" xfId="35" applyNumberFormat="1" applyFont="1" applyFill="1" applyBorder="1" applyAlignment="1">
      <alignment horizontal="right"/>
    </xf>
    <xf numFmtId="189" fontId="26" fillId="9" borderId="0" xfId="35" applyNumberFormat="1" applyFont="1" applyFill="1" applyBorder="1" applyAlignment="1">
      <alignment horizontal="right"/>
    </xf>
    <xf numFmtId="166" fontId="28" fillId="9" borderId="4" xfId="35" applyNumberFormat="1" applyFont="1" applyFill="1" applyBorder="1" applyAlignment="1">
      <alignment horizontal="right"/>
    </xf>
    <xf numFmtId="166" fontId="26" fillId="9" borderId="4" xfId="21" applyNumberFormat="1" applyFont="1" applyFill="1" applyBorder="1" applyAlignment="1">
      <alignment horizontal="right"/>
    </xf>
    <xf numFmtId="189" fontId="26" fillId="9" borderId="4" xfId="35" applyNumberFormat="1" applyFont="1" applyFill="1" applyBorder="1" applyAlignment="1">
      <alignment horizontal="right"/>
    </xf>
    <xf numFmtId="166" fontId="26" fillId="9" borderId="14" xfId="35" applyNumberFormat="1" applyFont="1" applyFill="1" applyBorder="1" applyAlignment="1">
      <alignment horizontal="right"/>
    </xf>
    <xf numFmtId="166" fontId="26" fillId="9" borderId="4" xfId="35" applyNumberFormat="1" applyFont="1" applyFill="1" applyBorder="1" applyAlignment="1">
      <alignment horizontal="right"/>
    </xf>
    <xf numFmtId="168" fontId="26" fillId="9" borderId="0" xfId="21" applyNumberFormat="1" applyFont="1" applyFill="1" applyAlignment="1">
      <alignment horizontal="centerContinuous"/>
    </xf>
    <xf numFmtId="168" fontId="26" fillId="9" borderId="0" xfId="21" applyNumberFormat="1" applyFont="1" applyFill="1" applyBorder="1" applyAlignment="1">
      <alignment horizontal="centerContinuous"/>
    </xf>
    <xf numFmtId="168" fontId="26" fillId="9" borderId="0" xfId="21" quotePrefix="1" applyNumberFormat="1" applyFont="1" applyFill="1" applyBorder="1" applyAlignment="1">
      <alignment horizontal="centerContinuous"/>
    </xf>
    <xf numFmtId="0" fontId="6" fillId="9" borderId="0" xfId="21" applyFont="1" applyFill="1" applyBorder="1"/>
    <xf numFmtId="0" fontId="6" fillId="9" borderId="0" xfId="21" applyNumberFormat="1" applyFont="1" applyFill="1" applyBorder="1"/>
    <xf numFmtId="0" fontId="6" fillId="9" borderId="0" xfId="21" applyNumberFormat="1" applyFont="1" applyFill="1"/>
    <xf numFmtId="0" fontId="26" fillId="9" borderId="0" xfId="21" applyNumberFormat="1" applyFont="1" applyFill="1" applyBorder="1"/>
    <xf numFmtId="0" fontId="15" fillId="9" borderId="16" xfId="0" applyFont="1" applyFill="1" applyBorder="1"/>
    <xf numFmtId="0" fontId="15" fillId="9" borderId="5" xfId="21" applyFont="1" applyFill="1" applyBorder="1"/>
    <xf numFmtId="0" fontId="6" fillId="9" borderId="5" xfId="0" applyFont="1" applyFill="1" applyBorder="1"/>
    <xf numFmtId="0" fontId="15" fillId="9" borderId="5" xfId="21" applyFont="1" applyFill="1" applyBorder="1" applyAlignment="1">
      <alignment horizontal="right"/>
    </xf>
    <xf numFmtId="0" fontId="2" fillId="9" borderId="5" xfId="0" applyFont="1" applyFill="1" applyBorder="1"/>
    <xf numFmtId="0" fontId="15" fillId="9" borderId="5" xfId="43" applyNumberFormat="1" applyFont="1" applyFill="1" applyBorder="1" applyAlignment="1">
      <alignment horizontal="right"/>
    </xf>
    <xf numFmtId="0" fontId="157" fillId="9" borderId="0" xfId="21" applyFont="1" applyFill="1" applyBorder="1"/>
    <xf numFmtId="0" fontId="157" fillId="9" borderId="16" xfId="21" applyFont="1" applyFill="1" applyBorder="1"/>
    <xf numFmtId="0" fontId="26" fillId="9" borderId="5" xfId="21" applyFont="1" applyFill="1" applyBorder="1"/>
    <xf numFmtId="0" fontId="157" fillId="9" borderId="5" xfId="21" applyFont="1" applyFill="1" applyBorder="1" applyAlignment="1">
      <alignment horizontal="right"/>
    </xf>
    <xf numFmtId="0" fontId="82" fillId="9" borderId="5" xfId="21" applyFont="1" applyFill="1" applyBorder="1" applyAlignment="1">
      <alignment horizontal="right"/>
    </xf>
    <xf numFmtId="0" fontId="82" fillId="9" borderId="17" xfId="21" applyFont="1" applyFill="1" applyBorder="1" applyAlignment="1">
      <alignment horizontal="right"/>
    </xf>
    <xf numFmtId="0" fontId="81" fillId="9" borderId="0" xfId="0" applyFont="1" applyFill="1"/>
    <xf numFmtId="9" fontId="10" fillId="9" borderId="0" xfId="0" applyNumberFormat="1" applyFont="1" applyFill="1"/>
    <xf numFmtId="9" fontId="0" fillId="9" borderId="0" xfId="0" applyNumberFormat="1" applyFill="1"/>
    <xf numFmtId="0" fontId="81" fillId="9" borderId="12" xfId="0" applyFont="1" applyFill="1" applyBorder="1"/>
    <xf numFmtId="173" fontId="81" fillId="9" borderId="0" xfId="21" applyNumberFormat="1" applyFont="1" applyFill="1" applyBorder="1" applyAlignment="1">
      <alignment horizontal="left"/>
    </xf>
    <xf numFmtId="0" fontId="81" fillId="9" borderId="0" xfId="0" applyFont="1" applyFill="1" applyBorder="1"/>
    <xf numFmtId="37" fontId="81" fillId="9" borderId="0" xfId="21" applyNumberFormat="1" applyFont="1" applyFill="1" applyBorder="1" applyAlignment="1">
      <alignment horizontal="right"/>
    </xf>
    <xf numFmtId="0" fontId="2" fillId="9" borderId="0" xfId="0" applyFont="1" applyFill="1" applyBorder="1"/>
    <xf numFmtId="168" fontId="81" fillId="9" borderId="0" xfId="21" applyNumberFormat="1" applyFont="1" applyFill="1" applyBorder="1" applyAlignment="1">
      <alignment horizontal="right"/>
    </xf>
    <xf numFmtId="173" fontId="80" fillId="9" borderId="0" xfId="21" applyNumberFormat="1" applyFont="1" applyFill="1" applyBorder="1"/>
    <xf numFmtId="173" fontId="80" fillId="9" borderId="12" xfId="21" applyNumberFormat="1" applyFont="1" applyFill="1" applyBorder="1"/>
    <xf numFmtId="37" fontId="80" fillId="9" borderId="0" xfId="21" applyNumberFormat="1" applyFont="1" applyFill="1" applyBorder="1" applyAlignment="1">
      <alignment horizontal="right"/>
    </xf>
    <xf numFmtId="37" fontId="80" fillId="9" borderId="13" xfId="21" applyNumberFormat="1" applyFont="1" applyFill="1" applyBorder="1" applyAlignment="1">
      <alignment horizontal="right"/>
    </xf>
    <xf numFmtId="166" fontId="81" fillId="9" borderId="0" xfId="35" applyNumberFormat="1" applyFont="1" applyFill="1" applyBorder="1" applyAlignment="1">
      <alignment horizontal="right"/>
    </xf>
    <xf numFmtId="0" fontId="81" fillId="9" borderId="14" xfId="0" applyFont="1" applyFill="1" applyBorder="1"/>
    <xf numFmtId="173" fontId="81" fillId="9" borderId="4" xfId="21" applyNumberFormat="1" applyFont="1" applyFill="1" applyBorder="1" applyAlignment="1">
      <alignment horizontal="left"/>
    </xf>
    <xf numFmtId="0" fontId="81" fillId="9" borderId="4" xfId="0" applyFont="1" applyFill="1" applyBorder="1"/>
    <xf numFmtId="37" fontId="81" fillId="9" borderId="4" xfId="21" applyNumberFormat="1" applyFont="1" applyFill="1" applyBorder="1" applyAlignment="1">
      <alignment horizontal="right"/>
    </xf>
    <xf numFmtId="173" fontId="81" fillId="9" borderId="4" xfId="21" applyNumberFormat="1" applyFont="1" applyFill="1" applyBorder="1"/>
    <xf numFmtId="0" fontId="81" fillId="9" borderId="15" xfId="0" applyFont="1" applyFill="1" applyBorder="1"/>
    <xf numFmtId="173" fontId="81" fillId="9" borderId="0" xfId="21" applyNumberFormat="1" applyFont="1" applyFill="1" applyBorder="1"/>
    <xf numFmtId="37" fontId="81" fillId="9" borderId="0" xfId="21" applyNumberFormat="1" applyFont="1" applyFill="1" applyBorder="1" applyAlignment="1">
      <alignment horizontal="left"/>
    </xf>
    <xf numFmtId="39" fontId="81" fillId="9" borderId="0" xfId="21" applyNumberFormat="1" applyFont="1" applyFill="1" applyBorder="1" applyAlignment="1">
      <alignment horizontal="right"/>
    </xf>
    <xf numFmtId="168" fontId="81" fillId="9" borderId="0" xfId="21" applyNumberFormat="1" applyFont="1" applyFill="1" applyBorder="1"/>
    <xf numFmtId="168" fontId="80" fillId="9" borderId="0" xfId="21" applyNumberFormat="1" applyFont="1" applyFill="1" applyBorder="1"/>
    <xf numFmtId="168" fontId="80" fillId="9" borderId="12" xfId="21" applyNumberFormat="1" applyFont="1" applyFill="1" applyBorder="1"/>
    <xf numFmtId="39" fontId="80" fillId="9" borderId="0" xfId="21" applyNumberFormat="1" applyFont="1" applyFill="1" applyBorder="1" applyAlignment="1">
      <alignment horizontal="right"/>
    </xf>
    <xf numFmtId="39" fontId="80" fillId="9" borderId="13" xfId="21" applyNumberFormat="1" applyFont="1" applyFill="1" applyBorder="1" applyAlignment="1">
      <alignment horizontal="right"/>
    </xf>
    <xf numFmtId="0" fontId="81" fillId="9" borderId="0" xfId="21" applyFont="1" applyFill="1" applyBorder="1" applyAlignment="1">
      <alignment horizontal="left"/>
    </xf>
    <xf numFmtId="0" fontId="81" fillId="9" borderId="0" xfId="21" applyFont="1" applyFill="1"/>
    <xf numFmtId="0" fontId="81" fillId="9" borderId="0" xfId="21" applyFont="1" applyFill="1" applyBorder="1"/>
    <xf numFmtId="166" fontId="80" fillId="9" borderId="0" xfId="35" applyNumberFormat="1" applyFont="1" applyFill="1" applyBorder="1" applyAlignment="1">
      <alignment horizontal="right"/>
    </xf>
    <xf numFmtId="166" fontId="80" fillId="9" borderId="13" xfId="35" applyNumberFormat="1" applyFont="1" applyFill="1" applyBorder="1" applyAlignment="1">
      <alignment horizontal="right"/>
    </xf>
    <xf numFmtId="6" fontId="81" fillId="9" borderId="0" xfId="13" applyNumberFormat="1" applyFont="1" applyFill="1" applyBorder="1" applyAlignment="1">
      <alignment horizontal="right"/>
    </xf>
    <xf numFmtId="166" fontId="81" fillId="9" borderId="0" xfId="21" applyNumberFormat="1" applyFont="1" applyFill="1" applyBorder="1" applyAlignment="1">
      <alignment horizontal="left"/>
    </xf>
    <xf numFmtId="0" fontId="81" fillId="9" borderId="0" xfId="21" applyNumberFormat="1" applyFont="1" applyFill="1"/>
    <xf numFmtId="0" fontId="81" fillId="9" borderId="0" xfId="21" applyNumberFormat="1" applyFont="1" applyFill="1" applyBorder="1"/>
    <xf numFmtId="0" fontId="80" fillId="9" borderId="0" xfId="21" applyFont="1" applyFill="1" applyBorder="1"/>
    <xf numFmtId="0" fontId="80" fillId="9" borderId="12" xfId="21" applyFont="1" applyFill="1" applyBorder="1"/>
    <xf numFmtId="0" fontId="80" fillId="9" borderId="0" xfId="21" applyFont="1" applyFill="1"/>
    <xf numFmtId="168" fontId="80" fillId="9" borderId="14" xfId="21" applyNumberFormat="1" applyFont="1" applyFill="1" applyBorder="1"/>
    <xf numFmtId="6" fontId="80" fillId="9" borderId="4" xfId="13" applyNumberFormat="1" applyFont="1" applyFill="1" applyBorder="1" applyAlignment="1">
      <alignment horizontal="right"/>
    </xf>
    <xf numFmtId="6" fontId="80" fillId="9" borderId="15" xfId="13" applyNumberFormat="1" applyFont="1" applyFill="1" applyBorder="1" applyAlignment="1">
      <alignment horizontal="right"/>
    </xf>
    <xf numFmtId="6" fontId="80" fillId="9" borderId="0" xfId="13" applyNumberFormat="1" applyFont="1" applyFill="1" applyBorder="1" applyAlignment="1">
      <alignment horizontal="right"/>
    </xf>
    <xf numFmtId="176" fontId="81" fillId="9" borderId="0" xfId="8" applyNumberFormat="1" applyFont="1" applyFill="1"/>
    <xf numFmtId="176" fontId="80" fillId="9" borderId="0" xfId="8" applyNumberFormat="1" applyFont="1" applyFill="1" applyBorder="1"/>
    <xf numFmtId="176" fontId="80" fillId="9" borderId="0" xfId="8" applyNumberFormat="1" applyFont="1" applyFill="1"/>
    <xf numFmtId="176" fontId="81" fillId="9" borderId="0" xfId="8" applyNumberFormat="1" applyFont="1" applyFill="1" applyBorder="1"/>
    <xf numFmtId="176" fontId="80" fillId="9" borderId="0" xfId="8" applyNumberFormat="1" applyFont="1" applyFill="1" applyBorder="1" applyAlignment="1">
      <alignment horizontal="right"/>
    </xf>
    <xf numFmtId="166" fontId="81" fillId="9" borderId="0" xfId="35" applyNumberFormat="1" applyFont="1" applyFill="1"/>
    <xf numFmtId="166" fontId="80" fillId="9" borderId="0" xfId="21" applyNumberFormat="1" applyFont="1" applyFill="1" applyBorder="1"/>
    <xf numFmtId="166" fontId="80" fillId="9" borderId="0" xfId="21" applyNumberFormat="1" applyFont="1" applyFill="1"/>
    <xf numFmtId="166" fontId="81" fillId="9" borderId="0" xfId="0" applyNumberFormat="1" applyFont="1" applyFill="1" applyBorder="1"/>
    <xf numFmtId="166" fontId="81" fillId="9" borderId="0" xfId="0" applyNumberFormat="1" applyFont="1" applyFill="1"/>
    <xf numFmtId="9" fontId="80" fillId="9" borderId="0" xfId="35" applyFont="1" applyFill="1" applyBorder="1" applyAlignment="1">
      <alignment horizontal="right"/>
    </xf>
    <xf numFmtId="166" fontId="80" fillId="9" borderId="0" xfId="13" applyNumberFormat="1" applyFont="1" applyFill="1" applyBorder="1" applyAlignment="1">
      <alignment horizontal="right"/>
    </xf>
    <xf numFmtId="0" fontId="80" fillId="9" borderId="0" xfId="21" applyNumberFormat="1" applyFont="1" applyFill="1" applyBorder="1"/>
    <xf numFmtId="0" fontId="80" fillId="9" borderId="0" xfId="21" applyNumberFormat="1" applyFont="1" applyFill="1"/>
    <xf numFmtId="180" fontId="81" fillId="9" borderId="0" xfId="22" applyFont="1" applyFill="1" applyAlignment="1"/>
    <xf numFmtId="0" fontId="6" fillId="9" borderId="0" xfId="0" applyFont="1" applyFill="1" applyBorder="1" applyAlignment="1">
      <alignment horizontal="right"/>
    </xf>
    <xf numFmtId="5" fontId="26" fillId="12" borderId="7" xfId="21" applyNumberFormat="1" applyFont="1" applyFill="1" applyBorder="1"/>
    <xf numFmtId="5" fontId="26" fillId="12" borderId="6" xfId="21" applyNumberFormat="1" applyFont="1" applyFill="1" applyBorder="1" applyAlignment="1">
      <alignment horizontal="right"/>
    </xf>
    <xf numFmtId="7" fontId="26" fillId="12" borderId="6" xfId="21" applyNumberFormat="1" applyFont="1" applyFill="1" applyBorder="1" applyAlignment="1">
      <alignment horizontal="right"/>
    </xf>
    <xf numFmtId="7" fontId="22" fillId="12" borderId="6" xfId="21" applyNumberFormat="1" applyFont="1" applyFill="1" applyBorder="1" applyAlignment="1">
      <alignment horizontal="right"/>
    </xf>
    <xf numFmtId="7" fontId="26" fillId="12" borderId="7" xfId="21" applyNumberFormat="1" applyFont="1" applyFill="1" applyBorder="1" applyAlignment="1">
      <alignment horizontal="right"/>
    </xf>
    <xf numFmtId="0" fontId="12" fillId="9" borderId="0" xfId="0" applyFont="1" applyFill="1" applyAlignment="1">
      <alignment horizontal="left"/>
    </xf>
    <xf numFmtId="0" fontId="12" fillId="9" borderId="0" xfId="0" applyFont="1" applyFill="1"/>
    <xf numFmtId="191" fontId="10" fillId="9" borderId="0" xfId="0" applyNumberFormat="1" applyFont="1" applyFill="1"/>
    <xf numFmtId="0" fontId="12" fillId="9" borderId="0" xfId="0" applyFont="1" applyFill="1" applyBorder="1"/>
    <xf numFmtId="191" fontId="10" fillId="9" borderId="0" xfId="0" applyNumberFormat="1" applyFont="1" applyFill="1" applyBorder="1"/>
    <xf numFmtId="0" fontId="12" fillId="9" borderId="0" xfId="0" applyFont="1" applyFill="1" applyBorder="1" applyAlignment="1">
      <alignment horizontal="center"/>
    </xf>
    <xf numFmtId="0" fontId="12" fillId="9" borderId="4" xfId="0" applyFont="1" applyFill="1" applyBorder="1" applyAlignment="1">
      <alignment horizontal="left"/>
    </xf>
    <xf numFmtId="191" fontId="10" fillId="9" borderId="4" xfId="0" applyNumberFormat="1" applyFont="1" applyFill="1" applyBorder="1"/>
    <xf numFmtId="0" fontId="12" fillId="9" borderId="4" xfId="0" applyFont="1" applyFill="1" applyBorder="1" applyAlignment="1">
      <alignment horizontal="center"/>
    </xf>
    <xf numFmtId="0" fontId="6" fillId="9" borderId="0" xfId="0" applyFont="1" applyFill="1" applyAlignment="1">
      <alignment horizontal="left"/>
    </xf>
    <xf numFmtId="0" fontId="6" fillId="9" borderId="0" xfId="0" applyFont="1" applyFill="1" applyAlignment="1">
      <alignment horizontal="center"/>
    </xf>
    <xf numFmtId="0" fontId="11" fillId="9" borderId="7" xfId="0" applyFont="1" applyFill="1" applyBorder="1" applyAlignment="1">
      <alignment horizontal="centerContinuous"/>
    </xf>
    <xf numFmtId="0" fontId="11" fillId="9" borderId="6" xfId="0" applyFont="1" applyFill="1" applyBorder="1" applyAlignment="1">
      <alignment horizontal="centerContinuous"/>
    </xf>
    <xf numFmtId="0" fontId="11" fillId="9" borderId="8" xfId="0" applyFont="1" applyFill="1" applyBorder="1" applyAlignment="1">
      <alignment horizontal="centerContinuous"/>
    </xf>
    <xf numFmtId="0" fontId="11" fillId="9" borderId="0" xfId="0" applyFont="1" applyFill="1" applyBorder="1" applyAlignment="1">
      <alignment horizontal="centerContinuous"/>
    </xf>
    <xf numFmtId="0" fontId="11" fillId="9" borderId="4" xfId="0" applyFont="1" applyFill="1" applyBorder="1"/>
    <xf numFmtId="0" fontId="11" fillId="9" borderId="4" xfId="0" applyFont="1" applyFill="1" applyBorder="1" applyAlignment="1">
      <alignment horizontal="center"/>
    </xf>
    <xf numFmtId="0" fontId="11" fillId="9" borderId="0" xfId="0" applyFont="1" applyFill="1" applyAlignment="1">
      <alignment horizontal="center"/>
    </xf>
    <xf numFmtId="0" fontId="6" fillId="9" borderId="4" xfId="0" applyFont="1" applyFill="1" applyBorder="1"/>
    <xf numFmtId="0" fontId="11" fillId="9" borderId="4" xfId="0" applyFont="1" applyFill="1" applyBorder="1" applyAlignment="1">
      <alignment horizontal="centerContinuous"/>
    </xf>
    <xf numFmtId="0" fontId="11" fillId="9" borderId="0" xfId="0" quotePrefix="1" applyFont="1" applyFill="1" applyAlignment="1">
      <alignment horizontal="center"/>
    </xf>
    <xf numFmtId="0" fontId="11" fillId="9" borderId="0" xfId="0" quotePrefix="1" applyFont="1" applyFill="1" applyBorder="1" applyAlignment="1">
      <alignment horizontal="centerContinuous"/>
    </xf>
    <xf numFmtId="0" fontId="11" fillId="9" borderId="4" xfId="0" applyFont="1" applyFill="1" applyBorder="1" applyAlignment="1">
      <alignment horizontal="left"/>
    </xf>
    <xf numFmtId="0" fontId="15" fillId="9" borderId="0" xfId="0" quotePrefix="1" applyFont="1" applyFill="1" applyAlignment="1">
      <alignment horizontal="left"/>
    </xf>
    <xf numFmtId="165" fontId="6" fillId="9" borderId="0" xfId="0" applyNumberFormat="1" applyFont="1" applyFill="1"/>
    <xf numFmtId="199" fontId="6" fillId="9" borderId="0" xfId="0" applyNumberFormat="1" applyFont="1" applyFill="1"/>
    <xf numFmtId="3" fontId="6" fillId="9" borderId="0" xfId="8" applyNumberFormat="1" applyFont="1" applyFill="1" applyAlignment="1">
      <alignment horizontal="right"/>
    </xf>
    <xf numFmtId="1" fontId="6" fillId="9" borderId="0" xfId="0" applyNumberFormat="1" applyFont="1" applyFill="1" applyBorder="1"/>
    <xf numFmtId="182" fontId="6" fillId="9" borderId="0" xfId="0" applyNumberFormat="1" applyFont="1" applyFill="1"/>
    <xf numFmtId="178" fontId="6" fillId="9" borderId="0" xfId="0" applyNumberFormat="1" applyFont="1" applyFill="1"/>
    <xf numFmtId="171" fontId="26" fillId="9" borderId="0" xfId="0" applyNumberFormat="1" applyFont="1" applyFill="1"/>
    <xf numFmtId="179" fontId="6" fillId="9" borderId="0" xfId="0" applyNumberFormat="1" applyFont="1" applyFill="1"/>
    <xf numFmtId="1" fontId="6" fillId="9" borderId="0" xfId="0" applyNumberFormat="1" applyFont="1" applyFill="1"/>
    <xf numFmtId="164" fontId="6" fillId="9" borderId="0" xfId="0" applyNumberFormat="1" applyFont="1" applyFill="1"/>
    <xf numFmtId="4" fontId="6" fillId="9" borderId="0" xfId="0" applyNumberFormat="1" applyFont="1" applyFill="1"/>
    <xf numFmtId="3" fontId="6" fillId="9" borderId="0" xfId="0" applyNumberFormat="1" applyFont="1" applyFill="1"/>
    <xf numFmtId="165" fontId="6" fillId="9" borderId="4" xfId="0" applyNumberFormat="1" applyFont="1" applyFill="1" applyBorder="1"/>
    <xf numFmtId="199" fontId="6" fillId="9" borderId="4" xfId="0" applyNumberFormat="1" applyFont="1" applyFill="1" applyBorder="1"/>
    <xf numFmtId="1" fontId="6" fillId="9" borderId="4" xfId="0" applyNumberFormat="1" applyFont="1" applyFill="1" applyBorder="1"/>
    <xf numFmtId="164" fontId="6" fillId="9" borderId="4" xfId="0" applyNumberFormat="1" applyFont="1" applyFill="1" applyBorder="1"/>
    <xf numFmtId="4" fontId="6" fillId="9" borderId="4" xfId="0" applyNumberFormat="1" applyFont="1" applyFill="1" applyBorder="1"/>
    <xf numFmtId="171" fontId="26" fillId="9" borderId="4" xfId="0" applyNumberFormat="1" applyFont="1" applyFill="1" applyBorder="1"/>
    <xf numFmtId="3" fontId="6" fillId="9" borderId="4" xfId="0" applyNumberFormat="1" applyFont="1" applyFill="1" applyBorder="1"/>
    <xf numFmtId="0" fontId="18" fillId="9" borderId="0" xfId="0" applyFont="1" applyFill="1"/>
    <xf numFmtId="195" fontId="15" fillId="9" borderId="0" xfId="0" applyNumberFormat="1" applyFont="1" applyFill="1" applyAlignment="1">
      <alignment horizontal="left"/>
    </xf>
    <xf numFmtId="176" fontId="6" fillId="9" borderId="0" xfId="8" applyNumberFormat="1" applyFont="1" applyFill="1"/>
    <xf numFmtId="195" fontId="15" fillId="9" borderId="0" xfId="0" quotePrefix="1" applyNumberFormat="1" applyFont="1" applyFill="1"/>
    <xf numFmtId="199" fontId="22" fillId="9" borderId="0" xfId="0" applyNumberFormat="1" applyFont="1" applyFill="1"/>
    <xf numFmtId="199" fontId="6" fillId="9" borderId="0" xfId="0" applyNumberFormat="1" applyFont="1" applyFill="1" applyBorder="1"/>
    <xf numFmtId="1" fontId="6" fillId="9" borderId="0" xfId="0" applyNumberFormat="1" applyFont="1" applyFill="1" applyBorder="1" applyAlignment="1">
      <alignment horizontal="right"/>
    </xf>
    <xf numFmtId="3" fontId="6" fillId="9" borderId="0" xfId="8" applyNumberFormat="1" applyFont="1" applyFill="1"/>
    <xf numFmtId="0" fontId="14" fillId="9" borderId="0" xfId="0" applyFont="1" applyFill="1" applyAlignment="1">
      <alignment horizontal="center"/>
    </xf>
    <xf numFmtId="200" fontId="6" fillId="9" borderId="0" xfId="0" applyNumberFormat="1" applyFont="1" applyFill="1"/>
    <xf numFmtId="164" fontId="6" fillId="9" borderId="9" xfId="0" applyNumberFormat="1" applyFont="1" applyFill="1" applyBorder="1"/>
    <xf numFmtId="165" fontId="6" fillId="9" borderId="0" xfId="0" applyNumberFormat="1" applyFont="1" applyFill="1" applyAlignment="1">
      <alignment horizontal="center"/>
    </xf>
    <xf numFmtId="164" fontId="6" fillId="9" borderId="10" xfId="0" applyNumberFormat="1" applyFont="1" applyFill="1" applyBorder="1"/>
    <xf numFmtId="198" fontId="6" fillId="9" borderId="4" xfId="0" applyNumberFormat="1" applyFont="1" applyFill="1" applyBorder="1"/>
    <xf numFmtId="164" fontId="11" fillId="9" borderId="11" xfId="0" applyNumberFormat="1" applyFont="1" applyFill="1" applyBorder="1"/>
    <xf numFmtId="164" fontId="11" fillId="9" borderId="0" xfId="0" applyNumberFormat="1" applyFont="1" applyFill="1"/>
    <xf numFmtId="200" fontId="18" fillId="9" borderId="0" xfId="0" applyNumberFormat="1" applyFont="1" applyFill="1"/>
    <xf numFmtId="200" fontId="6" fillId="9" borderId="4" xfId="0" applyNumberFormat="1" applyFont="1" applyFill="1" applyBorder="1"/>
    <xf numFmtId="198" fontId="6" fillId="9" borderId="0" xfId="0" applyNumberFormat="1" applyFont="1" applyFill="1"/>
    <xf numFmtId="9" fontId="6" fillId="9" borderId="0" xfId="35" applyFont="1" applyFill="1"/>
    <xf numFmtId="235" fontId="15" fillId="9" borderId="0" xfId="0" applyNumberFormat="1" applyFont="1" applyFill="1" applyAlignment="1">
      <alignment horizontal="left"/>
    </xf>
    <xf numFmtId="43" fontId="6" fillId="9" borderId="0" xfId="8" applyFont="1" applyFill="1"/>
    <xf numFmtId="198" fontId="6" fillId="9" borderId="0" xfId="0" applyNumberFormat="1" applyFont="1" applyFill="1" applyBorder="1"/>
    <xf numFmtId="164" fontId="11" fillId="9" borderId="0" xfId="0" applyNumberFormat="1" applyFont="1" applyFill="1" applyBorder="1"/>
    <xf numFmtId="171" fontId="18" fillId="9" borderId="0" xfId="0" applyNumberFormat="1" applyFont="1" applyFill="1"/>
    <xf numFmtId="200" fontId="61" fillId="9" borderId="0" xfId="0" applyNumberFormat="1" applyFont="1" applyFill="1"/>
    <xf numFmtId="200" fontId="61" fillId="9" borderId="4" xfId="0" applyNumberFormat="1" applyFont="1" applyFill="1" applyBorder="1"/>
    <xf numFmtId="43" fontId="11" fillId="9" borderId="0" xfId="8" applyFont="1" applyFill="1" applyBorder="1"/>
    <xf numFmtId="164" fontId="6" fillId="9" borderId="31" xfId="0" applyNumberFormat="1" applyFont="1" applyFill="1" applyBorder="1"/>
    <xf numFmtId="164" fontId="6" fillId="9" borderId="34" xfId="0" applyNumberFormat="1" applyFont="1" applyFill="1" applyBorder="1"/>
    <xf numFmtId="164" fontId="6" fillId="9" borderId="32" xfId="0" applyNumberFormat="1" applyFont="1" applyFill="1" applyBorder="1"/>
    <xf numFmtId="164" fontId="6" fillId="9" borderId="24" xfId="0" applyNumberFormat="1" applyFont="1" applyFill="1" applyBorder="1"/>
    <xf numFmtId="164" fontId="6" fillId="9" borderId="33" xfId="0" applyNumberFormat="1" applyFont="1" applyFill="1" applyBorder="1"/>
    <xf numFmtId="164" fontId="11" fillId="9" borderId="15" xfId="0" applyNumberFormat="1" applyFont="1" applyFill="1" applyBorder="1"/>
    <xf numFmtId="283" fontId="54" fillId="9" borderId="0" xfId="0" applyNumberFormat="1" applyFont="1" applyFill="1"/>
    <xf numFmtId="182" fontId="170" fillId="9" borderId="0" xfId="0" applyNumberFormat="1" applyFont="1" applyFill="1"/>
    <xf numFmtId="164" fontId="61" fillId="9" borderId="0" xfId="0" applyNumberFormat="1" applyFont="1" applyFill="1"/>
    <xf numFmtId="164" fontId="61" fillId="9" borderId="4" xfId="0" applyNumberFormat="1" applyFont="1" applyFill="1" applyBorder="1"/>
    <xf numFmtId="197" fontId="17" fillId="9" borderId="0" xfId="0" applyNumberFormat="1" applyFont="1" applyFill="1" applyAlignment="1">
      <alignment horizontal="left"/>
    </xf>
    <xf numFmtId="200" fontId="18" fillId="9" borderId="4" xfId="0" applyNumberFormat="1" applyFont="1" applyFill="1" applyBorder="1"/>
    <xf numFmtId="164" fontId="18" fillId="9" borderId="4" xfId="0" applyNumberFormat="1" applyFont="1" applyFill="1" applyBorder="1"/>
    <xf numFmtId="200" fontId="18" fillId="9" borderId="0" xfId="0" applyNumberFormat="1" applyFont="1" applyFill="1" applyBorder="1"/>
    <xf numFmtId="164" fontId="18" fillId="9" borderId="0" xfId="0" applyNumberFormat="1" applyFont="1" applyFill="1" applyBorder="1"/>
    <xf numFmtId="172" fontId="6" fillId="9" borderId="0" xfId="35" applyNumberFormat="1" applyFont="1" applyFill="1"/>
    <xf numFmtId="166" fontId="11" fillId="9" borderId="0" xfId="35" applyNumberFormat="1" applyFont="1" applyFill="1" applyBorder="1"/>
    <xf numFmtId="180" fontId="6" fillId="9" borderId="0" xfId="22" applyFont="1" applyFill="1" applyAlignment="1"/>
    <xf numFmtId="200" fontId="0" fillId="9" borderId="0" xfId="0" applyNumberFormat="1" applyFill="1"/>
    <xf numFmtId="226" fontId="33" fillId="9" borderId="0" xfId="0" applyNumberFormat="1" applyFont="1" applyFill="1"/>
    <xf numFmtId="191" fontId="6" fillId="9" borderId="0" xfId="0" applyNumberFormat="1" applyFont="1" applyFill="1"/>
    <xf numFmtId="8" fontId="12" fillId="9" borderId="0" xfId="0" applyNumberFormat="1" applyFont="1" applyFill="1"/>
    <xf numFmtId="206" fontId="161" fillId="9" borderId="0" xfId="0" applyNumberFormat="1" applyFont="1" applyFill="1" applyAlignment="1"/>
    <xf numFmtId="0" fontId="12" fillId="9" borderId="0" xfId="0" applyFont="1" applyFill="1" applyAlignment="1"/>
    <xf numFmtId="191" fontId="6" fillId="9" borderId="4" xfId="0" applyNumberFormat="1" applyFont="1" applyFill="1" applyBorder="1"/>
    <xf numFmtId="0" fontId="14" fillId="9" borderId="4" xfId="0" applyFont="1" applyFill="1" applyBorder="1"/>
    <xf numFmtId="8" fontId="12" fillId="9" borderId="4" xfId="0" applyNumberFormat="1" applyFont="1" applyFill="1" applyBorder="1"/>
    <xf numFmtId="0" fontId="12" fillId="9" borderId="0" xfId="0" applyFont="1" applyFill="1" applyBorder="1" applyAlignment="1"/>
    <xf numFmtId="0" fontId="14" fillId="9" borderId="0" xfId="0" applyFont="1" applyFill="1" applyAlignment="1" applyProtection="1">
      <alignment horizontal="left"/>
    </xf>
    <xf numFmtId="40" fontId="6" fillId="9" borderId="0" xfId="0" applyNumberFormat="1" applyFont="1" applyFill="1"/>
    <xf numFmtId="286" fontId="6" fillId="9" borderId="0" xfId="0" applyNumberFormat="1" applyFont="1" applyFill="1"/>
    <xf numFmtId="0" fontId="6" fillId="9" borderId="0" xfId="0" applyFont="1" applyFill="1" applyAlignment="1"/>
    <xf numFmtId="0" fontId="22" fillId="9" borderId="0" xfId="0" applyFont="1" applyFill="1"/>
    <xf numFmtId="0" fontId="6" fillId="9" borderId="0" xfId="0" quotePrefix="1" applyFont="1" applyFill="1"/>
    <xf numFmtId="195" fontId="16" fillId="9" borderId="4" xfId="0" applyNumberFormat="1" applyFont="1" applyFill="1" applyBorder="1" applyAlignment="1">
      <alignment horizontal="centerContinuous"/>
    </xf>
    <xf numFmtId="0" fontId="6" fillId="9" borderId="4" xfId="0" applyFont="1" applyFill="1" applyBorder="1" applyAlignment="1">
      <alignment horizontal="centerContinuous"/>
    </xf>
    <xf numFmtId="195" fontId="11" fillId="9" borderId="4" xfId="0" applyNumberFormat="1" applyFont="1" applyFill="1" applyBorder="1" applyAlignment="1">
      <alignment horizontal="centerContinuous"/>
    </xf>
    <xf numFmtId="0" fontId="10" fillId="9" borderId="0" xfId="0" applyFont="1" applyFill="1" applyBorder="1" applyAlignment="1">
      <alignment horizontal="center"/>
    </xf>
    <xf numFmtId="0" fontId="10" fillId="9" borderId="4" xfId="0" applyFont="1" applyFill="1" applyBorder="1" applyAlignment="1">
      <alignment horizontal="centerContinuous"/>
    </xf>
    <xf numFmtId="197" fontId="16" fillId="9" borderId="4" xfId="0" applyNumberFormat="1" applyFont="1" applyFill="1" applyBorder="1" applyAlignment="1">
      <alignment horizontal="centerContinuous"/>
    </xf>
    <xf numFmtId="195" fontId="11" fillId="9" borderId="0" xfId="0" applyNumberFormat="1" applyFont="1" applyFill="1" applyBorder="1" applyAlignment="1"/>
    <xf numFmtId="0" fontId="6" fillId="9" borderId="0" xfId="0" applyFont="1" applyFill="1" applyBorder="1" applyAlignment="1"/>
    <xf numFmtId="176" fontId="6" fillId="9" borderId="0" xfId="0" applyNumberFormat="1" applyFont="1" applyFill="1"/>
    <xf numFmtId="0" fontId="11" fillId="9" borderId="0" xfId="0" applyFont="1" applyFill="1" applyBorder="1" applyAlignment="1"/>
    <xf numFmtId="0" fontId="15" fillId="9" borderId="0" xfId="0" applyFont="1" applyFill="1"/>
    <xf numFmtId="0" fontId="17" fillId="9" borderId="0" xfId="0" applyFont="1" applyFill="1"/>
    <xf numFmtId="0" fontId="15" fillId="9" borderId="0" xfId="0" applyFont="1" applyFill="1" applyAlignment="1">
      <alignment horizontal="centerContinuous"/>
    </xf>
    <xf numFmtId="0" fontId="17" fillId="9" borderId="0" xfId="0" applyFont="1" applyFill="1" applyAlignment="1">
      <alignment horizontal="centerContinuous"/>
    </xf>
    <xf numFmtId="0" fontId="6" fillId="9" borderId="0" xfId="0" applyFont="1" applyFill="1" applyAlignment="1">
      <alignment horizontal="centerContinuous"/>
    </xf>
    <xf numFmtId="0" fontId="17" fillId="9" borderId="0" xfId="0" applyFont="1" applyFill="1" applyAlignment="1">
      <alignment horizontal="center"/>
    </xf>
    <xf numFmtId="173" fontId="6" fillId="9" borderId="0" xfId="0" applyNumberFormat="1" applyFont="1" applyFill="1"/>
    <xf numFmtId="173" fontId="18" fillId="9" borderId="0" xfId="0" applyNumberFormat="1" applyFont="1" applyFill="1"/>
    <xf numFmtId="173" fontId="18" fillId="9" borderId="0" xfId="28" applyNumberFormat="1" applyFont="1" applyFill="1" applyProtection="1"/>
    <xf numFmtId="191" fontId="6" fillId="9" borderId="0" xfId="35" applyNumberFormat="1" applyFont="1" applyFill="1"/>
    <xf numFmtId="196" fontId="18" fillId="9" borderId="0" xfId="0" applyNumberFormat="1" applyFont="1" applyFill="1" applyAlignment="1">
      <alignment horizontal="left"/>
    </xf>
    <xf numFmtId="173" fontId="22" fillId="9" borderId="0" xfId="0" applyNumberFormat="1" applyFont="1" applyFill="1"/>
    <xf numFmtId="205" fontId="6" fillId="9" borderId="0" xfId="28" applyNumberFormat="1" applyFont="1" applyFill="1" applyAlignment="1">
      <alignment horizontal="left"/>
    </xf>
    <xf numFmtId="173" fontId="22" fillId="9" borderId="0" xfId="28" applyNumberFormat="1" applyFont="1" applyFill="1" applyProtection="1"/>
    <xf numFmtId="173" fontId="6" fillId="9" borderId="0" xfId="28" applyNumberFormat="1" applyFont="1" applyFill="1" applyProtection="1"/>
    <xf numFmtId="196" fontId="6" fillId="9" borderId="0" xfId="0" applyNumberFormat="1" applyFont="1" applyFill="1" applyAlignment="1">
      <alignment horizontal="left"/>
    </xf>
    <xf numFmtId="209" fontId="6" fillId="9" borderId="0" xfId="28" applyNumberFormat="1" applyFont="1" applyFill="1" applyAlignment="1">
      <alignment horizontal="left"/>
    </xf>
    <xf numFmtId="210" fontId="26" fillId="9" borderId="0" xfId="28" applyNumberFormat="1" applyFont="1" applyFill="1" applyAlignment="1">
      <alignment horizontal="right"/>
    </xf>
    <xf numFmtId="210" fontId="18" fillId="9" borderId="0" xfId="28" applyNumberFormat="1" applyFont="1" applyFill="1" applyAlignment="1">
      <alignment horizontal="right"/>
    </xf>
    <xf numFmtId="209" fontId="18" fillId="9" borderId="0" xfId="28" applyNumberFormat="1" applyFont="1" applyFill="1" applyAlignment="1">
      <alignment horizontal="left"/>
    </xf>
    <xf numFmtId="176" fontId="6" fillId="9" borderId="0" xfId="8" applyNumberFormat="1" applyFont="1" applyFill="1" applyAlignment="1"/>
    <xf numFmtId="209" fontId="173" fillId="9" borderId="0" xfId="28" applyNumberFormat="1" applyFont="1" applyFill="1" applyAlignment="1">
      <alignment horizontal="left"/>
    </xf>
    <xf numFmtId="209" fontId="6" fillId="9" borderId="0" xfId="28" applyNumberFormat="1" applyFont="1" applyFill="1" applyAlignment="1"/>
    <xf numFmtId="293" fontId="6" fillId="9" borderId="0" xfId="28" applyNumberFormat="1" applyFont="1" applyFill="1" applyBorder="1" applyAlignment="1"/>
    <xf numFmtId="183" fontId="18" fillId="9" borderId="0" xfId="0" applyNumberFormat="1" applyFont="1" applyFill="1"/>
    <xf numFmtId="168" fontId="18" fillId="9" borderId="0" xfId="28" applyNumberFormat="1" applyFont="1" applyFill="1" applyProtection="1"/>
    <xf numFmtId="183" fontId="22" fillId="9" borderId="0" xfId="0" applyNumberFormat="1" applyFont="1" applyFill="1"/>
    <xf numFmtId="168" fontId="22" fillId="9" borderId="0" xfId="28" applyNumberFormat="1" applyFont="1" applyFill="1" applyProtection="1"/>
    <xf numFmtId="208" fontId="6" fillId="9" borderId="0" xfId="28" applyNumberFormat="1" applyFont="1" applyFill="1" applyAlignment="1">
      <alignment horizontal="left"/>
    </xf>
    <xf numFmtId="168" fontId="6" fillId="9" borderId="0" xfId="28" applyNumberFormat="1" applyFont="1" applyFill="1" applyProtection="1"/>
    <xf numFmtId="170" fontId="26" fillId="9" borderId="0" xfId="12" applyNumberFormat="1" applyFont="1" applyFill="1" applyAlignment="1">
      <alignment horizontal="right"/>
    </xf>
    <xf numFmtId="170" fontId="18" fillId="9" borderId="0" xfId="12" applyNumberFormat="1" applyFont="1" applyFill="1" applyAlignment="1">
      <alignment horizontal="right"/>
    </xf>
    <xf numFmtId="170" fontId="18" fillId="9" borderId="0" xfId="0" applyNumberFormat="1" applyFont="1" applyFill="1"/>
    <xf numFmtId="176" fontId="18" fillId="9" borderId="0" xfId="8" applyNumberFormat="1" applyFont="1" applyFill="1"/>
    <xf numFmtId="176" fontId="6" fillId="9" borderId="0" xfId="8" applyNumberFormat="1" applyFont="1" applyFill="1" applyBorder="1"/>
    <xf numFmtId="166" fontId="6" fillId="9" borderId="0" xfId="35" applyNumberFormat="1" applyFont="1" applyFill="1" applyAlignment="1"/>
    <xf numFmtId="176" fontId="6" fillId="9" borderId="0" xfId="0" applyNumberFormat="1" applyFont="1" applyFill="1" applyBorder="1" applyAlignment="1"/>
    <xf numFmtId="176" fontId="6" fillId="9" borderId="0" xfId="0" applyNumberFormat="1" applyFont="1" applyFill="1" applyAlignment="1"/>
    <xf numFmtId="183" fontId="6" fillId="9" borderId="0" xfId="0" applyNumberFormat="1" applyFont="1" applyFill="1"/>
    <xf numFmtId="168" fontId="6" fillId="9" borderId="0" xfId="28" applyNumberFormat="1" applyFont="1" applyFill="1" applyBorder="1" applyProtection="1"/>
    <xf numFmtId="293" fontId="6" fillId="9" borderId="0" xfId="28" applyNumberFormat="1" applyFont="1" applyFill="1" applyAlignment="1"/>
    <xf numFmtId="16" fontId="6" fillId="9" borderId="0" xfId="0" quotePrefix="1" applyNumberFormat="1" applyFont="1" applyFill="1" applyAlignment="1"/>
    <xf numFmtId="183" fontId="18" fillId="9" borderId="4" xfId="0" applyNumberFormat="1" applyFont="1" applyFill="1" applyBorder="1"/>
    <xf numFmtId="168" fontId="18" fillId="9" borderId="4" xfId="28" applyNumberFormat="1" applyFont="1" applyFill="1" applyBorder="1"/>
    <xf numFmtId="183" fontId="6" fillId="9" borderId="4" xfId="0" applyNumberFormat="1" applyFont="1" applyFill="1" applyBorder="1"/>
    <xf numFmtId="168" fontId="6" fillId="9" borderId="4" xfId="28" applyNumberFormat="1" applyFont="1" applyFill="1" applyBorder="1"/>
    <xf numFmtId="168" fontId="6" fillId="9" borderId="4" xfId="28" applyNumberFormat="1" applyFont="1" applyFill="1" applyBorder="1" applyAlignment="1">
      <alignment horizontal="right"/>
    </xf>
    <xf numFmtId="168" fontId="18" fillId="9" borderId="4" xfId="28" applyNumberFormat="1" applyFont="1" applyFill="1" applyBorder="1" applyAlignment="1">
      <alignment horizontal="right"/>
    </xf>
    <xf numFmtId="170" fontId="18" fillId="9" borderId="4" xfId="0" applyNumberFormat="1" applyFont="1" applyFill="1" applyBorder="1"/>
    <xf numFmtId="176" fontId="18" fillId="9" borderId="4" xfId="8" applyNumberFormat="1" applyFont="1" applyFill="1" applyBorder="1"/>
    <xf numFmtId="176" fontId="6" fillId="9" borderId="4" xfId="8" applyNumberFormat="1" applyFont="1" applyFill="1" applyBorder="1"/>
    <xf numFmtId="0" fontId="6" fillId="9" borderId="0" xfId="0" quotePrefix="1" applyFont="1" applyFill="1" applyAlignment="1"/>
    <xf numFmtId="172" fontId="6" fillId="9" borderId="0" xfId="0" applyNumberFormat="1" applyFont="1" applyFill="1"/>
    <xf numFmtId="172" fontId="18" fillId="9" borderId="0" xfId="0" applyNumberFormat="1" applyFont="1" applyFill="1"/>
    <xf numFmtId="6" fontId="6" fillId="9" borderId="0" xfId="0" applyNumberFormat="1" applyFont="1" applyFill="1"/>
    <xf numFmtId="206" fontId="6" fillId="9" borderId="0" xfId="0" applyNumberFormat="1" applyFont="1" applyFill="1"/>
    <xf numFmtId="196" fontId="6" fillId="9" borderId="0" xfId="0" quotePrefix="1" applyNumberFormat="1" applyFont="1" applyFill="1" applyAlignment="1"/>
    <xf numFmtId="170" fontId="6" fillId="9" borderId="0" xfId="0" applyNumberFormat="1" applyFont="1" applyFill="1"/>
    <xf numFmtId="196" fontId="6" fillId="9" borderId="0" xfId="0" applyNumberFormat="1" applyFont="1" applyFill="1" applyAlignment="1"/>
    <xf numFmtId="172" fontId="61" fillId="9" borderId="0" xfId="0" applyNumberFormat="1" applyFont="1" applyFill="1"/>
    <xf numFmtId="8" fontId="6" fillId="9" borderId="0" xfId="0" applyNumberFormat="1" applyFont="1" applyFill="1"/>
    <xf numFmtId="9" fontId="102" fillId="9" borderId="0" xfId="35" applyFont="1" applyFill="1"/>
    <xf numFmtId="43" fontId="102" fillId="9" borderId="0" xfId="8" applyFont="1" applyFill="1"/>
    <xf numFmtId="186" fontId="102" fillId="9" borderId="0" xfId="0" applyNumberFormat="1" applyFont="1" applyFill="1"/>
    <xf numFmtId="173" fontId="102" fillId="9" borderId="0" xfId="0" applyNumberFormat="1" applyFont="1" applyFill="1"/>
    <xf numFmtId="0" fontId="15" fillId="9" borderId="0" xfId="0" applyFont="1" applyFill="1" applyAlignment="1">
      <alignment horizontal="left"/>
    </xf>
    <xf numFmtId="0" fontId="17" fillId="9" borderId="0" xfId="0" applyFont="1" applyFill="1" applyAlignment="1">
      <alignment horizontal="left"/>
    </xf>
    <xf numFmtId="10" fontId="17" fillId="9" borderId="0" xfId="35" applyNumberFormat="1" applyFont="1" applyFill="1" applyAlignment="1">
      <alignment horizontal="centerContinuous"/>
    </xf>
    <xf numFmtId="7" fontId="17" fillId="9" borderId="0" xfId="0" applyNumberFormat="1" applyFont="1" applyFill="1" applyAlignment="1">
      <alignment horizontal="centerContinuous"/>
    </xf>
    <xf numFmtId="166" fontId="17" fillId="9" borderId="0" xfId="35" applyNumberFormat="1" applyFont="1" applyFill="1" applyAlignment="1">
      <alignment horizontal="left"/>
    </xf>
    <xf numFmtId="190" fontId="6" fillId="9" borderId="0" xfId="0" applyNumberFormat="1" applyFont="1" applyFill="1"/>
    <xf numFmtId="210" fontId="55" fillId="9" borderId="0" xfId="28" applyNumberFormat="1" applyFont="1" applyFill="1" applyAlignment="1">
      <alignment horizontal="right"/>
    </xf>
    <xf numFmtId="43" fontId="6" fillId="9" borderId="0" xfId="0" applyNumberFormat="1" applyFont="1" applyFill="1"/>
    <xf numFmtId="229" fontId="6" fillId="9" borderId="0" xfId="0" applyNumberFormat="1" applyFont="1" applyFill="1"/>
    <xf numFmtId="202" fontId="6" fillId="9" borderId="0" xfId="0" applyNumberFormat="1" applyFont="1" applyFill="1"/>
    <xf numFmtId="172" fontId="18" fillId="9" borderId="0" xfId="8" applyNumberFormat="1" applyFont="1" applyFill="1"/>
    <xf numFmtId="191" fontId="6" fillId="9" borderId="0" xfId="0" applyNumberFormat="1" applyFont="1" applyFill="1" applyAlignment="1"/>
    <xf numFmtId="190" fontId="18" fillId="9" borderId="0" xfId="0" applyNumberFormat="1" applyFont="1" applyFill="1"/>
    <xf numFmtId="2" fontId="6" fillId="9" borderId="0" xfId="0" applyNumberFormat="1" applyFont="1" applyFill="1" applyAlignment="1"/>
    <xf numFmtId="202" fontId="6" fillId="9" borderId="0" xfId="0" applyNumberFormat="1" applyFont="1" applyFill="1" applyAlignment="1"/>
    <xf numFmtId="170" fontId="55" fillId="9" borderId="0" xfId="12" applyNumberFormat="1" applyFont="1" applyFill="1" applyAlignment="1">
      <alignment horizontal="right"/>
    </xf>
    <xf numFmtId="168" fontId="55" fillId="9" borderId="4" xfId="28" applyNumberFormat="1" applyFont="1" applyFill="1" applyBorder="1" applyAlignment="1">
      <alignment horizontal="right"/>
    </xf>
    <xf numFmtId="9" fontId="6" fillId="9" borderId="0" xfId="0" applyNumberFormat="1" applyFont="1" applyFill="1" applyAlignment="1"/>
    <xf numFmtId="168" fontId="6" fillId="9" borderId="0" xfId="0" applyNumberFormat="1" applyFont="1" applyFill="1"/>
    <xf numFmtId="231" fontId="6" fillId="9" borderId="0" xfId="0" applyNumberFormat="1" applyFont="1" applyFill="1"/>
    <xf numFmtId="202" fontId="11" fillId="9" borderId="0" xfId="0" applyNumberFormat="1" applyFont="1" applyFill="1" applyAlignment="1"/>
    <xf numFmtId="166" fontId="6" fillId="9" borderId="0" xfId="0" applyNumberFormat="1" applyFont="1" applyFill="1" applyAlignment="1"/>
    <xf numFmtId="194" fontId="6" fillId="9" borderId="0" xfId="0" applyNumberFormat="1" applyFont="1" applyFill="1"/>
    <xf numFmtId="166" fontId="102" fillId="9" borderId="0" xfId="35" applyNumberFormat="1" applyFont="1" applyFill="1"/>
    <xf numFmtId="0" fontId="150" fillId="9" borderId="0" xfId="0" applyFont="1" applyFill="1" applyAlignment="1">
      <alignment horizontal="center"/>
    </xf>
    <xf numFmtId="9" fontId="6" fillId="9" borderId="0" xfId="0" applyNumberFormat="1" applyFont="1" applyFill="1"/>
    <xf numFmtId="232" fontId="6" fillId="9" borderId="0" xfId="8" applyNumberFormat="1" applyFont="1" applyFill="1"/>
    <xf numFmtId="43" fontId="6" fillId="9" borderId="0" xfId="8" applyFont="1" applyFill="1" applyBorder="1" applyAlignment="1"/>
    <xf numFmtId="191" fontId="174" fillId="9" borderId="0" xfId="0" applyNumberFormat="1" applyFont="1" applyFill="1"/>
    <xf numFmtId="183" fontId="55" fillId="9" borderId="0" xfId="0" applyNumberFormat="1" applyFont="1" applyFill="1"/>
    <xf numFmtId="168" fontId="18" fillId="9" borderId="0" xfId="0" applyNumberFormat="1" applyFont="1" applyFill="1"/>
    <xf numFmtId="224" fontId="6" fillId="9" borderId="0" xfId="0" applyNumberFormat="1" applyFont="1" applyFill="1"/>
    <xf numFmtId="206" fontId="22" fillId="9" borderId="0" xfId="0" applyNumberFormat="1" applyFont="1" applyFill="1"/>
    <xf numFmtId="191" fontId="6" fillId="9" borderId="0" xfId="0" applyNumberFormat="1" applyFont="1" applyFill="1" applyBorder="1" applyAlignment="1"/>
    <xf numFmtId="222" fontId="6" fillId="9" borderId="0" xfId="0" applyNumberFormat="1" applyFont="1" applyFill="1"/>
    <xf numFmtId="172" fontId="6" fillId="9" borderId="0" xfId="8" applyNumberFormat="1" applyFont="1" applyFill="1"/>
    <xf numFmtId="173" fontId="6" fillId="9" borderId="0" xfId="28" applyNumberFormat="1" applyFont="1" applyFill="1" applyBorder="1" applyProtection="1"/>
    <xf numFmtId="190" fontId="6" fillId="9" borderId="0" xfId="0" applyNumberFormat="1" applyFont="1" applyFill="1" applyBorder="1"/>
    <xf numFmtId="191" fontId="6" fillId="9" borderId="0" xfId="0" applyNumberFormat="1" applyFont="1" applyFill="1" applyBorder="1"/>
    <xf numFmtId="173" fontId="18" fillId="9" borderId="0" xfId="0" applyNumberFormat="1" applyFont="1" applyFill="1" applyBorder="1"/>
    <xf numFmtId="173" fontId="151" fillId="9" borderId="0" xfId="0" applyNumberFormat="1" applyFont="1" applyFill="1"/>
    <xf numFmtId="183" fontId="18" fillId="9" borderId="0" xfId="0" applyNumberFormat="1" applyFont="1" applyFill="1" applyBorder="1"/>
    <xf numFmtId="183" fontId="151" fillId="9" borderId="0" xfId="0" applyNumberFormat="1" applyFont="1" applyFill="1"/>
    <xf numFmtId="168" fontId="6" fillId="9" borderId="0" xfId="28" applyNumberFormat="1" applyFont="1" applyFill="1" applyBorder="1"/>
    <xf numFmtId="183" fontId="151" fillId="9" borderId="4" xfId="0" applyNumberFormat="1" applyFont="1" applyFill="1" applyBorder="1"/>
    <xf numFmtId="172" fontId="6" fillId="9" borderId="0" xfId="0" applyNumberFormat="1" applyFont="1" applyFill="1" applyBorder="1"/>
    <xf numFmtId="170" fontId="6" fillId="9" borderId="0" xfId="0" applyNumberFormat="1" applyFont="1" applyFill="1" applyBorder="1"/>
    <xf numFmtId="172" fontId="6" fillId="9" borderId="0" xfId="0" applyNumberFormat="1" applyFont="1" applyFill="1" applyAlignment="1"/>
    <xf numFmtId="10" fontId="6" fillId="9" borderId="0" xfId="0" applyNumberFormat="1" applyFont="1" applyFill="1" applyAlignment="1"/>
    <xf numFmtId="0" fontId="15" fillId="9" borderId="0" xfId="0" applyFont="1" applyFill="1" applyAlignment="1">
      <alignment horizontal="center"/>
    </xf>
    <xf numFmtId="190" fontId="15" fillId="9" borderId="0" xfId="0" applyNumberFormat="1" applyFont="1" applyFill="1" applyAlignment="1">
      <alignment horizontal="centerContinuous"/>
    </xf>
    <xf numFmtId="43" fontId="15" fillId="9" borderId="0" xfId="8" applyFont="1" applyFill="1" applyAlignment="1">
      <alignment horizontal="left"/>
    </xf>
    <xf numFmtId="173" fontId="55" fillId="9" borderId="0" xfId="0" applyNumberFormat="1" applyFont="1" applyFill="1"/>
    <xf numFmtId="9" fontId="6" fillId="9" borderId="0" xfId="35" applyNumberFormat="1" applyFont="1" applyFill="1"/>
    <xf numFmtId="183" fontId="61" fillId="9" borderId="0" xfId="0" applyNumberFormat="1" applyFont="1" applyFill="1" applyBorder="1"/>
    <xf numFmtId="183" fontId="172" fillId="9" borderId="4" xfId="0" applyNumberFormat="1" applyFont="1" applyFill="1" applyBorder="1"/>
    <xf numFmtId="183" fontId="61" fillId="9" borderId="4" xfId="0" applyNumberFormat="1" applyFont="1" applyFill="1" applyBorder="1"/>
    <xf numFmtId="170" fontId="55" fillId="9" borderId="0" xfId="0" applyNumberFormat="1" applyFont="1" applyFill="1"/>
    <xf numFmtId="222" fontId="6" fillId="9" borderId="0" xfId="0" applyNumberFormat="1" applyFont="1" applyFill="1" applyAlignment="1"/>
    <xf numFmtId="0" fontId="6" fillId="9" borderId="16" xfId="0" applyFont="1" applyFill="1" applyBorder="1" applyAlignment="1"/>
    <xf numFmtId="0" fontId="6" fillId="9" borderId="5" xfId="0" applyFont="1" applyFill="1" applyBorder="1" applyAlignment="1"/>
    <xf numFmtId="0" fontId="6" fillId="9" borderId="17" xfId="0" applyFont="1" applyFill="1" applyBorder="1" applyAlignment="1"/>
    <xf numFmtId="170" fontId="6" fillId="9" borderId="12" xfId="0" applyNumberFormat="1" applyFont="1" applyFill="1" applyBorder="1" applyAlignment="1"/>
    <xf numFmtId="170" fontId="6" fillId="9" borderId="0" xfId="0" applyNumberFormat="1" applyFont="1" applyFill="1" applyBorder="1" applyAlignment="1"/>
    <xf numFmtId="170" fontId="6" fillId="9" borderId="13" xfId="0" applyNumberFormat="1" applyFont="1" applyFill="1" applyBorder="1" applyAlignment="1"/>
    <xf numFmtId="170" fontId="6" fillId="9" borderId="4" xfId="0" applyNumberFormat="1" applyFont="1" applyFill="1" applyBorder="1"/>
    <xf numFmtId="170" fontId="152" fillId="9" borderId="4" xfId="0" applyNumberFormat="1" applyFont="1" applyFill="1" applyBorder="1"/>
    <xf numFmtId="166" fontId="6" fillId="9" borderId="14" xfId="35" applyNumberFormat="1" applyFont="1" applyFill="1" applyBorder="1" applyAlignment="1"/>
    <xf numFmtId="166" fontId="6" fillId="9" borderId="4" xfId="35" applyNumberFormat="1" applyFont="1" applyFill="1" applyBorder="1" applyAlignment="1"/>
    <xf numFmtId="166" fontId="6" fillId="9" borderId="15" xfId="35" applyNumberFormat="1" applyFont="1" applyFill="1" applyBorder="1" applyAlignment="1"/>
    <xf numFmtId="170" fontId="6" fillId="9" borderId="0" xfId="0" applyNumberFormat="1" applyFont="1" applyFill="1" applyAlignment="1"/>
    <xf numFmtId="224" fontId="6" fillId="9" borderId="0" xfId="0" applyNumberFormat="1" applyFont="1" applyFill="1" applyAlignment="1"/>
    <xf numFmtId="173" fontId="6" fillId="9" borderId="0" xfId="0" applyNumberFormat="1" applyFont="1" applyFill="1" applyAlignment="1"/>
    <xf numFmtId="168" fontId="18" fillId="9" borderId="4" xfId="0" applyNumberFormat="1" applyFont="1" applyFill="1" applyBorder="1"/>
    <xf numFmtId="1" fontId="6" fillId="9" borderId="0" xfId="0" applyNumberFormat="1" applyFont="1" applyFill="1" applyAlignment="1"/>
    <xf numFmtId="0" fontId="17" fillId="9" borderId="0" xfId="0" applyFont="1" applyFill="1" applyAlignment="1"/>
    <xf numFmtId="204" fontId="6" fillId="9" borderId="0" xfId="0" applyNumberFormat="1" applyFont="1" applyFill="1"/>
    <xf numFmtId="204" fontId="6" fillId="9" borderId="4" xfId="0" applyNumberFormat="1" applyFont="1" applyFill="1" applyBorder="1"/>
    <xf numFmtId="190" fontId="6" fillId="9" borderId="0" xfId="0" applyNumberFormat="1" applyFont="1" applyFill="1" applyAlignment="1"/>
    <xf numFmtId="183" fontId="6" fillId="9" borderId="0" xfId="0" applyNumberFormat="1" applyFont="1" applyFill="1" applyBorder="1"/>
    <xf numFmtId="190" fontId="181" fillId="9" borderId="0" xfId="0" applyNumberFormat="1" applyFont="1" applyFill="1"/>
    <xf numFmtId="288" fontId="6" fillId="9" borderId="0" xfId="0" applyNumberFormat="1" applyFont="1" applyFill="1"/>
    <xf numFmtId="260" fontId="6" fillId="9" borderId="0" xfId="0" applyNumberFormat="1" applyFont="1" applyFill="1"/>
    <xf numFmtId="206" fontId="6" fillId="9" borderId="4" xfId="0" applyNumberFormat="1" applyFont="1" applyFill="1" applyBorder="1"/>
    <xf numFmtId="204" fontId="6" fillId="9" borderId="0" xfId="0" applyNumberFormat="1" applyFont="1" applyFill="1" applyBorder="1"/>
    <xf numFmtId="206" fontId="6" fillId="9" borderId="0" xfId="0" applyNumberFormat="1" applyFont="1" applyFill="1" applyBorder="1"/>
    <xf numFmtId="173" fontId="6" fillId="9" borderId="0" xfId="0" applyNumberFormat="1" applyFont="1" applyFill="1" applyBorder="1"/>
    <xf numFmtId="173" fontId="15" fillId="9" borderId="0" xfId="0" applyNumberFormat="1" applyFont="1" applyFill="1" applyAlignment="1">
      <alignment horizontal="centerContinuous"/>
    </xf>
    <xf numFmtId="206" fontId="61" fillId="9" borderId="0" xfId="0" applyNumberFormat="1" applyFont="1" applyFill="1"/>
    <xf numFmtId="222" fontId="6" fillId="9" borderId="4" xfId="0" applyNumberFormat="1" applyFont="1" applyFill="1" applyBorder="1"/>
    <xf numFmtId="169" fontId="6" fillId="9" borderId="0" xfId="0" applyNumberFormat="1" applyFont="1" applyFill="1"/>
    <xf numFmtId="10" fontId="6" fillId="9" borderId="0" xfId="0" applyNumberFormat="1" applyFont="1" applyFill="1"/>
    <xf numFmtId="206" fontId="11" fillId="9" borderId="0" xfId="0" applyNumberFormat="1" applyFont="1" applyFill="1"/>
    <xf numFmtId="172" fontId="22" fillId="9" borderId="0" xfId="0" applyNumberFormat="1" applyFont="1" applyFill="1"/>
    <xf numFmtId="191" fontId="6" fillId="9" borderId="0" xfId="0" applyNumberFormat="1" applyFont="1" applyFill="1" applyAlignment="1">
      <alignment horizontal="right"/>
    </xf>
    <xf numFmtId="170" fontId="22" fillId="9" borderId="0" xfId="0" applyNumberFormat="1" applyFont="1" applyFill="1"/>
    <xf numFmtId="172" fontId="22" fillId="9" borderId="4" xfId="0" applyNumberFormat="1" applyFont="1" applyFill="1" applyBorder="1"/>
    <xf numFmtId="170" fontId="22" fillId="9" borderId="4" xfId="0" applyNumberFormat="1" applyFont="1" applyFill="1" applyBorder="1"/>
    <xf numFmtId="0" fontId="15" fillId="9" borderId="0" xfId="0" applyFont="1" applyFill="1" applyAlignment="1"/>
    <xf numFmtId="0" fontId="15" fillId="9" borderId="0" xfId="0" applyFont="1" applyFill="1" applyBorder="1" applyAlignment="1"/>
    <xf numFmtId="0" fontId="146" fillId="9" borderId="0" xfId="0" applyFont="1" applyFill="1" applyBorder="1"/>
    <xf numFmtId="0" fontId="27" fillId="9" borderId="0" xfId="0" applyFont="1" applyFill="1" applyBorder="1" applyAlignment="1">
      <alignment horizontal="center"/>
    </xf>
    <xf numFmtId="2" fontId="6" fillId="9" borderId="0" xfId="0" applyNumberFormat="1" applyFont="1" applyFill="1"/>
    <xf numFmtId="9" fontId="152" fillId="9" borderId="0" xfId="35" applyFont="1" applyFill="1"/>
    <xf numFmtId="8" fontId="6" fillId="9" borderId="0" xfId="0" applyNumberFormat="1" applyFont="1" applyFill="1" applyBorder="1" applyAlignment="1">
      <alignment horizontal="center"/>
    </xf>
    <xf numFmtId="280" fontId="6" fillId="9" borderId="0" xfId="0" applyNumberFormat="1" applyFont="1" applyFill="1" applyBorder="1" applyAlignment="1">
      <alignment horizontal="center"/>
    </xf>
    <xf numFmtId="8" fontId="6" fillId="9" borderId="0" xfId="0" applyNumberFormat="1" applyFont="1" applyFill="1" applyAlignment="1"/>
    <xf numFmtId="40" fontId="152" fillId="9" borderId="0" xfId="0" applyNumberFormat="1" applyFont="1" applyFill="1"/>
    <xf numFmtId="40" fontId="152" fillId="9" borderId="0" xfId="0" applyNumberFormat="1" applyFont="1" applyFill="1" applyBorder="1"/>
    <xf numFmtId="40" fontId="6" fillId="9" borderId="0" xfId="0" applyNumberFormat="1" applyFont="1" applyFill="1" applyBorder="1" applyAlignment="1">
      <alignment horizontal="center"/>
    </xf>
    <xf numFmtId="281" fontId="6" fillId="9" borderId="0" xfId="0" applyNumberFormat="1" applyFont="1" applyFill="1" applyBorder="1" applyAlignment="1">
      <alignment horizontal="center"/>
    </xf>
    <xf numFmtId="9" fontId="6" fillId="9" borderId="0" xfId="35" applyFont="1" applyFill="1" applyBorder="1" applyAlignment="1"/>
    <xf numFmtId="9" fontId="6" fillId="9" borderId="0" xfId="0" applyNumberFormat="1" applyFont="1" applyFill="1" applyBorder="1" applyAlignment="1"/>
    <xf numFmtId="40" fontId="153" fillId="9" borderId="0" xfId="0" quotePrefix="1" applyNumberFormat="1" applyFont="1" applyFill="1" applyAlignment="1">
      <alignment horizontal="center"/>
    </xf>
    <xf numFmtId="40" fontId="11" fillId="9" borderId="0" xfId="0" applyNumberFormat="1" applyFont="1" applyFill="1" applyBorder="1"/>
    <xf numFmtId="166" fontId="11" fillId="9" borderId="0" xfId="35" applyNumberFormat="1" applyFont="1" applyFill="1" applyBorder="1" applyAlignment="1">
      <alignment horizontal="right"/>
    </xf>
    <xf numFmtId="40" fontId="6" fillId="9" borderId="4" xfId="0" applyNumberFormat="1" applyFont="1" applyFill="1" applyBorder="1"/>
    <xf numFmtId="40" fontId="154" fillId="9" borderId="0" xfId="0" applyNumberFormat="1" applyFont="1" applyFill="1" applyAlignment="1">
      <alignment horizontal="center"/>
    </xf>
    <xf numFmtId="40" fontId="6" fillId="9" borderId="4" xfId="8" applyNumberFormat="1" applyFont="1" applyFill="1" applyBorder="1"/>
    <xf numFmtId="40" fontId="152" fillId="9" borderId="4" xfId="8" applyNumberFormat="1" applyFont="1" applyFill="1" applyBorder="1"/>
    <xf numFmtId="40" fontId="152" fillId="9" borderId="0" xfId="8" applyNumberFormat="1" applyFont="1" applyFill="1" applyBorder="1"/>
    <xf numFmtId="43" fontId="6" fillId="9" borderId="0" xfId="13" applyNumberFormat="1" applyFont="1" applyFill="1" applyBorder="1" applyAlignment="1">
      <alignment horizontal="right"/>
    </xf>
    <xf numFmtId="169" fontId="152" fillId="9" borderId="0" xfId="8" applyNumberFormat="1" applyFont="1" applyFill="1" applyBorder="1"/>
    <xf numFmtId="40" fontId="6" fillId="9" borderId="0" xfId="8" applyNumberFormat="1" applyFont="1" applyFill="1" applyBorder="1" applyAlignment="1">
      <alignment horizontal="center"/>
    </xf>
    <xf numFmtId="281" fontId="6" fillId="9" borderId="0" xfId="8" applyNumberFormat="1" applyFont="1" applyFill="1" applyBorder="1" applyAlignment="1">
      <alignment horizontal="center"/>
    </xf>
    <xf numFmtId="232" fontId="6" fillId="9" borderId="0" xfId="8" applyNumberFormat="1" applyFont="1" applyFill="1" applyBorder="1" applyAlignment="1"/>
    <xf numFmtId="204" fontId="154" fillId="9" borderId="0" xfId="0" applyNumberFormat="1" applyFont="1" applyFill="1" applyAlignment="1">
      <alignment horizontal="center"/>
    </xf>
    <xf numFmtId="8" fontId="152" fillId="9" borderId="0" xfId="0" applyNumberFormat="1" applyFont="1" applyFill="1"/>
    <xf numFmtId="8" fontId="152" fillId="9" borderId="0" xfId="0" applyNumberFormat="1" applyFont="1" applyFill="1" applyBorder="1"/>
    <xf numFmtId="8" fontId="6" fillId="9" borderId="0" xfId="0" applyNumberFormat="1" applyFont="1" applyFill="1" applyBorder="1" applyAlignment="1"/>
    <xf numFmtId="43" fontId="6" fillId="9" borderId="0" xfId="8" applyNumberFormat="1" applyFont="1" applyFill="1"/>
    <xf numFmtId="184" fontId="6" fillId="9" borderId="0" xfId="8" applyNumberFormat="1" applyFont="1" applyFill="1"/>
    <xf numFmtId="44" fontId="6" fillId="9" borderId="0" xfId="13" applyFont="1" applyFill="1" applyBorder="1"/>
    <xf numFmtId="8" fontId="6" fillId="9" borderId="0" xfId="13" applyNumberFormat="1" applyFont="1" applyFill="1"/>
    <xf numFmtId="44" fontId="6" fillId="9" borderId="0" xfId="13" applyFont="1" applyFill="1"/>
    <xf numFmtId="8" fontId="11" fillId="9" borderId="0" xfId="13" applyNumberFormat="1" applyFont="1" applyFill="1"/>
    <xf numFmtId="8" fontId="6" fillId="9" borderId="0" xfId="0" applyNumberFormat="1" applyFont="1" applyFill="1" applyAlignment="1">
      <alignment horizontal="center"/>
    </xf>
    <xf numFmtId="43" fontId="6" fillId="9" borderId="0" xfId="8" applyNumberFormat="1" applyFont="1" applyFill="1" applyAlignment="1">
      <alignment horizontal="centerContinuous"/>
    </xf>
    <xf numFmtId="44" fontId="6" fillId="9" borderId="0" xfId="13" applyFont="1" applyFill="1" applyAlignment="1">
      <alignment horizontal="centerContinuous"/>
    </xf>
    <xf numFmtId="43" fontId="17" fillId="9" borderId="0" xfId="0" applyNumberFormat="1" applyFont="1" applyFill="1" applyAlignment="1">
      <alignment horizontal="centerContinuous"/>
    </xf>
    <xf numFmtId="44" fontId="17" fillId="9" borderId="0" xfId="13" applyFont="1" applyFill="1" applyAlignment="1">
      <alignment horizontal="centerContinuous"/>
    </xf>
    <xf numFmtId="0" fontId="27" fillId="9" borderId="0" xfId="0" applyFont="1" applyFill="1" applyBorder="1" applyAlignment="1"/>
    <xf numFmtId="206" fontId="32" fillId="9" borderId="0" xfId="0" applyNumberFormat="1" applyFont="1" applyFill="1" applyAlignment="1"/>
    <xf numFmtId="43" fontId="61" fillId="9" borderId="0" xfId="8" applyFont="1" applyFill="1" applyBorder="1" applyAlignment="1"/>
    <xf numFmtId="8" fontId="61" fillId="9" borderId="0" xfId="0" applyNumberFormat="1" applyFont="1" applyFill="1" applyBorder="1" applyAlignment="1"/>
    <xf numFmtId="40" fontId="6" fillId="9" borderId="0" xfId="0" applyNumberFormat="1" applyFont="1" applyFill="1" applyBorder="1"/>
    <xf numFmtId="2" fontId="6" fillId="9" borderId="0" xfId="0" applyNumberFormat="1" applyFont="1" applyFill="1" applyBorder="1"/>
    <xf numFmtId="8" fontId="6" fillId="9" borderId="0" xfId="0" applyNumberFormat="1" applyFont="1" applyFill="1" applyBorder="1"/>
    <xf numFmtId="40" fontId="154" fillId="9" borderId="0" xfId="0" applyNumberFormat="1" applyFont="1" applyFill="1" applyBorder="1" applyAlignment="1">
      <alignment horizontal="center"/>
    </xf>
    <xf numFmtId="40" fontId="6" fillId="9" borderId="0" xfId="8" applyNumberFormat="1" applyFont="1" applyFill="1" applyBorder="1"/>
    <xf numFmtId="0" fontId="11" fillId="9" borderId="0" xfId="0" applyFont="1" applyFill="1"/>
    <xf numFmtId="9" fontId="6" fillId="9" borderId="0" xfId="35" applyNumberFormat="1" applyFont="1" applyFill="1" applyAlignment="1"/>
    <xf numFmtId="8" fontId="11" fillId="9" borderId="3" xfId="0" applyNumberFormat="1" applyFont="1" applyFill="1" applyBorder="1"/>
    <xf numFmtId="0" fontId="61" fillId="9" borderId="0" xfId="0" applyFont="1" applyFill="1" applyBorder="1" applyAlignment="1"/>
    <xf numFmtId="8" fontId="22" fillId="9" borderId="0" xfId="0" applyNumberFormat="1" applyFont="1" applyFill="1"/>
    <xf numFmtId="40" fontId="22" fillId="9" borderId="0" xfId="0" applyNumberFormat="1" applyFont="1" applyFill="1"/>
    <xf numFmtId="40" fontId="22" fillId="9" borderId="4" xfId="0" applyNumberFormat="1" applyFont="1" applyFill="1" applyBorder="1"/>
    <xf numFmtId="191" fontId="6" fillId="9" borderId="0" xfId="16" applyNumberFormat="1" applyFont="1" applyFill="1" applyAlignment="1">
      <alignment horizontal="right"/>
    </xf>
    <xf numFmtId="202" fontId="6" fillId="9" borderId="0" xfId="16" applyNumberFormat="1" applyFont="1" applyFill="1" applyAlignment="1">
      <alignment horizontal="right"/>
    </xf>
    <xf numFmtId="222" fontId="6" fillId="9" borderId="0" xfId="16" applyNumberFormat="1" applyFont="1" applyFill="1" applyAlignment="1">
      <alignment horizontal="right"/>
    </xf>
    <xf numFmtId="183" fontId="11" fillId="9" borderId="0" xfId="0" applyNumberFormat="1" applyFont="1" applyFill="1" applyBorder="1"/>
    <xf numFmtId="183" fontId="6" fillId="9" borderId="0" xfId="0" applyNumberFormat="1" applyFont="1" applyFill="1" applyAlignment="1"/>
    <xf numFmtId="165" fontId="6" fillId="9" borderId="0" xfId="0" applyNumberFormat="1" applyFont="1" applyFill="1" applyBorder="1"/>
    <xf numFmtId="183" fontId="11" fillId="9" borderId="4" xfId="0" applyNumberFormat="1" applyFont="1" applyFill="1" applyBorder="1"/>
    <xf numFmtId="203" fontId="18" fillId="9" borderId="0" xfId="0" applyNumberFormat="1" applyFont="1" applyFill="1"/>
    <xf numFmtId="203" fontId="6" fillId="9" borderId="0" xfId="0" applyNumberFormat="1" applyFont="1" applyFill="1"/>
    <xf numFmtId="39" fontId="6" fillId="9" borderId="0" xfId="0" applyNumberFormat="1" applyFont="1" applyFill="1"/>
    <xf numFmtId="168" fontId="155" fillId="9" borderId="0" xfId="0" applyNumberFormat="1" applyFont="1" applyFill="1"/>
    <xf numFmtId="168" fontId="11" fillId="9" borderId="0" xfId="0" applyNumberFormat="1" applyFont="1" applyFill="1"/>
    <xf numFmtId="168" fontId="6" fillId="9" borderId="0" xfId="0" applyNumberFormat="1" applyFont="1" applyFill="1" applyAlignment="1"/>
    <xf numFmtId="232" fontId="28" fillId="9" borderId="0" xfId="0" applyNumberFormat="1" applyFont="1" applyFill="1"/>
    <xf numFmtId="176" fontId="28" fillId="9" borderId="0" xfId="0" applyNumberFormat="1" applyFont="1" applyFill="1"/>
    <xf numFmtId="0" fontId="14" fillId="9" borderId="0" xfId="0" applyFont="1" applyFill="1"/>
    <xf numFmtId="10" fontId="61" fillId="9" borderId="0" xfId="35" applyNumberFormat="1" applyFont="1" applyFill="1"/>
    <xf numFmtId="8" fontId="61" fillId="9" borderId="0" xfId="0" applyNumberFormat="1" applyFont="1" applyFill="1"/>
    <xf numFmtId="183" fontId="61" fillId="9" borderId="0" xfId="0" applyNumberFormat="1" applyFont="1" applyFill="1"/>
    <xf numFmtId="6" fontId="14" fillId="9" borderId="0" xfId="0" applyNumberFormat="1" applyFont="1" applyFill="1" applyAlignment="1"/>
    <xf numFmtId="0" fontId="14" fillId="9" borderId="0" xfId="0" applyFont="1" applyFill="1" applyAlignment="1"/>
    <xf numFmtId="43" fontId="15" fillId="9" borderId="0" xfId="8" applyFont="1" applyFill="1" applyAlignment="1">
      <alignment horizontal="centerContinuous"/>
    </xf>
    <xf numFmtId="225" fontId="6" fillId="9" borderId="0" xfId="8" applyNumberFormat="1" applyFont="1" applyFill="1"/>
    <xf numFmtId="206" fontId="18" fillId="9" borderId="0" xfId="0" applyNumberFormat="1" applyFont="1" applyFill="1"/>
    <xf numFmtId="8" fontId="18" fillId="9" borderId="0" xfId="0" applyNumberFormat="1" applyFont="1" applyFill="1"/>
    <xf numFmtId="204" fontId="18" fillId="9" borderId="0" xfId="0" applyNumberFormat="1" applyFont="1" applyFill="1" applyBorder="1"/>
    <xf numFmtId="204" fontId="18" fillId="9" borderId="0" xfId="0" applyNumberFormat="1" applyFont="1" applyFill="1"/>
    <xf numFmtId="40" fontId="18" fillId="9" borderId="0" xfId="0" applyNumberFormat="1" applyFont="1" applyFill="1"/>
    <xf numFmtId="40" fontId="6" fillId="9" borderId="0" xfId="0" applyNumberFormat="1" applyFont="1" applyFill="1" applyAlignment="1"/>
    <xf numFmtId="204" fontId="18" fillId="9" borderId="4" xfId="0" applyNumberFormat="1" applyFont="1" applyFill="1" applyBorder="1"/>
    <xf numFmtId="40" fontId="18" fillId="9" borderId="4" xfId="0" applyNumberFormat="1" applyFont="1" applyFill="1" applyBorder="1"/>
    <xf numFmtId="40" fontId="6" fillId="9" borderId="4" xfId="0" applyNumberFormat="1" applyFont="1" applyFill="1" applyBorder="1" applyAlignment="1"/>
    <xf numFmtId="240" fontId="6" fillId="9" borderId="0" xfId="35" applyNumberFormat="1" applyFont="1" applyFill="1"/>
    <xf numFmtId="0" fontId="6" fillId="9" borderId="9" xfId="0" applyFont="1" applyFill="1" applyBorder="1"/>
    <xf numFmtId="171" fontId="156" fillId="9" borderId="9" xfId="0" applyNumberFormat="1" applyFont="1" applyFill="1" applyBorder="1"/>
    <xf numFmtId="0" fontId="18" fillId="9" borderId="9" xfId="0" applyFont="1" applyFill="1" applyBorder="1"/>
    <xf numFmtId="0" fontId="6" fillId="9" borderId="10" xfId="0" applyFont="1" applyFill="1" applyBorder="1"/>
    <xf numFmtId="0" fontId="18" fillId="9" borderId="10" xfId="0" applyFont="1" applyFill="1" applyBorder="1"/>
    <xf numFmtId="0" fontId="6" fillId="9" borderId="11" xfId="0" applyFont="1" applyFill="1" applyBorder="1"/>
    <xf numFmtId="2" fontId="156" fillId="9" borderId="0" xfId="0" applyNumberFormat="1" applyFont="1" applyFill="1"/>
    <xf numFmtId="0" fontId="11" fillId="9" borderId="0" xfId="0" applyFont="1" applyFill="1" applyAlignment="1">
      <alignment horizontal="right"/>
    </xf>
    <xf numFmtId="183" fontId="11" fillId="9" borderId="0" xfId="0" applyNumberFormat="1" applyFont="1" applyFill="1"/>
    <xf numFmtId="183" fontId="16" fillId="9" borderId="0" xfId="0" applyNumberFormat="1" applyFont="1" applyFill="1"/>
    <xf numFmtId="183" fontId="74" fillId="9" borderId="4" xfId="0" applyNumberFormat="1" applyFont="1" applyFill="1" applyBorder="1"/>
    <xf numFmtId="183" fontId="16" fillId="9" borderId="4" xfId="0" applyNumberFormat="1" applyFont="1" applyFill="1" applyBorder="1"/>
    <xf numFmtId="168" fontId="16" fillId="9" borderId="0" xfId="0" applyNumberFormat="1" applyFont="1" applyFill="1"/>
    <xf numFmtId="0" fontId="11" fillId="9" borderId="0" xfId="0" applyFont="1" applyFill="1" applyAlignment="1">
      <alignment horizontal="centerContinuous"/>
    </xf>
    <xf numFmtId="0" fontId="15" fillId="9" borderId="21" xfId="0" applyFont="1" applyFill="1" applyBorder="1" applyAlignment="1">
      <alignment horizontal="centerContinuous"/>
    </xf>
    <xf numFmtId="0" fontId="15" fillId="9" borderId="31" xfId="0" applyFont="1" applyFill="1" applyBorder="1" applyAlignment="1">
      <alignment horizontal="centerContinuous"/>
    </xf>
    <xf numFmtId="0" fontId="15" fillId="9" borderId="25" xfId="0" applyFont="1" applyFill="1" applyBorder="1" applyAlignment="1">
      <alignment horizontal="center"/>
    </xf>
    <xf numFmtId="0" fontId="15" fillId="9" borderId="0" xfId="0" applyFont="1" applyFill="1" applyBorder="1" applyAlignment="1">
      <alignment horizontal="center"/>
    </xf>
    <xf numFmtId="0" fontId="15" fillId="9" borderId="26" xfId="0" applyFont="1" applyFill="1" applyBorder="1" applyAlignment="1">
      <alignment horizontal="center"/>
    </xf>
    <xf numFmtId="0" fontId="18" fillId="9" borderId="0" xfId="0" applyFont="1" applyFill="1" applyBorder="1"/>
    <xf numFmtId="6" fontId="18" fillId="9" borderId="25" xfId="0" applyNumberFormat="1" applyFont="1" applyFill="1" applyBorder="1" applyAlignment="1">
      <alignment horizontal="center"/>
    </xf>
    <xf numFmtId="165" fontId="18" fillId="9" borderId="0" xfId="0" applyNumberFormat="1" applyFont="1" applyFill="1" applyBorder="1" applyAlignment="1">
      <alignment horizontal="center"/>
    </xf>
    <xf numFmtId="8" fontId="6" fillId="9" borderId="26" xfId="0" applyNumberFormat="1" applyFont="1" applyFill="1" applyBorder="1" applyAlignment="1">
      <alignment horizontal="center"/>
    </xf>
    <xf numFmtId="6" fontId="61" fillId="9" borderId="25" xfId="0" applyNumberFormat="1" applyFont="1" applyFill="1" applyBorder="1" applyAlignment="1">
      <alignment horizontal="center"/>
    </xf>
    <xf numFmtId="165" fontId="160" fillId="9" borderId="0" xfId="0" applyNumberFormat="1" applyFont="1" applyFill="1" applyBorder="1" applyAlignment="1">
      <alignment horizontal="center"/>
    </xf>
    <xf numFmtId="8" fontId="61" fillId="9" borderId="26" xfId="0" applyNumberFormat="1" applyFont="1" applyFill="1" applyBorder="1" applyAlignment="1">
      <alignment horizontal="center"/>
    </xf>
    <xf numFmtId="0" fontId="6" fillId="9" borderId="0" xfId="0" applyFont="1" applyFill="1" applyBorder="1" applyAlignment="1">
      <alignment horizontal="center"/>
    </xf>
    <xf numFmtId="165" fontId="6" fillId="9" borderId="9" xfId="0" applyNumberFormat="1" applyFont="1" applyFill="1" applyBorder="1"/>
    <xf numFmtId="6" fontId="6" fillId="9" borderId="27" xfId="0" applyNumberFormat="1" applyFont="1" applyFill="1" applyBorder="1" applyAlignment="1">
      <alignment horizontal="center"/>
    </xf>
    <xf numFmtId="0" fontId="18" fillId="9" borderId="28" xfId="0" applyFont="1" applyFill="1" applyBorder="1" applyAlignment="1">
      <alignment horizontal="center"/>
    </xf>
    <xf numFmtId="8" fontId="18" fillId="9" borderId="29" xfId="0" applyNumberFormat="1" applyFont="1" applyFill="1" applyBorder="1" applyAlignment="1">
      <alignment horizontal="center"/>
    </xf>
    <xf numFmtId="165" fontId="18" fillId="9" borderId="28" xfId="0" applyNumberFormat="1" applyFont="1" applyFill="1" applyBorder="1" applyAlignment="1">
      <alignment horizontal="center"/>
    </xf>
    <xf numFmtId="6" fontId="6" fillId="9" borderId="0" xfId="0" applyNumberFormat="1" applyFont="1" applyFill="1" applyBorder="1"/>
    <xf numFmtId="294" fontId="176" fillId="10" borderId="0" xfId="0" applyNumberFormat="1" applyFont="1" applyFill="1" applyBorder="1" applyAlignment="1">
      <alignment horizontal="centerContinuous"/>
    </xf>
    <xf numFmtId="0" fontId="176" fillId="10" borderId="0" xfId="0" applyFont="1" applyFill="1" applyBorder="1" applyAlignment="1">
      <alignment horizontal="centerContinuous"/>
    </xf>
    <xf numFmtId="232" fontId="2" fillId="9" borderId="39" xfId="8" applyNumberFormat="1" applyFont="1" applyFill="1" applyBorder="1"/>
    <xf numFmtId="0" fontId="2" fillId="9" borderId="40" xfId="0" applyFont="1" applyFill="1" applyBorder="1"/>
    <xf numFmtId="166" fontId="2" fillId="9" borderId="41" xfId="35" applyNumberFormat="1" applyFont="1" applyFill="1" applyBorder="1"/>
    <xf numFmtId="0" fontId="2" fillId="9" borderId="42" xfId="0" applyFont="1" applyFill="1" applyBorder="1" applyAlignment="1">
      <alignment horizontal="centerContinuous"/>
    </xf>
    <xf numFmtId="232" fontId="12" fillId="9" borderId="41" xfId="0" applyNumberFormat="1" applyFont="1" applyFill="1" applyBorder="1" applyAlignment="1">
      <alignment horizontal="right"/>
    </xf>
    <xf numFmtId="0" fontId="12" fillId="9" borderId="42" xfId="0" applyFont="1" applyFill="1" applyBorder="1" applyAlignment="1">
      <alignment horizontal="right"/>
    </xf>
    <xf numFmtId="43" fontId="2" fillId="9" borderId="41" xfId="0" applyNumberFormat="1" applyFont="1" applyFill="1" applyBorder="1" applyAlignment="1">
      <alignment horizontal="right"/>
    </xf>
    <xf numFmtId="43" fontId="2" fillId="9" borderId="42" xfId="0" applyNumberFormat="1" applyFont="1" applyFill="1" applyBorder="1" applyAlignment="1">
      <alignment horizontal="right"/>
    </xf>
    <xf numFmtId="43" fontId="2" fillId="9" borderId="43" xfId="0" applyNumberFormat="1" applyFont="1" applyFill="1" applyBorder="1" applyAlignment="1">
      <alignment horizontal="right"/>
    </xf>
    <xf numFmtId="43" fontId="2" fillId="9" borderId="44" xfId="0" applyNumberFormat="1" applyFont="1" applyFill="1" applyBorder="1" applyAlignment="1">
      <alignment horizontal="right"/>
    </xf>
    <xf numFmtId="43" fontId="2" fillId="13" borderId="41" xfId="0" applyNumberFormat="1" applyFont="1" applyFill="1" applyBorder="1" applyAlignment="1">
      <alignment horizontal="right"/>
    </xf>
    <xf numFmtId="43" fontId="2" fillId="13" borderId="42" xfId="0" applyNumberFormat="1" applyFont="1" applyFill="1" applyBorder="1" applyAlignment="1">
      <alignment horizontal="right"/>
    </xf>
    <xf numFmtId="166" fontId="2" fillId="9" borderId="41" xfId="35" applyNumberFormat="1" applyFont="1" applyFill="1" applyBorder="1" applyAlignment="1">
      <alignment horizontal="right"/>
    </xf>
    <xf numFmtId="0" fontId="2" fillId="9" borderId="42" xfId="0" applyFont="1" applyFill="1" applyBorder="1" applyAlignment="1">
      <alignment horizontal="right"/>
    </xf>
    <xf numFmtId="0" fontId="2" fillId="9" borderId="41" xfId="0" applyFont="1" applyFill="1" applyBorder="1" applyAlignment="1">
      <alignment horizontal="right"/>
    </xf>
    <xf numFmtId="0" fontId="0" fillId="9" borderId="41" xfId="0" applyFill="1" applyBorder="1"/>
    <xf numFmtId="0" fontId="0" fillId="9" borderId="42" xfId="0" applyFill="1" applyBorder="1"/>
    <xf numFmtId="37" fontId="12" fillId="9" borderId="41" xfId="0" applyNumberFormat="1" applyFont="1" applyFill="1" applyBorder="1" applyAlignment="1">
      <alignment horizontal="right"/>
    </xf>
    <xf numFmtId="0" fontId="12" fillId="9" borderId="41" xfId="0" applyFont="1" applyFill="1" applyBorder="1" applyAlignment="1">
      <alignment horizontal="right"/>
    </xf>
    <xf numFmtId="165" fontId="2" fillId="9" borderId="45" xfId="0" applyNumberFormat="1" applyFont="1" applyFill="1" applyBorder="1"/>
    <xf numFmtId="165" fontId="2" fillId="9" borderId="46" xfId="0" applyNumberFormat="1" applyFont="1" applyFill="1" applyBorder="1"/>
    <xf numFmtId="235" fontId="99" fillId="9" borderId="0" xfId="0" applyNumberFormat="1" applyFont="1" applyFill="1" applyAlignment="1">
      <alignment horizontal="left"/>
    </xf>
    <xf numFmtId="164" fontId="0" fillId="9" borderId="0" xfId="0" applyNumberFormat="1" applyFill="1"/>
    <xf numFmtId="165" fontId="78" fillId="9" borderId="0" xfId="0" applyNumberFormat="1" applyFont="1" applyFill="1"/>
    <xf numFmtId="0" fontId="76" fillId="9" borderId="0" xfId="0" applyFont="1" applyFill="1" applyAlignment="1">
      <alignment horizontal="center"/>
    </xf>
    <xf numFmtId="0" fontId="76" fillId="9" borderId="0" xfId="0" applyFont="1" applyFill="1"/>
    <xf numFmtId="164" fontId="76" fillId="9" borderId="0" xfId="0" applyNumberFormat="1" applyFont="1" applyFill="1" applyAlignment="1">
      <alignment horizontal="center"/>
    </xf>
    <xf numFmtId="0" fontId="78" fillId="9" borderId="0" xfId="0" applyFont="1" applyFill="1" applyAlignment="1">
      <alignment horizontal="center"/>
    </xf>
    <xf numFmtId="0" fontId="78" fillId="9" borderId="0" xfId="0" applyFont="1" applyFill="1" applyBorder="1"/>
    <xf numFmtId="9" fontId="78" fillId="9" borderId="0" xfId="35" applyFont="1" applyFill="1"/>
    <xf numFmtId="0" fontId="83" fillId="9" borderId="0" xfId="0" applyFont="1" applyFill="1"/>
    <xf numFmtId="1" fontId="78" fillId="9" borderId="0" xfId="0" applyNumberFormat="1" applyFont="1" applyFill="1"/>
    <xf numFmtId="171" fontId="78" fillId="9" borderId="0" xfId="0" applyNumberFormat="1" applyFont="1" applyFill="1"/>
    <xf numFmtId="0" fontId="76" fillId="9" borderId="7" xfId="0" applyFont="1" applyFill="1" applyBorder="1" applyAlignment="1">
      <alignment horizontal="centerContinuous"/>
    </xf>
    <xf numFmtId="0" fontId="76" fillId="9" borderId="6" xfId="0" applyFont="1" applyFill="1" applyBorder="1" applyAlignment="1">
      <alignment horizontal="centerContinuous"/>
    </xf>
    <xf numFmtId="0" fontId="76" fillId="9" borderId="8" xfId="0" applyFont="1" applyFill="1" applyBorder="1" applyAlignment="1">
      <alignment horizontal="centerContinuous"/>
    </xf>
    <xf numFmtId="0" fontId="76" fillId="9" borderId="4" xfId="0" applyFont="1" applyFill="1" applyBorder="1"/>
    <xf numFmtId="0" fontId="76" fillId="9" borderId="4" xfId="0" applyFont="1" applyFill="1" applyBorder="1" applyAlignment="1">
      <alignment horizontal="center"/>
    </xf>
    <xf numFmtId="0" fontId="76" fillId="9" borderId="0" xfId="0" applyFont="1" applyFill="1" applyBorder="1" applyAlignment="1">
      <alignment horizontal="centerContinuous"/>
    </xf>
    <xf numFmtId="0" fontId="78" fillId="9" borderId="4" xfId="0" applyFont="1" applyFill="1" applyBorder="1"/>
    <xf numFmtId="0" fontId="11" fillId="9" borderId="5" xfId="0" applyFont="1" applyFill="1" applyBorder="1" applyAlignment="1">
      <alignment horizontal="center"/>
    </xf>
    <xf numFmtId="0" fontId="11" fillId="9" borderId="5" xfId="0" applyFont="1" applyFill="1" applyBorder="1" applyAlignment="1">
      <alignment horizontal="right"/>
    </xf>
    <xf numFmtId="0" fontId="76" fillId="9" borderId="4" xfId="0" applyFont="1" applyFill="1" applyBorder="1" applyAlignment="1">
      <alignment horizontal="centerContinuous"/>
    </xf>
    <xf numFmtId="0" fontId="11" fillId="9" borderId="4" xfId="0" applyFont="1" applyFill="1" applyBorder="1" applyAlignment="1">
      <alignment horizontal="right"/>
    </xf>
    <xf numFmtId="0" fontId="76" fillId="9" borderId="0" xfId="0" quotePrefix="1" applyFont="1" applyFill="1" applyAlignment="1">
      <alignment horizontal="center"/>
    </xf>
    <xf numFmtId="0" fontId="76" fillId="9" borderId="0" xfId="0" quotePrefix="1" applyFont="1" applyFill="1" applyBorder="1" applyAlignment="1">
      <alignment horizontal="centerContinuous"/>
    </xf>
    <xf numFmtId="0" fontId="78" fillId="9" borderId="4" xfId="0" applyFont="1" applyFill="1" applyBorder="1" applyAlignment="1">
      <alignment horizontal="left"/>
    </xf>
    <xf numFmtId="0" fontId="76" fillId="9" borderId="4" xfId="0" quotePrefix="1" applyFont="1" applyFill="1" applyBorder="1" applyAlignment="1">
      <alignment horizontal="center"/>
    </xf>
    <xf numFmtId="0" fontId="76" fillId="9" borderId="4" xfId="0" quotePrefix="1" applyFont="1" applyFill="1" applyBorder="1" applyAlignment="1">
      <alignment horizontal="centerContinuous"/>
    </xf>
    <xf numFmtId="0" fontId="78" fillId="9" borderId="4" xfId="0" applyFont="1" applyFill="1" applyBorder="1" applyAlignment="1">
      <alignment horizontal="center"/>
    </xf>
    <xf numFmtId="0" fontId="76" fillId="9" borderId="0" xfId="0" applyFont="1" applyFill="1" applyAlignment="1">
      <alignment horizontal="left"/>
    </xf>
    <xf numFmtId="191" fontId="78" fillId="9" borderId="0" xfId="0" applyNumberFormat="1" applyFont="1" applyFill="1"/>
    <xf numFmtId="0" fontId="76" fillId="9" borderId="0" xfId="0" applyFont="1" applyFill="1" applyBorder="1"/>
    <xf numFmtId="191" fontId="78" fillId="9" borderId="0" xfId="0" applyNumberFormat="1" applyFont="1" applyFill="1" applyBorder="1"/>
    <xf numFmtId="0" fontId="76" fillId="9" borderId="0" xfId="0" applyFont="1" applyFill="1" applyBorder="1" applyAlignment="1">
      <alignment horizontal="center"/>
    </xf>
    <xf numFmtId="0" fontId="76" fillId="9" borderId="4" xfId="0" applyFont="1" applyFill="1" applyBorder="1" applyAlignment="1">
      <alignment horizontal="left"/>
    </xf>
    <xf numFmtId="191" fontId="78" fillId="9" borderId="4" xfId="0" applyNumberFormat="1" applyFont="1" applyFill="1" applyBorder="1"/>
    <xf numFmtId="0" fontId="99" fillId="9" borderId="0" xfId="0" quotePrefix="1" applyFont="1" applyFill="1" applyAlignment="1">
      <alignment horizontal="left"/>
    </xf>
    <xf numFmtId="195" fontId="99" fillId="9" borderId="0" xfId="0" applyNumberFormat="1" applyFont="1" applyFill="1" applyAlignment="1">
      <alignment horizontal="left"/>
    </xf>
    <xf numFmtId="0" fontId="6" fillId="9" borderId="0" xfId="0" applyFont="1" applyFill="1" applyBorder="1" applyAlignment="1">
      <alignment horizontal="center" wrapText="1"/>
    </xf>
    <xf numFmtId="0" fontId="78" fillId="9" borderId="0" xfId="0" applyFont="1" applyFill="1" applyAlignment="1">
      <alignment horizontal="left"/>
    </xf>
    <xf numFmtId="199" fontId="78" fillId="9" borderId="0" xfId="0" applyNumberFormat="1" applyFont="1" applyFill="1"/>
    <xf numFmtId="1" fontId="78" fillId="9" borderId="0" xfId="0" applyNumberFormat="1" applyFont="1" applyFill="1" applyBorder="1"/>
    <xf numFmtId="182" fontId="78" fillId="9" borderId="0" xfId="0" applyNumberFormat="1" applyFont="1" applyFill="1"/>
    <xf numFmtId="178" fontId="78" fillId="9" borderId="0" xfId="0" applyNumberFormat="1" applyFont="1" applyFill="1"/>
    <xf numFmtId="171" fontId="83" fillId="9" borderId="0" xfId="0" applyNumberFormat="1" applyFont="1" applyFill="1"/>
    <xf numFmtId="171" fontId="77" fillId="9" borderId="0" xfId="0" applyNumberFormat="1" applyFont="1" applyFill="1"/>
    <xf numFmtId="179" fontId="78" fillId="9" borderId="0" xfId="0" applyNumberFormat="1" applyFont="1" applyFill="1"/>
    <xf numFmtId="164" fontId="78" fillId="9" borderId="0" xfId="0" applyNumberFormat="1" applyFont="1" applyFill="1"/>
    <xf numFmtId="4" fontId="78" fillId="9" borderId="0" xfId="0" applyNumberFormat="1" applyFont="1" applyFill="1"/>
    <xf numFmtId="3" fontId="78" fillId="9" borderId="0" xfId="0" applyNumberFormat="1" applyFont="1" applyFill="1"/>
    <xf numFmtId="165" fontId="78" fillId="9" borderId="4" xfId="0" applyNumberFormat="1" applyFont="1" applyFill="1" applyBorder="1"/>
    <xf numFmtId="199" fontId="78" fillId="9" borderId="4" xfId="0" applyNumberFormat="1" applyFont="1" applyFill="1" applyBorder="1"/>
    <xf numFmtId="0" fontId="77" fillId="9" borderId="0" xfId="0" applyFont="1" applyFill="1"/>
    <xf numFmtId="1" fontId="78" fillId="9" borderId="4" xfId="0" applyNumberFormat="1" applyFont="1" applyFill="1" applyBorder="1"/>
    <xf numFmtId="164" fontId="78" fillId="9" borderId="4" xfId="0" applyNumberFormat="1" applyFont="1" applyFill="1" applyBorder="1"/>
    <xf numFmtId="4" fontId="78" fillId="9" borderId="4" xfId="0" applyNumberFormat="1" applyFont="1" applyFill="1" applyBorder="1"/>
    <xf numFmtId="171" fontId="77" fillId="9" borderId="4" xfId="0" applyNumberFormat="1" applyFont="1" applyFill="1" applyBorder="1"/>
    <xf numFmtId="3" fontId="78" fillId="9" borderId="4" xfId="0" applyNumberFormat="1" applyFont="1" applyFill="1" applyBorder="1"/>
    <xf numFmtId="199" fontId="78" fillId="9" borderId="0" xfId="0" applyNumberFormat="1" applyFont="1" applyFill="1" applyBorder="1"/>
    <xf numFmtId="178" fontId="78" fillId="9" borderId="4" xfId="0" applyNumberFormat="1" applyFont="1" applyFill="1" applyBorder="1"/>
    <xf numFmtId="198" fontId="78" fillId="9" borderId="4" xfId="0" applyNumberFormat="1" applyFont="1" applyFill="1" applyBorder="1"/>
    <xf numFmtId="198" fontId="78" fillId="9" borderId="0" xfId="0" applyNumberFormat="1" applyFont="1" applyFill="1"/>
    <xf numFmtId="9" fontId="78" fillId="9" borderId="0" xfId="35" applyFont="1" applyFill="1" applyBorder="1"/>
    <xf numFmtId="166" fontId="78" fillId="9" borderId="0" xfId="35" applyNumberFormat="1" applyFont="1" applyFill="1"/>
    <xf numFmtId="283" fontId="78" fillId="9" borderId="0" xfId="0" applyNumberFormat="1" applyFont="1" applyFill="1"/>
    <xf numFmtId="198" fontId="0" fillId="9" borderId="0" xfId="0" applyNumberFormat="1" applyFill="1"/>
    <xf numFmtId="198" fontId="78" fillId="9" borderId="0" xfId="0" applyNumberFormat="1" applyFont="1" applyFill="1" applyBorder="1"/>
    <xf numFmtId="164" fontId="117" fillId="9" borderId="4" xfId="0" applyNumberFormat="1" applyFont="1" applyFill="1" applyBorder="1"/>
    <xf numFmtId="197" fontId="100" fillId="9" borderId="0" xfId="0" applyNumberFormat="1" applyFont="1" applyFill="1" applyAlignment="1">
      <alignment horizontal="left"/>
    </xf>
    <xf numFmtId="198" fontId="79" fillId="9" borderId="4" xfId="0" applyNumberFormat="1" applyFont="1" applyFill="1" applyBorder="1"/>
    <xf numFmtId="164" fontId="171" fillId="9" borderId="4" xfId="0" applyNumberFormat="1" applyFont="1" applyFill="1" applyBorder="1"/>
    <xf numFmtId="165" fontId="78" fillId="9" borderId="0" xfId="0" applyNumberFormat="1" applyFont="1" applyFill="1" applyBorder="1"/>
    <xf numFmtId="198" fontId="180" fillId="9" borderId="0" xfId="0" applyNumberFormat="1" applyFont="1" applyFill="1"/>
    <xf numFmtId="164" fontId="171" fillId="9" borderId="0" xfId="0" applyNumberFormat="1" applyFont="1" applyFill="1" applyBorder="1"/>
    <xf numFmtId="0" fontId="11" fillId="9" borderId="0" xfId="0" applyFont="1" applyFill="1" applyBorder="1" applyAlignment="1">
      <alignment horizontal="center"/>
    </xf>
    <xf numFmtId="0" fontId="0" fillId="9" borderId="0" xfId="0" applyFill="1" applyBorder="1"/>
    <xf numFmtId="0" fontId="11" fillId="9" borderId="0" xfId="0" applyFont="1" applyFill="1" applyBorder="1" applyAlignment="1">
      <alignment horizontal="right"/>
    </xf>
    <xf numFmtId="9" fontId="6" fillId="9" borderId="0" xfId="35" applyFont="1" applyFill="1" applyAlignment="1">
      <alignment horizontal="center"/>
    </xf>
    <xf numFmtId="9" fontId="18" fillId="9" borderId="20" xfId="0" applyNumberFormat="1" applyFont="1" applyFill="1" applyBorder="1"/>
    <xf numFmtId="9" fontId="18" fillId="9" borderId="0" xfId="0" applyNumberFormat="1" applyFont="1" applyFill="1" applyBorder="1"/>
    <xf numFmtId="176" fontId="161" fillId="9" borderId="0" xfId="8" applyNumberFormat="1" applyFont="1" applyFill="1"/>
    <xf numFmtId="171" fontId="6" fillId="9" borderId="0" xfId="0" applyNumberFormat="1" applyFont="1" applyFill="1" applyBorder="1"/>
    <xf numFmtId="176" fontId="161" fillId="9" borderId="0" xfId="8" applyNumberFormat="1" applyFont="1" applyFill="1" applyBorder="1"/>
    <xf numFmtId="171" fontId="6" fillId="9" borderId="4" xfId="0" applyNumberFormat="1" applyFont="1" applyFill="1" applyBorder="1"/>
    <xf numFmtId="176" fontId="161" fillId="9" borderId="4" xfId="8" applyNumberFormat="1" applyFont="1" applyFill="1" applyBorder="1"/>
    <xf numFmtId="176" fontId="161" fillId="9" borderId="0" xfId="8" applyNumberFormat="1" applyFont="1" applyFill="1" applyAlignment="1">
      <alignment horizontal="left"/>
    </xf>
    <xf numFmtId="182" fontId="6" fillId="9" borderId="0" xfId="0" applyNumberFormat="1" applyFont="1" applyFill="1" applyBorder="1"/>
    <xf numFmtId="200" fontId="78" fillId="9" borderId="0" xfId="0" applyNumberFormat="1" applyFont="1" applyFill="1"/>
    <xf numFmtId="37" fontId="78" fillId="9" borderId="0" xfId="0" applyNumberFormat="1" applyFont="1" applyFill="1"/>
    <xf numFmtId="9" fontId="0" fillId="9" borderId="0" xfId="35" applyFont="1" applyFill="1" applyBorder="1"/>
    <xf numFmtId="225" fontId="6" fillId="9" borderId="0" xfId="8" applyNumberFormat="1" applyFont="1" applyFill="1" applyBorder="1"/>
    <xf numFmtId="225" fontId="6" fillId="9" borderId="0" xfId="0" applyNumberFormat="1" applyFont="1" applyFill="1" applyBorder="1"/>
    <xf numFmtId="0" fontId="78" fillId="9" borderId="0" xfId="0" applyFont="1" applyFill="1" applyBorder="1" applyAlignment="1">
      <alignment horizontal="left"/>
    </xf>
    <xf numFmtId="166" fontId="78" fillId="9" borderId="0" xfId="35" applyNumberFormat="1" applyFont="1" applyFill="1" applyBorder="1"/>
    <xf numFmtId="37" fontId="78" fillId="9" borderId="0" xfId="0" applyNumberFormat="1" applyFont="1" applyFill="1" applyBorder="1"/>
    <xf numFmtId="43" fontId="0" fillId="9" borderId="0" xfId="0" applyNumberFormat="1" applyFill="1"/>
    <xf numFmtId="171" fontId="78" fillId="9" borderId="4" xfId="0" applyNumberFormat="1" applyFont="1" applyFill="1" applyBorder="1"/>
    <xf numFmtId="0" fontId="15" fillId="9" borderId="0" xfId="0" applyFont="1" applyFill="1" applyBorder="1"/>
    <xf numFmtId="9" fontId="12" fillId="9" borderId="0" xfId="35" applyFont="1" applyFill="1" applyBorder="1"/>
    <xf numFmtId="168" fontId="0" fillId="9" borderId="0" xfId="0" applyNumberFormat="1" applyFill="1"/>
    <xf numFmtId="282" fontId="78" fillId="9" borderId="0" xfId="13" applyNumberFormat="1" applyFont="1" applyFill="1" applyBorder="1"/>
    <xf numFmtId="198" fontId="180" fillId="9" borderId="4" xfId="0" applyNumberFormat="1" applyFont="1" applyFill="1" applyBorder="1"/>
    <xf numFmtId="0" fontId="11" fillId="9" borderId="0" xfId="0" applyFont="1" applyFill="1" applyBorder="1"/>
    <xf numFmtId="0" fontId="11" fillId="9" borderId="0" xfId="0" applyFont="1" applyFill="1" applyAlignment="1"/>
    <xf numFmtId="0" fontId="11" fillId="9" borderId="4" xfId="0" applyFont="1" applyFill="1" applyBorder="1" applyAlignment="1"/>
    <xf numFmtId="282" fontId="78" fillId="9" borderId="0" xfId="13" applyNumberFormat="1" applyFont="1" applyFill="1"/>
    <xf numFmtId="164" fontId="0" fillId="9" borderId="0" xfId="0" applyNumberFormat="1" applyFill="1" applyBorder="1"/>
    <xf numFmtId="166" fontId="104" fillId="9" borderId="0" xfId="35" applyNumberFormat="1" applyFont="1" applyFill="1"/>
    <xf numFmtId="9" fontId="0" fillId="9" borderId="0" xfId="0" applyNumberFormat="1" applyFill="1" applyBorder="1"/>
    <xf numFmtId="176" fontId="161" fillId="9" borderId="0" xfId="8" applyNumberFormat="1" applyFont="1" applyFill="1" applyBorder="1" applyAlignment="1">
      <alignment horizontal="left"/>
    </xf>
    <xf numFmtId="1" fontId="78" fillId="9" borderId="0" xfId="0" applyNumberFormat="1" applyFont="1" applyFill="1" applyBorder="1" applyAlignment="1">
      <alignment horizontal="right"/>
    </xf>
    <xf numFmtId="0" fontId="78" fillId="9" borderId="0" xfId="0" applyFont="1" applyFill="1" applyAlignment="1">
      <alignment horizontal="right"/>
    </xf>
    <xf numFmtId="200" fontId="83" fillId="9" borderId="0" xfId="0" applyNumberFormat="1" applyFont="1" applyFill="1"/>
    <xf numFmtId="285" fontId="78" fillId="9" borderId="0" xfId="0" applyNumberFormat="1" applyFont="1" applyFill="1"/>
    <xf numFmtId="292" fontId="78" fillId="9" borderId="0" xfId="0" applyNumberFormat="1" applyFont="1" applyFill="1" applyBorder="1"/>
    <xf numFmtId="164" fontId="78" fillId="9" borderId="0" xfId="0" applyNumberFormat="1" applyFont="1" applyFill="1" applyBorder="1"/>
    <xf numFmtId="0" fontId="78" fillId="9" borderId="3" xfId="0" applyFont="1" applyFill="1" applyBorder="1"/>
    <xf numFmtId="37" fontId="77" fillId="9" borderId="9" xfId="0" applyNumberFormat="1" applyFont="1" applyFill="1" applyBorder="1"/>
    <xf numFmtId="37" fontId="77" fillId="9" borderId="10" xfId="0" applyNumberFormat="1" applyFont="1" applyFill="1" applyBorder="1"/>
    <xf numFmtId="37" fontId="77" fillId="9" borderId="11" xfId="0" applyNumberFormat="1" applyFont="1" applyFill="1" applyBorder="1"/>
    <xf numFmtId="1" fontId="78" fillId="9" borderId="4" xfId="0" applyNumberFormat="1" applyFont="1" applyFill="1" applyBorder="1" applyAlignment="1">
      <alignment horizontal="right"/>
    </xf>
    <xf numFmtId="1" fontId="83" fillId="9" borderId="0" xfId="0" applyNumberFormat="1" applyFont="1" applyFill="1" applyBorder="1"/>
    <xf numFmtId="164" fontId="83" fillId="9" borderId="0" xfId="0" applyNumberFormat="1" applyFont="1" applyFill="1"/>
    <xf numFmtId="1" fontId="83" fillId="9" borderId="4" xfId="0" applyNumberFormat="1" applyFont="1" applyFill="1" applyBorder="1"/>
    <xf numFmtId="164" fontId="83" fillId="9" borderId="4" xfId="0" applyNumberFormat="1" applyFont="1" applyFill="1" applyBorder="1"/>
    <xf numFmtId="37" fontId="76" fillId="9" borderId="0" xfId="0" applyNumberFormat="1" applyFont="1" applyFill="1" applyBorder="1"/>
    <xf numFmtId="198" fontId="83" fillId="9" borderId="4" xfId="0" applyNumberFormat="1" applyFont="1" applyFill="1" applyBorder="1"/>
    <xf numFmtId="198" fontId="83" fillId="9" borderId="0" xfId="0" applyNumberFormat="1" applyFont="1" applyFill="1"/>
    <xf numFmtId="210" fontId="24" fillId="9" borderId="0" xfId="28" applyNumberFormat="1" applyFont="1" applyFill="1" applyBorder="1" applyAlignment="1">
      <alignment horizontal="left"/>
    </xf>
    <xf numFmtId="165" fontId="84" fillId="9" borderId="0" xfId="0" applyNumberFormat="1" applyFont="1" applyFill="1"/>
    <xf numFmtId="165" fontId="84" fillId="9" borderId="0" xfId="0" applyNumberFormat="1" applyFont="1" applyFill="1" applyAlignment="1">
      <alignment horizontal="left"/>
    </xf>
    <xf numFmtId="165" fontId="84" fillId="9" borderId="0" xfId="0" applyNumberFormat="1" applyFont="1" applyFill="1" applyAlignment="1">
      <alignment horizontal="center"/>
    </xf>
    <xf numFmtId="165" fontId="84" fillId="9" borderId="0" xfId="0" applyNumberFormat="1" applyFont="1" applyFill="1" applyBorder="1"/>
    <xf numFmtId="165" fontId="84" fillId="9" borderId="4" xfId="0" applyNumberFormat="1" applyFont="1" applyFill="1" applyBorder="1"/>
    <xf numFmtId="1" fontId="180" fillId="12" borderId="0" xfId="0" applyNumberFormat="1" applyFont="1" applyFill="1" applyBorder="1"/>
    <xf numFmtId="43" fontId="6" fillId="9" borderId="0" xfId="0" applyNumberFormat="1" applyFont="1" applyFill="1" applyAlignment="1"/>
    <xf numFmtId="215" fontId="45" fillId="9" borderId="0" xfId="0" applyNumberFormat="1" applyFont="1" applyFill="1" applyAlignment="1">
      <alignment horizontal="right"/>
    </xf>
    <xf numFmtId="215" fontId="42" fillId="9" borderId="0" xfId="0" applyNumberFormat="1" applyFont="1" applyFill="1" applyAlignment="1">
      <alignment horizontal="right"/>
    </xf>
    <xf numFmtId="214" fontId="44" fillId="9" borderId="0" xfId="0" applyNumberFormat="1" applyFont="1" applyFill="1" applyAlignment="1">
      <alignment horizontal="right"/>
    </xf>
    <xf numFmtId="0" fontId="41" fillId="9" borderId="0" xfId="0" applyFont="1" applyFill="1"/>
    <xf numFmtId="0" fontId="41" fillId="9" borderId="0" xfId="0" applyFont="1" applyFill="1" applyAlignment="1">
      <alignment horizontal="center"/>
    </xf>
    <xf numFmtId="0" fontId="41" fillId="9" borderId="0" xfId="0" applyFont="1" applyFill="1" applyAlignment="1">
      <alignment horizontal="right"/>
    </xf>
    <xf numFmtId="0" fontId="41" fillId="9" borderId="0" xfId="0" applyFont="1" applyFill="1" applyAlignment="1">
      <alignment horizontal="left"/>
    </xf>
    <xf numFmtId="0" fontId="41" fillId="9" borderId="4" xfId="0" applyFont="1" applyFill="1" applyBorder="1"/>
    <xf numFmtId="0" fontId="41" fillId="9" borderId="4" xfId="0" applyFont="1" applyFill="1" applyBorder="1" applyAlignment="1">
      <alignment horizontal="center"/>
    </xf>
    <xf numFmtId="0" fontId="41" fillId="9" borderId="4" xfId="0" applyFont="1" applyFill="1" applyBorder="1" applyAlignment="1">
      <alignment horizontal="right"/>
    </xf>
    <xf numFmtId="0" fontId="41" fillId="9" borderId="4" xfId="0" applyFont="1" applyFill="1" applyBorder="1" applyAlignment="1">
      <alignment horizontal="left"/>
    </xf>
    <xf numFmtId="164" fontId="76" fillId="9" borderId="0" xfId="0" applyNumberFormat="1" applyFont="1" applyFill="1" applyBorder="1"/>
    <xf numFmtId="0" fontId="39" fillId="9" borderId="0" xfId="0" applyFont="1" applyFill="1"/>
    <xf numFmtId="214" fontId="39" fillId="9" borderId="0" xfId="0" applyNumberFormat="1" applyFont="1" applyFill="1"/>
    <xf numFmtId="0" fontId="39" fillId="9" borderId="0" xfId="0" applyFont="1" applyFill="1" applyAlignment="1">
      <alignment horizontal="center"/>
    </xf>
    <xf numFmtId="0" fontId="39" fillId="9" borderId="0" xfId="0" applyFont="1" applyFill="1" applyAlignment="1">
      <alignment horizontal="right"/>
    </xf>
    <xf numFmtId="0" fontId="39" fillId="9" borderId="0" xfId="0" applyFont="1" applyFill="1" applyAlignment="1">
      <alignment horizontal="left"/>
    </xf>
    <xf numFmtId="0" fontId="42" fillId="9" borderId="0" xfId="0" applyFont="1" applyFill="1" applyAlignment="1" applyProtection="1">
      <alignment horizontal="left"/>
    </xf>
    <xf numFmtId="285" fontId="56" fillId="9" borderId="0" xfId="0" applyNumberFormat="1" applyFont="1" applyFill="1"/>
    <xf numFmtId="0" fontId="41" fillId="9" borderId="0" xfId="0" applyFont="1" applyFill="1" applyBorder="1"/>
    <xf numFmtId="214" fontId="39" fillId="9" borderId="0" xfId="0" applyNumberFormat="1" applyFont="1" applyFill="1" applyAlignment="1">
      <alignment horizontal="center"/>
    </xf>
    <xf numFmtId="0" fontId="41" fillId="9" borderId="4" xfId="0" applyFont="1" applyFill="1" applyBorder="1" applyAlignment="1">
      <alignment horizontal="centerContinuous"/>
    </xf>
    <xf numFmtId="0" fontId="39" fillId="9" borderId="4" xfId="0" applyFont="1" applyFill="1" applyBorder="1" applyAlignment="1">
      <alignment horizontal="centerContinuous"/>
    </xf>
    <xf numFmtId="0" fontId="38" fillId="9" borderId="0" xfId="0" applyFont="1" applyFill="1" applyAlignment="1">
      <alignment wrapText="1"/>
    </xf>
    <xf numFmtId="0" fontId="47" fillId="9" borderId="0" xfId="0" applyFont="1" applyFill="1" applyAlignment="1">
      <alignment wrapText="1"/>
    </xf>
    <xf numFmtId="0" fontId="41" fillId="9" borderId="0" xfId="0" applyFont="1" applyFill="1" applyAlignment="1">
      <alignment horizontal="center" wrapText="1"/>
    </xf>
    <xf numFmtId="0" fontId="38" fillId="9" borderId="0" xfId="0" applyFont="1" applyFill="1" applyAlignment="1">
      <alignment horizontal="center" wrapText="1"/>
    </xf>
    <xf numFmtId="0" fontId="48" fillId="9" borderId="0" xfId="0" applyFont="1" applyFill="1" applyAlignment="1">
      <alignment horizontal="center" wrapText="1"/>
    </xf>
    <xf numFmtId="0" fontId="38" fillId="9" borderId="0" xfId="0" applyFont="1" applyFill="1" applyAlignment="1">
      <alignment horizontal="left" wrapText="1"/>
    </xf>
    <xf numFmtId="0" fontId="38" fillId="9" borderId="0" xfId="0" applyFont="1" applyFill="1" applyAlignment="1">
      <alignment horizontal="right" wrapText="1"/>
    </xf>
    <xf numFmtId="0" fontId="39" fillId="9" borderId="0" xfId="0" applyFont="1" applyFill="1" applyAlignment="1">
      <alignment horizontal="center" wrapText="1"/>
    </xf>
    <xf numFmtId="0" fontId="43" fillId="9" borderId="0" xfId="0" applyFont="1" applyFill="1"/>
    <xf numFmtId="0" fontId="43" fillId="9" borderId="0" xfId="0" applyFont="1" applyFill="1" applyAlignment="1">
      <alignment horizontal="center"/>
    </xf>
    <xf numFmtId="0" fontId="43" fillId="9" borderId="0" xfId="0" applyFont="1" applyFill="1" applyBorder="1"/>
    <xf numFmtId="0" fontId="38" fillId="9" borderId="0" xfId="0" applyFont="1" applyFill="1" applyAlignment="1">
      <alignment horizontal="right"/>
    </xf>
    <xf numFmtId="0" fontId="38" fillId="9" borderId="0" xfId="0" applyFont="1" applyFill="1" applyAlignment="1">
      <alignment horizontal="left"/>
    </xf>
    <xf numFmtId="0" fontId="39" fillId="9" borderId="0" xfId="0" applyFont="1" applyFill="1" applyBorder="1" applyAlignment="1">
      <alignment horizontal="center"/>
    </xf>
    <xf numFmtId="0" fontId="39" fillId="9" borderId="0" xfId="0" applyFont="1" applyFill="1" applyBorder="1" applyAlignment="1">
      <alignment horizontal="left"/>
    </xf>
    <xf numFmtId="0" fontId="39" fillId="9" borderId="0" xfId="0" applyFont="1" applyFill="1" applyBorder="1" applyAlignment="1">
      <alignment horizontal="right"/>
    </xf>
    <xf numFmtId="0" fontId="39" fillId="9" borderId="0" xfId="0" applyFont="1" applyFill="1" applyBorder="1"/>
    <xf numFmtId="37" fontId="39" fillId="9" borderId="0" xfId="28" applyNumberFormat="1" applyFont="1" applyFill="1" applyBorder="1" applyAlignment="1">
      <alignment horizontal="right"/>
    </xf>
    <xf numFmtId="213" fontId="39" fillId="9" borderId="0" xfId="0" applyNumberFormat="1" applyFont="1" applyFill="1" applyAlignment="1">
      <alignment horizontal="left"/>
    </xf>
    <xf numFmtId="203" fontId="39" fillId="9" borderId="0" xfId="28" applyNumberFormat="1" applyFont="1" applyFill="1" applyAlignment="1">
      <alignment horizontal="right"/>
    </xf>
    <xf numFmtId="212" fontId="39" fillId="9" borderId="0" xfId="0" applyNumberFormat="1" applyFont="1" applyFill="1" applyAlignment="1">
      <alignment horizontal="right"/>
    </xf>
    <xf numFmtId="37" fontId="44" fillId="9" borderId="0" xfId="28" applyNumberFormat="1" applyFont="1" applyFill="1" applyAlignment="1">
      <alignment horizontal="right"/>
    </xf>
    <xf numFmtId="191" fontId="39" fillId="9" borderId="0" xfId="35" applyNumberFormat="1" applyFont="1" applyFill="1" applyAlignment="1">
      <alignment horizontal="left"/>
    </xf>
    <xf numFmtId="37" fontId="44" fillId="9" borderId="0" xfId="28" applyNumberFormat="1" applyFont="1" applyFill="1" applyBorder="1" applyAlignment="1">
      <alignment horizontal="right"/>
    </xf>
    <xf numFmtId="212" fontId="39" fillId="9" borderId="0" xfId="0" applyNumberFormat="1" applyFont="1" applyFill="1" applyBorder="1" applyAlignment="1">
      <alignment horizontal="left"/>
    </xf>
    <xf numFmtId="213" fontId="39" fillId="9" borderId="0" xfId="0" applyNumberFormat="1" applyFont="1" applyFill="1" applyAlignment="1">
      <alignment horizontal="right"/>
    </xf>
    <xf numFmtId="212" fontId="39" fillId="9" borderId="0" xfId="0" applyNumberFormat="1" applyFont="1" applyFill="1" applyBorder="1" applyAlignment="1">
      <alignment horizontal="right"/>
    </xf>
    <xf numFmtId="215" fontId="42" fillId="9" borderId="0" xfId="0" applyNumberFormat="1" applyFont="1" applyFill="1" applyBorder="1" applyAlignment="1">
      <alignment horizontal="right"/>
    </xf>
    <xf numFmtId="213" fontId="39" fillId="9" borderId="0" xfId="0" applyNumberFormat="1" applyFont="1" applyFill="1" applyBorder="1" applyAlignment="1">
      <alignment horizontal="left"/>
    </xf>
    <xf numFmtId="37" fontId="39" fillId="9" borderId="0" xfId="28" applyNumberFormat="1" applyFont="1" applyFill="1" applyAlignment="1">
      <alignment horizontal="right"/>
    </xf>
    <xf numFmtId="215" fontId="42" fillId="9" borderId="0" xfId="0" applyNumberFormat="1" applyFont="1" applyFill="1" applyAlignment="1">
      <alignment horizontal="center"/>
    </xf>
    <xf numFmtId="215" fontId="42" fillId="9" borderId="0" xfId="0" applyNumberFormat="1" applyFont="1" applyFill="1" applyAlignment="1">
      <alignment horizontal="left"/>
    </xf>
    <xf numFmtId="190" fontId="39" fillId="9" borderId="0" xfId="0" applyNumberFormat="1" applyFont="1" applyFill="1" applyAlignment="1">
      <alignment horizontal="left"/>
    </xf>
    <xf numFmtId="203" fontId="39" fillId="9" borderId="0" xfId="28" applyNumberFormat="1" applyFont="1" applyFill="1" applyBorder="1" applyAlignment="1">
      <alignment horizontal="right"/>
    </xf>
    <xf numFmtId="215" fontId="42" fillId="9" borderId="0" xfId="0" applyNumberFormat="1" applyFont="1" applyFill="1" applyBorder="1" applyAlignment="1">
      <alignment horizontal="left"/>
    </xf>
    <xf numFmtId="37" fontId="39" fillId="9" borderId="4" xfId="28" applyNumberFormat="1" applyFont="1" applyFill="1" applyBorder="1" applyAlignment="1">
      <alignment horizontal="right"/>
    </xf>
    <xf numFmtId="203" fontId="39" fillId="9" borderId="4" xfId="28" applyNumberFormat="1" applyFont="1" applyFill="1" applyBorder="1" applyAlignment="1">
      <alignment horizontal="right"/>
    </xf>
    <xf numFmtId="37" fontId="44" fillId="9" borderId="4" xfId="28" applyNumberFormat="1" applyFont="1" applyFill="1" applyBorder="1" applyAlignment="1">
      <alignment horizontal="right"/>
    </xf>
    <xf numFmtId="213" fontId="39" fillId="9" borderId="0" xfId="0" applyNumberFormat="1" applyFont="1" applyFill="1" applyBorder="1" applyAlignment="1">
      <alignment horizontal="right"/>
    </xf>
    <xf numFmtId="191" fontId="39" fillId="9" borderId="0" xfId="35" applyNumberFormat="1" applyFont="1" applyFill="1" applyBorder="1" applyAlignment="1">
      <alignment horizontal="left"/>
    </xf>
    <xf numFmtId="214" fontId="39" fillId="9" borderId="0" xfId="0" applyNumberFormat="1" applyFont="1" applyFill="1" applyAlignment="1">
      <alignment horizontal="right"/>
    </xf>
    <xf numFmtId="203" fontId="44" fillId="9" borderId="0" xfId="28" applyNumberFormat="1" applyFont="1" applyFill="1" applyAlignment="1">
      <alignment horizontal="right"/>
    </xf>
    <xf numFmtId="39" fontId="39" fillId="9" borderId="0" xfId="28" applyNumberFormat="1" applyFont="1" applyFill="1" applyBorder="1" applyAlignment="1">
      <alignment horizontal="right"/>
    </xf>
    <xf numFmtId="214" fontId="39" fillId="9" borderId="0" xfId="0" applyNumberFormat="1" applyFont="1" applyFill="1" applyBorder="1" applyAlignment="1">
      <alignment horizontal="right"/>
    </xf>
    <xf numFmtId="212" fontId="44" fillId="9" borderId="0" xfId="0" applyNumberFormat="1" applyFont="1" applyFill="1" applyAlignment="1">
      <alignment horizontal="right"/>
    </xf>
    <xf numFmtId="214" fontId="39" fillId="9" borderId="0" xfId="0" applyNumberFormat="1" applyFont="1" applyFill="1" applyBorder="1" applyAlignment="1">
      <alignment horizontal="left"/>
    </xf>
    <xf numFmtId="218" fontId="39" fillId="9" borderId="0" xfId="0" applyNumberFormat="1" applyFont="1" applyFill="1" applyAlignment="1">
      <alignment horizontal="left"/>
    </xf>
    <xf numFmtId="218" fontId="44" fillId="9" borderId="0" xfId="0" applyNumberFormat="1" applyFont="1" applyFill="1" applyAlignment="1">
      <alignment horizontal="left"/>
    </xf>
    <xf numFmtId="37" fontId="46" fillId="9" borderId="0" xfId="28" applyNumberFormat="1" applyFont="1" applyFill="1" applyAlignment="1">
      <alignment horizontal="left"/>
    </xf>
    <xf numFmtId="214" fontId="44" fillId="9" borderId="0" xfId="0" applyNumberFormat="1" applyFont="1" applyFill="1" applyBorder="1" applyAlignment="1">
      <alignment horizontal="right"/>
    </xf>
    <xf numFmtId="218" fontId="44" fillId="9" borderId="0" xfId="0" applyNumberFormat="1" applyFont="1" applyFill="1" applyBorder="1" applyAlignment="1">
      <alignment horizontal="left"/>
    </xf>
    <xf numFmtId="0" fontId="44" fillId="9" borderId="0" xfId="0" applyFont="1" applyFill="1"/>
    <xf numFmtId="0" fontId="46" fillId="9" borderId="0" xfId="0" applyFont="1" applyFill="1" applyAlignment="1">
      <alignment horizontal="left"/>
    </xf>
    <xf numFmtId="214" fontId="39" fillId="9" borderId="0" xfId="0" applyNumberFormat="1" applyFont="1" applyFill="1" applyAlignment="1">
      <alignment horizontal="left"/>
    </xf>
    <xf numFmtId="212" fontId="39" fillId="9" borderId="0" xfId="0" applyNumberFormat="1" applyFont="1" applyFill="1" applyAlignment="1">
      <alignment horizontal="left"/>
    </xf>
    <xf numFmtId="215" fontId="39" fillId="9" borderId="0" xfId="0" applyNumberFormat="1" applyFont="1" applyFill="1" applyAlignment="1">
      <alignment horizontal="left"/>
    </xf>
    <xf numFmtId="215" fontId="0" fillId="9" borderId="0" xfId="0" applyNumberFormat="1" applyFill="1"/>
    <xf numFmtId="203" fontId="44" fillId="9" borderId="4" xfId="28" applyNumberFormat="1" applyFont="1" applyFill="1" applyBorder="1" applyAlignment="1">
      <alignment horizontal="right"/>
    </xf>
    <xf numFmtId="37" fontId="39" fillId="9" borderId="0" xfId="0" applyNumberFormat="1" applyFont="1" applyFill="1" applyBorder="1"/>
    <xf numFmtId="37" fontId="44" fillId="9" borderId="0" xfId="0" applyNumberFormat="1" applyFont="1" applyFill="1" applyBorder="1"/>
    <xf numFmtId="37" fontId="147" fillId="9" borderId="0" xfId="28" applyNumberFormat="1" applyFont="1" applyFill="1" applyAlignment="1">
      <alignment horizontal="right"/>
    </xf>
    <xf numFmtId="215" fontId="148" fillId="9" borderId="0" xfId="0" applyNumberFormat="1" applyFont="1" applyFill="1" applyBorder="1" applyAlignment="1">
      <alignment horizontal="right"/>
    </xf>
    <xf numFmtId="212" fontId="147" fillId="9" borderId="0" xfId="0" applyNumberFormat="1" applyFont="1" applyFill="1" applyBorder="1" applyAlignment="1">
      <alignment horizontal="right"/>
    </xf>
    <xf numFmtId="37" fontId="147" fillId="9" borderId="0" xfId="28" applyNumberFormat="1" applyFont="1" applyFill="1" applyBorder="1" applyAlignment="1">
      <alignment horizontal="right"/>
    </xf>
    <xf numFmtId="213" fontId="147" fillId="9" borderId="0" xfId="0" applyNumberFormat="1" applyFont="1" applyFill="1" applyBorder="1" applyAlignment="1">
      <alignment horizontal="left"/>
    </xf>
    <xf numFmtId="214" fontId="147" fillId="9" borderId="0" xfId="0" applyNumberFormat="1" applyFont="1" applyFill="1" applyBorder="1" applyAlignment="1">
      <alignment horizontal="right"/>
    </xf>
    <xf numFmtId="214" fontId="147" fillId="9" borderId="0" xfId="0" applyNumberFormat="1" applyFont="1" applyFill="1" applyAlignment="1">
      <alignment horizontal="right"/>
    </xf>
    <xf numFmtId="218" fontId="147" fillId="9" borderId="0" xfId="0" applyNumberFormat="1" applyFont="1" applyFill="1" applyAlignment="1">
      <alignment horizontal="left"/>
    </xf>
    <xf numFmtId="37" fontId="147" fillId="9" borderId="0" xfId="0" applyNumberFormat="1" applyFont="1" applyFill="1" applyBorder="1"/>
    <xf numFmtId="0" fontId="147" fillId="9" borderId="0" xfId="0" applyFont="1" applyFill="1" applyBorder="1" applyAlignment="1">
      <alignment horizontal="right"/>
    </xf>
    <xf numFmtId="0" fontId="147" fillId="9" borderId="0" xfId="0" applyFont="1" applyFill="1" applyBorder="1"/>
    <xf numFmtId="0" fontId="147" fillId="9" borderId="0" xfId="0" applyFont="1" applyFill="1" applyBorder="1" applyAlignment="1">
      <alignment horizontal="center"/>
    </xf>
    <xf numFmtId="203" fontId="39" fillId="9" borderId="0" xfId="0" applyNumberFormat="1" applyFont="1" applyFill="1" applyBorder="1"/>
    <xf numFmtId="166" fontId="39" fillId="9" borderId="0" xfId="35" applyNumberFormat="1" applyFont="1" applyFill="1"/>
    <xf numFmtId="166" fontId="39" fillId="9" borderId="0" xfId="0" applyNumberFormat="1" applyFont="1" applyFill="1"/>
    <xf numFmtId="203" fontId="44" fillId="9" borderId="0" xfId="28" applyNumberFormat="1" applyFont="1" applyFill="1" applyBorder="1" applyAlignment="1">
      <alignment horizontal="right"/>
    </xf>
    <xf numFmtId="203" fontId="147" fillId="9" borderId="0" xfId="28" applyNumberFormat="1" applyFont="1" applyFill="1" applyBorder="1" applyAlignment="1">
      <alignment horizontal="right"/>
    </xf>
    <xf numFmtId="0" fontId="147" fillId="9" borderId="0" xfId="0" applyFont="1" applyFill="1" applyAlignment="1">
      <alignment horizontal="right"/>
    </xf>
    <xf numFmtId="0" fontId="147" fillId="9" borderId="0" xfId="0" applyFont="1" applyFill="1"/>
    <xf numFmtId="0" fontId="147" fillId="9" borderId="0" xfId="0" applyFont="1" applyFill="1" applyAlignment="1">
      <alignment horizontal="center"/>
    </xf>
    <xf numFmtId="213" fontId="147" fillId="9" borderId="0" xfId="0" applyNumberFormat="1" applyFont="1" applyFill="1" applyAlignment="1">
      <alignment horizontal="left"/>
    </xf>
    <xf numFmtId="215" fontId="148" fillId="9" borderId="0" xfId="0" applyNumberFormat="1" applyFont="1" applyFill="1" applyAlignment="1">
      <alignment horizontal="right"/>
    </xf>
    <xf numFmtId="203" fontId="147" fillId="9" borderId="0" xfId="28" applyNumberFormat="1" applyFont="1" applyFill="1" applyAlignment="1">
      <alignment horizontal="right"/>
    </xf>
    <xf numFmtId="212" fontId="147" fillId="9" borderId="0" xfId="0" applyNumberFormat="1" applyFont="1" applyFill="1" applyAlignment="1">
      <alignment horizontal="right"/>
    </xf>
    <xf numFmtId="37" fontId="147" fillId="9" borderId="4" xfId="28" applyNumberFormat="1" applyFont="1" applyFill="1" applyBorder="1" applyAlignment="1">
      <alignment horizontal="right"/>
    </xf>
    <xf numFmtId="203" fontId="147" fillId="9" borderId="4" xfId="28" applyNumberFormat="1" applyFont="1" applyFill="1" applyBorder="1" applyAlignment="1">
      <alignment horizontal="right"/>
    </xf>
    <xf numFmtId="39" fontId="39" fillId="9" borderId="0" xfId="0" applyNumberFormat="1" applyFont="1" applyFill="1"/>
    <xf numFmtId="43" fontId="44" fillId="9" borderId="0" xfId="8" applyFont="1" applyFill="1" applyBorder="1"/>
    <xf numFmtId="39" fontId="44" fillId="9" borderId="0" xfId="0" applyNumberFormat="1" applyFont="1" applyFill="1" applyBorder="1"/>
    <xf numFmtId="39" fontId="39" fillId="9" borderId="0" xfId="0" applyNumberFormat="1" applyFont="1" applyFill="1" applyBorder="1"/>
    <xf numFmtId="203" fontId="44" fillId="9" borderId="0" xfId="0" applyNumberFormat="1" applyFont="1" applyFill="1" applyBorder="1"/>
    <xf numFmtId="166" fontId="44" fillId="9" borderId="0" xfId="35" applyNumberFormat="1" applyFont="1" applyFill="1" applyBorder="1"/>
    <xf numFmtId="0" fontId="42" fillId="9" borderId="0" xfId="0" applyFont="1" applyFill="1" applyAlignment="1">
      <alignment horizontal="right"/>
    </xf>
    <xf numFmtId="203" fontId="39" fillId="9" borderId="0" xfId="0" applyNumberFormat="1" applyFont="1" applyFill="1"/>
    <xf numFmtId="213" fontId="44" fillId="9" borderId="0" xfId="0" applyNumberFormat="1" applyFont="1" applyFill="1" applyAlignment="1">
      <alignment horizontal="left"/>
    </xf>
    <xf numFmtId="37" fontId="39" fillId="9" borderId="0" xfId="28" applyNumberFormat="1" applyFont="1" applyFill="1" applyBorder="1" applyAlignment="1">
      <alignment horizontal="left"/>
    </xf>
    <xf numFmtId="37" fontId="147" fillId="9" borderId="0" xfId="28" applyNumberFormat="1" applyFont="1" applyFill="1" applyBorder="1" applyAlignment="1">
      <alignment horizontal="left"/>
    </xf>
    <xf numFmtId="37" fontId="39" fillId="9" borderId="7" xfId="28" applyNumberFormat="1" applyFont="1" applyFill="1" applyBorder="1" applyAlignment="1">
      <alignment horizontal="left"/>
    </xf>
    <xf numFmtId="0" fontId="39" fillId="9" borderId="6" xfId="0" applyFont="1" applyFill="1" applyBorder="1" applyAlignment="1">
      <alignment horizontal="right"/>
    </xf>
    <xf numFmtId="0" fontId="39" fillId="9" borderId="6" xfId="0" applyFont="1" applyFill="1" applyBorder="1"/>
    <xf numFmtId="37" fontId="44" fillId="9" borderId="6" xfId="0" applyNumberFormat="1" applyFont="1" applyFill="1" applyBorder="1"/>
    <xf numFmtId="0" fontId="39" fillId="9" borderId="6" xfId="0" applyFont="1" applyFill="1" applyBorder="1" applyAlignment="1">
      <alignment horizontal="center"/>
    </xf>
    <xf numFmtId="213" fontId="39" fillId="9" borderId="8" xfId="0" applyNumberFormat="1" applyFont="1" applyFill="1" applyBorder="1" applyAlignment="1">
      <alignment horizontal="left"/>
    </xf>
    <xf numFmtId="215" fontId="114" fillId="9" borderId="0" xfId="0" applyNumberFormat="1" applyFont="1" applyFill="1" applyAlignment="1">
      <alignment horizontal="right"/>
    </xf>
    <xf numFmtId="213" fontId="113" fillId="9" borderId="0" xfId="0" applyNumberFormat="1" applyFont="1" applyFill="1" applyAlignment="1">
      <alignment horizontal="left"/>
    </xf>
    <xf numFmtId="203" fontId="113" fillId="9" borderId="0" xfId="28" applyNumberFormat="1" applyFont="1" applyFill="1" applyAlignment="1">
      <alignment horizontal="right"/>
    </xf>
    <xf numFmtId="212" fontId="113" fillId="9" borderId="0" xfId="0" applyNumberFormat="1" applyFont="1" applyFill="1" applyAlignment="1">
      <alignment horizontal="right"/>
    </xf>
    <xf numFmtId="37" fontId="113" fillId="9" borderId="0" xfId="28" applyNumberFormat="1" applyFont="1" applyFill="1" applyBorder="1" applyAlignment="1">
      <alignment horizontal="right"/>
    </xf>
    <xf numFmtId="37" fontId="113" fillId="9" borderId="4" xfId="28" applyNumberFormat="1" applyFont="1" applyFill="1" applyBorder="1" applyAlignment="1">
      <alignment horizontal="right"/>
    </xf>
    <xf numFmtId="203" fontId="113" fillId="9" borderId="4" xfId="28" applyNumberFormat="1" applyFont="1" applyFill="1" applyBorder="1" applyAlignment="1">
      <alignment horizontal="right"/>
    </xf>
    <xf numFmtId="214" fontId="113" fillId="9" borderId="0" xfId="0" applyNumberFormat="1" applyFont="1" applyFill="1" applyAlignment="1">
      <alignment horizontal="right"/>
    </xf>
    <xf numFmtId="37" fontId="113" fillId="9" borderId="0" xfId="28" applyNumberFormat="1" applyFont="1" applyFill="1" applyAlignment="1">
      <alignment horizontal="right"/>
    </xf>
    <xf numFmtId="214" fontId="41" fillId="9" borderId="0" xfId="0" applyNumberFormat="1" applyFont="1" applyFill="1"/>
    <xf numFmtId="37" fontId="115" fillId="9" borderId="0" xfId="28" applyNumberFormat="1" applyFont="1" applyFill="1" applyBorder="1" applyAlignment="1">
      <alignment horizontal="right"/>
    </xf>
    <xf numFmtId="215" fontId="116" fillId="9" borderId="0" xfId="0" applyNumberFormat="1" applyFont="1" applyFill="1" applyAlignment="1">
      <alignment horizontal="right"/>
    </xf>
    <xf numFmtId="213" fontId="115" fillId="9" borderId="0" xfId="0" applyNumberFormat="1" applyFont="1" applyFill="1" applyAlignment="1">
      <alignment horizontal="left"/>
    </xf>
    <xf numFmtId="203" fontId="115" fillId="9" borderId="0" xfId="28" applyNumberFormat="1" applyFont="1" applyFill="1" applyAlignment="1">
      <alignment horizontal="right"/>
    </xf>
    <xf numFmtId="212" fontId="115" fillId="9" borderId="0" xfId="0" applyNumberFormat="1" applyFont="1" applyFill="1" applyAlignment="1">
      <alignment horizontal="right"/>
    </xf>
    <xf numFmtId="166" fontId="0" fillId="9" borderId="0" xfId="0" applyNumberFormat="1" applyFill="1"/>
    <xf numFmtId="37" fontId="115" fillId="9" borderId="4" xfId="28" applyNumberFormat="1" applyFont="1" applyFill="1" applyBorder="1" applyAlignment="1">
      <alignment horizontal="right"/>
    </xf>
    <xf numFmtId="203" fontId="115" fillId="9" borderId="4" xfId="28" applyNumberFormat="1" applyFont="1" applyFill="1" applyBorder="1" applyAlignment="1">
      <alignment horizontal="right"/>
    </xf>
    <xf numFmtId="37" fontId="115" fillId="9" borderId="0" xfId="28" applyNumberFormat="1" applyFont="1" applyFill="1" applyAlignment="1">
      <alignment horizontal="right"/>
    </xf>
    <xf numFmtId="214" fontId="115" fillId="9" borderId="0" xfId="0" applyNumberFormat="1" applyFont="1" applyFill="1" applyAlignment="1">
      <alignment horizontal="right"/>
    </xf>
    <xf numFmtId="0" fontId="115" fillId="9" borderId="0" xfId="0" applyFont="1" applyFill="1" applyAlignment="1">
      <alignment horizontal="center"/>
    </xf>
    <xf numFmtId="0" fontId="115" fillId="9" borderId="0" xfId="0" applyFont="1" applyFill="1" applyAlignment="1">
      <alignment horizontal="right"/>
    </xf>
    <xf numFmtId="0" fontId="115" fillId="9" borderId="0" xfId="0" applyFont="1" applyFill="1"/>
    <xf numFmtId="37" fontId="41" fillId="9" borderId="0" xfId="0" applyNumberFormat="1" applyFont="1" applyFill="1"/>
    <xf numFmtId="37" fontId="39" fillId="9" borderId="0" xfId="0" applyNumberFormat="1" applyFont="1" applyFill="1"/>
    <xf numFmtId="37" fontId="115" fillId="9" borderId="0" xfId="0" applyNumberFormat="1" applyFont="1" applyFill="1" applyBorder="1"/>
    <xf numFmtId="37" fontId="43" fillId="9" borderId="0" xfId="0" applyNumberFormat="1" applyFont="1" applyFill="1" applyAlignment="1">
      <alignment horizontal="center"/>
    </xf>
    <xf numFmtId="203" fontId="43" fillId="9" borderId="0" xfId="0" applyNumberFormat="1" applyFont="1" applyFill="1"/>
    <xf numFmtId="0" fontId="117" fillId="9" borderId="0" xfId="0" applyFont="1" applyFill="1" applyAlignment="1">
      <alignment horizontal="center"/>
    </xf>
    <xf numFmtId="0" fontId="117" fillId="9" borderId="0" xfId="0" applyFont="1" applyFill="1"/>
    <xf numFmtId="0" fontId="149" fillId="9" borderId="0" xfId="0" applyFont="1" applyFill="1" applyAlignment="1">
      <alignment horizontal="center"/>
    </xf>
    <xf numFmtId="0" fontId="149" fillId="9" borderId="0" xfId="0" applyFont="1" applyFill="1"/>
    <xf numFmtId="37" fontId="40" fillId="9" borderId="0" xfId="0" applyNumberFormat="1" applyFont="1" applyFill="1"/>
    <xf numFmtId="0" fontId="40" fillId="9" borderId="0" xfId="0" applyFont="1" applyFill="1"/>
    <xf numFmtId="37" fontId="39" fillId="9" borderId="0" xfId="0" applyNumberFormat="1" applyFont="1" applyFill="1" applyAlignment="1">
      <alignment horizontal="right"/>
    </xf>
    <xf numFmtId="215" fontId="39" fillId="9" borderId="0" xfId="0" applyNumberFormat="1" applyFont="1" applyFill="1" applyAlignment="1">
      <alignment horizontal="right"/>
    </xf>
    <xf numFmtId="39" fontId="39" fillId="9" borderId="0" xfId="28" applyNumberFormat="1" applyFont="1" applyFill="1" applyAlignment="1">
      <alignment horizontal="right"/>
    </xf>
    <xf numFmtId="215" fontId="10" fillId="9" borderId="0" xfId="0" applyNumberFormat="1" applyFont="1" applyFill="1"/>
    <xf numFmtId="9" fontId="39" fillId="9" borderId="0" xfId="35" applyFont="1" applyFill="1" applyAlignment="1">
      <alignment horizontal="right"/>
    </xf>
    <xf numFmtId="0" fontId="41" fillId="13" borderId="4" xfId="0" applyFont="1" applyFill="1" applyBorder="1" applyAlignment="1">
      <alignment horizontal="centerContinuous"/>
    </xf>
    <xf numFmtId="0" fontId="39" fillId="13" borderId="4" xfId="0" applyFont="1" applyFill="1" applyBorder="1" applyAlignment="1">
      <alignment horizontal="centerContinuous"/>
    </xf>
    <xf numFmtId="180" fontId="10" fillId="9" borderId="0" xfId="31" applyFont="1" applyFill="1"/>
    <xf numFmtId="166" fontId="10" fillId="9" borderId="0" xfId="35" applyNumberFormat="1" applyFont="1" applyFill="1"/>
    <xf numFmtId="180" fontId="10" fillId="9" borderId="0" xfId="31" applyFont="1" applyFill="1" applyBorder="1"/>
    <xf numFmtId="180" fontId="12" fillId="9" borderId="4" xfId="31" applyFont="1" applyFill="1" applyBorder="1" applyAlignment="1" applyProtection="1">
      <alignment horizontal="left"/>
    </xf>
    <xf numFmtId="180" fontId="10" fillId="9" borderId="4" xfId="31" applyFont="1" applyFill="1" applyBorder="1"/>
    <xf numFmtId="180" fontId="12" fillId="9" borderId="0" xfId="31" applyFont="1" applyFill="1" applyBorder="1" applyAlignment="1" applyProtection="1">
      <alignment horizontal="left"/>
    </xf>
    <xf numFmtId="187" fontId="10" fillId="9" borderId="0" xfId="31" applyNumberFormat="1" applyFont="1" applyFill="1" applyBorder="1" applyAlignment="1" applyProtection="1">
      <alignment horizontal="left"/>
    </xf>
    <xf numFmtId="283" fontId="10" fillId="9" borderId="0" xfId="31" applyNumberFormat="1" applyFont="1" applyFill="1" applyBorder="1"/>
    <xf numFmtId="180" fontId="12" fillId="9" borderId="0" xfId="31" applyFont="1" applyFill="1" applyBorder="1"/>
    <xf numFmtId="180" fontId="12" fillId="9" borderId="16" xfId="31" applyFont="1" applyFill="1" applyBorder="1"/>
    <xf numFmtId="180" fontId="12" fillId="9" borderId="6" xfId="31" applyFont="1" applyFill="1" applyBorder="1" applyAlignment="1">
      <alignment horizontal="centerContinuous"/>
    </xf>
    <xf numFmtId="180" fontId="12" fillId="9" borderId="6" xfId="31" applyFont="1" applyFill="1" applyBorder="1" applyAlignment="1" applyProtection="1">
      <alignment horizontal="centerContinuous"/>
    </xf>
    <xf numFmtId="180" fontId="12" fillId="9" borderId="17" xfId="31" applyFont="1" applyFill="1" applyBorder="1"/>
    <xf numFmtId="180" fontId="10" fillId="9" borderId="0" xfId="31" applyNumberFormat="1" applyFont="1" applyFill="1" applyProtection="1"/>
    <xf numFmtId="195" fontId="21" fillId="9" borderId="4" xfId="17" applyNumberFormat="1" applyFont="1" applyFill="1" applyBorder="1" applyAlignment="1">
      <alignment horizontal="center"/>
    </xf>
    <xf numFmtId="195" fontId="12" fillId="9" borderId="4" xfId="17" applyNumberFormat="1" applyFont="1" applyFill="1" applyBorder="1" applyAlignment="1">
      <alignment horizontal="center"/>
    </xf>
    <xf numFmtId="235" fontId="12" fillId="9" borderId="4" xfId="17" applyNumberFormat="1" applyFont="1" applyFill="1" applyBorder="1" applyAlignment="1">
      <alignment horizontal="center"/>
    </xf>
    <xf numFmtId="197" fontId="21" fillId="9" borderId="4" xfId="17" applyNumberFormat="1" applyFont="1" applyFill="1" applyBorder="1" applyAlignment="1">
      <alignment horizontal="center"/>
    </xf>
    <xf numFmtId="180" fontId="63" fillId="9" borderId="0" xfId="31" applyFont="1" applyFill="1" applyBorder="1"/>
    <xf numFmtId="180" fontId="63" fillId="9" borderId="12" xfId="31" applyFont="1" applyFill="1" applyBorder="1"/>
    <xf numFmtId="180" fontId="12" fillId="9" borderId="6" xfId="31" applyFont="1" applyFill="1" applyBorder="1" applyAlignment="1" applyProtection="1">
      <alignment horizontal="center"/>
    </xf>
    <xf numFmtId="180" fontId="21" fillId="9" borderId="6" xfId="31" applyFont="1" applyFill="1" applyBorder="1" applyAlignment="1" applyProtection="1">
      <alignment horizontal="center"/>
    </xf>
    <xf numFmtId="180" fontId="12" fillId="9" borderId="13" xfId="31" applyFont="1" applyFill="1" applyBorder="1"/>
    <xf numFmtId="197" fontId="12" fillId="9" borderId="4" xfId="17" applyNumberFormat="1" applyFont="1" applyFill="1" applyBorder="1" applyAlignment="1">
      <alignment horizontal="center"/>
    </xf>
    <xf numFmtId="166" fontId="10" fillId="9" borderId="0" xfId="31" applyNumberFormat="1" applyFont="1" applyFill="1" applyProtection="1"/>
    <xf numFmtId="180" fontId="108" fillId="9" borderId="0" xfId="31" applyFont="1" applyFill="1"/>
    <xf numFmtId="180" fontId="73" fillId="9" borderId="0" xfId="31" applyFont="1" applyFill="1"/>
    <xf numFmtId="180" fontId="10" fillId="9" borderId="12" xfId="31" applyFont="1" applyFill="1" applyBorder="1"/>
    <xf numFmtId="180" fontId="10" fillId="9" borderId="13" xfId="31" applyFont="1" applyFill="1" applyBorder="1"/>
    <xf numFmtId="180" fontId="10" fillId="9" borderId="0" xfId="31" applyNumberFormat="1" applyFont="1" applyFill="1" applyAlignment="1" applyProtection="1">
      <alignment horizontal="left"/>
    </xf>
    <xf numFmtId="5" fontId="10" fillId="9" borderId="0" xfId="31" applyNumberFormat="1" applyFont="1" applyFill="1" applyProtection="1"/>
    <xf numFmtId="5" fontId="21" fillId="9" borderId="0" xfId="31" applyNumberFormat="1" applyFont="1" applyFill="1" applyProtection="1"/>
    <xf numFmtId="168" fontId="10" fillId="9" borderId="0" xfId="31" applyNumberFormat="1" applyFont="1" applyFill="1" applyBorder="1" applyProtection="1"/>
    <xf numFmtId="180" fontId="10" fillId="9" borderId="0" xfId="31" applyFont="1" applyFill="1" applyBorder="1" applyAlignment="1" applyProtection="1">
      <alignment horizontal="left"/>
    </xf>
    <xf numFmtId="168" fontId="10" fillId="9" borderId="0" xfId="31" applyNumberFormat="1" applyFont="1" applyFill="1" applyBorder="1" applyAlignment="1" applyProtection="1"/>
    <xf numFmtId="5" fontId="10" fillId="9" borderId="0" xfId="31" applyNumberFormat="1" applyFont="1" applyFill="1" applyBorder="1" applyProtection="1"/>
    <xf numFmtId="180" fontId="25" fillId="9" borderId="0" xfId="31" applyNumberFormat="1" applyFont="1" applyFill="1" applyAlignment="1" applyProtection="1">
      <alignment horizontal="left"/>
    </xf>
    <xf numFmtId="5" fontId="25" fillId="9" borderId="0" xfId="31" applyNumberFormat="1" applyFont="1" applyFill="1" applyProtection="1"/>
    <xf numFmtId="180" fontId="10" fillId="9" borderId="13" xfId="31" applyFont="1" applyFill="1" applyBorder="1" applyAlignment="1" applyProtection="1">
      <alignment horizontal="left"/>
    </xf>
    <xf numFmtId="166" fontId="10" fillId="9" borderId="0" xfId="35" applyNumberFormat="1" applyFont="1" applyFill="1" applyBorder="1"/>
    <xf numFmtId="225" fontId="10" fillId="9" borderId="0" xfId="8" applyNumberFormat="1" applyFont="1" applyFill="1" applyProtection="1"/>
    <xf numFmtId="43" fontId="10" fillId="9" borderId="0" xfId="8" applyFont="1" applyFill="1" applyProtection="1"/>
    <xf numFmtId="201" fontId="10" fillId="9" borderId="0" xfId="31" applyNumberFormat="1" applyFont="1" applyFill="1" applyProtection="1"/>
    <xf numFmtId="180" fontId="10" fillId="9" borderId="0" xfId="31" applyFont="1" applyFill="1" applyBorder="1" applyAlignment="1">
      <alignment horizontal="left" indent="1"/>
    </xf>
    <xf numFmtId="180" fontId="10" fillId="9" borderId="0" xfId="31" quotePrefix="1" applyNumberFormat="1" applyFont="1" applyFill="1" applyAlignment="1" applyProtection="1">
      <alignment horizontal="left"/>
    </xf>
    <xf numFmtId="185" fontId="10" fillId="9" borderId="0" xfId="31" applyNumberFormat="1" applyFont="1" applyFill="1" applyProtection="1"/>
    <xf numFmtId="185" fontId="13" fillId="9" borderId="0" xfId="31" applyNumberFormat="1" applyFont="1" applyFill="1" applyProtection="1"/>
    <xf numFmtId="185" fontId="10" fillId="9" borderId="0" xfId="31" applyNumberFormat="1" applyFont="1" applyFill="1" applyBorder="1" applyProtection="1"/>
    <xf numFmtId="185" fontId="25" fillId="9" borderId="0" xfId="31" applyNumberFormat="1" applyFont="1" applyFill="1" applyProtection="1"/>
    <xf numFmtId="180" fontId="10" fillId="9" borderId="0" xfId="31" applyFont="1" applyFill="1" applyAlignment="1">
      <alignment horizontal="left" indent="1"/>
    </xf>
    <xf numFmtId="0" fontId="10" fillId="9" borderId="0" xfId="31" applyNumberFormat="1" applyFont="1" applyFill="1" applyProtection="1"/>
    <xf numFmtId="180" fontId="10" fillId="9" borderId="4" xfId="31" applyFont="1" applyFill="1" applyBorder="1" applyAlignment="1">
      <alignment horizontal="left" indent="1"/>
    </xf>
    <xf numFmtId="166" fontId="10" fillId="9" borderId="4" xfId="35" applyNumberFormat="1" applyFont="1" applyFill="1" applyBorder="1"/>
    <xf numFmtId="180" fontId="25" fillId="9" borderId="0" xfId="31" quotePrefix="1" applyNumberFormat="1" applyFont="1" applyFill="1" applyAlignment="1" applyProtection="1">
      <alignment horizontal="left"/>
    </xf>
    <xf numFmtId="180" fontId="64" fillId="9" borderId="0" xfId="31" applyFont="1" applyFill="1"/>
    <xf numFmtId="180" fontId="25" fillId="9" borderId="0" xfId="31" applyNumberFormat="1" applyFont="1" applyFill="1" applyProtection="1"/>
    <xf numFmtId="201" fontId="25" fillId="9" borderId="0" xfId="31" applyNumberFormat="1" applyFont="1" applyFill="1" applyProtection="1"/>
    <xf numFmtId="37" fontId="10" fillId="9" borderId="0" xfId="31" applyNumberFormat="1" applyFont="1" applyFill="1" applyBorder="1" applyProtection="1"/>
    <xf numFmtId="37" fontId="10" fillId="9" borderId="12" xfId="31" applyNumberFormat="1" applyFont="1" applyFill="1" applyBorder="1" applyProtection="1"/>
    <xf numFmtId="37" fontId="10" fillId="9" borderId="13" xfId="31" applyNumberFormat="1" applyFont="1" applyFill="1" applyBorder="1" applyProtection="1"/>
    <xf numFmtId="166" fontId="10" fillId="9" borderId="0" xfId="31" applyNumberFormat="1" applyFont="1" applyFill="1" applyBorder="1" applyProtection="1"/>
    <xf numFmtId="37" fontId="10" fillId="9" borderId="0" xfId="31" applyNumberFormat="1" applyFont="1" applyFill="1" applyProtection="1"/>
    <xf numFmtId="186" fontId="10" fillId="9" borderId="0" xfId="31" applyNumberFormat="1" applyFont="1" applyFill="1" applyProtection="1"/>
    <xf numFmtId="189" fontId="10" fillId="9" borderId="0" xfId="32" applyNumberFormat="1" applyFont="1" applyFill="1" applyProtection="1"/>
    <xf numFmtId="283" fontId="10" fillId="9" borderId="0" xfId="31" applyNumberFormat="1" applyFont="1" applyFill="1"/>
    <xf numFmtId="193" fontId="10" fillId="9" borderId="0" xfId="31" applyNumberFormat="1" applyFont="1" applyFill="1" applyProtection="1"/>
    <xf numFmtId="9" fontId="10" fillId="9" borderId="0" xfId="31" applyNumberFormat="1" applyFont="1" applyFill="1" applyAlignment="1" applyProtection="1">
      <alignment horizontal="left"/>
    </xf>
    <xf numFmtId="193" fontId="25" fillId="9" borderId="0" xfId="31" applyNumberFormat="1" applyFont="1" applyFill="1" applyProtection="1"/>
    <xf numFmtId="189" fontId="21" fillId="9" borderId="0" xfId="32" applyNumberFormat="1" applyFont="1" applyFill="1" applyProtection="1"/>
    <xf numFmtId="189" fontId="10" fillId="9" borderId="0" xfId="32" applyNumberFormat="1" applyFont="1" applyFill="1" applyBorder="1" applyProtection="1"/>
    <xf numFmtId="189" fontId="10" fillId="9" borderId="12" xfId="32" applyNumberFormat="1" applyFont="1" applyFill="1" applyBorder="1" applyProtection="1"/>
    <xf numFmtId="166" fontId="10" fillId="9" borderId="0" xfId="31" applyNumberFormat="1" applyFont="1" applyFill="1" applyBorder="1" applyAlignment="1" applyProtection="1">
      <alignment horizontal="right"/>
    </xf>
    <xf numFmtId="180" fontId="10" fillId="9" borderId="14" xfId="31" applyFont="1" applyFill="1" applyBorder="1"/>
    <xf numFmtId="180" fontId="10" fillId="9" borderId="15" xfId="31" applyFont="1" applyFill="1" applyBorder="1"/>
    <xf numFmtId="6" fontId="10" fillId="9" borderId="0" xfId="13" applyNumberFormat="1" applyFont="1" applyFill="1"/>
    <xf numFmtId="6" fontId="10" fillId="9" borderId="0" xfId="13" applyNumberFormat="1" applyFont="1" applyFill="1" applyBorder="1"/>
    <xf numFmtId="180" fontId="10" fillId="9" borderId="0" xfId="31" quotePrefix="1" applyFont="1" applyFill="1"/>
    <xf numFmtId="180" fontId="10" fillId="9" borderId="0" xfId="31" applyFont="1" applyFill="1" applyAlignment="1">
      <alignment horizontal="left"/>
    </xf>
    <xf numFmtId="0" fontId="10" fillId="9" borderId="0" xfId="0" applyFont="1" applyFill="1" applyBorder="1"/>
    <xf numFmtId="9" fontId="10" fillId="9" borderId="0" xfId="0" applyNumberFormat="1" applyFont="1" applyFill="1" applyBorder="1"/>
    <xf numFmtId="5" fontId="10" fillId="9" borderId="0" xfId="0" applyNumberFormat="1" applyFont="1" applyFill="1" applyBorder="1"/>
    <xf numFmtId="180" fontId="12" fillId="9" borderId="0" xfId="31" applyFont="1" applyFill="1" applyBorder="1" applyAlignment="1" applyProtection="1">
      <alignment horizontal="center"/>
    </xf>
    <xf numFmtId="0" fontId="12" fillId="9" borderId="0" xfId="17" applyFont="1" applyFill="1" applyAlignment="1" applyProtection="1">
      <alignment horizontal="left"/>
    </xf>
    <xf numFmtId="180" fontId="12" fillId="9" borderId="4" xfId="17" applyNumberFormat="1" applyFont="1" applyFill="1" applyBorder="1"/>
    <xf numFmtId="180" fontId="10" fillId="9" borderId="16" xfId="31" applyFont="1" applyFill="1" applyBorder="1"/>
    <xf numFmtId="180" fontId="10" fillId="9" borderId="6" xfId="31" applyFont="1" applyFill="1" applyBorder="1"/>
    <xf numFmtId="180" fontId="10" fillId="9" borderId="5" xfId="31" applyFont="1" applyFill="1" applyBorder="1"/>
    <xf numFmtId="180" fontId="10" fillId="9" borderId="17" xfId="31" applyFont="1" applyFill="1" applyBorder="1"/>
    <xf numFmtId="7" fontId="10" fillId="9" borderId="0" xfId="0" applyNumberFormat="1" applyFont="1" applyFill="1"/>
    <xf numFmtId="1" fontId="10" fillId="9" borderId="0" xfId="31" applyNumberFormat="1" applyFont="1" applyFill="1"/>
    <xf numFmtId="180" fontId="10" fillId="9" borderId="0" xfId="31" applyNumberFormat="1" applyFont="1" applyFill="1" applyAlignment="1" applyProtection="1">
      <alignment horizontal="left" indent="1"/>
    </xf>
    <xf numFmtId="5" fontId="13" fillId="9" borderId="0" xfId="31" applyNumberFormat="1" applyFont="1" applyFill="1" applyProtection="1"/>
    <xf numFmtId="5" fontId="13" fillId="9" borderId="0" xfId="31" applyNumberFormat="1" applyFont="1" applyFill="1" applyAlignment="1" applyProtection="1">
      <alignment horizontal="right"/>
    </xf>
    <xf numFmtId="168" fontId="13" fillId="9" borderId="0" xfId="31" applyNumberFormat="1" applyFont="1" applyFill="1" applyBorder="1" applyAlignment="1" applyProtection="1">
      <alignment horizontal="right"/>
    </xf>
    <xf numFmtId="9" fontId="10" fillId="9" borderId="0" xfId="35" applyFont="1" applyFill="1"/>
    <xf numFmtId="180" fontId="13" fillId="9" borderId="0" xfId="31" applyNumberFormat="1" applyFont="1" applyFill="1" applyProtection="1"/>
    <xf numFmtId="37" fontId="13" fillId="9" borderId="0" xfId="31" applyNumberFormat="1" applyFont="1" applyFill="1" applyProtection="1"/>
    <xf numFmtId="185" fontId="57" fillId="9" borderId="0" xfId="31" applyNumberFormat="1" applyFont="1" applyFill="1" applyProtection="1"/>
    <xf numFmtId="37" fontId="57" fillId="9" borderId="0" xfId="31" applyNumberFormat="1" applyFont="1" applyFill="1" applyProtection="1"/>
    <xf numFmtId="180" fontId="57" fillId="9" borderId="0" xfId="31" applyNumberFormat="1" applyFont="1" applyFill="1" applyProtection="1"/>
    <xf numFmtId="37" fontId="65" fillId="9" borderId="0" xfId="31" applyNumberFormat="1" applyFont="1" applyFill="1" applyProtection="1"/>
    <xf numFmtId="193" fontId="10" fillId="9" borderId="0" xfId="31" applyNumberFormat="1" applyFont="1" applyFill="1" applyBorder="1" applyProtection="1"/>
    <xf numFmtId="193" fontId="13" fillId="9" borderId="0" xfId="31" applyNumberFormat="1" applyFont="1" applyFill="1" applyBorder="1" applyProtection="1"/>
    <xf numFmtId="193" fontId="13" fillId="9" borderId="0" xfId="31" applyNumberFormat="1" applyFont="1" applyFill="1" applyBorder="1" applyAlignment="1" applyProtection="1">
      <alignment horizontal="right"/>
    </xf>
    <xf numFmtId="189" fontId="10" fillId="9" borderId="0" xfId="32" applyNumberFormat="1" applyFont="1" applyFill="1" applyAlignment="1" applyProtection="1">
      <alignment horizontal="right"/>
    </xf>
    <xf numFmtId="180" fontId="12" fillId="9" borderId="0" xfId="31" applyFont="1" applyFill="1"/>
    <xf numFmtId="166" fontId="13" fillId="9" borderId="0" xfId="31" applyNumberFormat="1" applyFont="1" applyFill="1" applyBorder="1" applyProtection="1"/>
    <xf numFmtId="173" fontId="13" fillId="9" borderId="0" xfId="31" applyNumberFormat="1" applyFont="1" applyFill="1" applyProtection="1"/>
    <xf numFmtId="173" fontId="10" fillId="9" borderId="0" xfId="31" applyNumberFormat="1" applyFont="1" applyFill="1" applyProtection="1"/>
    <xf numFmtId="180" fontId="10" fillId="9" borderId="0" xfId="31" applyNumberFormat="1" applyFont="1" applyFill="1" applyAlignment="1" applyProtection="1">
      <alignment horizontal="right"/>
    </xf>
    <xf numFmtId="180" fontId="29" fillId="9" borderId="0" xfId="31" applyNumberFormat="1" applyFont="1" applyFill="1" applyProtection="1"/>
    <xf numFmtId="189" fontId="13" fillId="9" borderId="0" xfId="32" applyNumberFormat="1" applyFont="1" applyFill="1" applyProtection="1"/>
    <xf numFmtId="9" fontId="10" fillId="9" borderId="0" xfId="35" applyFont="1" applyFill="1" applyProtection="1"/>
    <xf numFmtId="180" fontId="25" fillId="9" borderId="0" xfId="31" applyFont="1" applyFill="1"/>
    <xf numFmtId="193" fontId="13" fillId="9" borderId="0" xfId="31" applyNumberFormat="1" applyFont="1" applyFill="1" applyProtection="1"/>
    <xf numFmtId="219" fontId="10" fillId="9" borderId="0" xfId="31" applyNumberFormat="1" applyFont="1" applyFill="1" applyBorder="1" applyProtection="1"/>
    <xf numFmtId="221" fontId="10" fillId="9" borderId="0" xfId="31" applyNumberFormat="1" applyFont="1" applyFill="1" applyProtection="1"/>
    <xf numFmtId="5" fontId="10" fillId="9" borderId="0" xfId="31" applyNumberFormat="1" applyFont="1" applyFill="1" applyAlignment="1" applyProtection="1">
      <alignment horizontal="right"/>
    </xf>
    <xf numFmtId="173" fontId="10" fillId="9" borderId="0" xfId="31" applyNumberFormat="1" applyFont="1" applyFill="1" applyAlignment="1" applyProtection="1">
      <alignment horizontal="right"/>
    </xf>
    <xf numFmtId="225" fontId="10" fillId="9" borderId="0" xfId="8" applyNumberFormat="1" applyFont="1" applyFill="1"/>
    <xf numFmtId="189" fontId="13" fillId="9" borderId="0" xfId="32" applyNumberFormat="1" applyFont="1" applyFill="1" applyAlignment="1" applyProtection="1">
      <alignment horizontal="right"/>
    </xf>
    <xf numFmtId="219" fontId="10" fillId="9" borderId="0" xfId="31" applyNumberFormat="1" applyFont="1" applyFill="1" applyBorder="1" applyAlignment="1" applyProtection="1">
      <alignment horizontal="right"/>
    </xf>
    <xf numFmtId="168" fontId="10" fillId="9" borderId="0" xfId="31" applyNumberFormat="1" applyFont="1" applyFill="1" applyBorder="1" applyAlignment="1" applyProtection="1">
      <alignment horizontal="right"/>
    </xf>
    <xf numFmtId="37" fontId="66" fillId="9" borderId="0" xfId="31" applyNumberFormat="1" applyFont="1" applyFill="1" applyProtection="1"/>
    <xf numFmtId="5" fontId="66" fillId="9" borderId="0" xfId="31" applyNumberFormat="1" applyFont="1" applyFill="1" applyProtection="1"/>
    <xf numFmtId="180" fontId="10" fillId="9" borderId="0" xfId="31" applyFont="1" applyFill="1" applyAlignment="1">
      <alignment horizontal="right"/>
    </xf>
    <xf numFmtId="0" fontId="10" fillId="9" borderId="0" xfId="0" applyFont="1" applyFill="1" applyAlignment="1">
      <alignment horizontal="right"/>
    </xf>
    <xf numFmtId="5" fontId="10" fillId="9" borderId="0" xfId="0" applyNumberFormat="1" applyFont="1" applyFill="1" applyAlignment="1">
      <alignment horizontal="right"/>
    </xf>
    <xf numFmtId="166" fontId="10" fillId="9" borderId="0" xfId="35" applyNumberFormat="1" applyFont="1" applyFill="1" applyAlignment="1">
      <alignment horizontal="right"/>
    </xf>
    <xf numFmtId="180" fontId="10" fillId="9" borderId="4" xfId="31" applyFont="1" applyFill="1" applyBorder="1" applyAlignment="1">
      <alignment horizontal="right"/>
    </xf>
    <xf numFmtId="7" fontId="10" fillId="9" borderId="0" xfId="0" applyNumberFormat="1" applyFont="1" applyFill="1" applyAlignment="1">
      <alignment horizontal="right"/>
    </xf>
    <xf numFmtId="8" fontId="10" fillId="9" borderId="0" xfId="0" applyNumberFormat="1" applyFont="1" applyFill="1" applyAlignment="1">
      <alignment horizontal="right"/>
    </xf>
    <xf numFmtId="195" fontId="12" fillId="9" borderId="36" xfId="17" applyNumberFormat="1" applyFont="1" applyFill="1" applyBorder="1" applyAlignment="1">
      <alignment horizontal="centerContinuous"/>
    </xf>
    <xf numFmtId="0" fontId="10" fillId="9" borderId="36" xfId="0" applyFont="1" applyFill="1" applyBorder="1" applyAlignment="1">
      <alignment horizontal="centerContinuous"/>
    </xf>
    <xf numFmtId="0" fontId="10" fillId="9" borderId="23" xfId="0" applyFont="1" applyFill="1" applyBorder="1"/>
    <xf numFmtId="195" fontId="12" fillId="9" borderId="4" xfId="17" applyNumberFormat="1" applyFont="1" applyFill="1" applyBorder="1" applyAlignment="1">
      <alignment horizontal="right"/>
    </xf>
    <xf numFmtId="223" fontId="12" fillId="9" borderId="4" xfId="17" applyNumberFormat="1" applyFont="1" applyFill="1" applyBorder="1" applyAlignment="1">
      <alignment horizontal="right"/>
    </xf>
    <xf numFmtId="195" fontId="12" fillId="9" borderId="37" xfId="17" applyNumberFormat="1" applyFont="1" applyFill="1" applyBorder="1" applyAlignment="1">
      <alignment horizontal="center"/>
    </xf>
    <xf numFmtId="0" fontId="10" fillId="9" borderId="26" xfId="0" applyFont="1" applyFill="1" applyBorder="1"/>
    <xf numFmtId="37" fontId="10" fillId="9" borderId="25" xfId="31" applyNumberFormat="1" applyFont="1" applyFill="1" applyBorder="1" applyProtection="1"/>
    <xf numFmtId="5" fontId="2" fillId="9" borderId="0" xfId="31" applyNumberFormat="1" applyFont="1" applyFill="1" applyAlignment="1" applyProtection="1">
      <alignment horizontal="right"/>
    </xf>
    <xf numFmtId="165" fontId="10" fillId="9" borderId="25" xfId="31" applyNumberFormat="1" applyFont="1" applyFill="1" applyBorder="1" applyProtection="1"/>
    <xf numFmtId="165" fontId="10" fillId="9" borderId="0" xfId="31" applyNumberFormat="1" applyFont="1" applyFill="1" applyBorder="1" applyProtection="1"/>
    <xf numFmtId="165" fontId="10" fillId="9" borderId="26" xfId="0" applyNumberFormat="1" applyFont="1" applyFill="1" applyBorder="1"/>
    <xf numFmtId="166" fontId="10" fillId="9" borderId="0" xfId="31" applyNumberFormat="1" applyFont="1" applyFill="1" applyAlignment="1" applyProtection="1">
      <alignment horizontal="right"/>
    </xf>
    <xf numFmtId="37" fontId="10" fillId="9" borderId="0" xfId="31" applyNumberFormat="1" applyFont="1" applyFill="1" applyAlignment="1" applyProtection="1">
      <alignment horizontal="right"/>
    </xf>
    <xf numFmtId="0" fontId="13" fillId="9" borderId="0" xfId="0" applyFont="1" applyFill="1" applyAlignment="1">
      <alignment horizontal="right"/>
    </xf>
    <xf numFmtId="3" fontId="13" fillId="9" borderId="0" xfId="0" applyNumberFormat="1" applyFont="1" applyFill="1" applyAlignment="1">
      <alignment horizontal="right"/>
    </xf>
    <xf numFmtId="3" fontId="175" fillId="9" borderId="0" xfId="0" applyNumberFormat="1" applyFont="1" applyFill="1" applyAlignment="1">
      <alignment horizontal="right"/>
    </xf>
    <xf numFmtId="3" fontId="64" fillId="9" borderId="0" xfId="0" applyNumberFormat="1" applyFont="1" applyFill="1" applyAlignment="1">
      <alignment horizontal="right"/>
    </xf>
    <xf numFmtId="166" fontId="64" fillId="9" borderId="0" xfId="31" applyNumberFormat="1" applyFont="1" applyFill="1" applyAlignment="1" applyProtection="1">
      <alignment horizontal="right"/>
    </xf>
    <xf numFmtId="166" fontId="13" fillId="9" borderId="0" xfId="31" applyNumberFormat="1" applyFont="1" applyFill="1" applyAlignment="1" applyProtection="1">
      <alignment horizontal="right"/>
    </xf>
    <xf numFmtId="10" fontId="10" fillId="9" borderId="0" xfId="31" applyNumberFormat="1" applyFont="1" applyFill="1" applyAlignment="1" applyProtection="1">
      <alignment horizontal="right"/>
    </xf>
    <xf numFmtId="37" fontId="13" fillId="9" borderId="0" xfId="31" applyNumberFormat="1" applyFont="1" applyFill="1" applyAlignment="1" applyProtection="1">
      <alignment horizontal="right"/>
    </xf>
    <xf numFmtId="37" fontId="64" fillId="9" borderId="0" xfId="31" applyNumberFormat="1" applyFont="1" applyFill="1" applyAlignment="1" applyProtection="1">
      <alignment horizontal="right"/>
    </xf>
    <xf numFmtId="182" fontId="10" fillId="9" borderId="0" xfId="0" applyNumberFormat="1" applyFont="1" applyFill="1"/>
    <xf numFmtId="182" fontId="10" fillId="9" borderId="0" xfId="0" applyNumberFormat="1" applyFont="1" applyFill="1" applyAlignment="1">
      <alignment horizontal="right"/>
    </xf>
    <xf numFmtId="182" fontId="13" fillId="9" borderId="0" xfId="0" applyNumberFormat="1" applyFont="1" applyFill="1" applyAlignment="1">
      <alignment horizontal="right"/>
    </xf>
    <xf numFmtId="8" fontId="0" fillId="9" borderId="0" xfId="0" applyNumberFormat="1" applyFill="1"/>
    <xf numFmtId="166" fontId="2" fillId="9" borderId="0" xfId="31" applyNumberFormat="1" applyFont="1" applyFill="1" applyAlignment="1" applyProtection="1">
      <alignment horizontal="right"/>
    </xf>
    <xf numFmtId="37" fontId="2" fillId="9" borderId="0" xfId="31" applyNumberFormat="1" applyFont="1" applyFill="1" applyAlignment="1" applyProtection="1">
      <alignment horizontal="right"/>
    </xf>
    <xf numFmtId="168" fontId="10" fillId="9" borderId="0" xfId="0" applyNumberFormat="1" applyFont="1" applyFill="1" applyAlignment="1">
      <alignment horizontal="right"/>
    </xf>
    <xf numFmtId="165" fontId="10" fillId="9" borderId="27" xfId="31" applyNumberFormat="1" applyFont="1" applyFill="1" applyBorder="1" applyProtection="1"/>
    <xf numFmtId="165" fontId="10" fillId="9" borderId="28" xfId="31" applyNumberFormat="1" applyFont="1" applyFill="1" applyBorder="1" applyProtection="1"/>
    <xf numFmtId="165" fontId="10" fillId="9" borderId="29" xfId="0" applyNumberFormat="1" applyFont="1" applyFill="1" applyBorder="1"/>
    <xf numFmtId="0" fontId="10" fillId="9" borderId="27" xfId="0" applyFont="1" applyFill="1" applyBorder="1"/>
    <xf numFmtId="0" fontId="10" fillId="9" borderId="28" xfId="0" applyFont="1" applyFill="1" applyBorder="1"/>
    <xf numFmtId="0" fontId="10" fillId="9" borderId="29" xfId="0" applyFont="1" applyFill="1" applyBorder="1"/>
    <xf numFmtId="2" fontId="10" fillId="9" borderId="0" xfId="0" applyNumberFormat="1" applyFont="1" applyFill="1" applyAlignment="1">
      <alignment horizontal="right"/>
    </xf>
    <xf numFmtId="206" fontId="10" fillId="9" borderId="0" xfId="0" applyNumberFormat="1" applyFont="1" applyFill="1" applyAlignment="1">
      <alignment horizontal="right"/>
    </xf>
    <xf numFmtId="8" fontId="13" fillId="9" borderId="0" xfId="0" applyNumberFormat="1" applyFont="1" applyFill="1" applyAlignment="1">
      <alignment horizontal="right"/>
    </xf>
    <xf numFmtId="166" fontId="10" fillId="9" borderId="0" xfId="35" applyNumberFormat="1" applyFont="1" applyFill="1" applyAlignment="1" applyProtection="1">
      <alignment horizontal="right"/>
    </xf>
    <xf numFmtId="0" fontId="10" fillId="9" borderId="0" xfId="0" applyFont="1" applyFill="1" applyAlignment="1">
      <alignment wrapText="1"/>
    </xf>
    <xf numFmtId="0" fontId="23" fillId="9" borderId="0" xfId="0" applyFont="1" applyFill="1" applyAlignment="1">
      <alignment wrapText="1"/>
    </xf>
    <xf numFmtId="0" fontId="12" fillId="9" borderId="16" xfId="0" applyFont="1" applyFill="1" applyBorder="1" applyAlignment="1">
      <alignment horizontal="center" wrapText="1"/>
    </xf>
    <xf numFmtId="0" fontId="6" fillId="9" borderId="5" xfId="0" applyFont="1" applyFill="1" applyBorder="1" applyAlignment="1">
      <alignment horizontal="center" wrapText="1"/>
    </xf>
    <xf numFmtId="0" fontId="12" fillId="9" borderId="5" xfId="0" applyFont="1" applyFill="1" applyBorder="1" applyAlignment="1">
      <alignment horizontal="center" wrapText="1"/>
    </xf>
    <xf numFmtId="0" fontId="6" fillId="9" borderId="17" xfId="0" applyFont="1" applyFill="1" applyBorder="1" applyAlignment="1">
      <alignment horizontal="center" wrapText="1"/>
    </xf>
    <xf numFmtId="0" fontId="6" fillId="9" borderId="0" xfId="0" applyFont="1" applyFill="1" applyAlignment="1">
      <alignment horizontal="center" wrapText="1"/>
    </xf>
    <xf numFmtId="0" fontId="12" fillId="9" borderId="0" xfId="0" applyFont="1" applyFill="1" applyAlignment="1">
      <alignment horizontal="center" wrapText="1"/>
    </xf>
    <xf numFmtId="0" fontId="36" fillId="9" borderId="0" xfId="0" applyFont="1" applyFill="1" applyAlignment="1">
      <alignment horizontal="center" vertical="center" wrapText="1"/>
    </xf>
    <xf numFmtId="0" fontId="10" fillId="9" borderId="0" xfId="0" applyFont="1" applyFill="1" applyAlignment="1">
      <alignment horizontal="center" wrapText="1"/>
    </xf>
    <xf numFmtId="0" fontId="10" fillId="9" borderId="12" xfId="0" applyFont="1" applyFill="1" applyBorder="1" applyAlignment="1">
      <alignment horizontal="center"/>
    </xf>
    <xf numFmtId="0" fontId="10" fillId="9" borderId="13" xfId="0" applyFont="1" applyFill="1" applyBorder="1"/>
    <xf numFmtId="0" fontId="10" fillId="9" borderId="0" xfId="0" applyFont="1" applyFill="1" applyAlignment="1">
      <alignment horizontal="center"/>
    </xf>
    <xf numFmtId="0" fontId="36" fillId="9" borderId="0" xfId="0" applyFont="1" applyFill="1" applyBorder="1" applyAlignment="1">
      <alignment vertical="center"/>
    </xf>
    <xf numFmtId="210" fontId="13" fillId="9" borderId="12" xfId="28" applyNumberFormat="1" applyFont="1" applyFill="1" applyBorder="1" applyAlignment="1">
      <alignment horizontal="right"/>
    </xf>
    <xf numFmtId="212" fontId="6" fillId="9" borderId="0" xfId="0" applyNumberFormat="1" applyFont="1" applyFill="1" applyBorder="1" applyAlignment="1">
      <alignment horizontal="right"/>
    </xf>
    <xf numFmtId="191" fontId="6" fillId="9" borderId="0" xfId="35" applyNumberFormat="1" applyFont="1" applyFill="1" applyBorder="1" applyAlignment="1">
      <alignment horizontal="left"/>
    </xf>
    <xf numFmtId="210" fontId="13" fillId="9" borderId="0" xfId="28" applyNumberFormat="1" applyFont="1" applyFill="1" applyBorder="1" applyAlignment="1">
      <alignment horizontal="right"/>
    </xf>
    <xf numFmtId="191" fontId="6" fillId="9" borderId="0" xfId="35" applyNumberFormat="1" applyFont="1" applyFill="1" applyAlignment="1">
      <alignment horizontal="left"/>
    </xf>
    <xf numFmtId="210" fontId="13" fillId="9" borderId="0" xfId="28" applyNumberFormat="1" applyFont="1" applyFill="1" applyAlignment="1">
      <alignment horizontal="right"/>
    </xf>
    <xf numFmtId="212" fontId="6" fillId="9" borderId="0" xfId="0" applyNumberFormat="1" applyFont="1" applyFill="1" applyAlignment="1">
      <alignment horizontal="right"/>
    </xf>
    <xf numFmtId="210" fontId="10" fillId="9" borderId="0" xfId="28" applyNumberFormat="1" applyFont="1" applyFill="1" applyBorder="1" applyAlignment="1">
      <alignment horizontal="right"/>
    </xf>
    <xf numFmtId="210" fontId="36" fillId="9" borderId="0" xfId="28" applyNumberFormat="1" applyFont="1" applyFill="1" applyBorder="1" applyAlignment="1">
      <alignment horizontal="right" vertical="center"/>
    </xf>
    <xf numFmtId="211" fontId="13" fillId="9" borderId="12" xfId="28" applyNumberFormat="1" applyFont="1" applyFill="1" applyBorder="1" applyAlignment="1">
      <alignment horizontal="right"/>
    </xf>
    <xf numFmtId="211" fontId="13" fillId="9" borderId="0" xfId="28" applyNumberFormat="1" applyFont="1" applyFill="1" applyBorder="1" applyAlignment="1">
      <alignment horizontal="right"/>
    </xf>
    <xf numFmtId="190" fontId="6" fillId="9" borderId="13" xfId="0" applyNumberFormat="1" applyFont="1" applyFill="1" applyBorder="1" applyAlignment="1">
      <alignment horizontal="left"/>
    </xf>
    <xf numFmtId="211" fontId="13" fillId="9" borderId="0" xfId="28" applyNumberFormat="1" applyFont="1" applyFill="1" applyAlignment="1">
      <alignment horizontal="right"/>
    </xf>
    <xf numFmtId="190" fontId="6" fillId="9" borderId="0" xfId="0" applyNumberFormat="1" applyFont="1" applyFill="1" applyAlignment="1">
      <alignment horizontal="left"/>
    </xf>
    <xf numFmtId="211" fontId="10" fillId="9" borderId="0" xfId="28" applyNumberFormat="1" applyFont="1" applyFill="1" applyBorder="1" applyAlignment="1">
      <alignment horizontal="right"/>
    </xf>
    <xf numFmtId="211" fontId="36" fillId="9" borderId="0" xfId="28" applyNumberFormat="1" applyFont="1" applyFill="1" applyBorder="1" applyAlignment="1">
      <alignment horizontal="right" vertical="center"/>
    </xf>
    <xf numFmtId="211" fontId="13" fillId="9" borderId="14" xfId="28" applyNumberFormat="1" applyFont="1" applyFill="1" applyBorder="1" applyAlignment="1">
      <alignment horizontal="right"/>
    </xf>
    <xf numFmtId="211" fontId="13" fillId="9" borderId="4" xfId="28" applyNumberFormat="1" applyFont="1" applyFill="1" applyBorder="1" applyAlignment="1">
      <alignment horizontal="right"/>
    </xf>
    <xf numFmtId="211" fontId="10" fillId="9" borderId="4" xfId="28" applyNumberFormat="1" applyFont="1" applyFill="1" applyBorder="1" applyAlignment="1">
      <alignment horizontal="right"/>
    </xf>
    <xf numFmtId="0" fontId="13" fillId="9" borderId="0" xfId="0" applyFont="1" applyFill="1"/>
    <xf numFmtId="210" fontId="10" fillId="9" borderId="0" xfId="28" applyNumberFormat="1" applyFont="1" applyFill="1" applyAlignment="1">
      <alignment horizontal="right"/>
    </xf>
    <xf numFmtId="166" fontId="10" fillId="9" borderId="0" xfId="0" applyNumberFormat="1" applyFont="1" applyFill="1"/>
    <xf numFmtId="210" fontId="10" fillId="9" borderId="0" xfId="0" applyNumberFormat="1" applyFont="1" applyFill="1"/>
    <xf numFmtId="0" fontId="24" fillId="9" borderId="0" xfId="0" applyFont="1" applyFill="1"/>
    <xf numFmtId="0" fontId="24" fillId="9" borderId="12" xfId="0" applyFont="1" applyFill="1" applyBorder="1" applyAlignment="1">
      <alignment horizontal="center"/>
    </xf>
    <xf numFmtId="0" fontId="24" fillId="9" borderId="0" xfId="0" applyFont="1" applyFill="1" applyBorder="1"/>
    <xf numFmtId="0" fontId="24" fillId="9" borderId="13" xfId="0" applyFont="1" applyFill="1" applyBorder="1"/>
    <xf numFmtId="0" fontId="24" fillId="9" borderId="0" xfId="0" applyFont="1" applyFill="1" applyAlignment="1">
      <alignment horizontal="center"/>
    </xf>
    <xf numFmtId="0" fontId="6" fillId="9" borderId="12" xfId="0" applyFont="1" applyFill="1" applyBorder="1" applyAlignment="1">
      <alignment horizontal="center"/>
    </xf>
    <xf numFmtId="0" fontId="6" fillId="9" borderId="13" xfId="0" applyFont="1" applyFill="1" applyBorder="1"/>
    <xf numFmtId="191" fontId="18" fillId="9" borderId="0" xfId="35" applyNumberFormat="1" applyFont="1" applyFill="1" applyAlignment="1">
      <alignment horizontal="left"/>
    </xf>
    <xf numFmtId="210" fontId="37" fillId="9" borderId="0" xfId="28" applyNumberFormat="1" applyFont="1" applyFill="1" applyAlignment="1">
      <alignment horizontal="center" vertical="center"/>
    </xf>
    <xf numFmtId="191" fontId="18" fillId="9" borderId="0" xfId="35" applyNumberFormat="1" applyFont="1" applyFill="1" applyBorder="1" applyAlignment="1">
      <alignment horizontal="left"/>
    </xf>
    <xf numFmtId="214" fontId="6" fillId="9" borderId="0" xfId="0" applyNumberFormat="1" applyFont="1" applyFill="1" applyAlignment="1">
      <alignment horizontal="right"/>
    </xf>
    <xf numFmtId="167" fontId="13" fillId="9" borderId="0" xfId="28" applyNumberFormat="1" applyFont="1" applyFill="1" applyBorder="1" applyAlignment="1">
      <alignment horizontal="right"/>
    </xf>
    <xf numFmtId="167" fontId="13" fillId="9" borderId="4" xfId="28" applyNumberFormat="1" applyFont="1" applyFill="1" applyBorder="1" applyAlignment="1">
      <alignment horizontal="right"/>
    </xf>
    <xf numFmtId="190" fontId="6" fillId="9" borderId="4" xfId="0" applyNumberFormat="1" applyFont="1" applyFill="1" applyBorder="1" applyAlignment="1">
      <alignment horizontal="left"/>
    </xf>
    <xf numFmtId="210" fontId="10" fillId="9" borderId="12" xfId="28" applyNumberFormat="1" applyFont="1" applyFill="1" applyBorder="1" applyAlignment="1">
      <alignment horizontal="right"/>
    </xf>
    <xf numFmtId="0" fontId="18" fillId="9" borderId="0" xfId="0" applyFont="1" applyFill="1" applyAlignment="1">
      <alignment horizontal="center"/>
    </xf>
    <xf numFmtId="191" fontId="6" fillId="9" borderId="0" xfId="35" applyNumberFormat="1" applyFont="1" applyFill="1" applyAlignment="1">
      <alignment horizontal="right"/>
    </xf>
    <xf numFmtId="0" fontId="25" fillId="9" borderId="0" xfId="0" applyFont="1" applyFill="1"/>
    <xf numFmtId="167" fontId="13" fillId="9" borderId="0" xfId="28" applyNumberFormat="1" applyFont="1" applyFill="1" applyAlignment="1">
      <alignment horizontal="right"/>
    </xf>
    <xf numFmtId="0" fontId="18" fillId="9" borderId="0" xfId="0" applyFont="1" applyFill="1" applyBorder="1" applyAlignment="1">
      <alignment horizontal="center"/>
    </xf>
    <xf numFmtId="210" fontId="0" fillId="9" borderId="0" xfId="0" applyNumberFormat="1" applyFill="1"/>
    <xf numFmtId="220" fontId="10" fillId="9" borderId="0" xfId="28" applyNumberFormat="1" applyFont="1" applyFill="1" applyAlignment="1">
      <alignment horizontal="right"/>
    </xf>
    <xf numFmtId="190" fontId="18" fillId="9" borderId="0" xfId="0" applyNumberFormat="1" applyFont="1" applyFill="1" applyAlignment="1">
      <alignment horizontal="left"/>
    </xf>
    <xf numFmtId="222" fontId="6" fillId="9" borderId="0" xfId="35" applyNumberFormat="1" applyFont="1" applyFill="1" applyBorder="1" applyAlignment="1">
      <alignment horizontal="left"/>
    </xf>
    <xf numFmtId="220" fontId="10" fillId="9" borderId="12" xfId="28" applyNumberFormat="1" applyFont="1" applyFill="1" applyBorder="1" applyAlignment="1">
      <alignment horizontal="right"/>
    </xf>
    <xf numFmtId="220" fontId="10" fillId="9" borderId="0" xfId="28" applyNumberFormat="1" applyFont="1" applyFill="1" applyBorder="1" applyAlignment="1">
      <alignment horizontal="right"/>
    </xf>
    <xf numFmtId="168" fontId="13" fillId="9" borderId="0" xfId="28" applyNumberFormat="1" applyFont="1" applyFill="1" applyBorder="1" applyAlignment="1">
      <alignment horizontal="right"/>
    </xf>
    <xf numFmtId="190" fontId="18" fillId="9" borderId="13" xfId="0" applyNumberFormat="1" applyFont="1" applyFill="1" applyBorder="1" applyAlignment="1">
      <alignment horizontal="left"/>
    </xf>
    <xf numFmtId="176" fontId="13" fillId="9" borderId="0" xfId="8" applyNumberFormat="1" applyFont="1" applyFill="1" applyBorder="1" applyAlignment="1">
      <alignment horizontal="right"/>
    </xf>
    <xf numFmtId="176" fontId="13" fillId="9" borderId="4" xfId="8" applyNumberFormat="1" applyFont="1" applyFill="1" applyBorder="1" applyAlignment="1">
      <alignment horizontal="right"/>
    </xf>
    <xf numFmtId="238" fontId="10" fillId="9" borderId="0" xfId="0" applyNumberFormat="1" applyFont="1" applyFill="1" applyBorder="1"/>
    <xf numFmtId="211" fontId="10" fillId="9" borderId="0" xfId="0" applyNumberFormat="1" applyFont="1" applyFill="1" applyBorder="1"/>
    <xf numFmtId="190" fontId="6" fillId="9" borderId="0" xfId="0" applyNumberFormat="1" applyFont="1" applyFill="1" applyBorder="1" applyAlignment="1">
      <alignment horizontal="left"/>
    </xf>
    <xf numFmtId="210" fontId="37" fillId="9" borderId="0" xfId="28" applyNumberFormat="1" applyFont="1" applyFill="1" applyBorder="1" applyAlignment="1">
      <alignment horizontal="center" vertical="center"/>
    </xf>
    <xf numFmtId="166" fontId="10" fillId="9" borderId="0" xfId="0" applyNumberFormat="1" applyFont="1" applyFill="1" applyBorder="1"/>
    <xf numFmtId="238" fontId="10" fillId="9" borderId="0" xfId="28" applyNumberFormat="1" applyFont="1" applyFill="1" applyBorder="1" applyAlignment="1">
      <alignment horizontal="right"/>
    </xf>
    <xf numFmtId="2" fontId="10" fillId="9" borderId="0" xfId="0" applyNumberFormat="1" applyFont="1" applyFill="1" applyBorder="1"/>
    <xf numFmtId="171" fontId="10" fillId="9" borderId="0" xfId="0" applyNumberFormat="1" applyFont="1" applyFill="1" applyBorder="1"/>
    <xf numFmtId="211" fontId="10" fillId="9" borderId="0" xfId="0" applyNumberFormat="1" applyFont="1" applyFill="1"/>
    <xf numFmtId="261" fontId="10" fillId="9" borderId="0" xfId="0" applyNumberFormat="1" applyFont="1" applyFill="1"/>
    <xf numFmtId="261" fontId="10" fillId="9" borderId="0" xfId="28" applyNumberFormat="1" applyFont="1" applyFill="1" applyBorder="1" applyAlignment="1">
      <alignment horizontal="right"/>
    </xf>
    <xf numFmtId="261" fontId="10" fillId="9" borderId="4" xfId="28" applyNumberFormat="1" applyFont="1" applyFill="1" applyBorder="1" applyAlignment="1">
      <alignment horizontal="right"/>
    </xf>
    <xf numFmtId="9" fontId="10" fillId="9" borderId="0" xfId="35" applyFont="1" applyFill="1" applyBorder="1" applyAlignment="1">
      <alignment horizontal="right"/>
    </xf>
    <xf numFmtId="9" fontId="10" fillId="9" borderId="12" xfId="35" applyFont="1" applyFill="1" applyBorder="1" applyAlignment="1">
      <alignment horizontal="right"/>
    </xf>
    <xf numFmtId="210" fontId="10" fillId="9" borderId="12" xfId="28" applyNumberFormat="1" applyFont="1" applyFill="1" applyBorder="1" applyAlignment="1">
      <alignment horizontal="left"/>
    </xf>
    <xf numFmtId="210" fontId="111" fillId="9" borderId="12" xfId="28" applyNumberFormat="1" applyFont="1" applyFill="1" applyBorder="1" applyAlignment="1">
      <alignment horizontal="right"/>
    </xf>
    <xf numFmtId="212" fontId="112" fillId="9" borderId="0" xfId="0" applyNumberFormat="1" applyFont="1" applyFill="1" applyBorder="1" applyAlignment="1">
      <alignment horizontal="right"/>
    </xf>
    <xf numFmtId="191" fontId="112" fillId="9" borderId="0" xfId="35" applyNumberFormat="1" applyFont="1" applyFill="1" applyBorder="1" applyAlignment="1">
      <alignment horizontal="left"/>
    </xf>
    <xf numFmtId="210" fontId="111" fillId="9" borderId="0" xfId="28" applyNumberFormat="1" applyFont="1" applyFill="1" applyBorder="1" applyAlignment="1">
      <alignment horizontal="right"/>
    </xf>
    <xf numFmtId="190" fontId="112" fillId="9" borderId="13" xfId="0" applyNumberFormat="1" applyFont="1" applyFill="1" applyBorder="1" applyAlignment="1">
      <alignment horizontal="left"/>
    </xf>
    <xf numFmtId="261" fontId="10" fillId="9" borderId="0" xfId="28" applyNumberFormat="1" applyFont="1" applyFill="1" applyAlignment="1">
      <alignment horizontal="right"/>
    </xf>
    <xf numFmtId="202" fontId="18" fillId="9" borderId="0" xfId="35" applyNumberFormat="1" applyFont="1" applyFill="1" applyAlignment="1">
      <alignment horizontal="left"/>
    </xf>
    <xf numFmtId="183" fontId="13" fillId="9" borderId="0" xfId="28" applyNumberFormat="1" applyFont="1" applyFill="1" applyBorder="1" applyAlignment="1">
      <alignment horizontal="right"/>
    </xf>
    <xf numFmtId="211" fontId="111" fillId="9" borderId="12" xfId="28" applyNumberFormat="1" applyFont="1" applyFill="1" applyBorder="1" applyAlignment="1">
      <alignment horizontal="right"/>
    </xf>
    <xf numFmtId="183" fontId="111" fillId="9" borderId="0" xfId="28" applyNumberFormat="1" applyFont="1" applyFill="1" applyBorder="1" applyAlignment="1">
      <alignment horizontal="right"/>
    </xf>
    <xf numFmtId="165" fontId="10" fillId="9" borderId="0" xfId="0" applyNumberFormat="1" applyFont="1" applyFill="1" applyBorder="1"/>
    <xf numFmtId="211" fontId="111" fillId="9" borderId="14" xfId="28" applyNumberFormat="1" applyFont="1" applyFill="1" applyBorder="1" applyAlignment="1">
      <alignment horizontal="right"/>
    </xf>
    <xf numFmtId="183" fontId="111" fillId="9" borderId="4" xfId="28" applyNumberFormat="1" applyFont="1" applyFill="1" applyBorder="1" applyAlignment="1">
      <alignment horizontal="right"/>
    </xf>
    <xf numFmtId="220" fontId="111" fillId="9" borderId="12" xfId="28" applyNumberFormat="1" applyFont="1" applyFill="1" applyBorder="1" applyAlignment="1">
      <alignment horizontal="right"/>
    </xf>
    <xf numFmtId="202" fontId="18" fillId="9" borderId="0" xfId="35" applyNumberFormat="1" applyFont="1" applyFill="1" applyBorder="1" applyAlignment="1">
      <alignment horizontal="left"/>
    </xf>
    <xf numFmtId="10" fontId="10" fillId="9" borderId="12" xfId="35" applyNumberFormat="1" applyFont="1" applyFill="1" applyBorder="1" applyAlignment="1">
      <alignment horizontal="right"/>
    </xf>
    <xf numFmtId="166" fontId="10" fillId="9" borderId="12" xfId="35" applyNumberFormat="1" applyFont="1" applyFill="1" applyBorder="1" applyAlignment="1">
      <alignment horizontal="right"/>
    </xf>
    <xf numFmtId="210" fontId="10" fillId="9" borderId="0" xfId="28" applyNumberFormat="1" applyFont="1" applyFill="1" applyBorder="1" applyAlignment="1">
      <alignment horizontal="center"/>
    </xf>
    <xf numFmtId="210" fontId="0" fillId="9" borderId="21" xfId="0" applyNumberFormat="1" applyFill="1" applyBorder="1"/>
    <xf numFmtId="0" fontId="0" fillId="9" borderId="22" xfId="0" applyFill="1" applyBorder="1"/>
    <xf numFmtId="210" fontId="0" fillId="9" borderId="22" xfId="0" applyNumberFormat="1" applyFill="1" applyBorder="1"/>
    <xf numFmtId="166" fontId="0" fillId="9" borderId="23" xfId="35" applyNumberFormat="1" applyFont="1" applyFill="1" applyBorder="1"/>
    <xf numFmtId="210" fontId="0" fillId="9" borderId="25" xfId="0" applyNumberFormat="1" applyFill="1" applyBorder="1"/>
    <xf numFmtId="210" fontId="0" fillId="9" borderId="0" xfId="0" applyNumberFormat="1" applyFill="1" applyBorder="1"/>
    <xf numFmtId="166" fontId="0" fillId="9" borderId="26" xfId="35" applyNumberFormat="1" applyFont="1" applyFill="1" applyBorder="1"/>
    <xf numFmtId="0" fontId="0" fillId="9" borderId="25" xfId="0" applyFill="1" applyBorder="1"/>
    <xf numFmtId="0" fontId="0" fillId="9" borderId="26" xfId="0" applyFill="1" applyBorder="1"/>
    <xf numFmtId="210" fontId="0" fillId="9" borderId="27" xfId="0" applyNumberFormat="1" applyFill="1" applyBorder="1"/>
    <xf numFmtId="0" fontId="0" fillId="9" borderId="28" xfId="0" applyFill="1" applyBorder="1"/>
    <xf numFmtId="210" fontId="0" fillId="9" borderId="28" xfId="0" applyNumberFormat="1" applyFill="1" applyBorder="1"/>
    <xf numFmtId="166" fontId="0" fillId="9" borderId="29" xfId="35" applyNumberFormat="1" applyFont="1" applyFill="1" applyBorder="1"/>
    <xf numFmtId="0" fontId="109" fillId="9" borderId="12" xfId="0" applyFont="1" applyFill="1" applyBorder="1" applyAlignment="1">
      <alignment horizontal="center"/>
    </xf>
    <xf numFmtId="0" fontId="110" fillId="9" borderId="0" xfId="0" applyFont="1" applyFill="1" applyBorder="1" applyAlignment="1">
      <alignment horizontal="center"/>
    </xf>
    <xf numFmtId="0" fontId="109" fillId="9" borderId="0" xfId="0" applyFont="1" applyFill="1" applyBorder="1"/>
    <xf numFmtId="0" fontId="109" fillId="9" borderId="13" xfId="0" applyFont="1" applyFill="1" applyBorder="1"/>
    <xf numFmtId="0" fontId="36" fillId="9" borderId="0" xfId="0" applyFont="1" applyFill="1" applyAlignment="1">
      <alignment vertical="center"/>
    </xf>
    <xf numFmtId="182" fontId="10" fillId="9" borderId="0" xfId="28" applyNumberFormat="1" applyFont="1" applyFill="1" applyBorder="1" applyAlignment="1">
      <alignment horizontal="right"/>
    </xf>
    <xf numFmtId="211" fontId="10" fillId="9" borderId="0" xfId="28" applyNumberFormat="1" applyFont="1" applyFill="1" applyAlignment="1">
      <alignment horizontal="right"/>
    </xf>
    <xf numFmtId="210" fontId="10" fillId="9" borderId="0" xfId="0" applyNumberFormat="1" applyFont="1" applyFill="1" applyBorder="1"/>
    <xf numFmtId="166" fontId="13" fillId="9" borderId="0" xfId="35" applyNumberFormat="1" applyFont="1" applyFill="1"/>
    <xf numFmtId="211" fontId="10" fillId="9" borderId="12" xfId="28" applyNumberFormat="1" applyFont="1" applyFill="1" applyBorder="1" applyAlignment="1">
      <alignment horizontal="right"/>
    </xf>
    <xf numFmtId="164" fontId="10" fillId="9" borderId="0" xfId="28" applyNumberFormat="1" applyFont="1" applyFill="1" applyBorder="1" applyAlignment="1">
      <alignment horizontal="right"/>
    </xf>
    <xf numFmtId="211" fontId="10" fillId="9" borderId="14" xfId="28" applyNumberFormat="1" applyFont="1" applyFill="1" applyBorder="1" applyAlignment="1">
      <alignment horizontal="right"/>
    </xf>
    <xf numFmtId="164" fontId="10" fillId="9" borderId="4" xfId="28" applyNumberFormat="1" applyFont="1" applyFill="1" applyBorder="1" applyAlignment="1">
      <alignment horizontal="right"/>
    </xf>
    <xf numFmtId="182" fontId="10" fillId="9" borderId="5" xfId="28" applyNumberFormat="1" applyFont="1" applyFill="1" applyBorder="1" applyAlignment="1">
      <alignment horizontal="right"/>
    </xf>
    <xf numFmtId="225" fontId="10" fillId="9" borderId="0" xfId="8" applyNumberFormat="1" applyFont="1" applyFill="1" applyBorder="1"/>
    <xf numFmtId="176" fontId="10" fillId="9" borderId="0" xfId="8" applyNumberFormat="1" applyFont="1" applyFill="1" applyBorder="1"/>
    <xf numFmtId="225" fontId="0" fillId="9" borderId="0" xfId="8" applyNumberFormat="1" applyFont="1" applyFill="1"/>
    <xf numFmtId="165" fontId="12" fillId="9" borderId="0" xfId="0" applyNumberFormat="1" applyFont="1" applyFill="1"/>
    <xf numFmtId="225" fontId="12" fillId="9" borderId="0" xfId="8" applyNumberFormat="1" applyFont="1" applyFill="1"/>
    <xf numFmtId="284" fontId="10" fillId="9" borderId="0" xfId="28" applyNumberFormat="1" applyFont="1" applyFill="1" applyBorder="1" applyAlignment="1">
      <alignment horizontal="right"/>
    </xf>
    <xf numFmtId="290" fontId="10" fillId="9" borderId="0" xfId="28" applyNumberFormat="1" applyFont="1" applyFill="1" applyAlignment="1">
      <alignment horizontal="right"/>
    </xf>
    <xf numFmtId="164" fontId="10" fillId="9" borderId="0" xfId="0" applyNumberFormat="1" applyFont="1" applyFill="1" applyBorder="1" applyAlignment="1">
      <alignment horizontal="center"/>
    </xf>
    <xf numFmtId="283" fontId="10" fillId="9" borderId="0" xfId="0" applyNumberFormat="1" applyFont="1" applyFill="1" applyBorder="1"/>
    <xf numFmtId="2" fontId="6" fillId="9" borderId="0" xfId="0" applyNumberFormat="1" applyFont="1" applyFill="1" applyAlignment="1">
      <alignment horizontal="center"/>
    </xf>
    <xf numFmtId="0" fontId="109" fillId="9" borderId="0" xfId="0" applyFont="1" applyFill="1" applyBorder="1" applyAlignment="1">
      <alignment horizontal="center"/>
    </xf>
    <xf numFmtId="173" fontId="10" fillId="9" borderId="0" xfId="28" applyNumberFormat="1" applyFont="1" applyFill="1" applyBorder="1" applyAlignment="1">
      <alignment horizontal="right"/>
    </xf>
    <xf numFmtId="182" fontId="10" fillId="9" borderId="4" xfId="28" applyNumberFormat="1" applyFont="1" applyFill="1" applyBorder="1" applyAlignment="1">
      <alignment horizontal="right"/>
    </xf>
    <xf numFmtId="191" fontId="6" fillId="9" borderId="0" xfId="0" applyNumberFormat="1" applyFont="1" applyFill="1" applyBorder="1" applyAlignment="1">
      <alignment horizontal="center"/>
    </xf>
    <xf numFmtId="203" fontId="12" fillId="9" borderId="0" xfId="0" applyNumberFormat="1" applyFont="1" applyFill="1"/>
    <xf numFmtId="203" fontId="0" fillId="9" borderId="0" xfId="0" applyNumberFormat="1" applyFill="1"/>
    <xf numFmtId="166" fontId="6" fillId="9" borderId="0" xfId="35" applyNumberFormat="1" applyFont="1" applyFill="1" applyAlignment="1">
      <alignment horizontal="center"/>
    </xf>
    <xf numFmtId="284" fontId="12" fillId="9" borderId="0" xfId="0" applyNumberFormat="1" applyFont="1" applyFill="1"/>
    <xf numFmtId="165" fontId="10" fillId="9" borderId="0" xfId="0" applyNumberFormat="1" applyFont="1" applyFill="1"/>
    <xf numFmtId="14" fontId="12" fillId="9" borderId="0" xfId="0" quotePrefix="1" applyNumberFormat="1" applyFont="1" applyFill="1" applyAlignment="1">
      <alignment horizontal="center"/>
    </xf>
    <xf numFmtId="2" fontId="10" fillId="9" borderId="0" xfId="0" applyNumberFormat="1" applyFont="1" applyFill="1"/>
    <xf numFmtId="9" fontId="10" fillId="9" borderId="0" xfId="35" applyFont="1" applyFill="1" applyAlignment="1">
      <alignment horizontal="center"/>
    </xf>
    <xf numFmtId="190" fontId="10" fillId="9" borderId="0" xfId="0" applyNumberFormat="1" applyFont="1" applyFill="1"/>
    <xf numFmtId="164" fontId="25" fillId="9" borderId="0" xfId="0" applyNumberFormat="1" applyFont="1" applyFill="1"/>
    <xf numFmtId="1" fontId="103" fillId="9" borderId="0" xfId="0" applyNumberFormat="1" applyFont="1" applyFill="1" applyBorder="1"/>
    <xf numFmtId="0" fontId="10" fillId="9" borderId="0" xfId="0" applyFont="1" applyFill="1" applyAlignment="1">
      <alignment horizontal="left"/>
    </xf>
    <xf numFmtId="220" fontId="10" fillId="9" borderId="0" xfId="0" applyNumberFormat="1" applyFont="1" applyFill="1"/>
    <xf numFmtId="166" fontId="12" fillId="9" borderId="0" xfId="35" applyNumberFormat="1" applyFont="1" applyFill="1"/>
    <xf numFmtId="279" fontId="12" fillId="9" borderId="0" xfId="0" applyNumberFormat="1" applyFont="1" applyFill="1"/>
    <xf numFmtId="210" fontId="10" fillId="9" borderId="0" xfId="0" applyNumberFormat="1" applyFont="1" applyFill="1" applyAlignment="1">
      <alignment horizontal="center"/>
    </xf>
    <xf numFmtId="184" fontId="10" fillId="9" borderId="0" xfId="8" applyNumberFormat="1" applyFont="1" applyFill="1"/>
    <xf numFmtId="210" fontId="12" fillId="9" borderId="0" xfId="0" applyNumberFormat="1" applyFont="1" applyFill="1"/>
    <xf numFmtId="231" fontId="10" fillId="9" borderId="0" xfId="0" applyNumberFormat="1" applyFont="1" applyFill="1"/>
    <xf numFmtId="0" fontId="12" fillId="9" borderId="0" xfId="0" applyFont="1" applyFill="1" applyAlignment="1">
      <alignment horizontal="center"/>
    </xf>
    <xf numFmtId="0" fontId="21" fillId="9" borderId="0" xfId="0" applyFont="1" applyFill="1" applyAlignment="1">
      <alignment horizontal="center"/>
    </xf>
    <xf numFmtId="190" fontId="12" fillId="9" borderId="0" xfId="0" applyNumberFormat="1" applyFont="1" applyFill="1" applyAlignment="1">
      <alignment horizontal="center"/>
    </xf>
    <xf numFmtId="190" fontId="12" fillId="9" borderId="4" xfId="0" applyNumberFormat="1" applyFont="1" applyFill="1" applyBorder="1" applyAlignment="1">
      <alignment horizontal="center"/>
    </xf>
    <xf numFmtId="0" fontId="36" fillId="9" borderId="4" xfId="0" applyFont="1" applyFill="1" applyBorder="1" applyAlignment="1">
      <alignment vertical="center"/>
    </xf>
    <xf numFmtId="225" fontId="11" fillId="9" borderId="0" xfId="0" applyNumberFormat="1" applyFont="1" applyFill="1"/>
    <xf numFmtId="225" fontId="6" fillId="9" borderId="0" xfId="0" applyNumberFormat="1" applyFont="1" applyFill="1" applyAlignment="1">
      <alignment horizontal="center"/>
    </xf>
    <xf numFmtId="190" fontId="6" fillId="9" borderId="0" xfId="0" applyNumberFormat="1" applyFont="1" applyFill="1" applyAlignment="1">
      <alignment horizontal="center"/>
    </xf>
    <xf numFmtId="225" fontId="6" fillId="9" borderId="0" xfId="0" applyNumberFormat="1" applyFont="1" applyFill="1"/>
    <xf numFmtId="190" fontId="18" fillId="9" borderId="0" xfId="0" applyNumberFormat="1" applyFont="1" applyFill="1" applyBorder="1" applyAlignment="1">
      <alignment horizontal="left"/>
    </xf>
    <xf numFmtId="0" fontId="6" fillId="9" borderId="9" xfId="0" applyFont="1" applyFill="1" applyBorder="1" applyAlignment="1">
      <alignment horizontal="center" wrapText="1"/>
    </xf>
    <xf numFmtId="0" fontId="6" fillId="9" borderId="10" xfId="0" applyFont="1" applyFill="1" applyBorder="1" applyAlignment="1">
      <alignment horizontal="center"/>
    </xf>
    <xf numFmtId="191" fontId="6" fillId="9" borderId="10" xfId="35" applyNumberFormat="1" applyFont="1" applyFill="1" applyBorder="1" applyAlignment="1">
      <alignment horizontal="left"/>
    </xf>
    <xf numFmtId="0" fontId="24" fillId="9" borderId="0" xfId="0" applyFont="1" applyFill="1" applyBorder="1" applyAlignment="1">
      <alignment horizontal="center"/>
    </xf>
    <xf numFmtId="9" fontId="10" fillId="9" borderId="0" xfId="35" applyNumberFormat="1" applyFont="1" applyFill="1" applyBorder="1" applyAlignment="1">
      <alignment horizontal="right"/>
    </xf>
    <xf numFmtId="9" fontId="10" fillId="9" borderId="0" xfId="35" applyFont="1" applyFill="1" applyBorder="1" applyAlignment="1">
      <alignment horizontal="center"/>
    </xf>
    <xf numFmtId="43" fontId="6" fillId="9" borderId="0" xfId="8" applyFont="1" applyFill="1" applyBorder="1" applyAlignment="1">
      <alignment horizontal="left"/>
    </xf>
    <xf numFmtId="190" fontId="6" fillId="9" borderId="10" xfId="0" applyNumberFormat="1" applyFont="1" applyFill="1" applyBorder="1" applyAlignment="1">
      <alignment horizontal="left"/>
    </xf>
    <xf numFmtId="231" fontId="6" fillId="9" borderId="0" xfId="0" applyNumberFormat="1" applyFont="1" applyFill="1" applyBorder="1" applyAlignment="1">
      <alignment horizontal="left"/>
    </xf>
    <xf numFmtId="231" fontId="6" fillId="9" borderId="0" xfId="0" applyNumberFormat="1" applyFont="1" applyFill="1" applyAlignment="1">
      <alignment horizontal="center"/>
    </xf>
    <xf numFmtId="0" fontId="10" fillId="11" borderId="35" xfId="0" applyFont="1" applyFill="1" applyBorder="1" applyAlignment="1">
      <alignment horizontal="centerContinuous"/>
    </xf>
    <xf numFmtId="14" fontId="86" fillId="9" borderId="0" xfId="0" applyNumberFormat="1" applyFont="1" applyFill="1"/>
    <xf numFmtId="0" fontId="86" fillId="9" borderId="0" xfId="0" applyFont="1" applyFill="1"/>
    <xf numFmtId="191" fontId="87" fillId="9" borderId="0" xfId="0" applyNumberFormat="1" applyFont="1" applyFill="1"/>
    <xf numFmtId="0" fontId="86" fillId="9" borderId="0" xfId="0" applyFont="1" applyFill="1" applyBorder="1"/>
    <xf numFmtId="191" fontId="87" fillId="9" borderId="0" xfId="0" applyNumberFormat="1" applyFont="1" applyFill="1" applyBorder="1"/>
    <xf numFmtId="191" fontId="87" fillId="9" borderId="0" xfId="0" applyNumberFormat="1" applyFont="1" applyFill="1" applyAlignment="1">
      <alignment horizontal="center"/>
    </xf>
    <xf numFmtId="0" fontId="86" fillId="9" borderId="4" xfId="0" applyFont="1" applyFill="1" applyBorder="1"/>
    <xf numFmtId="191" fontId="87" fillId="9" borderId="4" xfId="0" applyNumberFormat="1" applyFont="1" applyFill="1" applyBorder="1"/>
    <xf numFmtId="0" fontId="89" fillId="9" borderId="0" xfId="0" applyFont="1" applyFill="1" applyAlignment="1" applyProtection="1">
      <alignment horizontal="left"/>
    </xf>
    <xf numFmtId="0" fontId="87" fillId="9" borderId="0" xfId="0" applyFont="1" applyFill="1"/>
    <xf numFmtId="195" fontId="90" fillId="9" borderId="4" xfId="0" applyNumberFormat="1" applyFont="1" applyFill="1" applyBorder="1" applyAlignment="1">
      <alignment horizontal="center"/>
    </xf>
    <xf numFmtId="0" fontId="86" fillId="9" borderId="0" xfId="0" applyFont="1" applyFill="1" applyAlignment="1">
      <alignment horizontal="center"/>
    </xf>
    <xf numFmtId="195" fontId="86" fillId="9" borderId="4" xfId="0" applyNumberFormat="1" applyFont="1" applyFill="1" applyBorder="1" applyAlignment="1">
      <alignment horizontal="center"/>
    </xf>
    <xf numFmtId="195" fontId="97" fillId="9" borderId="4" xfId="0" applyNumberFormat="1" applyFont="1" applyFill="1" applyBorder="1" applyAlignment="1">
      <alignment horizontal="center"/>
    </xf>
    <xf numFmtId="235" fontId="86" fillId="9" borderId="4" xfId="0" applyNumberFormat="1" applyFont="1" applyFill="1" applyBorder="1" applyAlignment="1">
      <alignment horizontal="center"/>
    </xf>
    <xf numFmtId="197" fontId="90" fillId="9" borderId="4" xfId="0" applyNumberFormat="1" applyFont="1" applyFill="1" applyBorder="1" applyAlignment="1">
      <alignment horizontal="center"/>
    </xf>
    <xf numFmtId="172" fontId="87" fillId="9" borderId="0" xfId="0" applyNumberFormat="1" applyFont="1" applyFill="1"/>
    <xf numFmtId="206" fontId="87" fillId="9" borderId="0" xfId="0" applyNumberFormat="1" applyFont="1" applyFill="1"/>
    <xf numFmtId="170" fontId="87" fillId="9" borderId="0" xfId="0" applyNumberFormat="1" applyFont="1" applyFill="1"/>
    <xf numFmtId="170" fontId="93" fillId="9" borderId="0" xfId="0" applyNumberFormat="1" applyFont="1" applyFill="1"/>
    <xf numFmtId="204" fontId="93" fillId="9" borderId="0" xfId="0" applyNumberFormat="1" applyFont="1" applyFill="1"/>
    <xf numFmtId="204" fontId="87" fillId="9" borderId="0" xfId="0" applyNumberFormat="1" applyFont="1" applyFill="1"/>
    <xf numFmtId="183" fontId="87" fillId="9" borderId="0" xfId="0" applyNumberFormat="1" applyFont="1" applyFill="1"/>
    <xf numFmtId="183" fontId="93" fillId="9" borderId="0" xfId="0" applyNumberFormat="1" applyFont="1" applyFill="1"/>
    <xf numFmtId="168" fontId="93" fillId="9" borderId="0" xfId="0" applyNumberFormat="1" applyFont="1" applyFill="1" applyAlignment="1">
      <alignment horizontal="right"/>
    </xf>
    <xf numFmtId="168" fontId="87" fillId="9" borderId="0" xfId="0" applyNumberFormat="1" applyFont="1" applyFill="1"/>
    <xf numFmtId="168" fontId="93" fillId="9" borderId="0" xfId="0" applyNumberFormat="1" applyFont="1" applyFill="1"/>
    <xf numFmtId="183" fontId="98" fillId="9" borderId="0" xfId="0" applyNumberFormat="1" applyFont="1" applyFill="1"/>
    <xf numFmtId="168" fontId="98" fillId="9" borderId="0" xfId="0" applyNumberFormat="1" applyFont="1" applyFill="1"/>
    <xf numFmtId="170" fontId="93" fillId="9" borderId="0" xfId="0" applyNumberFormat="1" applyFont="1" applyFill="1" applyAlignment="1">
      <alignment horizontal="right"/>
    </xf>
    <xf numFmtId="170" fontId="93" fillId="9" borderId="4" xfId="0" applyNumberFormat="1" applyFont="1" applyFill="1" applyBorder="1"/>
    <xf numFmtId="183" fontId="93" fillId="9" borderId="4" xfId="0" applyNumberFormat="1" applyFont="1" applyFill="1" applyBorder="1"/>
    <xf numFmtId="170" fontId="93" fillId="9" borderId="0" xfId="0" applyNumberFormat="1" applyFont="1" applyFill="1" applyBorder="1"/>
    <xf numFmtId="172" fontId="86" fillId="9" borderId="0" xfId="0" applyNumberFormat="1" applyFont="1" applyFill="1"/>
    <xf numFmtId="8" fontId="87" fillId="9" borderId="0" xfId="0" applyNumberFormat="1" applyFont="1" applyFill="1"/>
    <xf numFmtId="0" fontId="87" fillId="9" borderId="4" xfId="0" applyFont="1" applyFill="1" applyBorder="1"/>
    <xf numFmtId="0" fontId="91" fillId="9" borderId="4" xfId="0" applyFont="1" applyFill="1" applyBorder="1" applyAlignment="1">
      <alignment horizontal="center"/>
    </xf>
    <xf numFmtId="0" fontId="86" fillId="9" borderId="4" xfId="0" applyFont="1" applyFill="1" applyBorder="1" applyAlignment="1">
      <alignment horizontal="center"/>
    </xf>
    <xf numFmtId="206" fontId="87" fillId="9" borderId="4" xfId="0" applyNumberFormat="1" applyFont="1" applyFill="1" applyBorder="1"/>
    <xf numFmtId="0" fontId="87" fillId="9" borderId="0" xfId="0" applyFont="1" applyFill="1" applyBorder="1"/>
    <xf numFmtId="168" fontId="93" fillId="9" borderId="0" xfId="0" applyNumberFormat="1" applyFont="1" applyFill="1" applyBorder="1"/>
    <xf numFmtId="204" fontId="87" fillId="9" borderId="0" xfId="0" applyNumberFormat="1" applyFont="1" applyFill="1" applyBorder="1"/>
    <xf numFmtId="232" fontId="87" fillId="9" borderId="0" xfId="8" applyNumberFormat="1" applyFont="1" applyFill="1" applyBorder="1"/>
    <xf numFmtId="232" fontId="87" fillId="9" borderId="0" xfId="8" applyNumberFormat="1" applyFont="1" applyFill="1"/>
    <xf numFmtId="172" fontId="93" fillId="9" borderId="0" xfId="0" applyNumberFormat="1" applyFont="1" applyFill="1"/>
    <xf numFmtId="173" fontId="93" fillId="9" borderId="0" xfId="0" applyNumberFormat="1" applyFont="1" applyFill="1"/>
    <xf numFmtId="173" fontId="87" fillId="9" borderId="0" xfId="0" applyNumberFormat="1" applyFont="1" applyFill="1"/>
    <xf numFmtId="174" fontId="87" fillId="9" borderId="0" xfId="0" applyNumberFormat="1" applyFont="1" applyFill="1"/>
    <xf numFmtId="164" fontId="87" fillId="9" borderId="0" xfId="0" applyNumberFormat="1" applyFont="1" applyFill="1"/>
    <xf numFmtId="175" fontId="87" fillId="9" borderId="0" xfId="0" applyNumberFormat="1" applyFont="1" applyFill="1"/>
    <xf numFmtId="168" fontId="87" fillId="9" borderId="4" xfId="0" applyNumberFormat="1" applyFont="1" applyFill="1" applyBorder="1"/>
    <xf numFmtId="168" fontId="93" fillId="9" borderId="4" xfId="0" applyNumberFormat="1" applyFont="1" applyFill="1" applyBorder="1"/>
    <xf numFmtId="173" fontId="86" fillId="9" borderId="0" xfId="0" applyNumberFormat="1" applyFont="1" applyFill="1"/>
    <xf numFmtId="0" fontId="86" fillId="9" borderId="6" xfId="0" applyFont="1" applyFill="1" applyBorder="1"/>
    <xf numFmtId="172" fontId="86" fillId="9" borderId="6" xfId="0" applyNumberFormat="1" applyFont="1" applyFill="1" applyBorder="1"/>
    <xf numFmtId="172" fontId="87" fillId="9" borderId="0" xfId="0" applyNumberFormat="1" applyFont="1" applyFill="1" applyBorder="1"/>
    <xf numFmtId="8" fontId="87" fillId="9" borderId="0" xfId="0" applyNumberFormat="1" applyFont="1" applyFill="1" applyBorder="1"/>
    <xf numFmtId="0" fontId="92" fillId="9" borderId="4" xfId="0" applyFont="1" applyFill="1" applyBorder="1"/>
    <xf numFmtId="0" fontId="93" fillId="9" borderId="0" xfId="0" applyFont="1" applyFill="1"/>
    <xf numFmtId="182" fontId="87" fillId="9" borderId="0" xfId="0" applyNumberFormat="1" applyFont="1" applyFill="1"/>
    <xf numFmtId="173" fontId="87" fillId="9" borderId="0" xfId="0" applyNumberFormat="1" applyFont="1" applyFill="1" applyBorder="1"/>
    <xf numFmtId="177" fontId="87" fillId="9" borderId="0" xfId="0" applyNumberFormat="1" applyFont="1" applyFill="1"/>
    <xf numFmtId="184" fontId="87" fillId="9" borderId="0" xfId="8" applyNumberFormat="1" applyFont="1" applyFill="1"/>
    <xf numFmtId="203" fontId="87" fillId="9" borderId="0" xfId="0" applyNumberFormat="1" applyFont="1" applyFill="1"/>
    <xf numFmtId="180" fontId="78" fillId="9" borderId="0" xfId="22" applyFont="1" applyFill="1" applyAlignment="1"/>
    <xf numFmtId="0" fontId="95" fillId="9" borderId="30" xfId="0" applyFont="1" applyFill="1" applyBorder="1"/>
    <xf numFmtId="0" fontId="95" fillId="9" borderId="30" xfId="0" applyFont="1" applyFill="1" applyBorder="1" applyAlignment="1">
      <alignment horizontal="right"/>
    </xf>
    <xf numFmtId="0" fontId="95" fillId="9" borderId="0" xfId="0" applyFont="1" applyFill="1" applyBorder="1" applyAlignment="1">
      <alignment horizontal="right"/>
    </xf>
    <xf numFmtId="0" fontId="94" fillId="9" borderId="0" xfId="0" applyFont="1" applyFill="1" applyBorder="1"/>
    <xf numFmtId="0" fontId="94" fillId="9" borderId="0" xfId="0" applyFont="1" applyFill="1"/>
    <xf numFmtId="165" fontId="94" fillId="9" borderId="0" xfId="0" applyNumberFormat="1" applyFont="1" applyFill="1" applyBorder="1"/>
    <xf numFmtId="170" fontId="94" fillId="9" borderId="0" xfId="0" applyNumberFormat="1" applyFont="1" applyFill="1" applyBorder="1"/>
    <xf numFmtId="9" fontId="94" fillId="9" borderId="0" xfId="35" applyFont="1" applyFill="1"/>
    <xf numFmtId="180" fontId="94" fillId="9" borderId="0" xfId="26" applyFont="1" applyFill="1"/>
    <xf numFmtId="224" fontId="87" fillId="9" borderId="0" xfId="0" applyNumberFormat="1" applyFont="1" applyFill="1" applyAlignment="1">
      <alignment horizontal="center"/>
    </xf>
    <xf numFmtId="283" fontId="87" fillId="9" borderId="4" xfId="0" applyNumberFormat="1" applyFont="1" applyFill="1" applyBorder="1" applyAlignment="1">
      <alignment horizontal="center"/>
    </xf>
    <xf numFmtId="0" fontId="88" fillId="9" borderId="0" xfId="0" applyFont="1" applyFill="1" applyAlignment="1" applyProtection="1">
      <alignment horizontal="left"/>
    </xf>
    <xf numFmtId="7" fontId="87" fillId="9" borderId="0" xfId="0" applyNumberFormat="1" applyFont="1" applyFill="1"/>
    <xf numFmtId="9" fontId="87" fillId="9" borderId="0" xfId="35" applyFont="1" applyFill="1"/>
    <xf numFmtId="166" fontId="87" fillId="9" borderId="0" xfId="35" applyNumberFormat="1" applyFont="1" applyFill="1"/>
    <xf numFmtId="0" fontId="87" fillId="9" borderId="0" xfId="0" applyFont="1" applyFill="1" applyAlignment="1">
      <alignment horizontal="center"/>
    </xf>
    <xf numFmtId="168" fontId="87" fillId="9" borderId="0" xfId="0" applyNumberFormat="1" applyFont="1" applyFill="1" applyAlignment="1">
      <alignment horizontal="center"/>
    </xf>
    <xf numFmtId="37" fontId="87" fillId="9" borderId="0" xfId="0" applyNumberFormat="1" applyFont="1" applyFill="1" applyAlignment="1">
      <alignment horizontal="center"/>
    </xf>
    <xf numFmtId="37" fontId="91" fillId="9" borderId="0" xfId="29" applyFont="1" applyFill="1" applyAlignment="1" applyProtection="1">
      <alignment horizontal="left"/>
    </xf>
    <xf numFmtId="0" fontId="92" fillId="9" borderId="0" xfId="0" applyFont="1" applyFill="1"/>
    <xf numFmtId="165" fontId="87" fillId="9" borderId="0" xfId="0" applyNumberFormat="1" applyFont="1" applyFill="1"/>
    <xf numFmtId="37" fontId="87" fillId="9" borderId="0" xfId="29" applyFont="1" applyFill="1" applyAlignment="1" applyProtection="1">
      <alignment horizontal="left"/>
    </xf>
    <xf numFmtId="168" fontId="87" fillId="9" borderId="0" xfId="0" applyNumberFormat="1" applyFont="1" applyFill="1" applyBorder="1"/>
    <xf numFmtId="164" fontId="93" fillId="9" borderId="0" xfId="0" applyNumberFormat="1" applyFont="1" applyFill="1"/>
    <xf numFmtId="37" fontId="87" fillId="9" borderId="0" xfId="29" applyFont="1" applyFill="1"/>
    <xf numFmtId="173" fontId="93" fillId="9" borderId="4" xfId="0" applyNumberFormat="1" applyFont="1" applyFill="1" applyBorder="1"/>
    <xf numFmtId="166" fontId="93" fillId="9" borderId="4" xfId="35" applyNumberFormat="1" applyFont="1" applyFill="1" applyBorder="1"/>
    <xf numFmtId="172" fontId="87" fillId="9" borderId="6" xfId="0" applyNumberFormat="1" applyFont="1" applyFill="1" applyBorder="1"/>
    <xf numFmtId="206" fontId="87" fillId="9" borderId="6" xfId="0" applyNumberFormat="1" applyFont="1" applyFill="1" applyBorder="1"/>
    <xf numFmtId="173" fontId="87" fillId="9" borderId="6" xfId="0" applyNumberFormat="1" applyFont="1" applyFill="1" applyBorder="1"/>
    <xf numFmtId="0" fontId="91" fillId="9" borderId="0" xfId="0" applyFont="1" applyFill="1"/>
    <xf numFmtId="186" fontId="87" fillId="9" borderId="0" xfId="0" applyNumberFormat="1" applyFont="1" applyFill="1"/>
    <xf numFmtId="164" fontId="93" fillId="9" borderId="0" xfId="0" applyNumberFormat="1" applyFont="1" applyFill="1" applyBorder="1"/>
    <xf numFmtId="0" fontId="93" fillId="9" borderId="0" xfId="0" applyFont="1" applyFill="1" applyBorder="1"/>
    <xf numFmtId="172" fontId="87" fillId="9" borderId="4" xfId="0" applyNumberFormat="1" applyFont="1" applyFill="1" applyBorder="1"/>
    <xf numFmtId="173" fontId="87" fillId="9" borderId="4" xfId="0" applyNumberFormat="1" applyFont="1" applyFill="1" applyBorder="1"/>
    <xf numFmtId="165" fontId="93" fillId="9" borderId="0" xfId="0" applyNumberFormat="1" applyFont="1" applyFill="1"/>
    <xf numFmtId="37" fontId="93" fillId="9" borderId="0" xfId="0" applyNumberFormat="1" applyFont="1" applyFill="1"/>
    <xf numFmtId="37" fontId="93" fillId="9" borderId="0" xfId="0" applyNumberFormat="1" applyFont="1" applyFill="1" applyBorder="1"/>
    <xf numFmtId="37" fontId="87" fillId="9" borderId="0" xfId="0" applyNumberFormat="1" applyFont="1" applyFill="1"/>
    <xf numFmtId="207" fontId="87" fillId="9" borderId="0" xfId="0" applyNumberFormat="1" applyFont="1" applyFill="1"/>
    <xf numFmtId="173" fontId="93" fillId="9" borderId="0" xfId="0" applyNumberFormat="1" applyFont="1" applyFill="1" applyBorder="1"/>
    <xf numFmtId="0" fontId="85" fillId="9" borderId="0" xfId="0" applyFont="1" applyFill="1"/>
    <xf numFmtId="0" fontId="24" fillId="9" borderId="0" xfId="0" applyFont="1" applyFill="1" applyAlignment="1">
      <alignment horizontal="right"/>
    </xf>
    <xf numFmtId="2" fontId="87" fillId="9" borderId="0" xfId="0" applyNumberFormat="1" applyFont="1" applyFill="1"/>
    <xf numFmtId="171" fontId="87" fillId="9" borderId="0" xfId="0" applyNumberFormat="1" applyFont="1" applyFill="1"/>
    <xf numFmtId="44" fontId="87" fillId="9" borderId="0" xfId="0" applyNumberFormat="1" applyFont="1" applyFill="1"/>
    <xf numFmtId="278" fontId="87" fillId="9" borderId="0" xfId="0" applyNumberFormat="1" applyFont="1" applyFill="1"/>
    <xf numFmtId="166" fontId="87" fillId="9" borderId="0" xfId="0" applyNumberFormat="1" applyFont="1" applyFill="1"/>
    <xf numFmtId="166" fontId="93" fillId="9" borderId="0" xfId="35" applyNumberFormat="1" applyFont="1" applyFill="1"/>
    <xf numFmtId="10" fontId="87" fillId="9" borderId="0" xfId="0" applyNumberFormat="1" applyFont="1" applyFill="1"/>
    <xf numFmtId="165" fontId="107" fillId="9" borderId="0" xfId="0" applyNumberFormat="1" applyFont="1" applyFill="1"/>
    <xf numFmtId="2" fontId="85" fillId="9" borderId="0" xfId="0" applyNumberFormat="1" applyFont="1" applyFill="1"/>
    <xf numFmtId="171" fontId="85" fillId="9" borderId="0" xfId="0" applyNumberFormat="1" applyFont="1" applyFill="1"/>
    <xf numFmtId="0" fontId="87" fillId="9" borderId="0" xfId="0" applyFont="1" applyFill="1" applyAlignment="1">
      <alignment horizontal="right"/>
    </xf>
    <xf numFmtId="234" fontId="94" fillId="9" borderId="0" xfId="0" applyNumberFormat="1" applyFont="1" applyFill="1"/>
    <xf numFmtId="183" fontId="94" fillId="9" borderId="0" xfId="0" applyNumberFormat="1" applyFont="1" applyFill="1"/>
    <xf numFmtId="183" fontId="95" fillId="9" borderId="30" xfId="0" applyNumberFormat="1" applyFont="1" applyFill="1" applyBorder="1"/>
    <xf numFmtId="183" fontId="78" fillId="9" borderId="0" xfId="0" applyNumberFormat="1" applyFont="1" applyFill="1"/>
    <xf numFmtId="183" fontId="96" fillId="9" borderId="0" xfId="0" applyNumberFormat="1" applyFont="1" applyFill="1"/>
    <xf numFmtId="183" fontId="94" fillId="9" borderId="0" xfId="8" applyNumberFormat="1" applyFont="1" applyFill="1"/>
    <xf numFmtId="0" fontId="87" fillId="9" borderId="4" xfId="0" applyFont="1" applyFill="1" applyBorder="1" applyAlignment="1">
      <alignment horizontal="centerContinuous"/>
    </xf>
    <xf numFmtId="16" fontId="87" fillId="9" borderId="0" xfId="0" quotePrefix="1" applyNumberFormat="1" applyFont="1" applyFill="1" applyAlignment="1">
      <alignment horizontal="center"/>
    </xf>
    <xf numFmtId="0" fontId="87" fillId="9" borderId="0" xfId="0" quotePrefix="1" applyFont="1" applyFill="1" applyAlignment="1">
      <alignment horizontal="center"/>
    </xf>
    <xf numFmtId="0" fontId="87" fillId="9" borderId="4" xfId="0" applyFont="1" applyFill="1" applyBorder="1" applyAlignment="1">
      <alignment horizontal="center"/>
    </xf>
    <xf numFmtId="233" fontId="87" fillId="9" borderId="0" xfId="13" applyNumberFormat="1" applyFont="1" applyFill="1"/>
    <xf numFmtId="233" fontId="93" fillId="9" borderId="0" xfId="13" applyNumberFormat="1" applyFont="1" applyFill="1"/>
    <xf numFmtId="233" fontId="93" fillId="9" borderId="0" xfId="13" applyNumberFormat="1" applyFont="1" applyFill="1" applyAlignment="1">
      <alignment horizontal="right"/>
    </xf>
    <xf numFmtId="170" fontId="87" fillId="9" borderId="4" xfId="0" applyNumberFormat="1" applyFont="1" applyFill="1" applyBorder="1"/>
    <xf numFmtId="170" fontId="93" fillId="9" borderId="0" xfId="0" applyNumberFormat="1" applyFont="1" applyFill="1" applyAlignment="1">
      <alignment horizontal="center"/>
    </xf>
    <xf numFmtId="233" fontId="87" fillId="9" borderId="6" xfId="0" applyNumberFormat="1" applyFont="1" applyFill="1" applyBorder="1"/>
    <xf numFmtId="44" fontId="93" fillId="9" borderId="0" xfId="13" applyFont="1" applyFill="1"/>
    <xf numFmtId="165" fontId="93" fillId="9" borderId="4" xfId="0" applyNumberFormat="1" applyFont="1" applyFill="1" applyBorder="1"/>
    <xf numFmtId="233" fontId="87" fillId="9" borderId="0" xfId="0" applyNumberFormat="1" applyFont="1" applyFill="1"/>
    <xf numFmtId="164" fontId="87" fillId="9" borderId="0" xfId="0" applyNumberFormat="1" applyFont="1" applyFill="1" applyBorder="1"/>
    <xf numFmtId="195" fontId="12" fillId="9" borderId="35" xfId="17" applyNumberFormat="1" applyFont="1" applyFill="1" applyBorder="1" applyAlignment="1">
      <alignment horizontal="centerContinuous"/>
    </xf>
    <xf numFmtId="168" fontId="181" fillId="0" borderId="0" xfId="0" applyNumberFormat="1" applyFont="1" applyFill="1" applyProtection="1"/>
    <xf numFmtId="0" fontId="11" fillId="0" borderId="5" xfId="0" applyFont="1" applyFill="1" applyBorder="1" applyAlignment="1">
      <alignment horizontal="center"/>
    </xf>
    <xf numFmtId="164" fontId="10" fillId="9" borderId="12" xfId="0" applyNumberFormat="1" applyFont="1" applyFill="1" applyBorder="1" applyAlignment="1">
      <alignment horizontal="center"/>
    </xf>
    <xf numFmtId="165" fontId="6" fillId="9" borderId="13" xfId="0" applyNumberFormat="1" applyFont="1" applyFill="1" applyBorder="1" applyAlignment="1">
      <alignment horizontal="center"/>
    </xf>
    <xf numFmtId="166" fontId="6" fillId="3" borderId="0" xfId="35" applyNumberFormat="1" applyFont="1" applyFill="1" applyAlignment="1" applyProtection="1">
      <alignment horizontal="center"/>
    </xf>
    <xf numFmtId="6" fontId="183" fillId="9" borderId="25" xfId="0" applyNumberFormat="1" applyFont="1" applyFill="1" applyBorder="1" applyAlignment="1">
      <alignment horizontal="center"/>
    </xf>
    <xf numFmtId="8" fontId="183" fillId="9" borderId="26" xfId="0" applyNumberFormat="1" applyFont="1" applyFill="1" applyBorder="1" applyAlignment="1">
      <alignment horizontal="center"/>
    </xf>
    <xf numFmtId="211" fontId="184" fillId="9" borderId="14" xfId="28" applyNumberFormat="1" applyFont="1" applyFill="1" applyBorder="1" applyAlignment="1">
      <alignment horizontal="right"/>
    </xf>
    <xf numFmtId="211" fontId="184" fillId="9" borderId="4" xfId="28" applyNumberFormat="1" applyFont="1" applyFill="1" applyBorder="1" applyAlignment="1">
      <alignment horizontal="right"/>
    </xf>
    <xf numFmtId="191" fontId="181" fillId="9" borderId="0" xfId="35" applyNumberFormat="1" applyFont="1" applyFill="1" applyBorder="1" applyAlignment="1">
      <alignment horizontal="left"/>
    </xf>
    <xf numFmtId="216" fontId="11" fillId="0" borderId="4" xfId="0" applyNumberFormat="1" applyFont="1" applyFill="1" applyBorder="1" applyAlignment="1">
      <alignment horizontal="centerContinuous"/>
    </xf>
    <xf numFmtId="195" fontId="15" fillId="0" borderId="0" xfId="0" applyNumberFormat="1" applyFont="1" applyFill="1" applyAlignment="1">
      <alignment horizontal="left"/>
    </xf>
    <xf numFmtId="215" fontId="185" fillId="9" borderId="0" xfId="0" applyNumberFormat="1" applyFont="1" applyFill="1" applyAlignment="1">
      <alignment horizontal="right"/>
    </xf>
    <xf numFmtId="203" fontId="186" fillId="9" borderId="4" xfId="28" applyNumberFormat="1" applyFont="1" applyFill="1" applyBorder="1" applyAlignment="1">
      <alignment horizontal="right"/>
    </xf>
    <xf numFmtId="170" fontId="187" fillId="9" borderId="0" xfId="43" applyFont="1" applyFill="1" applyAlignment="1">
      <alignment horizontal="center"/>
    </xf>
    <xf numFmtId="170" fontId="188" fillId="9" borderId="0" xfId="0" applyNumberFormat="1" applyFont="1" applyFill="1"/>
    <xf numFmtId="168" fontId="188" fillId="9" borderId="0" xfId="0" applyNumberFormat="1" applyFont="1" applyFill="1"/>
    <xf numFmtId="172" fontId="188" fillId="9" borderId="0" xfId="0" applyNumberFormat="1" applyFont="1" applyFill="1"/>
    <xf numFmtId="173" fontId="188" fillId="9" borderId="0" xfId="0" applyNumberFormat="1" applyFont="1" applyFill="1"/>
    <xf numFmtId="168" fontId="188" fillId="9" borderId="4" xfId="0" applyNumberFormat="1" applyFont="1" applyFill="1" applyBorder="1"/>
    <xf numFmtId="43" fontId="78" fillId="9" borderId="0" xfId="8" applyFont="1" applyFill="1"/>
    <xf numFmtId="43" fontId="76" fillId="9" borderId="0" xfId="0" applyNumberFormat="1" applyFont="1" applyFill="1" applyBorder="1"/>
    <xf numFmtId="43" fontId="76" fillId="9" borderId="4" xfId="0" applyNumberFormat="1" applyFont="1" applyFill="1" applyBorder="1"/>
    <xf numFmtId="8" fontId="6" fillId="9" borderId="4" xfId="8" applyNumberFormat="1" applyFont="1" applyFill="1" applyBorder="1"/>
    <xf numFmtId="168" fontId="26" fillId="9" borderId="16" xfId="21" applyNumberFormat="1" applyFont="1" applyFill="1" applyBorder="1" applyAlignment="1">
      <alignment horizontal="right"/>
    </xf>
    <xf numFmtId="291" fontId="6" fillId="9" borderId="0" xfId="28" applyNumberFormat="1" applyFont="1" applyFill="1" applyAlignment="1"/>
    <xf numFmtId="44" fontId="10" fillId="9" borderId="0" xfId="13" applyFont="1" applyFill="1" applyAlignment="1">
      <alignment horizontal="right"/>
    </xf>
    <xf numFmtId="8" fontId="15" fillId="9" borderId="0" xfId="0" applyNumberFormat="1" applyFont="1" applyFill="1" applyAlignment="1">
      <alignment horizontal="centerContinuous"/>
    </xf>
    <xf numFmtId="4" fontId="10" fillId="9" borderId="0" xfId="0" applyNumberFormat="1" applyFont="1" applyFill="1" applyBorder="1" applyAlignment="1">
      <alignment horizontal="center"/>
    </xf>
    <xf numFmtId="0" fontId="11" fillId="0" borderId="4" xfId="0" applyFont="1" applyBorder="1" applyAlignment="1">
      <alignment horizontal="center"/>
    </xf>
    <xf numFmtId="39" fontId="87" fillId="9" borderId="0" xfId="0" applyNumberFormat="1" applyFont="1" applyFill="1"/>
    <xf numFmtId="168" fontId="188" fillId="9" borderId="0" xfId="0" applyNumberFormat="1" applyFont="1" applyFill="1" applyBorder="1"/>
    <xf numFmtId="2" fontId="24" fillId="9" borderId="0" xfId="0" applyNumberFormat="1" applyFont="1" applyFill="1" applyAlignment="1">
      <alignment horizontal="right"/>
    </xf>
    <xf numFmtId="2" fontId="24" fillId="9" borderId="0" xfId="0" applyNumberFormat="1" applyFont="1" applyFill="1"/>
    <xf numFmtId="0" fontId="188" fillId="9" borderId="0" xfId="0" applyFont="1" applyFill="1"/>
    <xf numFmtId="40" fontId="87" fillId="9" borderId="0" xfId="0" applyNumberFormat="1" applyFont="1" applyFill="1"/>
    <xf numFmtId="191" fontId="181" fillId="9" borderId="4" xfId="35" applyNumberFormat="1" applyFont="1" applyFill="1" applyBorder="1" applyAlignment="1">
      <alignment horizontal="left"/>
    </xf>
    <xf numFmtId="191" fontId="6" fillId="9" borderId="4" xfId="35" applyNumberFormat="1" applyFont="1" applyFill="1" applyBorder="1" applyAlignment="1">
      <alignment horizontal="left"/>
    </xf>
    <xf numFmtId="204" fontId="181" fillId="9" borderId="0" xfId="0" applyNumberFormat="1" applyFont="1" applyFill="1" applyBorder="1"/>
    <xf numFmtId="190" fontId="181" fillId="9" borderId="0" xfId="0" applyNumberFormat="1" applyFont="1" applyFill="1" applyBorder="1" applyAlignment="1">
      <alignment horizontal="left"/>
    </xf>
    <xf numFmtId="173" fontId="10" fillId="9" borderId="0" xfId="28" applyNumberFormat="1" applyFont="1" applyFill="1" applyAlignment="1">
      <alignment horizontal="right"/>
    </xf>
    <xf numFmtId="173" fontId="10" fillId="9" borderId="4" xfId="28" applyNumberFormat="1" applyFont="1" applyFill="1" applyBorder="1" applyAlignment="1">
      <alignment horizontal="right"/>
    </xf>
    <xf numFmtId="9" fontId="94" fillId="9" borderId="0" xfId="35" applyFont="1" applyFill="1" applyBorder="1"/>
    <xf numFmtId="9" fontId="87" fillId="9" borderId="0" xfId="35" applyFont="1" applyFill="1" applyBorder="1"/>
    <xf numFmtId="0" fontId="2" fillId="9" borderId="0" xfId="44" applyFont="1" applyFill="1"/>
    <xf numFmtId="0" fontId="62" fillId="9" borderId="0" xfId="44" applyFont="1" applyFill="1"/>
    <xf numFmtId="0" fontId="2" fillId="0" borderId="0" xfId="44" applyFont="1"/>
    <xf numFmtId="0" fontId="12" fillId="9" borderId="0" xfId="44" applyFont="1" applyFill="1"/>
    <xf numFmtId="0" fontId="189" fillId="9" borderId="4" xfId="44" applyFont="1" applyFill="1" applyBorder="1"/>
    <xf numFmtId="197" fontId="21" fillId="14" borderId="4" xfId="17" applyNumberFormat="1" applyFont="1" applyFill="1" applyBorder="1" applyAlignment="1">
      <alignment horizontal="center"/>
    </xf>
    <xf numFmtId="17" fontId="12" fillId="9" borderId="0" xfId="44" applyNumberFormat="1" applyFont="1" applyFill="1"/>
    <xf numFmtId="0" fontId="12" fillId="0" borderId="0" xfId="44" applyFont="1"/>
    <xf numFmtId="0" fontId="189" fillId="9" borderId="0" xfId="44" applyFont="1" applyFill="1"/>
    <xf numFmtId="17" fontId="12" fillId="14" borderId="0" xfId="44" applyNumberFormat="1" applyFont="1" applyFill="1"/>
    <xf numFmtId="225" fontId="2" fillId="9" borderId="0" xfId="45" applyNumberFormat="1" applyFont="1" applyFill="1"/>
    <xf numFmtId="225" fontId="2" fillId="14" borderId="0" xfId="45" applyNumberFormat="1" applyFont="1" applyFill="1"/>
    <xf numFmtId="166" fontId="2" fillId="9" borderId="0" xfId="46" applyNumberFormat="1" applyFont="1" applyFill="1"/>
    <xf numFmtId="166" fontId="190" fillId="14" borderId="0" xfId="46" applyNumberFormat="1" applyFont="1" applyFill="1"/>
    <xf numFmtId="0" fontId="29" fillId="9" borderId="0" xfId="44" applyFont="1" applyFill="1"/>
    <xf numFmtId="0" fontId="137" fillId="9" borderId="0" xfId="44" applyFont="1" applyFill="1"/>
    <xf numFmtId="9" fontId="191" fillId="9" borderId="0" xfId="44" applyNumberFormat="1" applyFont="1" applyFill="1"/>
    <xf numFmtId="9" fontId="190" fillId="14" borderId="0" xfId="46" applyNumberFormat="1" applyFont="1" applyFill="1"/>
    <xf numFmtId="0" fontId="29" fillId="0" borderId="0" xfId="44" applyFont="1"/>
    <xf numFmtId="225" fontId="2" fillId="9" borderId="4" xfId="45" applyNumberFormat="1" applyFont="1" applyFill="1" applyBorder="1"/>
    <xf numFmtId="225" fontId="2" fillId="14" borderId="4" xfId="45" applyNumberFormat="1" applyFont="1" applyFill="1" applyBorder="1"/>
    <xf numFmtId="225" fontId="2" fillId="9" borderId="0" xfId="44" applyNumberFormat="1" applyFont="1" applyFill="1"/>
    <xf numFmtId="225" fontId="2" fillId="14" borderId="0" xfId="44" applyNumberFormat="1" applyFont="1" applyFill="1"/>
    <xf numFmtId="0" fontId="192" fillId="9" borderId="0" xfId="44" applyFont="1" applyFill="1"/>
    <xf numFmtId="9" fontId="192" fillId="9" borderId="0" xfId="46" applyFont="1" applyFill="1"/>
    <xf numFmtId="166" fontId="192" fillId="9" borderId="0" xfId="46" applyNumberFormat="1" applyFont="1" applyFill="1"/>
    <xf numFmtId="166" fontId="193" fillId="14" borderId="0" xfId="46" applyNumberFormat="1" applyFont="1" applyFill="1"/>
    <xf numFmtId="0" fontId="192" fillId="0" borderId="0" xfId="44" applyFont="1"/>
    <xf numFmtId="0" fontId="2" fillId="14" borderId="0" xfId="44" applyFont="1" applyFill="1"/>
    <xf numFmtId="225" fontId="62" fillId="9" borderId="0" xfId="45" quotePrefix="1" applyNumberFormat="1" applyFont="1" applyFill="1"/>
    <xf numFmtId="166" fontId="184" fillId="14" borderId="0" xfId="46" applyNumberFormat="1" applyFont="1" applyFill="1"/>
    <xf numFmtId="166" fontId="2" fillId="14" borderId="0" xfId="46" applyNumberFormat="1" applyFont="1" applyFill="1"/>
    <xf numFmtId="9" fontId="72" fillId="9" borderId="0" xfId="46" applyFont="1" applyFill="1"/>
    <xf numFmtId="9" fontId="193" fillId="14" borderId="0" xfId="46" applyFont="1" applyFill="1"/>
    <xf numFmtId="0" fontId="2" fillId="9" borderId="4" xfId="44" applyFont="1" applyFill="1" applyBorder="1"/>
    <xf numFmtId="0" fontId="2" fillId="14" borderId="4" xfId="44" applyFont="1" applyFill="1" applyBorder="1"/>
    <xf numFmtId="225" fontId="12" fillId="9" borderId="0" xfId="44" applyNumberFormat="1" applyFont="1" applyFill="1"/>
    <xf numFmtId="225" fontId="12" fillId="14" borderId="0" xfId="44" applyNumberFormat="1" applyFont="1" applyFill="1"/>
    <xf numFmtId="0" fontId="72" fillId="9" borderId="0" xfId="44" applyFont="1" applyFill="1"/>
    <xf numFmtId="0" fontId="72" fillId="0" borderId="0" xfId="44" applyFont="1"/>
    <xf numFmtId="0" fontId="194" fillId="9" borderId="0" xfId="44" applyFont="1" applyFill="1" applyAlignment="1">
      <alignment horizontal="center"/>
    </xf>
    <xf numFmtId="225" fontId="194" fillId="9" borderId="0" xfId="45" applyNumberFormat="1" applyFont="1" applyFill="1" applyAlignment="1">
      <alignment horizontal="center"/>
    </xf>
    <xf numFmtId="0" fontId="195" fillId="9" borderId="0" xfId="44" applyFont="1" applyFill="1" applyAlignment="1">
      <alignment horizontal="center"/>
    </xf>
    <xf numFmtId="0" fontId="194" fillId="0" borderId="0" xfId="44" applyFont="1" applyAlignment="1">
      <alignment horizontal="center"/>
    </xf>
    <xf numFmtId="225" fontId="62" fillId="9" borderId="0" xfId="45" applyNumberFormat="1" applyFont="1" applyFill="1"/>
    <xf numFmtId="43" fontId="26" fillId="9" borderId="0" xfId="45" applyNumberFormat="1" applyFont="1" applyFill="1"/>
    <xf numFmtId="166" fontId="184" fillId="9" borderId="0" xfId="44" applyNumberFormat="1" applyFont="1" applyFill="1"/>
    <xf numFmtId="166" fontId="184" fillId="9" borderId="0" xfId="46" applyNumberFormat="1" applyFont="1" applyFill="1" applyAlignment="1">
      <alignment horizontal="right"/>
    </xf>
    <xf numFmtId="225" fontId="62" fillId="9" borderId="4" xfId="45" applyNumberFormat="1" applyFont="1" applyFill="1" applyBorder="1"/>
    <xf numFmtId="225" fontId="189" fillId="9" borderId="0" xfId="45" applyNumberFormat="1" applyFont="1" applyFill="1"/>
    <xf numFmtId="171" fontId="184" fillId="0" borderId="0" xfId="44" applyNumberFormat="1" applyFont="1" applyFill="1" applyAlignment="1">
      <alignment horizontal="right"/>
    </xf>
    <xf numFmtId="225" fontId="137" fillId="9" borderId="0" xfId="45" applyNumberFormat="1" applyFont="1" applyFill="1"/>
    <xf numFmtId="166" fontId="2" fillId="9" borderId="0" xfId="46" applyNumberFormat="1" applyFont="1" applyFill="1" applyAlignment="1">
      <alignment horizontal="right"/>
    </xf>
    <xf numFmtId="166" fontId="137" fillId="9" borderId="0" xfId="46" applyNumberFormat="1" applyFont="1" applyFill="1"/>
    <xf numFmtId="225" fontId="137" fillId="9" borderId="0" xfId="45" applyNumberFormat="1" applyFont="1" applyFill="1" applyAlignment="1">
      <alignment horizontal="center"/>
    </xf>
    <xf numFmtId="166" fontId="62" fillId="9" borderId="0" xfId="46" applyNumberFormat="1" applyFont="1" applyFill="1"/>
    <xf numFmtId="9" fontId="62" fillId="9" borderId="0" xfId="46" applyFont="1" applyFill="1"/>
    <xf numFmtId="9" fontId="137" fillId="9" borderId="0" xfId="46" applyFont="1" applyFill="1" applyAlignment="1">
      <alignment horizontal="center"/>
    </xf>
    <xf numFmtId="225" fontId="62" fillId="9" borderId="0" xfId="45" applyNumberFormat="1" applyFont="1" applyFill="1" applyBorder="1"/>
    <xf numFmtId="225" fontId="62" fillId="9" borderId="4" xfId="45" applyNumberFormat="1" applyFont="1" applyFill="1" applyBorder="1" applyAlignment="1">
      <alignment horizontal="center"/>
    </xf>
    <xf numFmtId="225" fontId="62" fillId="0" borderId="0" xfId="45" applyNumberFormat="1" applyFont="1"/>
    <xf numFmtId="9" fontId="2" fillId="9" borderId="0" xfId="46" applyFont="1" applyFill="1"/>
    <xf numFmtId="0" fontId="62" fillId="0" borderId="0" xfId="44" applyFont="1"/>
    <xf numFmtId="166" fontId="191" fillId="0" borderId="0" xfId="46" applyNumberFormat="1" applyFont="1" applyFill="1"/>
    <xf numFmtId="44" fontId="184" fillId="0" borderId="0" xfId="44" applyNumberFormat="1" applyFont="1"/>
    <xf numFmtId="225" fontId="189" fillId="13" borderId="7" xfId="45" applyNumberFormat="1" applyFont="1" applyFill="1" applyBorder="1"/>
    <xf numFmtId="225" fontId="2" fillId="13" borderId="6" xfId="45" applyNumberFormat="1" applyFont="1" applyFill="1" applyBorder="1"/>
    <xf numFmtId="225" fontId="2" fillId="13" borderId="8" xfId="45" applyNumberFormat="1" applyFont="1" applyFill="1" applyBorder="1"/>
    <xf numFmtId="225" fontId="62" fillId="13" borderId="7" xfId="45" applyNumberFormat="1" applyFont="1" applyFill="1" applyBorder="1"/>
    <xf numFmtId="0" fontId="2" fillId="13" borderId="6" xfId="44" applyFont="1" applyFill="1" applyBorder="1"/>
    <xf numFmtId="44" fontId="189" fillId="13" borderId="8" xfId="47" applyFont="1" applyFill="1" applyBorder="1"/>
    <xf numFmtId="225" fontId="189" fillId="13" borderId="6" xfId="45" applyNumberFormat="1" applyFont="1" applyFill="1" applyBorder="1" applyAlignment="1">
      <alignment horizontal="center"/>
    </xf>
    <xf numFmtId="166" fontId="189" fillId="13" borderId="8" xfId="46" applyNumberFormat="1" applyFont="1" applyFill="1" applyBorder="1"/>
    <xf numFmtId="225" fontId="189" fillId="12" borderId="0" xfId="45" applyNumberFormat="1" applyFont="1" applyFill="1" applyBorder="1"/>
    <xf numFmtId="44" fontId="2" fillId="12" borderId="0" xfId="47" applyFont="1" applyFill="1" applyBorder="1"/>
    <xf numFmtId="0" fontId="12" fillId="12" borderId="0" xfId="44" applyFont="1" applyFill="1" applyBorder="1"/>
    <xf numFmtId="165" fontId="2" fillId="12" borderId="0" xfId="44" applyNumberFormat="1" applyFont="1" applyFill="1" applyBorder="1"/>
    <xf numFmtId="0" fontId="2" fillId="12" borderId="0" xfId="44" applyFont="1" applyFill="1" applyBorder="1"/>
    <xf numFmtId="164" fontId="2" fillId="9" borderId="0" xfId="0" applyNumberFormat="1" applyFont="1" applyFill="1" applyBorder="1" applyAlignment="1">
      <alignment horizontal="center"/>
    </xf>
    <xf numFmtId="191" fontId="0" fillId="9" borderId="0" xfId="0" applyNumberFormat="1" applyFill="1"/>
    <xf numFmtId="191" fontId="184" fillId="9" borderId="0" xfId="0" applyNumberFormat="1" applyFont="1" applyFill="1"/>
    <xf numFmtId="0" fontId="12" fillId="12" borderId="0" xfId="0" applyFont="1" applyFill="1"/>
    <xf numFmtId="0" fontId="2" fillId="0" borderId="0" xfId="44"/>
    <xf numFmtId="43" fontId="0" fillId="0" borderId="0" xfId="8" applyFont="1"/>
    <xf numFmtId="166" fontId="2" fillId="0" borderId="0" xfId="44" applyNumberFormat="1"/>
    <xf numFmtId="164" fontId="2" fillId="12" borderId="0" xfId="0" applyNumberFormat="1" applyFont="1" applyFill="1" applyBorder="1" applyAlignment="1">
      <alignment horizontal="center"/>
    </xf>
    <xf numFmtId="191" fontId="184" fillId="12" borderId="0" xfId="0" applyNumberFormat="1" applyFont="1" applyFill="1"/>
    <xf numFmtId="191" fontId="0" fillId="12" borderId="0" xfId="0" applyNumberFormat="1" applyFill="1"/>
    <xf numFmtId="283" fontId="184" fillId="9" borderId="0" xfId="0" applyNumberFormat="1" applyFont="1" applyFill="1" applyBorder="1"/>
    <xf numFmtId="168" fontId="16" fillId="9" borderId="4" xfId="0" applyNumberFormat="1" applyFont="1" applyFill="1" applyBorder="1"/>
    <xf numFmtId="164" fontId="117" fillId="9" borderId="0" xfId="0" applyNumberFormat="1" applyFont="1" applyFill="1" applyBorder="1"/>
    <xf numFmtId="203" fontId="186" fillId="9" borderId="0" xfId="28" applyNumberFormat="1" applyFont="1" applyFill="1" applyAlignment="1">
      <alignment horizontal="right"/>
    </xf>
    <xf numFmtId="183" fontId="181" fillId="9" borderId="0" xfId="0" applyNumberFormat="1" applyFont="1" applyFill="1" applyBorder="1"/>
    <xf numFmtId="176" fontId="181" fillId="9" borderId="0" xfId="8" applyNumberFormat="1" applyFont="1" applyFill="1" applyBorder="1"/>
    <xf numFmtId="9" fontId="6" fillId="9" borderId="0" xfId="35" applyFont="1" applyFill="1" applyAlignment="1"/>
    <xf numFmtId="9" fontId="78" fillId="9" borderId="0" xfId="35" applyNumberFormat="1" applyFont="1" applyFill="1"/>
    <xf numFmtId="0" fontId="11" fillId="0" borderId="4" xfId="0" applyFont="1" applyBorder="1" applyAlignment="1">
      <alignment horizontal="center"/>
    </xf>
    <xf numFmtId="9" fontId="0" fillId="9" borderId="0" xfId="35" applyFont="1" applyFill="1"/>
    <xf numFmtId="40" fontId="0" fillId="9" borderId="0" xfId="0" applyNumberFormat="1" applyFill="1"/>
    <xf numFmtId="40" fontId="76" fillId="9" borderId="0" xfId="0" applyNumberFormat="1" applyFont="1" applyFill="1"/>
    <xf numFmtId="40" fontId="78" fillId="9" borderId="0" xfId="0" applyNumberFormat="1" applyFont="1" applyFill="1" applyBorder="1"/>
    <xf numFmtId="165" fontId="76" fillId="9" borderId="0" xfId="0" applyNumberFormat="1" applyFont="1" applyFill="1" applyBorder="1"/>
    <xf numFmtId="166" fontId="0" fillId="9" borderId="0" xfId="35" applyNumberFormat="1" applyFont="1" applyFill="1" applyBorder="1"/>
    <xf numFmtId="240" fontId="0" fillId="9" borderId="0" xfId="0" applyNumberFormat="1" applyFill="1" applyBorder="1"/>
    <xf numFmtId="7" fontId="0" fillId="9" borderId="0" xfId="0" applyNumberFormat="1" applyFill="1" applyBorder="1"/>
    <xf numFmtId="182" fontId="171" fillId="9" borderId="0" xfId="0" applyNumberFormat="1" applyFont="1" applyFill="1" applyBorder="1"/>
    <xf numFmtId="182" fontId="181" fillId="9" borderId="0" xfId="0" applyNumberFormat="1" applyFont="1" applyFill="1"/>
    <xf numFmtId="164" fontId="181" fillId="9" borderId="0" xfId="0" applyNumberFormat="1" applyFont="1" applyFill="1"/>
    <xf numFmtId="210" fontId="2" fillId="9" borderId="12" xfId="28" applyNumberFormat="1" applyFont="1" applyFill="1" applyBorder="1" applyAlignment="1">
      <alignment horizontal="right"/>
    </xf>
    <xf numFmtId="211" fontId="2" fillId="9" borderId="12" xfId="28" applyNumberFormat="1" applyFont="1" applyFill="1" applyBorder="1" applyAlignment="1">
      <alignment horizontal="right"/>
    </xf>
    <xf numFmtId="173" fontId="196" fillId="9" borderId="0" xfId="0" applyNumberFormat="1" applyFont="1" applyFill="1"/>
    <xf numFmtId="183" fontId="196" fillId="9" borderId="0" xfId="0" applyNumberFormat="1" applyFont="1" applyFill="1" applyBorder="1"/>
    <xf numFmtId="173" fontId="16" fillId="9" borderId="0" xfId="0" applyNumberFormat="1" applyFont="1" applyFill="1"/>
    <xf numFmtId="210" fontId="2" fillId="9" borderId="0" xfId="28" applyNumberFormat="1" applyFont="1" applyFill="1" applyBorder="1" applyAlignment="1">
      <alignment horizontal="right"/>
    </xf>
    <xf numFmtId="211" fontId="2" fillId="9" borderId="0" xfId="28" applyNumberFormat="1" applyFont="1" applyFill="1" applyBorder="1" applyAlignment="1">
      <alignment horizontal="right"/>
    </xf>
    <xf numFmtId="190" fontId="181" fillId="9" borderId="13" xfId="0" applyNumberFormat="1" applyFont="1" applyFill="1" applyBorder="1" applyAlignment="1">
      <alignment horizontal="left"/>
    </xf>
    <xf numFmtId="166" fontId="2" fillId="9" borderId="0" xfId="31" applyNumberFormat="1" applyFont="1" applyFill="1" applyBorder="1" applyProtection="1"/>
    <xf numFmtId="180" fontId="12" fillId="9" borderId="6" xfId="31" quotePrefix="1" applyFont="1" applyFill="1" applyBorder="1" applyAlignment="1" applyProtection="1">
      <alignment horizontal="center"/>
    </xf>
    <xf numFmtId="170" fontId="197" fillId="9" borderId="0" xfId="43" applyFont="1" applyFill="1" applyAlignment="1">
      <alignment horizontal="center"/>
    </xf>
    <xf numFmtId="0" fontId="81" fillId="9" borderId="13" xfId="0" applyFont="1" applyFill="1" applyBorder="1"/>
    <xf numFmtId="0" fontId="0" fillId="9" borderId="5" xfId="0" applyFill="1" applyBorder="1"/>
    <xf numFmtId="0" fontId="26" fillId="9" borderId="17" xfId="21" applyFont="1" applyFill="1" applyBorder="1"/>
    <xf numFmtId="0" fontId="0" fillId="9" borderId="4" xfId="0" applyFill="1" applyBorder="1"/>
    <xf numFmtId="165" fontId="180" fillId="9" borderId="0" xfId="0" applyNumberFormat="1" applyFont="1" applyFill="1" applyBorder="1"/>
    <xf numFmtId="165" fontId="180" fillId="9" borderId="4" xfId="0" applyNumberFormat="1" applyFont="1" applyFill="1" applyBorder="1"/>
    <xf numFmtId="0" fontId="11" fillId="9" borderId="0" xfId="0" applyFont="1" applyFill="1" applyBorder="1" applyAlignment="1">
      <alignment horizontal="left"/>
    </xf>
    <xf numFmtId="209" fontId="181" fillId="9" borderId="0" xfId="28" applyNumberFormat="1" applyFont="1" applyFill="1" applyAlignment="1">
      <alignment horizontal="left"/>
    </xf>
    <xf numFmtId="211" fontId="184" fillId="9" borderId="12" xfId="28" applyNumberFormat="1" applyFont="1" applyFill="1" applyBorder="1" applyAlignment="1">
      <alignment horizontal="right"/>
    </xf>
    <xf numFmtId="211" fontId="184" fillId="9" borderId="0" xfId="28" applyNumberFormat="1" applyFont="1" applyFill="1" applyBorder="1" applyAlignment="1">
      <alignment horizontal="right"/>
    </xf>
    <xf numFmtId="200" fontId="196" fillId="9" borderId="0" xfId="0" applyNumberFormat="1" applyFont="1" applyFill="1" applyBorder="1"/>
    <xf numFmtId="164" fontId="196" fillId="9" borderId="0" xfId="0" applyNumberFormat="1" applyFont="1" applyFill="1" applyBorder="1"/>
    <xf numFmtId="282" fontId="10" fillId="9" borderId="0" xfId="13" applyNumberFormat="1" applyFont="1" applyFill="1" applyAlignment="1">
      <alignment horizontal="right"/>
    </xf>
    <xf numFmtId="37" fontId="2" fillId="9" borderId="0" xfId="0" applyNumberFormat="1" applyFont="1" applyFill="1" applyAlignment="1">
      <alignment horizontal="right"/>
    </xf>
    <xf numFmtId="8" fontId="2" fillId="9" borderId="0" xfId="0" applyNumberFormat="1" applyFont="1" applyFill="1" applyAlignment="1">
      <alignment horizontal="right"/>
    </xf>
    <xf numFmtId="9" fontId="11" fillId="9" borderId="0" xfId="35" applyFont="1" applyFill="1"/>
    <xf numFmtId="166" fontId="11" fillId="9" borderId="0" xfId="35" applyNumberFormat="1" applyFont="1" applyFill="1"/>
    <xf numFmtId="164" fontId="2" fillId="12" borderId="4" xfId="0" applyNumberFormat="1" applyFont="1" applyFill="1" applyBorder="1" applyAlignment="1">
      <alignment horizontal="center"/>
    </xf>
    <xf numFmtId="164" fontId="2" fillId="9" borderId="4" xfId="0" applyNumberFormat="1" applyFont="1" applyFill="1" applyBorder="1" applyAlignment="1">
      <alignment horizontal="center"/>
    </xf>
    <xf numFmtId="176" fontId="181" fillId="9" borderId="4" xfId="8" applyNumberFormat="1" applyFont="1" applyFill="1" applyBorder="1"/>
    <xf numFmtId="183" fontId="181" fillId="9" borderId="4" xfId="0" applyNumberFormat="1" applyFont="1" applyFill="1" applyBorder="1"/>
    <xf numFmtId="191" fontId="184" fillId="12" borderId="4" xfId="0" applyNumberFormat="1" applyFont="1" applyFill="1" applyBorder="1"/>
    <xf numFmtId="191" fontId="184" fillId="9" borderId="4" xfId="0" applyNumberFormat="1" applyFont="1" applyFill="1" applyBorder="1"/>
    <xf numFmtId="1" fontId="11" fillId="9" borderId="6" xfId="35" applyNumberFormat="1" applyFont="1" applyFill="1" applyBorder="1" applyAlignment="1">
      <alignment horizontal="centerContinuous"/>
    </xf>
    <xf numFmtId="43" fontId="15" fillId="9" borderId="0" xfId="0" applyNumberFormat="1" applyFont="1" applyFill="1" applyAlignment="1">
      <alignment horizontal="centerContinuous"/>
    </xf>
    <xf numFmtId="9" fontId="15" fillId="9" borderId="0" xfId="35" applyFont="1" applyFill="1" applyAlignment="1">
      <alignment horizontal="centerContinuous"/>
    </xf>
    <xf numFmtId="7" fontId="11" fillId="9" borderId="0" xfId="0" applyNumberFormat="1" applyFont="1" applyFill="1"/>
    <xf numFmtId="168" fontId="181" fillId="9" borderId="0" xfId="0" applyNumberFormat="1" applyFont="1" applyFill="1"/>
    <xf numFmtId="204" fontId="181" fillId="9" borderId="4" xfId="0" applyNumberFormat="1" applyFont="1" applyFill="1" applyBorder="1"/>
    <xf numFmtId="200" fontId="196" fillId="9" borderId="4" xfId="0" applyNumberFormat="1" applyFont="1" applyFill="1" applyBorder="1"/>
    <xf numFmtId="164" fontId="196" fillId="9" borderId="4" xfId="0" applyNumberFormat="1" applyFont="1" applyFill="1" applyBorder="1"/>
    <xf numFmtId="0" fontId="11" fillId="9" borderId="4" xfId="0" applyFont="1" applyFill="1" applyBorder="1" applyAlignment="1">
      <alignment horizontal="center"/>
    </xf>
    <xf numFmtId="0" fontId="11" fillId="9" borderId="0" xfId="0" applyFont="1" applyFill="1" applyBorder="1" applyAlignment="1">
      <alignment horizontal="center"/>
    </xf>
    <xf numFmtId="237" fontId="12" fillId="9" borderId="4" xfId="0" applyNumberFormat="1" applyFont="1" applyFill="1" applyBorder="1" applyAlignment="1">
      <alignment horizontal="left"/>
    </xf>
    <xf numFmtId="0" fontId="12" fillId="9" borderId="4" xfId="0" applyFont="1" applyFill="1" applyBorder="1" applyAlignment="1">
      <alignment horizontal="left"/>
    </xf>
    <xf numFmtId="217" fontId="21" fillId="9" borderId="4" xfId="0" applyNumberFormat="1" applyFont="1" applyFill="1" applyBorder="1" applyAlignment="1">
      <alignment horizontal="left"/>
    </xf>
    <xf numFmtId="216" fontId="12" fillId="9" borderId="4" xfId="0" applyNumberFormat="1" applyFont="1" applyFill="1" applyBorder="1" applyAlignment="1">
      <alignment horizontal="left"/>
    </xf>
    <xf numFmtId="195" fontId="12" fillId="9" borderId="4" xfId="0" applyNumberFormat="1" applyFont="1" applyFill="1" applyBorder="1" applyAlignment="1">
      <alignment horizontal="left"/>
    </xf>
    <xf numFmtId="223" fontId="11" fillId="0" borderId="4" xfId="0" applyNumberFormat="1" applyFont="1" applyFill="1" applyBorder="1" applyAlignment="1">
      <alignment horizontal="center"/>
    </xf>
    <xf numFmtId="217" fontId="58" fillId="9" borderId="4" xfId="0" applyNumberFormat="1" applyFont="1" applyFill="1" applyBorder="1" applyAlignment="1">
      <alignment horizontal="left"/>
    </xf>
    <xf numFmtId="237" fontId="41" fillId="9" borderId="4" xfId="0" applyNumberFormat="1" applyFont="1" applyFill="1" applyBorder="1" applyAlignment="1">
      <alignment horizontal="left"/>
    </xf>
    <xf numFmtId="216" fontId="41" fillId="9" borderId="4" xfId="0" applyNumberFormat="1" applyFont="1" applyFill="1" applyBorder="1" applyAlignment="1">
      <alignment horizontal="left"/>
    </xf>
    <xf numFmtId="216" fontId="41" fillId="9" borderId="0" xfId="0" applyNumberFormat="1" applyFont="1" applyFill="1" applyBorder="1" applyAlignment="1">
      <alignment horizontal="left"/>
    </xf>
    <xf numFmtId="0" fontId="12" fillId="9" borderId="0" xfId="44" applyFont="1" applyFill="1" applyAlignment="1">
      <alignment horizontal="center"/>
    </xf>
    <xf numFmtId="0" fontId="12" fillId="14" borderId="0" xfId="44" applyFont="1" applyFill="1" applyAlignment="1">
      <alignment horizontal="center"/>
    </xf>
    <xf numFmtId="0" fontId="2" fillId="0" borderId="0" xfId="44" applyAlignment="1">
      <alignment horizontal="center"/>
    </xf>
    <xf numFmtId="0" fontId="2" fillId="15" borderId="0" xfId="51" applyFont="1" applyFill="1" applyAlignment="1">
      <alignment vertical="top"/>
    </xf>
    <xf numFmtId="0" fontId="2" fillId="15" borderId="0" xfId="44" applyFill="1" applyAlignment="1">
      <alignment vertical="top"/>
    </xf>
    <xf numFmtId="0" fontId="2" fillId="15" borderId="0" xfId="44" applyFill="1"/>
    <xf numFmtId="0" fontId="142" fillId="15" borderId="0" xfId="51" applyFont="1" applyFill="1" applyAlignment="1">
      <alignment horizontal="left" vertical="top"/>
    </xf>
    <xf numFmtId="0" fontId="2" fillId="15" borderId="0" xfId="44" applyFont="1" applyFill="1" applyAlignment="1">
      <alignment vertical="top"/>
    </xf>
    <xf numFmtId="0" fontId="29" fillId="15" borderId="0" xfId="51" applyFont="1" applyFill="1" applyAlignment="1">
      <alignment vertical="top"/>
    </xf>
    <xf numFmtId="0" fontId="0" fillId="15" borderId="0" xfId="0" applyFill="1" applyAlignment="1">
      <alignment vertical="top"/>
    </xf>
    <xf numFmtId="0" fontId="198" fillId="15" borderId="0" xfId="0" applyFont="1" applyFill="1" applyAlignment="1">
      <alignment vertical="top"/>
    </xf>
    <xf numFmtId="0" fontId="199" fillId="15" borderId="0" xfId="0" applyFont="1" applyFill="1" applyAlignment="1">
      <alignment vertical="top"/>
    </xf>
    <xf numFmtId="0" fontId="199" fillId="15" borderId="0" xfId="0" applyFont="1" applyFill="1" applyAlignment="1">
      <alignment vertical="top"/>
    </xf>
    <xf numFmtId="0" fontId="198" fillId="15" borderId="0" xfId="0" applyFont="1" applyFill="1" applyAlignment="1">
      <alignment vertical="top"/>
    </xf>
    <xf numFmtId="0" fontId="0" fillId="15" borderId="0" xfId="0" applyFill="1" applyAlignment="1">
      <alignment vertical="top"/>
    </xf>
    <xf numFmtId="0" fontId="0" fillId="15" borderId="51" xfId="0" applyFill="1" applyBorder="1" applyAlignment="1">
      <alignment vertical="top"/>
    </xf>
    <xf numFmtId="0" fontId="198" fillId="15" borderId="47" xfId="0" applyFont="1" applyFill="1" applyBorder="1" applyAlignment="1">
      <alignment vertical="top"/>
    </xf>
    <xf numFmtId="0" fontId="198" fillId="15" borderId="48" xfId="0" applyFont="1" applyFill="1" applyBorder="1" applyAlignment="1">
      <alignment vertical="top"/>
    </xf>
    <xf numFmtId="0" fontId="198" fillId="15" borderId="49" xfId="0" applyFont="1" applyFill="1" applyBorder="1" applyAlignment="1">
      <alignment vertical="top"/>
    </xf>
    <xf numFmtId="0" fontId="198" fillId="15" borderId="50" xfId="0" applyFont="1" applyFill="1" applyBorder="1" applyAlignment="1">
      <alignment vertical="top"/>
    </xf>
    <xf numFmtId="9" fontId="198" fillId="15" borderId="47" xfId="0" applyNumberFormat="1" applyFont="1" applyFill="1" applyBorder="1" applyAlignment="1">
      <alignment vertical="top"/>
    </xf>
    <xf numFmtId="3" fontId="198" fillId="15" borderId="47" xfId="0" applyNumberFormat="1" applyFont="1" applyFill="1" applyBorder="1" applyAlignment="1">
      <alignment vertical="top"/>
    </xf>
    <xf numFmtId="0" fontId="0" fillId="15" borderId="52" xfId="0" applyFill="1" applyBorder="1" applyAlignment="1">
      <alignment vertical="top"/>
    </xf>
    <xf numFmtId="2" fontId="2" fillId="0" borderId="0" xfId="44" applyNumberFormat="1" applyAlignment="1">
      <alignment horizontal="left"/>
    </xf>
    <xf numFmtId="0" fontId="2" fillId="0" borderId="0" xfId="44" applyNumberFormat="1" applyAlignment="1">
      <alignment horizontal="left"/>
    </xf>
    <xf numFmtId="1" fontId="2" fillId="0" borderId="0" xfId="44" applyNumberFormat="1" applyAlignment="1">
      <alignment horizontal="left"/>
    </xf>
    <xf numFmtId="300" fontId="2" fillId="0" borderId="0" xfId="44" applyNumberFormat="1" applyAlignment="1">
      <alignment horizontal="left"/>
    </xf>
    <xf numFmtId="49" fontId="2" fillId="0" borderId="0" xfId="44" applyNumberFormat="1"/>
  </cellXfs>
  <cellStyles count="52">
    <cellStyle name=" 1" xfId="1"/>
    <cellStyle name="******************************************" xfId="2"/>
    <cellStyle name="_FY Guidancev2 " xfId="3"/>
    <cellStyle name="_SUMMARY " xfId="4"/>
    <cellStyle name="0_Capex &amp; Depreciation " xfId="5"/>
    <cellStyle name="0_Valuing BP " xfId="6"/>
    <cellStyle name="c_HardInc " xfId="7"/>
    <cellStyle name="Comma" xfId="8" builtinId="3"/>
    <cellStyle name="Comma 2" xfId="9"/>
    <cellStyle name="Comma 3" xfId="45"/>
    <cellStyle name="Comma_AEO_Draft_090210" xfId="10"/>
    <cellStyle name="Comma_Lease Module TPG example 30062004 capex" xfId="11"/>
    <cellStyle name="Comma_qtrP&amp;L" xfId="12"/>
    <cellStyle name="Currency" xfId="13" builtinId="4"/>
    <cellStyle name="Currency 2 2" xfId="47"/>
    <cellStyle name="Hyperlink 2" xfId="14"/>
    <cellStyle name="Normal" xfId="0" builtinId="0"/>
    <cellStyle name="Normal 2" xfId="15"/>
    <cellStyle name="Normal 2 2" xfId="44"/>
    <cellStyle name="Normal 3" xfId="50"/>
    <cellStyle name="Normal 6" xfId="49"/>
    <cellStyle name="Normal_A&amp;F" xfId="16"/>
    <cellStyle name="Normal_ABSANUAL" xfId="17"/>
    <cellStyle name="Normal_Analysis V5" xfId="18"/>
    <cellStyle name="Normal_AXP_interactive_final" xfId="19"/>
    <cellStyle name="Normal_dabr" xfId="20"/>
    <cellStyle name="Normal_DHQTR" xfId="21"/>
    <cellStyle name="Normal_DisclaimerSheet Samples" xfId="51"/>
    <cellStyle name="Normal_GAPQOR1" xfId="22"/>
    <cellStyle name="Normal_GM Demo" xfId="23"/>
    <cellStyle name="Normal_hd roic" xfId="24"/>
    <cellStyle name="Normal_Lease1" xfId="25"/>
    <cellStyle name="Normal_NEWFLOW" xfId="26"/>
    <cellStyle name="Normal_QtrlyDIV" xfId="27"/>
    <cellStyle name="Normal_qtrP&amp;L" xfId="28"/>
    <cellStyle name="Normal_ROSTBS" xfId="29"/>
    <cellStyle name="Normal_RSH" xfId="30"/>
    <cellStyle name="Normal_STORESUM" xfId="31"/>
    <cellStyle name="Normal_Total" xfId="32"/>
    <cellStyle name="Normal_UA Model" xfId="33"/>
    <cellStyle name="p " xfId="34"/>
    <cellStyle name="Percent" xfId="35" builtinId="5"/>
    <cellStyle name="Percent 2" xfId="36"/>
    <cellStyle name="Percent 2 2" xfId="37"/>
    <cellStyle name="Percent 3 2" xfId="46"/>
    <cellStyle name="RRSInstruction" xfId="38"/>
    <cellStyle name="RRSInstruction 2" xfId="48"/>
    <cellStyle name="s_HardInc " xfId="39"/>
    <cellStyle name="s_Valuation " xfId="40"/>
    <cellStyle name="ssp " xfId="41"/>
    <cellStyle name="Style 32" xfId="42"/>
    <cellStyle name="Underline" xfId="43"/>
  </cellStyles>
  <dxfs count="2">
    <dxf>
      <font>
        <condense val="0"/>
        <extend val="0"/>
        <color indexed="10"/>
      </font>
    </dxf>
    <dxf>
      <font>
        <condense val="0"/>
        <extend val="0"/>
        <color indexed="17"/>
      </font>
    </dxf>
  </dxfs>
  <tableStyles count="0" defaultTableStyle="TableStyleMedium9" defaultPivotStyle="PivotStyleLight16"/>
  <colors>
    <mruColors>
      <color rgb="FF008000"/>
      <color rgb="FF0000FF"/>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thomsononeaddinshim.rtdformula">
      <tp t="s">
        <v xml:space="preserve">                $     77.96                </v>
        <stp/>
        <stp>776bd2c1-1077-49dc-8296-271e124aba93</stp>
        <tr r="D37" s="99"/>
      </tp>
      <tp>
        <v>2.9</v>
        <stp/>
        <stp>052cf19c-595b-46ec-bc20-12e6bfe678d4</stp>
        <tr r="I30" s="99"/>
      </tp>
      <tp t="s">
        <v xml:space="preserve">$1.27 </v>
        <stp/>
        <stp>ce0057e4-55bf-4beb-89e7-8f6df065651e</stp>
        <tr r="E21" s="88"/>
      </tp>
      <tp t="s">
        <v xml:space="preserve">$811 </v>
        <stp/>
        <stp>9333040b-7881-4c2d-be1d-85e9a350bd33</stp>
        <tr r="E19" s="88"/>
      </tp>
      <tp>
        <v>1302</v>
        <stp/>
        <stp>8d399051-2c2f-4272-b8c7-9c666902e47f</stp>
        <tr r="E15" s="88"/>
      </tp>
      <tp>
        <v>3119</v>
        <stp/>
        <stp>d66c3144-b36e-4401-bdd6-c50cf6c22c27</stp>
        <tr r="E8" s="88"/>
      </tp>
      <tp>
        <v>10766.8</v>
        <stp/>
        <stp>cf0b5140-d3ba-498d-a5d3-0434daaad424</stp>
        <tr r="E4" s="88"/>
      </tp>
      <tp>
        <v>0.39573999999999998</v>
        <stp/>
        <stp>c4e22d3f-6f23-40cc-9585-28065fcf7669</stp>
        <tr r="I32" s="99"/>
      </tp>
      <tp>
        <v>1309</v>
        <stp/>
        <stp>55b498f2-4753-48fe-a904-eb25592aca66</stp>
        <tr r="E11" s="88"/>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externalLinks/externalLink1.xml" Type="http://schemas.openxmlformats.org/officeDocument/2006/relationships/externalLink"/>
<Relationship Id="rId25" Target="externalLinks/externalLink2.xml" Type="http://schemas.openxmlformats.org/officeDocument/2006/relationships/externalLink"/>
<Relationship Id="rId26" Target="externalLinks/externalLink3.xml" Type="http://schemas.openxmlformats.org/officeDocument/2006/relationships/externalLink"/>
<Relationship Id="rId27" Target="externalLinks/externalLink4.xml" Type="http://schemas.openxmlformats.org/officeDocument/2006/relationships/externalLink"/>
<Relationship Id="rId28" Target="externalLinks/externalLink5.xml" Type="http://schemas.openxmlformats.org/officeDocument/2006/relationships/externalLink"/>
<Relationship Id="rId29" Target="externalLinks/externalLink6.xml" Type="http://schemas.openxmlformats.org/officeDocument/2006/relationships/externalLink"/>
<Relationship Id="rId3" Target="worksheets/sheet3.xml" Type="http://schemas.openxmlformats.org/officeDocument/2006/relationships/worksheet"/>
<Relationship Id="rId30" Target="externalLinks/externalLink7.xml" Type="http://schemas.openxmlformats.org/officeDocument/2006/relationships/externalLink"/>
<Relationship Id="rId31" Target="externalLinks/externalLink8.xml" Type="http://schemas.openxmlformats.org/officeDocument/2006/relationships/externalLink"/>
<Relationship Id="rId32" Target="externalLinks/externalLink9.xml" Type="http://schemas.openxmlformats.org/officeDocument/2006/relationships/externalLink"/>
<Relationship Id="rId33" Target="externalLinks/externalLink10.xml" Type="http://schemas.openxmlformats.org/officeDocument/2006/relationships/externalLink"/>
<Relationship Id="rId34" Target="externalLinks/externalLink11.xml" Type="http://schemas.openxmlformats.org/officeDocument/2006/relationships/externalLink"/>
<Relationship Id="rId35" Target="externalLinks/externalLink12.xml" Type="http://schemas.openxmlformats.org/officeDocument/2006/relationships/externalLink"/>
<Relationship Id="rId36" Target="externalLinks/externalLink13.xml" Type="http://schemas.openxmlformats.org/officeDocument/2006/relationships/externalLink"/>
<Relationship Id="rId37" Target="externalLinks/externalLink14.xml" Type="http://schemas.openxmlformats.org/officeDocument/2006/relationships/externalLink"/>
<Relationship Id="rId38" Target="externalLinks/externalLink15.xml" Type="http://schemas.openxmlformats.org/officeDocument/2006/relationships/externalLink"/>
<Relationship Id="rId39" Target="externalLinks/externalLink16.xml" Type="http://schemas.openxmlformats.org/officeDocument/2006/relationships/externalLink"/>
<Relationship Id="rId4" Target="worksheets/sheet4.xml" Type="http://schemas.openxmlformats.org/officeDocument/2006/relationships/worksheet"/>
<Relationship Id="rId40" Target="externalLinks/externalLink17.xml" Type="http://schemas.openxmlformats.org/officeDocument/2006/relationships/externalLink"/>
<Relationship Id="rId41" Target="theme/theme1.xml" Type="http://schemas.openxmlformats.org/officeDocument/2006/relationships/theme"/>
<Relationship Id="rId42" Target="styles.xml" Type="http://schemas.openxmlformats.org/officeDocument/2006/relationships/styles"/>
<Relationship Id="rId43" Target="sharedStrings.xml" Type="http://schemas.openxmlformats.org/officeDocument/2006/relationships/sharedStrings"/>
<Relationship Id="rId44" Target="calcChain.xml" Type="http://schemas.openxmlformats.org/officeDocument/2006/relationships/calcChain"/>
<Relationship Id="rId45" Target="../customXml/item1.xml" Type="http://schemas.openxmlformats.org/officeDocument/2006/relationships/customXml"/>
<Relationship Id="rId46" Target="../customXml/item2.xml" Type="http://schemas.openxmlformats.org/officeDocument/2006/relationships/customXml"/>
<Relationship Id="rId47" Target="volatileDependencies.xml" Type="http://schemas.openxmlformats.org/officeDocument/2006/relationships/volatileDependencies"/>
<Relationship Id="rId48" Target="vbaProject.bin" Type="http://schemas.microsoft.com/office/2006/relationships/vbaProjec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lgn="l">
              <a:defRPr sz="1400" b="0" i="0">
                <a:solidFill>
                  <a:srgbClr val="333333"/>
                </a:solidFill>
                <a:latin typeface="Arial"/>
                <a:ea typeface="Arial"/>
                <a:cs typeface="Arial"/>
              </a:defRPr>
            </a:pPr>
            <a:r>
              <a:rPr lang="en-US"/>
              <a:t>Inventory</a:t>
            </a:r>
            <a:r>
              <a:rPr lang="en-US" baseline="0"/>
              <a:t> vs. Forward Sales</a:t>
            </a:r>
            <a:endParaRPr lang="en-US"/>
          </a:p>
        </c:rich>
      </c:tx>
      <c:layout>
        <c:manualLayout>
          <c:xMode val="edge"/>
          <c:yMode val="edge"/>
          <c:x val="0"/>
          <c:y val="0"/>
        </c:manualLayout>
      </c:layout>
      <c:overlay val="0"/>
      <c:spPr>
        <a:noFill/>
        <a:ln w="25400">
          <a:noFill/>
        </a:ln>
        <a:extLst>
          <a:ext uri="{909E8E84-426E-40DD-AFC4-6F175D3DCCD1}">
            <a14:hiddenFill xmlns:a14="http://schemas.microsoft.com/office/drawing/2010/main">
              <a:noFill/>
            </a14:hiddenFill>
          </a:ext>
        </a:extLst>
      </c:spPr>
    </c:title>
    <c:autoTitleDeleted val="0"/>
    <c:plotArea>
      <c:layout>
        <c:manualLayout>
          <c:layoutTarget val="inner"/>
          <c:xMode val="edge"/>
          <c:yMode val="edge"/>
          <c:x val="0.13314035766224586"/>
          <c:y val="0.14946650145784912"/>
          <c:w val="0.85766170267623831"/>
          <c:h val="0.5721654928833666"/>
        </c:manualLayout>
      </c:layout>
      <c:barChart>
        <c:barDir val="col"/>
        <c:grouping val="clustered"/>
        <c:varyColors val="0"/>
        <c:ser>
          <c:idx val="0"/>
          <c:order val="0"/>
          <c:tx>
            <c:strRef>
              <c:f>'inv sales spread'!$A$5</c:f>
              <c:strCache>
                <c:ptCount val="1"/>
                <c:pt idx="0">
                  <c:v>Inventory</c:v>
                </c:pt>
              </c:strCache>
            </c:strRef>
          </c:tx>
          <c:spPr>
            <a:solidFill>
              <a:srgbClr val="137CB1"/>
            </a:solidFill>
            <a:ln w="25400">
              <a:noFill/>
            </a:ln>
            <a:effectLst/>
          </c:spPr>
          <c:invertIfNegative val="0"/>
          <c:cat>
            <c:strRef>
              <c:f>'inv sales spread'!$B$3:$M$3</c:f>
              <c:strCache>
                <c:ptCount val="12"/>
                <c:pt idx="0">
                  <c:v>1Q15</c:v>
                </c:pt>
                <c:pt idx="1">
                  <c:v>2Q15</c:v>
                </c:pt>
                <c:pt idx="2">
                  <c:v>3Q15</c:v>
                </c:pt>
                <c:pt idx="3">
                  <c:v>4Q15</c:v>
                </c:pt>
                <c:pt idx="4">
                  <c:v>1Q16</c:v>
                </c:pt>
                <c:pt idx="5">
                  <c:v>2Q16</c:v>
                </c:pt>
                <c:pt idx="6">
                  <c:v>3Q16</c:v>
                </c:pt>
                <c:pt idx="7">
                  <c:v>4Q16</c:v>
                </c:pt>
                <c:pt idx="8">
                  <c:v>1Q17</c:v>
                </c:pt>
                <c:pt idx="9">
                  <c:v>2Q17</c:v>
                </c:pt>
                <c:pt idx="10">
                  <c:v>3Q17</c:v>
                </c:pt>
                <c:pt idx="11">
                  <c:v>4Q17</c:v>
                </c:pt>
              </c:strCache>
            </c:strRef>
          </c:cat>
          <c:val>
            <c:numRef>
              <c:f>'inv sales spread'!$B$5:$M$5</c:f>
              <c:numCache>
                <c:formatCode>0.0%</c:formatCode>
                <c:ptCount val="12"/>
                <c:pt idx="0">
                  <c:v>0.10070126227208975</c:v>
                </c:pt>
                <c:pt idx="1">
                  <c:v>0.1066643055309604</c:v>
                </c:pt>
                <c:pt idx="2">
                  <c:v>0.12211387864396507</c:v>
                </c:pt>
                <c:pt idx="3">
                  <c:v>0.14829547220236794</c:v>
                </c:pt>
                <c:pt idx="4">
                  <c:v>0.10573111337637343</c:v>
                </c:pt>
                <c:pt idx="5">
                  <c:v>3.2270108811606635E-2</c:v>
                </c:pt>
                <c:pt idx="6">
                  <c:v>-1.301215668617739E-2</c:v>
                </c:pt>
                <c:pt idx="7">
                  <c:v>-1.3558496387107266E-2</c:v>
                </c:pt>
                <c:pt idx="8">
                  <c:v>-4.3252240717029489E-2</c:v>
                </c:pt>
                <c:pt idx="9">
                  <c:v>-1.6018188394563149E-3</c:v>
                </c:pt>
                <c:pt idx="10">
                  <c:v>7.7938962638565812E-2</c:v>
                </c:pt>
                <c:pt idx="11">
                  <c:v>0.14875171467764048</c:v>
                </c:pt>
              </c:numCache>
            </c:numRef>
          </c:val>
        </c:ser>
        <c:ser>
          <c:idx val="1"/>
          <c:order val="1"/>
          <c:tx>
            <c:strRef>
              <c:f>'inv sales spread'!$A$8</c:f>
              <c:strCache>
                <c:ptCount val="1"/>
                <c:pt idx="0">
                  <c:v>Forward Sales</c:v>
                </c:pt>
              </c:strCache>
            </c:strRef>
          </c:tx>
          <c:spPr>
            <a:solidFill>
              <a:srgbClr val="EACC80"/>
            </a:solidFill>
            <a:ln w="25400">
              <a:noFill/>
            </a:ln>
            <a:effectLst/>
          </c:spPr>
          <c:invertIfNegative val="0"/>
          <c:cat>
            <c:strRef>
              <c:f>'inv sales spread'!$B$3:$M$3</c:f>
              <c:strCache>
                <c:ptCount val="12"/>
                <c:pt idx="0">
                  <c:v>1Q15</c:v>
                </c:pt>
                <c:pt idx="1">
                  <c:v>2Q15</c:v>
                </c:pt>
                <c:pt idx="2">
                  <c:v>3Q15</c:v>
                </c:pt>
                <c:pt idx="3">
                  <c:v>4Q15</c:v>
                </c:pt>
                <c:pt idx="4">
                  <c:v>1Q16</c:v>
                </c:pt>
                <c:pt idx="5">
                  <c:v>2Q16</c:v>
                </c:pt>
                <c:pt idx="6">
                  <c:v>3Q16</c:v>
                </c:pt>
                <c:pt idx="7">
                  <c:v>4Q16</c:v>
                </c:pt>
                <c:pt idx="8">
                  <c:v>1Q17</c:v>
                </c:pt>
                <c:pt idx="9">
                  <c:v>2Q17</c:v>
                </c:pt>
                <c:pt idx="10">
                  <c:v>3Q17</c:v>
                </c:pt>
                <c:pt idx="11">
                  <c:v>4Q17</c:v>
                </c:pt>
              </c:strCache>
            </c:strRef>
          </c:cat>
          <c:val>
            <c:numRef>
              <c:f>'inv sales spread'!$B$8:$M$8</c:f>
              <c:numCache>
                <c:formatCode>0.0%</c:formatCode>
                <c:ptCount val="12"/>
                <c:pt idx="0">
                  <c:v>6.4551874367881013E-2</c:v>
                </c:pt>
                <c:pt idx="1">
                  <c:v>5.2596460580179416E-2</c:v>
                </c:pt>
                <c:pt idx="2">
                  <c:v>7.9254061288641875E-2</c:v>
                </c:pt>
                <c:pt idx="3">
                  <c:v>9.8566090808471341E-2</c:v>
                </c:pt>
                <c:pt idx="4">
                  <c:v>7.0388502784797469E-2</c:v>
                </c:pt>
                <c:pt idx="5">
                  <c:v>6.9412955060911274E-2</c:v>
                </c:pt>
                <c:pt idx="6">
                  <c:v>5.6412382177118525E-2</c:v>
                </c:pt>
                <c:pt idx="7">
                  <c:v>3.2041446996137646E-2</c:v>
                </c:pt>
                <c:pt idx="8">
                  <c:v>6.0345572403535108E-2</c:v>
                </c:pt>
                <c:pt idx="9">
                  <c:v>5.6747431886004396E-2</c:v>
                </c:pt>
                <c:pt idx="10">
                  <c:v>0.15770264776453935</c:v>
                </c:pt>
                <c:pt idx="11">
                  <c:v>9.3003243566566626E-2</c:v>
                </c:pt>
              </c:numCache>
            </c:numRef>
          </c:val>
        </c:ser>
        <c:dLbls>
          <c:showLegendKey val="0"/>
          <c:showVal val="0"/>
          <c:showCatName val="0"/>
          <c:showSerName val="0"/>
          <c:showPercent val="0"/>
          <c:showBubbleSize val="0"/>
        </c:dLbls>
        <c:gapWidth val="60"/>
        <c:axId val="747463808"/>
        <c:axId val="747465728"/>
      </c:barChart>
      <c:lineChart>
        <c:grouping val="standard"/>
        <c:varyColors val="0"/>
        <c:ser>
          <c:idx val="2"/>
          <c:order val="2"/>
          <c:tx>
            <c:strRef>
              <c:f>'inv sales spread'!$A$11</c:f>
              <c:strCache>
                <c:ptCount val="1"/>
                <c:pt idx="0">
                  <c:v>Spread</c:v>
                </c:pt>
              </c:strCache>
            </c:strRef>
          </c:tx>
          <c:marker>
            <c:symbol val="none"/>
          </c:marker>
          <c:val>
            <c:numRef>
              <c:f>'inv sales spread'!$B$13:$M$13</c:f>
              <c:numCache>
                <c:formatCode>0.0%</c:formatCode>
                <c:ptCount val="12"/>
                <c:pt idx="0">
                  <c:v>-3.6149387904208741E-2</c:v>
                </c:pt>
                <c:pt idx="1">
                  <c:v>-5.4067844950780986E-2</c:v>
                </c:pt>
                <c:pt idx="2">
                  <c:v>-4.2859817355323196E-2</c:v>
                </c:pt>
                <c:pt idx="3">
                  <c:v>-4.9729381393896599E-2</c:v>
                </c:pt>
                <c:pt idx="4">
                  <c:v>-3.5342610591575965E-2</c:v>
                </c:pt>
                <c:pt idx="5">
                  <c:v>3.714284624930464E-2</c:v>
                </c:pt>
                <c:pt idx="6">
                  <c:v>6.9424538863295915E-2</c:v>
                </c:pt>
                <c:pt idx="7">
                  <c:v>4.5599943383244912E-2</c:v>
                </c:pt>
                <c:pt idx="8">
                  <c:v>0.1035978131205646</c:v>
                </c:pt>
                <c:pt idx="9">
                  <c:v>5.8349250725460711E-2</c:v>
                </c:pt>
                <c:pt idx="10">
                  <c:v>7.9763685125973538E-2</c:v>
                </c:pt>
                <c:pt idx="11">
                  <c:v>-5.5748471111073852E-2</c:v>
                </c:pt>
              </c:numCache>
            </c:numRef>
          </c:val>
          <c:smooth val="0"/>
        </c:ser>
        <c:dLbls>
          <c:showLegendKey val="0"/>
          <c:showVal val="0"/>
          <c:showCatName val="0"/>
          <c:showSerName val="0"/>
          <c:showPercent val="0"/>
          <c:showBubbleSize val="0"/>
        </c:dLbls>
        <c:marker val="1"/>
        <c:smooth val="0"/>
        <c:axId val="747463808"/>
        <c:axId val="747465728"/>
      </c:lineChart>
      <c:catAx>
        <c:axId val="747463808"/>
        <c:scaling>
          <c:orientation val="minMax"/>
        </c:scaling>
        <c:delete val="0"/>
        <c:axPos val="b"/>
        <c:majorTickMark val="none"/>
        <c:minorTickMark val="none"/>
        <c:tickLblPos val="low"/>
        <c:spPr>
          <a:ln w="12700">
            <a:solidFill>
              <a:srgbClr val="808080"/>
            </a:solidFill>
            <a:prstDash val="solid"/>
          </a:ln>
        </c:spPr>
        <c:txPr>
          <a:bodyPr rot="-2700000" vert="horz"/>
          <a:lstStyle/>
          <a:p>
            <a:pPr>
              <a:defRPr sz="1400" b="0" i="0">
                <a:solidFill>
                  <a:srgbClr val="808080"/>
                </a:solidFill>
                <a:latin typeface="Arial"/>
                <a:ea typeface="Arial"/>
                <a:cs typeface="Arial"/>
              </a:defRPr>
            </a:pPr>
            <a:endParaRPr lang="en-US"/>
          </a:p>
        </c:txPr>
        <c:crossAx val="747465728"/>
        <c:crosses val="autoZero"/>
        <c:auto val="1"/>
        <c:lblAlgn val="ctr"/>
        <c:lblOffset val="100"/>
        <c:tickLblSkip val="1"/>
        <c:tickMarkSkip val="1"/>
        <c:noMultiLvlLbl val="0"/>
      </c:catAx>
      <c:valAx>
        <c:axId val="747465728"/>
        <c:scaling>
          <c:orientation val="minMax"/>
        </c:scaling>
        <c:delete val="0"/>
        <c:axPos val="l"/>
        <c:majorGridlines>
          <c:spPr>
            <a:ln w="12700">
              <a:solidFill>
                <a:srgbClr val="C0C0C0"/>
              </a:solidFill>
              <a:prstDash val="solid"/>
            </a:ln>
          </c:spPr>
        </c:majorGridlines>
        <c:numFmt formatCode="0.0%" sourceLinked="1"/>
        <c:majorTickMark val="none"/>
        <c:minorTickMark val="none"/>
        <c:tickLblPos val="nextTo"/>
        <c:spPr>
          <a:ln w="9525">
            <a:noFill/>
          </a:ln>
        </c:spPr>
        <c:txPr>
          <a:bodyPr rot="0" vert="horz"/>
          <a:lstStyle/>
          <a:p>
            <a:pPr>
              <a:defRPr sz="1400" b="0" i="0">
                <a:solidFill>
                  <a:srgbClr val="808080"/>
                </a:solidFill>
                <a:latin typeface="Arial"/>
                <a:ea typeface="Arial"/>
                <a:cs typeface="Arial"/>
              </a:defRPr>
            </a:pPr>
            <a:endParaRPr lang="en-US"/>
          </a:p>
        </c:txPr>
        <c:crossAx val="747463808"/>
        <c:crosses val="autoZero"/>
        <c:crossBetween val="between"/>
      </c:valAx>
      <c:spPr>
        <a:noFill/>
        <a:ln w="25400">
          <a:noFill/>
        </a:ln>
        <a:extLst>
          <a:ext uri="{909E8E84-426E-40DD-AFC4-6F175D3DCCD1}">
            <a14:hiddenFill xmlns:a14="http://schemas.microsoft.com/office/drawing/2010/main">
              <a:solidFill>
                <a:sysClr val="window" lastClr="FFFFFF"/>
              </a:solidFill>
            </a14:hiddenFill>
          </a:ext>
        </a:extLst>
      </c:spPr>
    </c:plotArea>
    <c:legend>
      <c:legendPos val="b"/>
      <c:overlay val="0"/>
    </c:legend>
    <c:plotVisOnly val="1"/>
    <c:dispBlanksAs val="gap"/>
    <c:showDLblsOverMax val="0"/>
  </c:chart>
  <c:spPr>
    <a:solidFill>
      <a:srgbClr val="FFFFFF"/>
    </a:solidFill>
    <a:ln w="9525">
      <a:noFill/>
    </a:ln>
  </c:spPr>
  <c:txPr>
    <a:bodyPr/>
    <a:lstStyle/>
    <a:p>
      <a:pPr>
        <a:defRPr sz="1400" b="0" i="0">
          <a:solidFill>
            <a:srgbClr val="808080"/>
          </a:solidFill>
          <a:latin typeface="Arial"/>
          <a:ea typeface="Arial"/>
          <a:cs typeface="Arial"/>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lgn="l">
              <a:defRPr sz="1400" b="0" i="0">
                <a:solidFill>
                  <a:srgbClr val="333333"/>
                </a:solidFill>
                <a:latin typeface="Arial"/>
                <a:ea typeface="Arial"/>
                <a:cs typeface="Arial"/>
              </a:defRPr>
            </a:pPr>
            <a:r>
              <a:rPr lang="en-US"/>
              <a:t>Inventory</a:t>
            </a:r>
            <a:r>
              <a:rPr lang="en-US" baseline="0"/>
              <a:t> less Forward Sales Spread</a:t>
            </a:r>
            <a:endParaRPr lang="en-US"/>
          </a:p>
        </c:rich>
      </c:tx>
      <c:layout>
        <c:manualLayout>
          <c:xMode val="edge"/>
          <c:yMode val="edge"/>
          <c:x val="0"/>
          <c:y val="0"/>
        </c:manualLayout>
      </c:layout>
      <c:overlay val="0"/>
      <c:spPr>
        <a:noFill/>
        <a:ln w="25400">
          <a:noFill/>
        </a:ln>
        <a:extLst>
          <a:ext uri="{909E8E84-426E-40DD-AFC4-6F175D3DCCD1}">
            <a14:hiddenFill xmlns:a14="http://schemas.microsoft.com/office/drawing/2010/main">
              <a:noFill/>
            </a14:hiddenFill>
          </a:ext>
        </a:extLst>
      </c:spPr>
    </c:title>
    <c:autoTitleDeleted val="0"/>
    <c:plotArea>
      <c:layout>
        <c:manualLayout>
          <c:xMode val="edge"/>
          <c:yMode val="edge"/>
          <c:x val="0"/>
          <c:y val="0.11949655167835219"/>
          <c:w val="0.98850257542310527"/>
          <c:h val="0.83294244106288096"/>
        </c:manualLayout>
      </c:layout>
      <c:barChart>
        <c:barDir val="col"/>
        <c:grouping val="clustered"/>
        <c:varyColors val="0"/>
        <c:ser>
          <c:idx val="0"/>
          <c:order val="0"/>
          <c:spPr>
            <a:solidFill>
              <a:srgbClr val="137CB1"/>
            </a:solidFill>
            <a:ln w="25400">
              <a:noFill/>
            </a:ln>
            <a:effectLst/>
          </c:spPr>
          <c:invertIfNegative val="0"/>
          <c:dPt>
            <c:idx val="0"/>
            <c:invertIfNegative val="0"/>
            <c:bubble3D val="0"/>
            <c:spPr>
              <a:solidFill>
                <a:srgbClr val="FF0000"/>
              </a:solidFill>
              <a:ln w="25400">
                <a:noFill/>
              </a:ln>
              <a:effectLst/>
            </c:spPr>
          </c:dPt>
          <c:dPt>
            <c:idx val="1"/>
            <c:invertIfNegative val="0"/>
            <c:bubble3D val="0"/>
            <c:spPr>
              <a:solidFill>
                <a:srgbClr val="FF0000"/>
              </a:solidFill>
              <a:ln w="25400">
                <a:noFill/>
              </a:ln>
              <a:effectLst/>
            </c:spPr>
          </c:dPt>
          <c:dPt>
            <c:idx val="2"/>
            <c:invertIfNegative val="0"/>
            <c:bubble3D val="0"/>
            <c:spPr>
              <a:solidFill>
                <a:srgbClr val="FF0000"/>
              </a:solidFill>
              <a:ln w="25400">
                <a:noFill/>
              </a:ln>
              <a:effectLst/>
            </c:spPr>
          </c:dPt>
          <c:dPt>
            <c:idx val="3"/>
            <c:invertIfNegative val="0"/>
            <c:bubble3D val="0"/>
            <c:spPr>
              <a:solidFill>
                <a:srgbClr val="FF0000"/>
              </a:solidFill>
              <a:ln w="25400">
                <a:noFill/>
              </a:ln>
              <a:effectLst/>
            </c:spPr>
          </c:dPt>
          <c:dPt>
            <c:idx val="4"/>
            <c:invertIfNegative val="0"/>
            <c:bubble3D val="0"/>
            <c:spPr>
              <a:solidFill>
                <a:srgbClr val="FF0000"/>
              </a:solidFill>
              <a:ln w="25400">
                <a:noFill/>
              </a:ln>
              <a:effectLst/>
            </c:spPr>
          </c:dPt>
          <c:dPt>
            <c:idx val="5"/>
            <c:invertIfNegative val="0"/>
            <c:bubble3D val="0"/>
            <c:spPr>
              <a:solidFill>
                <a:srgbClr val="008000"/>
              </a:solidFill>
              <a:ln w="25400">
                <a:noFill/>
              </a:ln>
              <a:effectLst/>
            </c:spPr>
          </c:dPt>
          <c:dPt>
            <c:idx val="6"/>
            <c:invertIfNegative val="0"/>
            <c:bubble3D val="0"/>
            <c:spPr>
              <a:solidFill>
                <a:srgbClr val="008000"/>
              </a:solidFill>
              <a:ln w="25400">
                <a:noFill/>
              </a:ln>
              <a:effectLst/>
            </c:spPr>
          </c:dPt>
          <c:dPt>
            <c:idx val="7"/>
            <c:invertIfNegative val="0"/>
            <c:bubble3D val="0"/>
            <c:spPr>
              <a:solidFill>
                <a:srgbClr val="008000"/>
              </a:solidFill>
              <a:ln w="25400">
                <a:noFill/>
              </a:ln>
              <a:effectLst/>
            </c:spPr>
          </c:dPt>
          <c:dPt>
            <c:idx val="8"/>
            <c:invertIfNegative val="0"/>
            <c:bubble3D val="0"/>
            <c:spPr>
              <a:solidFill>
                <a:srgbClr val="008000"/>
              </a:solidFill>
              <a:ln w="25400">
                <a:noFill/>
              </a:ln>
              <a:effectLst/>
            </c:spPr>
          </c:dPt>
          <c:dPt>
            <c:idx val="9"/>
            <c:invertIfNegative val="0"/>
            <c:bubble3D val="0"/>
            <c:spPr>
              <a:solidFill>
                <a:srgbClr val="FF0000"/>
              </a:solidFill>
              <a:ln w="25400">
                <a:noFill/>
              </a:ln>
              <a:effectLst/>
            </c:spPr>
          </c:dPt>
          <c:cat>
            <c:strRef>
              <c:f>'inv sales spread'!$B$3:$K$3</c:f>
              <c:strCache>
                <c:ptCount val="10"/>
                <c:pt idx="0">
                  <c:v>1Q15</c:v>
                </c:pt>
                <c:pt idx="1">
                  <c:v>2Q15</c:v>
                </c:pt>
                <c:pt idx="2">
                  <c:v>3Q15</c:v>
                </c:pt>
                <c:pt idx="3">
                  <c:v>4Q15</c:v>
                </c:pt>
                <c:pt idx="4">
                  <c:v>1Q16</c:v>
                </c:pt>
                <c:pt idx="5">
                  <c:v>2Q16</c:v>
                </c:pt>
                <c:pt idx="6">
                  <c:v>3Q16</c:v>
                </c:pt>
                <c:pt idx="7">
                  <c:v>4Q16</c:v>
                </c:pt>
                <c:pt idx="8">
                  <c:v>1Q17</c:v>
                </c:pt>
                <c:pt idx="9">
                  <c:v>2Q17</c:v>
                </c:pt>
              </c:strCache>
            </c:strRef>
          </c:cat>
          <c:val>
            <c:numRef>
              <c:f>'inv sales spread'!$B$13:$K$13</c:f>
              <c:numCache>
                <c:formatCode>0.0%</c:formatCode>
                <c:ptCount val="10"/>
                <c:pt idx="0">
                  <c:v>-3.6149387904208741E-2</c:v>
                </c:pt>
                <c:pt idx="1">
                  <c:v>-5.4067844950780986E-2</c:v>
                </c:pt>
                <c:pt idx="2">
                  <c:v>-4.2859817355323196E-2</c:v>
                </c:pt>
                <c:pt idx="3">
                  <c:v>-4.9729381393896599E-2</c:v>
                </c:pt>
                <c:pt idx="4">
                  <c:v>-3.5342610591575965E-2</c:v>
                </c:pt>
                <c:pt idx="5">
                  <c:v>3.714284624930464E-2</c:v>
                </c:pt>
                <c:pt idx="6">
                  <c:v>6.9424538863295915E-2</c:v>
                </c:pt>
                <c:pt idx="7">
                  <c:v>4.5599943383244912E-2</c:v>
                </c:pt>
                <c:pt idx="8">
                  <c:v>0.1035978131205646</c:v>
                </c:pt>
                <c:pt idx="9">
                  <c:v>5.8349250725460711E-2</c:v>
                </c:pt>
              </c:numCache>
            </c:numRef>
          </c:val>
        </c:ser>
        <c:dLbls>
          <c:showLegendKey val="0"/>
          <c:showVal val="0"/>
          <c:showCatName val="0"/>
          <c:showSerName val="0"/>
          <c:showPercent val="0"/>
          <c:showBubbleSize val="0"/>
        </c:dLbls>
        <c:gapWidth val="60"/>
        <c:axId val="769038208"/>
        <c:axId val="769261952"/>
      </c:barChart>
      <c:catAx>
        <c:axId val="769038208"/>
        <c:scaling>
          <c:orientation val="minMax"/>
        </c:scaling>
        <c:delete val="0"/>
        <c:axPos val="b"/>
        <c:majorTickMark val="none"/>
        <c:minorTickMark val="none"/>
        <c:tickLblPos val="low"/>
        <c:spPr>
          <a:ln w="12700">
            <a:solidFill>
              <a:srgbClr val="808080"/>
            </a:solidFill>
            <a:prstDash val="solid"/>
          </a:ln>
        </c:spPr>
        <c:txPr>
          <a:bodyPr rot="-2700000" vert="horz"/>
          <a:lstStyle/>
          <a:p>
            <a:pPr>
              <a:defRPr sz="1400" b="0" i="0">
                <a:solidFill>
                  <a:srgbClr val="808080"/>
                </a:solidFill>
                <a:latin typeface="Arial"/>
                <a:ea typeface="Arial"/>
                <a:cs typeface="Arial"/>
              </a:defRPr>
            </a:pPr>
            <a:endParaRPr lang="en-US"/>
          </a:p>
        </c:txPr>
        <c:crossAx val="769261952"/>
        <c:crosses val="autoZero"/>
        <c:auto val="1"/>
        <c:lblAlgn val="ctr"/>
        <c:lblOffset val="100"/>
        <c:tickLblSkip val="1"/>
        <c:tickMarkSkip val="1"/>
        <c:noMultiLvlLbl val="0"/>
      </c:catAx>
      <c:valAx>
        <c:axId val="769261952"/>
        <c:scaling>
          <c:orientation val="minMax"/>
        </c:scaling>
        <c:delete val="0"/>
        <c:axPos val="l"/>
        <c:majorGridlines>
          <c:spPr>
            <a:ln w="12700">
              <a:solidFill>
                <a:srgbClr val="C0C0C0"/>
              </a:solidFill>
              <a:prstDash val="solid"/>
            </a:ln>
          </c:spPr>
        </c:majorGridlines>
        <c:numFmt formatCode="0.0%" sourceLinked="1"/>
        <c:majorTickMark val="none"/>
        <c:minorTickMark val="none"/>
        <c:tickLblPos val="nextTo"/>
        <c:spPr>
          <a:ln w="9525">
            <a:noFill/>
          </a:ln>
        </c:spPr>
        <c:txPr>
          <a:bodyPr rot="0" vert="horz"/>
          <a:lstStyle/>
          <a:p>
            <a:pPr>
              <a:defRPr sz="1400" b="0" i="0">
                <a:solidFill>
                  <a:srgbClr val="808080"/>
                </a:solidFill>
                <a:latin typeface="Arial"/>
                <a:ea typeface="Arial"/>
                <a:cs typeface="Arial"/>
              </a:defRPr>
            </a:pPr>
            <a:endParaRPr lang="en-US"/>
          </a:p>
        </c:txPr>
        <c:crossAx val="769038208"/>
        <c:crosses val="autoZero"/>
        <c:crossBetween val="between"/>
      </c:valAx>
      <c:spPr>
        <a:noFill/>
        <a:ln w="25400">
          <a:noFill/>
        </a:ln>
        <a:extLst>
          <a:ext uri="{909E8E84-426E-40DD-AFC4-6F175D3DCCD1}">
            <a14:hiddenFill xmlns:a14="http://schemas.microsoft.com/office/drawing/2010/main">
              <a:solidFill>
                <a:sysClr val="window" lastClr="FFFFFF"/>
              </a:solidFill>
            </a14:hiddenFill>
          </a:ext>
        </a:extLst>
      </c:spPr>
    </c:plotArea>
    <c:plotVisOnly val="1"/>
    <c:dispBlanksAs val="gap"/>
    <c:showDLblsOverMax val="0"/>
  </c:chart>
  <c:spPr>
    <a:solidFill>
      <a:srgbClr val="FFFFFF"/>
    </a:solidFill>
    <a:ln w="9525">
      <a:noFill/>
    </a:ln>
  </c:spPr>
  <c:txPr>
    <a:bodyPr/>
    <a:lstStyle/>
    <a:p>
      <a:pPr>
        <a:defRPr sz="1400" b="0" i="0">
          <a:solidFill>
            <a:srgbClr val="808080"/>
          </a:solidFill>
          <a:latin typeface="Arial"/>
          <a:ea typeface="Arial"/>
          <a:cs typeface="Arial"/>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media/image4.png" Type="http://schemas.openxmlformats.org/officeDocument/2006/relationships/image"/>
</Relationships>

</file>

<file path=xl/drawings/_rels/drawing3.xml.rels><?xml version="1.0" encoding="UTF-8" standalone="yes"?>
<Relationships xmlns="http://schemas.openxmlformats.org/package/2006/relationships">
<Relationship Id="rId1" Target="../charts/chart1.xml" Type="http://schemas.openxmlformats.org/officeDocument/2006/relationships/chart"/>
<Relationship Id="rId2" Target="../charts/chart2.xml" Type="http://schemas.openxmlformats.org/officeDocument/2006/relationships/chart"/>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171</xdr:row>
      <xdr:rowOff>0</xdr:rowOff>
    </xdr:from>
    <xdr:to>
      <xdr:col>7</xdr:col>
      <xdr:colOff>390525</xdr:colOff>
      <xdr:row>194</xdr:row>
      <xdr:rowOff>104775</xdr:rowOff>
    </xdr:to>
    <xdr:pic>
      <xdr:nvPicPr>
        <xdr:cNvPr id="2969601" name="Picture 1" descr="C:\Users\robertcy\AppData\Local\Temp\MercuryPriceRatingHistoryChart\TJX.N_2018_03_19_18_35_04.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631757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19050</xdr:colOff>
      <xdr:row>1</xdr:row>
      <xdr:rowOff>66675</xdr:rowOff>
    </xdr:from>
    <xdr:to>
      <xdr:col>4</xdr:col>
      <xdr:colOff>685800</xdr:colOff>
      <xdr:row>1</xdr:row>
      <xdr:rowOff>381000</xdr:rowOff>
    </xdr:to>
    <xdr:sp macro="" textlink="">
      <xdr:nvSpPr>
        <xdr:cNvPr id="49168" name="Text Box 16"/>
        <xdr:cNvSpPr txBox="1">
          <a:spLocks noChangeArrowheads="1"/>
        </xdr:cNvSpPr>
      </xdr:nvSpPr>
      <xdr:spPr bwMode="auto">
        <a:xfrm>
          <a:off x="161925" y="638175"/>
          <a:ext cx="2457450" cy="314325"/>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Instruction:</a:t>
          </a:r>
        </a:p>
      </xdr:txBody>
    </xdr:sp>
    <xdr:clientData/>
  </xdr:twoCellAnchor>
  <xdr:twoCellAnchor>
    <xdr:from>
      <xdr:col>2</xdr:col>
      <xdr:colOff>66675</xdr:colOff>
      <xdr:row>0</xdr:row>
      <xdr:rowOff>19050</xdr:rowOff>
    </xdr:from>
    <xdr:to>
      <xdr:col>4</xdr:col>
      <xdr:colOff>57150</xdr:colOff>
      <xdr:row>0</xdr:row>
      <xdr:rowOff>447675</xdr:rowOff>
    </xdr:to>
    <xdr:pic>
      <xdr:nvPicPr>
        <xdr:cNvPr id="2604932" name="Picture 17" descr="MS ModelWar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9550" y="19050"/>
          <a:ext cx="1781175"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819150</xdr:colOff>
      <xdr:row>17</xdr:row>
      <xdr:rowOff>138112</xdr:rowOff>
    </xdr:from>
    <xdr:to>
      <xdr:col>9</xdr:col>
      <xdr:colOff>608076</xdr:colOff>
      <xdr:row>38</xdr:row>
      <xdr:rowOff>51473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42</xdr:row>
      <xdr:rowOff>23812</xdr:rowOff>
    </xdr:from>
    <xdr:to>
      <xdr:col>10</xdr:col>
      <xdr:colOff>36576</xdr:colOff>
      <xdr:row>62</xdr:row>
      <xdr:rowOff>99098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
<Relationship Id="rId1" Target="TEMP/data/excel/P.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file://///Sony/c/business/&#38750;&#37444;/&#38750;&#37444;&#20250;~1/&#21516;&#21644;&#37489;&#26989;/5714work.wk4" TargetMode="External" Type="http://schemas.openxmlformats.org/officeDocument/2006/relationships/externalLinkPath"/>
</Relationships>

</file>

<file path=xl/externalLinks/_rels/externalLink3.xml.rels><?xml version="1.0" encoding="UTF-8" standalone="yes"?>
<Relationships xmlns="http://schemas.openxmlformats.org/package/2006/relationships">
<Relationship Id="rId1" Target="na/ny/users/johndasc/Docs/ID/Charts/Chart_Gallery/From%20Vlad/B11_BarSingle_AverageLine.xls" TargetMode="External" Type="http://schemas.microsoft.com/office/2006/relationships/xlExternalLinkPath/xlAlternateStartup"/>
</Relationships>

</file>

<file path=xl/externalLinks/_rels/externalLink4.xml.rels><?xml version="1.0" encoding="UTF-8" standalone="yes"?>
<Relationships xmlns="http://schemas.openxmlformats.org/package/2006/relationships">
<Relationship Id="rId1" Target="DOCUME~1/barrpet/LOCALS~1/Application%20Data/Research/ModelPublishing/SubmittedModels/GPS.N.txt" TargetMode="External" Type="http://schemas.microsoft.com/office/2006/relationships/xlExternalLinkPath/xlAlternateStartup"/>
</Relationships>

</file>

<file path=xl/externalLinks/_rels/externalLink5.xml.rels><?xml version="1.0" encoding="UTF-8" standalone="yes"?>
<Relationships xmlns="http://schemas.openxmlformats.org/package/2006/relationships">
<Relationship Id="rId1" Target="RETAIL/Softlines/Apparel/Models/Working%20Models/KSS_working.xls" TargetMode="External" Type="http://schemas.microsoft.com/office/2006/relationships/xlExternalLinkPath/xlStartup"/>
</Relationships>

</file>

<file path=xl/externalLinks/_rels/externalLink6.xml.rels><?xml version="1.0" encoding="UTF-8" standalone="yes"?>
<Relationships xmlns="http://schemas.openxmlformats.org/package/2006/relationships">
<Relationship Id="rId1" Target="RETAIL/Softlines/Apparel/Models/Working%20Models/ROST_working.xls" TargetMode="External" Type="http://schemas.microsoft.com/office/2006/relationships/xlExternalLinkPath/xlStartup"/>
</Relationships>

</file>

<file path=xl/externalLinks/_rels/externalLink7.xml.rels><?xml version="1.0" encoding="UTF-8" standalone="yes"?>
<Relationships xmlns="http://schemas.openxmlformats.org/package/2006/relationships">
<Relationship Id="rId1" Target="RETAIL/Softlines/Apparel/Analyses/GPS_Traffic.xls" TargetMode="External" Type="http://schemas.microsoft.com/office/2006/relationships/xlExternalLinkPath/xlStartup"/>
</Relationships>

</file>

<file path=xl/externalLinks/_rels/externalLink8.xml.rels><?xml version="1.0" encoding="UTF-8" standalone="yes"?>
<Relationships xmlns="http://schemas.openxmlformats.org/package/2006/relationships">
<Relationship Id="rId1" Target="retail/MISSETT/EXCEL/MOD_BRU/BKS/oldmodelstuff.xls" TargetMode="External" Type="http://schemas.microsoft.com/office/2006/relationships/xlExternalLinkPath/xlStartup"/>
</Relationships>

</file>

<file path=xl/externalLinks/_rels/externalLink9.xml.rels><?xml version="1.0" encoding="UTF-8" standalone="yes"?>
<Relationships xmlns="http://schemas.openxmlformats.org/package/2006/relationships">
<Relationship Id="rId1" Target="RETAIL/Softlines/Apparel/MODELS/WORKING%20MODELS/M_working2.xls" TargetMode="External" Type="http://schemas.microsoft.com/office/2006/relationships/xlExternalLinkPath/xlAlternateStartup"/>
</Relationships>

</file>

<file path=xl/externalLinks/_rels/externalLink10.xml.rels><?xml version="1.0" encoding="UTF-8" standalone="yes"?>
<Relationships xmlns="http://schemas.openxmlformats.org/package/2006/relationships">
<Relationship Id="rId1" Target="RETAIL/Greenberger/Companies/KSS/Notes/KSS_PT_Update_922_15.xls" TargetMode="External" Type="http://schemas.microsoft.com/office/2006/relationships/xlExternalLinkPath/xlStartup"/>
</Relationships>

</file>

<file path=xl/externalLinks/_rels/externalLink11.xml.rels><?xml version="1.0" encoding="UTF-8" standalone="yes"?>
<Relationships xmlns="http://schemas.openxmlformats.org/package/2006/relationships">
<Relationship Id="rId1" Target="c1" TargetMode="External" Type="http://schemas.microsoft.com/office/2006/relationships/xlExternalLinkPath/xlPathMissing"/>
</Relationships>

</file>

<file path=xl/externalLinks/_rels/externalLink12.xml.rels><?xml version="1.0" encoding="UTF-8" standalone="yes"?>
<Relationships xmlns="http://schemas.openxmlformats.org/package/2006/relationships">
<Relationship Id="rId1" Target="TEMPLATE/Excel/LINKTAB.XLS" TargetMode="External" Type="http://schemas.microsoft.com/office/2006/relationships/xlExternalLinkPath/xlStartup"/>
</Relationships>

</file>

<file path=xl/externalLinks/_rels/externalLink13.xml.rels><?xml version="1.0" encoding="UTF-8" standalone="yes"?>
<Relationships xmlns="http://schemas.openxmlformats.org/package/2006/relationships">
<Relationship Id="rId1" Target="Documents%20and%20Settings/catheloh/Local%20Settings/Temporary%20Internet%20Files/OLK30/Deferred%20tax%20analysis4.xls" TargetMode="External" Type="http://schemas.microsoft.com/office/2006/relationships/xlExternalLinkPath/xlStartup"/>
</Relationships>

</file>

<file path=xl/externalLinks/_rels/externalLink14.xml.rels><?xml version="1.0" encoding="UTF-8" standalone="yes"?>
<Relationships xmlns="http://schemas.openxmlformats.org/package/2006/relationships">
<Relationship Id="rId1" Target="MultipleSecurities" TargetMode="External" Type="http://schemas.microsoft.com/office/2006/relationships/xlExternalLinkPath/xlPathMissing"/>
</Relationships>

</file>

<file path=xl/externalLinks/_rels/externalLink15.xml.rels><?xml version="1.0" encoding="UTF-8" standalone="yes"?>
<Relationships xmlns="http://schemas.openxmlformats.org/package/2006/relationships">
<Relationship Id="rId1" Target="I" TargetMode="External" Type="http://schemas.microsoft.com/office/2006/relationships/xlExternalLinkPath/xlPathMissing"/>
</Relationships>

</file>

<file path=xl/externalLinks/_rels/externalLink16.xml.rels><?xml version="1.0" encoding="UTF-8" standalone="yes"?>
<Relationships xmlns="http://schemas.openxmlformats.org/package/2006/relationships">
<Relationship Id="rId1" Target="file://///nysamba1/u/Documents%20and%20Settings/pscavo/Local%20Settings/Temporary%20Internet%20Files/OLK33/OIT%20Screening.xls" TargetMode="External" Type="http://schemas.openxmlformats.org/officeDocument/2006/relationships/externalLinkPath"/>
</Relationships>

</file>

<file path=xl/externalLinks/_rels/externalLink17.xml.rels><?xml version="1.0" encoding="UTF-8" standalone="yes"?>
<Relationships xmlns="http://schemas.openxmlformats.org/package/2006/relationships">
<Relationship Id="rId1" Target="RETAIL/Greenberger/Companies/JWN/Model/JWN_Model.xls" TargetMode="External" Type="http://schemas.microsoft.com/office/2006/relationships/xlExternalLinkPath/xlAlternate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P"/>
      <sheetName val="BS"/>
      <sheetName val="TOSCO"/>
      <sheetName val="Segment ROCE"/>
      <sheetName val="ROGIC"/>
      <sheetName val="E&amp;P"/>
      <sheetName val="NEPS"/>
      <sheetName val="RefineryMaint"/>
      <sheetName val="Hamaca"/>
      <sheetName val="Bohai"/>
      <sheetName val="Bayu Undan"/>
      <sheetName val="R&amp;M"/>
      <sheetName val="GPM"/>
      <sheetName val="Variance"/>
      <sheetName val="ARCO - Alaska"/>
      <sheetName val="Capex"/>
      <sheetName val="Reserves"/>
      <sheetName val="WACC"/>
      <sheetName val="Valuation"/>
      <sheetName val="NAV"/>
      <sheetName val="Chemical JV"/>
      <sheetName val="Chems"/>
      <sheetName val="EKOFISK"/>
      <sheetName val="PUDS"/>
      <sheetName val="GE Data"/>
      <sheetName val="IndexInformation"/>
      <sheetName val="MainCode"/>
      <sheetName val="NY UPLOAD"/>
      <sheetName val="NY UPLOAD Shadow"/>
      <sheetName val="Distribution"/>
      <sheetName val="A-Link Source"/>
      <sheetName val="Q-Link Source"/>
      <sheetName val="Income Statement"/>
      <sheetName val="Revenue&amp;EBIT"/>
      <sheetName val="Fin. Summary"/>
      <sheetName val="COP"/>
      <sheetName val="XOM"/>
      <sheetName val="New Source Charts"/>
      <sheetName val="Modelware"/>
      <sheetName val="R&amp;MIS"/>
      <sheetName val="E&amp;P Growth &amp; Returns"/>
      <sheetName val="Global Product Sum"/>
      <sheetName val="Scenario"/>
      <sheetName val="Quarter"/>
      <sheetName val="Annual"/>
      <sheetName val="AN"/>
      <sheetName val="COC"/>
      <sheetName val="Inputs"/>
      <sheetName val="ｾｸﾞﾒﾝﾄ"/>
      <sheetName val="単独"/>
      <sheetName val="Factset Profile"/>
      <sheetName val="cas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単独"/>
      <sheetName val="連結"/>
      <sheetName val="期中"/>
      <sheetName val="valu"/>
      <sheetName val="増減分析"/>
      <sheetName val="新素材"/>
      <sheetName val="子会社"/>
      <sheetName val="環境"/>
      <sheetName val="製錬拠点"/>
      <sheetName val="ﾃｨｻﾊﾟ"/>
      <sheetName val="ﾚｲﾃﾞﾌﾟﾗﾀ"/>
      <sheetName val="小坂"/>
      <sheetName val="中計"/>
      <sheetName val="cash"/>
      <sheetName val="ｾｸﾞﾒﾝﾄ"/>
      <sheetName val="含み益"/>
      <sheetName val="capx"/>
      <sheetName val="dep"/>
      <sheetName val="人"/>
      <sheetName val="exp"/>
      <sheetName val="Valuation Matrix"/>
      <sheetName val="HANDOUT"/>
      <sheetName val="Interm-Euro"/>
      <sheetName val="SCATTER DATA"/>
      <sheetName val="10 Yr DCF"/>
      <sheetName val="Annual-Euro"/>
      <sheetName val="Residual Income Model"/>
      <sheetName val="P"/>
      <sheetName val="Risk-Reward_View_Chart"/>
      <sheetName val="Sheet1"/>
      <sheetName val="variables"/>
      <sheetName val="Operating Leases tagged"/>
      <sheetName val="EARNMOD"/>
      <sheetName val="WACC"/>
      <sheetName val="Fixed Line Mkt"/>
      <sheetName val="Cash Flow"/>
      <sheetName val="upside_downside"/>
      <sheetName val="Income Statement"/>
      <sheetName val="Balance Sheet"/>
      <sheetName val="Valsum"/>
      <sheetName val="Model"/>
      <sheetName val="Intrinsic Value"/>
      <sheetName val="Rev by Geo"/>
      <sheetName val="exh 11"/>
      <sheetName val="exh 14"/>
      <sheetName val="exh 12"/>
      <sheetName val="exh 10"/>
      <sheetName val="exh 1 and 5"/>
      <sheetName val="exh 15"/>
      <sheetName val="exh 3"/>
      <sheetName val="exh 9"/>
      <sheetName val="Good 12-00 (2)"/>
      <sheetName val="Good 11-36"/>
      <sheetName val="Good 11-50"/>
      <sheetName val="Sheet3 (5)"/>
      <sheetName val="DCF"/>
      <sheetName val="OP"/>
      <sheetName val="Inputs"/>
      <sheetName val="MWA RR"/>
      <sheetName val="Summary"/>
      <sheetName val="IS"/>
      <sheetName val="IS Quarterly"/>
      <sheetName val="Sheet1 (2)"/>
      <sheetName val="1Q11 Preview"/>
      <sheetName val="2Q11 Preview"/>
      <sheetName val="Total_Production"/>
      <sheetName val="RFS"/>
      <sheetName val="Corn_Uses"/>
      <sheetName val="US_Production"/>
      <sheetName val="Report template"/>
      <sheetName val="Model (WIP)"/>
      <sheetName val="Exclusion List"/>
      <sheetName val="fin"/>
      <sheetName val="sales bkd"/>
      <sheetName val="Presentation"/>
      <sheetName val="Valuation"/>
    </sheetNames>
    <sheetDataSet>
      <sheetData sheetId="0" refreshError="1">
        <row r="14">
          <cell r="AR14">
            <v>28</v>
          </cell>
        </row>
        <row r="15">
          <cell r="AR15">
            <v>5</v>
          </cell>
        </row>
        <row r="16">
          <cell r="AR16">
            <v>14</v>
          </cell>
        </row>
        <row r="17">
          <cell r="AR17">
            <v>6</v>
          </cell>
        </row>
        <row r="18">
          <cell r="AR18">
            <v>-5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64">
          <cell r="E164">
            <v>1247</v>
          </cell>
          <cell r="F164">
            <v>1807</v>
          </cell>
          <cell r="G164">
            <v>2812</v>
          </cell>
          <cell r="H164">
            <v>2828</v>
          </cell>
          <cell r="I164">
            <v>6670</v>
          </cell>
        </row>
        <row r="165">
          <cell r="E165" t="e">
            <v>#VALUE!</v>
          </cell>
          <cell r="F165" t="e">
            <v>#VALUE!</v>
          </cell>
          <cell r="G165" t="e">
            <v>#VALUE!</v>
          </cell>
          <cell r="H165" t="e">
            <v>#VALUE!</v>
          </cell>
          <cell r="I165" t="e">
            <v>#VALUE!</v>
          </cell>
        </row>
        <row r="167">
          <cell r="E167">
            <v>2721</v>
          </cell>
          <cell r="F167">
            <v>1584</v>
          </cell>
          <cell r="G167">
            <v>1802</v>
          </cell>
          <cell r="H167">
            <v>1616</v>
          </cell>
          <cell r="I167">
            <v>795</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Cash Flow"/>
      <sheetName val="upside_downside"/>
      <sheetName val="Income Statement"/>
      <sheetName val="Balance Sheet"/>
      <sheetName val="RI"/>
      <sheetName val="BULLBEAR"/>
      <sheetName val="Sheet2"/>
      <sheetName val="DCF"/>
      <sheetName val="MWA RR"/>
      <sheetName val="REVENUE BY GEOGRAPHY"/>
      <sheetName val="NonQtr"/>
      <sheetName val="Data 20d"/>
      <sheetName val="Data"/>
      <sheetName val="Risk-Reward_View_Chart"/>
      <sheetName val="Valsum"/>
      <sheetName val="CPB"/>
      <sheetName val="Total_Food_Promo"/>
      <sheetName val="CPB_2yr"/>
      <sheetName val="Interims"/>
      <sheetName val="Financial Statements"/>
      <sheetName val="Inputs"/>
      <sheetName val="FX"/>
      <sheetName val="Good 12-00 (2)"/>
      <sheetName val="Good 11-36"/>
      <sheetName val="Good 11-50"/>
      <sheetName val="Sheet3 (5)"/>
      <sheetName val="Summary"/>
      <sheetName val="Floater Demand"/>
      <sheetName val="B11_BarSingle_AverageLine"/>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WP Detail "/>
      <sheetName val="Sheet4"/>
      <sheetName val="ForeignStake"/>
      <sheetName val="Model"/>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_Template"/>
      <sheetName val="ImportantDisclosures"/>
      <sheetName val="Variance"/>
      <sheetName val="Disclosures"/>
      <sheetName val="SG&amp;A"/>
      <sheetName val="Productivity"/>
      <sheetName val="LBO"/>
      <sheetName val="LEASES (LBO)"/>
      <sheetName val="Divisional Comps"/>
      <sheetName val="Div Profits"/>
      <sheetName val="Income"/>
      <sheetName val="Balance Sheet"/>
      <sheetName val="__FDSCACHE__"/>
      <sheetName val="Cash Flow"/>
      <sheetName val="Monthly Div Comps"/>
      <sheetName val="RNOA - ROE"/>
      <sheetName val="LEASES NEW"/>
      <sheetName val="P Map"/>
      <sheetName val="VALUATION"/>
      <sheetName val="Chart1"/>
      <sheetName val="DCF"/>
      <sheetName val="LINKED DATA"/>
      <sheetName val="Debt"/>
      <sheetName val="GPS.N"/>
      <sheetName val="ModPubIndexInternal"/>
    </sheetNames>
    <sheetDataSet>
      <sheetData sheetId="0" refreshError="1"/>
      <sheetData sheetId="1" refreshError="1"/>
      <sheetData sheetId="2" refreshError="1"/>
      <sheetData sheetId="3" refreshError="1"/>
      <sheetData sheetId="4" refreshError="1"/>
      <sheetData sheetId="5" refreshError="1"/>
      <sheetData sheetId="6">
        <row r="2">
          <cell r="A2" t="str">
            <v>Gap Inc. - LBO Valuation</v>
          </cell>
        </row>
        <row r="3">
          <cell r="A3" t="str">
            <v>($ Millions Except For Price and Share Data)</v>
          </cell>
        </row>
        <row r="4">
          <cell r="A4" t="str">
            <v>LBO Assumptions</v>
          </cell>
        </row>
        <row r="5">
          <cell r="A5" t="str">
            <v>Current Share Price</v>
          </cell>
          <cell r="C5">
            <v>18.809999999999999</v>
          </cell>
          <cell r="E5" t="str">
            <v>Purchase Price Assumptions</v>
          </cell>
          <cell r="J5" t="str">
            <v>Exit Multiple</v>
          </cell>
          <cell r="L5" t="str">
            <v>3-yr. Equity Value</v>
          </cell>
          <cell r="N5" t="str">
            <v>5-yr. Equity Value</v>
          </cell>
        </row>
        <row r="6">
          <cell r="A6" t="str">
            <v>Shares Outstanding</v>
          </cell>
          <cell r="C6">
            <v>796.6579803627875</v>
          </cell>
          <cell r="E6" t="str">
            <v>Takeout EV/EBITDAR Multiple</v>
          </cell>
          <cell r="H6">
            <v>7</v>
          </cell>
          <cell r="J6">
            <v>8</v>
          </cell>
          <cell r="L6">
            <v>18129.98555373713</v>
          </cell>
          <cell r="N6">
            <v>22513.296119099938</v>
          </cell>
        </row>
        <row r="7">
          <cell r="A7" t="str">
            <v>Current Market Capitalization</v>
          </cell>
          <cell r="C7">
            <v>14985.136610624031</v>
          </cell>
          <cell r="J7">
            <v>7.5</v>
          </cell>
          <cell r="L7">
            <v>16302.609436142644</v>
          </cell>
          <cell r="N7">
            <v>20569.506029838547</v>
          </cell>
        </row>
        <row r="8">
          <cell r="A8" t="str">
            <v>Debt Outstanding</v>
          </cell>
          <cell r="C8">
            <v>188</v>
          </cell>
          <cell r="E8" t="str">
            <v>FY07 EBITDAR</v>
          </cell>
          <cell r="H8">
            <v>2785.0193120525587</v>
          </cell>
          <cell r="J8">
            <v>7</v>
          </cell>
          <cell r="L8">
            <v>14475.233318548162</v>
          </cell>
          <cell r="N8">
            <v>18625.715940577153</v>
          </cell>
        </row>
        <row r="9">
          <cell r="A9" t="str">
            <v>Cash</v>
          </cell>
          <cell r="C9">
            <v>1584.2873899290494</v>
          </cell>
          <cell r="E9" t="str">
            <v>Purchase EV (Lease Adjusted)</v>
          </cell>
          <cell r="H9">
            <v>19495.135184367911</v>
          </cell>
          <cell r="J9">
            <v>6.5</v>
          </cell>
          <cell r="L9">
            <v>12647.857200953677</v>
          </cell>
          <cell r="N9">
            <v>16681.925851315758</v>
          </cell>
        </row>
        <row r="10">
          <cell r="A10" t="str">
            <v>Enterprise Value</v>
          </cell>
          <cell r="C10">
            <v>13588.849220694981</v>
          </cell>
          <cell r="E10" t="str">
            <v>Implied Equity Price</v>
          </cell>
          <cell r="H10">
            <v>20.433314096093191</v>
          </cell>
          <cell r="J10">
            <v>6</v>
          </cell>
          <cell r="L10">
            <v>10820.481083359195</v>
          </cell>
          <cell r="N10">
            <v>14738.135762054368</v>
          </cell>
        </row>
        <row r="11">
          <cell r="A11" t="str">
            <v>FY07 EBITDA</v>
          </cell>
          <cell r="C11">
            <v>1833.2231290991631</v>
          </cell>
          <cell r="E11" t="str">
            <v>Implied Premium/Discount</v>
          </cell>
          <cell r="H11">
            <v>8.6300589903944402E-2</v>
          </cell>
        </row>
        <row r="12">
          <cell r="A12" t="str">
            <v>EV/FY07 EBITDA</v>
          </cell>
          <cell r="C12">
            <v>7.4125451533946531</v>
          </cell>
          <cell r="H12">
            <v>70</v>
          </cell>
          <cell r="J12" t="str">
            <v>Exit Multiple</v>
          </cell>
          <cell r="L12" t="str">
            <v>3-yr. IRR</v>
          </cell>
          <cell r="N12" t="str">
            <v>5-yr. IRR</v>
          </cell>
        </row>
        <row r="13">
          <cell r="E13" t="str">
            <v>Debt Financing %</v>
          </cell>
          <cell r="H13">
            <v>0.7</v>
          </cell>
          <cell r="J13">
            <v>8</v>
          </cell>
          <cell r="L13">
            <v>0.45808659552301623</v>
          </cell>
          <cell r="N13">
            <v>0.30941802683893993</v>
          </cell>
        </row>
        <row r="14">
          <cell r="A14" t="str">
            <v>Operating Lease Liabilities</v>
          </cell>
          <cell r="C14">
            <v>4613.0598343848833</v>
          </cell>
          <cell r="E14" t="str">
            <v>Existing Lease Debt</v>
          </cell>
          <cell r="H14">
            <v>4613.0598343848833</v>
          </cell>
          <cell r="J14">
            <v>7.5</v>
          </cell>
          <cell r="L14">
            <v>0.40735352797905833</v>
          </cell>
          <cell r="N14">
            <v>0.28598312979656759</v>
          </cell>
        </row>
        <row r="15">
          <cell r="A15" t="str">
            <v>Enterprise Value (Lease Adjusted)</v>
          </cell>
          <cell r="C15">
            <v>18201.909055079865</v>
          </cell>
          <cell r="E15" t="str">
            <v>New Debt Issued</v>
          </cell>
          <cell r="H15">
            <v>9033.5347946726542</v>
          </cell>
          <cell r="J15">
            <v>7</v>
          </cell>
          <cell r="L15">
            <v>0.35267258750613761</v>
          </cell>
          <cell r="N15">
            <v>0.26070389295170515</v>
          </cell>
        </row>
        <row r="16">
          <cell r="A16" t="str">
            <v>FY07 EBITDAR</v>
          </cell>
          <cell r="C16">
            <v>2785.0193120525587</v>
          </cell>
          <cell r="E16" t="str">
            <v>Total Leverage</v>
          </cell>
          <cell r="H16">
            <v>4.9000000000000004</v>
          </cell>
          <cell r="J16">
            <v>6.5</v>
          </cell>
          <cell r="L16">
            <v>0.29317256574035344</v>
          </cell>
          <cell r="N16">
            <v>0.23321766237059949</v>
          </cell>
        </row>
        <row r="17">
          <cell r="A17" t="str">
            <v>EV/FY07 EBITDAR</v>
          </cell>
          <cell r="C17">
            <v>6.5356491340324174</v>
          </cell>
          <cell r="J17">
            <v>6</v>
          </cell>
          <cell r="L17">
            <v>0.22762678290804073</v>
          </cell>
          <cell r="N17">
            <v>0.20303706900630614</v>
          </cell>
        </row>
        <row r="18">
          <cell r="E18" t="str">
            <v>Bank/Senior/Lease Debt Leverage</v>
          </cell>
          <cell r="H18">
            <v>3</v>
          </cell>
        </row>
        <row r="19">
          <cell r="E19" t="str">
            <v>Bank/Senior/Lease Debt</v>
          </cell>
          <cell r="H19">
            <v>3741.9981017727932</v>
          </cell>
        </row>
        <row r="20">
          <cell r="E20" t="str">
            <v>Interest Rate Assumption</v>
          </cell>
          <cell r="H20">
            <v>0.08</v>
          </cell>
        </row>
        <row r="21">
          <cell r="E21" t="str">
            <v>Bonds/Sub Debt Leverage</v>
          </cell>
          <cell r="H21">
            <v>1.9</v>
          </cell>
        </row>
        <row r="22">
          <cell r="E22" t="str">
            <v>Bonds/Sub Debt</v>
          </cell>
          <cell r="H22">
            <v>5291.536692899861</v>
          </cell>
        </row>
        <row r="23">
          <cell r="E23" t="str">
            <v>Interest Rate Assumption</v>
          </cell>
          <cell r="H23">
            <v>0.1</v>
          </cell>
        </row>
        <row r="25">
          <cell r="E25" t="str">
            <v>Equity Investment</v>
          </cell>
          <cell r="H25">
            <v>5848.5405553103737</v>
          </cell>
        </row>
        <row r="27">
          <cell r="B27">
            <v>1999</v>
          </cell>
          <cell r="C27">
            <v>2000</v>
          </cell>
          <cell r="D27">
            <v>2001</v>
          </cell>
          <cell r="E27">
            <v>2002</v>
          </cell>
          <cell r="F27">
            <v>2003</v>
          </cell>
          <cell r="G27">
            <v>2004</v>
          </cell>
          <cell r="H27">
            <v>2005</v>
          </cell>
          <cell r="I27">
            <v>2006</v>
          </cell>
          <cell r="J27">
            <v>2007</v>
          </cell>
          <cell r="K27">
            <v>2008</v>
          </cell>
          <cell r="L27">
            <v>2009</v>
          </cell>
          <cell r="M27">
            <v>2010</v>
          </cell>
          <cell r="N27">
            <v>2011</v>
          </cell>
          <cell r="O27">
            <v>2012</v>
          </cell>
        </row>
        <row r="28">
          <cell r="A28" t="str">
            <v>Financials</v>
          </cell>
        </row>
        <row r="29">
          <cell r="A29" t="str">
            <v>Revenue</v>
          </cell>
          <cell r="B29">
            <v>11635.397999999999</v>
          </cell>
          <cell r="C29">
            <v>13673.46</v>
          </cell>
          <cell r="D29">
            <v>13847.853999999999</v>
          </cell>
          <cell r="E29">
            <v>14454.708999999999</v>
          </cell>
          <cell r="F29">
            <v>15853.333999999999</v>
          </cell>
          <cell r="G29">
            <v>16268</v>
          </cell>
          <cell r="H29">
            <v>16023</v>
          </cell>
          <cell r="I29">
            <v>15936</v>
          </cell>
          <cell r="J29">
            <v>15872.405547592203</v>
          </cell>
          <cell r="K29">
            <v>16404.308216313719</v>
          </cell>
          <cell r="L29">
            <v>17060.480544966267</v>
          </cell>
          <cell r="M29">
            <v>17401.690155865592</v>
          </cell>
          <cell r="N29">
            <v>17749.723958982904</v>
          </cell>
          <cell r="O29">
            <v>18104.718438162563</v>
          </cell>
        </row>
        <row r="30">
          <cell r="A30" t="str">
            <v>Comp Growth</v>
          </cell>
          <cell r="B30">
            <v>7.0000000000000007E-2</v>
          </cell>
          <cell r="C30">
            <v>-0.05</v>
          </cell>
          <cell r="D30">
            <v>-0.13</v>
          </cell>
          <cell r="E30">
            <v>-0.03</v>
          </cell>
          <cell r="F30">
            <v>7.0000000000000007E-2</v>
          </cell>
          <cell r="G30">
            <v>0</v>
          </cell>
          <cell r="H30">
            <v>-0.05</v>
          </cell>
          <cell r="I30">
            <v>-7.0000000000000007E-2</v>
          </cell>
          <cell r="J30">
            <v>-4.3640909994815916E-2</v>
          </cell>
          <cell r="K30">
            <v>0.03</v>
          </cell>
          <cell r="L30">
            <v>0.04</v>
          </cell>
          <cell r="M30">
            <v>0.02</v>
          </cell>
          <cell r="N30">
            <v>0.02</v>
          </cell>
          <cell r="O30">
            <v>0.02</v>
          </cell>
        </row>
        <row r="31">
          <cell r="A31" t="str">
            <v>Stores</v>
          </cell>
          <cell r="B31">
            <v>3018</v>
          </cell>
          <cell r="C31">
            <v>2848</v>
          </cell>
          <cell r="D31">
            <v>3097</v>
          </cell>
          <cell r="E31">
            <v>3117</v>
          </cell>
          <cell r="F31">
            <v>3022</v>
          </cell>
          <cell r="G31">
            <v>2994</v>
          </cell>
          <cell r="H31">
            <v>3053</v>
          </cell>
          <cell r="I31">
            <v>3131</v>
          </cell>
          <cell r="J31">
            <v>3162</v>
          </cell>
          <cell r="K31">
            <v>3162</v>
          </cell>
          <cell r="L31">
            <v>3162</v>
          </cell>
          <cell r="M31">
            <v>3162</v>
          </cell>
          <cell r="N31">
            <v>3162</v>
          </cell>
          <cell r="O31">
            <v>3162</v>
          </cell>
        </row>
        <row r="32">
          <cell r="A32" t="str">
            <v>Sq. Ft.</v>
          </cell>
          <cell r="B32">
            <v>23.978100000000001</v>
          </cell>
          <cell r="C32">
            <v>31.4</v>
          </cell>
          <cell r="D32">
            <v>36.299999999999997</v>
          </cell>
          <cell r="E32">
            <v>37.299999999999997</v>
          </cell>
          <cell r="F32">
            <v>36.5</v>
          </cell>
          <cell r="G32">
            <v>36.6</v>
          </cell>
          <cell r="H32">
            <v>37.800000000000004</v>
          </cell>
          <cell r="I32">
            <v>38.900000000000006</v>
          </cell>
          <cell r="J32">
            <v>39.292207269358322</v>
          </cell>
          <cell r="K32">
            <v>39.292207269358322</v>
          </cell>
          <cell r="L32">
            <v>39.292207269358322</v>
          </cell>
          <cell r="M32">
            <v>39.292207269358322</v>
          </cell>
          <cell r="N32">
            <v>39.292207269358322</v>
          </cell>
          <cell r="O32">
            <v>39.292207269358322</v>
          </cell>
        </row>
        <row r="33">
          <cell r="A33" t="str">
            <v>Ave. Sq. Ft. Growth</v>
          </cell>
          <cell r="D33">
            <v>0.22250492523217624</v>
          </cell>
          <cell r="E33">
            <v>8.7149187592319155E-2</v>
          </cell>
          <cell r="F33">
            <v>2.7173913043478937E-3</v>
          </cell>
          <cell r="G33">
            <v>-9.4850948509485056E-3</v>
          </cell>
          <cell r="H33">
            <v>1.7783857729138264E-2</v>
          </cell>
          <cell r="I33">
            <v>3.0913978494623739E-2</v>
          </cell>
          <cell r="J33">
            <v>1.9455114333224444E-2</v>
          </cell>
          <cell r="K33">
            <v>5.0159380717726965E-3</v>
          </cell>
          <cell r="L33">
            <v>0</v>
          </cell>
          <cell r="M33">
            <v>0</v>
          </cell>
          <cell r="N33">
            <v>0</v>
          </cell>
          <cell r="O33">
            <v>0</v>
          </cell>
        </row>
        <row r="34">
          <cell r="A34" t="str">
            <v>Ave. Sq. Ft./New Store (000s)</v>
          </cell>
          <cell r="K34">
            <v>14.13955030802693</v>
          </cell>
          <cell r="L34">
            <v>14.494251453595837</v>
          </cell>
          <cell r="M34">
            <v>11.785029888959693</v>
          </cell>
          <cell r="N34">
            <v>11.785029888959693</v>
          </cell>
          <cell r="O34">
            <v>11.785029888959693</v>
          </cell>
        </row>
        <row r="36">
          <cell r="A36" t="str">
            <v>Gross Profit</v>
          </cell>
          <cell r="B36">
            <v>4860.1359999999995</v>
          </cell>
          <cell r="C36">
            <v>5074.018</v>
          </cell>
          <cell r="D36">
            <v>4143.4650000000001</v>
          </cell>
          <cell r="E36">
            <v>4913.1510000000007</v>
          </cell>
          <cell r="F36">
            <v>5967.0020000000004</v>
          </cell>
          <cell r="G36">
            <v>6382</v>
          </cell>
          <cell r="H36">
            <v>5870</v>
          </cell>
          <cell r="I36">
            <v>5652</v>
          </cell>
          <cell r="J36">
            <v>5628.2840956368282</v>
          </cell>
          <cell r="K36">
            <v>5925.5669036806485</v>
          </cell>
          <cell r="L36">
            <v>6247.9242281007919</v>
          </cell>
          <cell r="M36">
            <v>6416.4033832819978</v>
          </cell>
          <cell r="N36">
            <v>6544.7314509476391</v>
          </cell>
          <cell r="O36">
            <v>6675.6260799665934</v>
          </cell>
        </row>
        <row r="37">
          <cell r="A37" t="str">
            <v>SG&amp;A Expense</v>
          </cell>
          <cell r="B37">
            <v>3043.4319999999998</v>
          </cell>
          <cell r="C37">
            <v>3629.2569999999996</v>
          </cell>
          <cell r="D37">
            <v>3805.9680000000003</v>
          </cell>
          <cell r="E37">
            <v>3900.5220000000004</v>
          </cell>
          <cell r="F37">
            <v>4086.828</v>
          </cell>
          <cell r="G37">
            <v>4297</v>
          </cell>
          <cell r="H37">
            <v>4185</v>
          </cell>
          <cell r="I37">
            <v>4500</v>
          </cell>
          <cell r="J37">
            <v>4343.3721549933289</v>
          </cell>
          <cell r="K37">
            <v>4431.4867971782169</v>
          </cell>
          <cell r="L37">
            <v>4506.3446911378433</v>
          </cell>
          <cell r="M37">
            <v>4544.2467802175734</v>
          </cell>
          <cell r="N37">
            <v>4599.6188485966659</v>
          </cell>
          <cell r="O37">
            <v>4673.4996632837183</v>
          </cell>
        </row>
        <row r="38">
          <cell r="A38" t="str">
            <v>Cost Savings</v>
          </cell>
          <cell r="K38">
            <v>0</v>
          </cell>
          <cell r="L38">
            <v>0</v>
          </cell>
          <cell r="M38">
            <v>0</v>
          </cell>
          <cell r="N38">
            <v>0</v>
          </cell>
          <cell r="O38">
            <v>0</v>
          </cell>
        </row>
        <row r="39">
          <cell r="A39" t="str">
            <v>Rent Expense Reversal</v>
          </cell>
          <cell r="B39">
            <v>-561.99400000000003</v>
          </cell>
          <cell r="C39">
            <v>-705.76</v>
          </cell>
          <cell r="D39">
            <v>-788</v>
          </cell>
          <cell r="E39">
            <v>-816</v>
          </cell>
          <cell r="F39">
            <v>-808</v>
          </cell>
          <cell r="G39">
            <v>-819</v>
          </cell>
          <cell r="H39">
            <v>-866</v>
          </cell>
          <cell r="I39">
            <v>-924</v>
          </cell>
          <cell r="J39">
            <v>-951.7961829533956</v>
          </cell>
          <cell r="K39">
            <v>-1082.1956381355135</v>
          </cell>
          <cell r="L39">
            <v>-1082.1956381355135</v>
          </cell>
          <cell r="M39">
            <v>-1082.1956381355135</v>
          </cell>
          <cell r="N39">
            <v>-1082.1956381355135</v>
          </cell>
          <cell r="O39">
            <v>-1082.1956381355135</v>
          </cell>
        </row>
        <row r="40">
          <cell r="A40" t="str">
            <v>Depreciation from Leases</v>
          </cell>
          <cell r="B40">
            <v>373.00993703093354</v>
          </cell>
          <cell r="C40">
            <v>449.05037925727055</v>
          </cell>
          <cell r="D40">
            <v>464.3569156203896</v>
          </cell>
          <cell r="E40">
            <v>515.27789666609465</v>
          </cell>
          <cell r="F40">
            <v>548.29513095142738</v>
          </cell>
          <cell r="G40">
            <v>583.52067579265974</v>
          </cell>
          <cell r="H40">
            <v>641.30301610181789</v>
          </cell>
          <cell r="I40">
            <v>710.19999157678785</v>
          </cell>
          <cell r="J40">
            <v>729.14660503559469</v>
          </cell>
          <cell r="K40">
            <v>876.44018836970395</v>
          </cell>
          <cell r="L40">
            <v>861.12352162598143</v>
          </cell>
          <cell r="M40">
            <v>833.08194849373899</v>
          </cell>
          <cell r="N40">
            <v>795.01910362516833</v>
          </cell>
          <cell r="O40">
            <v>815.80309044354544</v>
          </cell>
        </row>
        <row r="41">
          <cell r="A41" t="str">
            <v>EBITR</v>
          </cell>
          <cell r="B41">
            <v>2005.6880629690663</v>
          </cell>
          <cell r="C41">
            <v>1701.4706207427303</v>
          </cell>
          <cell r="D41">
            <v>661.14008437961002</v>
          </cell>
          <cell r="E41">
            <v>1313.3511033339055</v>
          </cell>
          <cell r="F41">
            <v>2139.8788690485731</v>
          </cell>
          <cell r="G41">
            <v>2320.4793242073401</v>
          </cell>
          <cell r="H41">
            <v>1909.6969838981822</v>
          </cell>
          <cell r="I41">
            <v>1365.8000084232117</v>
          </cell>
          <cell r="J41">
            <v>1507.5615185613005</v>
          </cell>
          <cell r="K41">
            <v>1699.8355562682409</v>
          </cell>
          <cell r="L41">
            <v>1962.6516534724806</v>
          </cell>
          <cell r="M41">
            <v>2121.2702927061991</v>
          </cell>
          <cell r="N41">
            <v>2232.2891368613182</v>
          </cell>
          <cell r="O41">
            <v>2268.5189643748427</v>
          </cell>
        </row>
        <row r="42">
          <cell r="A42" t="str">
            <v>Reported/Non-Lease D&amp;A</v>
          </cell>
          <cell r="B42">
            <v>402</v>
          </cell>
          <cell r="C42">
            <v>544</v>
          </cell>
          <cell r="D42">
            <v>741</v>
          </cell>
          <cell r="E42">
            <v>706</v>
          </cell>
          <cell r="F42">
            <v>675</v>
          </cell>
          <cell r="G42">
            <v>615</v>
          </cell>
          <cell r="H42">
            <v>625</v>
          </cell>
          <cell r="I42">
            <v>530</v>
          </cell>
          <cell r="J42">
            <v>548.31118845566334</v>
          </cell>
          <cell r="K42">
            <v>615.29448778247161</v>
          </cell>
          <cell r="L42">
            <v>655.82371471425938</v>
          </cell>
          <cell r="M42">
            <v>700.39999398902978</v>
          </cell>
          <cell r="N42">
            <v>748.25790817061113</v>
          </cell>
          <cell r="O42">
            <v>803.25812370439689</v>
          </cell>
        </row>
        <row r="43">
          <cell r="A43" t="str">
            <v>Depreciation from Leases</v>
          </cell>
          <cell r="B43">
            <v>373.00993703093354</v>
          </cell>
          <cell r="C43">
            <v>449.05037925727055</v>
          </cell>
          <cell r="D43">
            <v>464.3569156203896</v>
          </cell>
          <cell r="E43">
            <v>515.27789666609465</v>
          </cell>
          <cell r="F43">
            <v>548.29513095142738</v>
          </cell>
          <cell r="G43">
            <v>583.52067579265974</v>
          </cell>
          <cell r="H43">
            <v>641.30301610181789</v>
          </cell>
          <cell r="I43">
            <v>710.19999157678785</v>
          </cell>
          <cell r="J43">
            <v>729.14660503559469</v>
          </cell>
          <cell r="K43">
            <v>876.44018836970395</v>
          </cell>
          <cell r="L43">
            <v>861.12352162598143</v>
          </cell>
          <cell r="M43">
            <v>833.08194849373899</v>
          </cell>
          <cell r="N43">
            <v>795.01910362516833</v>
          </cell>
          <cell r="O43">
            <v>815.80309044354544</v>
          </cell>
        </row>
        <row r="44">
          <cell r="A44" t="str">
            <v>EBITDAR</v>
          </cell>
          <cell r="B44">
            <v>2780.6979999999999</v>
          </cell>
          <cell r="C44">
            <v>2694.5210000000006</v>
          </cell>
          <cell r="D44">
            <v>1866.4969999999996</v>
          </cell>
          <cell r="E44">
            <v>2534.6289999999999</v>
          </cell>
          <cell r="F44">
            <v>3363.1740000000004</v>
          </cell>
          <cell r="G44">
            <v>3519</v>
          </cell>
          <cell r="H44">
            <v>3176</v>
          </cell>
          <cell r="I44">
            <v>2605.9999999999995</v>
          </cell>
          <cell r="J44">
            <v>2785.0193120525587</v>
          </cell>
          <cell r="K44">
            <v>3191.5702324204167</v>
          </cell>
          <cell r="L44">
            <v>3479.5988898127216</v>
          </cell>
          <cell r="M44">
            <v>3654.7522351889684</v>
          </cell>
          <cell r="N44">
            <v>3775.566148657098</v>
          </cell>
          <cell r="O44">
            <v>3887.580178522785</v>
          </cell>
        </row>
        <row r="45">
          <cell r="A45" t="str">
            <v>EBITDA</v>
          </cell>
          <cell r="B45">
            <v>2218.7039999999997</v>
          </cell>
          <cell r="C45">
            <v>1988.7610000000006</v>
          </cell>
          <cell r="D45">
            <v>1078.4969999999996</v>
          </cell>
          <cell r="E45">
            <v>1718.6289999999999</v>
          </cell>
          <cell r="F45">
            <v>2555.1740000000004</v>
          </cell>
          <cell r="G45">
            <v>2700</v>
          </cell>
          <cell r="H45">
            <v>2310</v>
          </cell>
          <cell r="I45">
            <v>1681.9999999999995</v>
          </cell>
          <cell r="J45">
            <v>1833.2231290991631</v>
          </cell>
          <cell r="K45">
            <v>2109.3745942849032</v>
          </cell>
          <cell r="L45">
            <v>2397.4032516772081</v>
          </cell>
          <cell r="M45">
            <v>2572.5565970534549</v>
          </cell>
          <cell r="N45">
            <v>2693.3705105215845</v>
          </cell>
          <cell r="O45">
            <v>2805.3845403872715</v>
          </cell>
        </row>
        <row r="47">
          <cell r="A47" t="str">
            <v>Reported Net Interest Expense</v>
          </cell>
          <cell r="B47">
            <v>31.754999999999999</v>
          </cell>
          <cell r="C47">
            <v>62.876000000000005</v>
          </cell>
          <cell r="D47">
            <v>95.875</v>
          </cell>
          <cell r="E47">
            <v>211.75399999999999</v>
          </cell>
          <cell r="F47">
            <v>196.3</v>
          </cell>
          <cell r="G47">
            <v>108</v>
          </cell>
          <cell r="H47">
            <v>-48</v>
          </cell>
          <cell r="I47">
            <v>-89</v>
          </cell>
          <cell r="J47">
            <v>-86.562093237156446</v>
          </cell>
          <cell r="K47">
            <v>828.51351743180965</v>
          </cell>
          <cell r="L47">
            <v>786.08679327375194</v>
          </cell>
          <cell r="M47">
            <v>710.66559455076106</v>
          </cell>
          <cell r="N47">
            <v>614.20914449039367</v>
          </cell>
          <cell r="O47">
            <v>507.54365122599398</v>
          </cell>
        </row>
        <row r="48">
          <cell r="A48" t="str">
            <v>Estimated Interest Expense on Leases</v>
          </cell>
          <cell r="B48">
            <v>252.3196020839157</v>
          </cell>
          <cell r="C48">
            <v>297.10468430336221</v>
          </cell>
          <cell r="D48">
            <v>295.33489127720406</v>
          </cell>
          <cell r="E48">
            <v>310.30513848035076</v>
          </cell>
          <cell r="F48">
            <v>307.5546878670703</v>
          </cell>
          <cell r="G48">
            <v>304.0515882565648</v>
          </cell>
          <cell r="H48">
            <v>320.651427628558</v>
          </cell>
          <cell r="I48">
            <v>343.78455941218658</v>
          </cell>
          <cell r="J48">
            <v>356.99395755553684</v>
          </cell>
          <cell r="K48">
            <v>342.54339346091484</v>
          </cell>
          <cell r="L48">
            <v>341.9753273743529</v>
          </cell>
          <cell r="M48">
            <v>341.3028293494566</v>
          </cell>
          <cell r="N48">
            <v>340.52962467722563</v>
          </cell>
          <cell r="O48">
            <v>339.65796170852423</v>
          </cell>
        </row>
        <row r="49">
          <cell r="A49" t="str">
            <v>Taxes @ 35%</v>
          </cell>
          <cell r="B49">
            <v>635.71656130980284</v>
          </cell>
          <cell r="C49">
            <v>490.24972775377853</v>
          </cell>
          <cell r="D49">
            <v>259.31286758584218</v>
          </cell>
          <cell r="E49">
            <v>320.06393769874427</v>
          </cell>
          <cell r="F49">
            <v>636.5065634135259</v>
          </cell>
          <cell r="G49">
            <v>738.99970758277141</v>
          </cell>
          <cell r="H49">
            <v>654.56164469436851</v>
          </cell>
          <cell r="I49">
            <v>448.50540715385898</v>
          </cell>
          <cell r="J49">
            <v>456.08171050965143</v>
          </cell>
          <cell r="K49">
            <v>185.07252588143072</v>
          </cell>
          <cell r="L49">
            <v>292.1063364885315</v>
          </cell>
          <cell r="M49">
            <v>374.25565408209349</v>
          </cell>
          <cell r="N49">
            <v>447.14262869279463</v>
          </cell>
          <cell r="O49">
            <v>497.46107300411353</v>
          </cell>
        </row>
        <row r="50">
          <cell r="A50" t="str">
            <v>Net Income (Ex-Rent Expense)</v>
          </cell>
          <cell r="B50">
            <v>1085.8968995753478</v>
          </cell>
          <cell r="C50">
            <v>851.24020868558955</v>
          </cell>
          <cell r="D50">
            <v>10.617325516563824</v>
          </cell>
          <cell r="E50">
            <v>471.22802715481043</v>
          </cell>
          <cell r="F50">
            <v>999.51761776797684</v>
          </cell>
          <cell r="G50">
            <v>1169.4280283680039</v>
          </cell>
          <cell r="H50">
            <v>982.48391157525566</v>
          </cell>
          <cell r="I50">
            <v>662.51004185716613</v>
          </cell>
          <cell r="J50">
            <v>781.04794373326877</v>
          </cell>
          <cell r="K50">
            <v>343.70611949408567</v>
          </cell>
          <cell r="L50">
            <v>542.48319633584424</v>
          </cell>
          <cell r="M50">
            <v>695.04621472388794</v>
          </cell>
          <cell r="N50">
            <v>830.40773900090426</v>
          </cell>
          <cell r="O50">
            <v>923.85627843621091</v>
          </cell>
        </row>
        <row r="52">
          <cell r="A52" t="str">
            <v>Reported Capex</v>
          </cell>
          <cell r="B52">
            <v>-1238.722</v>
          </cell>
          <cell r="C52">
            <v>-1882.125</v>
          </cell>
          <cell r="D52">
            <v>-957.05399999999997</v>
          </cell>
          <cell r="E52">
            <v>-308</v>
          </cell>
          <cell r="F52">
            <v>-261</v>
          </cell>
          <cell r="G52">
            <v>-442</v>
          </cell>
          <cell r="H52">
            <v>-600</v>
          </cell>
          <cell r="I52">
            <v>-572</v>
          </cell>
          <cell r="J52">
            <v>-703.67161615587293</v>
          </cell>
          <cell r="K52">
            <v>-400</v>
          </cell>
          <cell r="L52">
            <v>-400</v>
          </cell>
          <cell r="M52">
            <v>-400</v>
          </cell>
          <cell r="N52">
            <v>-400</v>
          </cell>
          <cell r="O52">
            <v>-400</v>
          </cell>
        </row>
        <row r="53">
          <cell r="A53" t="str">
            <v>Capex Implied by Leases</v>
          </cell>
          <cell r="B53">
            <v>-1061.6266207879953</v>
          </cell>
          <cell r="C53">
            <v>-1063.6904694520522</v>
          </cell>
          <cell r="D53">
            <v>-368.3480323611733</v>
          </cell>
          <cell r="E53">
            <v>-736.10978798559631</v>
          </cell>
          <cell r="F53">
            <v>-470.95554003959944</v>
          </cell>
          <cell r="G53">
            <v>-476.14466193624366</v>
          </cell>
          <cell r="H53">
            <v>-686.8459109926298</v>
          </cell>
          <cell r="I53">
            <v>-799.6203603224443</v>
          </cell>
          <cell r="J53">
            <v>-710.52049222847268</v>
          </cell>
          <cell r="K53">
            <v>-725.21167564702841</v>
          </cell>
          <cell r="L53">
            <v>-725.21167564702841</v>
          </cell>
          <cell r="M53">
            <v>-725.21167564702841</v>
          </cell>
          <cell r="N53">
            <v>-725.21167564702841</v>
          </cell>
          <cell r="O53">
            <v>-725.21167564702841</v>
          </cell>
        </row>
        <row r="54">
          <cell r="A54" t="str">
            <v>Total Capex</v>
          </cell>
          <cell r="B54">
            <v>-2300.3486207879951</v>
          </cell>
          <cell r="C54">
            <v>-2945.8154694520522</v>
          </cell>
          <cell r="D54">
            <v>-1325.4020323611733</v>
          </cell>
          <cell r="E54">
            <v>-1044.1097879855963</v>
          </cell>
          <cell r="F54">
            <v>-731.95554003959944</v>
          </cell>
          <cell r="G54">
            <v>-918.14466193624366</v>
          </cell>
          <cell r="H54">
            <v>-1286.8459109926298</v>
          </cell>
          <cell r="I54">
            <v>-1371.6203603224444</v>
          </cell>
          <cell r="J54">
            <v>-1414.1921083843456</v>
          </cell>
          <cell r="K54">
            <v>-1125.2116756470284</v>
          </cell>
          <cell r="L54">
            <v>-1125.2116756470284</v>
          </cell>
          <cell r="M54">
            <v>-1125.2116756470284</v>
          </cell>
          <cell r="N54">
            <v>-1125.2116756470284</v>
          </cell>
          <cell r="O54">
            <v>-1125.2116756470284</v>
          </cell>
        </row>
        <row r="55">
          <cell r="A55" t="str">
            <v>% of Revenue</v>
          </cell>
          <cell r="B55">
            <v>0.19770261582697859</v>
          </cell>
          <cell r="C55">
            <v>0.21544038373989116</v>
          </cell>
          <cell r="D55">
            <v>9.5711727778266101E-2</v>
          </cell>
          <cell r="E55">
            <v>7.2233193209603627E-2</v>
          </cell>
          <cell r="F55">
            <v>4.6170448439400789E-2</v>
          </cell>
          <cell r="G55">
            <v>5.6438693258928183E-2</v>
          </cell>
          <cell r="H55">
            <v>8.0312420332810941E-2</v>
          </cell>
          <cell r="I55">
            <v>8.6070554739109212E-2</v>
          </cell>
          <cell r="J55">
            <v>8.9097528672890697E-2</v>
          </cell>
          <cell r="K55">
            <v>6.8592449057256227E-2</v>
          </cell>
          <cell r="L55">
            <v>6.5954277939669445E-2</v>
          </cell>
          <cell r="M55">
            <v>6.4661056803597503E-2</v>
          </cell>
          <cell r="N55">
            <v>6.3393192944703428E-2</v>
          </cell>
          <cell r="O55">
            <v>6.2150189161473947E-2</v>
          </cell>
        </row>
        <row r="56">
          <cell r="A56" t="str">
            <v>∆ Working Capital</v>
          </cell>
          <cell r="B56">
            <v>-299.65600000000006</v>
          </cell>
          <cell r="C56">
            <v>-268.66700000000009</v>
          </cell>
          <cell r="D56">
            <v>437.911</v>
          </cell>
          <cell r="E56">
            <v>-99</v>
          </cell>
          <cell r="F56">
            <v>274</v>
          </cell>
          <cell r="G56">
            <v>-122</v>
          </cell>
          <cell r="H56">
            <v>-112.6</v>
          </cell>
          <cell r="I56">
            <v>-79</v>
          </cell>
          <cell r="J56">
            <v>302.76837939102734</v>
          </cell>
          <cell r="K56">
            <v>-82.0215410815686</v>
          </cell>
          <cell r="L56">
            <v>-85.302402724831339</v>
          </cell>
          <cell r="M56">
            <v>-87.008450779327958</v>
          </cell>
          <cell r="N56">
            <v>-88.748619794914518</v>
          </cell>
          <cell r="O56">
            <v>-90.52359219081282</v>
          </cell>
        </row>
        <row r="57">
          <cell r="A57" t="str">
            <v>% of Revenue</v>
          </cell>
          <cell r="B57">
            <v>-2.5753824665043695E-2</v>
          </cell>
          <cell r="C57">
            <v>-1.9648794087231768E-2</v>
          </cell>
          <cell r="D57">
            <v>3.1623022599747225E-2</v>
          </cell>
          <cell r="E57">
            <v>-6.8489791112363455E-3</v>
          </cell>
          <cell r="F57">
            <v>1.7283430728198879E-2</v>
          </cell>
          <cell r="G57">
            <v>-7.49938529628719E-3</v>
          </cell>
          <cell r="H57">
            <v>-7.0273981152093861E-3</v>
          </cell>
          <cell r="I57">
            <v>-4.9573293172690764E-3</v>
          </cell>
          <cell r="J57">
            <v>1.9075141350389475E-2</v>
          </cell>
          <cell r="K57">
            <v>-5.0000000000000001E-3</v>
          </cell>
          <cell r="L57">
            <v>-5.0000000000000001E-3</v>
          </cell>
          <cell r="M57">
            <v>-5.0000000000000001E-3</v>
          </cell>
          <cell r="N57">
            <v>-5.0000000000000001E-3</v>
          </cell>
          <cell r="O57">
            <v>-5.0000000000000001E-3</v>
          </cell>
        </row>
        <row r="58">
          <cell r="A58" t="str">
            <v>Free Cash Flow</v>
          </cell>
          <cell r="B58">
            <v>-739.09778418171379</v>
          </cell>
          <cell r="C58">
            <v>-1370.1918815091924</v>
          </cell>
          <cell r="D58">
            <v>328.48320877578016</v>
          </cell>
          <cell r="E58">
            <v>549.39613583530854</v>
          </cell>
          <cell r="F58">
            <v>1764.8572086798049</v>
          </cell>
          <cell r="G58">
            <v>1327.8040422244198</v>
          </cell>
          <cell r="H58">
            <v>849.34101668444362</v>
          </cell>
          <cell r="I58">
            <v>452.08967311150946</v>
          </cell>
          <cell r="J58">
            <v>947.08200823120865</v>
          </cell>
          <cell r="K58">
            <v>628.20757891766448</v>
          </cell>
          <cell r="L58">
            <v>848.91635430422548</v>
          </cell>
          <cell r="M58">
            <v>1016.3080307803006</v>
          </cell>
          <cell r="N58">
            <v>1159.7244553547412</v>
          </cell>
          <cell r="O58">
            <v>1327.1822247463122</v>
          </cell>
        </row>
        <row r="60">
          <cell r="A60" t="str">
            <v>Beginning Cash</v>
          </cell>
          <cell r="B60">
            <v>565.25299999999925</v>
          </cell>
          <cell r="C60">
            <v>450.35199999999878</v>
          </cell>
          <cell r="D60">
            <v>408.7939999999985</v>
          </cell>
          <cell r="E60">
            <v>1035.7299999999987</v>
          </cell>
          <cell r="F60">
            <v>3027.3</v>
          </cell>
          <cell r="G60">
            <v>2260.92</v>
          </cell>
          <cell r="H60">
            <v>2244.7634414565282</v>
          </cell>
          <cell r="I60">
            <v>2035.3224414565286</v>
          </cell>
          <cell r="J60">
            <v>2030.3224414565279</v>
          </cell>
          <cell r="K60">
            <v>0</v>
          </cell>
          <cell r="L60">
            <v>-207.11201776170356</v>
          </cell>
          <cell r="M60">
            <v>-207.11201776170401</v>
          </cell>
          <cell r="N60">
            <v>-207.11201776170458</v>
          </cell>
          <cell r="O60">
            <v>-207.11201776170458</v>
          </cell>
        </row>
        <row r="61">
          <cell r="A61" t="str">
            <v>Net Cash Flow Impact of Leases</v>
          </cell>
          <cell r="B61">
            <v>1.1368683772161603E-13</v>
          </cell>
          <cell r="C61">
            <v>0</v>
          </cell>
          <cell r="D61">
            <v>4.5474735088646412E-13</v>
          </cell>
          <cell r="E61">
            <v>-2.8421709430404007E-13</v>
          </cell>
          <cell r="F61">
            <v>-1.7053025658242404E-13</v>
          </cell>
          <cell r="G61">
            <v>6.8212102632969618E-13</v>
          </cell>
          <cell r="H61">
            <v>0</v>
          </cell>
          <cell r="I61">
            <v>-5.6843418860808015E-13</v>
          </cell>
          <cell r="J61">
            <v>2.2737367544323206E-13</v>
          </cell>
          <cell r="K61">
            <v>-207.11201776170356</v>
          </cell>
          <cell r="L61">
            <v>-4.5474735088646412E-13</v>
          </cell>
          <cell r="M61">
            <v>-5.6843418860808015E-13</v>
          </cell>
          <cell r="N61">
            <v>0</v>
          </cell>
          <cell r="O61">
            <v>0</v>
          </cell>
        </row>
        <row r="62">
          <cell r="A62" t="str">
            <v>Reported Changes in Cash</v>
          </cell>
          <cell r="B62">
            <v>-114.90100000000059</v>
          </cell>
          <cell r="C62">
            <v>-41.558000000000249</v>
          </cell>
          <cell r="D62">
            <v>626.93599999999969</v>
          </cell>
          <cell r="E62">
            <v>1991.570000000002</v>
          </cell>
          <cell r="F62">
            <v>-766.38000000000011</v>
          </cell>
          <cell r="G62">
            <v>-16.156558543472556</v>
          </cell>
          <cell r="H62">
            <v>-209.44099999999966</v>
          </cell>
          <cell r="I62">
            <v>-5</v>
          </cell>
          <cell r="J62">
            <v>-446.03505152747766</v>
          </cell>
          <cell r="K62">
            <v>0</v>
          </cell>
          <cell r="L62">
            <v>0</v>
          </cell>
          <cell r="M62">
            <v>0</v>
          </cell>
          <cell r="N62">
            <v>0</v>
          </cell>
          <cell r="O62">
            <v>0</v>
          </cell>
        </row>
        <row r="63">
          <cell r="A63" t="str">
            <v>Ending Cash</v>
          </cell>
          <cell r="B63">
            <v>450.35199999999878</v>
          </cell>
          <cell r="C63">
            <v>408.7939999999985</v>
          </cell>
          <cell r="D63">
            <v>1035.7299999999987</v>
          </cell>
          <cell r="E63">
            <v>3027.3</v>
          </cell>
          <cell r="F63">
            <v>2260.92</v>
          </cell>
          <cell r="G63">
            <v>2244.7634414565282</v>
          </cell>
          <cell r="H63">
            <v>2035.3224414565286</v>
          </cell>
          <cell r="I63">
            <v>2030.3224414565279</v>
          </cell>
          <cell r="J63">
            <v>0</v>
          </cell>
          <cell r="K63">
            <v>-207.11201776170356</v>
          </cell>
          <cell r="L63">
            <v>-207.11201776170401</v>
          </cell>
          <cell r="M63">
            <v>-207.11201776170458</v>
          </cell>
          <cell r="N63">
            <v>-207.11201776170458</v>
          </cell>
          <cell r="O63">
            <v>-207.11201776170458</v>
          </cell>
        </row>
        <row r="65">
          <cell r="A65" t="str">
            <v>Debt Outstanding</v>
          </cell>
          <cell r="B65">
            <v>953.88599999999997</v>
          </cell>
          <cell r="C65">
            <v>1810.15</v>
          </cell>
          <cell r="D65">
            <v>2003.2859999999998</v>
          </cell>
          <cell r="E65">
            <v>3395.7730000000001</v>
          </cell>
          <cell r="F65">
            <v>2769.7779999999998</v>
          </cell>
          <cell r="G65">
            <v>1886</v>
          </cell>
          <cell r="H65">
            <v>513</v>
          </cell>
          <cell r="I65">
            <v>513</v>
          </cell>
          <cell r="J65">
            <v>0</v>
          </cell>
          <cell r="K65">
            <v>0</v>
          </cell>
          <cell r="L65">
            <v>0</v>
          </cell>
          <cell r="M65">
            <v>0</v>
          </cell>
          <cell r="N65">
            <v>0</v>
          </cell>
          <cell r="O65">
            <v>0</v>
          </cell>
        </row>
        <row r="66">
          <cell r="A66" t="str">
            <v>New Debt Issued</v>
          </cell>
          <cell r="J66">
            <v>9033.5347946726542</v>
          </cell>
          <cell r="K66">
            <v>0</v>
          </cell>
          <cell r="L66">
            <v>0</v>
          </cell>
          <cell r="M66">
            <v>0</v>
          </cell>
          <cell r="N66">
            <v>0</v>
          </cell>
          <cell r="O66">
            <v>0</v>
          </cell>
        </row>
        <row r="67">
          <cell r="A67" t="str">
            <v>Less: Debt Repayments</v>
          </cell>
          <cell r="K67">
            <v>-628.20757891766448</v>
          </cell>
          <cell r="L67">
            <v>-848.91635430422548</v>
          </cell>
          <cell r="M67">
            <v>-1016.3080307803006</v>
          </cell>
          <cell r="N67">
            <v>-1159.7244553547412</v>
          </cell>
          <cell r="O67">
            <v>-1327.1822247463122</v>
          </cell>
        </row>
        <row r="68">
          <cell r="A68" t="str">
            <v>Total Non-Lease Debt</v>
          </cell>
          <cell r="B68">
            <v>953.88599999999997</v>
          </cell>
          <cell r="C68">
            <v>1810.15</v>
          </cell>
          <cell r="D68">
            <v>2003.2859999999998</v>
          </cell>
          <cell r="E68">
            <v>3395.7730000000001</v>
          </cell>
          <cell r="F68">
            <v>2769.7779999999998</v>
          </cell>
          <cell r="G68">
            <v>1886</v>
          </cell>
          <cell r="H68">
            <v>513</v>
          </cell>
          <cell r="I68">
            <v>513</v>
          </cell>
          <cell r="J68">
            <v>9033.5347946726542</v>
          </cell>
          <cell r="K68">
            <v>8405.3272157549891</v>
          </cell>
          <cell r="L68">
            <v>7556.4108614507641</v>
          </cell>
          <cell r="M68">
            <v>6540.1028306704638</v>
          </cell>
          <cell r="N68">
            <v>5380.3783753157222</v>
          </cell>
          <cell r="O68">
            <v>4053.1961505694098</v>
          </cell>
        </row>
        <row r="69">
          <cell r="A69" t="str">
            <v>Operating Lease Liabilities</v>
          </cell>
          <cell r="B69">
            <v>3443.599827239233</v>
          </cell>
          <cell r="C69">
            <v>4098.6349809946478</v>
          </cell>
          <cell r="D69">
            <v>3974.3179046330256</v>
          </cell>
          <cell r="E69">
            <v>4204.7328310989724</v>
          </cell>
          <cell r="F69">
            <v>4175.243059005642</v>
          </cell>
          <cell r="G69">
            <v>4136.4393091984512</v>
          </cell>
          <cell r="H69">
            <v>4277.9366478196389</v>
          </cell>
          <cell r="I69">
            <v>4497.3415675542692</v>
          </cell>
          <cell r="J69">
            <v>4613.0598343848833</v>
          </cell>
          <cell r="K69">
            <v>4391.5072475956094</v>
          </cell>
          <cell r="L69">
            <v>4376.4986124814768</v>
          </cell>
          <cell r="M69">
            <v>4360.8174793424478</v>
          </cell>
          <cell r="N69">
            <v>4344.3631415311884</v>
          </cell>
          <cell r="O69">
            <v>4327.0371407512275</v>
          </cell>
        </row>
        <row r="70">
          <cell r="A70" t="str">
            <v>Total Debt Outstanding</v>
          </cell>
          <cell r="B70">
            <v>4397.485827239233</v>
          </cell>
          <cell r="C70">
            <v>5908.7849809946474</v>
          </cell>
          <cell r="D70">
            <v>5977.6039046330252</v>
          </cell>
          <cell r="E70">
            <v>7600.5058310989725</v>
          </cell>
          <cell r="F70">
            <v>6945.0210590056413</v>
          </cell>
          <cell r="G70">
            <v>6022.4393091984512</v>
          </cell>
          <cell r="H70">
            <v>4790.9366478196389</v>
          </cell>
          <cell r="I70">
            <v>5010.3415675542692</v>
          </cell>
          <cell r="J70">
            <v>13646.594629057538</v>
          </cell>
          <cell r="K70">
            <v>12796.834463350599</v>
          </cell>
          <cell r="L70">
            <v>11932.909473932241</v>
          </cell>
          <cell r="M70">
            <v>10900.920310012913</v>
          </cell>
          <cell r="N70">
            <v>9724.7415168469106</v>
          </cell>
          <cell r="O70">
            <v>8380.2332913206374</v>
          </cell>
        </row>
        <row r="72">
          <cell r="A72" t="str">
            <v>Book Value of Equity</v>
          </cell>
          <cell r="B72">
            <v>2233.045000000001</v>
          </cell>
          <cell r="C72">
            <v>2928.239</v>
          </cell>
          <cell r="D72">
            <v>3009.5810000000001</v>
          </cell>
          <cell r="E72">
            <v>3658.2120000000004</v>
          </cell>
          <cell r="F72">
            <v>4648</v>
          </cell>
          <cell r="G72">
            <v>4936</v>
          </cell>
          <cell r="H72">
            <v>5425</v>
          </cell>
          <cell r="I72">
            <v>5174</v>
          </cell>
          <cell r="J72">
            <v>5848.5405553103737</v>
          </cell>
          <cell r="K72">
            <v>6192.246674804459</v>
          </cell>
          <cell r="L72">
            <v>6734.7298711403037</v>
          </cell>
          <cell r="M72">
            <v>7429.7760858641914</v>
          </cell>
          <cell r="N72">
            <v>8260.1838248650965</v>
          </cell>
          <cell r="O72">
            <v>9184.0401033013077</v>
          </cell>
        </row>
        <row r="74">
          <cell r="A74" t="str">
            <v>% of Sales</v>
          </cell>
        </row>
        <row r="75">
          <cell r="A75" t="str">
            <v>Gross Margin</v>
          </cell>
          <cell r="B75">
            <v>0.41770260028922085</v>
          </cell>
          <cell r="C75">
            <v>0.37108515328234409</v>
          </cell>
          <cell r="D75">
            <v>0.29921350990557816</v>
          </cell>
          <cell r="E75">
            <v>0.33989968251868657</v>
          </cell>
          <cell r="F75">
            <v>0.37638783110227797</v>
          </cell>
          <cell r="G75">
            <v>0.39230390951561345</v>
          </cell>
          <cell r="H75">
            <v>0.36634837421207017</v>
          </cell>
          <cell r="I75">
            <v>0.35466867469879521</v>
          </cell>
          <cell r="J75">
            <v>0.35459553240123848</v>
          </cell>
          <cell r="K75">
            <v>0.36122016396813394</v>
          </cell>
          <cell r="L75">
            <v>0.3662220540408081</v>
          </cell>
          <cell r="M75">
            <v>0.36872299907714534</v>
          </cell>
          <cell r="N75">
            <v>0.3687229990771454</v>
          </cell>
          <cell r="O75">
            <v>0.36872299907714545</v>
          </cell>
        </row>
        <row r="76">
          <cell r="A76" t="str">
            <v>SG&amp;A Ratio (Net of Cost Savings)</v>
          </cell>
          <cell r="B76">
            <v>0.26156664344442709</v>
          </cell>
          <cell r="C76">
            <v>0.26542345536535739</v>
          </cell>
          <cell r="D76">
            <v>0.27484171915735106</v>
          </cell>
          <cell r="E76">
            <v>0.26984438081735168</v>
          </cell>
          <cell r="F76">
            <v>0.25778981254037797</v>
          </cell>
          <cell r="G76">
            <v>0.26413818539463979</v>
          </cell>
          <cell r="H76">
            <v>0.26118704362478934</v>
          </cell>
          <cell r="I76">
            <v>0.28237951807228917</v>
          </cell>
          <cell r="J76">
            <v>0.27364296747396338</v>
          </cell>
          <cell r="K76">
            <v>0.27014164442309135</v>
          </cell>
          <cell r="L76">
            <v>0.2641393763358823</v>
          </cell>
          <cell r="M76">
            <v>0.26113824229227772</v>
          </cell>
          <cell r="N76">
            <v>0.25913748626320798</v>
          </cell>
          <cell r="O76">
            <v>0.25813710824867314</v>
          </cell>
        </row>
        <row r="77">
          <cell r="A77" t="str">
            <v>Lease Adjustments</v>
          </cell>
          <cell r="B77">
            <v>-1.6242165757378173E-2</v>
          </cell>
          <cell r="C77">
            <v>-1.8774298585927003E-2</v>
          </cell>
          <cell r="D77">
            <v>-2.3371353018280697E-2</v>
          </cell>
          <cell r="E77">
            <v>-2.08044384244543E-2</v>
          </cell>
          <cell r="F77">
            <v>-1.6381719394076517E-2</v>
          </cell>
          <cell r="G77">
            <v>-1.4475001488034192E-2</v>
          </cell>
          <cell r="H77">
            <v>-1.4023402852036579E-2</v>
          </cell>
          <cell r="I77">
            <v>-1.3416165187199557E-2</v>
          </cell>
          <cell r="J77">
            <v>-1.4027462771802487E-2</v>
          </cell>
          <cell r="K77">
            <v>-1.2542769073382219E-2</v>
          </cell>
          <cell r="L77">
            <v>-1.2958141239155183E-2</v>
          </cell>
          <cell r="M77">
            <v>-1.4315488174452164E-2</v>
          </cell>
          <cell r="N77">
            <v>-1.6179211303452911E-2</v>
          </cell>
          <cell r="O77">
            <v>-1.4713984567163701E-2</v>
          </cell>
        </row>
        <row r="78">
          <cell r="A78" t="str">
            <v>Operating Margin</v>
          </cell>
          <cell r="B78">
            <v>0.17237812260217197</v>
          </cell>
          <cell r="C78">
            <v>0.1244359965029137</v>
          </cell>
          <cell r="D78">
            <v>4.7743143766507797E-2</v>
          </cell>
          <cell r="E78">
            <v>9.0859740125789151E-2</v>
          </cell>
          <cell r="F78">
            <v>0.13497973795597654</v>
          </cell>
          <cell r="G78">
            <v>0.14264072560900787</v>
          </cell>
          <cell r="H78">
            <v>0.11918473343931738</v>
          </cell>
          <cell r="I78">
            <v>8.5705321813705548E-2</v>
          </cell>
          <cell r="J78">
            <v>9.498002769907761E-2</v>
          </cell>
          <cell r="K78">
            <v>0.10362128861842479</v>
          </cell>
          <cell r="L78">
            <v>0.115040818944081</v>
          </cell>
          <cell r="M78">
            <v>0.12190024495931977</v>
          </cell>
          <cell r="N78">
            <v>0.12576472411739034</v>
          </cell>
          <cell r="O78">
            <v>0.125299875395636</v>
          </cell>
        </row>
        <row r="79">
          <cell r="A79" t="str">
            <v>D&amp;A (Non-lease and Lease Related)</v>
          </cell>
          <cell r="B79">
            <v>6.660794388218895E-2</v>
          </cell>
          <cell r="C79">
            <v>7.262612237555606E-2</v>
          </cell>
          <cell r="D79">
            <v>8.7042867120088768E-2</v>
          </cell>
          <cell r="E79">
            <v>8.4489967709906494E-2</v>
          </cell>
          <cell r="F79">
            <v>7.716327246694149E-2</v>
          </cell>
          <cell r="G79">
            <v>7.3673510928980807E-2</v>
          </cell>
          <cell r="H79">
            <v>7.9030332403533535E-2</v>
          </cell>
          <cell r="I79">
            <v>7.7823794652157871E-2</v>
          </cell>
          <cell r="J79">
            <v>8.0482935599200639E-2</v>
          </cell>
          <cell r="K79">
            <v>9.0935543058663013E-2</v>
          </cell>
          <cell r="L79">
            <v>8.8915856287988287E-2</v>
          </cell>
          <cell r="M79">
            <v>8.8122586297508437E-2</v>
          </cell>
          <cell r="N79">
            <v>8.6946535921464119E-2</v>
          </cell>
          <cell r="O79">
            <v>8.9427583183793485E-2</v>
          </cell>
        </row>
        <row r="80">
          <cell r="A80" t="str">
            <v>EBITDAR Margin</v>
          </cell>
          <cell r="B80">
            <v>0.23898606648436091</v>
          </cell>
          <cell r="C80">
            <v>0.19706211887846975</v>
          </cell>
          <cell r="D80">
            <v>0.13478601088659656</v>
          </cell>
          <cell r="E80">
            <v>0.17534970783569562</v>
          </cell>
          <cell r="F80">
            <v>0.21214301042291803</v>
          </cell>
          <cell r="G80">
            <v>0.2163142365379887</v>
          </cell>
          <cell r="H80">
            <v>0.1982150658428509</v>
          </cell>
          <cell r="I80">
            <v>0.16352911646586343</v>
          </cell>
          <cell r="J80">
            <v>0.17546296329827824</v>
          </cell>
          <cell r="K80">
            <v>0.19455683167708782</v>
          </cell>
          <cell r="L80">
            <v>0.20395667523206931</v>
          </cell>
          <cell r="M80">
            <v>0.21002283125682825</v>
          </cell>
          <cell r="N80">
            <v>0.21271126003885446</v>
          </cell>
          <cell r="O80">
            <v>0.21472745857942949</v>
          </cell>
        </row>
        <row r="81">
          <cell r="A81" t="str">
            <v>EBITDA Margin</v>
          </cell>
          <cell r="B81">
            <v>0.19068569893354742</v>
          </cell>
          <cell r="C81">
            <v>0.14544679985899697</v>
          </cell>
          <cell r="D81">
            <v>7.7881886969634398E-2</v>
          </cell>
          <cell r="E81">
            <v>0.11889751637338393</v>
          </cell>
          <cell r="F81">
            <v>0.1611758132390323</v>
          </cell>
          <cell r="G81">
            <v>0.16597000245881485</v>
          </cell>
          <cell r="H81">
            <v>0.14416775884665792</v>
          </cell>
          <cell r="I81">
            <v>0.10554718875502005</v>
          </cell>
          <cell r="J81">
            <v>0.11549749806999214</v>
          </cell>
          <cell r="K81">
            <v>0.12858662288405293</v>
          </cell>
          <cell r="L81">
            <v>0.14052378216184347</v>
          </cell>
          <cell r="M81">
            <v>0.14783372040366566</v>
          </cell>
          <cell r="N81">
            <v>0.15174154351614605</v>
          </cell>
          <cell r="O81">
            <v>0.15495322669442124</v>
          </cell>
        </row>
        <row r="83">
          <cell r="A83" t="str">
            <v>Credit Ratios</v>
          </cell>
        </row>
        <row r="84">
          <cell r="A84" t="str">
            <v>Adjusted Leverage Ratio</v>
          </cell>
          <cell r="B84">
            <v>1.5814323695846271</v>
          </cell>
          <cell r="C84">
            <v>2.1928888217960245</v>
          </cell>
          <cell r="D84">
            <v>3.2025788975996354</v>
          </cell>
          <cell r="E84">
            <v>2.99866601033089</v>
          </cell>
          <cell r="F84">
            <v>2.0650198470271359</v>
          </cell>
          <cell r="G84">
            <v>1.7114064533101594</v>
          </cell>
          <cell r="H84">
            <v>1.5084813122857805</v>
          </cell>
          <cell r="I84">
            <v>1.9226176391228973</v>
          </cell>
          <cell r="J84">
            <v>4.9000000000000004</v>
          </cell>
          <cell r="K84">
            <v>4.0095731979696279</v>
          </cell>
          <cell r="L84">
            <v>3.4293922523278226</v>
          </cell>
          <cell r="M84">
            <v>2.9826701260500856</v>
          </cell>
          <cell r="N84">
            <v>2.5757041815585269</v>
          </cell>
          <cell r="O84">
            <v>2.1556425607934302</v>
          </cell>
        </row>
        <row r="85">
          <cell r="A85" t="str">
            <v>EBITDAR/Interest Expense</v>
          </cell>
          <cell r="B85">
            <v>87.567249252086285</v>
          </cell>
          <cell r="C85">
            <v>42.854523188498</v>
          </cell>
          <cell r="D85">
            <v>19.468026075619292</v>
          </cell>
          <cell r="E85">
            <v>11.969686523040886</v>
          </cell>
          <cell r="F85">
            <v>17.132827305145188</v>
          </cell>
          <cell r="G85">
            <v>32.583333333333336</v>
          </cell>
          <cell r="H85">
            <v>-66.166666666666671</v>
          </cell>
          <cell r="I85">
            <v>-29.280898876404489</v>
          </cell>
          <cell r="J85">
            <v>-32.173659484208265</v>
          </cell>
          <cell r="K85">
            <v>3.8521643464713864</v>
          </cell>
          <cell r="L85">
            <v>4.4264818078440396</v>
          </cell>
          <cell r="M85">
            <v>5.1427172825205885</v>
          </cell>
          <cell r="N85">
            <v>6.1470366934860063</v>
          </cell>
          <cell r="O85">
            <v>7.659597690035457</v>
          </cell>
        </row>
        <row r="86">
          <cell r="A86" t="str">
            <v>(EBITDAR-Capex)/Interest Expense</v>
          </cell>
          <cell r="B86">
            <v>15.126732143347656</v>
          </cell>
          <cell r="C86">
            <v>-3.9966675591966969</v>
          </cell>
          <cell r="D86">
            <v>5.6437545516435605</v>
          </cell>
          <cell r="E86">
            <v>7.0389188020741225</v>
          </cell>
          <cell r="F86">
            <v>13.404067549467147</v>
          </cell>
          <cell r="G86">
            <v>24.081993870960705</v>
          </cell>
          <cell r="H86">
            <v>-39.357376854320215</v>
          </cell>
          <cell r="I86">
            <v>-13.869434153680395</v>
          </cell>
          <cell r="J86">
            <v>-15.836345360925153</v>
          </cell>
          <cell r="K86">
            <v>2.4940553331931108</v>
          </cell>
          <cell r="L86">
            <v>2.9950728524016634</v>
          </cell>
          <cell r="M86">
            <v>3.5593964009766919</v>
          </cell>
          <cell r="N86">
            <v>4.3150684042795477</v>
          </cell>
          <cell r="O86">
            <v>5.4426225137544995</v>
          </cell>
        </row>
        <row r="87">
          <cell r="A87" t="str">
            <v>Net Debt/EBITDAR</v>
          </cell>
          <cell r="B87">
            <v>1.4194759111702293</v>
          </cell>
          <cell r="C87">
            <v>2.0411757714987742</v>
          </cell>
          <cell r="D87">
            <v>2.6476731034837062</v>
          </cell>
          <cell r="E87">
            <v>1.8042900286783481</v>
          </cell>
          <cell r="F87">
            <v>1.3927620334260555</v>
          </cell>
          <cell r="G87">
            <v>1.0735083454793757</v>
          </cell>
          <cell r="H87">
            <v>0.86763671484984584</v>
          </cell>
          <cell r="I87">
            <v>1.1435223047190106</v>
          </cell>
          <cell r="J87">
            <v>4.9000000000000004</v>
          </cell>
          <cell r="K87">
            <v>4.0744666525011404</v>
          </cell>
          <cell r="L87">
            <v>3.4889140605362541</v>
          </cell>
          <cell r="M87">
            <v>3.0393393622756149</v>
          </cell>
          <cell r="N87">
            <v>2.6305600653139662</v>
          </cell>
          <cell r="O87">
            <v>2.2089178652889903</v>
          </cell>
        </row>
        <row r="88">
          <cell r="A88" t="str">
            <v>Debt/Cap Ratio</v>
          </cell>
          <cell r="B88">
            <v>0.66321776367793794</v>
          </cell>
          <cell r="C88">
            <v>0.66863969065857243</v>
          </cell>
          <cell r="D88">
            <v>0.66512528317420994</v>
          </cell>
          <cell r="E88">
            <v>0.67507738848421617</v>
          </cell>
          <cell r="F88">
            <v>0.59906913164887587</v>
          </cell>
          <cell r="G88">
            <v>0.54957089593435537</v>
          </cell>
          <cell r="H88">
            <v>0.46896694967682245</v>
          </cell>
          <cell r="I88">
            <v>0.49196519326457389</v>
          </cell>
          <cell r="J88">
            <v>0.7</v>
          </cell>
          <cell r="K88">
            <v>0.67390488092853096</v>
          </cell>
          <cell r="L88">
            <v>0.63922969869685298</v>
          </cell>
          <cell r="M88">
            <v>0.59468118802429792</v>
          </cell>
          <cell r="N88">
            <v>0.54071625720305616</v>
          </cell>
          <cell r="O88">
            <v>0.47711813082382359</v>
          </cell>
        </row>
        <row r="89">
          <cell r="A89" t="str">
            <v>FCF/Debt</v>
          </cell>
          <cell r="B89">
            <v>-0.1680728064212372</v>
          </cell>
          <cell r="C89">
            <v>-0.23189063164700621</v>
          </cell>
          <cell r="D89">
            <v>5.4952321033045474E-2</v>
          </cell>
          <cell r="E89">
            <v>7.2284154245016913E-2</v>
          </cell>
          <cell r="F89">
            <v>0.25411833796980449</v>
          </cell>
          <cell r="G89">
            <v>0.22047611840544099</v>
          </cell>
          <cell r="H89">
            <v>0.17728078643473186</v>
          </cell>
          <cell r="I89">
            <v>9.0231307988886469E-2</v>
          </cell>
          <cell r="J89">
            <v>6.9400611212895397E-2</v>
          </cell>
          <cell r="K89">
            <v>4.9090857642709609E-2</v>
          </cell>
          <cell r="L89">
            <v>7.1140768825801115E-2</v>
          </cell>
          <cell r="M89">
            <v>9.3231397155227588E-2</v>
          </cell>
          <cell r="N89">
            <v>0.11925504172482757</v>
          </cell>
          <cell r="O89">
            <v>0.15837055826606494</v>
          </cell>
        </row>
        <row r="91">
          <cell r="A91" t="str">
            <v>Historical Valuation</v>
          </cell>
        </row>
        <row r="92">
          <cell r="A92" t="str">
            <v>Average Annual Stock Price</v>
          </cell>
          <cell r="B92">
            <v>39.920790513833992</v>
          </cell>
          <cell r="C92">
            <v>32.540395256916995</v>
          </cell>
          <cell r="D92">
            <v>22.2519758064516</v>
          </cell>
          <cell r="E92">
            <v>13.12814229249012</v>
          </cell>
          <cell r="F92">
            <v>17.245375494071162</v>
          </cell>
          <cell r="G92">
            <v>20.918300395256932</v>
          </cell>
          <cell r="H92">
            <v>19.604980237154148</v>
          </cell>
        </row>
        <row r="93">
          <cell r="A93" t="str">
            <v>% Change</v>
          </cell>
          <cell r="C93">
            <v>-0.18487597970685032</v>
          </cell>
          <cell r="D93">
            <v>-0.31617377014738079</v>
          </cell>
          <cell r="E93">
            <v>-0.4100235230040189</v>
          </cell>
          <cell r="F93">
            <v>0.31361887385515952</v>
          </cell>
          <cell r="G93">
            <v>0.21298027998569791</v>
          </cell>
          <cell r="H93">
            <v>-6.2783310942440052E-2</v>
          </cell>
        </row>
        <row r="94">
          <cell r="A94" t="str">
            <v>Shares Outstanding</v>
          </cell>
          <cell r="B94">
            <v>895.02917600000001</v>
          </cell>
          <cell r="C94">
            <v>878.25879175</v>
          </cell>
          <cell r="D94">
            <v>871.63937850000002</v>
          </cell>
          <cell r="E94">
            <v>923.89904899999999</v>
          </cell>
          <cell r="F94">
            <v>987.97424924999996</v>
          </cell>
          <cell r="G94">
            <v>991.12157300000001</v>
          </cell>
          <cell r="H94">
            <v>902.30899999999997</v>
          </cell>
        </row>
        <row r="95">
          <cell r="A95" t="str">
            <v>Average Cash Balance</v>
          </cell>
          <cell r="B95">
            <v>507.80249999999899</v>
          </cell>
          <cell r="C95">
            <v>429.5729999999985</v>
          </cell>
          <cell r="D95">
            <v>722.26199999999835</v>
          </cell>
          <cell r="E95">
            <v>2031.5149999999992</v>
          </cell>
          <cell r="F95">
            <v>2644.11</v>
          </cell>
          <cell r="G95">
            <v>2252.8417207282637</v>
          </cell>
          <cell r="H95">
            <v>2140.0429414565274</v>
          </cell>
        </row>
        <row r="96">
          <cell r="A96" t="str">
            <v>Average Debt Balance</v>
          </cell>
          <cell r="B96">
            <v>770.51549999999997</v>
          </cell>
          <cell r="C96">
            <v>1382.018</v>
          </cell>
          <cell r="D96">
            <v>1906.7179999999998</v>
          </cell>
          <cell r="E96">
            <v>2699.5295000000001</v>
          </cell>
          <cell r="F96">
            <v>3082.7754999999997</v>
          </cell>
          <cell r="G96">
            <v>2327.8890000000001</v>
          </cell>
          <cell r="H96">
            <v>1199.5</v>
          </cell>
        </row>
        <row r="97">
          <cell r="A97" t="str">
            <v>Average Operating Leases</v>
          </cell>
          <cell r="B97">
            <v>3067.6237158032773</v>
          </cell>
          <cell r="C97">
            <v>3771.1174041169406</v>
          </cell>
          <cell r="D97">
            <v>4036.4764428138369</v>
          </cell>
          <cell r="E97">
            <v>4089.5253678659992</v>
          </cell>
          <cell r="F97">
            <v>4189.9879450523076</v>
          </cell>
          <cell r="G97">
            <v>4155.8411841020461</v>
          </cell>
          <cell r="H97">
            <v>4207.187978509045</v>
          </cell>
        </row>
        <row r="98">
          <cell r="A98" t="str">
            <v>Average EV/EBITDAR (Adjusted)</v>
          </cell>
          <cell r="B98">
            <v>17.605146497535831</v>
          </cell>
          <cell r="C98">
            <v>12.359321239479774</v>
          </cell>
          <cell r="D98">
            <v>13.18867954523707</v>
          </cell>
          <cell r="E98">
            <v>6.6623628337852612</v>
          </cell>
          <cell r="F98">
            <v>6.442319175826646</v>
          </cell>
          <cell r="G98">
            <v>7.093909421883307</v>
          </cell>
          <cell r="H98">
            <v>6.5983611932804909</v>
          </cell>
        </row>
        <row r="100">
          <cell r="A100" t="str">
            <v>Lease Adjustments</v>
          </cell>
        </row>
        <row r="101">
          <cell r="A101" t="str">
            <v>Rent Expense Reversal</v>
          </cell>
          <cell r="B101">
            <v>-561.99400000000003</v>
          </cell>
          <cell r="C101">
            <v>-705.76</v>
          </cell>
          <cell r="D101">
            <v>-788</v>
          </cell>
          <cell r="E101">
            <v>-816</v>
          </cell>
          <cell r="F101">
            <v>-808</v>
          </cell>
          <cell r="G101">
            <v>-819</v>
          </cell>
          <cell r="H101">
            <v>-866</v>
          </cell>
          <cell r="I101">
            <v>-924</v>
          </cell>
          <cell r="J101">
            <v>-951.7961829533956</v>
          </cell>
          <cell r="K101">
            <v>-1082.1956381355135</v>
          </cell>
          <cell r="L101">
            <v>-1082.1956381355135</v>
          </cell>
          <cell r="M101">
            <v>-1082.1956381355135</v>
          </cell>
          <cell r="N101">
            <v>-1082.1956381355135</v>
          </cell>
          <cell r="O101">
            <v>-1082.1956381355135</v>
          </cell>
        </row>
        <row r="102">
          <cell r="A102" t="str">
            <v>Depreciation from Leases</v>
          </cell>
          <cell r="B102">
            <v>373.00993703093354</v>
          </cell>
          <cell r="C102">
            <v>449.05037925727055</v>
          </cell>
          <cell r="D102">
            <v>464.3569156203896</v>
          </cell>
          <cell r="E102">
            <v>515.27789666609465</v>
          </cell>
          <cell r="F102">
            <v>548.29513095142738</v>
          </cell>
          <cell r="G102">
            <v>583.52067579265974</v>
          </cell>
          <cell r="H102">
            <v>641.30301610181789</v>
          </cell>
          <cell r="I102">
            <v>710.19999157678785</v>
          </cell>
          <cell r="J102">
            <v>729.14660503559469</v>
          </cell>
          <cell r="K102">
            <v>876.44018836970395</v>
          </cell>
          <cell r="L102">
            <v>861.12352162598143</v>
          </cell>
          <cell r="M102">
            <v>833.08194849373899</v>
          </cell>
          <cell r="N102">
            <v>795.01910362516833</v>
          </cell>
          <cell r="O102">
            <v>815.80309044354544</v>
          </cell>
        </row>
        <row r="103">
          <cell r="A103" t="str">
            <v>Estimated Interest Expense on Leases</v>
          </cell>
          <cell r="B103">
            <v>252.3196020839157</v>
          </cell>
          <cell r="C103">
            <v>297.10468430336221</v>
          </cell>
          <cell r="D103">
            <v>295.33489127720406</v>
          </cell>
          <cell r="E103">
            <v>310.30513848035076</v>
          </cell>
          <cell r="F103">
            <v>307.5546878670703</v>
          </cell>
          <cell r="G103">
            <v>304.0515882565648</v>
          </cell>
          <cell r="H103">
            <v>320.651427628558</v>
          </cell>
          <cell r="I103">
            <v>343.78455941218658</v>
          </cell>
          <cell r="J103">
            <v>356.99395755553684</v>
          </cell>
          <cell r="K103">
            <v>342.54339346091484</v>
          </cell>
          <cell r="L103">
            <v>341.9753273743529</v>
          </cell>
          <cell r="M103">
            <v>341.3028293494566</v>
          </cell>
          <cell r="N103">
            <v>340.52962467722563</v>
          </cell>
          <cell r="O103">
            <v>339.65796170852423</v>
          </cell>
        </row>
        <row r="104">
          <cell r="A104" t="str">
            <v>Capex Implied by Leases</v>
          </cell>
          <cell r="B104">
            <v>-1061.6266207879953</v>
          </cell>
          <cell r="C104">
            <v>-1063.6904694520522</v>
          </cell>
          <cell r="D104">
            <v>-368.3480323611733</v>
          </cell>
          <cell r="E104">
            <v>-736.10978798559631</v>
          </cell>
          <cell r="F104">
            <v>-470.95554003959944</v>
          </cell>
          <cell r="G104">
            <v>-476.14466193624366</v>
          </cell>
          <cell r="H104">
            <v>-686.8459109926298</v>
          </cell>
          <cell r="I104">
            <v>-799.6203603224443</v>
          </cell>
          <cell r="J104">
            <v>-710.52049222847268</v>
          </cell>
          <cell r="K104">
            <v>-725.21167564702841</v>
          </cell>
          <cell r="L104">
            <v>-725.21167564702841</v>
          </cell>
          <cell r="M104">
            <v>-725.21167564702841</v>
          </cell>
          <cell r="N104">
            <v>-725.21167564702841</v>
          </cell>
          <cell r="O104">
            <v>-725.21167564702841</v>
          </cell>
        </row>
        <row r="105">
          <cell r="A105" t="str">
            <v>Operating Lease Liabilities</v>
          </cell>
          <cell r="B105">
            <v>3443.599827239233</v>
          </cell>
          <cell r="C105">
            <v>4098.6349809946478</v>
          </cell>
          <cell r="D105">
            <v>3974.3179046330256</v>
          </cell>
          <cell r="E105">
            <v>4204.7328310989724</v>
          </cell>
          <cell r="F105">
            <v>4175.243059005642</v>
          </cell>
          <cell r="G105">
            <v>4136.4393091984512</v>
          </cell>
          <cell r="H105">
            <v>4277.9366478196389</v>
          </cell>
          <cell r="I105">
            <v>4497.3415675542692</v>
          </cell>
          <cell r="J105">
            <v>4613.0598343848833</v>
          </cell>
          <cell r="K105">
            <v>4391.5072475956094</v>
          </cell>
          <cell r="L105">
            <v>4376.4986124814768</v>
          </cell>
          <cell r="M105">
            <v>4360.8174793424478</v>
          </cell>
          <cell r="N105">
            <v>4344.3631415311884</v>
          </cell>
          <cell r="O105">
            <v>4327.0371407512275</v>
          </cell>
        </row>
        <row r="107">
          <cell r="A107" t="str">
            <v>Rent Expense Reversal</v>
          </cell>
          <cell r="B107">
            <v>0</v>
          </cell>
          <cell r="C107">
            <v>0</v>
          </cell>
          <cell r="D107">
            <v>0</v>
          </cell>
          <cell r="E107">
            <v>0</v>
          </cell>
          <cell r="F107">
            <v>0</v>
          </cell>
          <cell r="G107">
            <v>0</v>
          </cell>
          <cell r="H107">
            <v>0</v>
          </cell>
          <cell r="I107">
            <v>0</v>
          </cell>
          <cell r="J107">
            <v>0</v>
          </cell>
          <cell r="K107">
            <v>0</v>
          </cell>
          <cell r="L107">
            <v>0</v>
          </cell>
          <cell r="M107">
            <v>0</v>
          </cell>
          <cell r="N107">
            <v>0</v>
          </cell>
          <cell r="O107">
            <v>0</v>
          </cell>
        </row>
        <row r="108">
          <cell r="A108" t="str">
            <v>Depreciation from Leases</v>
          </cell>
          <cell r="B108">
            <v>0</v>
          </cell>
          <cell r="C108">
            <v>0</v>
          </cell>
          <cell r="D108">
            <v>0</v>
          </cell>
          <cell r="E108">
            <v>0</v>
          </cell>
          <cell r="F108">
            <v>0</v>
          </cell>
          <cell r="G108">
            <v>0</v>
          </cell>
          <cell r="H108">
            <v>0</v>
          </cell>
          <cell r="I108">
            <v>0</v>
          </cell>
          <cell r="J108">
            <v>0</v>
          </cell>
          <cell r="K108">
            <v>0</v>
          </cell>
          <cell r="L108">
            <v>0</v>
          </cell>
          <cell r="M108">
            <v>0</v>
          </cell>
          <cell r="N108">
            <v>0</v>
          </cell>
          <cell r="O108">
            <v>0</v>
          </cell>
        </row>
        <row r="109">
          <cell r="A109" t="str">
            <v>Estimated Interest Expense on Leases</v>
          </cell>
          <cell r="B109">
            <v>0</v>
          </cell>
          <cell r="C109">
            <v>0</v>
          </cell>
          <cell r="D109">
            <v>0</v>
          </cell>
          <cell r="E109">
            <v>0</v>
          </cell>
          <cell r="F109">
            <v>0</v>
          </cell>
          <cell r="G109">
            <v>0</v>
          </cell>
          <cell r="H109">
            <v>0</v>
          </cell>
          <cell r="I109">
            <v>0</v>
          </cell>
          <cell r="J109">
            <v>0</v>
          </cell>
          <cell r="K109">
            <v>0</v>
          </cell>
          <cell r="L109">
            <v>0</v>
          </cell>
          <cell r="M109">
            <v>0</v>
          </cell>
          <cell r="N109">
            <v>0</v>
          </cell>
          <cell r="O109">
            <v>0</v>
          </cell>
        </row>
        <row r="110">
          <cell r="A110" t="str">
            <v>Capex Implied by Leases</v>
          </cell>
          <cell r="B110">
            <v>0</v>
          </cell>
          <cell r="C110">
            <v>0</v>
          </cell>
          <cell r="D110">
            <v>0</v>
          </cell>
          <cell r="E110">
            <v>0</v>
          </cell>
          <cell r="F110">
            <v>0</v>
          </cell>
          <cell r="G110">
            <v>0</v>
          </cell>
          <cell r="H110">
            <v>0</v>
          </cell>
          <cell r="I110">
            <v>0</v>
          </cell>
          <cell r="J110">
            <v>0</v>
          </cell>
          <cell r="K110">
            <v>0</v>
          </cell>
          <cell r="L110">
            <v>0</v>
          </cell>
          <cell r="M110">
            <v>0</v>
          </cell>
          <cell r="N110">
            <v>0</v>
          </cell>
          <cell r="O110">
            <v>0</v>
          </cell>
        </row>
        <row r="111">
          <cell r="A111" t="str">
            <v>Operating Lease Liabilities</v>
          </cell>
          <cell r="B111">
            <v>0</v>
          </cell>
          <cell r="C111">
            <v>0</v>
          </cell>
          <cell r="D111">
            <v>0</v>
          </cell>
          <cell r="E111">
            <v>0</v>
          </cell>
          <cell r="F111">
            <v>0</v>
          </cell>
          <cell r="G111">
            <v>0</v>
          </cell>
          <cell r="H111">
            <v>0</v>
          </cell>
          <cell r="I111">
            <v>0</v>
          </cell>
          <cell r="J111">
            <v>0</v>
          </cell>
          <cell r="K111">
            <v>0</v>
          </cell>
          <cell r="L111">
            <v>0</v>
          </cell>
          <cell r="M111">
            <v>0</v>
          </cell>
          <cell r="N111">
            <v>0</v>
          </cell>
          <cell r="O111">
            <v>0</v>
          </cell>
        </row>
        <row r="113">
          <cell r="A113" t="str">
            <v>Capex Estimate</v>
          </cell>
        </row>
        <row r="114">
          <cell r="A114" t="str">
            <v>New Store Capex</v>
          </cell>
          <cell r="C114">
            <v>270</v>
          </cell>
        </row>
        <row r="115">
          <cell r="A115" t="str">
            <v>New Stores</v>
          </cell>
          <cell r="C115">
            <v>175</v>
          </cell>
        </row>
        <row r="116">
          <cell r="A116" t="str">
            <v>Ave. Sq. Ft./Store</v>
          </cell>
          <cell r="C116">
            <v>1.2381264330167049E-2</v>
          </cell>
        </row>
        <row r="117">
          <cell r="A117" t="str">
            <v>Capex/Store</v>
          </cell>
          <cell r="C117">
            <v>1.5428571428571429</v>
          </cell>
        </row>
        <row r="118">
          <cell r="A118" t="str">
            <v>Capex/Sq. Ft.</v>
          </cell>
          <cell r="C118">
            <v>124.61224489795917</v>
          </cell>
        </row>
        <row r="120">
          <cell r="A120" t="str">
            <v>Control Box-DO NOT DELETE</v>
          </cell>
          <cell r="C120">
            <v>1</v>
          </cell>
        </row>
      </sheetData>
      <sheetData sheetId="7" refreshError="1"/>
      <sheetData sheetId="8">
        <row r="1">
          <cell r="A1" t="str">
            <v>LTM Revenue Contribution</v>
          </cell>
          <cell r="O1" t="str">
            <v>Q1</v>
          </cell>
          <cell r="P1" t="str">
            <v>Q2</v>
          </cell>
          <cell r="Q1" t="str">
            <v>Q3</v>
          </cell>
          <cell r="R1" t="str">
            <v>Q4</v>
          </cell>
          <cell r="S1" t="str">
            <v>FY</v>
          </cell>
        </row>
        <row r="2">
          <cell r="A2" t="str">
            <v>Gap North America</v>
          </cell>
          <cell r="B2">
            <v>0.33284920434453147</v>
          </cell>
          <cell r="O2">
            <v>0.22212262459662963</v>
          </cell>
          <cell r="P2">
            <v>0.22427393330942991</v>
          </cell>
          <cell r="Q2">
            <v>0.24937253495876657</v>
          </cell>
          <cell r="R2">
            <v>0.30423090713517392</v>
          </cell>
          <cell r="S2">
            <v>1</v>
          </cell>
        </row>
        <row r="3">
          <cell r="A3" t="str">
            <v>Gap International</v>
          </cell>
          <cell r="B3">
            <v>8.8279868653700425E-2</v>
          </cell>
          <cell r="O3">
            <v>0.23458038422649141</v>
          </cell>
          <cell r="P3">
            <v>0.23963599595551061</v>
          </cell>
          <cell r="Q3">
            <v>0.22345803842264914</v>
          </cell>
          <cell r="R3">
            <v>0.30232558139534882</v>
          </cell>
          <cell r="S3">
            <v>1</v>
          </cell>
        </row>
        <row r="4">
          <cell r="A4" t="str">
            <v xml:space="preserve">Banana Republic </v>
          </cell>
          <cell r="B4">
            <v>0.14725940894165193</v>
          </cell>
          <cell r="O4">
            <v>0.22278314310798947</v>
          </cell>
          <cell r="P4">
            <v>0.23266022827041263</v>
          </cell>
          <cell r="Q4">
            <v>0.23595258999122037</v>
          </cell>
          <cell r="R4">
            <v>0.3086040386303775</v>
          </cell>
          <cell r="S4">
            <v>1</v>
          </cell>
        </row>
        <row r="5">
          <cell r="A5" t="str">
            <v>Old Navy</v>
          </cell>
          <cell r="B5">
            <v>0.43091689820661783</v>
          </cell>
          <cell r="O5">
            <v>0.22825847239579505</v>
          </cell>
          <cell r="P5">
            <v>0.23259575093729323</v>
          </cell>
          <cell r="Q5">
            <v>0.24391678306255973</v>
          </cell>
          <cell r="R5">
            <v>0.29522899360435201</v>
          </cell>
          <cell r="S5">
            <v>1</v>
          </cell>
        </row>
        <row r="6">
          <cell r="A6" t="str">
            <v>Other (Inc. Forthe and Towne)</v>
          </cell>
          <cell r="B6">
            <v>8.2091437231624148E-4</v>
          </cell>
          <cell r="O6">
            <v>0</v>
          </cell>
          <cell r="P6">
            <v>0</v>
          </cell>
          <cell r="Q6">
            <v>0.25</v>
          </cell>
          <cell r="R6">
            <v>0.75</v>
          </cell>
          <cell r="S6">
            <v>1</v>
          </cell>
        </row>
        <row r="8">
          <cell r="A8" t="str">
            <v>Consolidated</v>
          </cell>
        </row>
        <row r="9">
          <cell r="B9" t="str">
            <v>January</v>
          </cell>
          <cell r="C9" t="str">
            <v>February</v>
          </cell>
          <cell r="D9" t="str">
            <v>March</v>
          </cell>
          <cell r="E9" t="str">
            <v>April</v>
          </cell>
          <cell r="F9" t="str">
            <v>May</v>
          </cell>
          <cell r="G9" t="str">
            <v>June</v>
          </cell>
          <cell r="H9" t="str">
            <v>July</v>
          </cell>
          <cell r="I9" t="str">
            <v>August</v>
          </cell>
          <cell r="J9" t="str">
            <v>September</v>
          </cell>
          <cell r="K9" t="str">
            <v>October</v>
          </cell>
          <cell r="L9" t="str">
            <v>November</v>
          </cell>
          <cell r="M9" t="str">
            <v>December</v>
          </cell>
          <cell r="O9" t="str">
            <v>Q1</v>
          </cell>
          <cell r="P9" t="str">
            <v>Q2</v>
          </cell>
          <cell r="Q9" t="str">
            <v>Q3</v>
          </cell>
          <cell r="R9" t="str">
            <v>Q4</v>
          </cell>
          <cell r="S9" t="str">
            <v>FY</v>
          </cell>
          <cell r="V9" t="str">
            <v>Q1</v>
          </cell>
          <cell r="W9" t="str">
            <v>Q2</v>
          </cell>
          <cell r="X9" t="str">
            <v>Q3</v>
          </cell>
          <cell r="Y9" t="str">
            <v>Q4</v>
          </cell>
          <cell r="Z9" t="str">
            <v>FY</v>
          </cell>
          <cell r="AB9" t="str">
            <v>Consolidated</v>
          </cell>
        </row>
        <row r="10">
          <cell r="A10" t="str">
            <v>2003</v>
          </cell>
          <cell r="B10">
            <v>16</v>
          </cell>
          <cell r="C10">
            <v>8</v>
          </cell>
          <cell r="D10">
            <v>9</v>
          </cell>
          <cell r="E10">
            <v>20</v>
          </cell>
          <cell r="F10">
            <v>10</v>
          </cell>
          <cell r="G10">
            <v>10</v>
          </cell>
          <cell r="H10">
            <v>9</v>
          </cell>
          <cell r="I10">
            <v>4</v>
          </cell>
          <cell r="J10">
            <v>13</v>
          </cell>
          <cell r="K10">
            <v>1</v>
          </cell>
          <cell r="L10">
            <v>6</v>
          </cell>
          <cell r="M10">
            <v>1</v>
          </cell>
          <cell r="O10">
            <v>12</v>
          </cell>
          <cell r="P10">
            <v>10</v>
          </cell>
          <cell r="Q10">
            <v>6</v>
          </cell>
          <cell r="R10">
            <v>3</v>
          </cell>
          <cell r="S10">
            <v>7.0000000000000009</v>
          </cell>
          <cell r="U10" t="str">
            <v>2-yr. Average</v>
          </cell>
          <cell r="V10">
            <v>1.5000000000000004</v>
          </cell>
          <cell r="W10">
            <v>-1.5</v>
          </cell>
          <cell r="X10">
            <v>-4</v>
          </cell>
          <cell r="Y10">
            <v>-4.5</v>
          </cell>
          <cell r="Z10">
            <v>-2.5</v>
          </cell>
        </row>
        <row r="11">
          <cell r="A11" t="str">
            <v>2004</v>
          </cell>
          <cell r="B11">
            <v>3</v>
          </cell>
          <cell r="C11">
            <v>12</v>
          </cell>
          <cell r="D11">
            <v>8</v>
          </cell>
          <cell r="E11">
            <v>3</v>
          </cell>
          <cell r="F11">
            <v>6</v>
          </cell>
          <cell r="G11">
            <v>-2</v>
          </cell>
          <cell r="H11">
            <v>-5</v>
          </cell>
          <cell r="I11">
            <v>-1</v>
          </cell>
          <cell r="J11">
            <v>-3</v>
          </cell>
          <cell r="K11">
            <v>3</v>
          </cell>
          <cell r="L11">
            <v>-4</v>
          </cell>
          <cell r="M11">
            <v>-1</v>
          </cell>
          <cell r="O11">
            <v>7.0000000000000009</v>
          </cell>
          <cell r="P11">
            <v>0</v>
          </cell>
          <cell r="Q11">
            <v>-1</v>
          </cell>
          <cell r="R11">
            <v>-3</v>
          </cell>
          <cell r="S11">
            <v>0</v>
          </cell>
          <cell r="U11" t="str">
            <v>1-yr. Average</v>
          </cell>
          <cell r="V11">
            <v>-4</v>
          </cell>
          <cell r="W11">
            <v>-3</v>
          </cell>
          <cell r="X11">
            <v>-7.0000000000000009</v>
          </cell>
          <cell r="Y11">
            <v>-6</v>
          </cell>
          <cell r="Z11">
            <v>-5</v>
          </cell>
        </row>
        <row r="12">
          <cell r="A12" t="str">
            <v>2005</v>
          </cell>
          <cell r="B12">
            <v>-7</v>
          </cell>
          <cell r="C12">
            <v>-3</v>
          </cell>
          <cell r="D12">
            <v>-4</v>
          </cell>
          <cell r="E12">
            <v>-5</v>
          </cell>
          <cell r="F12">
            <v>-8</v>
          </cell>
          <cell r="G12">
            <v>0</v>
          </cell>
          <cell r="H12">
            <v>-4</v>
          </cell>
          <cell r="I12">
            <v>-9</v>
          </cell>
          <cell r="J12">
            <v>-6</v>
          </cell>
          <cell r="K12">
            <v>-5</v>
          </cell>
          <cell r="L12">
            <v>-4</v>
          </cell>
          <cell r="M12">
            <v>-9</v>
          </cell>
          <cell r="O12">
            <v>-4</v>
          </cell>
          <cell r="P12">
            <v>-3</v>
          </cell>
          <cell r="Q12">
            <v>-7.0000000000000009</v>
          </cell>
          <cell r="R12">
            <v>-6</v>
          </cell>
          <cell r="S12">
            <v>-5</v>
          </cell>
          <cell r="U12" t="str">
            <v>2006 Reported</v>
          </cell>
          <cell r="V12">
            <v>-9</v>
          </cell>
          <cell r="W12">
            <v>-5</v>
          </cell>
        </row>
        <row r="13">
          <cell r="A13" t="str">
            <v>2006</v>
          </cell>
          <cell r="B13">
            <v>1</v>
          </cell>
          <cell r="C13">
            <v>-11</v>
          </cell>
          <cell r="D13">
            <v>-13</v>
          </cell>
          <cell r="E13">
            <v>-3</v>
          </cell>
          <cell r="F13">
            <v>-6</v>
          </cell>
          <cell r="G13">
            <v>-6</v>
          </cell>
          <cell r="H13">
            <v>-4</v>
          </cell>
          <cell r="I13">
            <v>-7</v>
          </cell>
          <cell r="J13">
            <v>-3</v>
          </cell>
          <cell r="K13">
            <v>-7</v>
          </cell>
          <cell r="L13">
            <v>-8</v>
          </cell>
          <cell r="M13">
            <v>-8</v>
          </cell>
          <cell r="O13">
            <v>-9</v>
          </cell>
          <cell r="P13">
            <v>-5</v>
          </cell>
          <cell r="Q13">
            <v>-5.3302358421266973</v>
          </cell>
          <cell r="R13">
            <v>-6.2280060439115283</v>
          </cell>
          <cell r="S13">
            <v>-6.4466697776656323</v>
          </cell>
        </row>
        <row r="14">
          <cell r="A14" t="str">
            <v>2007</v>
          </cell>
          <cell r="B14">
            <v>0</v>
          </cell>
          <cell r="C14">
            <v>-4</v>
          </cell>
          <cell r="D14">
            <v>6</v>
          </cell>
          <cell r="E14">
            <v>-16</v>
          </cell>
          <cell r="F14">
            <v>-3</v>
          </cell>
          <cell r="G14">
            <v>-5</v>
          </cell>
          <cell r="H14">
            <v>-7</v>
          </cell>
          <cell r="I14">
            <v>-1</v>
          </cell>
          <cell r="J14">
            <v>-7</v>
          </cell>
          <cell r="K14">
            <v>-8</v>
          </cell>
          <cell r="L14">
            <v>0</v>
          </cell>
          <cell r="M14">
            <v>-6</v>
          </cell>
          <cell r="S14">
            <v>3.9280752715332157</v>
          </cell>
        </row>
        <row r="15">
          <cell r="A15" t="str">
            <v>3-yr. Total</v>
          </cell>
          <cell r="B15">
            <v>-6</v>
          </cell>
          <cell r="C15">
            <v>-18</v>
          </cell>
          <cell r="D15">
            <v>-11</v>
          </cell>
          <cell r="E15">
            <v>-24</v>
          </cell>
          <cell r="F15">
            <v>-17</v>
          </cell>
          <cell r="G15">
            <v>-11</v>
          </cell>
          <cell r="H15">
            <v>-15</v>
          </cell>
          <cell r="I15">
            <v>-17</v>
          </cell>
          <cell r="J15">
            <v>-16</v>
          </cell>
          <cell r="K15">
            <v>-20</v>
          </cell>
          <cell r="L15">
            <v>-12</v>
          </cell>
          <cell r="M15">
            <v>-23</v>
          </cell>
          <cell r="O15">
            <v>-5.9999999999999991</v>
          </cell>
          <cell r="P15">
            <v>-8</v>
          </cell>
          <cell r="Q15">
            <v>-13.330235842126697</v>
          </cell>
          <cell r="R15">
            <v>-15.228006043911527</v>
          </cell>
          <cell r="S15">
            <v>-7.518594506132418</v>
          </cell>
        </row>
        <row r="16">
          <cell r="A16" t="str">
            <v>2-yr. Ave</v>
          </cell>
          <cell r="B16">
            <v>-3</v>
          </cell>
          <cell r="C16">
            <v>-7</v>
          </cell>
          <cell r="D16">
            <v>-8.5</v>
          </cell>
          <cell r="E16">
            <v>-4</v>
          </cell>
          <cell r="F16">
            <v>-7</v>
          </cell>
          <cell r="G16">
            <v>-3</v>
          </cell>
          <cell r="H16">
            <v>-4</v>
          </cell>
          <cell r="I16">
            <v>-8</v>
          </cell>
          <cell r="J16">
            <v>-4.5</v>
          </cell>
          <cell r="K16">
            <v>-6</v>
          </cell>
          <cell r="L16">
            <v>-6</v>
          </cell>
          <cell r="M16">
            <v>-8.5</v>
          </cell>
          <cell r="O16">
            <v>-6.5</v>
          </cell>
          <cell r="P16">
            <v>-4</v>
          </cell>
          <cell r="Q16">
            <v>-6.1651179210633487</v>
          </cell>
          <cell r="R16">
            <v>-6.1140030219557637</v>
          </cell>
          <cell r="S16">
            <v>-5.7233348888328166</v>
          </cell>
        </row>
        <row r="17">
          <cell r="A17" t="str">
            <v>Estimated Comp</v>
          </cell>
        </row>
        <row r="19">
          <cell r="A19" t="str">
            <v>Gap North America</v>
          </cell>
        </row>
        <row r="20">
          <cell r="B20" t="str">
            <v>January</v>
          </cell>
          <cell r="C20" t="str">
            <v>February</v>
          </cell>
          <cell r="D20" t="str">
            <v>March</v>
          </cell>
          <cell r="E20" t="str">
            <v>April</v>
          </cell>
          <cell r="F20" t="str">
            <v>May</v>
          </cell>
          <cell r="G20" t="str">
            <v>June</v>
          </cell>
          <cell r="H20" t="str">
            <v>July</v>
          </cell>
          <cell r="I20" t="str">
            <v>August</v>
          </cell>
          <cell r="J20" t="str">
            <v>September</v>
          </cell>
          <cell r="K20" t="str">
            <v>October</v>
          </cell>
          <cell r="L20" t="str">
            <v>November</v>
          </cell>
          <cell r="M20" t="str">
            <v>December</v>
          </cell>
          <cell r="O20" t="str">
            <v>Q1</v>
          </cell>
          <cell r="P20" t="str">
            <v>Q2</v>
          </cell>
          <cell r="Q20" t="str">
            <v>Q3</v>
          </cell>
          <cell r="R20" t="str">
            <v>Q4</v>
          </cell>
          <cell r="S20" t="str">
            <v>FY</v>
          </cell>
          <cell r="V20" t="str">
            <v>Q1</v>
          </cell>
          <cell r="W20" t="str">
            <v>Q2</v>
          </cell>
          <cell r="X20" t="str">
            <v>Q3</v>
          </cell>
          <cell r="Y20" t="str">
            <v>Q4</v>
          </cell>
          <cell r="Z20" t="str">
            <v>FY</v>
          </cell>
        </row>
        <row r="21">
          <cell r="A21" t="str">
            <v>2003</v>
          </cell>
          <cell r="B21">
            <v>8</v>
          </cell>
          <cell r="C21">
            <v>11</v>
          </cell>
          <cell r="D21">
            <v>5</v>
          </cell>
          <cell r="E21">
            <v>23</v>
          </cell>
          <cell r="F21">
            <v>8</v>
          </cell>
          <cell r="G21">
            <v>8</v>
          </cell>
          <cell r="H21">
            <v>12</v>
          </cell>
          <cell r="I21">
            <v>1</v>
          </cell>
          <cell r="J21">
            <v>12</v>
          </cell>
          <cell r="K21">
            <v>1</v>
          </cell>
          <cell r="L21">
            <v>4</v>
          </cell>
          <cell r="M21">
            <v>-1</v>
          </cell>
          <cell r="O21">
            <v>13</v>
          </cell>
          <cell r="P21">
            <v>9</v>
          </cell>
          <cell r="Q21">
            <v>5</v>
          </cell>
          <cell r="R21">
            <v>2</v>
          </cell>
          <cell r="S21">
            <v>6</v>
          </cell>
          <cell r="U21" t="str">
            <v>2-yr. Average</v>
          </cell>
          <cell r="V21">
            <v>0</v>
          </cell>
          <cell r="W21">
            <v>-1.5</v>
          </cell>
          <cell r="X21">
            <v>-2</v>
          </cell>
          <cell r="Y21">
            <v>-4</v>
          </cell>
          <cell r="Z21">
            <v>-2</v>
          </cell>
        </row>
        <row r="22">
          <cell r="A22" t="str">
            <v>2004</v>
          </cell>
          <cell r="B22">
            <v>5</v>
          </cell>
          <cell r="C22">
            <v>4</v>
          </cell>
          <cell r="D22">
            <v>5</v>
          </cell>
          <cell r="E22">
            <v>2</v>
          </cell>
          <cell r="F22">
            <v>10</v>
          </cell>
          <cell r="G22">
            <v>-3</v>
          </cell>
          <cell r="H22">
            <v>-3</v>
          </cell>
          <cell r="I22">
            <v>-1</v>
          </cell>
          <cell r="J22">
            <v>-2</v>
          </cell>
          <cell r="K22">
            <v>5</v>
          </cell>
          <cell r="L22">
            <v>-1</v>
          </cell>
          <cell r="M22">
            <v>1</v>
          </cell>
          <cell r="O22">
            <v>4</v>
          </cell>
          <cell r="P22">
            <v>1</v>
          </cell>
          <cell r="Q22">
            <v>0</v>
          </cell>
          <cell r="R22">
            <v>-1</v>
          </cell>
          <cell r="S22">
            <v>1</v>
          </cell>
          <cell r="U22" t="str">
            <v>1-yr. Average</v>
          </cell>
          <cell r="V22">
            <v>-4</v>
          </cell>
          <cell r="W22">
            <v>-4</v>
          </cell>
          <cell r="X22">
            <v>-4</v>
          </cell>
          <cell r="Y22">
            <v>-7.0000000000000009</v>
          </cell>
          <cell r="Z22">
            <v>-5</v>
          </cell>
        </row>
        <row r="23">
          <cell r="A23" t="str">
            <v>2005</v>
          </cell>
          <cell r="B23">
            <v>-6</v>
          </cell>
          <cell r="C23">
            <v>-2</v>
          </cell>
          <cell r="D23">
            <v>-1</v>
          </cell>
          <cell r="E23">
            <v>-9</v>
          </cell>
          <cell r="F23">
            <v>-9</v>
          </cell>
          <cell r="G23">
            <v>3</v>
          </cell>
          <cell r="H23">
            <v>-8</v>
          </cell>
          <cell r="I23">
            <v>-7</v>
          </cell>
          <cell r="J23">
            <v>-3</v>
          </cell>
          <cell r="K23">
            <v>-3</v>
          </cell>
          <cell r="L23">
            <v>-5</v>
          </cell>
          <cell r="M23">
            <v>-10</v>
          </cell>
          <cell r="O23">
            <v>-4</v>
          </cell>
          <cell r="P23">
            <v>-4</v>
          </cell>
          <cell r="Q23">
            <v>-4</v>
          </cell>
          <cell r="R23">
            <v>-7.0000000000000009</v>
          </cell>
          <cell r="S23">
            <v>-5</v>
          </cell>
          <cell r="U23" t="str">
            <v>2006 Reported</v>
          </cell>
          <cell r="V23">
            <v>-8</v>
          </cell>
          <cell r="W23">
            <v>-6</v>
          </cell>
        </row>
        <row r="24">
          <cell r="A24" t="str">
            <v>2006</v>
          </cell>
          <cell r="B24">
            <v>3</v>
          </cell>
          <cell r="C24">
            <v>-7</v>
          </cell>
          <cell r="D24">
            <v>-13</v>
          </cell>
          <cell r="E24">
            <v>-2</v>
          </cell>
          <cell r="F24">
            <v>-5</v>
          </cell>
          <cell r="G24">
            <v>-4</v>
          </cell>
          <cell r="H24">
            <v>-13</v>
          </cell>
          <cell r="I24">
            <v>-11</v>
          </cell>
          <cell r="J24">
            <v>-5</v>
          </cell>
          <cell r="K24">
            <v>-4</v>
          </cell>
          <cell r="L24">
            <v>-7</v>
          </cell>
          <cell r="M24">
            <v>-9</v>
          </cell>
          <cell r="O24">
            <v>-8</v>
          </cell>
          <cell r="P24">
            <v>-6</v>
          </cell>
          <cell r="Q24">
            <v>-6.5076530612244898</v>
          </cell>
          <cell r="R24">
            <v>-7.8453244868339205</v>
          </cell>
          <cell r="S24">
            <v>-7.132244722538621</v>
          </cell>
        </row>
        <row r="25">
          <cell r="A25" t="str">
            <v>2007</v>
          </cell>
          <cell r="B25">
            <v>-6</v>
          </cell>
          <cell r="C25">
            <v>-5</v>
          </cell>
          <cell r="D25">
            <v>4</v>
          </cell>
          <cell r="E25">
            <v>-14</v>
          </cell>
          <cell r="F25">
            <v>-7</v>
          </cell>
          <cell r="G25">
            <v>-9</v>
          </cell>
          <cell r="H25">
            <v>2</v>
          </cell>
          <cell r="I25">
            <v>2</v>
          </cell>
          <cell r="J25">
            <v>-10</v>
          </cell>
          <cell r="K25">
            <v>-7</v>
          </cell>
          <cell r="L25">
            <v>1</v>
          </cell>
          <cell r="M25">
            <v>-9</v>
          </cell>
          <cell r="S25">
            <v>7</v>
          </cell>
        </row>
        <row r="26">
          <cell r="A26" t="str">
            <v>3-yr. Total</v>
          </cell>
          <cell r="B26">
            <v>-9</v>
          </cell>
          <cell r="C26">
            <v>-14</v>
          </cell>
          <cell r="D26">
            <v>-10</v>
          </cell>
          <cell r="E26">
            <v>-25</v>
          </cell>
          <cell r="F26">
            <v>-21</v>
          </cell>
          <cell r="G26">
            <v>-10</v>
          </cell>
          <cell r="H26">
            <v>-19</v>
          </cell>
          <cell r="I26">
            <v>-16</v>
          </cell>
          <cell r="J26">
            <v>-18</v>
          </cell>
          <cell r="K26">
            <v>-14</v>
          </cell>
          <cell r="L26">
            <v>-11</v>
          </cell>
          <cell r="M26">
            <v>-28</v>
          </cell>
          <cell r="O26">
            <v>-8</v>
          </cell>
          <cell r="P26">
            <v>-9</v>
          </cell>
          <cell r="Q26">
            <v>-10.50765306122449</v>
          </cell>
          <cell r="R26">
            <v>-15.84532448683392</v>
          </cell>
          <cell r="S26">
            <v>-5.132244722538621</v>
          </cell>
        </row>
        <row r="27">
          <cell r="A27" t="str">
            <v>2-yr. Ave</v>
          </cell>
          <cell r="B27">
            <v>-1.5</v>
          </cell>
          <cell r="C27">
            <v>-4.5</v>
          </cell>
          <cell r="D27">
            <v>-7</v>
          </cell>
          <cell r="E27">
            <v>-5.5</v>
          </cell>
          <cell r="F27">
            <v>-7</v>
          </cell>
          <cell r="G27">
            <v>-0.5</v>
          </cell>
          <cell r="H27">
            <v>-10.5</v>
          </cell>
          <cell r="I27">
            <v>-9</v>
          </cell>
          <cell r="J27">
            <v>-4</v>
          </cell>
          <cell r="K27">
            <v>-3.5</v>
          </cell>
          <cell r="L27">
            <v>-6</v>
          </cell>
          <cell r="M27">
            <v>-9.5</v>
          </cell>
          <cell r="O27">
            <v>-6</v>
          </cell>
          <cell r="P27">
            <v>-5</v>
          </cell>
          <cell r="Q27">
            <v>-5.2538265306122449</v>
          </cell>
          <cell r="R27">
            <v>-7.4226622434169602</v>
          </cell>
          <cell r="S27">
            <v>-6.0661223612693105</v>
          </cell>
        </row>
        <row r="29">
          <cell r="A29" t="str">
            <v>Banana Republic</v>
          </cell>
        </row>
        <row r="30">
          <cell r="B30" t="str">
            <v>January</v>
          </cell>
          <cell r="C30" t="str">
            <v>February</v>
          </cell>
          <cell r="D30" t="str">
            <v>March</v>
          </cell>
          <cell r="E30" t="str">
            <v>April</v>
          </cell>
          <cell r="F30" t="str">
            <v>May</v>
          </cell>
          <cell r="G30" t="str">
            <v>June</v>
          </cell>
          <cell r="H30" t="str">
            <v>July</v>
          </cell>
          <cell r="I30" t="str">
            <v>August</v>
          </cell>
          <cell r="J30" t="str">
            <v>September</v>
          </cell>
          <cell r="K30" t="str">
            <v>October</v>
          </cell>
          <cell r="L30" t="str">
            <v>November</v>
          </cell>
          <cell r="M30" t="str">
            <v>December</v>
          </cell>
          <cell r="O30" t="str">
            <v>Q1</v>
          </cell>
          <cell r="P30" t="str">
            <v>Q2</v>
          </cell>
          <cell r="Q30" t="str">
            <v>Q3</v>
          </cell>
          <cell r="R30" t="str">
            <v>Q4</v>
          </cell>
          <cell r="S30" t="str">
            <v>FY</v>
          </cell>
          <cell r="V30" t="str">
            <v>Q1</v>
          </cell>
          <cell r="W30" t="str">
            <v>Q2</v>
          </cell>
          <cell r="X30" t="str">
            <v>Q3</v>
          </cell>
          <cell r="Y30" t="str">
            <v>Q4</v>
          </cell>
          <cell r="Z30" t="str">
            <v>FY</v>
          </cell>
        </row>
        <row r="31">
          <cell r="A31" t="str">
            <v>2003</v>
          </cell>
          <cell r="B31">
            <v>11</v>
          </cell>
          <cell r="C31">
            <v>-3</v>
          </cell>
          <cell r="D31">
            <v>-5</v>
          </cell>
          <cell r="E31">
            <v>11</v>
          </cell>
          <cell r="F31">
            <v>2</v>
          </cell>
          <cell r="G31">
            <v>7</v>
          </cell>
          <cell r="H31">
            <v>5</v>
          </cell>
          <cell r="I31">
            <v>8</v>
          </cell>
          <cell r="J31">
            <v>12</v>
          </cell>
          <cell r="K31">
            <v>11</v>
          </cell>
          <cell r="L31">
            <v>14</v>
          </cell>
          <cell r="M31">
            <v>10</v>
          </cell>
          <cell r="O31">
            <v>1</v>
          </cell>
          <cell r="P31">
            <v>5</v>
          </cell>
          <cell r="Q31">
            <v>11</v>
          </cell>
          <cell r="R31">
            <v>9</v>
          </cell>
          <cell r="S31">
            <v>7.0000000000000009</v>
          </cell>
          <cell r="U31" t="str">
            <v>2-yr. Average</v>
          </cell>
          <cell r="V31">
            <v>8.5</v>
          </cell>
          <cell r="W31">
            <v>0.5</v>
          </cell>
          <cell r="X31">
            <v>-2.0000000000000004</v>
          </cell>
          <cell r="Y31">
            <v>-3</v>
          </cell>
          <cell r="Z31">
            <v>0.5</v>
          </cell>
        </row>
        <row r="32">
          <cell r="A32" t="str">
            <v>2004</v>
          </cell>
          <cell r="B32">
            <v>-1</v>
          </cell>
          <cell r="C32">
            <v>30</v>
          </cell>
          <cell r="D32">
            <v>25</v>
          </cell>
          <cell r="E32">
            <v>12</v>
          </cell>
          <cell r="F32">
            <v>8</v>
          </cell>
          <cell r="G32">
            <v>11</v>
          </cell>
          <cell r="H32">
            <v>-10</v>
          </cell>
          <cell r="I32">
            <v>0</v>
          </cell>
          <cell r="J32">
            <v>6</v>
          </cell>
          <cell r="K32">
            <v>3</v>
          </cell>
          <cell r="L32">
            <v>-3</v>
          </cell>
          <cell r="M32">
            <v>-2</v>
          </cell>
          <cell r="O32">
            <v>21</v>
          </cell>
          <cell r="P32">
            <v>4</v>
          </cell>
          <cell r="Q32">
            <v>3</v>
          </cell>
          <cell r="R32">
            <v>-1</v>
          </cell>
          <cell r="S32">
            <v>6</v>
          </cell>
          <cell r="U32" t="str">
            <v>1-yr. Average</v>
          </cell>
          <cell r="V32">
            <v>-4</v>
          </cell>
          <cell r="W32">
            <v>-3</v>
          </cell>
          <cell r="X32">
            <v>-7.0000000000000009</v>
          </cell>
          <cell r="Y32">
            <v>-5</v>
          </cell>
          <cell r="Z32">
            <v>-5</v>
          </cell>
        </row>
        <row r="33">
          <cell r="A33" t="str">
            <v>2005</v>
          </cell>
          <cell r="B33">
            <v>7</v>
          </cell>
          <cell r="C33">
            <v>-6</v>
          </cell>
          <cell r="D33">
            <v>-1</v>
          </cell>
          <cell r="E33">
            <v>-6</v>
          </cell>
          <cell r="F33">
            <v>-7</v>
          </cell>
          <cell r="G33">
            <v>-6</v>
          </cell>
          <cell r="H33">
            <v>7</v>
          </cell>
          <cell r="I33">
            <v>-6</v>
          </cell>
          <cell r="J33">
            <v>-7</v>
          </cell>
          <cell r="K33">
            <v>-8</v>
          </cell>
          <cell r="L33">
            <v>-5</v>
          </cell>
          <cell r="M33">
            <v>-5</v>
          </cell>
          <cell r="O33">
            <v>-4</v>
          </cell>
          <cell r="P33">
            <v>-3</v>
          </cell>
          <cell r="Q33">
            <v>-7.0000000000000009</v>
          </cell>
          <cell r="R33">
            <v>-5</v>
          </cell>
          <cell r="S33">
            <v>-5</v>
          </cell>
          <cell r="U33" t="str">
            <v>2006 Reported</v>
          </cell>
          <cell r="V33">
            <v>-5</v>
          </cell>
          <cell r="W33">
            <v>-1</v>
          </cell>
        </row>
        <row r="34">
          <cell r="A34" t="str">
            <v>2006</v>
          </cell>
          <cell r="B34">
            <v>-6</v>
          </cell>
          <cell r="C34">
            <v>-11</v>
          </cell>
          <cell r="D34">
            <v>-7</v>
          </cell>
          <cell r="E34">
            <v>1</v>
          </cell>
          <cell r="F34">
            <v>3</v>
          </cell>
          <cell r="G34">
            <v>-4</v>
          </cell>
          <cell r="H34">
            <v>0</v>
          </cell>
          <cell r="I34">
            <v>2</v>
          </cell>
          <cell r="J34">
            <v>3</v>
          </cell>
          <cell r="K34">
            <v>2</v>
          </cell>
          <cell r="L34">
            <v>-1</v>
          </cell>
          <cell r="M34">
            <v>2</v>
          </cell>
          <cell r="O34">
            <v>-5</v>
          </cell>
          <cell r="P34">
            <v>-1</v>
          </cell>
          <cell r="Q34">
            <v>2.3647959183673466</v>
          </cell>
          <cell r="R34">
            <v>3.4256686709516897</v>
          </cell>
          <cell r="S34">
            <v>0.2685789647943313</v>
          </cell>
        </row>
        <row r="35">
          <cell r="A35" t="str">
            <v>2007</v>
          </cell>
          <cell r="B35">
            <v>14</v>
          </cell>
          <cell r="C35">
            <v>0</v>
          </cell>
          <cell r="D35">
            <v>8</v>
          </cell>
          <cell r="E35">
            <v>-13</v>
          </cell>
          <cell r="F35">
            <v>3</v>
          </cell>
          <cell r="G35">
            <v>6</v>
          </cell>
          <cell r="H35">
            <v>1</v>
          </cell>
          <cell r="I35">
            <v>7</v>
          </cell>
          <cell r="J35">
            <v>-2</v>
          </cell>
          <cell r="K35">
            <v>-2</v>
          </cell>
          <cell r="L35">
            <v>4</v>
          </cell>
          <cell r="M35">
            <v>-1</v>
          </cell>
          <cell r="S35">
            <v>5</v>
          </cell>
        </row>
        <row r="36">
          <cell r="A36" t="str">
            <v>3-yr. Total</v>
          </cell>
          <cell r="B36">
            <v>15</v>
          </cell>
          <cell r="C36">
            <v>-17</v>
          </cell>
          <cell r="D36">
            <v>0</v>
          </cell>
          <cell r="E36">
            <v>-18</v>
          </cell>
          <cell r="F36">
            <v>-1</v>
          </cell>
          <cell r="G36">
            <v>-4</v>
          </cell>
          <cell r="H36">
            <v>8</v>
          </cell>
          <cell r="I36">
            <v>3</v>
          </cell>
          <cell r="J36">
            <v>-6</v>
          </cell>
          <cell r="K36">
            <v>-8</v>
          </cell>
          <cell r="L36">
            <v>-2</v>
          </cell>
          <cell r="M36">
            <v>-4</v>
          </cell>
          <cell r="O36">
            <v>12</v>
          </cell>
          <cell r="P36">
            <v>0</v>
          </cell>
          <cell r="Q36">
            <v>-1.6352040816326543</v>
          </cell>
          <cell r="R36">
            <v>-2.5743313290483103</v>
          </cell>
          <cell r="S36">
            <v>0.2685789647943313</v>
          </cell>
        </row>
        <row r="37">
          <cell r="A37" t="str">
            <v>2-yr. Ave</v>
          </cell>
          <cell r="B37">
            <v>0.5</v>
          </cell>
          <cell r="C37">
            <v>-8.5</v>
          </cell>
          <cell r="D37">
            <v>-4</v>
          </cell>
          <cell r="E37">
            <v>-2.5</v>
          </cell>
          <cell r="F37">
            <v>-2</v>
          </cell>
          <cell r="G37">
            <v>-5</v>
          </cell>
          <cell r="H37">
            <v>3.5</v>
          </cell>
          <cell r="I37">
            <v>-2</v>
          </cell>
          <cell r="J37">
            <v>-2</v>
          </cell>
          <cell r="K37">
            <v>-3</v>
          </cell>
          <cell r="L37">
            <v>-3</v>
          </cell>
          <cell r="M37">
            <v>-1.5</v>
          </cell>
          <cell r="O37">
            <v>-4.5</v>
          </cell>
          <cell r="P37">
            <v>-2</v>
          </cell>
          <cell r="Q37">
            <v>-2.3176020408163271</v>
          </cell>
          <cell r="R37">
            <v>-0.78716566452415515</v>
          </cell>
          <cell r="S37">
            <v>-2.3657105176028344</v>
          </cell>
        </row>
        <row r="38">
          <cell r="AB38" t="str">
            <v>Gap NA</v>
          </cell>
          <cell r="AM38" t="str">
            <v>Gap NA</v>
          </cell>
        </row>
        <row r="39">
          <cell r="A39" t="str">
            <v>Old Navy</v>
          </cell>
          <cell r="AN39" t="str">
            <v>August</v>
          </cell>
          <cell r="AO39" t="str">
            <v>September</v>
          </cell>
          <cell r="AP39" t="str">
            <v>October</v>
          </cell>
        </row>
        <row r="40">
          <cell r="B40" t="str">
            <v>January</v>
          </cell>
          <cell r="C40" t="str">
            <v>February</v>
          </cell>
          <cell r="D40" t="str">
            <v>March</v>
          </cell>
          <cell r="E40" t="str">
            <v>April</v>
          </cell>
          <cell r="F40" t="str">
            <v>May</v>
          </cell>
          <cell r="G40" t="str">
            <v>June</v>
          </cell>
          <cell r="H40" t="str">
            <v>July</v>
          </cell>
          <cell r="I40" t="str">
            <v>August</v>
          </cell>
          <cell r="J40" t="str">
            <v>September</v>
          </cell>
          <cell r="K40" t="str">
            <v>October</v>
          </cell>
          <cell r="L40" t="str">
            <v>November</v>
          </cell>
          <cell r="M40" t="str">
            <v>December</v>
          </cell>
          <cell r="O40" t="str">
            <v>Q1</v>
          </cell>
          <cell r="P40" t="str">
            <v>Q2</v>
          </cell>
          <cell r="Q40" t="str">
            <v>Q3</v>
          </cell>
          <cell r="R40" t="str">
            <v>Q4</v>
          </cell>
          <cell r="S40" t="str">
            <v>FY</v>
          </cell>
          <cell r="V40" t="str">
            <v>Q1</v>
          </cell>
          <cell r="W40" t="str">
            <v>Q2</v>
          </cell>
          <cell r="X40" t="str">
            <v>Q3</v>
          </cell>
          <cell r="Y40" t="str">
            <v>Q4</v>
          </cell>
          <cell r="Z40" t="str">
            <v>FY</v>
          </cell>
          <cell r="AM40" t="str">
            <v>Reported Comp Growth</v>
          </cell>
          <cell r="AN40">
            <v>-11</v>
          </cell>
          <cell r="AO40">
            <v>-5</v>
          </cell>
          <cell r="AP40">
            <v>-4</v>
          </cell>
        </row>
        <row r="41">
          <cell r="A41" t="str">
            <v>2003</v>
          </cell>
          <cell r="B41">
            <v>27</v>
          </cell>
          <cell r="C41">
            <v>8</v>
          </cell>
          <cell r="D41">
            <v>17</v>
          </cell>
          <cell r="E41">
            <v>20</v>
          </cell>
          <cell r="F41">
            <v>13</v>
          </cell>
          <cell r="G41">
            <v>11</v>
          </cell>
          <cell r="H41">
            <v>9</v>
          </cell>
          <cell r="I41">
            <v>6</v>
          </cell>
          <cell r="J41">
            <v>16</v>
          </cell>
          <cell r="K41">
            <v>-4</v>
          </cell>
          <cell r="L41">
            <v>7</v>
          </cell>
          <cell r="M41">
            <v>2</v>
          </cell>
          <cell r="O41">
            <v>16</v>
          </cell>
          <cell r="P41">
            <v>11</v>
          </cell>
          <cell r="Q41">
            <v>6</v>
          </cell>
          <cell r="R41">
            <v>4</v>
          </cell>
          <cell r="S41">
            <v>8</v>
          </cell>
          <cell r="U41" t="str">
            <v>2-yr. Average</v>
          </cell>
          <cell r="V41">
            <v>2.5</v>
          </cell>
          <cell r="W41">
            <v>-2</v>
          </cell>
          <cell r="X41">
            <v>-4.5</v>
          </cell>
          <cell r="Y41">
            <v>-5</v>
          </cell>
          <cell r="Z41">
            <v>-3</v>
          </cell>
          <cell r="AM41" t="str">
            <v>2-yr. average</v>
          </cell>
          <cell r="AN41">
            <v>-4</v>
          </cell>
          <cell r="AO41">
            <v>-2.5</v>
          </cell>
          <cell r="AP41">
            <v>1</v>
          </cell>
        </row>
        <row r="42">
          <cell r="A42" t="str">
            <v>2004</v>
          </cell>
          <cell r="B42">
            <v>3</v>
          </cell>
          <cell r="C42">
            <v>16</v>
          </cell>
          <cell r="D42">
            <v>11</v>
          </cell>
          <cell r="E42">
            <v>3</v>
          </cell>
          <cell r="F42">
            <v>4</v>
          </cell>
          <cell r="G42">
            <v>-2</v>
          </cell>
          <cell r="H42">
            <v>-2</v>
          </cell>
          <cell r="I42">
            <v>-1</v>
          </cell>
          <cell r="J42">
            <v>-6</v>
          </cell>
          <cell r="K42">
            <v>4</v>
          </cell>
          <cell r="L42">
            <v>-5</v>
          </cell>
          <cell r="M42">
            <v>-1</v>
          </cell>
          <cell r="O42">
            <v>9</v>
          </cell>
          <cell r="P42">
            <v>0</v>
          </cell>
          <cell r="Q42">
            <v>-1</v>
          </cell>
          <cell r="R42">
            <v>-4</v>
          </cell>
          <cell r="S42">
            <v>0</v>
          </cell>
          <cell r="U42" t="str">
            <v>1-yr. Average</v>
          </cell>
          <cell r="V42">
            <v>-4</v>
          </cell>
          <cell r="W42">
            <v>-4</v>
          </cell>
          <cell r="X42">
            <v>-8</v>
          </cell>
          <cell r="Y42">
            <v>-6</v>
          </cell>
          <cell r="Z42">
            <v>-6</v>
          </cell>
          <cell r="AM42" t="str">
            <v>1-yr. average</v>
          </cell>
          <cell r="AN42">
            <v>-7</v>
          </cell>
          <cell r="AO42">
            <v>-3</v>
          </cell>
          <cell r="AP42">
            <v>-3</v>
          </cell>
        </row>
        <row r="43">
          <cell r="A43" t="str">
            <v>2005</v>
          </cell>
          <cell r="B43">
            <v>-13</v>
          </cell>
          <cell r="C43">
            <v>-1</v>
          </cell>
          <cell r="D43">
            <v>-9</v>
          </cell>
          <cell r="E43">
            <v>0</v>
          </cell>
          <cell r="F43">
            <v>-8</v>
          </cell>
          <cell r="G43">
            <v>0</v>
          </cell>
          <cell r="H43">
            <v>-5</v>
          </cell>
          <cell r="I43">
            <v>-11</v>
          </cell>
          <cell r="J43">
            <v>-7</v>
          </cell>
          <cell r="K43">
            <v>-6</v>
          </cell>
          <cell r="L43">
            <v>-2</v>
          </cell>
          <cell r="M43">
            <v>-10</v>
          </cell>
          <cell r="O43">
            <v>-4</v>
          </cell>
          <cell r="P43">
            <v>-4</v>
          </cell>
          <cell r="Q43">
            <v>-8</v>
          </cell>
          <cell r="R43">
            <v>-6</v>
          </cell>
          <cell r="S43">
            <v>-6</v>
          </cell>
          <cell r="U43" t="str">
            <v>2006 Reported</v>
          </cell>
          <cell r="V43">
            <v>-11</v>
          </cell>
          <cell r="W43">
            <v>-5</v>
          </cell>
        </row>
        <row r="44">
          <cell r="A44" t="str">
            <v>2006</v>
          </cell>
          <cell r="B44">
            <v>0</v>
          </cell>
          <cell r="C44">
            <v>-14</v>
          </cell>
          <cell r="D44">
            <v>-15</v>
          </cell>
          <cell r="E44">
            <v>-6</v>
          </cell>
          <cell r="F44">
            <v>-8</v>
          </cell>
          <cell r="G44">
            <v>-6</v>
          </cell>
          <cell r="H44">
            <v>0</v>
          </cell>
          <cell r="I44">
            <v>-8</v>
          </cell>
          <cell r="J44">
            <v>-3</v>
          </cell>
          <cell r="K44">
            <v>-11</v>
          </cell>
          <cell r="L44">
            <v>-10</v>
          </cell>
          <cell r="M44">
            <v>-10</v>
          </cell>
          <cell r="O44">
            <v>-11</v>
          </cell>
          <cell r="P44">
            <v>-5</v>
          </cell>
          <cell r="Q44">
            <v>-7.1632653061224492</v>
          </cell>
          <cell r="R44">
            <v>-8.2776280323450138</v>
          </cell>
          <cell r="S44">
            <v>-7.8648583741536324</v>
          </cell>
        </row>
        <row r="45">
          <cell r="A45" t="str">
            <v>2007</v>
          </cell>
          <cell r="B45">
            <v>-1</v>
          </cell>
          <cell r="C45">
            <v>-6</v>
          </cell>
          <cell r="D45">
            <v>10</v>
          </cell>
          <cell r="E45">
            <v>-20</v>
          </cell>
          <cell r="F45">
            <v>-3</v>
          </cell>
          <cell r="G45">
            <v>-7</v>
          </cell>
          <cell r="H45">
            <v>-18</v>
          </cell>
          <cell r="I45">
            <v>-4</v>
          </cell>
          <cell r="J45">
            <v>-8</v>
          </cell>
          <cell r="K45">
            <v>-11</v>
          </cell>
          <cell r="L45">
            <v>-3</v>
          </cell>
          <cell r="M45">
            <v>-8</v>
          </cell>
          <cell r="S45">
            <v>2</v>
          </cell>
        </row>
        <row r="46">
          <cell r="A46" t="str">
            <v>3-yr. Total</v>
          </cell>
          <cell r="B46">
            <v>-14</v>
          </cell>
          <cell r="C46">
            <v>-21</v>
          </cell>
          <cell r="D46">
            <v>-14</v>
          </cell>
          <cell r="E46">
            <v>-26</v>
          </cell>
          <cell r="F46">
            <v>-19</v>
          </cell>
          <cell r="G46">
            <v>-13</v>
          </cell>
          <cell r="H46">
            <v>-23</v>
          </cell>
          <cell r="I46">
            <v>-23</v>
          </cell>
          <cell r="J46">
            <v>-18</v>
          </cell>
          <cell r="K46">
            <v>-28</v>
          </cell>
          <cell r="L46">
            <v>-15</v>
          </cell>
          <cell r="M46">
            <v>-28</v>
          </cell>
          <cell r="O46">
            <v>-6</v>
          </cell>
          <cell r="P46">
            <v>-9</v>
          </cell>
          <cell r="Q46">
            <v>-16.163265306122447</v>
          </cell>
          <cell r="R46">
            <v>-18.277628032345014</v>
          </cell>
          <cell r="S46">
            <v>-11.864858374153632</v>
          </cell>
        </row>
        <row r="47">
          <cell r="A47" t="str">
            <v>2-yr. Ave</v>
          </cell>
          <cell r="B47">
            <v>-6.5</v>
          </cell>
          <cell r="C47">
            <v>-7.5</v>
          </cell>
          <cell r="D47">
            <v>-12</v>
          </cell>
          <cell r="E47">
            <v>-3</v>
          </cell>
          <cell r="F47">
            <v>-8</v>
          </cell>
          <cell r="G47">
            <v>-3</v>
          </cell>
          <cell r="H47">
            <v>-2.5</v>
          </cell>
          <cell r="I47">
            <v>-9.5</v>
          </cell>
          <cell r="J47">
            <v>-5</v>
          </cell>
          <cell r="K47">
            <v>-8.5</v>
          </cell>
          <cell r="L47">
            <v>-6</v>
          </cell>
          <cell r="M47">
            <v>-10</v>
          </cell>
          <cell r="O47">
            <v>-7.5</v>
          </cell>
          <cell r="P47">
            <v>-4.5</v>
          </cell>
          <cell r="Q47">
            <v>-7.5816326530612246</v>
          </cell>
          <cell r="R47">
            <v>-7.1388140161725069</v>
          </cell>
          <cell r="S47">
            <v>-6.9324291870768162</v>
          </cell>
        </row>
        <row r="49">
          <cell r="A49" t="str">
            <v>International</v>
          </cell>
        </row>
        <row r="50">
          <cell r="B50" t="str">
            <v>January</v>
          </cell>
          <cell r="C50" t="str">
            <v>February</v>
          </cell>
          <cell r="D50" t="str">
            <v>March</v>
          </cell>
          <cell r="E50" t="str">
            <v>April</v>
          </cell>
          <cell r="F50" t="str">
            <v>May</v>
          </cell>
          <cell r="G50" t="str">
            <v>June</v>
          </cell>
          <cell r="H50" t="str">
            <v>July</v>
          </cell>
          <cell r="I50" t="str">
            <v>August</v>
          </cell>
          <cell r="J50" t="str">
            <v>September</v>
          </cell>
          <cell r="K50" t="str">
            <v>October</v>
          </cell>
          <cell r="L50" t="str">
            <v>November</v>
          </cell>
          <cell r="M50" t="str">
            <v>December</v>
          </cell>
          <cell r="O50" t="str">
            <v>Q1</v>
          </cell>
          <cell r="P50" t="str">
            <v>Q2</v>
          </cell>
          <cell r="Q50" t="str">
            <v>Q3</v>
          </cell>
          <cell r="R50" t="str">
            <v>Q4</v>
          </cell>
          <cell r="S50" t="str">
            <v>FY</v>
          </cell>
          <cell r="V50" t="str">
            <v>Q1</v>
          </cell>
          <cell r="W50" t="str">
            <v>Q2</v>
          </cell>
          <cell r="X50" t="str">
            <v>Q3</v>
          </cell>
          <cell r="Y50" t="str">
            <v>Q4</v>
          </cell>
          <cell r="Z50" t="str">
            <v>FY</v>
          </cell>
        </row>
        <row r="51">
          <cell r="A51" t="str">
            <v>2003</v>
          </cell>
          <cell r="B51">
            <v>17</v>
          </cell>
          <cell r="C51">
            <v>17</v>
          </cell>
          <cell r="D51">
            <v>6</v>
          </cell>
          <cell r="E51">
            <v>19</v>
          </cell>
          <cell r="F51">
            <v>17</v>
          </cell>
          <cell r="G51">
            <v>13</v>
          </cell>
          <cell r="H51">
            <v>7</v>
          </cell>
          <cell r="I51">
            <v>4</v>
          </cell>
          <cell r="J51">
            <v>3</v>
          </cell>
          <cell r="K51">
            <v>7</v>
          </cell>
          <cell r="L51">
            <v>1</v>
          </cell>
          <cell r="M51">
            <v>-3</v>
          </cell>
          <cell r="O51">
            <v>13</v>
          </cell>
          <cell r="P51">
            <v>12</v>
          </cell>
          <cell r="Q51">
            <v>5</v>
          </cell>
          <cell r="R51">
            <v>-2</v>
          </cell>
          <cell r="S51">
            <v>6</v>
          </cell>
          <cell r="U51" t="str">
            <v>2-yr. Average</v>
          </cell>
          <cell r="V51">
            <v>-5.5</v>
          </cell>
          <cell r="W51">
            <v>-4.5</v>
          </cell>
          <cell r="X51">
            <v>-10</v>
          </cell>
          <cell r="Y51">
            <v>-3.5000000000000004</v>
          </cell>
          <cell r="Z51">
            <v>-5.5</v>
          </cell>
        </row>
        <row r="52">
          <cell r="A52" t="str">
            <v>2004</v>
          </cell>
          <cell r="B52">
            <v>-2</v>
          </cell>
          <cell r="C52">
            <v>-1</v>
          </cell>
          <cell r="D52">
            <v>-6</v>
          </cell>
          <cell r="E52">
            <v>-5</v>
          </cell>
          <cell r="F52">
            <v>-3</v>
          </cell>
          <cell r="G52">
            <v>-11</v>
          </cell>
          <cell r="H52">
            <v>-14</v>
          </cell>
          <cell r="I52">
            <v>-10</v>
          </cell>
          <cell r="J52">
            <v>-10</v>
          </cell>
          <cell r="K52">
            <v>-9</v>
          </cell>
          <cell r="L52">
            <v>-5</v>
          </cell>
          <cell r="M52">
            <v>-8</v>
          </cell>
          <cell r="O52">
            <v>-5</v>
          </cell>
          <cell r="P52">
            <v>-10</v>
          </cell>
          <cell r="Q52">
            <v>-10</v>
          </cell>
          <cell r="R52">
            <v>-7.0000000000000009</v>
          </cell>
          <cell r="S52">
            <v>-8</v>
          </cell>
          <cell r="U52" t="str">
            <v>1-yr. Average</v>
          </cell>
          <cell r="V52">
            <v>-6</v>
          </cell>
          <cell r="W52">
            <v>1</v>
          </cell>
          <cell r="X52">
            <v>-10</v>
          </cell>
          <cell r="Y52">
            <v>0</v>
          </cell>
          <cell r="Z52">
            <v>-3</v>
          </cell>
        </row>
        <row r="53">
          <cell r="A53" t="str">
            <v>2005</v>
          </cell>
          <cell r="B53">
            <v>-8</v>
          </cell>
          <cell r="C53">
            <v>-8</v>
          </cell>
          <cell r="D53">
            <v>1</v>
          </cell>
          <cell r="E53">
            <v>-12</v>
          </cell>
          <cell r="F53">
            <v>-2</v>
          </cell>
          <cell r="G53">
            <v>1</v>
          </cell>
          <cell r="H53">
            <v>4</v>
          </cell>
          <cell r="I53">
            <v>-6</v>
          </cell>
          <cell r="J53">
            <v>-13</v>
          </cell>
          <cell r="K53">
            <v>-9</v>
          </cell>
          <cell r="L53">
            <v>0</v>
          </cell>
          <cell r="M53">
            <v>-3</v>
          </cell>
          <cell r="O53">
            <v>-6</v>
          </cell>
          <cell r="P53">
            <v>1</v>
          </cell>
          <cell r="Q53">
            <v>-10</v>
          </cell>
          <cell r="R53">
            <v>0</v>
          </cell>
          <cell r="S53">
            <v>-3</v>
          </cell>
          <cell r="U53" t="str">
            <v>2006 Reported</v>
          </cell>
          <cell r="V53">
            <v>-11</v>
          </cell>
          <cell r="W53">
            <v>-11</v>
          </cell>
        </row>
        <row r="54">
          <cell r="A54" t="str">
            <v>2006</v>
          </cell>
          <cell r="B54">
            <v>7</v>
          </cell>
          <cell r="C54">
            <v>-14</v>
          </cell>
          <cell r="D54">
            <v>-16</v>
          </cell>
          <cell r="E54">
            <v>-3</v>
          </cell>
          <cell r="F54">
            <v>-13</v>
          </cell>
          <cell r="G54">
            <v>-14</v>
          </cell>
          <cell r="H54">
            <v>-6</v>
          </cell>
          <cell r="I54">
            <v>0</v>
          </cell>
          <cell r="J54">
            <v>-6</v>
          </cell>
          <cell r="K54">
            <v>-8</v>
          </cell>
          <cell r="L54">
            <v>-8</v>
          </cell>
          <cell r="M54">
            <v>-8</v>
          </cell>
          <cell r="O54">
            <v>-11</v>
          </cell>
          <cell r="P54">
            <v>-11</v>
          </cell>
          <cell r="Q54">
            <v>-4.8214285714285712</v>
          </cell>
          <cell r="R54">
            <v>-6.2776280323450138</v>
          </cell>
          <cell r="S54">
            <v>-8.1916546976308116</v>
          </cell>
        </row>
        <row r="55">
          <cell r="A55" t="str">
            <v>2007</v>
          </cell>
          <cell r="B55">
            <v>1</v>
          </cell>
          <cell r="C55">
            <v>2</v>
          </cell>
          <cell r="D55">
            <v>5</v>
          </cell>
          <cell r="E55">
            <v>-5</v>
          </cell>
          <cell r="F55">
            <v>0</v>
          </cell>
          <cell r="G55">
            <v>0</v>
          </cell>
          <cell r="H55">
            <v>11</v>
          </cell>
          <cell r="I55">
            <v>-7</v>
          </cell>
          <cell r="J55">
            <v>-2</v>
          </cell>
          <cell r="K55">
            <v>-6</v>
          </cell>
          <cell r="L55">
            <v>1</v>
          </cell>
          <cell r="M55">
            <v>-1</v>
          </cell>
          <cell r="S55">
            <v>0</v>
          </cell>
        </row>
        <row r="56">
          <cell r="A56" t="str">
            <v>3-yr. Total</v>
          </cell>
          <cell r="B56">
            <v>0</v>
          </cell>
          <cell r="C56">
            <v>-20</v>
          </cell>
          <cell r="D56">
            <v>-10</v>
          </cell>
          <cell r="E56">
            <v>-20</v>
          </cell>
          <cell r="F56">
            <v>-15</v>
          </cell>
          <cell r="G56">
            <v>-13</v>
          </cell>
          <cell r="H56">
            <v>9</v>
          </cell>
          <cell r="I56">
            <v>-13</v>
          </cell>
          <cell r="J56">
            <v>-21</v>
          </cell>
          <cell r="K56">
            <v>-23</v>
          </cell>
          <cell r="L56">
            <v>-7</v>
          </cell>
          <cell r="M56">
            <v>-12</v>
          </cell>
          <cell r="O56">
            <v>-22</v>
          </cell>
          <cell r="P56">
            <v>-20</v>
          </cell>
          <cell r="Q56">
            <v>-24.821428571428569</v>
          </cell>
          <cell r="R56">
            <v>-13.277628032345014</v>
          </cell>
          <cell r="S56">
            <v>-11.191654697630812</v>
          </cell>
        </row>
        <row r="57">
          <cell r="A57" t="str">
            <v>2-yr. Ave</v>
          </cell>
          <cell r="B57">
            <v>-0.5</v>
          </cell>
          <cell r="C57">
            <v>-11</v>
          </cell>
          <cell r="D57">
            <v>-7.5</v>
          </cell>
          <cell r="E57">
            <v>-7.5</v>
          </cell>
          <cell r="F57">
            <v>-7.5</v>
          </cell>
          <cell r="G57">
            <v>-6.5</v>
          </cell>
          <cell r="H57">
            <v>-1</v>
          </cell>
          <cell r="I57">
            <v>-3</v>
          </cell>
          <cell r="J57">
            <v>-9.5</v>
          </cell>
          <cell r="K57">
            <v>-8.5</v>
          </cell>
          <cell r="L57">
            <v>-4</v>
          </cell>
          <cell r="M57">
            <v>-5.5</v>
          </cell>
          <cell r="O57">
            <v>-8.5</v>
          </cell>
          <cell r="P57">
            <v>-5</v>
          </cell>
          <cell r="Q57">
            <v>-7.4107142857142856</v>
          </cell>
          <cell r="R57">
            <v>-3.1388140161725069</v>
          </cell>
          <cell r="S57">
            <v>-5.5958273488154058</v>
          </cell>
        </row>
        <row r="59">
          <cell r="B59" t="str">
            <v>January</v>
          </cell>
          <cell r="C59" t="str">
            <v>February</v>
          </cell>
          <cell r="D59" t="str">
            <v>March</v>
          </cell>
          <cell r="E59" t="str">
            <v>April</v>
          </cell>
          <cell r="F59" t="str">
            <v>May</v>
          </cell>
          <cell r="G59" t="str">
            <v>June</v>
          </cell>
          <cell r="H59" t="str">
            <v>July</v>
          </cell>
          <cell r="I59" t="str">
            <v>August</v>
          </cell>
          <cell r="J59" t="str">
            <v>September</v>
          </cell>
          <cell r="K59" t="str">
            <v>October</v>
          </cell>
          <cell r="L59" t="str">
            <v>November</v>
          </cell>
          <cell r="M59" t="str">
            <v>December</v>
          </cell>
        </row>
        <row r="60">
          <cell r="A60" t="str">
            <v>Monthly Revenue Contribution</v>
          </cell>
          <cell r="B60">
            <v>0.19137466307277629</v>
          </cell>
          <cell r="C60">
            <v>0.25401840912213214</v>
          </cell>
          <cell r="D60">
            <v>0.40939689517790906</v>
          </cell>
          <cell r="E60">
            <v>0.3365846956999588</v>
          </cell>
          <cell r="F60">
            <v>0.31897711978465682</v>
          </cell>
          <cell r="G60">
            <v>0.40646029609690443</v>
          </cell>
          <cell r="H60">
            <v>0.27456258411843876</v>
          </cell>
          <cell r="I60">
            <v>0.30612244897959184</v>
          </cell>
          <cell r="J60">
            <v>0.36479591836734693</v>
          </cell>
          <cell r="K60">
            <v>0.32908163265306123</v>
          </cell>
          <cell r="L60">
            <v>0.29027576197387517</v>
          </cell>
          <cell r="M60">
            <v>0.51834957495334855</v>
          </cell>
        </row>
        <row r="66">
          <cell r="AB66" t="str">
            <v>Banana Republic</v>
          </cell>
        </row>
        <row r="94">
          <cell r="AB94" t="str">
            <v>Old Navy</v>
          </cell>
        </row>
        <row r="122">
          <cell r="AB122" t="str">
            <v>International</v>
          </cell>
        </row>
      </sheetData>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ow r="1">
          <cell r="A1" t="str">
            <v>Gap, Inc.</v>
          </cell>
        </row>
        <row r="2">
          <cell r="A2" t="str">
            <v>Linked Data -- Add Rows at Bottom</v>
          </cell>
        </row>
        <row r="4">
          <cell r="B4">
            <v>1995</v>
          </cell>
          <cell r="C4">
            <v>1996</v>
          </cell>
          <cell r="D4">
            <v>1997</v>
          </cell>
          <cell r="E4">
            <v>1998</v>
          </cell>
          <cell r="F4">
            <v>1999</v>
          </cell>
          <cell r="G4">
            <v>2000</v>
          </cell>
          <cell r="H4">
            <v>2001</v>
          </cell>
          <cell r="I4">
            <v>2002</v>
          </cell>
          <cell r="J4">
            <v>2003</v>
          </cell>
          <cell r="K4">
            <v>2004</v>
          </cell>
          <cell r="L4">
            <v>2005</v>
          </cell>
          <cell r="M4" t="str">
            <v>2006E</v>
          </cell>
          <cell r="N4" t="str">
            <v>2007E</v>
          </cell>
          <cell r="O4" t="str">
            <v>2008E</v>
          </cell>
          <cell r="P4" t="str">
            <v>2009E</v>
          </cell>
          <cell r="Q4" t="str">
            <v>2010E</v>
          </cell>
          <cell r="R4" t="str">
            <v>2011E</v>
          </cell>
          <cell r="S4" t="str">
            <v>2012E</v>
          </cell>
        </row>
        <row r="5">
          <cell r="A5" t="str">
            <v>Sales</v>
          </cell>
          <cell r="G5">
            <v>13673.46</v>
          </cell>
          <cell r="H5">
            <v>13847.853999999999</v>
          </cell>
          <cell r="I5">
            <v>14454.708999999999</v>
          </cell>
          <cell r="J5">
            <v>15853.333999999999</v>
          </cell>
          <cell r="K5">
            <v>16268</v>
          </cell>
          <cell r="L5">
            <v>16023</v>
          </cell>
          <cell r="M5">
            <v>15936</v>
          </cell>
          <cell r="N5">
            <v>15872.405547592203</v>
          </cell>
          <cell r="O5">
            <v>15721.177868068427</v>
          </cell>
          <cell r="P5">
            <v>16578.730300944364</v>
          </cell>
          <cell r="Q5">
            <v>17066.831940290947</v>
          </cell>
          <cell r="R5">
            <v>17472.45960445028</v>
          </cell>
          <cell r="S5">
            <v>17712.650925680973</v>
          </cell>
        </row>
        <row r="6">
          <cell r="A6" t="str">
            <v>Sales per Share</v>
          </cell>
          <cell r="G6">
            <v>15.568827922296741</v>
          </cell>
          <cell r="H6">
            <v>15.887136746656289</v>
          </cell>
          <cell r="I6">
            <v>15.645333779318566</v>
          </cell>
          <cell r="J6">
            <v>16.046302838393537</v>
          </cell>
          <cell r="K6">
            <v>16.41372808661486</v>
          </cell>
          <cell r="L6">
            <v>17.75777477560348</v>
          </cell>
          <cell r="M6">
            <v>19.013206697931796</v>
          </cell>
          <cell r="N6">
            <v>19.923738842563431</v>
          </cell>
          <cell r="O6">
            <v>21.489290384363546</v>
          </cell>
          <cell r="P6">
            <v>24.346618538058166</v>
          </cell>
          <cell r="Q6">
            <v>26.919648452662098</v>
          </cell>
          <cell r="R6">
            <v>29.461582418334139</v>
          </cell>
          <cell r="S6">
            <v>32.136005279538544</v>
          </cell>
        </row>
        <row r="7">
          <cell r="A7" t="str">
            <v>EPS</v>
          </cell>
          <cell r="G7">
            <v>0.9991326113018667</v>
          </cell>
          <cell r="H7">
            <v>-8.9291514265843579E-3</v>
          </cell>
          <cell r="I7">
            <v>0.54276168001554059</v>
          </cell>
          <cell r="J7">
            <v>1.0911215558688308</v>
          </cell>
          <cell r="K7">
            <v>1.2093808409682627</v>
          </cell>
          <cell r="L7">
            <v>1.2407711770579701</v>
          </cell>
          <cell r="M7">
            <v>0.92823009607121842</v>
          </cell>
          <cell r="N7">
            <v>0.99964076194296025</v>
          </cell>
          <cell r="O7">
            <v>1.2595272010498042</v>
          </cell>
          <cell r="P7">
            <v>1.5741166708543561</v>
          </cell>
          <cell r="Q7">
            <v>1.8141941388828433</v>
          </cell>
          <cell r="R7">
            <v>2.0193345434067398</v>
          </cell>
          <cell r="S7">
            <v>2.2212995070420871</v>
          </cell>
        </row>
        <row r="8">
          <cell r="A8" t="str">
            <v>Diluted Shares Outstanding</v>
          </cell>
          <cell r="G8">
            <v>878.25879175</v>
          </cell>
          <cell r="H8">
            <v>871.63937850000002</v>
          </cell>
          <cell r="I8">
            <v>923.89904899999999</v>
          </cell>
          <cell r="J8">
            <v>987.97424924999996</v>
          </cell>
          <cell r="K8">
            <v>991.12157300000001</v>
          </cell>
          <cell r="L8">
            <v>902.30899999999997</v>
          </cell>
          <cell r="M8">
            <v>838.15424999999993</v>
          </cell>
          <cell r="N8">
            <v>796.6579803627875</v>
          </cell>
          <cell r="O8">
            <v>731.58199209350232</v>
          </cell>
          <cell r="P8">
            <v>680.94590938896965</v>
          </cell>
          <cell r="Q8">
            <v>633.99163515462624</v>
          </cell>
          <cell r="R8">
            <v>593.05910172622134</v>
          </cell>
          <cell r="S8">
            <v>551.17774507458375</v>
          </cell>
        </row>
        <row r="9">
          <cell r="A9" t="str">
            <v>EBITDA</v>
          </cell>
          <cell r="G9">
            <v>2035.1259999999997</v>
          </cell>
          <cell r="H9">
            <v>1147.9829999999997</v>
          </cell>
          <cell r="I9">
            <v>1705.6290000000004</v>
          </cell>
          <cell r="J9">
            <v>2555.1740000000004</v>
          </cell>
          <cell r="K9">
            <v>2705</v>
          </cell>
          <cell r="L9">
            <v>2310</v>
          </cell>
          <cell r="M9">
            <v>1682</v>
          </cell>
          <cell r="N9">
            <v>1833.2231290991626</v>
          </cell>
          <cell r="O9">
            <v>2021.5331698144346</v>
          </cell>
          <cell r="P9">
            <v>2329.7058853298586</v>
          </cell>
          <cell r="Q9">
            <v>2523.0532612373227</v>
          </cell>
          <cell r="R9">
            <v>2651.2979894027958</v>
          </cell>
          <cell r="S9">
            <v>2744.632414246194</v>
          </cell>
        </row>
        <row r="10">
          <cell r="A10" t="str">
            <v>EBITDAR</v>
          </cell>
          <cell r="G10">
            <v>2823.1259999999997</v>
          </cell>
          <cell r="H10">
            <v>1963.9829999999997</v>
          </cell>
          <cell r="I10">
            <v>2513.6290000000004</v>
          </cell>
          <cell r="J10">
            <v>3374.1740000000004</v>
          </cell>
          <cell r="K10">
            <v>3571</v>
          </cell>
          <cell r="L10">
            <v>3234</v>
          </cell>
          <cell r="M10">
            <v>2633.7961829533956</v>
          </cell>
          <cell r="N10">
            <v>2822.8909853396135</v>
          </cell>
          <cell r="O10">
            <v>3052.5252064075594</v>
          </cell>
          <cell r="P10">
            <v>3386.8809649599807</v>
          </cell>
          <cell r="Q10">
            <v>3607.0457116560392</v>
          </cell>
          <cell r="R10">
            <v>3762.7570296267913</v>
          </cell>
          <cell r="S10">
            <v>3884.2224963342278</v>
          </cell>
        </row>
        <row r="11">
          <cell r="A11" t="str">
            <v>Free Cash Flow</v>
          </cell>
          <cell r="H11">
            <v>377.74199999999962</v>
          </cell>
          <cell r="I11">
            <v>935.45700000000033</v>
          </cell>
          <cell r="J11">
            <v>1898.62</v>
          </cell>
          <cell r="K11">
            <v>1177.8434414565274</v>
          </cell>
          <cell r="L11">
            <v>950.35900000000015</v>
          </cell>
          <cell r="M11">
            <v>678</v>
          </cell>
          <cell r="N11">
            <v>870.77974218861436</v>
          </cell>
          <cell r="O11">
            <v>917.08663627759233</v>
          </cell>
          <cell r="P11">
            <v>1081.4103761696515</v>
          </cell>
          <cell r="Q11">
            <v>1195.2646014317365</v>
          </cell>
          <cell r="R11">
            <v>1297.2061399792333</v>
          </cell>
          <cell r="S11">
            <v>1366.2601499178591</v>
          </cell>
        </row>
        <row r="12">
          <cell r="A12" t="str">
            <v>Free Cash Flow per Share</v>
          </cell>
          <cell r="H12">
            <v>0.43336958989858165</v>
          </cell>
          <cell r="I12">
            <v>1.0125099717469244</v>
          </cell>
          <cell r="J12">
            <v>1.921730248983005</v>
          </cell>
          <cell r="K12">
            <v>1.1883945154087847</v>
          </cell>
          <cell r="L12">
            <v>1.0532522672388285</v>
          </cell>
          <cell r="M12">
            <v>0.80892031508520068</v>
          </cell>
          <cell r="N12">
            <v>1.0930408828542366</v>
          </cell>
          <cell r="O12">
            <v>1.2535664439378122</v>
          </cell>
          <cell r="P12">
            <v>1.5881002606213304</v>
          </cell>
          <cell r="Q12">
            <v>1.8853002707838877</v>
          </cell>
          <cell r="R12">
            <v>2.1873134333550337</v>
          </cell>
          <cell r="S12">
            <v>2.478801370568728</v>
          </cell>
        </row>
        <row r="13">
          <cell r="A13" t="str">
            <v>Net Debt</v>
          </cell>
          <cell r="G13">
            <v>1401.3560000000016</v>
          </cell>
          <cell r="H13">
            <v>967.55600000000163</v>
          </cell>
          <cell r="I13">
            <v>55.472999999999956</v>
          </cell>
          <cell r="J13">
            <v>-564.14200000000028</v>
          </cell>
          <cell r="K13">
            <v>-1175.7634414565273</v>
          </cell>
          <cell r="L13">
            <v>-2474.3224414565275</v>
          </cell>
          <cell r="M13">
            <v>-2087.322441456527</v>
          </cell>
          <cell r="N13">
            <v>-1948.4133863038073</v>
          </cell>
          <cell r="O13">
            <v>-1631.3937851114783</v>
          </cell>
          <cell r="P13">
            <v>-1281.2825520888805</v>
          </cell>
          <cell r="Q13">
            <v>-1260.9899975680441</v>
          </cell>
          <cell r="R13">
            <v>-1256.5560429603624</v>
          </cell>
          <cell r="S13">
            <v>-1174.3922046513712</v>
          </cell>
        </row>
        <row r="14">
          <cell r="A14" t="str">
            <v>Adjusted Net Debt</v>
          </cell>
          <cell r="G14">
            <v>5499.9909809946494</v>
          </cell>
          <cell r="H14">
            <v>4941.8739046330275</v>
          </cell>
          <cell r="I14">
            <v>4211.2058310989723</v>
          </cell>
          <cell r="J14">
            <v>2260.1010590056417</v>
          </cell>
          <cell r="K14">
            <v>1945.6758677419239</v>
          </cell>
          <cell r="L14">
            <v>1748.6142063631114</v>
          </cell>
          <cell r="M14">
            <v>2366.0191260977422</v>
          </cell>
          <cell r="N14">
            <v>2621.646448081076</v>
          </cell>
          <cell r="O14">
            <v>3105.8529747104062</v>
          </cell>
          <cell r="P14">
            <v>3632.6412045113725</v>
          </cell>
          <cell r="Q14">
            <v>3751.4192617171025</v>
          </cell>
          <cell r="R14">
            <v>3851.3291152335864</v>
          </cell>
          <cell r="S14">
            <v>4026.2281723031042</v>
          </cell>
        </row>
        <row r="15">
          <cell r="A15" t="str">
            <v>Book Value</v>
          </cell>
          <cell r="G15">
            <v>2928.239</v>
          </cell>
          <cell r="H15">
            <v>3009.5810000000001</v>
          </cell>
          <cell r="I15">
            <v>3658.2120000000004</v>
          </cell>
          <cell r="J15">
            <v>4648</v>
          </cell>
          <cell r="K15">
            <v>4936</v>
          </cell>
          <cell r="L15">
            <v>5425</v>
          </cell>
          <cell r="M15">
            <v>5174</v>
          </cell>
          <cell r="N15">
            <v>4577.5569967817046</v>
          </cell>
          <cell r="O15">
            <v>4264.8981781517523</v>
          </cell>
          <cell r="P15">
            <v>3905.2648768787581</v>
          </cell>
          <cell r="Q15">
            <v>3839.8916295244585</v>
          </cell>
          <cell r="R15">
            <v>3735.8362653350723</v>
          </cell>
          <cell r="S15">
            <v>3511.7431305349637</v>
          </cell>
        </row>
        <row r="16">
          <cell r="A16" t="str">
            <v>Book Value per Share</v>
          </cell>
          <cell r="G16">
            <v>3.3341414028605993</v>
          </cell>
          <cell r="H16">
            <v>3.4527822792714731</v>
          </cell>
          <cell r="I16">
            <v>3.9595364926065644</v>
          </cell>
          <cell r="J16">
            <v>4.7045760590708028</v>
          </cell>
          <cell r="K16">
            <v>4.9802164885376783</v>
          </cell>
          <cell r="L16">
            <v>6.0123527527709468</v>
          </cell>
          <cell r="M16">
            <v>6.1730880682165612</v>
          </cell>
          <cell r="N16">
            <v>5.7459500935359307</v>
          </cell>
          <cell r="O16">
            <v>5.8296926718320075</v>
          </cell>
          <cell r="P16">
            <v>5.7350588688946722</v>
          </cell>
          <cell r="Q16">
            <v>6.0566913135816609</v>
          </cell>
          <cell r="R16">
            <v>6.299264701378239</v>
          </cell>
          <cell r="S16">
            <v>6.3713442023312554</v>
          </cell>
        </row>
        <row r="17">
          <cell r="A17" t="str">
            <v>Accumulated Charges/(Gains)</v>
          </cell>
        </row>
        <row r="18">
          <cell r="A18" t="str">
            <v>Capitalized Leases</v>
          </cell>
        </row>
        <row r="19">
          <cell r="A19" t="str">
            <v>Adjusted Invested Capital</v>
          </cell>
          <cell r="G19">
            <v>8039.8890479965985</v>
          </cell>
          <cell r="H19">
            <v>7581.5142971515397</v>
          </cell>
          <cell r="I19">
            <v>7493.2482507722971</v>
          </cell>
          <cell r="J19">
            <v>6500.8290964469415</v>
          </cell>
          <cell r="K19">
            <v>6429.8319335512278</v>
          </cell>
          <cell r="L19">
            <v>6659.3998837476711</v>
          </cell>
          <cell r="M19">
            <v>6941.3148453394688</v>
          </cell>
          <cell r="N19">
            <v>6513.1753173399775</v>
          </cell>
          <cell r="O19">
            <v>6581.2803747869411</v>
          </cell>
          <cell r="P19">
            <v>6642.1176421850332</v>
          </cell>
          <cell r="Q19">
            <v>6606.1695921000801</v>
          </cell>
          <cell r="R19">
            <v>6528.9436422833287</v>
          </cell>
          <cell r="S19">
            <v>6381.0484842771639</v>
          </cell>
        </row>
        <row r="20">
          <cell r="A20" t="str">
            <v>Adjusted NOPAT Margin</v>
          </cell>
          <cell r="G20">
            <v>7.9298474169689173E-2</v>
          </cell>
          <cell r="H20">
            <v>1.4406328235613901E-2</v>
          </cell>
          <cell r="I20">
            <v>5.5287697442777436E-2</v>
          </cell>
          <cell r="J20">
            <v>8.3236381270928333E-2</v>
          </cell>
          <cell r="K20">
            <v>8.8110414640900553E-2</v>
          </cell>
          <cell r="L20">
            <v>7.387100505980039E-2</v>
          </cell>
          <cell r="M20">
            <v>5.3240734469807836E-2</v>
          </cell>
          <cell r="N20">
            <v>5.8896878432124301E-2</v>
          </cell>
          <cell r="O20">
            <v>6.4421779343880992E-2</v>
          </cell>
          <cell r="P20">
            <v>7.1230489792081131E-2</v>
          </cell>
          <cell r="Q20">
            <v>7.582816911789525E-2</v>
          </cell>
          <cell r="R20">
            <v>7.826483223669857E-2</v>
          </cell>
          <cell r="S20">
            <v>7.781723069620336E-2</v>
          </cell>
        </row>
        <row r="21">
          <cell r="A21" t="str">
            <v>Operating Asset Turnover</v>
          </cell>
          <cell r="H21">
            <v>1.722393669530881</v>
          </cell>
          <cell r="I21">
            <v>1.9065775857476044</v>
          </cell>
          <cell r="J21">
            <v>2.1155836581399514</v>
          </cell>
          <cell r="K21">
            <v>2.5021909950456571</v>
          </cell>
          <cell r="L21">
            <v>2.4916821951312209</v>
          </cell>
          <cell r="M21">
            <v>2.3930084209077096</v>
          </cell>
          <cell r="N21">
            <v>2.2865506928435786</v>
          </cell>
          <cell r="O21">
            <v>2.4137501452193457</v>
          </cell>
          <cell r="P21">
            <v>2.5190736994670395</v>
          </cell>
          <cell r="Q21">
            <v>2.5694865492741457</v>
          </cell>
          <cell r="R21">
            <v>2.6448699750827687</v>
          </cell>
          <cell r="S21">
            <v>2.7129428428465392</v>
          </cell>
        </row>
        <row r="22">
          <cell r="A22" t="str">
            <v>Adjusted RNOA</v>
          </cell>
          <cell r="H22">
            <v>2.4813368554205368E-2</v>
          </cell>
          <cell r="I22">
            <v>0.10541028471199461</v>
          </cell>
          <cell r="J22">
            <v>0.1760935279794823</v>
          </cell>
          <cell r="K22">
            <v>0.22046908608420035</v>
          </cell>
          <cell r="L22">
            <v>0.18406306804395295</v>
          </cell>
          <cell r="M22">
            <v>0.12740552592156151</v>
          </cell>
          <cell r="N22">
            <v>0.13467069818529784</v>
          </cell>
          <cell r="O22">
            <v>0.15549807924658141</v>
          </cell>
          <cell r="P22">
            <v>0.17943485343538701</v>
          </cell>
          <cell r="Q22">
            <v>0.19483946060451701</v>
          </cell>
          <cell r="R22">
            <v>0.20700030488773405</v>
          </cell>
          <cell r="S22">
            <v>0.2111136990674029</v>
          </cell>
        </row>
        <row r="23">
          <cell r="A23" t="str">
            <v>Adjusted WACC</v>
          </cell>
          <cell r="G23">
            <v>8.9146373330549894E-2</v>
          </cell>
          <cell r="H23">
            <v>6.8715459088805705E-2</v>
          </cell>
          <cell r="I23">
            <v>7.1849975440961236E-2</v>
          </cell>
          <cell r="J23">
            <v>6.9557239021171252E-2</v>
          </cell>
          <cell r="K23">
            <v>7.2264452640878898E-2</v>
          </cell>
          <cell r="L23">
            <v>7.3038686682246501E-2</v>
          </cell>
          <cell r="M23">
            <v>7.5811046492423942E-2</v>
          </cell>
          <cell r="N23">
            <v>7.6534525694860689E-2</v>
          </cell>
          <cell r="O23">
            <v>7.6367612640694957E-2</v>
          </cell>
          <cell r="P23">
            <v>7.8757986995389995E-2</v>
          </cell>
          <cell r="Q23">
            <v>8.085973686267757E-2</v>
          </cell>
          <cell r="R23">
            <v>8.2833351680450223E-2</v>
          </cell>
          <cell r="S23">
            <v>8.8497767040888534E-2</v>
          </cell>
        </row>
        <row r="24">
          <cell r="A24" t="str">
            <v>Adjusted ROE</v>
          </cell>
          <cell r="G24">
            <v>0.47289202130002639</v>
          </cell>
          <cell r="H24">
            <v>-3.9857863311941015E-3</v>
          </cell>
          <cell r="I24">
            <v>0.18434050101470814</v>
          </cell>
          <cell r="J24">
            <v>0.29984241852488658</v>
          </cell>
          <cell r="K24">
            <v>0.30049746719610798</v>
          </cell>
          <cell r="L24">
            <v>0.24986749050907989</v>
          </cell>
          <cell r="M24">
            <v>0.17181120857478188</v>
          </cell>
          <cell r="N24">
            <v>0.20351098475872051</v>
          </cell>
          <cell r="O24">
            <v>0.28535013533423037</v>
          </cell>
          <cell r="P24">
            <v>0.41632177173996637</v>
          </cell>
          <cell r="Q24">
            <v>0.55558113535035558</v>
          </cell>
          <cell r="R24">
            <v>0.67770859939452321</v>
          </cell>
          <cell r="S24">
            <v>0.85511807567172382</v>
          </cell>
        </row>
        <row r="26">
          <cell r="A26" t="str">
            <v>Closing price</v>
          </cell>
          <cell r="G26">
            <v>32.6</v>
          </cell>
          <cell r="H26">
            <v>14.4</v>
          </cell>
          <cell r="I26">
            <v>14.63</v>
          </cell>
          <cell r="J26">
            <v>18.579999999999998</v>
          </cell>
          <cell r="K26">
            <v>22.01</v>
          </cell>
          <cell r="L26">
            <v>18.09</v>
          </cell>
          <cell r="M26">
            <v>19.5</v>
          </cell>
        </row>
        <row r="27">
          <cell r="A27" t="str">
            <v>Common shares outstanding</v>
          </cell>
          <cell r="G27">
            <v>854</v>
          </cell>
          <cell r="H27">
            <v>865.73</v>
          </cell>
          <cell r="I27">
            <v>887.32</v>
          </cell>
          <cell r="J27">
            <v>897.2</v>
          </cell>
          <cell r="K27">
            <v>860.56</v>
          </cell>
          <cell r="L27">
            <v>856.99</v>
          </cell>
          <cell r="M27">
            <v>814</v>
          </cell>
        </row>
        <row r="28">
          <cell r="A28" t="str">
            <v>Market value</v>
          </cell>
          <cell r="G28">
            <v>27840.400000000001</v>
          </cell>
          <cell r="H28">
            <v>12466.512000000001</v>
          </cell>
          <cell r="I28">
            <v>12981.491600000001</v>
          </cell>
          <cell r="J28">
            <v>16669.975999999999</v>
          </cell>
          <cell r="K28">
            <v>18940.925599999999</v>
          </cell>
          <cell r="L28">
            <v>15502.9491</v>
          </cell>
          <cell r="M28">
            <v>15873</v>
          </cell>
          <cell r="N28" t="str">
            <v>√</v>
          </cell>
        </row>
        <row r="30">
          <cell r="A30" t="str">
            <v>Total debt</v>
          </cell>
          <cell r="G30">
            <v>1810.15</v>
          </cell>
          <cell r="H30">
            <v>2003.2859999999998</v>
          </cell>
          <cell r="I30">
            <v>3395.7730000000001</v>
          </cell>
          <cell r="J30">
            <v>2769.7779999999998</v>
          </cell>
          <cell r="K30">
            <v>1886</v>
          </cell>
          <cell r="L30">
            <v>513</v>
          </cell>
          <cell r="M30">
            <v>513</v>
          </cell>
          <cell r="N30" t="str">
            <v>√</v>
          </cell>
        </row>
        <row r="31">
          <cell r="A31" t="str">
            <v>Cash &amp; cash equiv.</v>
          </cell>
          <cell r="G31">
            <v>408.79399999999839</v>
          </cell>
          <cell r="H31">
            <v>1035.7299999999982</v>
          </cell>
          <cell r="I31">
            <v>3389.3</v>
          </cell>
          <cell r="J31">
            <v>4684.92</v>
          </cell>
          <cell r="K31">
            <v>4076.7634414565273</v>
          </cell>
          <cell r="L31">
            <v>3042.3224414565275</v>
          </cell>
          <cell r="M31">
            <v>2644.322441456527</v>
          </cell>
          <cell r="N31" t="str">
            <v>√</v>
          </cell>
        </row>
        <row r="32">
          <cell r="A32" t="str">
            <v>Enterprise value</v>
          </cell>
          <cell r="G32">
            <v>29241.756000000005</v>
          </cell>
          <cell r="H32">
            <v>13434.068000000003</v>
          </cell>
          <cell r="I32">
            <v>12987.964600000003</v>
          </cell>
          <cell r="J32">
            <v>14754.833999999997</v>
          </cell>
          <cell r="K32">
            <v>16750.16215854347</v>
          </cell>
          <cell r="L32">
            <v>12973.626658543471</v>
          </cell>
          <cell r="M32">
            <v>13741.677558543473</v>
          </cell>
        </row>
        <row r="34">
          <cell r="A34" t="str">
            <v>EV/EBITDA</v>
          </cell>
          <cell r="G34">
            <v>14.36852361966778</v>
          </cell>
          <cell r="H34">
            <v>11.702323118025273</v>
          </cell>
          <cell r="I34">
            <v>7.6147653446323913</v>
          </cell>
          <cell r="J34">
            <v>5.7744928525415471</v>
          </cell>
          <cell r="K34">
            <v>6.1922965465964763</v>
          </cell>
          <cell r="L34">
            <v>5.6162885967720655</v>
          </cell>
          <cell r="M34">
            <v>8.1698439705965953</v>
          </cell>
        </row>
        <row r="36">
          <cell r="A36" t="str">
            <v>1-Yr Fwd P/E</v>
          </cell>
        </row>
      </sheetData>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riance"/>
      <sheetName val="Sensitivity Analysis"/>
      <sheetName val="Productivity"/>
      <sheetName val="Income"/>
      <sheetName val="NY UPLOAD shadow"/>
      <sheetName val="Bal Sht"/>
      <sheetName val="__FDSCACHE__"/>
      <sheetName val="mwareTaxoPres"/>
      <sheetName val="mwareValPrintout"/>
      <sheetName val="CF"/>
      <sheetName val="Margins"/>
      <sheetName val="RNOA - ROE"/>
      <sheetName val="LEASES NEW"/>
      <sheetName val="LEASES"/>
      <sheetName val="VALUATION"/>
      <sheetName val="Capex-sq ft"/>
      <sheetName val="Capex-sq ft vs RNOA"/>
      <sheetName val="LINKED DATA"/>
      <sheetName val="NY UPLOAD"/>
      <sheetName val="mwarePreview"/>
      <sheetName val="mwareDates"/>
      <sheetName val="StoreLocations"/>
      <sheetName val="mwareSettings"/>
      <sheetName val="MainCode"/>
      <sheetName val="KSS_working"/>
      <sheetName val="MWare_Cached"/>
      <sheetName val="Credit Analysis"/>
      <sheetName val="Cash Flow"/>
      <sheetName val="Store Productivity"/>
      <sheetName val="P Map"/>
      <sheetName val="MW-Cache"/>
      <sheetName val="MWA RR"/>
      <sheetName val="Open Platform"/>
      <sheetName val="css"/>
      <sheetName val="Restatements"/>
      <sheetName val="Balance Sheet"/>
      <sheetName val="Comp breakdown"/>
      <sheetName val="online"/>
      <sheetName val="Variance-2Q11"/>
      <sheetName val="Variance-1Q11"/>
      <sheetName val="msri"/>
      <sheetName val="Sheet1"/>
    </sheetNames>
    <sheetDataSet>
      <sheetData sheetId="0"/>
      <sheetData sheetId="1"/>
      <sheetData sheetId="2"/>
      <sheetData sheetId="3" refreshError="1"/>
      <sheetData sheetId="4"/>
      <sheetData sheetId="5" refreshError="1">
        <row r="1">
          <cell r="A1" t="str">
            <v>KOHL's CORPORATION</v>
          </cell>
        </row>
        <row r="18">
          <cell r="E18" t="str">
            <v>Not Reviewed</v>
          </cell>
        </row>
        <row r="19">
          <cell r="E19">
            <v>1991</v>
          </cell>
          <cell r="F19">
            <v>1992</v>
          </cell>
          <cell r="G19">
            <v>1993</v>
          </cell>
          <cell r="H19" t="str">
            <v>1994</v>
          </cell>
          <cell r="I19" t="str">
            <v>1995</v>
          </cell>
          <cell r="J19" t="str">
            <v>1996</v>
          </cell>
          <cell r="K19" t="str">
            <v>1997</v>
          </cell>
        </row>
        <row r="22">
          <cell r="E22">
            <v>0.86699999999999999</v>
          </cell>
          <cell r="F22">
            <v>4.2219999999999995</v>
          </cell>
          <cell r="G22">
            <v>8.5109999999999992</v>
          </cell>
          <cell r="H22">
            <v>30.405999999999999</v>
          </cell>
          <cell r="I22">
            <v>2.819</v>
          </cell>
          <cell r="J22">
            <v>8.9060000000000006</v>
          </cell>
          <cell r="K22">
            <v>46.231333999999919</v>
          </cell>
        </row>
        <row r="23">
          <cell r="K23">
            <v>0</v>
          </cell>
        </row>
        <row r="24">
          <cell r="E24">
            <v>0</v>
          </cell>
          <cell r="F24">
            <v>45.96</v>
          </cell>
          <cell r="G24">
            <v>0</v>
          </cell>
          <cell r="H24">
            <v>0</v>
          </cell>
          <cell r="I24">
            <v>0</v>
          </cell>
          <cell r="J24">
            <v>0</v>
          </cell>
          <cell r="K24">
            <v>0</v>
          </cell>
        </row>
        <row r="25">
          <cell r="K25">
            <v>0</v>
          </cell>
        </row>
        <row r="26">
          <cell r="E26">
            <v>135.023</v>
          </cell>
          <cell r="F26">
            <v>159.39699999999999</v>
          </cell>
          <cell r="G26">
            <v>190.46899999999999</v>
          </cell>
          <cell r="H26">
            <v>247.96600000000001</v>
          </cell>
          <cell r="I26">
            <v>320.32499999999999</v>
          </cell>
          <cell r="J26">
            <v>423.20699999999999</v>
          </cell>
          <cell r="K26">
            <v>515.79</v>
          </cell>
        </row>
        <row r="27">
          <cell r="E27">
            <v>0.52100000000000002</v>
          </cell>
          <cell r="F27">
            <v>1.5469999999999999</v>
          </cell>
          <cell r="G27">
            <v>3.19</v>
          </cell>
          <cell r="H27">
            <v>7.851</v>
          </cell>
          <cell r="I27">
            <v>7.02</v>
          </cell>
          <cell r="J27">
            <v>33.045000000000002</v>
          </cell>
          <cell r="K27">
            <v>251.49100000000001</v>
          </cell>
        </row>
        <row r="28">
          <cell r="E28">
            <v>136.41099999999997</v>
          </cell>
          <cell r="F28">
            <v>211.126</v>
          </cell>
          <cell r="G28">
            <v>202.17</v>
          </cell>
          <cell r="H28">
            <v>286.22300000000001</v>
          </cell>
          <cell r="I28">
            <v>330.16399999999999</v>
          </cell>
          <cell r="J28">
            <v>465.15800000000002</v>
          </cell>
          <cell r="K28">
            <v>813.5123339999999</v>
          </cell>
        </row>
        <row r="30">
          <cell r="E30">
            <v>0</v>
          </cell>
          <cell r="F30">
            <v>3.75</v>
          </cell>
          <cell r="G30">
            <v>2.835</v>
          </cell>
          <cell r="H30">
            <v>0</v>
          </cell>
          <cell r="I30">
            <v>0</v>
          </cell>
          <cell r="J30">
            <v>0</v>
          </cell>
          <cell r="K30">
            <v>0</v>
          </cell>
        </row>
        <row r="31">
          <cell r="E31">
            <v>3.5569999999999999</v>
          </cell>
          <cell r="F31">
            <v>0</v>
          </cell>
          <cell r="G31">
            <v>0</v>
          </cell>
          <cell r="H31">
            <v>4.4409999999999998</v>
          </cell>
          <cell r="I31">
            <v>4.5640000000000001</v>
          </cell>
          <cell r="J31">
            <v>7.6150000000000002</v>
          </cell>
          <cell r="K31">
            <v>0</v>
          </cell>
        </row>
        <row r="32">
          <cell r="E32">
            <v>107.276</v>
          </cell>
          <cell r="F32">
            <v>141.196</v>
          </cell>
          <cell r="G32">
            <v>186.626</v>
          </cell>
          <cell r="H32">
            <v>298.73700000000002</v>
          </cell>
          <cell r="I32">
            <v>409.16800000000001</v>
          </cell>
          <cell r="J32">
            <v>596.22699999999998</v>
          </cell>
          <cell r="K32">
            <v>749.649</v>
          </cell>
        </row>
        <row r="34">
          <cell r="E34">
            <v>31.004000000000001</v>
          </cell>
          <cell r="F34">
            <v>27.532</v>
          </cell>
          <cell r="G34">
            <v>25.533000000000001</v>
          </cell>
          <cell r="H34">
            <v>23.577999999999999</v>
          </cell>
          <cell r="I34">
            <v>20.491</v>
          </cell>
          <cell r="J34">
            <v>18.076000000000001</v>
          </cell>
          <cell r="K34">
            <v>15.849</v>
          </cell>
        </row>
        <row r="35">
          <cell r="E35">
            <v>9.5370000000000008</v>
          </cell>
          <cell r="F35">
            <v>5.05</v>
          </cell>
          <cell r="G35">
            <v>1.1870000000000001</v>
          </cell>
          <cell r="H35">
            <v>0</v>
          </cell>
          <cell r="I35">
            <v>0</v>
          </cell>
          <cell r="J35">
            <v>0</v>
          </cell>
          <cell r="K35">
            <v>12.643000000000001</v>
          </cell>
        </row>
        <row r="36">
          <cell r="E36">
            <v>61.293999999999997</v>
          </cell>
          <cell r="F36">
            <v>56.137999999999998</v>
          </cell>
          <cell r="G36">
            <v>50.938000000000002</v>
          </cell>
          <cell r="H36">
            <v>45.738</v>
          </cell>
          <cell r="I36">
            <v>40.537999999999997</v>
          </cell>
          <cell r="J36">
            <v>35.338000000000001</v>
          </cell>
          <cell r="K36">
            <v>30.138000000000002</v>
          </cell>
        </row>
        <row r="38">
          <cell r="E38">
            <v>349.07899999999995</v>
          </cell>
          <cell r="F38">
            <v>444.79199999999997</v>
          </cell>
          <cell r="G38">
            <v>469.28899999999999</v>
          </cell>
          <cell r="H38">
            <v>658.7170000000001</v>
          </cell>
          <cell r="I38">
            <v>804.92499999999995</v>
          </cell>
          <cell r="J38">
            <v>1122.414</v>
          </cell>
          <cell r="K38">
            <v>1621.7913339999998</v>
          </cell>
        </row>
        <row r="42">
          <cell r="E42">
            <v>44.499000000000002</v>
          </cell>
          <cell r="F42">
            <v>54.131</v>
          </cell>
          <cell r="G42">
            <v>56.191000000000003</v>
          </cell>
          <cell r="H42">
            <v>98.344999999999999</v>
          </cell>
          <cell r="I42">
            <v>68.81</v>
          </cell>
          <cell r="J42">
            <v>126.548</v>
          </cell>
          <cell r="K42">
            <v>150.679</v>
          </cell>
        </row>
        <row r="43">
          <cell r="E43">
            <v>35.578000000000003</v>
          </cell>
          <cell r="F43">
            <v>40.93</v>
          </cell>
          <cell r="G43">
            <v>41.875999999999998</v>
          </cell>
          <cell r="H43">
            <v>52.363</v>
          </cell>
          <cell r="I43">
            <v>57.259</v>
          </cell>
          <cell r="J43">
            <v>79.593999999999994</v>
          </cell>
          <cell r="K43">
            <v>95.185000000000002</v>
          </cell>
        </row>
        <row r="44">
          <cell r="E44">
            <v>8.31</v>
          </cell>
          <cell r="F44">
            <v>8.1890000000000001</v>
          </cell>
          <cell r="G44">
            <v>13.965</v>
          </cell>
          <cell r="H44">
            <v>14.178000000000001</v>
          </cell>
          <cell r="I44">
            <v>21.628</v>
          </cell>
          <cell r="J44">
            <v>25.47</v>
          </cell>
          <cell r="K44">
            <v>38.481999999999999</v>
          </cell>
        </row>
        <row r="45">
          <cell r="E45">
            <v>3.4350000000000001</v>
          </cell>
          <cell r="F45">
            <v>1.2450000000000001</v>
          </cell>
          <cell r="G45">
            <v>2.3809999999999998</v>
          </cell>
          <cell r="H45">
            <v>5.4379999999999997</v>
          </cell>
          <cell r="I45">
            <v>5.6740000000000004</v>
          </cell>
          <cell r="J45">
            <v>2.544</v>
          </cell>
          <cell r="K45">
            <v>0</v>
          </cell>
        </row>
        <row r="46">
          <cell r="I46">
            <v>0</v>
          </cell>
          <cell r="J46">
            <v>0</v>
          </cell>
          <cell r="K46">
            <v>0</v>
          </cell>
        </row>
        <row r="47">
          <cell r="E47">
            <v>1.0009999999999999</v>
          </cell>
          <cell r="F47">
            <v>1.0669999999999999</v>
          </cell>
          <cell r="G47">
            <v>0.90100000000000002</v>
          </cell>
          <cell r="H47">
            <v>1.262</v>
          </cell>
          <cell r="I47">
            <v>1.425</v>
          </cell>
          <cell r="J47">
            <v>1.663</v>
          </cell>
          <cell r="K47">
            <v>1.845</v>
          </cell>
        </row>
        <row r="48">
          <cell r="E48">
            <v>92.823000000000008</v>
          </cell>
          <cell r="F48">
            <v>105.562</v>
          </cell>
          <cell r="G48">
            <v>115.31400000000001</v>
          </cell>
          <cell r="H48">
            <v>171.58599999999998</v>
          </cell>
          <cell r="I48">
            <v>154.79600000000002</v>
          </cell>
          <cell r="J48">
            <v>235.81900000000002</v>
          </cell>
          <cell r="K48">
            <v>286.19100000000003</v>
          </cell>
        </row>
        <row r="50">
          <cell r="E50">
            <v>211.125</v>
          </cell>
          <cell r="F50">
            <v>95.096000000000004</v>
          </cell>
          <cell r="G50">
            <v>51.851999999999997</v>
          </cell>
          <cell r="H50">
            <v>108.777</v>
          </cell>
          <cell r="I50">
            <v>187.69900000000001</v>
          </cell>
          <cell r="J50">
            <v>312.03100000000001</v>
          </cell>
          <cell r="K50">
            <v>310.36599999999999</v>
          </cell>
        </row>
        <row r="51">
          <cell r="E51">
            <v>13.407</v>
          </cell>
          <cell r="F51">
            <v>11.791</v>
          </cell>
          <cell r="G51">
            <v>15.134</v>
          </cell>
          <cell r="H51">
            <v>20.317</v>
          </cell>
          <cell r="I51">
            <v>30.731000000000002</v>
          </cell>
          <cell r="J51">
            <v>38.731000000000002</v>
          </cell>
          <cell r="K51">
            <v>45.103999999999999</v>
          </cell>
        </row>
        <row r="52">
          <cell r="E52">
            <v>7.4489999999999998</v>
          </cell>
          <cell r="F52">
            <v>24.948</v>
          </cell>
          <cell r="G52">
            <v>24.486999999999998</v>
          </cell>
          <cell r="H52">
            <v>23.788</v>
          </cell>
          <cell r="I52">
            <v>21.061</v>
          </cell>
          <cell r="J52">
            <v>18.361999999999998</v>
          </cell>
          <cell r="K52">
            <v>25.277999999999999</v>
          </cell>
        </row>
        <row r="53">
          <cell r="E53">
            <v>231.98100000000002</v>
          </cell>
          <cell r="F53">
            <v>131.83500000000001</v>
          </cell>
          <cell r="G53">
            <v>91.472999999999985</v>
          </cell>
          <cell r="H53">
            <v>152.88200000000001</v>
          </cell>
          <cell r="I53">
            <v>239.49100000000001</v>
          </cell>
          <cell r="J53">
            <v>369.12400000000002</v>
          </cell>
          <cell r="K53">
            <v>380.74799999999999</v>
          </cell>
        </row>
        <row r="55">
          <cell r="E55">
            <v>1.0880000000000001</v>
          </cell>
          <cell r="F55">
            <v>1.472</v>
          </cell>
          <cell r="G55">
            <v>1.468</v>
          </cell>
          <cell r="H55">
            <v>1.47</v>
          </cell>
          <cell r="I55">
            <v>1.474</v>
          </cell>
          <cell r="J55">
            <v>1.478</v>
          </cell>
          <cell r="K55">
            <v>1.5780000000000001</v>
          </cell>
        </row>
        <row r="56">
          <cell r="E56">
            <v>0</v>
          </cell>
          <cell r="F56">
            <v>0</v>
          </cell>
          <cell r="G56">
            <v>0</v>
          </cell>
          <cell r="H56">
            <v>0</v>
          </cell>
          <cell r="I56">
            <v>0</v>
          </cell>
          <cell r="J56">
            <v>0</v>
          </cell>
          <cell r="K56">
            <v>0</v>
          </cell>
        </row>
        <row r="57">
          <cell r="E57">
            <v>23.928000000000001</v>
          </cell>
          <cell r="F57">
            <v>180.08600000000001</v>
          </cell>
          <cell r="G57">
            <v>181.29599999999999</v>
          </cell>
          <cell r="H57">
            <v>184.53</v>
          </cell>
          <cell r="I57">
            <v>188.19799999999998</v>
          </cell>
          <cell r="J57">
            <v>192.61199999999999</v>
          </cell>
          <cell r="K57">
            <v>488.55</v>
          </cell>
        </row>
        <row r="58">
          <cell r="E58">
            <v>-0.72499999999999998</v>
          </cell>
          <cell r="F58">
            <v>25.846</v>
          </cell>
          <cell r="G58">
            <v>79.739000000000004</v>
          </cell>
          <cell r="H58">
            <v>148.251</v>
          </cell>
          <cell r="I58">
            <v>220.90299999999999</v>
          </cell>
          <cell r="J58">
            <v>323.38099999999997</v>
          </cell>
          <cell r="K58">
            <v>464.654</v>
          </cell>
        </row>
        <row r="59">
          <cell r="K59">
            <v>0</v>
          </cell>
        </row>
        <row r="60">
          <cell r="E60">
            <v>24.291</v>
          </cell>
          <cell r="F60">
            <v>207.40400000000002</v>
          </cell>
          <cell r="G60">
            <v>262.50299999999999</v>
          </cell>
          <cell r="H60">
            <v>334.25099999999998</v>
          </cell>
          <cell r="I60">
            <v>410.57499999999993</v>
          </cell>
          <cell r="J60">
            <v>517.471</v>
          </cell>
          <cell r="K60">
            <v>954.78199999999993</v>
          </cell>
        </row>
        <row r="62">
          <cell r="E62">
            <v>349.09500000000003</v>
          </cell>
          <cell r="F62">
            <v>444.80100000000004</v>
          </cell>
          <cell r="G62">
            <v>469.28999999999996</v>
          </cell>
          <cell r="H62">
            <v>658.71899999999994</v>
          </cell>
          <cell r="I62">
            <v>804.86199999999997</v>
          </cell>
          <cell r="J62">
            <v>1122.414</v>
          </cell>
          <cell r="K62">
            <v>1621.721</v>
          </cell>
        </row>
        <row r="66">
          <cell r="H66">
            <v>110.039</v>
          </cell>
          <cell r="I66">
            <v>189.12400000000002</v>
          </cell>
          <cell r="J66">
            <v>313.69400000000002</v>
          </cell>
          <cell r="K66">
            <v>312.21100000000001</v>
          </cell>
        </row>
        <row r="67">
          <cell r="H67">
            <v>79.63300000000001</v>
          </cell>
          <cell r="I67">
            <v>186.30500000000004</v>
          </cell>
          <cell r="J67">
            <v>304.78800000000001</v>
          </cell>
          <cell r="K67">
            <v>265.97966600000007</v>
          </cell>
        </row>
        <row r="68">
          <cell r="H68">
            <v>444.28999999999996</v>
          </cell>
          <cell r="I68">
            <v>599.69899999999996</v>
          </cell>
          <cell r="J68">
            <v>831.16499999999996</v>
          </cell>
          <cell r="K68">
            <v>1266.9929999999999</v>
          </cell>
        </row>
        <row r="69">
          <cell r="H69">
            <v>432.77600000000001</v>
          </cell>
          <cell r="I69">
            <v>639.49800000000005</v>
          </cell>
          <cell r="J69">
            <v>883.03100000000006</v>
          </cell>
          <cell r="K69">
            <v>1302.9659999999999</v>
          </cell>
        </row>
        <row r="70">
          <cell r="H70">
            <v>413.88400000000001</v>
          </cell>
          <cell r="I70">
            <v>596.87999999999988</v>
          </cell>
          <cell r="J70">
            <v>822.25900000000001</v>
          </cell>
          <cell r="K70">
            <v>1220.7616659999999</v>
          </cell>
        </row>
        <row r="71">
          <cell r="H71">
            <v>0.32921068298972933</v>
          </cell>
          <cell r="I71">
            <v>0.46063204043110284</v>
          </cell>
          <cell r="J71">
            <v>0.60620595163786961</v>
          </cell>
          <cell r="K71">
            <v>0.32699715746631169</v>
          </cell>
        </row>
        <row r="72">
          <cell r="H72">
            <v>0.24767381665128635</v>
          </cell>
          <cell r="I72">
            <v>0.3153648747121473</v>
          </cell>
          <cell r="J72">
            <v>0.37741483339649773</v>
          </cell>
          <cell r="K72">
            <v>0.2464188831351081</v>
          </cell>
        </row>
        <row r="73">
          <cell r="H73">
            <v>0.17923653469580683</v>
          </cell>
          <cell r="I73">
            <v>0.31066418319857136</v>
          </cell>
          <cell r="J73">
            <v>0.36669975275667288</v>
          </cell>
          <cell r="K73">
            <v>0.20992986228021787</v>
          </cell>
        </row>
        <row r="75">
          <cell r="K75">
            <v>641.82207210392835</v>
          </cell>
        </row>
        <row r="76">
          <cell r="K76">
            <v>0.99921560325176684</v>
          </cell>
        </row>
        <row r="77">
          <cell r="K77">
            <v>0.49980382387298367</v>
          </cell>
        </row>
        <row r="78">
          <cell r="K78">
            <v>0.4755839113861009</v>
          </cell>
        </row>
        <row r="81">
          <cell r="K81">
            <v>482.93499999999995</v>
          </cell>
        </row>
        <row r="82">
          <cell r="K82">
            <v>527.32133399999987</v>
          </cell>
        </row>
        <row r="83">
          <cell r="K83">
            <v>481.08999999999992</v>
          </cell>
        </row>
        <row r="84">
          <cell r="K84">
            <v>0.15721463855240572</v>
          </cell>
        </row>
        <row r="85">
          <cell r="K85">
            <v>2.8425503737014783</v>
          </cell>
        </row>
        <row r="86">
          <cell r="K86">
            <v>0.16154013927761499</v>
          </cell>
        </row>
        <row r="89">
          <cell r="K89">
            <v>3.0586693832570893</v>
          </cell>
        </row>
        <row r="91">
          <cell r="K91">
            <v>2.2302150368169209</v>
          </cell>
        </row>
        <row r="92">
          <cell r="K92">
            <v>1.6985985638606509</v>
          </cell>
        </row>
        <row r="94">
          <cell r="K94" t="str">
            <v>NM</v>
          </cell>
        </row>
        <row r="95">
          <cell r="F95">
            <v>4.9206575640241841</v>
          </cell>
          <cell r="G95">
            <v>4.9669073302350046</v>
          </cell>
          <cell r="H95">
            <v>4.7375414827739579</v>
          </cell>
          <cell r="I95">
            <v>4.5612230353815217</v>
          </cell>
          <cell r="J95">
            <v>4.3130302394516988</v>
          </cell>
          <cell r="K95">
            <v>4.3590362908507698</v>
          </cell>
        </row>
        <row r="96">
          <cell r="K96">
            <v>14.764514278912229</v>
          </cell>
        </row>
        <row r="98">
          <cell r="K98">
            <v>20.372193451259413</v>
          </cell>
        </row>
        <row r="99">
          <cell r="K99">
            <v>83.734104431776032</v>
          </cell>
        </row>
        <row r="100">
          <cell r="K100">
            <v>24.721436351029848</v>
          </cell>
        </row>
        <row r="101">
          <cell r="K101">
            <v>79.384861532005587</v>
          </cell>
        </row>
        <row r="103">
          <cell r="K103">
            <v>4.9240151577538395E-2</v>
          </cell>
        </row>
        <row r="104">
          <cell r="K104">
            <v>0.29213245700769697</v>
          </cell>
        </row>
        <row r="105">
          <cell r="K105">
            <v>7.3625462422082705E-2</v>
          </cell>
        </row>
        <row r="106">
          <cell r="K106" t="str">
            <v>NM</v>
          </cell>
        </row>
        <row r="108">
          <cell r="K108">
            <v>0.25202766983246527</v>
          </cell>
        </row>
        <row r="109">
          <cell r="K109">
            <v>0.21876528507326198</v>
          </cell>
        </row>
        <row r="110">
          <cell r="K110">
            <v>2.8340109890109888</v>
          </cell>
        </row>
        <row r="112">
          <cell r="K112">
            <v>42.04626972740315</v>
          </cell>
        </row>
        <row r="117">
          <cell r="E117">
            <v>1.6635791033716272</v>
          </cell>
          <cell r="F117">
            <v>0.22936187660501928</v>
          </cell>
          <cell r="G117">
            <v>0.236906451702146</v>
          </cell>
          <cell r="H117">
            <v>0.22961555347764659</v>
          </cell>
          <cell r="I117">
            <v>0.19508448953178376</v>
          </cell>
          <cell r="J117">
            <v>0.22144591970656607</v>
          </cell>
          <cell r="K117">
            <v>0.19189138551594048</v>
          </cell>
        </row>
        <row r="118">
          <cell r="E118">
            <v>0.11576176166426569</v>
          </cell>
          <cell r="F118">
            <v>6.6940346731395844E-2</v>
          </cell>
          <cell r="G118">
            <v>0.12178789407065713</v>
          </cell>
          <cell r="H118">
            <v>0.12147453116384087</v>
          </cell>
          <cell r="I118">
            <v>9.9275642541004114E-2</v>
          </cell>
          <cell r="J118">
            <v>0.10662991824479233</v>
          </cell>
          <cell r="K118">
            <v>0.10294880798449754</v>
          </cell>
        </row>
        <row r="119">
          <cell r="E119">
            <v>0.89725358159523216</v>
          </cell>
          <cell r="F119">
            <v>0.3167768565094361</v>
          </cell>
          <cell r="G119">
            <v>0.16733384931611137</v>
          </cell>
          <cell r="H119">
            <v>0.24767381665128635</v>
          </cell>
          <cell r="I119">
            <v>0.3153648747121473</v>
          </cell>
          <cell r="J119">
            <v>0.37741483339649773</v>
          </cell>
          <cell r="K119">
            <v>0.2464188831351081</v>
          </cell>
        </row>
        <row r="120">
          <cell r="E120">
            <v>212.126</v>
          </cell>
          <cell r="F120">
            <v>96.162999999999997</v>
          </cell>
          <cell r="G120">
            <v>52.753</v>
          </cell>
          <cell r="H120">
            <v>110.039</v>
          </cell>
          <cell r="I120">
            <v>189.12400000000002</v>
          </cell>
          <cell r="J120">
            <v>313.69400000000002</v>
          </cell>
          <cell r="K120">
            <v>312.21100000000001</v>
          </cell>
        </row>
        <row r="121">
          <cell r="H121">
            <v>79.63300000000001</v>
          </cell>
          <cell r="I121">
            <v>186.30500000000004</v>
          </cell>
          <cell r="J121">
            <v>304.78800000000001</v>
          </cell>
          <cell r="K121">
            <v>265.97966600000007</v>
          </cell>
        </row>
        <row r="122">
          <cell r="E122">
            <v>0.89681669894994398</v>
          </cell>
          <cell r="F122">
            <v>0.31436694214876032</v>
          </cell>
          <cell r="G122">
            <v>0.16494727298754594</v>
          </cell>
          <cell r="H122">
            <v>0.24553075652103257</v>
          </cell>
          <cell r="I122">
            <v>0.31373417531097797</v>
          </cell>
          <cell r="J122">
            <v>0.37616666385373393</v>
          </cell>
          <cell r="K122">
            <v>0.24531991514036303</v>
          </cell>
        </row>
        <row r="123">
          <cell r="E123">
            <v>0.11402084115659032</v>
          </cell>
          <cell r="F123">
            <v>0.79384836793434999</v>
          </cell>
          <cell r="G123">
            <v>0.89576792880347245</v>
          </cell>
          <cell r="H123">
            <v>1.13830975554935</v>
          </cell>
          <cell r="I123">
            <v>1.3949383689167332</v>
          </cell>
          <cell r="J123">
            <v>1.7277829716193656</v>
          </cell>
          <cell r="K123">
            <v>3.0586693832570893</v>
          </cell>
        </row>
        <row r="124">
          <cell r="E124">
            <v>0.10406496432594863</v>
          </cell>
          <cell r="F124">
            <v>0.23522949966317577</v>
          </cell>
          <cell r="G124">
            <v>0.22107982310065297</v>
          </cell>
          <cell r="H124">
            <v>0.32521676349791157</v>
          </cell>
          <cell r="I124">
            <v>9.2871315385347819E-2</v>
          </cell>
          <cell r="J124">
            <v>0.34799666110183597</v>
          </cell>
          <cell r="K124">
            <v>-0.16095050551647275</v>
          </cell>
        </row>
        <row r="125">
          <cell r="E125">
            <v>0</v>
          </cell>
          <cell r="F125">
            <v>0</v>
          </cell>
          <cell r="G125">
            <v>-8.774957915148417E-3</v>
          </cell>
          <cell r="H125">
            <v>-1.4346026150756242E-3</v>
          </cell>
          <cell r="I125">
            <v>-1.9593420983969921E-3</v>
          </cell>
          <cell r="J125">
            <v>-6.6998451551744719E-4</v>
          </cell>
          <cell r="K125">
            <v>-1.8190551889011734E-4</v>
          </cell>
        </row>
        <row r="127">
          <cell r="E127">
            <v>0.21764809235733987</v>
          </cell>
          <cell r="F127">
            <v>0.22004914615458948</v>
          </cell>
          <cell r="G127">
            <v>0.21921309830171393</v>
          </cell>
          <cell r="H127">
            <v>0.23876127531409114</v>
          </cell>
          <cell r="I127">
            <v>0.24715462585963052</v>
          </cell>
          <cell r="J127">
            <v>0.26393723985585971</v>
          </cell>
          <cell r="K127">
            <v>0.25202766983246527</v>
          </cell>
        </row>
        <row r="128">
          <cell r="E128">
            <v>4.5945727764899313</v>
          </cell>
          <cell r="F128">
            <v>4.9206575640241841</v>
          </cell>
          <cell r="G128">
            <v>4.9669073302350046</v>
          </cell>
          <cell r="H128">
            <v>4.7375414827739579</v>
          </cell>
          <cell r="I128">
            <v>4.5612230353815217</v>
          </cell>
          <cell r="J128">
            <v>4.3130302394516988</v>
          </cell>
          <cell r="K128">
            <v>4.3590362908507698</v>
          </cell>
        </row>
        <row r="129">
          <cell r="E129">
            <v>4.7820774456039904E-2</v>
          </cell>
          <cell r="F129">
            <v>4.9351054286068542E-2</v>
          </cell>
          <cell r="G129">
            <v>4.3033637476201342E-2</v>
          </cell>
          <cell r="H129">
            <v>6.3280998648735612E-2</v>
          </cell>
          <cell r="I129">
            <v>3.5733036155227091E-2</v>
          </cell>
          <cell r="J129">
            <v>5.2982206405693948E-2</v>
          </cell>
          <cell r="K129">
            <v>4.9240151577538395E-2</v>
          </cell>
        </row>
        <row r="130">
          <cell r="E130">
            <v>0.32956607392814558</v>
          </cell>
          <cell r="F130">
            <v>0.33959861226999255</v>
          </cell>
          <cell r="G130">
            <v>0.29501388677422574</v>
          </cell>
          <cell r="H130">
            <v>0.39660679286676398</v>
          </cell>
          <cell r="I130">
            <v>0.2148130804651526</v>
          </cell>
          <cell r="J130">
            <v>0.29902151902024304</v>
          </cell>
          <cell r="K130">
            <v>0.29213245700769697</v>
          </cell>
        </row>
        <row r="131">
          <cell r="E131">
            <v>17.454582676454564</v>
          </cell>
          <cell r="F131">
            <v>16.410517880195759</v>
          </cell>
          <cell r="G131">
            <v>15.419357976206705</v>
          </cell>
          <cell r="H131">
            <v>18.147365034425071</v>
          </cell>
          <cell r="I131">
            <v>15.841656847568299</v>
          </cell>
          <cell r="J131">
            <v>14.926872514130206</v>
          </cell>
          <cell r="K131">
            <v>16.533509374252471</v>
          </cell>
        </row>
        <row r="132">
          <cell r="E132">
            <v>5.5989176142378001E-4</v>
          </cell>
          <cell r="F132">
            <v>1.4103948011407149E-3</v>
          </cell>
          <cell r="G132">
            <v>2.4430478822067996E-3</v>
          </cell>
          <cell r="H132">
            <v>5.0517984685670165E-3</v>
          </cell>
          <cell r="I132">
            <v>3.6454863218964417E-3</v>
          </cell>
          <cell r="J132">
            <v>1.3835042913962739E-2</v>
          </cell>
          <cell r="K132">
            <v>8.2184345266339109E-2</v>
          </cell>
        </row>
        <row r="133">
          <cell r="E133">
            <v>3.823383702098896E-2</v>
          </cell>
          <cell r="F133">
            <v>3.731574609611471E-2</v>
          </cell>
          <cell r="G133">
            <v>3.2070555835514714E-2</v>
          </cell>
          <cell r="H133">
            <v>3.3693456019561162E-2</v>
          </cell>
          <cell r="I133">
            <v>2.9734601325565296E-2</v>
          </cell>
          <cell r="J133">
            <v>3.3323843416370104E-2</v>
          </cell>
          <cell r="K133">
            <v>3.1105355277828976E-2</v>
          </cell>
        </row>
        <row r="134">
          <cell r="E134">
            <v>8.0050551455772313E-3</v>
          </cell>
          <cell r="F134">
            <v>2.2745009372242119E-2</v>
          </cell>
          <cell r="G134">
            <v>1.8753264417428809E-2</v>
          </cell>
          <cell r="H134">
            <v>1.5306608326362527E-2</v>
          </cell>
          <cell r="I134">
            <v>1.093697826573518E-2</v>
          </cell>
          <cell r="J134">
            <v>7.6876700858279244E-3</v>
          </cell>
          <cell r="K134">
            <v>8.2605575533220652E-3</v>
          </cell>
        </row>
        <row r="135">
          <cell r="K135">
            <v>0.14322767580193929</v>
          </cell>
        </row>
      </sheetData>
      <sheetData sheetId="6"/>
      <sheetData sheetId="7"/>
      <sheetData sheetId="8"/>
      <sheetData sheetId="9" refreshError="1">
        <row r="1">
          <cell r="AX1" t="str">
            <v>KOHL's CORPORATION</v>
          </cell>
        </row>
        <row r="5">
          <cell r="D5">
            <v>1990</v>
          </cell>
          <cell r="E5">
            <v>1991</v>
          </cell>
          <cell r="F5">
            <v>1992</v>
          </cell>
          <cell r="G5" t="str">
            <v>1993</v>
          </cell>
          <cell r="H5" t="str">
            <v>1994</v>
          </cell>
          <cell r="I5" t="str">
            <v>1995</v>
          </cell>
          <cell r="J5" t="str">
            <v>1996</v>
          </cell>
          <cell r="K5" t="str">
            <v>1997</v>
          </cell>
        </row>
        <row r="7">
          <cell r="D7">
            <v>11.489999999999924</v>
          </cell>
          <cell r="E7">
            <v>20.205000000000098</v>
          </cell>
          <cell r="F7">
            <v>26.570999999999973</v>
          </cell>
          <cell r="G7">
            <v>55.662000000000162</v>
          </cell>
          <cell r="H7">
            <v>68.511999999999745</v>
          </cell>
          <cell r="I7">
            <v>72.652000000000172</v>
          </cell>
          <cell r="J7">
            <v>102.7559999999999</v>
          </cell>
          <cell r="K7">
            <v>141.25633399999995</v>
          </cell>
        </row>
        <row r="10">
          <cell r="D10">
            <v>17.777000000000001</v>
          </cell>
          <cell r="E10">
            <v>19.145</v>
          </cell>
          <cell r="F10">
            <v>20.895</v>
          </cell>
          <cell r="G10">
            <v>23.978999999999999</v>
          </cell>
          <cell r="H10">
            <v>27.472000000000001</v>
          </cell>
          <cell r="I10">
            <v>34.008000000000003</v>
          </cell>
          <cell r="J10">
            <v>44.216000000000001</v>
          </cell>
          <cell r="K10">
            <v>57.723999999999997</v>
          </cell>
        </row>
        <row r="11">
          <cell r="J11">
            <v>0</v>
          </cell>
          <cell r="K11">
            <v>0</v>
          </cell>
        </row>
        <row r="12">
          <cell r="D12">
            <v>0</v>
          </cell>
          <cell r="E12">
            <v>0</v>
          </cell>
          <cell r="F12">
            <v>17.734999999999999</v>
          </cell>
          <cell r="G12">
            <v>0</v>
          </cell>
          <cell r="H12">
            <v>0</v>
          </cell>
          <cell r="I12">
            <v>0</v>
          </cell>
          <cell r="J12">
            <v>0</v>
          </cell>
          <cell r="K12">
            <v>0</v>
          </cell>
        </row>
        <row r="13">
          <cell r="D13">
            <v>3.411</v>
          </cell>
          <cell r="E13">
            <v>0.63100000000000001</v>
          </cell>
          <cell r="F13">
            <v>-3.806</v>
          </cell>
          <cell r="G13">
            <v>4.4790000000000001</v>
          </cell>
          <cell r="H13">
            <v>8.24</v>
          </cell>
          <cell r="I13">
            <v>10.65</v>
          </cell>
          <cell r="J13">
            <v>4.87</v>
          </cell>
          <cell r="K13">
            <v>-2.786</v>
          </cell>
        </row>
        <row r="14">
          <cell r="D14">
            <v>2.512</v>
          </cell>
          <cell r="E14">
            <v>2.33</v>
          </cell>
          <cell r="F14">
            <v>0</v>
          </cell>
          <cell r="G14">
            <v>0</v>
          </cell>
          <cell r="H14">
            <v>0</v>
          </cell>
          <cell r="I14">
            <v>0</v>
          </cell>
          <cell r="J14">
            <v>0</v>
          </cell>
          <cell r="K14">
            <v>0</v>
          </cell>
        </row>
        <row r="15">
          <cell r="D15">
            <v>0</v>
          </cell>
          <cell r="E15">
            <v>-2.1640000000000001</v>
          </cell>
          <cell r="F15">
            <v>0</v>
          </cell>
          <cell r="G15">
            <v>0</v>
          </cell>
          <cell r="H15">
            <v>0</v>
          </cell>
          <cell r="I15">
            <v>0</v>
          </cell>
          <cell r="J15">
            <v>0</v>
          </cell>
          <cell r="K15">
            <v>0</v>
          </cell>
        </row>
        <row r="16">
          <cell r="D16">
            <v>0</v>
          </cell>
          <cell r="E16">
            <v>0</v>
          </cell>
          <cell r="F16">
            <v>3.4540000000000002</v>
          </cell>
          <cell r="G16">
            <v>2.8690000000000002</v>
          </cell>
          <cell r="H16">
            <v>0</v>
          </cell>
          <cell r="I16">
            <v>0</v>
          </cell>
          <cell r="J16">
            <v>0</v>
          </cell>
          <cell r="K16">
            <v>0</v>
          </cell>
        </row>
        <row r="17">
          <cell r="D17">
            <v>0.183</v>
          </cell>
          <cell r="E17">
            <v>0.96799999999999997</v>
          </cell>
          <cell r="F17">
            <v>2.101</v>
          </cell>
          <cell r="G17">
            <v>2.3769999999999998</v>
          </cell>
          <cell r="H17">
            <v>3.23</v>
          </cell>
          <cell r="I17">
            <v>1.2150000000000001</v>
          </cell>
          <cell r="J17">
            <v>1.843</v>
          </cell>
          <cell r="K17">
            <v>2.7839999999999998</v>
          </cell>
        </row>
        <row r="18">
          <cell r="D18">
            <v>14.481999999999999</v>
          </cell>
          <cell r="E18">
            <v>-18.945</v>
          </cell>
          <cell r="F18">
            <v>-5.4929999999999994</v>
          </cell>
          <cell r="G18">
            <v>-24.579000000000001</v>
          </cell>
          <cell r="H18">
            <v>-11.957999999999997</v>
          </cell>
          <cell r="I18">
            <v>-91.189999999999984</v>
          </cell>
          <cell r="J18">
            <v>-49.46</v>
          </cell>
          <cell r="K18">
            <v>-249.22</v>
          </cell>
        </row>
        <row r="26">
          <cell r="D26">
            <v>49.854999999999926</v>
          </cell>
          <cell r="E26">
            <v>22.170000000000094</v>
          </cell>
          <cell r="F26">
            <v>61.456999999999958</v>
          </cell>
          <cell r="G26">
            <v>64.787000000000148</v>
          </cell>
          <cell r="H26">
            <v>95.495999999999754</v>
          </cell>
          <cell r="I26">
            <v>27.335000000000193</v>
          </cell>
          <cell r="J26">
            <v>104.22499999999988</v>
          </cell>
          <cell r="K26">
            <v>-50.241666000000066</v>
          </cell>
        </row>
        <row r="28">
          <cell r="D28">
            <v>-7.5609999999999999</v>
          </cell>
          <cell r="E28">
            <v>-17.396000000000001</v>
          </cell>
          <cell r="F28">
            <v>-37.076000000000001</v>
          </cell>
          <cell r="G28">
            <v>-58.793999999999997</v>
          </cell>
          <cell r="H28">
            <v>-107.526</v>
          </cell>
          <cell r="I28">
            <v>-132.40899999999999</v>
          </cell>
          <cell r="J28">
            <v>-223.423</v>
          </cell>
          <cell r="K28">
            <v>-202.73500000000001</v>
          </cell>
        </row>
        <row r="29">
          <cell r="D29" t="str">
            <v xml:space="preserve">0  </v>
          </cell>
          <cell r="E29" t="str">
            <v xml:space="preserve">0  </v>
          </cell>
          <cell r="F29">
            <v>0</v>
          </cell>
          <cell r="G29">
            <v>4.1180000000000003</v>
          </cell>
          <cell r="H29">
            <v>0.94499999999999995</v>
          </cell>
          <cell r="I29">
            <v>1.577</v>
          </cell>
          <cell r="J29">
            <v>0.752</v>
          </cell>
          <cell r="K29">
            <v>0.29499999999999998</v>
          </cell>
        </row>
        <row r="30">
          <cell r="D30">
            <v>-0.51800000000000002</v>
          </cell>
          <cell r="E30">
            <v>-0.65600000000000003</v>
          </cell>
          <cell r="F30">
            <v>-4.117</v>
          </cell>
          <cell r="G30">
            <v>-0.29599999999999999</v>
          </cell>
          <cell r="H30">
            <v>-0.48499999999999999</v>
          </cell>
          <cell r="I30">
            <v>-0.52400000000000002</v>
          </cell>
          <cell r="J30">
            <v>-2.0630000000000002</v>
          </cell>
          <cell r="K30">
            <v>-6.5339999999999998</v>
          </cell>
        </row>
        <row r="32">
          <cell r="D32">
            <v>-8.0790000000000006</v>
          </cell>
          <cell r="E32">
            <v>-18.052</v>
          </cell>
          <cell r="F32">
            <v>-41.192999999999998</v>
          </cell>
          <cell r="G32">
            <v>-54.971999999999994</v>
          </cell>
          <cell r="H32">
            <v>-107.066</v>
          </cell>
          <cell r="I32">
            <v>-131.35599999999999</v>
          </cell>
          <cell r="J32">
            <v>-224.73399999999998</v>
          </cell>
          <cell r="K32">
            <v>-208.97400000000002</v>
          </cell>
        </row>
        <row r="33">
          <cell r="D33">
            <v>42.293999999999926</v>
          </cell>
          <cell r="E33">
            <v>4.7740000000000933</v>
          </cell>
          <cell r="F33">
            <v>24.380999999999958</v>
          </cell>
          <cell r="G33">
            <v>5.9930000000001513</v>
          </cell>
          <cell r="H33">
            <v>-12.030000000000243</v>
          </cell>
          <cell r="I33">
            <v>-105.0739999999998</v>
          </cell>
          <cell r="J33">
            <v>-119.19800000000012</v>
          </cell>
          <cell r="K33">
            <v>-252.97666600000008</v>
          </cell>
        </row>
        <row r="35">
          <cell r="D35">
            <v>0</v>
          </cell>
          <cell r="E35">
            <v>0</v>
          </cell>
          <cell r="F35">
            <v>0</v>
          </cell>
          <cell r="G35">
            <v>0</v>
          </cell>
          <cell r="H35">
            <v>0</v>
          </cell>
          <cell r="I35">
            <v>0</v>
          </cell>
          <cell r="J35">
            <v>0</v>
          </cell>
          <cell r="K35">
            <v>0</v>
          </cell>
        </row>
        <row r="36">
          <cell r="D36">
            <v>3.363</v>
          </cell>
          <cell r="E36">
            <v>6.7000000000000004E-2</v>
          </cell>
          <cell r="F36">
            <v>3.5569999999999999</v>
          </cell>
          <cell r="G36">
            <v>0</v>
          </cell>
          <cell r="H36">
            <v>0</v>
          </cell>
          <cell r="I36">
            <v>0</v>
          </cell>
          <cell r="J36">
            <v>0</v>
          </cell>
          <cell r="K36">
            <v>0</v>
          </cell>
        </row>
        <row r="37">
          <cell r="D37">
            <v>3.419</v>
          </cell>
          <cell r="E37">
            <v>0</v>
          </cell>
          <cell r="F37">
            <v>-0.252</v>
          </cell>
          <cell r="G37">
            <v>-76.045000000000002</v>
          </cell>
          <cell r="H37">
            <v>0</v>
          </cell>
          <cell r="I37">
            <v>0</v>
          </cell>
          <cell r="J37">
            <v>0</v>
          </cell>
          <cell r="K37">
            <v>0</v>
          </cell>
        </row>
        <row r="38">
          <cell r="D38">
            <v>0</v>
          </cell>
          <cell r="E38">
            <v>0</v>
          </cell>
          <cell r="F38">
            <v>0</v>
          </cell>
          <cell r="G38">
            <v>0</v>
          </cell>
          <cell r="H38">
            <v>60</v>
          </cell>
          <cell r="I38">
            <v>0</v>
          </cell>
          <cell r="J38">
            <v>200</v>
          </cell>
          <cell r="K38">
            <v>0</v>
          </cell>
        </row>
        <row r="39">
          <cell r="D39">
            <v>-14</v>
          </cell>
          <cell r="E39">
            <v>6</v>
          </cell>
          <cell r="F39">
            <v>-6</v>
          </cell>
          <cell r="G39">
            <v>27</v>
          </cell>
          <cell r="H39">
            <v>-27</v>
          </cell>
          <cell r="I39">
            <v>74</v>
          </cell>
          <cell r="J39">
            <v>-74</v>
          </cell>
          <cell r="K39">
            <v>0</v>
          </cell>
        </row>
        <row r="40">
          <cell r="D40">
            <v>0</v>
          </cell>
          <cell r="E40">
            <v>0</v>
          </cell>
          <cell r="F40">
            <v>-105</v>
          </cell>
          <cell r="G40">
            <v>0</v>
          </cell>
          <cell r="H40">
            <v>0</v>
          </cell>
          <cell r="I40">
            <v>0</v>
          </cell>
          <cell r="J40">
            <v>0</v>
          </cell>
          <cell r="K40">
            <v>0</v>
          </cell>
        </row>
        <row r="41">
          <cell r="D41">
            <v>0</v>
          </cell>
          <cell r="E41">
            <v>-9.2170000000000005</v>
          </cell>
          <cell r="F41">
            <v>-13.173999999999999</v>
          </cell>
          <cell r="G41">
            <v>0</v>
          </cell>
          <cell r="H41">
            <v>0</v>
          </cell>
          <cell r="I41">
            <v>0</v>
          </cell>
          <cell r="J41">
            <v>0</v>
          </cell>
          <cell r="K41">
            <v>0</v>
          </cell>
        </row>
        <row r="42">
          <cell r="D42">
            <v>-34.491</v>
          </cell>
          <cell r="E42">
            <v>-0.85799999999999998</v>
          </cell>
          <cell r="F42">
            <v>-0.79800000000000004</v>
          </cell>
          <cell r="G42">
            <v>-0.76300000000000001</v>
          </cell>
          <cell r="H42">
            <v>-0.98799999999999999</v>
          </cell>
          <cell r="I42">
            <v>-1.3029999999999999</v>
          </cell>
          <cell r="J42">
            <v>-1.43</v>
          </cell>
          <cell r="K42">
            <v>-1.4830000000000001</v>
          </cell>
        </row>
        <row r="43">
          <cell r="D43">
            <v>0</v>
          </cell>
          <cell r="E43">
            <v>0</v>
          </cell>
          <cell r="F43">
            <v>104.758</v>
          </cell>
          <cell r="G43">
            <v>46.051000000000002</v>
          </cell>
          <cell r="H43">
            <v>1.4530000000000001</v>
          </cell>
          <cell r="I43">
            <v>3.7370000000000001</v>
          </cell>
          <cell r="J43">
            <v>4.3550000000000004</v>
          </cell>
          <cell r="K43">
            <v>296.03800000000001</v>
          </cell>
        </row>
        <row r="45">
          <cell r="D45">
            <v>0</v>
          </cell>
          <cell r="E45">
            <v>0</v>
          </cell>
          <cell r="F45">
            <v>0</v>
          </cell>
          <cell r="G45">
            <v>0</v>
          </cell>
          <cell r="H45">
            <v>0</v>
          </cell>
          <cell r="I45">
            <v>0</v>
          </cell>
          <cell r="J45">
            <v>-2.0110000000000001</v>
          </cell>
          <cell r="K45">
            <v>-0.10100000000000001</v>
          </cell>
        </row>
        <row r="47">
          <cell r="D47">
            <v>-41.709000000000003</v>
          </cell>
          <cell r="E47">
            <v>-4.008</v>
          </cell>
          <cell r="F47">
            <v>-16.909000000000006</v>
          </cell>
          <cell r="G47">
            <v>-3.7569999999999979</v>
          </cell>
          <cell r="H47">
            <v>33.465000000000003</v>
          </cell>
          <cell r="I47">
            <v>76.433999999999997</v>
          </cell>
          <cell r="J47">
            <v>126.91399999999999</v>
          </cell>
          <cell r="K47">
            <v>294.45400000000001</v>
          </cell>
        </row>
        <row r="49">
          <cell r="D49">
            <v>6.6999999999922011E-2</v>
          </cell>
          <cell r="E49">
            <v>0.11000000000009447</v>
          </cell>
          <cell r="F49">
            <v>3.3549999999999542</v>
          </cell>
          <cell r="G49">
            <v>6.0580000000001561</v>
          </cell>
          <cell r="H49">
            <v>21.894999999999754</v>
          </cell>
          <cell r="I49">
            <v>-27.586999999999804</v>
          </cell>
          <cell r="J49">
            <v>6.4049999999998875</v>
          </cell>
          <cell r="K49">
            <v>35.238333999999952</v>
          </cell>
        </row>
        <row r="50">
          <cell r="D50" t="str">
            <v>=====</v>
          </cell>
          <cell r="E50" t="str">
            <v>=====</v>
          </cell>
          <cell r="F50" t="str">
            <v>=====</v>
          </cell>
          <cell r="G50" t="str">
            <v>=====</v>
          </cell>
          <cell r="H50" t="str">
            <v>=====</v>
          </cell>
          <cell r="I50" t="str">
            <v>=====</v>
          </cell>
          <cell r="J50" t="str">
            <v>=====</v>
          </cell>
          <cell r="K50" t="str">
            <v>=====</v>
          </cell>
        </row>
        <row r="51">
          <cell r="D51">
            <v>0.69</v>
          </cell>
          <cell r="E51">
            <v>0.75699999999992196</v>
          </cell>
          <cell r="F51">
            <v>0.86700000000001642</v>
          </cell>
          <cell r="G51">
            <v>4.2219999999999711</v>
          </cell>
          <cell r="H51">
            <v>10.280000000000127</v>
          </cell>
          <cell r="I51">
            <v>32.174999999999883</v>
          </cell>
          <cell r="J51">
            <v>4.5880000000000791</v>
          </cell>
          <cell r="K51">
            <v>10.992999999999967</v>
          </cell>
        </row>
        <row r="52">
          <cell r="D52">
            <v>0.75699999999992196</v>
          </cell>
          <cell r="E52">
            <v>0.86700000000001642</v>
          </cell>
          <cell r="F52">
            <v>4.2219999999999711</v>
          </cell>
          <cell r="G52">
            <v>10.280000000000127</v>
          </cell>
          <cell r="H52">
            <v>32.174999999999883</v>
          </cell>
          <cell r="I52">
            <v>4.5880000000000791</v>
          </cell>
          <cell r="J52">
            <v>10.992999999999967</v>
          </cell>
          <cell r="K52">
            <v>46.231333999999919</v>
          </cell>
        </row>
        <row r="54">
          <cell r="D54">
            <v>6.6999999999922011E-2</v>
          </cell>
          <cell r="E54">
            <v>0.11000000000009447</v>
          </cell>
          <cell r="F54">
            <v>3.3549999999999547</v>
          </cell>
          <cell r="G54">
            <v>6.0580000000001561</v>
          </cell>
          <cell r="H54">
            <v>21.894999999999754</v>
          </cell>
          <cell r="I54">
            <v>-27.586999999999804</v>
          </cell>
          <cell r="J54">
            <v>6.4049999999998875</v>
          </cell>
          <cell r="K54">
            <v>35.238333999999952</v>
          </cell>
        </row>
        <row r="65">
          <cell r="D65">
            <v>17.777000000000001</v>
          </cell>
          <cell r="E65">
            <v>19.145</v>
          </cell>
          <cell r="F65">
            <v>20.895</v>
          </cell>
          <cell r="G65">
            <v>23.978999999999999</v>
          </cell>
          <cell r="H65">
            <v>27.472000000000001</v>
          </cell>
          <cell r="I65">
            <v>34.008000000000003</v>
          </cell>
          <cell r="J65">
            <v>44.216000000000001</v>
          </cell>
          <cell r="K65">
            <v>57.723999999999997</v>
          </cell>
        </row>
        <row r="69">
          <cell r="K69">
            <v>296.03800000000001</v>
          </cell>
        </row>
        <row r="71">
          <cell r="K71">
            <v>0</v>
          </cell>
        </row>
        <row r="73">
          <cell r="K73">
            <v>0</v>
          </cell>
        </row>
        <row r="74">
          <cell r="K74">
            <v>0</v>
          </cell>
        </row>
        <row r="82">
          <cell r="K82">
            <v>1.8863534465066972E-2</v>
          </cell>
        </row>
        <row r="83">
          <cell r="K83">
            <v>9.6815474643047031E-2</v>
          </cell>
        </row>
        <row r="86">
          <cell r="K86">
            <v>0.12500683395561912</v>
          </cell>
        </row>
        <row r="87">
          <cell r="I87">
            <v>6.8759999771507971E-2</v>
          </cell>
          <cell r="J87">
            <v>9.3541134603307513E-2</v>
          </cell>
          <cell r="K87">
            <v>6.6251449306620344E-2</v>
          </cell>
        </row>
        <row r="88">
          <cell r="K88">
            <v>0.34002988794536315</v>
          </cell>
        </row>
        <row r="89">
          <cell r="K89">
            <v>6.6155046724207578E-2</v>
          </cell>
        </row>
        <row r="90">
          <cell r="K90">
            <v>9.6402582412766225E-5</v>
          </cell>
        </row>
        <row r="91">
          <cell r="K91">
            <v>3.5070334696140257</v>
          </cell>
        </row>
        <row r="92">
          <cell r="H92">
            <v>1.1259738627795957</v>
          </cell>
          <cell r="I92">
            <v>4.8439363453447619</v>
          </cell>
          <cell r="J92">
            <v>2.1436603502038882</v>
          </cell>
          <cell r="K92">
            <v>-4.0351966035521141</v>
          </cell>
        </row>
        <row r="93">
          <cell r="K93">
            <v>-0.81041743871653937</v>
          </cell>
        </row>
        <row r="94">
          <cell r="K94">
            <v>0.2464188831351081</v>
          </cell>
        </row>
        <row r="95">
          <cell r="K95">
            <v>1.2557061683461422E-2</v>
          </cell>
        </row>
        <row r="96">
          <cell r="K96">
            <v>0</v>
          </cell>
        </row>
        <row r="98">
          <cell r="F98">
            <v>37.076000000000001</v>
          </cell>
          <cell r="G98">
            <v>58.793999999999997</v>
          </cell>
          <cell r="H98">
            <v>107.526</v>
          </cell>
          <cell r="I98">
            <v>132.40899999999999</v>
          </cell>
          <cell r="J98">
            <v>193.423</v>
          </cell>
          <cell r="K98">
            <v>202.73500000000001</v>
          </cell>
        </row>
        <row r="99">
          <cell r="F99">
            <v>84.263636363636365</v>
          </cell>
          <cell r="G99">
            <v>78.183510638297875</v>
          </cell>
          <cell r="H99">
            <v>82.648731744811684</v>
          </cell>
          <cell r="I99">
            <v>85.205276705276702</v>
          </cell>
          <cell r="J99">
            <v>114.72301304863582</v>
          </cell>
          <cell r="K99">
            <v>92.018427741466922</v>
          </cell>
        </row>
        <row r="100">
          <cell r="I100">
            <v>13.085561151581773</v>
          </cell>
          <cell r="J100">
            <v>16.675309566165776</v>
          </cell>
          <cell r="K100">
            <v>15.120723513002096</v>
          </cell>
        </row>
        <row r="101">
          <cell r="I101">
            <v>30</v>
          </cell>
          <cell r="J101">
            <v>35</v>
          </cell>
          <cell r="K101">
            <v>44</v>
          </cell>
        </row>
        <row r="102">
          <cell r="J102">
            <v>44.684600000000003</v>
          </cell>
          <cell r="K102">
            <v>22.526111111111113</v>
          </cell>
        </row>
      </sheetData>
      <sheetData sheetId="10"/>
      <sheetData sheetId="11" refreshError="1">
        <row r="1">
          <cell r="A1" t="str">
            <v>Kohl's</v>
          </cell>
          <cell r="AL1" t="str">
            <v>ElementName</v>
          </cell>
          <cell r="AM1" t="str">
            <v>ScaleOverride</v>
          </cell>
          <cell r="AN1" t="str">
            <v>UnitOverride</v>
          </cell>
          <cell r="AO1" t="str">
            <v>ReverseSign</v>
          </cell>
          <cell r="AP1" t="str">
            <v>IsDrivingAssumption</v>
          </cell>
          <cell r="AQ1" t="str">
            <v>SegmentID</v>
          </cell>
        </row>
        <row r="2">
          <cell r="A2" t="str">
            <v>Adjusted ROIC (RNOA)</v>
          </cell>
        </row>
        <row r="3">
          <cell r="A3" t="str">
            <v>($ Millions)</v>
          </cell>
        </row>
        <row r="5">
          <cell r="O5">
            <v>1995</v>
          </cell>
          <cell r="P5">
            <v>1996</v>
          </cell>
          <cell r="Q5">
            <v>1997</v>
          </cell>
          <cell r="R5">
            <v>1998</v>
          </cell>
          <cell r="S5">
            <v>1999</v>
          </cell>
          <cell r="T5">
            <v>2000</v>
          </cell>
          <cell r="U5">
            <v>2001</v>
          </cell>
          <cell r="V5">
            <v>2002</v>
          </cell>
          <cell r="W5">
            <v>2003</v>
          </cell>
          <cell r="X5">
            <v>2004</v>
          </cell>
          <cell r="Y5">
            <v>2005</v>
          </cell>
          <cell r="Z5" t="str">
            <v>2006E</v>
          </cell>
          <cell r="AA5" t="str">
            <v>2007E</v>
          </cell>
          <cell r="AB5" t="str">
            <v>2008E</v>
          </cell>
          <cell r="AC5" t="str">
            <v>2009E</v>
          </cell>
          <cell r="AD5" t="str">
            <v>2010E</v>
          </cell>
          <cell r="AE5" t="str">
            <v>2011E</v>
          </cell>
          <cell r="AF5" t="str">
            <v>2012E</v>
          </cell>
          <cell r="AG5" t="str">
            <v>2013E</v>
          </cell>
          <cell r="AH5" t="str">
            <v>2014E</v>
          </cell>
          <cell r="AI5" t="str">
            <v>2015E</v>
          </cell>
        </row>
        <row r="7">
          <cell r="A7" t="str">
            <v>REPORTED ROIC CALCULATION</v>
          </cell>
        </row>
        <row r="8">
          <cell r="A8" t="str">
            <v>Reported EBIT</v>
          </cell>
          <cell r="O8">
            <v>149.93100000000015</v>
          </cell>
          <cell r="P8">
            <v>189.26799999999992</v>
          </cell>
          <cell r="Q8">
            <v>258.82599999999991</v>
          </cell>
          <cell r="R8">
            <v>322.7999999999995</v>
          </cell>
          <cell r="S8">
            <v>448.94299999999959</v>
          </cell>
          <cell r="T8">
            <v>634.93300000000102</v>
          </cell>
          <cell r="U8">
            <v>840.96800000000042</v>
          </cell>
          <cell r="V8">
            <v>1077.6660000000002</v>
          </cell>
          <cell r="W8">
            <v>1006.8019999999988</v>
          </cell>
          <cell r="X8">
            <v>1193.4550000000011</v>
          </cell>
          <cell r="Y8">
            <v>1413.6999999999985</v>
          </cell>
          <cell r="Z8">
            <v>1725.2856217929707</v>
          </cell>
          <cell r="AA8">
            <v>1974.8756841554095</v>
          </cell>
          <cell r="AB8">
            <v>2285.1173521012452</v>
          </cell>
          <cell r="AC8">
            <v>2589.6116377844542</v>
          </cell>
          <cell r="AD8">
            <v>2804.3298482756736</v>
          </cell>
          <cell r="AE8">
            <v>3017.6957745184318</v>
          </cell>
          <cell r="AF8">
            <v>3221.2211916262959</v>
          </cell>
          <cell r="AG8">
            <v>3420.3923367261818</v>
          </cell>
          <cell r="AH8">
            <v>3618.1821243779286</v>
          </cell>
          <cell r="AI8">
            <v>3814.5629274325765</v>
          </cell>
        </row>
        <row r="9">
          <cell r="A9" t="str">
            <v>Taxes on EBIT</v>
          </cell>
          <cell r="O9">
            <v>-61.176206821533604</v>
          </cell>
          <cell r="P9">
            <v>-75.96257716462955</v>
          </cell>
          <cell r="Q9">
            <v>-103.28381861238691</v>
          </cell>
          <cell r="R9">
            <v>-132.25060274724547</v>
          </cell>
          <cell r="S9">
            <v>-173.46541019014651</v>
          </cell>
          <cell r="T9">
            <v>-248.05317806546819</v>
          </cell>
          <cell r="U9">
            <v>-323.46223651557739</v>
          </cell>
          <cell r="V9">
            <v>-407.35843785340876</v>
          </cell>
          <cell r="W9">
            <v>-380.55389720250668</v>
          </cell>
          <cell r="X9">
            <v>-451.08289416292371</v>
          </cell>
          <cell r="Y9">
            <v>-534.47031435965152</v>
          </cell>
          <cell r="Z9">
            <v>-646.80913090798003</v>
          </cell>
          <cell r="AA9">
            <v>-746.50300861074481</v>
          </cell>
          <cell r="AB9">
            <v>-863.77435909427072</v>
          </cell>
          <cell r="AC9">
            <v>-978.87319908252368</v>
          </cell>
          <cell r="AD9">
            <v>-1060.0366826482045</v>
          </cell>
          <cell r="AE9">
            <v>-1140.6890027679674</v>
          </cell>
          <cell r="AF9">
            <v>-1217.6216104347398</v>
          </cell>
          <cell r="AG9">
            <v>-1292.9083032824965</v>
          </cell>
          <cell r="AH9">
            <v>-1367.6728430148571</v>
          </cell>
          <cell r="AI9">
            <v>-1441.904786569514</v>
          </cell>
        </row>
        <row r="10">
          <cell r="A10" t="str">
            <v>Net Operating Profit After-Tax (NOPAT)</v>
          </cell>
          <cell r="O10">
            <v>88.754793178466542</v>
          </cell>
          <cell r="P10">
            <v>113.30542283537036</v>
          </cell>
          <cell r="Q10">
            <v>155.542181387613</v>
          </cell>
          <cell r="R10">
            <v>190.54939725275403</v>
          </cell>
          <cell r="S10">
            <v>275.47758980985304</v>
          </cell>
          <cell r="T10">
            <v>386.87982193453286</v>
          </cell>
          <cell r="U10">
            <v>517.50576348442303</v>
          </cell>
          <cell r="V10">
            <v>670.30756214659141</v>
          </cell>
          <cell r="W10">
            <v>626.24810279749204</v>
          </cell>
          <cell r="X10">
            <v>742.37210583707736</v>
          </cell>
          <cell r="Y10">
            <v>879.22968564034693</v>
          </cell>
          <cell r="Z10">
            <v>1078.4764908849907</v>
          </cell>
          <cell r="AA10">
            <v>1228.3726755446646</v>
          </cell>
          <cell r="AB10">
            <v>1421.3429930069744</v>
          </cell>
          <cell r="AC10">
            <v>1610.7384387019306</v>
          </cell>
          <cell r="AD10">
            <v>1744.2931656274691</v>
          </cell>
          <cell r="AE10">
            <v>1877.0067717504644</v>
          </cell>
          <cell r="AF10">
            <v>2003.5995811915561</v>
          </cell>
          <cell r="AG10">
            <v>2127.4840334436853</v>
          </cell>
          <cell r="AH10">
            <v>2250.5092813630718</v>
          </cell>
          <cell r="AI10">
            <v>2372.6581408630627</v>
          </cell>
        </row>
        <row r="12">
          <cell r="A12" t="str">
            <v>Current Operating Assets</v>
          </cell>
          <cell r="O12">
            <v>327.34499999999997</v>
          </cell>
          <cell r="P12">
            <v>456.25200000000001</v>
          </cell>
          <cell r="Q12">
            <v>767.28099999999995</v>
          </cell>
          <cell r="R12">
            <v>904.84399999999994</v>
          </cell>
          <cell r="S12">
            <v>1328.415</v>
          </cell>
          <cell r="T12">
            <v>1749.6759999999999</v>
          </cell>
          <cell r="U12">
            <v>2127.9450000000002</v>
          </cell>
          <cell r="V12">
            <v>2718.018</v>
          </cell>
          <cell r="W12">
            <v>2877.8629999999998</v>
          </cell>
          <cell r="X12">
            <v>3437.8530000000005</v>
          </cell>
          <cell r="Y12">
            <v>3979.1360000000004</v>
          </cell>
          <cell r="Z12">
            <v>2829.4780964114075</v>
          </cell>
          <cell r="AA12">
            <v>3002.1822663352887</v>
          </cell>
          <cell r="AB12">
            <v>3343.3347563811667</v>
          </cell>
          <cell r="AC12">
            <v>3693.3585319687004</v>
          </cell>
          <cell r="AD12">
            <v>4026.9974472226086</v>
          </cell>
          <cell r="AE12">
            <v>4367.3091407815955</v>
          </cell>
          <cell r="AF12">
            <v>4701.4384809810354</v>
          </cell>
          <cell r="AG12">
            <v>5042.2504079844639</v>
          </cell>
          <cell r="AH12">
            <v>5389.8785735279616</v>
          </cell>
          <cell r="AI12">
            <v>5744.4593023823281</v>
          </cell>
        </row>
        <row r="13">
          <cell r="A13" t="str">
            <v>Fixed Operating Assets</v>
          </cell>
          <cell r="O13">
            <v>434.22300000000001</v>
          </cell>
          <cell r="P13">
            <v>657.25599999999997</v>
          </cell>
          <cell r="Q13">
            <v>808.27900000000011</v>
          </cell>
          <cell r="R13">
            <v>1029.6569999999999</v>
          </cell>
          <cell r="S13">
            <v>1574.9389999999999</v>
          </cell>
          <cell r="T13">
            <v>1961.2570000000001</v>
          </cell>
          <cell r="U13">
            <v>2454.5420000000004</v>
          </cell>
          <cell r="V13">
            <v>3022.4090000000001</v>
          </cell>
          <cell r="W13">
            <v>3665.8540000000003</v>
          </cell>
          <cell r="X13">
            <v>4335.8620000000001</v>
          </cell>
          <cell r="Y13">
            <v>4886.9859999999999</v>
          </cell>
          <cell r="Z13">
            <v>5677.458813450583</v>
          </cell>
          <cell r="AA13">
            <v>6258.8192767324581</v>
          </cell>
          <cell r="AB13">
            <v>6899.319751830184</v>
          </cell>
          <cell r="AC13">
            <v>7595.0831474923125</v>
          </cell>
          <cell r="AD13">
            <v>8329.064204773962</v>
          </cell>
          <cell r="AE13">
            <v>9096.3806284492384</v>
          </cell>
          <cell r="AF13">
            <v>9887.462477387724</v>
          </cell>
          <cell r="AG13">
            <v>10697.420279744549</v>
          </cell>
          <cell r="AH13">
            <v>11521.266774237944</v>
          </cell>
          <cell r="AI13">
            <v>12353.914954360505</v>
          </cell>
        </row>
        <row r="14">
          <cell r="A14" t="str">
            <v>[A] Operating Assets</v>
          </cell>
          <cell r="O14">
            <v>761.56799999999998</v>
          </cell>
          <cell r="P14">
            <v>1113.508</v>
          </cell>
          <cell r="Q14">
            <v>1575.56</v>
          </cell>
          <cell r="R14">
            <v>1934.5009999999997</v>
          </cell>
          <cell r="S14">
            <v>2903.3539999999998</v>
          </cell>
          <cell r="T14">
            <v>3710.933</v>
          </cell>
          <cell r="U14">
            <v>4582.487000000001</v>
          </cell>
          <cell r="V14">
            <v>5740.4269999999997</v>
          </cell>
          <cell r="W14">
            <v>6543.7170000000006</v>
          </cell>
          <cell r="X14">
            <v>7773.7150000000001</v>
          </cell>
          <cell r="Y14">
            <v>8866.1219999999994</v>
          </cell>
          <cell r="Z14">
            <v>8506.93690986199</v>
          </cell>
          <cell r="AA14">
            <v>9261.0015430677468</v>
          </cell>
          <cell r="AB14">
            <v>10242.654508211352</v>
          </cell>
          <cell r="AC14">
            <v>11288.441679461013</v>
          </cell>
          <cell r="AD14">
            <v>12356.06165199657</v>
          </cell>
          <cell r="AE14">
            <v>13463.689769230834</v>
          </cell>
          <cell r="AF14">
            <v>14588.900958368758</v>
          </cell>
          <cell r="AG14">
            <v>15739.670687729013</v>
          </cell>
          <cell r="AH14">
            <v>16911.145347765905</v>
          </cell>
          <cell r="AI14">
            <v>18098.374256742834</v>
          </cell>
        </row>
        <row r="15">
          <cell r="A15" t="str">
            <v>Current Operating Liabilities</v>
          </cell>
          <cell r="O15">
            <v>153.37100000000001</v>
          </cell>
          <cell r="P15">
            <v>234.15600000000001</v>
          </cell>
          <cell r="Q15">
            <v>284.346</v>
          </cell>
          <cell r="R15">
            <v>378.69799999999998</v>
          </cell>
          <cell r="S15">
            <v>537.82299999999998</v>
          </cell>
          <cell r="T15">
            <v>701.72900000000004</v>
          </cell>
          <cell r="U15">
            <v>863.55300000000011</v>
          </cell>
          <cell r="V15">
            <v>1152.528</v>
          </cell>
          <cell r="W15">
            <v>1110.087</v>
          </cell>
          <cell r="X15">
            <v>1452.5939999999998</v>
          </cell>
          <cell r="Y15">
            <v>1638.5139999999999</v>
          </cell>
          <cell r="Z15">
            <v>1818.6010135754152</v>
          </cell>
          <cell r="AA15">
            <v>1978.4512391587411</v>
          </cell>
          <cell r="AB15">
            <v>2194.0838920695546</v>
          </cell>
          <cell r="AC15">
            <v>2415.6878990132618</v>
          </cell>
          <cell r="AD15">
            <v>2624.493145794896</v>
          </cell>
          <cell r="AE15">
            <v>2837.4744975121625</v>
          </cell>
          <cell r="AF15">
            <v>3046.5866728237065</v>
          </cell>
          <cell r="AG15">
            <v>3259.8810916414809</v>
          </cell>
          <cell r="AH15">
            <v>3477.4413988356114</v>
          </cell>
          <cell r="AI15">
            <v>3699.3529121736233</v>
          </cell>
        </row>
        <row r="16">
          <cell r="A16" t="str">
            <v>Fixed Operating Liabilities</v>
          </cell>
          <cell r="O16">
            <v>51.792000000000002</v>
          </cell>
          <cell r="P16">
            <v>57.093000000000004</v>
          </cell>
          <cell r="Q16">
            <v>70.382000000000005</v>
          </cell>
          <cell r="R16">
            <v>82.173000000000002</v>
          </cell>
          <cell r="S16">
            <v>99.753999999999991</v>
          </cell>
          <cell r="T16">
            <v>126.137</v>
          </cell>
          <cell r="U16">
            <v>162.78899999999999</v>
          </cell>
          <cell r="V16">
            <v>236.81</v>
          </cell>
          <cell r="W16">
            <v>343.65199999999999</v>
          </cell>
          <cell r="X16">
            <v>385.90199999999999</v>
          </cell>
          <cell r="Y16">
            <v>403.14099999999996</v>
          </cell>
          <cell r="Z16">
            <v>1229.9936914383854</v>
          </cell>
          <cell r="AA16">
            <v>1199.2326914383832</v>
          </cell>
          <cell r="AB16">
            <v>1318.4716914383846</v>
          </cell>
          <cell r="AC16">
            <v>1362.7106914383851</v>
          </cell>
          <cell r="AD16">
            <v>1406.9496914383847</v>
          </cell>
          <cell r="AE16">
            <v>1451.1886914383842</v>
          </cell>
          <cell r="AF16">
            <v>1495.427691438382</v>
          </cell>
          <cell r="AG16">
            <v>1539.6666914383852</v>
          </cell>
          <cell r="AH16">
            <v>1583.9056914383812</v>
          </cell>
          <cell r="AI16">
            <v>1628.1446914383862</v>
          </cell>
        </row>
        <row r="17">
          <cell r="A17" t="str">
            <v>[B] Operating Liabilities</v>
          </cell>
          <cell r="O17">
            <v>205.16300000000001</v>
          </cell>
          <cell r="P17">
            <v>291.24900000000002</v>
          </cell>
          <cell r="Q17">
            <v>354.72800000000001</v>
          </cell>
          <cell r="R17">
            <v>460.87099999999998</v>
          </cell>
          <cell r="S17">
            <v>637.577</v>
          </cell>
          <cell r="T17">
            <v>827.86599999999999</v>
          </cell>
          <cell r="U17">
            <v>1026.3420000000001</v>
          </cell>
          <cell r="V17">
            <v>1389.338</v>
          </cell>
          <cell r="W17">
            <v>1453.739</v>
          </cell>
          <cell r="X17">
            <v>1838.4959999999999</v>
          </cell>
          <cell r="Y17">
            <v>2041.6549999999997</v>
          </cell>
          <cell r="Z17">
            <v>3048.5947050138006</v>
          </cell>
          <cell r="AA17">
            <v>3177.6839305971243</v>
          </cell>
          <cell r="AB17">
            <v>3512.5555835079394</v>
          </cell>
          <cell r="AC17">
            <v>3778.3985904516467</v>
          </cell>
          <cell r="AD17">
            <v>4031.4428372332804</v>
          </cell>
          <cell r="AE17">
            <v>4288.663188950547</v>
          </cell>
          <cell r="AF17">
            <v>4542.0143642620887</v>
          </cell>
          <cell r="AG17">
            <v>4799.5477830798663</v>
          </cell>
          <cell r="AH17">
            <v>5061.3470902739928</v>
          </cell>
          <cell r="AI17">
            <v>5327.4976036120097</v>
          </cell>
        </row>
        <row r="18">
          <cell r="A18" t="str">
            <v xml:space="preserve">REPORTED NET OPERATING ASSETS [A] - [B] </v>
          </cell>
          <cell r="O18">
            <v>556.40499999999997</v>
          </cell>
          <cell r="P18">
            <v>822.25900000000001</v>
          </cell>
          <cell r="Q18">
            <v>1220.8319999999999</v>
          </cell>
          <cell r="R18">
            <v>1473.6299999999997</v>
          </cell>
          <cell r="S18">
            <v>2265.777</v>
          </cell>
          <cell r="T18">
            <v>2883.067</v>
          </cell>
          <cell r="U18">
            <v>3556.1450000000009</v>
          </cell>
          <cell r="V18">
            <v>4351.0889999999999</v>
          </cell>
          <cell r="W18">
            <v>5089.978000000001</v>
          </cell>
          <cell r="X18">
            <v>5935.2190000000001</v>
          </cell>
          <cell r="Y18">
            <v>6824.4669999999996</v>
          </cell>
          <cell r="Z18">
            <v>5458.3422048481898</v>
          </cell>
          <cell r="AA18">
            <v>6083.3176124706224</v>
          </cell>
          <cell r="AB18">
            <v>6730.0989247034122</v>
          </cell>
          <cell r="AC18">
            <v>7510.0430890093667</v>
          </cell>
          <cell r="AD18">
            <v>8324.6188147632893</v>
          </cell>
          <cell r="AE18">
            <v>9175.026580280286</v>
          </cell>
          <cell r="AF18">
            <v>10046.886594106669</v>
          </cell>
          <cell r="AG18">
            <v>10940.122904649146</v>
          </cell>
          <cell r="AH18">
            <v>11849.798257491911</v>
          </cell>
          <cell r="AI18">
            <v>12770.876653130825</v>
          </cell>
        </row>
        <row r="20">
          <cell r="A20" t="str">
            <v>Debt (STD + LTD)</v>
          </cell>
          <cell r="O20">
            <v>-189.12400000000002</v>
          </cell>
          <cell r="P20">
            <v>-313.69400000000002</v>
          </cell>
          <cell r="Q20">
            <v>-312.21100000000001</v>
          </cell>
          <cell r="R20">
            <v>-312.44499999999999</v>
          </cell>
          <cell r="S20">
            <v>-591.58199999999999</v>
          </cell>
          <cell r="T20">
            <v>-824.649</v>
          </cell>
          <cell r="U20">
            <v>-1111.838</v>
          </cell>
          <cell r="V20">
            <v>-1414.248</v>
          </cell>
          <cell r="W20">
            <v>-1088.502</v>
          </cell>
          <cell r="X20">
            <v>-1106.905</v>
          </cell>
          <cell r="Y20">
            <v>-1154.0450000000001</v>
          </cell>
          <cell r="Z20">
            <v>-891.31400000000008</v>
          </cell>
          <cell r="AA20">
            <v>-891.31400000000008</v>
          </cell>
          <cell r="AB20">
            <v>-816.31400000000008</v>
          </cell>
          <cell r="AC20">
            <v>-816.31400000000008</v>
          </cell>
          <cell r="AD20">
            <v>-816.31400000000008</v>
          </cell>
          <cell r="AE20">
            <v>-816.31400000000008</v>
          </cell>
          <cell r="AF20">
            <v>-816.31400000000008</v>
          </cell>
          <cell r="AG20">
            <v>-816.31400000000008</v>
          </cell>
          <cell r="AH20">
            <v>-816.31400000000008</v>
          </cell>
          <cell r="AI20">
            <v>-816.31400000000008</v>
          </cell>
        </row>
        <row r="21">
          <cell r="A21" t="str">
            <v>Preferred Stock</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row>
        <row r="22">
          <cell r="A22" t="str">
            <v>Cash and Cash Equivalents</v>
          </cell>
          <cell r="O22">
            <v>2.819</v>
          </cell>
          <cell r="P22">
            <v>8.9060000000000006</v>
          </cell>
          <cell r="Q22">
            <v>46.231333999999919</v>
          </cell>
          <cell r="R22">
            <v>1.1749199999994246</v>
          </cell>
          <cell r="S22">
            <v>11.592919999999147</v>
          </cell>
          <cell r="T22">
            <v>143.60992000000033</v>
          </cell>
          <cell r="U22">
            <v>347.08792000000079</v>
          </cell>
          <cell r="V22">
            <v>577.06392000000096</v>
          </cell>
          <cell r="W22">
            <v>147.04391999999999</v>
          </cell>
          <cell r="X22">
            <v>205.61680800000096</v>
          </cell>
          <cell r="Y22">
            <v>287.01158760398897</v>
          </cell>
          <cell r="Z22">
            <v>664.77598234496054</v>
          </cell>
          <cell r="AA22">
            <v>749.56693181006926</v>
          </cell>
          <cell r="AB22">
            <v>784.31864108182367</v>
          </cell>
          <cell r="AC22">
            <v>902.44132613349325</v>
          </cell>
          <cell r="AD22">
            <v>1021.2008494458587</v>
          </cell>
          <cell r="AE22">
            <v>1137.2254893536481</v>
          </cell>
          <cell r="AF22">
            <v>1308.774240628642</v>
          </cell>
          <cell r="AG22">
            <v>1433.2146976751678</v>
          </cell>
          <cell r="AH22">
            <v>1614.6249105762963</v>
          </cell>
          <cell r="AI22">
            <v>1757.1600586667637</v>
          </cell>
        </row>
        <row r="23">
          <cell r="A23" t="str">
            <v>Other Financial Investments</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row>
        <row r="24">
          <cell r="A24" t="str">
            <v xml:space="preserve">   Net (Debt)/Cash</v>
          </cell>
          <cell r="O24">
            <v>-186.30500000000004</v>
          </cell>
          <cell r="P24">
            <v>-304.78800000000001</v>
          </cell>
          <cell r="Q24">
            <v>-265.97966600000007</v>
          </cell>
          <cell r="R24">
            <v>-311.27008000000058</v>
          </cell>
          <cell r="S24">
            <v>-579.98908000000085</v>
          </cell>
          <cell r="T24">
            <v>-681.03907999999967</v>
          </cell>
          <cell r="U24">
            <v>-764.75007999999912</v>
          </cell>
          <cell r="V24">
            <v>-837.18407999999908</v>
          </cell>
          <cell r="W24">
            <v>-941.45808</v>
          </cell>
          <cell r="X24">
            <v>-901.28819199999907</v>
          </cell>
          <cell r="Y24">
            <v>-867.03341239601104</v>
          </cell>
          <cell r="Z24">
            <v>-226.53801765503954</v>
          </cell>
          <cell r="AA24">
            <v>-141.74706818993081</v>
          </cell>
          <cell r="AB24">
            <v>-31.995358918176407</v>
          </cell>
          <cell r="AC24">
            <v>86.12732613349317</v>
          </cell>
          <cell r="AD24">
            <v>204.88684944585862</v>
          </cell>
          <cell r="AE24">
            <v>320.91148935364799</v>
          </cell>
          <cell r="AF24">
            <v>492.46024062864194</v>
          </cell>
          <cell r="AG24">
            <v>616.90069767516775</v>
          </cell>
          <cell r="AH24">
            <v>798.31091057629624</v>
          </cell>
          <cell r="AI24">
            <v>940.84605866676361</v>
          </cell>
        </row>
        <row r="25">
          <cell r="A25" t="str">
            <v>+ Common Share Capital</v>
          </cell>
          <cell r="O25">
            <v>410.57499999999993</v>
          </cell>
          <cell r="P25">
            <v>517.471</v>
          </cell>
          <cell r="Q25">
            <v>954.78199999999993</v>
          </cell>
          <cell r="R25">
            <v>1162.779</v>
          </cell>
          <cell r="S25">
            <v>1685.5029999999999</v>
          </cell>
          <cell r="T25">
            <v>2202.6390000000001</v>
          </cell>
          <cell r="U25">
            <v>2791.4059999999999</v>
          </cell>
          <cell r="V25">
            <v>3511.9169999999999</v>
          </cell>
          <cell r="W25">
            <v>4148.509</v>
          </cell>
          <cell r="X25">
            <v>5033.8980000000001</v>
          </cell>
          <cell r="Y25">
            <v>5957.3379999999997</v>
          </cell>
          <cell r="Z25">
            <v>5231.8041871931509</v>
          </cell>
          <cell r="AA25">
            <v>5941.5705442806902</v>
          </cell>
          <cell r="AB25">
            <v>6698.1035657852353</v>
          </cell>
          <cell r="AC25">
            <v>7596.1704151428603</v>
          </cell>
          <cell r="AD25">
            <v>8529.5056642091495</v>
          </cell>
          <cell r="AE25">
            <v>9495.938069633934</v>
          </cell>
          <cell r="AF25">
            <v>10539.34683473531</v>
          </cell>
          <cell r="AG25">
            <v>11557.023602324314</v>
          </cell>
          <cell r="AH25">
            <v>12648.109168068206</v>
          </cell>
          <cell r="AI25">
            <v>13711.722711797587</v>
          </cell>
        </row>
        <row r="26">
          <cell r="A26" t="str">
            <v>+ Minority  Shares</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row>
        <row r="27">
          <cell r="A27" t="str">
            <v>REPORTED INVESTED CAPITAL</v>
          </cell>
          <cell r="O27">
            <v>596.88</v>
          </cell>
          <cell r="P27">
            <v>822.25900000000001</v>
          </cell>
          <cell r="Q27">
            <v>1220.7616659999999</v>
          </cell>
          <cell r="R27">
            <v>1474.0490800000007</v>
          </cell>
          <cell r="S27">
            <v>2265.4920800000009</v>
          </cell>
          <cell r="T27">
            <v>2883.6780799999997</v>
          </cell>
          <cell r="U27">
            <v>3556.1560799999988</v>
          </cell>
          <cell r="V27">
            <v>4349.1010799999985</v>
          </cell>
          <cell r="W27">
            <v>5089.9670800000004</v>
          </cell>
          <cell r="X27">
            <v>5935.1861919999992</v>
          </cell>
          <cell r="Y27">
            <v>6824.3714123960108</v>
          </cell>
          <cell r="Z27">
            <v>5458.3422048481907</v>
          </cell>
          <cell r="AA27">
            <v>6083.3176124706206</v>
          </cell>
          <cell r="AB27">
            <v>6730.0989247034122</v>
          </cell>
          <cell r="AC27">
            <v>7510.0430890093667</v>
          </cell>
          <cell r="AD27">
            <v>8324.6188147632911</v>
          </cell>
          <cell r="AE27">
            <v>9175.026580280286</v>
          </cell>
          <cell r="AF27">
            <v>10046.886594106669</v>
          </cell>
          <cell r="AG27">
            <v>10940.122904649146</v>
          </cell>
          <cell r="AH27">
            <v>11849.79825749191</v>
          </cell>
          <cell r="AI27">
            <v>12770.876653130823</v>
          </cell>
        </row>
        <row r="29">
          <cell r="A29" t="str">
            <v>NOPAT/NOA = REPORTED RNOA (BOP):</v>
          </cell>
          <cell r="O29">
            <v>15.951472969952921</v>
          </cell>
          <cell r="P29">
            <v>20.363839799313517</v>
          </cell>
          <cell r="Q29">
            <v>18.916446203399779</v>
          </cell>
          <cell r="R29">
            <v>15.608158800945096</v>
          </cell>
          <cell r="S29">
            <v>18.693809830815951</v>
          </cell>
          <cell r="T29">
            <v>17.074929348057328</v>
          </cell>
          <cell r="U29">
            <v>17.949834793448193</v>
          </cell>
          <cell r="V29">
            <v>18.84927532894725</v>
          </cell>
          <cell r="W29">
            <v>14.392904920986267</v>
          </cell>
          <cell r="X29">
            <v>14.584976709861561</v>
          </cell>
          <cell r="Y29">
            <v>14.813769898639745</v>
          </cell>
          <cell r="Z29">
            <v>15.803087492180573</v>
          </cell>
          <cell r="AA29">
            <v>22.50450099031174</v>
          </cell>
          <cell r="AB29">
            <v>23.364602730807</v>
          </cell>
          <cell r="AC29">
            <v>23.933354572093663</v>
          </cell>
          <cell r="AD29">
            <v>23.226140582071615</v>
          </cell>
          <cell r="AE29">
            <v>22.547660301534624</v>
          </cell>
          <cell r="AF29">
            <v>21.837534351103194</v>
          </cell>
          <cell r="AG29">
            <v>21.175555367486986</v>
          </cell>
          <cell r="AH29">
            <v>20.57115172268027</v>
          </cell>
          <cell r="AI29">
            <v>20.022772449842968</v>
          </cell>
        </row>
        <row r="31">
          <cell r="A31" t="str">
            <v>WACC:</v>
          </cell>
        </row>
        <row r="32">
          <cell r="A32" t="str">
            <v>Total Debt</v>
          </cell>
          <cell r="O32">
            <v>189.12400000000002</v>
          </cell>
          <cell r="P32">
            <v>313.69400000000002</v>
          </cell>
          <cell r="Q32">
            <v>312.21100000000001</v>
          </cell>
          <cell r="R32">
            <v>312.44499999999999</v>
          </cell>
          <cell r="S32">
            <v>591.58199999999999</v>
          </cell>
          <cell r="T32">
            <v>824.649</v>
          </cell>
          <cell r="U32">
            <v>1111.838</v>
          </cell>
          <cell r="V32">
            <v>1414.248</v>
          </cell>
          <cell r="W32">
            <v>1088.502</v>
          </cell>
          <cell r="X32">
            <v>1106.905</v>
          </cell>
          <cell r="Y32">
            <v>1154.0450000000001</v>
          </cell>
          <cell r="Z32">
            <v>891.31400000000008</v>
          </cell>
          <cell r="AA32">
            <v>891.31400000000008</v>
          </cell>
          <cell r="AB32">
            <v>816.31400000000008</v>
          </cell>
          <cell r="AC32">
            <v>816.31400000000008</v>
          </cell>
          <cell r="AD32">
            <v>816.31400000000008</v>
          </cell>
          <cell r="AE32">
            <v>816.31400000000008</v>
          </cell>
          <cell r="AF32">
            <v>816.31400000000008</v>
          </cell>
          <cell r="AG32">
            <v>816.31400000000008</v>
          </cell>
          <cell r="AH32">
            <v>816.31400000000008</v>
          </cell>
          <cell r="AI32">
            <v>816.31400000000008</v>
          </cell>
        </row>
        <row r="33">
          <cell r="A33" t="str">
            <v>Average Annual Stock Price</v>
          </cell>
          <cell r="O33">
            <v>6.19921875</v>
          </cell>
          <cell r="P33">
            <v>8.7890625</v>
          </cell>
          <cell r="Q33">
            <v>15.5234375</v>
          </cell>
          <cell r="R33">
            <v>25.734375</v>
          </cell>
          <cell r="S33">
            <v>35.9375</v>
          </cell>
          <cell r="T33">
            <v>57.515625</v>
          </cell>
          <cell r="U33">
            <v>60.06</v>
          </cell>
          <cell r="V33">
            <v>62.629999999999995</v>
          </cell>
          <cell r="W33">
            <v>54.129999999999995</v>
          </cell>
          <cell r="X33">
            <v>45</v>
          </cell>
          <cell r="Y33">
            <v>55</v>
          </cell>
          <cell r="Z33">
            <v>71.748971193415642</v>
          </cell>
          <cell r="AA33">
            <v>87.139917695473258</v>
          </cell>
          <cell r="AB33">
            <v>104.11522633744856</v>
          </cell>
          <cell r="AC33">
            <v>121.76954732510289</v>
          </cell>
          <cell r="AD33">
            <v>136.25514403292181</v>
          </cell>
          <cell r="AE33">
            <v>151.41975308641977</v>
          </cell>
          <cell r="AF33">
            <v>167.26337448559673</v>
          </cell>
          <cell r="AG33">
            <v>183.78600823045269</v>
          </cell>
          <cell r="AH33">
            <v>201.66666666666671</v>
          </cell>
          <cell r="AI33">
            <v>220.67901234567907</v>
          </cell>
        </row>
        <row r="34">
          <cell r="A34" t="str">
            <v>Shares Outstanding</v>
          </cell>
          <cell r="O34">
            <v>294.33199999999999</v>
          </cell>
          <cell r="P34">
            <v>299.5</v>
          </cell>
          <cell r="Q34">
            <v>312.15600000000001</v>
          </cell>
          <cell r="R34">
            <v>325.26600000000002</v>
          </cell>
          <cell r="S34">
            <v>333.85599999999999</v>
          </cell>
          <cell r="T34">
            <v>338.82799999999997</v>
          </cell>
          <cell r="U34">
            <v>342.91824999999994</v>
          </cell>
          <cell r="V34">
            <v>344.81324999999998</v>
          </cell>
          <cell r="W34">
            <v>343.74800000000005</v>
          </cell>
          <cell r="X34">
            <v>344.65674999999999</v>
          </cell>
          <cell r="Y34">
            <v>346.51800000000003</v>
          </cell>
          <cell r="Z34">
            <v>333.43993436117614</v>
          </cell>
          <cell r="AA34">
            <v>314.17033851636972</v>
          </cell>
          <cell r="AB34">
            <v>305.91216318085549</v>
          </cell>
          <cell r="AC34">
            <v>297.05964946892175</v>
          </cell>
          <cell r="AD34">
            <v>288.13035520118262</v>
          </cell>
          <cell r="AE34">
            <v>278.92702932013123</v>
          </cell>
          <cell r="AF34">
            <v>269.80831011214366</v>
          </cell>
          <cell r="AG34">
            <v>260.64258719689843</v>
          </cell>
          <cell r="AH34">
            <v>251.47492197970041</v>
          </cell>
          <cell r="AI34">
            <v>242.41673196347816</v>
          </cell>
        </row>
        <row r="35">
          <cell r="A35" t="str">
            <v>Market Capitalization</v>
          </cell>
          <cell r="O35">
            <v>1824.6284531249999</v>
          </cell>
          <cell r="P35">
            <v>2632.32421875</v>
          </cell>
          <cell r="Q35">
            <v>4845.7341562500005</v>
          </cell>
          <cell r="R35">
            <v>8370.5172187500011</v>
          </cell>
          <cell r="S35">
            <v>11997.949999999999</v>
          </cell>
          <cell r="T35">
            <v>19487.9041875</v>
          </cell>
          <cell r="U35">
            <v>20595.670094999998</v>
          </cell>
          <cell r="V35">
            <v>21595.653847499998</v>
          </cell>
          <cell r="W35">
            <v>18607.079240000003</v>
          </cell>
          <cell r="X35">
            <v>15509.553749999999</v>
          </cell>
          <cell r="Y35">
            <v>19058.490000000002</v>
          </cell>
          <cell r="Z35">
            <v>23923.972245214431</v>
          </cell>
          <cell r="AA35">
            <v>27376.777440675429</v>
          </cell>
          <cell r="AB35">
            <v>31850.114108953268</v>
          </cell>
          <cell r="AC35">
            <v>36172.819044384341</v>
          </cell>
          <cell r="AD35">
            <v>39259.243048194061</v>
          </cell>
          <cell r="AE35">
            <v>42235.061908782838</v>
          </cell>
          <cell r="AF35">
            <v>45129.048413613498</v>
          </cell>
          <cell r="AG35">
            <v>47902.460675775663</v>
          </cell>
          <cell r="AH35">
            <v>50714.109265906263</v>
          </cell>
          <cell r="AI35">
            <v>53496.284985767568</v>
          </cell>
        </row>
        <row r="36">
          <cell r="A36" t="str">
            <v>Total Capital Outstanding</v>
          </cell>
          <cell r="O36">
            <v>2013.7524531249999</v>
          </cell>
          <cell r="P36">
            <v>2946.01821875</v>
          </cell>
          <cell r="Q36">
            <v>5157.9451562500008</v>
          </cell>
          <cell r="R36">
            <v>8682.9622187500008</v>
          </cell>
          <cell r="S36">
            <v>12589.531999999999</v>
          </cell>
          <cell r="T36">
            <v>20312.553187500002</v>
          </cell>
          <cell r="U36">
            <v>21707.508094999997</v>
          </cell>
          <cell r="V36">
            <v>23009.901847499998</v>
          </cell>
          <cell r="W36">
            <v>19695.581240000003</v>
          </cell>
          <cell r="X36">
            <v>16616.458749999998</v>
          </cell>
          <cell r="Y36">
            <v>20212.535000000003</v>
          </cell>
          <cell r="Z36">
            <v>24815.286245214429</v>
          </cell>
          <cell r="AA36">
            <v>28268.091440675427</v>
          </cell>
          <cell r="AB36">
            <v>32666.428108953267</v>
          </cell>
          <cell r="AC36">
            <v>36989.13304438434</v>
          </cell>
          <cell r="AD36">
            <v>40075.557048194059</v>
          </cell>
          <cell r="AE36">
            <v>43051.375908782837</v>
          </cell>
          <cell r="AF36">
            <v>45945.362413613497</v>
          </cell>
          <cell r="AG36">
            <v>48718.774675775661</v>
          </cell>
          <cell r="AH36">
            <v>51530.423265906262</v>
          </cell>
          <cell r="AI36">
            <v>54312.598985767567</v>
          </cell>
        </row>
        <row r="37">
          <cell r="A37" t="str">
            <v>[A] Debt/Capital Ratio (%)</v>
          </cell>
          <cell r="O37">
            <v>9.3916210856260847</v>
          </cell>
          <cell r="P37">
            <v>10.648067211651558</v>
          </cell>
          <cell r="Q37">
            <v>6.0530112388203037</v>
          </cell>
          <cell r="R37">
            <v>3.5983687608971255</v>
          </cell>
          <cell r="S37">
            <v>4.6989991367431294</v>
          </cell>
          <cell r="T37">
            <v>4.0597998311087498</v>
          </cell>
          <cell r="U37">
            <v>5.1219052649165899</v>
          </cell>
          <cell r="V37">
            <v>6.146258290769965</v>
          </cell>
          <cell r="W37">
            <v>5.5266305001923355</v>
          </cell>
          <cell r="X37">
            <v>6.6614975949673996</v>
          </cell>
          <cell r="Y37">
            <v>5.7095510286067528</v>
          </cell>
          <cell r="Z37">
            <v>3.591794151364617</v>
          </cell>
          <cell r="AA37">
            <v>3.1530745606598449</v>
          </cell>
          <cell r="AB37">
            <v>2.4989386573803682</v>
          </cell>
          <cell r="AC37">
            <v>2.2069022245546579</v>
          </cell>
          <cell r="AD37">
            <v>2.0369373756135625</v>
          </cell>
          <cell r="AE37">
            <v>1.8961391657483944</v>
          </cell>
          <cell r="AF37">
            <v>1.7767059766583282</v>
          </cell>
          <cell r="AG37">
            <v>1.6755634874493144</v>
          </cell>
          <cell r="AH37">
            <v>1.5841399085500867</v>
          </cell>
          <cell r="AI37">
            <v>1.5029919673221905</v>
          </cell>
        </row>
        <row r="38">
          <cell r="A38" t="str">
            <v>[C] Equity/Capital Ratio (%)</v>
          </cell>
          <cell r="O38">
            <v>90.608378914373915</v>
          </cell>
          <cell r="P38">
            <v>89.351932788348449</v>
          </cell>
          <cell r="Q38">
            <v>93.946988761179696</v>
          </cell>
          <cell r="R38">
            <v>96.401631239102869</v>
          </cell>
          <cell r="S38">
            <v>95.301000863256874</v>
          </cell>
          <cell r="T38">
            <v>95.940200168891252</v>
          </cell>
          <cell r="U38">
            <v>94.878094735083408</v>
          </cell>
          <cell r="V38">
            <v>93.853741709230036</v>
          </cell>
          <cell r="W38">
            <v>94.47336949980766</v>
          </cell>
          <cell r="X38">
            <v>93.3385024050326</v>
          </cell>
          <cell r="Y38">
            <v>94.290448971393246</v>
          </cell>
          <cell r="Z38">
            <v>96.40820584863539</v>
          </cell>
          <cell r="AA38">
            <v>96.846925439340154</v>
          </cell>
          <cell r="AB38">
            <v>97.501061342619636</v>
          </cell>
          <cell r="AC38">
            <v>97.793097775445347</v>
          </cell>
          <cell r="AD38">
            <v>97.963062624386438</v>
          </cell>
          <cell r="AE38">
            <v>98.103860834251606</v>
          </cell>
          <cell r="AF38">
            <v>98.223294023341666</v>
          </cell>
          <cell r="AG38">
            <v>98.32443651255069</v>
          </cell>
          <cell r="AH38">
            <v>98.415860091449915</v>
          </cell>
          <cell r="AI38">
            <v>98.497008032677812</v>
          </cell>
        </row>
        <row r="39">
          <cell r="A39" t="str">
            <v>Cost of Debt:</v>
          </cell>
        </row>
        <row r="40">
          <cell r="A40" t="str">
            <v xml:space="preserve">   Marginal Cost of Debt</v>
          </cell>
          <cell r="O40">
            <v>8</v>
          </cell>
          <cell r="P40">
            <v>8</v>
          </cell>
          <cell r="Q40">
            <v>8</v>
          </cell>
          <cell r="R40">
            <v>8</v>
          </cell>
          <cell r="S40">
            <v>8</v>
          </cell>
          <cell r="T40">
            <v>7.5</v>
          </cell>
          <cell r="U40">
            <v>7</v>
          </cell>
          <cell r="V40">
            <v>7.5</v>
          </cell>
          <cell r="W40">
            <v>8</v>
          </cell>
          <cell r="X40">
            <v>7.5</v>
          </cell>
          <cell r="Y40">
            <v>7</v>
          </cell>
          <cell r="Z40">
            <v>8</v>
          </cell>
          <cell r="AA40">
            <v>8.1999999999999993</v>
          </cell>
          <cell r="AB40">
            <v>8.3000000000000007</v>
          </cell>
          <cell r="AC40">
            <v>8.5</v>
          </cell>
          <cell r="AD40">
            <v>8.5</v>
          </cell>
          <cell r="AE40">
            <v>8.6</v>
          </cell>
          <cell r="AF40">
            <v>8.6999999999999993</v>
          </cell>
          <cell r="AG40">
            <v>8.7999999999999989</v>
          </cell>
          <cell r="AH40">
            <v>8.8999999999999986</v>
          </cell>
          <cell r="AI40">
            <v>8.9999999999999982</v>
          </cell>
        </row>
        <row r="41">
          <cell r="A41" t="str">
            <v>x Marginal Tax Rate (%)</v>
          </cell>
          <cell r="O41">
            <v>40.802907218342796</v>
          </cell>
          <cell r="P41">
            <v>40.134928865222633</v>
          </cell>
          <cell r="Q41">
            <v>39.904730827809779</v>
          </cell>
          <cell r="R41">
            <v>40.969827369035215</v>
          </cell>
          <cell r="S41">
            <v>38.638626772250973</v>
          </cell>
          <cell r="T41">
            <v>39.067614703514828</v>
          </cell>
          <cell r="U41">
            <v>38.463084982493648</v>
          </cell>
          <cell r="V41">
            <v>37.80006401365624</v>
          </cell>
          <cell r="W41">
            <v>37.798285780372623</v>
          </cell>
          <cell r="X41">
            <v>37.796388985166871</v>
          </cell>
          <cell r="Y41">
            <v>37.806487540471963</v>
          </cell>
          <cell r="Z41">
            <v>37.48997399258424</v>
          </cell>
          <cell r="AA41">
            <v>37.799999999999997</v>
          </cell>
          <cell r="AB41">
            <v>37.799999999999997</v>
          </cell>
          <cell r="AC41">
            <v>37.799999999999997</v>
          </cell>
          <cell r="AD41">
            <v>37.799999999999997</v>
          </cell>
          <cell r="AE41">
            <v>37.800000000000004</v>
          </cell>
          <cell r="AF41">
            <v>37.799999999999997</v>
          </cell>
          <cell r="AG41">
            <v>37.799999999999997</v>
          </cell>
          <cell r="AH41">
            <v>37.799999999999997</v>
          </cell>
          <cell r="AI41">
            <v>37.799999999999997</v>
          </cell>
        </row>
        <row r="42">
          <cell r="A42" t="str">
            <v>[B] Cost of Debt</v>
          </cell>
          <cell r="O42">
            <v>4.7357674225325761</v>
          </cell>
          <cell r="P42">
            <v>4.7892056907821896</v>
          </cell>
          <cell r="Q42">
            <v>4.8076215337752179</v>
          </cell>
          <cell r="R42">
            <v>4.7224138104771827</v>
          </cell>
          <cell r="S42">
            <v>4.9089098582199222</v>
          </cell>
          <cell r="T42">
            <v>4.5699288972363874</v>
          </cell>
          <cell r="U42">
            <v>4.3075840512254446</v>
          </cell>
          <cell r="V42">
            <v>4.6649951989757819</v>
          </cell>
          <cell r="W42">
            <v>4.9761371375701904</v>
          </cell>
          <cell r="X42">
            <v>4.6652708261124847</v>
          </cell>
          <cell r="Y42">
            <v>4.3535458721669622</v>
          </cell>
          <cell r="Z42">
            <v>5.0008020805932611</v>
          </cell>
          <cell r="AA42">
            <v>5.1003999999999996</v>
          </cell>
          <cell r="AB42">
            <v>5.1626000000000012</v>
          </cell>
          <cell r="AC42">
            <v>5.2870000000000008</v>
          </cell>
          <cell r="AD42">
            <v>5.2870000000000008</v>
          </cell>
          <cell r="AE42">
            <v>5.3491999999999997</v>
          </cell>
          <cell r="AF42">
            <v>5.4113999999999995</v>
          </cell>
          <cell r="AG42">
            <v>5.4736000000000002</v>
          </cell>
          <cell r="AH42">
            <v>5.5357999999999992</v>
          </cell>
          <cell r="AI42">
            <v>5.5979999999999999</v>
          </cell>
        </row>
        <row r="43">
          <cell r="A43" t="str">
            <v>Cost of Equity:</v>
          </cell>
        </row>
        <row r="44">
          <cell r="A44" t="str">
            <v xml:space="preserve">   Beta</v>
          </cell>
          <cell r="O44">
            <v>1.1000000000000001</v>
          </cell>
          <cell r="P44">
            <v>1.1000000000000001</v>
          </cell>
          <cell r="Q44">
            <v>1.1000000000000001</v>
          </cell>
          <cell r="R44">
            <v>1.1000000000000001</v>
          </cell>
          <cell r="S44">
            <v>1.1000000000000001</v>
          </cell>
          <cell r="T44">
            <v>1.1000000000000001</v>
          </cell>
          <cell r="U44">
            <v>1.1000000000000001</v>
          </cell>
          <cell r="V44">
            <v>1.1000000000000001</v>
          </cell>
          <cell r="W44">
            <v>1.1000000000000001</v>
          </cell>
          <cell r="X44">
            <v>1.1000000000000001</v>
          </cell>
          <cell r="Y44">
            <v>1.1000000000000001</v>
          </cell>
          <cell r="Z44">
            <v>1.1000000000000001</v>
          </cell>
          <cell r="AA44">
            <v>1.1000000000000001</v>
          </cell>
          <cell r="AB44">
            <v>1.1000000000000001</v>
          </cell>
          <cell r="AC44">
            <v>1.1000000000000001</v>
          </cell>
          <cell r="AD44">
            <v>1.1000000000000001</v>
          </cell>
          <cell r="AE44">
            <v>1.1000000000000001</v>
          </cell>
          <cell r="AF44">
            <v>1.1000000000000001</v>
          </cell>
          <cell r="AG44">
            <v>1.1000000000000001</v>
          </cell>
          <cell r="AH44">
            <v>1.1000000000000001</v>
          </cell>
          <cell r="AI44">
            <v>1.1000000000000001</v>
          </cell>
        </row>
        <row r="45">
          <cell r="A45" t="str">
            <v>x Equity Risk Premium (%)</v>
          </cell>
          <cell r="O45">
            <v>4</v>
          </cell>
          <cell r="P45">
            <v>4</v>
          </cell>
          <cell r="Q45">
            <v>4</v>
          </cell>
          <cell r="R45">
            <v>4</v>
          </cell>
          <cell r="S45">
            <v>4</v>
          </cell>
          <cell r="T45">
            <v>4</v>
          </cell>
          <cell r="U45">
            <v>4</v>
          </cell>
          <cell r="V45">
            <v>4</v>
          </cell>
          <cell r="W45">
            <v>4</v>
          </cell>
          <cell r="X45">
            <v>4</v>
          </cell>
          <cell r="Y45">
            <v>4</v>
          </cell>
          <cell r="Z45">
            <v>4</v>
          </cell>
          <cell r="AA45">
            <v>4</v>
          </cell>
          <cell r="AB45">
            <v>4</v>
          </cell>
          <cell r="AC45">
            <v>4</v>
          </cell>
          <cell r="AD45">
            <v>4</v>
          </cell>
          <cell r="AE45">
            <v>4</v>
          </cell>
          <cell r="AF45">
            <v>4.5</v>
          </cell>
          <cell r="AG45">
            <v>4.5</v>
          </cell>
          <cell r="AH45">
            <v>4.5</v>
          </cell>
          <cell r="AI45">
            <v>4.5</v>
          </cell>
        </row>
        <row r="46">
          <cell r="A46" t="str">
            <v>+ Risk Free Rate (%)</v>
          </cell>
          <cell r="O46">
            <v>6.2880000000000003</v>
          </cell>
          <cell r="P46">
            <v>6.5449999999999999</v>
          </cell>
          <cell r="Q46">
            <v>6.3220000000000001</v>
          </cell>
          <cell r="R46">
            <v>5.0449999999999999</v>
          </cell>
          <cell r="S46">
            <v>5.8470000000000004</v>
          </cell>
          <cell r="T46">
            <v>5.74</v>
          </cell>
          <cell r="U46">
            <v>5</v>
          </cell>
          <cell r="V46">
            <v>4.4000000000000004</v>
          </cell>
          <cell r="W46">
            <v>4</v>
          </cell>
          <cell r="X46">
            <v>4.5</v>
          </cell>
          <cell r="Y46">
            <v>4.7</v>
          </cell>
          <cell r="Z46">
            <v>5</v>
          </cell>
          <cell r="AA46">
            <v>5.2</v>
          </cell>
          <cell r="AB46">
            <v>5.3</v>
          </cell>
          <cell r="AC46">
            <v>5.5</v>
          </cell>
          <cell r="AD46">
            <v>5.5</v>
          </cell>
          <cell r="AE46">
            <v>5.6</v>
          </cell>
          <cell r="AF46">
            <v>5.6999999999999993</v>
          </cell>
          <cell r="AG46">
            <v>5.7999999999999989</v>
          </cell>
          <cell r="AH46">
            <v>5.8999999999999986</v>
          </cell>
          <cell r="AI46">
            <v>5.9999999999999982</v>
          </cell>
        </row>
        <row r="47">
          <cell r="A47" t="str">
            <v>[D] Cost of Equity (%)</v>
          </cell>
          <cell r="O47">
            <v>10.688000000000001</v>
          </cell>
          <cell r="P47">
            <v>10.945</v>
          </cell>
          <cell r="Q47">
            <v>10.722000000000001</v>
          </cell>
          <cell r="R47">
            <v>9.4450000000000003</v>
          </cell>
          <cell r="S47">
            <v>10.247</v>
          </cell>
          <cell r="T47">
            <v>10.14</v>
          </cell>
          <cell r="U47">
            <v>9.4</v>
          </cell>
          <cell r="V47">
            <v>8.8000000000000007</v>
          </cell>
          <cell r="W47">
            <v>8.4</v>
          </cell>
          <cell r="X47">
            <v>8.9</v>
          </cell>
          <cell r="Y47">
            <v>9.1000000000000014</v>
          </cell>
          <cell r="Z47">
            <v>9.4</v>
          </cell>
          <cell r="AA47">
            <v>9.6000000000000014</v>
          </cell>
          <cell r="AB47">
            <v>9.6999999999999993</v>
          </cell>
          <cell r="AC47">
            <v>9.9</v>
          </cell>
          <cell r="AD47">
            <v>9.9</v>
          </cell>
          <cell r="AE47">
            <v>10</v>
          </cell>
          <cell r="AF47">
            <v>10.649999999999999</v>
          </cell>
          <cell r="AG47">
            <v>10.75</v>
          </cell>
          <cell r="AH47">
            <v>10.849999999999998</v>
          </cell>
          <cell r="AI47">
            <v>10.95</v>
          </cell>
        </row>
        <row r="48">
          <cell r="A48" t="str">
            <v>[A x B] + [C x D] = WACC:</v>
          </cell>
          <cell r="O48">
            <v>10.128988870189065</v>
          </cell>
          <cell r="P48">
            <v>10.289526884543466</v>
          </cell>
          <cell r="Q48">
            <v>10.364002006733045</v>
          </cell>
          <cell r="R48">
            <v>9.2750639338497685</v>
          </cell>
          <cell r="S48">
            <v>9.9961631903191837</v>
          </cell>
          <cell r="T48">
            <v>9.9138662627773648</v>
          </cell>
          <cell r="U48">
            <v>9.1391712794082629</v>
          </cell>
          <cell r="V48">
            <v>8.5458519245933129</v>
          </cell>
          <cell r="W48">
            <v>8.2107757507601953</v>
          </cell>
          <cell r="X48">
            <v>8.6179036179281017</v>
          </cell>
          <cell r="Y48">
            <v>8.828998779521962</v>
          </cell>
          <cell r="Z48">
            <v>9.2419898664237952</v>
          </cell>
          <cell r="AA48">
            <v>9.4581242570685511</v>
          </cell>
          <cell r="AB48">
            <v>9.5866131573600235</v>
          </cell>
          <cell r="AC48">
            <v>9.7981956003812947</v>
          </cell>
          <cell r="AD48">
            <v>9.8060360788629453</v>
          </cell>
          <cell r="AE48">
            <v>9.9118143596793722</v>
          </cell>
          <cell r="AF48">
            <v>10.556925480706774</v>
          </cell>
          <cell r="AG48">
            <v>10.661590568148226</v>
          </cell>
          <cell r="AH48">
            <v>10.765815636979831</v>
          </cell>
          <cell r="AI48">
            <v>10.869559869908917</v>
          </cell>
        </row>
        <row r="50">
          <cell r="A50" t="str">
            <v>REPORTED (ROIC - WACC)</v>
          </cell>
          <cell r="O50">
            <v>5.8224840997638552</v>
          </cell>
          <cell r="P50">
            <v>10.074312914770051</v>
          </cell>
          <cell r="Q50">
            <v>8.5524441966667339</v>
          </cell>
          <cell r="R50">
            <v>6.333094867095328</v>
          </cell>
          <cell r="S50">
            <v>8.6976466404967674</v>
          </cell>
          <cell r="T50">
            <v>7.161063085279963</v>
          </cell>
          <cell r="U50">
            <v>8.8106635140399305</v>
          </cell>
          <cell r="V50">
            <v>10.303423404353937</v>
          </cell>
          <cell r="W50">
            <v>6.1821291702260712</v>
          </cell>
          <cell r="X50">
            <v>5.9670730919334591</v>
          </cell>
          <cell r="Y50">
            <v>5.9847711191177826</v>
          </cell>
          <cell r="Z50">
            <v>6.5610976257567781</v>
          </cell>
          <cell r="AA50">
            <v>13.046376733243189</v>
          </cell>
          <cell r="AB50">
            <v>13.777989573446977</v>
          </cell>
          <cell r="AC50">
            <v>14.135158971712368</v>
          </cell>
          <cell r="AD50">
            <v>13.42010450320867</v>
          </cell>
          <cell r="AE50">
            <v>12.635845941855251</v>
          </cell>
          <cell r="AF50">
            <v>11.280608870396421</v>
          </cell>
          <cell r="AG50">
            <v>10.51396479933876</v>
          </cell>
          <cell r="AH50">
            <v>9.8053360857004392</v>
          </cell>
          <cell r="AI50">
            <v>9.1532125799340509</v>
          </cell>
        </row>
        <row r="52">
          <cell r="A52" t="str">
            <v>ADJUSTED ROIC - OPERATING LEASES AND GOODWILL AMORTIZATION</v>
          </cell>
        </row>
        <row r="53">
          <cell r="A53" t="str">
            <v>Reported EBIT</v>
          </cell>
          <cell r="O53">
            <v>149.93100000000015</v>
          </cell>
          <cell r="P53">
            <v>189.26799999999992</v>
          </cell>
          <cell r="Q53">
            <v>258.82599999999991</v>
          </cell>
          <cell r="R53">
            <v>322.7999999999995</v>
          </cell>
          <cell r="S53">
            <v>448.94299999999959</v>
          </cell>
          <cell r="T53">
            <v>634.93300000000102</v>
          </cell>
          <cell r="U53">
            <v>840.96800000000042</v>
          </cell>
          <cell r="V53">
            <v>1077.6660000000002</v>
          </cell>
          <cell r="W53">
            <v>1006.8019999999988</v>
          </cell>
          <cell r="X53">
            <v>1193.4550000000011</v>
          </cell>
          <cell r="Y53">
            <v>1413.6999999999985</v>
          </cell>
          <cell r="Z53">
            <v>1725.2856217929707</v>
          </cell>
          <cell r="AA53">
            <v>1974.8756841554095</v>
          </cell>
          <cell r="AB53">
            <v>2285.1173521012452</v>
          </cell>
          <cell r="AC53">
            <v>2589.6116377844542</v>
          </cell>
          <cell r="AD53">
            <v>2804.3298482756736</v>
          </cell>
          <cell r="AE53">
            <v>3017.6957745184318</v>
          </cell>
          <cell r="AF53">
            <v>3221.2211916262959</v>
          </cell>
          <cell r="AG53">
            <v>3420.3923367261818</v>
          </cell>
          <cell r="AH53">
            <v>3618.1821243779286</v>
          </cell>
          <cell r="AI53">
            <v>3814.5629274325765</v>
          </cell>
        </row>
        <row r="54">
          <cell r="A54" t="str">
            <v>Operating Lease Adjustments:</v>
          </cell>
        </row>
        <row r="55">
          <cell r="A55" t="str">
            <v xml:space="preserve">   Old Rent Expense Reversed</v>
          </cell>
          <cell r="O55">
            <v>0</v>
          </cell>
          <cell r="P55">
            <v>56.673000000000002</v>
          </cell>
          <cell r="Q55">
            <v>77.7</v>
          </cell>
          <cell r="R55">
            <v>94.143000000000001</v>
          </cell>
          <cell r="S55">
            <v>128.886</v>
          </cell>
          <cell r="T55">
            <v>162.517</v>
          </cell>
          <cell r="U55">
            <v>186.09</v>
          </cell>
          <cell r="V55">
            <v>232.41900000000001</v>
          </cell>
          <cell r="W55">
            <v>286.452</v>
          </cell>
          <cell r="X55">
            <v>314.572</v>
          </cell>
          <cell r="Y55">
            <v>340.54</v>
          </cell>
          <cell r="Z55">
            <v>405.24259999999998</v>
          </cell>
          <cell r="AA55">
            <v>482.23869399999995</v>
          </cell>
          <cell r="AB55">
            <v>573.86404585999992</v>
          </cell>
          <cell r="AC55">
            <v>573.86404585999992</v>
          </cell>
          <cell r="AD55">
            <v>574.04604303200006</v>
          </cell>
          <cell r="AE55">
            <v>565.53599008200001</v>
          </cell>
          <cell r="AF55">
            <v>558.97398093599986</v>
          </cell>
          <cell r="AG55">
            <v>555.50086823699985</v>
          </cell>
          <cell r="AH55">
            <v>539.60038197659992</v>
          </cell>
          <cell r="AI55">
            <v>540.19593953656079</v>
          </cell>
        </row>
        <row r="56">
          <cell r="A56" t="str">
            <v>+ Depreciation Exp if Were Owned</v>
          </cell>
          <cell r="O56">
            <v>0</v>
          </cell>
          <cell r="P56">
            <v>-43.042791539534356</v>
          </cell>
          <cell r="Q56">
            <v>-51.061110072431063</v>
          </cell>
          <cell r="R56">
            <v>-60.380396599478246</v>
          </cell>
          <cell r="S56">
            <v>-82.267088098605569</v>
          </cell>
          <cell r="T56">
            <v>-95.370905372869402</v>
          </cell>
          <cell r="U56">
            <v>-117.50593192787031</v>
          </cell>
          <cell r="V56">
            <v>-148.06895783237979</v>
          </cell>
          <cell r="W56">
            <v>-169.18127845946719</v>
          </cell>
          <cell r="X56">
            <v>-208.48935720519728</v>
          </cell>
          <cell r="Y56">
            <v>-221.60148130698576</v>
          </cell>
          <cell r="Z56">
            <v>-254.70497085870846</v>
          </cell>
          <cell r="AA56">
            <v>-294.47734081994173</v>
          </cell>
          <cell r="AB56">
            <v>-342.14017238113058</v>
          </cell>
          <cell r="AC56">
            <v>-341.30654000568023</v>
          </cell>
          <cell r="AD56">
            <v>-340.57294351528401</v>
          </cell>
          <cell r="AE56">
            <v>-339.92737860373529</v>
          </cell>
          <cell r="AF56">
            <v>-339.3592814815724</v>
          </cell>
          <cell r="AG56">
            <v>-338.85935601406908</v>
          </cell>
          <cell r="AH56">
            <v>-338.41942160266615</v>
          </cell>
          <cell r="AI56">
            <v>-338.03227932063157</v>
          </cell>
        </row>
        <row r="57">
          <cell r="A57" t="str">
            <v>Total Lease Adjustment</v>
          </cell>
          <cell r="O57">
            <v>0</v>
          </cell>
          <cell r="P57">
            <v>13.630208460465646</v>
          </cell>
          <cell r="Q57">
            <v>26.63888992756894</v>
          </cell>
          <cell r="R57">
            <v>33.762603400521755</v>
          </cell>
          <cell r="S57">
            <v>46.618911901394426</v>
          </cell>
          <cell r="T57">
            <v>67.146094627130594</v>
          </cell>
          <cell r="U57">
            <v>68.584068072129696</v>
          </cell>
          <cell r="V57">
            <v>84.350042167620217</v>
          </cell>
          <cell r="W57">
            <v>117.2707215405328</v>
          </cell>
          <cell r="X57">
            <v>106.08264279480272</v>
          </cell>
          <cell r="Y57">
            <v>118.93851869301426</v>
          </cell>
          <cell r="Z57">
            <v>150.53762914129152</v>
          </cell>
          <cell r="AA57">
            <v>187.76135318005822</v>
          </cell>
          <cell r="AB57">
            <v>231.72387347886934</v>
          </cell>
          <cell r="AC57">
            <v>232.55750585431969</v>
          </cell>
          <cell r="AD57">
            <v>233.47309951671605</v>
          </cell>
          <cell r="AE57">
            <v>225.60861147826472</v>
          </cell>
          <cell r="AF57">
            <v>219.61469945442747</v>
          </cell>
          <cell r="AG57">
            <v>216.64151222293077</v>
          </cell>
          <cell r="AH57">
            <v>201.18096037393377</v>
          </cell>
          <cell r="AI57">
            <v>202.16366021592921</v>
          </cell>
        </row>
        <row r="58">
          <cell r="A58" t="str">
            <v>Tax Adjustments:</v>
          </cell>
        </row>
        <row r="59">
          <cell r="A59" t="str">
            <v xml:space="preserve">   Taxes</v>
          </cell>
          <cell r="O59">
            <v>-42.955150000000053</v>
          </cell>
          <cell r="P59">
            <v>-60.076099999999961</v>
          </cell>
          <cell r="Q59">
            <v>-82.26889999999996</v>
          </cell>
          <cell r="R59">
            <v>-105.58939999999983</v>
          </cell>
          <cell r="S59">
            <v>-147.62299999999985</v>
          </cell>
          <cell r="T59">
            <v>-208.71200000000036</v>
          </cell>
          <cell r="U59">
            <v>-276.79995000000014</v>
          </cell>
          <cell r="V59">
            <v>-357.57995000000005</v>
          </cell>
          <cell r="W59">
            <v>-326.84259999999955</v>
          </cell>
          <cell r="X59">
            <v>-395.84440000000035</v>
          </cell>
          <cell r="Y59">
            <v>-473.78723472668753</v>
          </cell>
          <cell r="Z59">
            <v>-592.44799473974786</v>
          </cell>
          <cell r="AA59">
            <v>-680.73669611035155</v>
          </cell>
          <cell r="AB59">
            <v>-791.45748798487227</v>
          </cell>
          <cell r="AC59">
            <v>-899.23375767712037</v>
          </cell>
          <cell r="AD59">
            <v>-975.34941667717226</v>
          </cell>
          <cell r="AE59">
            <v>-1050.2433149496376</v>
          </cell>
          <cell r="AF59">
            <v>-1121.6930350248899</v>
          </cell>
          <cell r="AG59">
            <v>-1191.6187598973502</v>
          </cell>
          <cell r="AH59">
            <v>-1261.0610096629614</v>
          </cell>
          <cell r="AI59">
            <v>-1330.0076210695884</v>
          </cell>
        </row>
        <row r="60">
          <cell r="A60" t="str">
            <v>+ Tax Shield on Interest Expense</v>
          </cell>
          <cell r="O60">
            <v>-4.6024999999999991</v>
          </cell>
          <cell r="P60">
            <v>-6.1677000000000008</v>
          </cell>
          <cell r="Q60">
            <v>-8.3201999999999998</v>
          </cell>
          <cell r="R60">
            <v>-7.3905999999999992</v>
          </cell>
          <cell r="S60">
            <v>-9.5070499999999996</v>
          </cell>
          <cell r="T60">
            <v>-13.51455</v>
          </cell>
          <cell r="U60">
            <v>-17.53885</v>
          </cell>
          <cell r="V60">
            <v>-19.603149999999999</v>
          </cell>
          <cell r="W60">
            <v>-25.538099999999996</v>
          </cell>
          <cell r="X60">
            <v>-21.864849999999997</v>
          </cell>
          <cell r="Y60">
            <v>-24.604999999999997</v>
          </cell>
          <cell r="Z60">
            <v>-11.401972887791802</v>
          </cell>
          <cell r="AA60">
            <v>-10.469793344041802</v>
          </cell>
          <cell r="AB60">
            <v>-8.3335852505634751</v>
          </cell>
          <cell r="AC60">
            <v>-7.1303155474384745</v>
          </cell>
          <cell r="AD60">
            <v>-6.1660302193134751</v>
          </cell>
          <cell r="AE60">
            <v>-5.9502061318134754</v>
          </cell>
          <cell r="AF60">
            <v>-5.7343820443134756</v>
          </cell>
          <cell r="AG60">
            <v>-5.5185579568134751</v>
          </cell>
          <cell r="AH60">
            <v>-5.3027338693134753</v>
          </cell>
          <cell r="AI60">
            <v>-5.0894035318134758</v>
          </cell>
        </row>
        <row r="61">
          <cell r="A61" t="str">
            <v>+ Tax On Operating Lease Adjustments</v>
          </cell>
          <cell r="O61">
            <v>0</v>
          </cell>
          <cell r="P61">
            <v>-4.7705729611629755</v>
          </cell>
          <cell r="Q61">
            <v>-9.3236114746491285</v>
          </cell>
          <cell r="R61">
            <v>-11.816911190182614</v>
          </cell>
          <cell r="S61">
            <v>-16.316619165488049</v>
          </cell>
          <cell r="T61">
            <v>-23.501133119495705</v>
          </cell>
          <cell r="U61">
            <v>-24.004423825245393</v>
          </cell>
          <cell r="V61">
            <v>-29.522514758667075</v>
          </cell>
          <cell r="W61">
            <v>-41.044752539186476</v>
          </cell>
          <cell r="X61">
            <v>-37.128924978180947</v>
          </cell>
          <cell r="Y61">
            <v>-41.628481542554987</v>
          </cell>
          <cell r="Z61">
            <v>-52.688170199452031</v>
          </cell>
          <cell r="AA61">
            <v>-65.716473613020369</v>
          </cell>
          <cell r="AB61">
            <v>-81.103355717604259</v>
          </cell>
          <cell r="AC61">
            <v>-81.39512704901189</v>
          </cell>
          <cell r="AD61">
            <v>-81.715584830850617</v>
          </cell>
          <cell r="AE61">
            <v>-78.963014017392652</v>
          </cell>
          <cell r="AF61">
            <v>-76.86514480904961</v>
          </cell>
          <cell r="AG61">
            <v>-75.824529278025764</v>
          </cell>
          <cell r="AH61">
            <v>-70.413336130876814</v>
          </cell>
          <cell r="AI61">
            <v>-70.757281075575222</v>
          </cell>
        </row>
        <row r="62">
          <cell r="A62" t="str">
            <v>Adjusted Taxes</v>
          </cell>
          <cell r="O62">
            <v>-47.557650000000052</v>
          </cell>
          <cell r="P62">
            <v>-71.014372961162934</v>
          </cell>
          <cell r="Q62">
            <v>-99.912711474649086</v>
          </cell>
          <cell r="R62">
            <v>-124.79691119018243</v>
          </cell>
          <cell r="S62">
            <v>-173.44666916548789</v>
          </cell>
          <cell r="T62">
            <v>-245.72768311949608</v>
          </cell>
          <cell r="U62">
            <v>-318.34322382524556</v>
          </cell>
          <cell r="V62">
            <v>-406.70561475866714</v>
          </cell>
          <cell r="W62">
            <v>-393.42545253918604</v>
          </cell>
          <cell r="X62">
            <v>-454.83817497818131</v>
          </cell>
          <cell r="Y62">
            <v>-540.02071626924248</v>
          </cell>
          <cell r="Z62">
            <v>-656.53813782699171</v>
          </cell>
          <cell r="AA62">
            <v>-756.92296306741378</v>
          </cell>
          <cell r="AB62">
            <v>-880.89442895304001</v>
          </cell>
          <cell r="AC62">
            <v>-987.75920027357074</v>
          </cell>
          <cell r="AD62">
            <v>-1063.2310317273364</v>
          </cell>
          <cell r="AE62">
            <v>-1135.1565350988437</v>
          </cell>
          <cell r="AF62">
            <v>-1204.2925618782529</v>
          </cell>
          <cell r="AG62">
            <v>-1272.9618471321894</v>
          </cell>
          <cell r="AH62">
            <v>-1336.7770796631517</v>
          </cell>
          <cell r="AI62">
            <v>-1405.8543056769772</v>
          </cell>
        </row>
        <row r="63">
          <cell r="A63" t="str">
            <v>Addback: Goodwill Expense</v>
          </cell>
          <cell r="O63">
            <v>5.2</v>
          </cell>
          <cell r="P63">
            <v>5.2</v>
          </cell>
          <cell r="Q63">
            <v>5.2</v>
          </cell>
          <cell r="R63">
            <v>5.2</v>
          </cell>
          <cell r="S63">
            <v>5.2</v>
          </cell>
          <cell r="T63">
            <v>5.2</v>
          </cell>
          <cell r="U63">
            <v>0.2</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row>
        <row r="64">
          <cell r="A64" t="str">
            <v>Total Adjustments to EBIT</v>
          </cell>
          <cell r="O64">
            <v>-42.357650000000049</v>
          </cell>
          <cell r="P64">
            <v>-52.184164500697285</v>
          </cell>
          <cell r="Q64">
            <v>-68.073821547080144</v>
          </cell>
          <cell r="R64">
            <v>-85.83430778966067</v>
          </cell>
          <cell r="S64">
            <v>-121.62775726409346</v>
          </cell>
          <cell r="T64">
            <v>-173.38158849236549</v>
          </cell>
          <cell r="U64">
            <v>-249.55915575311587</v>
          </cell>
          <cell r="V64">
            <v>-322.35557259104689</v>
          </cell>
          <cell r="W64">
            <v>-276.15473099865324</v>
          </cell>
          <cell r="X64">
            <v>-348.75553218337859</v>
          </cell>
          <cell r="Y64">
            <v>-421.08219757622822</v>
          </cell>
          <cell r="Z64">
            <v>-506.0005086857002</v>
          </cell>
          <cell r="AA64">
            <v>-569.16160988735555</v>
          </cell>
          <cell r="AB64">
            <v>-649.17055547417067</v>
          </cell>
          <cell r="AC64">
            <v>-755.201694419251</v>
          </cell>
          <cell r="AD64">
            <v>-829.75793221062031</v>
          </cell>
          <cell r="AE64">
            <v>-909.54792362057901</v>
          </cell>
          <cell r="AF64">
            <v>-984.67786242382545</v>
          </cell>
          <cell r="AG64">
            <v>-1056.3203349092587</v>
          </cell>
          <cell r="AH64">
            <v>-1135.5961192892178</v>
          </cell>
          <cell r="AI64">
            <v>-1203.690645461048</v>
          </cell>
        </row>
        <row r="65">
          <cell r="A65" t="str">
            <v>ADJUSTED NOPLess Adjusted Taxes (NOPLAT)</v>
          </cell>
          <cell r="O65">
            <v>107.5733500000001</v>
          </cell>
          <cell r="P65">
            <v>137.08383549930264</v>
          </cell>
          <cell r="Q65">
            <v>190.75217845291976</v>
          </cell>
          <cell r="R65">
            <v>236.96569221033883</v>
          </cell>
          <cell r="S65">
            <v>327.31524273590611</v>
          </cell>
          <cell r="T65">
            <v>461.55141150763552</v>
          </cell>
          <cell r="U65">
            <v>591.40884424688454</v>
          </cell>
          <cell r="V65">
            <v>755.31042740895327</v>
          </cell>
          <cell r="W65">
            <v>730.64726900134553</v>
          </cell>
          <cell r="X65">
            <v>844.69946781662247</v>
          </cell>
          <cell r="Y65">
            <v>992.61780242377017</v>
          </cell>
          <cell r="Z65">
            <v>1219.2851131072705</v>
          </cell>
          <cell r="AA65">
            <v>1405.714074268054</v>
          </cell>
          <cell r="AB65">
            <v>1635.9467966270745</v>
          </cell>
          <cell r="AC65">
            <v>1834.4099433652032</v>
          </cell>
          <cell r="AD65">
            <v>1974.5719160650533</v>
          </cell>
          <cell r="AE65">
            <v>2108.1478508978525</v>
          </cell>
          <cell r="AF65">
            <v>2236.5433292024704</v>
          </cell>
          <cell r="AG65">
            <v>2364.0720018169231</v>
          </cell>
          <cell r="AH65">
            <v>2482.5860050887109</v>
          </cell>
          <cell r="AI65">
            <v>2610.8722819715285</v>
          </cell>
        </row>
        <row r="67">
          <cell r="A67" t="str">
            <v>Reported Net Operating Assets</v>
          </cell>
          <cell r="O67">
            <v>556.40499999999997</v>
          </cell>
          <cell r="P67">
            <v>822.25900000000001</v>
          </cell>
          <cell r="Q67">
            <v>1220.8319999999999</v>
          </cell>
          <cell r="R67">
            <v>1473.6299999999997</v>
          </cell>
          <cell r="S67">
            <v>2265.777</v>
          </cell>
          <cell r="T67">
            <v>2883.067</v>
          </cell>
          <cell r="U67">
            <v>3556.1450000000009</v>
          </cell>
          <cell r="V67">
            <v>4351.0889999999999</v>
          </cell>
          <cell r="W67">
            <v>5089.978000000001</v>
          </cell>
          <cell r="X67">
            <v>5935.2190000000001</v>
          </cell>
          <cell r="Y67">
            <v>6824.4669999999996</v>
          </cell>
          <cell r="Z67">
            <v>5458.3422048481898</v>
          </cell>
          <cell r="AA67">
            <v>6083.3176124706224</v>
          </cell>
          <cell r="AB67">
            <v>6730.0989247034122</v>
          </cell>
          <cell r="AC67">
            <v>7510.0430890093667</v>
          </cell>
          <cell r="AD67">
            <v>8324.6188147632893</v>
          </cell>
          <cell r="AE67">
            <v>9175.026580280286</v>
          </cell>
          <cell r="AF67">
            <v>10046.886594106669</v>
          </cell>
          <cell r="AG67">
            <v>10940.122904649146</v>
          </cell>
          <cell r="AH67">
            <v>11849.798257491911</v>
          </cell>
          <cell r="AI67">
            <v>12770.876653130825</v>
          </cell>
        </row>
        <row r="68">
          <cell r="A68" t="str">
            <v>Addback: Accumulated Charges/(Gains)</v>
          </cell>
          <cell r="O68">
            <v>-14.052</v>
          </cell>
          <cell r="P68">
            <v>-14.052</v>
          </cell>
          <cell r="Q68">
            <v>-14.052</v>
          </cell>
          <cell r="R68">
            <v>-14.052</v>
          </cell>
          <cell r="S68">
            <v>-14.052</v>
          </cell>
          <cell r="T68">
            <v>-14.052</v>
          </cell>
          <cell r="U68">
            <v>-14.052</v>
          </cell>
          <cell r="V68">
            <v>-14.052</v>
          </cell>
          <cell r="W68">
            <v>-14.052</v>
          </cell>
          <cell r="X68">
            <v>-14.052</v>
          </cell>
          <cell r="Y68">
            <v>-3.7741864951768473</v>
          </cell>
          <cell r="Z68">
            <v>-3.7741864951768473</v>
          </cell>
          <cell r="AA68">
            <v>-3.7741864951768473</v>
          </cell>
          <cell r="AB68">
            <v>-3.7741864951768473</v>
          </cell>
          <cell r="AC68">
            <v>-3.7741864951768473</v>
          </cell>
          <cell r="AD68">
            <v>-3.7741864951768473</v>
          </cell>
          <cell r="AE68">
            <v>-3.7741864951768473</v>
          </cell>
          <cell r="AF68">
            <v>-3.7741864951768473</v>
          </cell>
          <cell r="AG68">
            <v>-3.7741864951768473</v>
          </cell>
          <cell r="AH68">
            <v>-3.7741864951768473</v>
          </cell>
          <cell r="AI68">
            <v>-3.7741864951768473</v>
          </cell>
        </row>
        <row r="69">
          <cell r="A69" t="str">
            <v>Addback: Capitalized Leases</v>
          </cell>
          <cell r="O69">
            <v>274.52370541508816</v>
          </cell>
          <cell r="P69">
            <v>448.12111595883397</v>
          </cell>
          <cell r="Q69">
            <v>634.73225198922592</v>
          </cell>
          <cell r="R69">
            <v>828.76675632219349</v>
          </cell>
          <cell r="S69">
            <v>1244.0991681506562</v>
          </cell>
          <cell r="T69">
            <v>1447.74849106242</v>
          </cell>
          <cell r="U69">
            <v>1794.8500397443527</v>
          </cell>
          <cell r="V69">
            <v>2266.2355130346646</v>
          </cell>
          <cell r="W69">
            <v>2532.2944327544283</v>
          </cell>
          <cell r="X69">
            <v>3427.7737850969011</v>
          </cell>
          <cell r="Y69">
            <v>3583.2299507508033</v>
          </cell>
          <cell r="Z69">
            <v>4221.0210381135457</v>
          </cell>
          <cell r="AA69">
            <v>4988.6140065771306</v>
          </cell>
          <cell r="AB69">
            <v>5910.3375022433956</v>
          </cell>
          <cell r="AC69">
            <v>5569.0309622377154</v>
          </cell>
          <cell r="AD69">
            <v>5228.458018722431</v>
          </cell>
          <cell r="AE69">
            <v>4888.5306401186954</v>
          </cell>
          <cell r="AF69">
            <v>4549.1713586371234</v>
          </cell>
          <cell r="AG69">
            <v>4210.3120026230545</v>
          </cell>
          <cell r="AH69">
            <v>3871.8925810203882</v>
          </cell>
          <cell r="AI69">
            <v>3533.8603016997567</v>
          </cell>
        </row>
        <row r="70">
          <cell r="A70" t="str">
            <v>Addback: Deferred Tax Adjustment</v>
          </cell>
          <cell r="O70">
            <v>-19.679711412286434</v>
          </cell>
          <cell r="P70">
            <v>-28.452355484067386</v>
          </cell>
          <cell r="Q70">
            <v>-38.540021735003883</v>
          </cell>
          <cell r="R70">
            <v>-51.633671744631542</v>
          </cell>
          <cell r="S70">
            <v>-69.203002573513274</v>
          </cell>
          <cell r="T70">
            <v>-84.809560587862123</v>
          </cell>
          <cell r="U70">
            <v>-106.18638053019826</v>
          </cell>
          <cell r="V70">
            <v>-132.95173071497663</v>
          </cell>
          <cell r="W70">
            <v>-157.34188985069827</v>
          </cell>
          <cell r="X70">
            <v>-205.45666670982098</v>
          </cell>
          <cell r="Y70">
            <v>-255.60160061871341</v>
          </cell>
          <cell r="Z70">
            <v>-312.08175983301902</v>
          </cell>
          <cell r="AA70">
            <v>-376.22727107421662</v>
          </cell>
          <cell r="AB70">
            <v>-449.6002409465238</v>
          </cell>
          <cell r="AC70">
            <v>-519.8946043448982</v>
          </cell>
          <cell r="AD70">
            <v>-588.58441749359406</v>
          </cell>
          <cell r="AE70">
            <v>-656.94988208879033</v>
          </cell>
          <cell r="AF70">
            <v>-724.33030232353212</v>
          </cell>
          <cell r="AG70">
            <v>-789.6205315970451</v>
          </cell>
          <cell r="AH70">
            <v>-857.07447984053192</v>
          </cell>
          <cell r="AI70">
            <v>-921.07819412371293</v>
          </cell>
        </row>
        <row r="71">
          <cell r="A71" t="str">
            <v>Addback: Accumulated Goodwill Amort</v>
          </cell>
          <cell r="O71">
            <v>5.2</v>
          </cell>
          <cell r="P71">
            <v>5.2</v>
          </cell>
          <cell r="Q71">
            <v>5.2</v>
          </cell>
          <cell r="R71">
            <v>5.2</v>
          </cell>
          <cell r="S71">
            <v>5.2</v>
          </cell>
          <cell r="T71">
            <v>5.2</v>
          </cell>
          <cell r="U71">
            <v>0.2</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row>
        <row r="72">
          <cell r="A72" t="str">
            <v>ADJUSTED NET OPERATING ASSETS</v>
          </cell>
          <cell r="O72">
            <v>822.0767054150881</v>
          </cell>
          <cell r="P72">
            <v>1261.528115958834</v>
          </cell>
          <cell r="Q72">
            <v>1846.7122519892259</v>
          </cell>
          <cell r="R72">
            <v>2293.5447563221933</v>
          </cell>
          <cell r="S72">
            <v>3501.0241681506559</v>
          </cell>
          <cell r="T72">
            <v>4321.96349106242</v>
          </cell>
          <cell r="U72">
            <v>5337.1430397443537</v>
          </cell>
          <cell r="V72">
            <v>6603.2725130346644</v>
          </cell>
          <cell r="W72">
            <v>7608.2204327544296</v>
          </cell>
          <cell r="X72">
            <v>9348.9407850969019</v>
          </cell>
          <cell r="Y72">
            <v>10403.922764255625</v>
          </cell>
          <cell r="Z72">
            <v>9675.5890564665588</v>
          </cell>
          <cell r="AA72">
            <v>11068.157432552576</v>
          </cell>
          <cell r="AB72">
            <v>12636.662240451631</v>
          </cell>
          <cell r="AC72">
            <v>13075.299864751905</v>
          </cell>
          <cell r="AD72">
            <v>13549.302646990544</v>
          </cell>
          <cell r="AE72">
            <v>14059.783033903805</v>
          </cell>
          <cell r="AF72">
            <v>14592.283766248616</v>
          </cell>
          <cell r="AG72">
            <v>15146.660720777025</v>
          </cell>
          <cell r="AH72">
            <v>15717.916652017124</v>
          </cell>
          <cell r="AI72">
            <v>16300.962768335405</v>
          </cell>
        </row>
        <row r="74">
          <cell r="A74" t="str">
            <v xml:space="preserve">   Reported Net (Debt) Cash</v>
          </cell>
          <cell r="O74">
            <v>-186.30500000000004</v>
          </cell>
          <cell r="P74">
            <v>-304.78800000000001</v>
          </cell>
          <cell r="Q74">
            <v>-265.97966600000007</v>
          </cell>
          <cell r="R74">
            <v>-311.27008000000058</v>
          </cell>
          <cell r="S74">
            <v>-579.98908000000085</v>
          </cell>
          <cell r="T74">
            <v>-681.03907999999967</v>
          </cell>
          <cell r="U74">
            <v>-764.75007999999912</v>
          </cell>
          <cell r="V74">
            <v>-837.18407999999908</v>
          </cell>
          <cell r="W74">
            <v>-941.45808</v>
          </cell>
          <cell r="X74">
            <v>-901.28819199999907</v>
          </cell>
          <cell r="Y74">
            <v>-867.03341239601104</v>
          </cell>
          <cell r="Z74">
            <v>-226.53801765503954</v>
          </cell>
          <cell r="AA74">
            <v>-141.74706818993081</v>
          </cell>
          <cell r="AB74">
            <v>-31.995358918176407</v>
          </cell>
          <cell r="AC74">
            <v>86.12732613349317</v>
          </cell>
          <cell r="AD74">
            <v>204.88684944585862</v>
          </cell>
          <cell r="AE74">
            <v>320.91148935364799</v>
          </cell>
          <cell r="AF74">
            <v>492.46024062864194</v>
          </cell>
          <cell r="AG74">
            <v>616.90069767516775</v>
          </cell>
          <cell r="AH74">
            <v>798.31091057629624</v>
          </cell>
          <cell r="AI74">
            <v>940.84605866676361</v>
          </cell>
        </row>
        <row r="75">
          <cell r="A75" t="str">
            <v>+ Operating Lease Liabilities - Debt</v>
          </cell>
          <cell r="O75">
            <v>-330.75145230733511</v>
          </cell>
          <cell r="P75">
            <v>-529.41356019902651</v>
          </cell>
          <cell r="Q75">
            <v>-744.84659980352274</v>
          </cell>
          <cell r="R75">
            <v>-976.29153273542647</v>
          </cell>
          <cell r="S75">
            <v>-1441.8220326464084</v>
          </cell>
          <cell r="T75">
            <v>-1690.0615213134547</v>
          </cell>
          <cell r="U75">
            <v>-2098.239698402062</v>
          </cell>
          <cell r="V75">
            <v>-2646.0976007917407</v>
          </cell>
          <cell r="W75">
            <v>-2981.842689470709</v>
          </cell>
          <cell r="X75">
            <v>-4014.7928328392468</v>
          </cell>
          <cell r="Y75">
            <v>-4313.5202382328416</v>
          </cell>
          <cell r="Z75">
            <v>-5112.6832090650287</v>
          </cell>
          <cell r="AA75">
            <v>-6063.5490667891781</v>
          </cell>
          <cell r="AB75">
            <v>-7194.9096192334637</v>
          </cell>
          <cell r="AC75">
            <v>-7054.4441175088532</v>
          </cell>
          <cell r="AD75">
            <v>-6910.1277829898427</v>
          </cell>
          <cell r="AE75">
            <v>-6765.5303032295251</v>
          </cell>
          <cell r="AF75">
            <v>-6618.6865081329297</v>
          </cell>
          <cell r="AG75">
            <v>-6466.3706643288979</v>
          </cell>
          <cell r="AH75">
            <v>-6320.6768091361937</v>
          </cell>
          <cell r="AI75">
            <v>-6165.5122849103655</v>
          </cell>
        </row>
        <row r="76">
          <cell r="A76" t="str">
            <v>Adjusted Net (Debt) Cash</v>
          </cell>
          <cell r="O76">
            <v>-517.05645230733512</v>
          </cell>
          <cell r="P76">
            <v>-834.20156019902652</v>
          </cell>
          <cell r="Q76">
            <v>-1010.8262658035228</v>
          </cell>
          <cell r="R76">
            <v>-1287.5616127354269</v>
          </cell>
          <cell r="S76">
            <v>-2021.8111126464091</v>
          </cell>
          <cell r="T76">
            <v>-2371.1006013134543</v>
          </cell>
          <cell r="U76">
            <v>-2862.9897784020613</v>
          </cell>
          <cell r="V76">
            <v>-3483.2816807917397</v>
          </cell>
          <cell r="W76">
            <v>-3923.3007694707089</v>
          </cell>
          <cell r="X76">
            <v>-4916.0810248392463</v>
          </cell>
          <cell r="Y76">
            <v>-5180.5536506288527</v>
          </cell>
          <cell r="Z76">
            <v>-5339.2212267200684</v>
          </cell>
          <cell r="AA76">
            <v>-6205.2961349791094</v>
          </cell>
          <cell r="AB76">
            <v>-7226.9049781516405</v>
          </cell>
          <cell r="AC76">
            <v>-6968.3167913753605</v>
          </cell>
          <cell r="AD76">
            <v>-6705.2409335439843</v>
          </cell>
          <cell r="AE76">
            <v>-6444.6188138758771</v>
          </cell>
          <cell r="AF76">
            <v>-6126.2262675042875</v>
          </cell>
          <cell r="AG76">
            <v>-5849.4699666537299</v>
          </cell>
          <cell r="AH76">
            <v>-5522.3658985598977</v>
          </cell>
          <cell r="AI76">
            <v>-5224.6662262436021</v>
          </cell>
        </row>
        <row r="77">
          <cell r="A77" t="str">
            <v>+ Accumulated Charges/(Gains) to Equity</v>
          </cell>
          <cell r="O77">
            <v>-14.052</v>
          </cell>
          <cell r="P77">
            <v>-14.052</v>
          </cell>
          <cell r="Q77">
            <v>-14.052</v>
          </cell>
          <cell r="R77">
            <v>-14.052</v>
          </cell>
          <cell r="S77">
            <v>-14.052</v>
          </cell>
          <cell r="T77">
            <v>-14.052</v>
          </cell>
          <cell r="U77">
            <v>-14.052</v>
          </cell>
          <cell r="V77">
            <v>-14.052</v>
          </cell>
          <cell r="W77">
            <v>-14.052</v>
          </cell>
          <cell r="X77">
            <v>-14.052</v>
          </cell>
          <cell r="Y77">
            <v>-3.7741864951768473</v>
          </cell>
          <cell r="Z77">
            <v>-3.7741864951768473</v>
          </cell>
          <cell r="AA77">
            <v>-3.7741864951768473</v>
          </cell>
          <cell r="AB77">
            <v>-3.7741864951768473</v>
          </cell>
          <cell r="AC77">
            <v>-3.7741864951768473</v>
          </cell>
          <cell r="AD77">
            <v>-3.7741864951768473</v>
          </cell>
          <cell r="AE77">
            <v>-3.7741864951768473</v>
          </cell>
          <cell r="AF77">
            <v>-3.7741864951768473</v>
          </cell>
          <cell r="AG77">
            <v>-3.7741864951768473</v>
          </cell>
          <cell r="AH77">
            <v>-3.7741864951768473</v>
          </cell>
          <cell r="AI77">
            <v>-3.7741864951768473</v>
          </cell>
        </row>
        <row r="78">
          <cell r="A78" t="str">
            <v>+ Accum. GW Amort. Addback to Equity</v>
          </cell>
          <cell r="O78">
            <v>5.2</v>
          </cell>
          <cell r="P78">
            <v>5.2</v>
          </cell>
          <cell r="Q78">
            <v>5.2</v>
          </cell>
          <cell r="R78">
            <v>5.2</v>
          </cell>
          <cell r="S78">
            <v>5.2</v>
          </cell>
          <cell r="T78">
            <v>5.2</v>
          </cell>
          <cell r="U78">
            <v>0.2</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row>
        <row r="79">
          <cell r="A79" t="str">
            <v>+ Deferred Tax Adjustment effect on Equity</v>
          </cell>
          <cell r="O79">
            <v>-19.679711412286434</v>
          </cell>
          <cell r="P79">
            <v>-28.452355484067386</v>
          </cell>
          <cell r="Q79">
            <v>-38.540021735003883</v>
          </cell>
          <cell r="R79">
            <v>-51.633671744631542</v>
          </cell>
          <cell r="S79">
            <v>-69.203002573513274</v>
          </cell>
          <cell r="T79">
            <v>-84.809560587862123</v>
          </cell>
          <cell r="U79">
            <v>-106.18638053019826</v>
          </cell>
          <cell r="V79">
            <v>-132.95173071497663</v>
          </cell>
          <cell r="W79">
            <v>-157.34188985069827</v>
          </cell>
          <cell r="X79">
            <v>-205.45666670982098</v>
          </cell>
          <cell r="Y79">
            <v>-255.60160061871341</v>
          </cell>
          <cell r="Z79">
            <v>-312.08175983301902</v>
          </cell>
          <cell r="AA79">
            <v>-376.22727107421662</v>
          </cell>
          <cell r="AB79">
            <v>-449.6002409465238</v>
          </cell>
          <cell r="AC79">
            <v>-519.8946043448982</v>
          </cell>
          <cell r="AD79">
            <v>-588.58441749359406</v>
          </cell>
          <cell r="AE79">
            <v>-656.94988208879033</v>
          </cell>
          <cell r="AF79">
            <v>-724.33030232353212</v>
          </cell>
          <cell r="AG79">
            <v>-789.6205315970451</v>
          </cell>
          <cell r="AH79">
            <v>-857.07447984053192</v>
          </cell>
          <cell r="AI79">
            <v>-921.07819412371293</v>
          </cell>
        </row>
        <row r="80">
          <cell r="A80" t="str">
            <v>+ Operating Leases Gain/(Loss) to Equity</v>
          </cell>
          <cell r="O80">
            <v>-36.548035479960525</v>
          </cell>
          <cell r="P80">
            <v>-52.840088756125148</v>
          </cell>
          <cell r="Q80">
            <v>-71.574326079292931</v>
          </cell>
          <cell r="R80">
            <v>-95.891104668601443</v>
          </cell>
          <cell r="S80">
            <v>-128.51986192223896</v>
          </cell>
          <cell r="T80">
            <v>-157.50346966317252</v>
          </cell>
          <cell r="U80">
            <v>-197.20327812751108</v>
          </cell>
          <cell r="V80">
            <v>-246.91035704209946</v>
          </cell>
          <cell r="W80">
            <v>-292.20636686558254</v>
          </cell>
          <cell r="X80">
            <v>-381.56238103252474</v>
          </cell>
          <cell r="Y80">
            <v>-474.68868686332496</v>
          </cell>
          <cell r="Z80">
            <v>-579.58041111846399</v>
          </cell>
          <cell r="AA80">
            <v>-698.7077891378309</v>
          </cell>
          <cell r="AB80">
            <v>-834.97187604354428</v>
          </cell>
          <cell r="AC80">
            <v>0</v>
          </cell>
          <cell r="AD80">
            <v>0</v>
          </cell>
          <cell r="AE80">
            <v>0</v>
          </cell>
          <cell r="AF80">
            <v>0</v>
          </cell>
          <cell r="AG80">
            <v>0</v>
          </cell>
          <cell r="AH80">
            <v>0</v>
          </cell>
          <cell r="AI80">
            <v>0</v>
          </cell>
        </row>
        <row r="81">
          <cell r="A81" t="str">
            <v>ADJUSTED INVESTED CAPITAL</v>
          </cell>
          <cell r="O81">
            <v>862.55170541508824</v>
          </cell>
          <cell r="P81">
            <v>1261.5281159588342</v>
          </cell>
          <cell r="Q81">
            <v>1846.6419179892259</v>
          </cell>
          <cell r="R81">
            <v>2293.9638363221939</v>
          </cell>
          <cell r="S81">
            <v>3500.7392481506567</v>
          </cell>
          <cell r="T81">
            <v>4322.5745710624196</v>
          </cell>
          <cell r="U81">
            <v>5337.1541197443512</v>
          </cell>
          <cell r="V81">
            <v>6601.2845930346639</v>
          </cell>
          <cell r="W81">
            <v>7608.2095127544289</v>
          </cell>
          <cell r="X81">
            <v>9348.9079770969001</v>
          </cell>
          <cell r="Y81">
            <v>10403.827176651637</v>
          </cell>
          <cell r="Z81">
            <v>9675.5890564665588</v>
          </cell>
          <cell r="AA81">
            <v>11068.157432552574</v>
          </cell>
          <cell r="AB81">
            <v>12636.662240451631</v>
          </cell>
          <cell r="AC81">
            <v>14040.818415678146</v>
          </cell>
          <cell r="AD81">
            <v>14642.387993764363</v>
          </cell>
          <cell r="AE81">
            <v>15279.832814925843</v>
          </cell>
          <cell r="AF81">
            <v>15937.46861342089</v>
          </cell>
          <cell r="AG81">
            <v>16613.098850885821</v>
          </cell>
          <cell r="AH81">
            <v>17309.626400292393</v>
          </cell>
          <cell r="AI81">
            <v>18011.536557422296</v>
          </cell>
        </row>
        <row r="83">
          <cell r="A83" t="str">
            <v>NOPLAT/NOA = ADJUSTED RNOA</v>
          </cell>
          <cell r="O83">
            <v>13.085561151581773</v>
          </cell>
          <cell r="P83">
            <v>16.675309566165776</v>
          </cell>
          <cell r="Q83">
            <v>15.120723513002096</v>
          </cell>
          <cell r="R83">
            <v>12.831760441026269</v>
          </cell>
          <cell r="S83">
            <v>14.271151318658873</v>
          </cell>
          <cell r="T83">
            <v>13.183325488193947</v>
          </cell>
          <cell r="U83">
            <v>13.683800093866713</v>
          </cell>
          <cell r="V83">
            <v>14.151961485467929</v>
          </cell>
          <cell r="W83">
            <v>11.064926785303339</v>
          </cell>
          <cell r="X83">
            <v>11.102457864917739</v>
          </cell>
          <cell r="Y83">
            <v>10.617435977411443</v>
          </cell>
          <cell r="Z83">
            <v>11.719474862850035</v>
          </cell>
          <cell r="AA83">
            <v>14.528459880471697</v>
          </cell>
          <cell r="AB83">
            <v>14.780660707044053</v>
          </cell>
          <cell r="AC83">
            <v>14.516570186492869</v>
          </cell>
          <cell r="AD83">
            <v>15.101542117500946</v>
          </cell>
          <cell r="AE83">
            <v>15.559087473524672</v>
          </cell>
          <cell r="AF83">
            <v>15.90738152793157</v>
          </cell>
          <cell r="AG83">
            <v>16.200836275435719</v>
          </cell>
          <cell r="AH83">
            <v>16.390318967686984</v>
          </cell>
          <cell r="AI83">
            <v>16.610803707477785</v>
          </cell>
        </row>
        <row r="85">
          <cell r="A85" t="str">
            <v>Adjusted Debt</v>
          </cell>
          <cell r="O85">
            <v>519.87545230733508</v>
          </cell>
          <cell r="P85">
            <v>843.10756019902647</v>
          </cell>
          <cell r="Q85">
            <v>1057.0575998035229</v>
          </cell>
          <cell r="R85">
            <v>1288.7365327354264</v>
          </cell>
          <cell r="S85">
            <v>2033.4040326464083</v>
          </cell>
          <cell r="T85">
            <v>2514.7105213134546</v>
          </cell>
          <cell r="U85">
            <v>3210.0776984020622</v>
          </cell>
          <cell r="V85">
            <v>4060.3456007917407</v>
          </cell>
          <cell r="W85">
            <v>4070.344689470709</v>
          </cell>
          <cell r="X85">
            <v>5121.697832839247</v>
          </cell>
          <cell r="Y85">
            <v>5467.5652382328417</v>
          </cell>
          <cell r="Z85">
            <v>6003.997209065029</v>
          </cell>
          <cell r="AA85">
            <v>6954.8630667891784</v>
          </cell>
          <cell r="AB85">
            <v>8011.223619233464</v>
          </cell>
          <cell r="AC85">
            <v>7870.7581175088535</v>
          </cell>
          <cell r="AD85">
            <v>7726.441782989843</v>
          </cell>
          <cell r="AE85">
            <v>7581.8443032295254</v>
          </cell>
          <cell r="AF85">
            <v>7435.00050813293</v>
          </cell>
          <cell r="AG85">
            <v>7282.6846643288982</v>
          </cell>
          <cell r="AH85">
            <v>7136.990809136194</v>
          </cell>
          <cell r="AI85">
            <v>6981.8262849103658</v>
          </cell>
        </row>
        <row r="86">
          <cell r="A86" t="str">
            <v>Adjusted Total Capital Outstanding</v>
          </cell>
          <cell r="O86">
            <v>2344.5039054323352</v>
          </cell>
          <cell r="P86">
            <v>3475.4317789490265</v>
          </cell>
          <cell r="Q86">
            <v>5902.7917560535234</v>
          </cell>
          <cell r="R86">
            <v>9659.2537514854266</v>
          </cell>
          <cell r="S86">
            <v>14031.354032646406</v>
          </cell>
          <cell r="T86">
            <v>22002.614708813453</v>
          </cell>
          <cell r="U86">
            <v>23805.747793402061</v>
          </cell>
          <cell r="V86">
            <v>25655.999448291739</v>
          </cell>
          <cell r="W86">
            <v>22677.423929470711</v>
          </cell>
          <cell r="X86">
            <v>20631.251582839246</v>
          </cell>
          <cell r="Y86">
            <v>24526.055238232842</v>
          </cell>
          <cell r="Z86">
            <v>29927.96945427946</v>
          </cell>
          <cell r="AA86">
            <v>34331.64050746461</v>
          </cell>
          <cell r="AB86">
            <v>39861.337728186729</v>
          </cell>
          <cell r="AC86">
            <v>44043.577161893198</v>
          </cell>
          <cell r="AD86">
            <v>46985.684831183906</v>
          </cell>
          <cell r="AE86">
            <v>49816.906212012364</v>
          </cell>
          <cell r="AF86">
            <v>52564.048921746427</v>
          </cell>
          <cell r="AG86">
            <v>55185.145340104558</v>
          </cell>
          <cell r="AH86">
            <v>57851.100075042457</v>
          </cell>
          <cell r="AI86">
            <v>60478.111270677931</v>
          </cell>
        </row>
        <row r="87">
          <cell r="A87" t="str">
            <v>Debt/Capital Ratio (%)</v>
          </cell>
          <cell r="O87">
            <v>18.149671791992578</v>
          </cell>
          <cell r="P87">
            <v>19.522979738916817</v>
          </cell>
          <cell r="Q87">
            <v>15.187937924460368</v>
          </cell>
          <cell r="R87">
            <v>11.771443884023716</v>
          </cell>
          <cell r="S87">
            <v>12.657545319898006</v>
          </cell>
          <cell r="T87">
            <v>10.256871407095323</v>
          </cell>
          <cell r="U87">
            <v>11.882212147749895</v>
          </cell>
          <cell r="V87">
            <v>13.663677663202295</v>
          </cell>
          <cell r="W87">
            <v>15.217511215452554</v>
          </cell>
          <cell r="X87">
            <v>19.887810713133845</v>
          </cell>
          <cell r="Y87">
            <v>18.22909389189256</v>
          </cell>
          <cell r="Z87">
            <v>16.709347599361784</v>
          </cell>
          <cell r="AA87">
            <v>16.845367044174267</v>
          </cell>
          <cell r="AB87">
            <v>16.734478778134523</v>
          </cell>
          <cell r="AC87">
            <v>15.161049592850548</v>
          </cell>
          <cell r="AD87">
            <v>14.12199134110833</v>
          </cell>
          <cell r="AE87">
            <v>13.209075520234908</v>
          </cell>
          <cell r="AF87">
            <v>12.39186383581324</v>
          </cell>
          <cell r="AG87">
            <v>11.658296220329781</v>
          </cell>
          <cell r="AH87">
            <v>10.98199795075638</v>
          </cell>
          <cell r="AI87">
            <v>10.34958901222997</v>
          </cell>
        </row>
        <row r="88">
          <cell r="A88" t="str">
            <v>Equity/Capital Ratio (%)</v>
          </cell>
          <cell r="O88">
            <v>81.850328208007426</v>
          </cell>
          <cell r="P88">
            <v>80.477020261083183</v>
          </cell>
          <cell r="Q88">
            <v>84.812062075539629</v>
          </cell>
          <cell r="R88">
            <v>88.228556115976289</v>
          </cell>
          <cell r="S88">
            <v>87.342454680101994</v>
          </cell>
          <cell r="T88">
            <v>89.743128592904682</v>
          </cell>
          <cell r="U88">
            <v>88.117787852250103</v>
          </cell>
          <cell r="V88">
            <v>86.336322336797707</v>
          </cell>
          <cell r="W88">
            <v>84.782488784547439</v>
          </cell>
          <cell r="X88">
            <v>80.112189286866155</v>
          </cell>
          <cell r="Y88">
            <v>81.77090610810744</v>
          </cell>
          <cell r="Z88">
            <v>83.290652400638209</v>
          </cell>
          <cell r="AA88">
            <v>83.154632955825733</v>
          </cell>
          <cell r="AB88">
            <v>83.26552122186547</v>
          </cell>
          <cell r="AC88">
            <v>84.838950407149454</v>
          </cell>
          <cell r="AD88">
            <v>85.878008658891673</v>
          </cell>
          <cell r="AE88">
            <v>86.790924479765096</v>
          </cell>
          <cell r="AF88">
            <v>87.60813616418676</v>
          </cell>
          <cell r="AG88">
            <v>88.341703779670212</v>
          </cell>
          <cell r="AH88">
            <v>89.01800204924362</v>
          </cell>
          <cell r="AI88">
            <v>89.65041098777003</v>
          </cell>
        </row>
        <row r="89">
          <cell r="A89" t="str">
            <v>Cost of Debt</v>
          </cell>
          <cell r="O89">
            <v>4.7357674225325761</v>
          </cell>
          <cell r="P89">
            <v>4.7892056907821896</v>
          </cell>
          <cell r="Q89">
            <v>4.8076215337752179</v>
          </cell>
          <cell r="R89">
            <v>4.7224138104771827</v>
          </cell>
          <cell r="S89">
            <v>4.9089098582199222</v>
          </cell>
          <cell r="T89">
            <v>4.5699288972363874</v>
          </cell>
          <cell r="U89">
            <v>4.3075840512254446</v>
          </cell>
          <cell r="V89">
            <v>4.6649951989757819</v>
          </cell>
          <cell r="W89">
            <v>4.9761371375701904</v>
          </cell>
          <cell r="X89">
            <v>4.6652708261124847</v>
          </cell>
          <cell r="Y89">
            <v>4.3535458721669622</v>
          </cell>
          <cell r="Z89">
            <v>5.0008020805932611</v>
          </cell>
          <cell r="AA89">
            <v>5.1003999999999996</v>
          </cell>
          <cell r="AB89">
            <v>5.1626000000000012</v>
          </cell>
          <cell r="AC89">
            <v>5.2870000000000008</v>
          </cell>
          <cell r="AD89">
            <v>5.2870000000000008</v>
          </cell>
          <cell r="AE89">
            <v>5.3491999999999997</v>
          </cell>
          <cell r="AF89">
            <v>5.4113999999999995</v>
          </cell>
          <cell r="AG89">
            <v>5.4736000000000002</v>
          </cell>
          <cell r="AH89">
            <v>5.5357999999999992</v>
          </cell>
          <cell r="AI89">
            <v>5.5979999999999999</v>
          </cell>
        </row>
        <row r="90">
          <cell r="A90" t="str">
            <v>Cost of Equity</v>
          </cell>
          <cell r="O90">
            <v>10.688000000000001</v>
          </cell>
          <cell r="P90">
            <v>10.945</v>
          </cell>
          <cell r="Q90">
            <v>10.722000000000001</v>
          </cell>
          <cell r="R90">
            <v>9.4450000000000003</v>
          </cell>
          <cell r="S90">
            <v>10.247</v>
          </cell>
          <cell r="T90">
            <v>10.14</v>
          </cell>
          <cell r="U90">
            <v>9.4</v>
          </cell>
          <cell r="V90">
            <v>8.8000000000000007</v>
          </cell>
          <cell r="W90">
            <v>8.4</v>
          </cell>
          <cell r="X90">
            <v>8.9</v>
          </cell>
          <cell r="Y90">
            <v>9.1000000000000014</v>
          </cell>
          <cell r="Z90">
            <v>9.4</v>
          </cell>
          <cell r="AA90">
            <v>9.6000000000000014</v>
          </cell>
          <cell r="AB90">
            <v>9.6999999999999993</v>
          </cell>
          <cell r="AC90">
            <v>9.9</v>
          </cell>
          <cell r="AD90">
            <v>9.9</v>
          </cell>
          <cell r="AE90">
            <v>10</v>
          </cell>
          <cell r="AF90">
            <v>10.649999999999999</v>
          </cell>
          <cell r="AG90">
            <v>10.75</v>
          </cell>
          <cell r="AH90">
            <v>10.849999999999998</v>
          </cell>
          <cell r="AI90">
            <v>10.95</v>
          </cell>
        </row>
        <row r="91">
          <cell r="A91" t="str">
            <v>Adjusted WACC</v>
          </cell>
          <cell r="O91">
            <v>9.6076893228936022</v>
          </cell>
          <cell r="P91">
            <v>9.743205524242013</v>
          </cell>
          <cell r="Q91">
            <v>9.8237278699321298</v>
          </cell>
          <cell r="R91">
            <v>8.8890834168256685</v>
          </cell>
          <cell r="S91">
            <v>9.5713288210871799</v>
          </cell>
          <cell r="T91">
            <v>9.5686849697057621</v>
          </cell>
          <cell r="U91">
            <v>8.7949083335207572</v>
          </cell>
          <cell r="V91">
            <v>8.2350062726301125</v>
          </cell>
          <cell r="W91">
            <v>7.878973284908029</v>
          </cell>
          <cell r="X91">
            <v>8.057805077683394</v>
          </cell>
          <cell r="Y91">
            <v>8.2347644205017065</v>
          </cell>
          <cell r="Z91">
            <v>8.6649227280624359</v>
          </cell>
          <cell r="AA91">
            <v>8.8420258644803358</v>
          </cell>
          <cell r="AB91">
            <v>8.9406897599209234</v>
          </cell>
          <cell r="AC91">
            <v>9.2006207822818045</v>
          </cell>
          <cell r="AD91">
            <v>9.248552539434673</v>
          </cell>
          <cell r="AE91">
            <v>9.3856723157049142</v>
          </cell>
          <cell r="AF91">
            <v>10.000839821097086</v>
          </cell>
          <cell r="AG91">
            <v>10.13486165823052</v>
          </cell>
          <cell r="AH91">
            <v>10.266394664900902</v>
          </cell>
          <cell r="AI91">
            <v>10.39608999606545</v>
          </cell>
        </row>
        <row r="93">
          <cell r="A93" t="str">
            <v>ADJUSTED (RNOA = ROIC) - WACC</v>
          </cell>
          <cell r="O93">
            <v>3.4778718286881709</v>
          </cell>
          <cell r="P93">
            <v>6.9321040419237629</v>
          </cell>
          <cell r="Q93">
            <v>5.2969956430699661</v>
          </cell>
          <cell r="R93">
            <v>3.9426770242006004</v>
          </cell>
          <cell r="S93">
            <v>4.6998224975716933</v>
          </cell>
          <cell r="T93">
            <v>3.6146405184881854</v>
          </cell>
          <cell r="U93">
            <v>4.8888917603459561</v>
          </cell>
          <cell r="V93">
            <v>5.9169552128378164</v>
          </cell>
          <cell r="W93">
            <v>3.1859535003953097</v>
          </cell>
          <cell r="X93">
            <v>3.0446527872343445</v>
          </cell>
          <cell r="Y93">
            <v>2.3826715569097363</v>
          </cell>
          <cell r="Z93">
            <v>3.054552134787599</v>
          </cell>
          <cell r="AA93">
            <v>5.6864340159913613</v>
          </cell>
          <cell r="AB93">
            <v>5.8399709471231294</v>
          </cell>
          <cell r="AC93">
            <v>5.3159494042110644</v>
          </cell>
          <cell r="AD93">
            <v>5.8529895780662731</v>
          </cell>
          <cell r="AE93">
            <v>6.1734151578197576</v>
          </cell>
          <cell r="AF93">
            <v>5.9065417068344832</v>
          </cell>
          <cell r="AG93">
            <v>6.0659746172051996</v>
          </cell>
          <cell r="AH93">
            <v>6.1239243027860812</v>
          </cell>
          <cell r="AI93">
            <v>6.214713711412335</v>
          </cell>
        </row>
        <row r="97">
          <cell r="A97" t="str">
            <v>NET SALES - Actual</v>
          </cell>
          <cell r="O97">
            <v>1925.6690000000001</v>
          </cell>
          <cell r="P97">
            <v>2388.5</v>
          </cell>
          <cell r="Q97">
            <v>3060.0839999999998</v>
          </cell>
          <cell r="R97">
            <v>3681.7</v>
          </cell>
          <cell r="S97">
            <v>4556.9799999999996</v>
          </cell>
          <cell r="T97">
            <v>6152.2000000000007</v>
          </cell>
          <cell r="U97">
            <v>7488.6460000000006</v>
          </cell>
          <cell r="V97">
            <v>9120.2870000000003</v>
          </cell>
          <cell r="W97">
            <v>10282.093999999999</v>
          </cell>
          <cell r="X97">
            <v>11700.7</v>
          </cell>
          <cell r="Y97">
            <v>13402.199999999999</v>
          </cell>
          <cell r="Z97">
            <v>15432.124031897749</v>
          </cell>
          <cell r="AA97">
            <v>17576.766512535702</v>
          </cell>
          <cell r="AB97">
            <v>19634.069507911772</v>
          </cell>
          <cell r="AC97">
            <v>21753.091593149125</v>
          </cell>
          <cell r="AD97">
            <v>23718.153425012108</v>
          </cell>
          <cell r="AE97">
            <v>25722.51649351235</v>
          </cell>
          <cell r="AF97">
            <v>27690.466823382598</v>
          </cell>
          <cell r="AG97">
            <v>29697.776159850251</v>
          </cell>
          <cell r="AH97">
            <v>31745.231683047256</v>
          </cell>
          <cell r="AI97">
            <v>33833.636316708202</v>
          </cell>
        </row>
        <row r="98">
          <cell r="A98" t="str">
            <v>Net Operating Profit After-Tax (NOPAT)</v>
          </cell>
          <cell r="O98">
            <v>107.5733500000001</v>
          </cell>
          <cell r="P98">
            <v>137.08383549930264</v>
          </cell>
          <cell r="Q98">
            <v>190.75217845291976</v>
          </cell>
          <cell r="R98">
            <v>236.96569221033883</v>
          </cell>
          <cell r="S98">
            <v>327.31524273590611</v>
          </cell>
          <cell r="T98">
            <v>461.55141150763552</v>
          </cell>
          <cell r="U98">
            <v>591.40884424688454</v>
          </cell>
          <cell r="V98">
            <v>755.31042740895327</v>
          </cell>
          <cell r="W98">
            <v>730.64726900134553</v>
          </cell>
          <cell r="X98">
            <v>844.69946781662247</v>
          </cell>
          <cell r="Y98">
            <v>992.61780242377017</v>
          </cell>
          <cell r="Z98">
            <v>1219.2851131072705</v>
          </cell>
          <cell r="AA98">
            <v>1405.714074268054</v>
          </cell>
          <cell r="AB98">
            <v>1635.9467966270745</v>
          </cell>
          <cell r="AC98">
            <v>1834.4099433652032</v>
          </cell>
          <cell r="AD98">
            <v>1974.5719160650533</v>
          </cell>
          <cell r="AE98">
            <v>2108.1478508978525</v>
          </cell>
          <cell r="AF98">
            <v>2236.5433292024704</v>
          </cell>
          <cell r="AG98">
            <v>2364.0720018169231</v>
          </cell>
          <cell r="AH98">
            <v>2482.5860050887109</v>
          </cell>
          <cell r="AI98">
            <v>2610.8722819715285</v>
          </cell>
        </row>
        <row r="99">
          <cell r="A99" t="str">
            <v>NET OPERATING ASSETS</v>
          </cell>
          <cell r="O99">
            <v>822.0767054150881</v>
          </cell>
          <cell r="P99">
            <v>1261.528115958834</v>
          </cell>
          <cell r="Q99">
            <v>1846.7122519892259</v>
          </cell>
          <cell r="R99">
            <v>2293.5447563221933</v>
          </cell>
          <cell r="S99">
            <v>3501.0241681506559</v>
          </cell>
          <cell r="T99">
            <v>4321.96349106242</v>
          </cell>
          <cell r="U99">
            <v>5337.1430397443537</v>
          </cell>
          <cell r="V99">
            <v>6603.2725130346644</v>
          </cell>
          <cell r="W99">
            <v>7608.2204327544296</v>
          </cell>
          <cell r="X99">
            <v>9348.9407850969019</v>
          </cell>
          <cell r="Y99">
            <v>10403.922764255625</v>
          </cell>
          <cell r="Z99">
            <v>9675.5890564665588</v>
          </cell>
          <cell r="AA99">
            <v>11068.157432552576</v>
          </cell>
          <cell r="AB99">
            <v>12636.662240451631</v>
          </cell>
          <cell r="AC99">
            <v>13075.299864751905</v>
          </cell>
          <cell r="AD99">
            <v>13549.302646990544</v>
          </cell>
          <cell r="AE99">
            <v>14059.783033903805</v>
          </cell>
          <cell r="AF99">
            <v>14592.283766248616</v>
          </cell>
          <cell r="AG99">
            <v>15146.660720777025</v>
          </cell>
          <cell r="AH99">
            <v>15717.916652017124</v>
          </cell>
          <cell r="AI99">
            <v>16300.962768335405</v>
          </cell>
        </row>
        <row r="100">
          <cell r="A100" t="str">
            <v xml:space="preserve">   NOPAT Margin</v>
          </cell>
          <cell r="O100">
            <v>5.5862845587689316</v>
          </cell>
          <cell r="P100">
            <v>5.7393274230396756</v>
          </cell>
          <cell r="Q100">
            <v>6.2335602046518908</v>
          </cell>
          <cell r="R100">
            <v>6.4363118181910224</v>
          </cell>
          <cell r="S100">
            <v>7.1827228281867841</v>
          </cell>
          <cell r="T100">
            <v>7.502217280121509</v>
          </cell>
          <cell r="U100">
            <v>7.8974068776503055</v>
          </cell>
          <cell r="V100">
            <v>8.2816519634629167</v>
          </cell>
          <cell r="W100">
            <v>7.1060162356164565</v>
          </cell>
          <cell r="X100">
            <v>7.219221651838116</v>
          </cell>
          <cell r="Y100">
            <v>7.4063795677110491</v>
          </cell>
          <cell r="Z100">
            <v>7.9009545969630874</v>
          </cell>
          <cell r="AA100">
            <v>7.9975692529425286</v>
          </cell>
          <cell r="AB100">
            <v>8.3321839925637988</v>
          </cell>
          <cell r="AC100">
            <v>8.4328700383118349</v>
          </cell>
          <cell r="AD100">
            <v>8.32515027912231</v>
          </cell>
          <cell r="AE100">
            <v>8.195729416402795</v>
          </cell>
          <cell r="AF100">
            <v>8.0769433880178259</v>
          </cell>
          <cell r="AG100">
            <v>7.9604344415963961</v>
          </cell>
          <cell r="AH100">
            <v>7.8203430041887945</v>
          </cell>
          <cell r="AI100">
            <v>7.7167947823633458</v>
          </cell>
        </row>
        <row r="101">
          <cell r="A101" t="str">
            <v>x NOA Turns [NOPAT/BOP Net Operating Profit]</v>
          </cell>
          <cell r="O101">
            <v>2.3424444304472529</v>
          </cell>
          <cell r="P101">
            <v>2.9054466380895487</v>
          </cell>
          <cell r="Q101">
            <v>2.4256962340265877</v>
          </cell>
          <cell r="R101">
            <v>1.9936511473480383</v>
          </cell>
          <cell r="S101">
            <v>1.9868720623125449</v>
          </cell>
          <cell r="T101">
            <v>1.7572572208919581</v>
          </cell>
          <cell r="U101">
            <v>1.7326953398579381</v>
          </cell>
          <cell r="V101">
            <v>1.7088331588798598</v>
          </cell>
          <cell r="W101">
            <v>1.5571209547543965</v>
          </cell>
          <cell r="X101">
            <v>1.5379023391103244</v>
          </cell>
          <cell r="Y101">
            <v>1.4335527743810696</v>
          </cell>
          <cell r="Z101">
            <v>1.5371015161804582</v>
          </cell>
          <cell r="AA101">
            <v>1.8166094498183023</v>
          </cell>
          <cell r="AB101">
            <v>1.7739239460188718</v>
          </cell>
          <cell r="AC101">
            <v>1.7214270017849014</v>
          </cell>
          <cell r="AD101">
            <v>1.8139663082566055</v>
          </cell>
          <cell r="AE101">
            <v>1.8984384040772473</v>
          </cell>
          <cell r="AF101">
            <v>1.9694803793635876</v>
          </cell>
          <cell r="AG101">
            <v>2.0351698634411188</v>
          </cell>
          <cell r="AH101">
            <v>2.0958567877275804</v>
          </cell>
          <cell r="AI101">
            <v>2.1525522157776704</v>
          </cell>
        </row>
        <row r="102">
          <cell r="A102" t="str">
            <v>RNOA</v>
          </cell>
          <cell r="O102">
            <v>13.085561151581773</v>
          </cell>
          <cell r="P102">
            <v>16.67530956616578</v>
          </cell>
          <cell r="Q102">
            <v>15.120723513002098</v>
          </cell>
          <cell r="R102">
            <v>12.831760441026271</v>
          </cell>
          <cell r="S102">
            <v>14.271151318658871</v>
          </cell>
          <cell r="T102">
            <v>13.183325488193947</v>
          </cell>
          <cell r="U102">
            <v>13.683800093866713</v>
          </cell>
          <cell r="V102">
            <v>14.151961485467929</v>
          </cell>
          <cell r="W102">
            <v>11.064926785303339</v>
          </cell>
          <cell r="X102">
            <v>11.102457864917739</v>
          </cell>
          <cell r="Y102">
            <v>10.617435977411441</v>
          </cell>
          <cell r="Z102">
            <v>12.144569290264922</v>
          </cell>
          <cell r="AA102">
            <v>14.528459880471697</v>
          </cell>
          <cell r="AB102">
            <v>14.780660707044053</v>
          </cell>
          <cell r="AC102">
            <v>14.516570186492869</v>
          </cell>
          <cell r="AD102">
            <v>15.101542117500946</v>
          </cell>
          <cell r="AE102">
            <v>15.559087473524672</v>
          </cell>
          <cell r="AF102">
            <v>15.907381527931568</v>
          </cell>
          <cell r="AG102">
            <v>16.200836275435716</v>
          </cell>
          <cell r="AH102">
            <v>16.390318967686984</v>
          </cell>
          <cell r="AI102">
            <v>16.610803707477785</v>
          </cell>
        </row>
        <row r="104">
          <cell r="A104" t="str">
            <v>RETURN ON EQUITY - DUPONT ANALYSIS</v>
          </cell>
        </row>
        <row r="105">
          <cell r="A105" t="str">
            <v>AS REPORTED</v>
          </cell>
        </row>
        <row r="106">
          <cell r="A106" t="str">
            <v>Net Income</v>
          </cell>
          <cell r="O106">
            <v>80.952000000000169</v>
          </cell>
          <cell r="P106">
            <v>102.7559999999999</v>
          </cell>
          <cell r="Q106">
            <v>141.25633399999995</v>
          </cell>
          <cell r="R106">
            <v>178.08458599999952</v>
          </cell>
          <cell r="S106">
            <v>258.8099999999996</v>
          </cell>
          <cell r="T106">
            <v>363.35200000000106</v>
          </cell>
          <cell r="U106">
            <v>486.66900000000044</v>
          </cell>
          <cell r="V106">
            <v>635.47000000000014</v>
          </cell>
          <cell r="W106">
            <v>580.86199999999872</v>
          </cell>
          <cell r="X106">
            <v>703.51288800000088</v>
          </cell>
          <cell r="Y106">
            <v>841.89977960398801</v>
          </cell>
          <cell r="Z106">
            <v>1058.1125588349416</v>
          </cell>
          <cell r="AA106">
            <v>1209.7663570875391</v>
          </cell>
          <cell r="AB106">
            <v>1406.5330215045446</v>
          </cell>
          <cell r="AC106">
            <v>1598.0668493576254</v>
          </cell>
          <cell r="AD106">
            <v>1733.3352490662892</v>
          </cell>
          <cell r="AE106">
            <v>1866.4324054247845</v>
          </cell>
          <cell r="AF106">
            <v>1993.408765101376</v>
          </cell>
          <cell r="AG106">
            <v>2117.6767675890051</v>
          </cell>
          <cell r="AH106">
            <v>2241.0855657438915</v>
          </cell>
          <cell r="AI106">
            <v>2363.6135437293824</v>
          </cell>
        </row>
        <row r="107">
          <cell r="A107" t="str">
            <v>EBT</v>
          </cell>
          <cell r="O107">
            <v>122.72900000000016</v>
          </cell>
          <cell r="P107">
            <v>171.6459999999999</v>
          </cell>
          <cell r="Q107">
            <v>235.05399999999992</v>
          </cell>
          <cell r="R107">
            <v>301.68399999999951</v>
          </cell>
          <cell r="S107">
            <v>421.77999999999957</v>
          </cell>
          <cell r="T107">
            <v>596.32000000000107</v>
          </cell>
          <cell r="U107">
            <v>790.85700000000043</v>
          </cell>
          <cell r="V107">
            <v>1021.6570000000002</v>
          </cell>
          <cell r="W107">
            <v>933.83599999999876</v>
          </cell>
          <cell r="X107">
            <v>1130.9840000000011</v>
          </cell>
          <cell r="Y107">
            <v>1353.6778135048216</v>
          </cell>
          <cell r="Z107">
            <v>1692.7085563992798</v>
          </cell>
          <cell r="AA107">
            <v>1944.9619888867187</v>
          </cell>
          <cell r="AB107">
            <v>2261.3071085282068</v>
          </cell>
          <cell r="AC107">
            <v>2569.2393076489157</v>
          </cell>
          <cell r="AD107">
            <v>2786.7126190776353</v>
          </cell>
          <cell r="AE107">
            <v>3000.6951855703933</v>
          </cell>
          <cell r="AF107">
            <v>3204.8372429282572</v>
          </cell>
          <cell r="AG107">
            <v>3404.6250282781434</v>
          </cell>
          <cell r="AH107">
            <v>3603.03145617989</v>
          </cell>
          <cell r="AI107">
            <v>3800.0217744845381</v>
          </cell>
        </row>
        <row r="108">
          <cell r="A108" t="str">
            <v xml:space="preserve">[A] = Tax Burden (NI/EBT) </v>
          </cell>
          <cell r="O108">
            <v>0.6595996056351805</v>
          </cell>
          <cell r="P108">
            <v>0.5986507113477737</v>
          </cell>
          <cell r="Q108">
            <v>0.60095269172190224</v>
          </cell>
          <cell r="R108">
            <v>0.59030172630964783</v>
          </cell>
          <cell r="S108">
            <v>0.61361373227749028</v>
          </cell>
          <cell r="T108">
            <v>0.60932385296485181</v>
          </cell>
          <cell r="U108">
            <v>0.61536915017506344</v>
          </cell>
          <cell r="V108">
            <v>0.62199935986343757</v>
          </cell>
          <cell r="W108">
            <v>0.62201714219627369</v>
          </cell>
          <cell r="X108">
            <v>0.62203611014833116</v>
          </cell>
          <cell r="Y108">
            <v>0.62193512459528044</v>
          </cell>
          <cell r="Z108">
            <v>0.62510026007415753</v>
          </cell>
          <cell r="AA108">
            <v>0.622</v>
          </cell>
          <cell r="AB108">
            <v>0.622</v>
          </cell>
          <cell r="AC108">
            <v>0.622</v>
          </cell>
          <cell r="AD108">
            <v>0.622</v>
          </cell>
          <cell r="AE108">
            <v>0.622</v>
          </cell>
          <cell r="AF108">
            <v>0.622</v>
          </cell>
          <cell r="AG108">
            <v>0.622</v>
          </cell>
          <cell r="AH108">
            <v>0.622</v>
          </cell>
          <cell r="AI108">
            <v>0.62199999999999989</v>
          </cell>
        </row>
        <row r="109">
          <cell r="A109" t="str">
            <v>Pre-tax Income</v>
          </cell>
          <cell r="O109">
            <v>122.72900000000016</v>
          </cell>
          <cell r="P109">
            <v>171.6459999999999</v>
          </cell>
          <cell r="Q109">
            <v>235.05399999999992</v>
          </cell>
          <cell r="R109">
            <v>301.68399999999951</v>
          </cell>
          <cell r="S109">
            <v>421.77999999999957</v>
          </cell>
          <cell r="T109">
            <v>596.32000000000107</v>
          </cell>
          <cell r="U109">
            <v>790.85700000000043</v>
          </cell>
          <cell r="V109">
            <v>1021.6570000000002</v>
          </cell>
          <cell r="W109">
            <v>933.83599999999876</v>
          </cell>
          <cell r="X109">
            <v>1130.9840000000011</v>
          </cell>
          <cell r="Y109">
            <v>1353.6778135048216</v>
          </cell>
          <cell r="Z109">
            <v>1692.7085563992798</v>
          </cell>
          <cell r="AA109">
            <v>1944.9619888867187</v>
          </cell>
          <cell r="AB109">
            <v>2261.3071085282068</v>
          </cell>
          <cell r="AC109">
            <v>2569.2393076489157</v>
          </cell>
          <cell r="AD109">
            <v>2786.7126190776353</v>
          </cell>
          <cell r="AE109">
            <v>3000.6951855703933</v>
          </cell>
          <cell r="AF109">
            <v>3204.8372429282572</v>
          </cell>
          <cell r="AG109">
            <v>3404.6250282781434</v>
          </cell>
          <cell r="AH109">
            <v>3603.03145617989</v>
          </cell>
          <cell r="AI109">
            <v>3800.0217744845381</v>
          </cell>
        </row>
        <row r="110">
          <cell r="A110" t="str">
            <v>EBIT</v>
          </cell>
          <cell r="O110">
            <v>149.93100000000015</v>
          </cell>
          <cell r="P110">
            <v>189.26799999999992</v>
          </cell>
          <cell r="Q110">
            <v>258.82599999999991</v>
          </cell>
          <cell r="R110">
            <v>322.7999999999995</v>
          </cell>
          <cell r="S110">
            <v>448.94299999999959</v>
          </cell>
          <cell r="T110">
            <v>634.93300000000102</v>
          </cell>
          <cell r="U110">
            <v>840.96800000000042</v>
          </cell>
          <cell r="V110">
            <v>1077.6660000000002</v>
          </cell>
          <cell r="W110">
            <v>1006.8019999999988</v>
          </cell>
          <cell r="X110">
            <v>1193.4550000000011</v>
          </cell>
          <cell r="Y110">
            <v>1413.6999999999985</v>
          </cell>
          <cell r="Z110">
            <v>1725.2856217929707</v>
          </cell>
          <cell r="AA110">
            <v>1974.8756841554095</v>
          </cell>
          <cell r="AB110">
            <v>2285.1173521012452</v>
          </cell>
          <cell r="AC110">
            <v>2589.6116377844542</v>
          </cell>
          <cell r="AD110">
            <v>2804.3298482756736</v>
          </cell>
          <cell r="AE110">
            <v>3017.6957745184318</v>
          </cell>
          <cell r="AF110">
            <v>3221.2211916262959</v>
          </cell>
          <cell r="AG110">
            <v>3420.3923367261818</v>
          </cell>
          <cell r="AH110">
            <v>3618.1821243779286</v>
          </cell>
          <cell r="AI110">
            <v>3814.5629274325765</v>
          </cell>
        </row>
        <row r="111">
          <cell r="A111" t="str">
            <v xml:space="preserve">[B] = Interest Burden (EBT/EBIT) </v>
          </cell>
          <cell r="O111">
            <v>0.81856987547605253</v>
          </cell>
          <cell r="P111">
            <v>0.90689392818648673</v>
          </cell>
          <cell r="Q111">
            <v>0.90815451307055706</v>
          </cell>
          <cell r="R111">
            <v>0.93458488228004954</v>
          </cell>
          <cell r="S111">
            <v>0.93949565980536498</v>
          </cell>
          <cell r="T111">
            <v>0.93918570935831047</v>
          </cell>
          <cell r="U111">
            <v>0.94041271487143396</v>
          </cell>
          <cell r="V111">
            <v>0.94802749645994211</v>
          </cell>
          <cell r="W111">
            <v>0.92752696160714809</v>
          </cell>
          <cell r="X111">
            <v>0.9476553368162185</v>
          </cell>
          <cell r="Y111">
            <v>0.95754248674034315</v>
          </cell>
          <cell r="Z111">
            <v>0.98111787116162497</v>
          </cell>
          <cell r="AA111">
            <v>0.9848528717484899</v>
          </cell>
          <cell r="AB111">
            <v>0.98958029724331487</v>
          </cell>
          <cell r="AC111">
            <v>0.99213305584579159</v>
          </cell>
          <cell r="AD111">
            <v>0.99371784698976451</v>
          </cell>
          <cell r="AE111">
            <v>0.99436636751405083</v>
          </cell>
          <cell r="AF111">
            <v>0.99491374614676276</v>
          </cell>
          <cell r="AG111">
            <v>0.99539020472045314</v>
          </cell>
          <cell r="AH111">
            <v>0.9958126297468668</v>
          </cell>
          <cell r="AI111">
            <v>0.99618798975802314</v>
          </cell>
        </row>
        <row r="112">
          <cell r="A112" t="str">
            <v>EBIT</v>
          </cell>
          <cell r="O112">
            <v>149.93100000000015</v>
          </cell>
          <cell r="P112">
            <v>189.26799999999992</v>
          </cell>
          <cell r="Q112">
            <v>258.82599999999991</v>
          </cell>
          <cell r="R112">
            <v>322.7999999999995</v>
          </cell>
          <cell r="S112">
            <v>448.94299999999959</v>
          </cell>
          <cell r="T112">
            <v>634.93300000000102</v>
          </cell>
          <cell r="U112">
            <v>840.96800000000042</v>
          </cell>
          <cell r="V112">
            <v>1077.6660000000002</v>
          </cell>
          <cell r="W112">
            <v>1006.8019999999988</v>
          </cell>
          <cell r="X112">
            <v>1193.4550000000011</v>
          </cell>
          <cell r="Y112">
            <v>1413.6999999999985</v>
          </cell>
          <cell r="Z112">
            <v>1725.2856217929707</v>
          </cell>
          <cell r="AA112">
            <v>1974.8756841554095</v>
          </cell>
          <cell r="AB112">
            <v>2285.1173521012452</v>
          </cell>
          <cell r="AC112">
            <v>2589.6116377844542</v>
          </cell>
          <cell r="AD112">
            <v>2804.3298482756736</v>
          </cell>
          <cell r="AE112">
            <v>3017.6957745184318</v>
          </cell>
          <cell r="AF112">
            <v>3221.2211916262959</v>
          </cell>
          <cell r="AG112">
            <v>3420.3923367261818</v>
          </cell>
          <cell r="AH112">
            <v>3618.1821243779286</v>
          </cell>
          <cell r="AI112">
            <v>3814.5629274325765</v>
          </cell>
        </row>
        <row r="113">
          <cell r="A113" t="str">
            <v>Sales</v>
          </cell>
          <cell r="O113">
            <v>1925.6690000000001</v>
          </cell>
          <cell r="P113">
            <v>2388.5</v>
          </cell>
          <cell r="Q113">
            <v>3060.0839999999998</v>
          </cell>
          <cell r="R113">
            <v>3681.7</v>
          </cell>
          <cell r="S113">
            <v>4556.9799999999996</v>
          </cell>
          <cell r="T113">
            <v>6152.2000000000007</v>
          </cell>
          <cell r="U113">
            <v>7488.6460000000006</v>
          </cell>
          <cell r="V113">
            <v>9120.2870000000003</v>
          </cell>
          <cell r="W113">
            <v>10282.093999999999</v>
          </cell>
          <cell r="X113">
            <v>11700.7</v>
          </cell>
          <cell r="Y113">
            <v>13402.199999999999</v>
          </cell>
          <cell r="Z113">
            <v>15432.124031897749</v>
          </cell>
          <cell r="AA113">
            <v>17576.766512535702</v>
          </cell>
          <cell r="AB113">
            <v>19634.069507911772</v>
          </cell>
          <cell r="AC113">
            <v>21753.091593149125</v>
          </cell>
          <cell r="AD113">
            <v>23718.153425012108</v>
          </cell>
          <cell r="AE113">
            <v>25722.51649351235</v>
          </cell>
          <cell r="AF113">
            <v>27690.466823382598</v>
          </cell>
          <cell r="AG113">
            <v>29697.776159850251</v>
          </cell>
          <cell r="AH113">
            <v>31745.231683047256</v>
          </cell>
          <cell r="AI113">
            <v>33833.636316708202</v>
          </cell>
        </row>
        <row r="114">
          <cell r="A114" t="str">
            <v xml:space="preserve">[C] = Operating Margin (EBIT/Sales) </v>
          </cell>
          <cell r="O114">
            <v>7.7859175174965239E-2</v>
          </cell>
          <cell r="P114">
            <v>7.9241364873351441E-2</v>
          </cell>
          <cell r="Q114">
            <v>8.4581338290059982E-2</v>
          </cell>
          <cell r="R114">
            <v>8.7676888393948313E-2</v>
          </cell>
          <cell r="S114">
            <v>9.8517658624790894E-2</v>
          </cell>
          <cell r="T114">
            <v>0.10320421962875084</v>
          </cell>
          <cell r="U114">
            <v>0.1122990724892057</v>
          </cell>
          <cell r="V114">
            <v>0.11816141312219672</v>
          </cell>
          <cell r="W114">
            <v>9.7917992191084699E-2</v>
          </cell>
          <cell r="X114">
            <v>0.10199859837445631</v>
          </cell>
          <cell r="Y114">
            <v>0.10548268194773981</v>
          </cell>
          <cell r="Z114">
            <v>0.11179832524847881</v>
          </cell>
          <cell r="AA114">
            <v>0.11235716664648948</v>
          </cell>
          <cell r="AB114">
            <v>0.1163853143730815</v>
          </cell>
          <cell r="AC114">
            <v>0.11904568261920163</v>
          </cell>
          <cell r="AD114">
            <v>0.11823558934054083</v>
          </cell>
          <cell r="AE114">
            <v>0.1173172840720909</v>
          </cell>
          <cell r="AF114">
            <v>0.11632960947072973</v>
          </cell>
          <cell r="AG114">
            <v>0.11517334895096835</v>
          </cell>
          <cell r="AH114">
            <v>0.11397560932938877</v>
          </cell>
          <cell r="AI114">
            <v>0.11274469264034784</v>
          </cell>
        </row>
        <row r="115">
          <cell r="A115" t="str">
            <v>Sales</v>
          </cell>
          <cell r="O115">
            <v>1925.6690000000001</v>
          </cell>
          <cell r="P115">
            <v>2388.5</v>
          </cell>
          <cell r="Q115">
            <v>3060.0839999999998</v>
          </cell>
          <cell r="R115">
            <v>3681.7</v>
          </cell>
          <cell r="S115">
            <v>4556.9799999999996</v>
          </cell>
          <cell r="T115">
            <v>6152.2000000000007</v>
          </cell>
          <cell r="U115">
            <v>7488.6460000000006</v>
          </cell>
          <cell r="V115">
            <v>9120.2870000000003</v>
          </cell>
          <cell r="W115">
            <v>10282.093999999999</v>
          </cell>
          <cell r="X115">
            <v>11700.7</v>
          </cell>
          <cell r="Y115">
            <v>13402.199999999999</v>
          </cell>
          <cell r="Z115">
            <v>15432.124031897749</v>
          </cell>
          <cell r="AA115">
            <v>17576.766512535702</v>
          </cell>
          <cell r="AB115">
            <v>19634.069507911772</v>
          </cell>
          <cell r="AC115">
            <v>21753.091593149125</v>
          </cell>
          <cell r="AD115">
            <v>23718.153425012108</v>
          </cell>
          <cell r="AE115">
            <v>25722.51649351235</v>
          </cell>
          <cell r="AF115">
            <v>27690.466823382598</v>
          </cell>
          <cell r="AG115">
            <v>29697.776159850251</v>
          </cell>
          <cell r="AH115">
            <v>31745.231683047256</v>
          </cell>
          <cell r="AI115">
            <v>33833.636316708202</v>
          </cell>
        </row>
        <row r="116">
          <cell r="A116" t="str">
            <v>Assets</v>
          </cell>
          <cell r="O116">
            <v>804.92499999999995</v>
          </cell>
          <cell r="P116">
            <v>1122.414</v>
          </cell>
          <cell r="Q116">
            <v>1621.7913339999998</v>
          </cell>
          <cell r="R116">
            <v>1935.6759199999997</v>
          </cell>
          <cell r="S116">
            <v>2914.946919999999</v>
          </cell>
          <cell r="T116">
            <v>3854.5429200000003</v>
          </cell>
          <cell r="U116">
            <v>4929.57492</v>
          </cell>
          <cell r="V116">
            <v>6315.7259200000008</v>
          </cell>
          <cell r="W116">
            <v>6690.7609199999997</v>
          </cell>
          <cell r="X116">
            <v>7979.3318080000008</v>
          </cell>
          <cell r="Y116">
            <v>9153.1335876039902</v>
          </cell>
          <cell r="Z116">
            <v>9171.7128922069514</v>
          </cell>
          <cell r="AA116">
            <v>10010.568474877815</v>
          </cell>
          <cell r="AB116">
            <v>11026.973149293175</v>
          </cell>
          <cell r="AC116">
            <v>12190.883005594507</v>
          </cell>
          <cell r="AD116">
            <v>13377.26250144243</v>
          </cell>
          <cell r="AE116">
            <v>14600.915258584482</v>
          </cell>
          <cell r="AF116">
            <v>15897.6751989974</v>
          </cell>
          <cell r="AG116">
            <v>17172.885385404181</v>
          </cell>
          <cell r="AH116">
            <v>18525.7702583422</v>
          </cell>
          <cell r="AI116">
            <v>19855.534315409597</v>
          </cell>
        </row>
        <row r="117">
          <cell r="A117" t="str">
            <v xml:space="preserve">[D] = Asset Turnover (Sales/Avg. Assets) </v>
          </cell>
          <cell r="O117">
            <v>2.3923582942510175</v>
          </cell>
          <cell r="P117">
            <v>2.1280026799380622</v>
          </cell>
          <cell r="Q117">
            <v>1.8868543294361939</v>
          </cell>
          <cell r="R117">
            <v>1.9020229378066553</v>
          </cell>
          <cell r="S117">
            <v>1.5633149162112363</v>
          </cell>
          <cell r="T117">
            <v>1.5960906721464136</v>
          </cell>
          <cell r="U117">
            <v>1.5191261156448761</v>
          </cell>
          <cell r="V117">
            <v>1.4440599727608192</v>
          </cell>
          <cell r="W117">
            <v>1.5367600371528445</v>
          </cell>
          <cell r="X117">
            <v>1.4663759173755617</v>
          </cell>
          <cell r="Y117">
            <v>1.4642198621628861</v>
          </cell>
          <cell r="Z117">
            <v>1.6825781850422032</v>
          </cell>
          <cell r="AA117">
            <v>1.7558210162235803</v>
          </cell>
          <cell r="AB117">
            <v>1.7805493168513165</v>
          </cell>
          <cell r="AC117">
            <v>1.784373747428011</v>
          </cell>
          <cell r="AD117">
            <v>1.7730199599846868</v>
          </cell>
          <cell r="AE117">
            <v>1.7617057587118738</v>
          </cell>
          <cell r="AF117">
            <v>1.7417934683386236</v>
          </cell>
          <cell r="AG117">
            <v>1.7293410800430429</v>
          </cell>
          <cell r="AH117">
            <v>1.713571486656664</v>
          </cell>
          <cell r="AI117">
            <v>1.703990221529843</v>
          </cell>
        </row>
        <row r="118">
          <cell r="A118" t="str">
            <v>ROA = [A*B*C*D]</v>
          </cell>
          <cell r="O118">
            <v>0.10057086063919021</v>
          </cell>
          <cell r="P118">
            <v>9.1549107548551528E-2</v>
          </cell>
          <cell r="Q118">
            <v>8.7098957207771083E-2</v>
          </cell>
          <cell r="R118">
            <v>9.2001240579569502E-2</v>
          </cell>
          <cell r="S118">
            <v>8.8787208516304519E-2</v>
          </cell>
          <cell r="T118">
            <v>9.4265911040887065E-2</v>
          </cell>
          <cell r="U118">
            <v>9.8724333821464769E-2</v>
          </cell>
          <cell r="V118">
            <v>0.10061709580962945</v>
          </cell>
          <cell r="W118">
            <v>8.681553666993061E-2</v>
          </cell>
          <cell r="X118">
            <v>8.8166892282216608E-2</v>
          </cell>
          <cell r="Y118">
            <v>9.1979404817620652E-2</v>
          </cell>
          <cell r="Z118">
            <v>0.11536695176470274</v>
          </cell>
          <cell r="AA118">
            <v>0.12084891683459614</v>
          </cell>
          <cell r="AB118">
            <v>0.12755386291973539</v>
          </cell>
          <cell r="AC118">
            <v>0.13108704665808524</v>
          </cell>
          <cell r="AD118">
            <v>0.12957324033070211</v>
          </cell>
          <cell r="AE118">
            <v>0.12782982247139829</v>
          </cell>
          <cell r="AF118">
            <v>0.12538995420079357</v>
          </cell>
          <cell r="AG118">
            <v>0.12331514012135028</v>
          </cell>
          <cell r="AH118">
            <v>0.12097124894090303</v>
          </cell>
          <cell r="AI118">
            <v>0.11904054084784892</v>
          </cell>
        </row>
        <row r="119">
          <cell r="A119" t="str">
            <v>Assets</v>
          </cell>
          <cell r="O119">
            <v>804.92499999999995</v>
          </cell>
          <cell r="P119">
            <v>1122.414</v>
          </cell>
          <cell r="Q119">
            <v>1621.7913339999998</v>
          </cell>
          <cell r="R119">
            <v>1935.6759199999997</v>
          </cell>
          <cell r="S119">
            <v>2914.946919999999</v>
          </cell>
          <cell r="T119">
            <v>3854.5429200000003</v>
          </cell>
          <cell r="U119">
            <v>4929.57492</v>
          </cell>
          <cell r="V119">
            <v>6315.7259200000008</v>
          </cell>
          <cell r="W119">
            <v>6690.7609199999997</v>
          </cell>
          <cell r="X119">
            <v>7979.3318080000008</v>
          </cell>
          <cell r="Y119">
            <v>9153.1335876039902</v>
          </cell>
          <cell r="Z119">
            <v>9171.7128922069514</v>
          </cell>
          <cell r="AA119">
            <v>10010.568474877815</v>
          </cell>
          <cell r="AB119">
            <v>11026.973149293175</v>
          </cell>
          <cell r="AC119">
            <v>12190.883005594507</v>
          </cell>
          <cell r="AD119">
            <v>13377.26250144243</v>
          </cell>
          <cell r="AE119">
            <v>14600.915258584482</v>
          </cell>
          <cell r="AF119">
            <v>15897.6751989974</v>
          </cell>
          <cell r="AG119">
            <v>17172.885385404181</v>
          </cell>
          <cell r="AH119">
            <v>18525.7702583422</v>
          </cell>
          <cell r="AI119">
            <v>19855.534315409597</v>
          </cell>
        </row>
        <row r="120">
          <cell r="A120" t="str">
            <v>Equity</v>
          </cell>
          <cell r="O120">
            <v>410.57499999999993</v>
          </cell>
          <cell r="P120">
            <v>517.471</v>
          </cell>
          <cell r="Q120">
            <v>954.78199999999993</v>
          </cell>
          <cell r="R120">
            <v>1162.779</v>
          </cell>
          <cell r="S120">
            <v>1685.5029999999999</v>
          </cell>
          <cell r="T120">
            <v>2202.6390000000001</v>
          </cell>
          <cell r="U120">
            <v>2791.4059999999999</v>
          </cell>
          <cell r="V120">
            <v>3511.9169999999999</v>
          </cell>
          <cell r="W120">
            <v>4148.509</v>
          </cell>
          <cell r="X120">
            <v>5033.8980000000001</v>
          </cell>
          <cell r="Y120">
            <v>5957.3379999999997</v>
          </cell>
          <cell r="Z120">
            <v>5231.8041871931509</v>
          </cell>
          <cell r="AA120">
            <v>5941.5705442806902</v>
          </cell>
          <cell r="AB120">
            <v>6698.1035657852353</v>
          </cell>
          <cell r="AC120">
            <v>7596.1704151428603</v>
          </cell>
          <cell r="AD120">
            <v>8529.5056642091495</v>
          </cell>
          <cell r="AE120">
            <v>9495.938069633934</v>
          </cell>
          <cell r="AF120">
            <v>10539.34683473531</v>
          </cell>
          <cell r="AG120">
            <v>11557.023602324314</v>
          </cell>
          <cell r="AH120">
            <v>12648.109168068206</v>
          </cell>
          <cell r="AI120">
            <v>13711.722711797587</v>
          </cell>
        </row>
        <row r="121">
          <cell r="A121" t="str">
            <v>Financial Leverage (Assets/Equity)</v>
          </cell>
          <cell r="O121">
            <v>1.9604822505023445</v>
          </cell>
          <cell r="P121">
            <v>2.1690374919560709</v>
          </cell>
          <cell r="Q121">
            <v>1.6985985638606509</v>
          </cell>
          <cell r="R121">
            <v>1.6646980380622627</v>
          </cell>
          <cell r="S121">
            <v>1.7294225640654446</v>
          </cell>
          <cell r="T121">
            <v>1.7499658001152254</v>
          </cell>
          <cell r="U121">
            <v>1.765982777138116</v>
          </cell>
          <cell r="V121">
            <v>1.7983699273075078</v>
          </cell>
          <cell r="W121">
            <v>1.6128109930579877</v>
          </cell>
          <cell r="X121">
            <v>1.5851198828422826</v>
          </cell>
          <cell r="Y121">
            <v>1.5364469143103834</v>
          </cell>
          <cell r="Z121">
            <v>1.7530688389787674</v>
          </cell>
          <cell r="AA121">
            <v>1.6848354151940366</v>
          </cell>
          <cell r="AB121">
            <v>1.6462828681270854</v>
          </cell>
          <cell r="AC121">
            <v>1.6048722368434694</v>
          </cell>
          <cell r="AD121">
            <v>1.5683514412300659</v>
          </cell>
          <cell r="AE121">
            <v>1.5375958806297632</v>
          </cell>
          <cell r="AF121">
            <v>1.5084118065649237</v>
          </cell>
          <cell r="AG121">
            <v>1.4859263056233978</v>
          </cell>
          <cell r="AH121">
            <v>1.4647067013868691</v>
          </cell>
          <cell r="AI121">
            <v>1.4480700005934239</v>
          </cell>
        </row>
        <row r="122">
          <cell r="A122" t="str">
            <v>ROE = (ROA * FINANCIAL LEVERAGE)</v>
          </cell>
          <cell r="O122">
            <v>0.19716738720087729</v>
          </cell>
          <cell r="P122">
            <v>0.19857344662792681</v>
          </cell>
          <cell r="Q122">
            <v>0.14794616362688026</v>
          </cell>
          <cell r="R122">
            <v>0.15315428469210357</v>
          </cell>
          <cell r="S122">
            <v>0.15355060180848065</v>
          </cell>
          <cell r="T122">
            <v>0.16496212043825659</v>
          </cell>
          <cell r="U122">
            <v>0.17434547321314078</v>
          </cell>
          <cell r="V122">
            <v>0.18094675927705586</v>
          </cell>
          <cell r="W122">
            <v>0.14001705190949293</v>
          </cell>
          <cell r="X122">
            <v>0.13975509396495533</v>
          </cell>
          <cell r="Y122">
            <v>0.14132147271213885</v>
          </cell>
          <cell r="Z122">
            <v>0.20224620818666689</v>
          </cell>
          <cell r="AA122">
            <v>0.20361053497076639</v>
          </cell>
          <cell r="AB122">
            <v>0.20998973928819106</v>
          </cell>
          <cell r="AC122">
            <v>0.2103779617913655</v>
          </cell>
          <cell r="AD122">
            <v>0.20321637821750635</v>
          </cell>
          <cell r="AE122">
            <v>0.19655060845365593</v>
          </cell>
          <cell r="AF122">
            <v>0.18913968734111208</v>
          </cell>
          <cell r="AG122">
            <v>0.18323721058794967</v>
          </cell>
          <cell r="AH122">
            <v>0.17718739899887986</v>
          </cell>
          <cell r="AI122">
            <v>0.1723790360561861</v>
          </cell>
        </row>
        <row r="124">
          <cell r="A124" t="str">
            <v>ADJUSTED TO INCLUDE LEASES</v>
          </cell>
        </row>
        <row r="125">
          <cell r="A125" t="str">
            <v>Reported EBIT</v>
          </cell>
          <cell r="O125">
            <v>149.93100000000015</v>
          </cell>
          <cell r="P125">
            <v>189.26799999999992</v>
          </cell>
          <cell r="Q125">
            <v>258.82599999999991</v>
          </cell>
          <cell r="R125">
            <v>322.7999999999995</v>
          </cell>
          <cell r="S125">
            <v>448.94299999999959</v>
          </cell>
          <cell r="T125">
            <v>634.93300000000102</v>
          </cell>
          <cell r="U125">
            <v>840.96800000000042</v>
          </cell>
          <cell r="V125">
            <v>1077.6660000000002</v>
          </cell>
          <cell r="W125">
            <v>1006.8019999999988</v>
          </cell>
          <cell r="X125">
            <v>1193.4550000000011</v>
          </cell>
          <cell r="Y125">
            <v>1413.6999999999985</v>
          </cell>
          <cell r="Z125">
            <v>1725.2856217929707</v>
          </cell>
          <cell r="AA125">
            <v>1974.8756841554095</v>
          </cell>
          <cell r="AB125">
            <v>2285.1173521012452</v>
          </cell>
          <cell r="AC125">
            <v>2589.6116377844542</v>
          </cell>
          <cell r="AD125">
            <v>2804.3298482756736</v>
          </cell>
          <cell r="AE125">
            <v>3017.6957745184318</v>
          </cell>
          <cell r="AF125">
            <v>3221.2211916262959</v>
          </cell>
          <cell r="AG125">
            <v>3420.3923367261818</v>
          </cell>
          <cell r="AH125">
            <v>3618.1821243779286</v>
          </cell>
          <cell r="AI125">
            <v>3814.5629274325765</v>
          </cell>
        </row>
        <row r="126">
          <cell r="A126" t="str">
            <v>Lease Adjustments</v>
          </cell>
          <cell r="O126">
            <v>0</v>
          </cell>
          <cell r="P126">
            <v>13.630208460465646</v>
          </cell>
          <cell r="Q126">
            <v>26.63888992756894</v>
          </cell>
          <cell r="R126">
            <v>33.762603400521755</v>
          </cell>
          <cell r="S126">
            <v>46.618911901394426</v>
          </cell>
          <cell r="T126">
            <v>67.146094627130594</v>
          </cell>
          <cell r="U126">
            <v>68.584068072129696</v>
          </cell>
          <cell r="V126">
            <v>84.350042167620217</v>
          </cell>
          <cell r="W126">
            <v>117.2707215405328</v>
          </cell>
          <cell r="X126">
            <v>106.08264279480272</v>
          </cell>
          <cell r="Y126">
            <v>118.93851869301426</v>
          </cell>
          <cell r="Z126">
            <v>150.53762914129152</v>
          </cell>
          <cell r="AA126">
            <v>187.76135318005822</v>
          </cell>
          <cell r="AB126">
            <v>231.72387347886934</v>
          </cell>
          <cell r="AC126">
            <v>232.55750585431969</v>
          </cell>
          <cell r="AD126">
            <v>233.47309951671605</v>
          </cell>
          <cell r="AE126">
            <v>225.60861147826472</v>
          </cell>
          <cell r="AF126">
            <v>219.61469945442747</v>
          </cell>
          <cell r="AG126">
            <v>216.64151222293077</v>
          </cell>
          <cell r="AH126">
            <v>201.18096037393377</v>
          </cell>
          <cell r="AI126">
            <v>202.16366021592921</v>
          </cell>
        </row>
        <row r="127">
          <cell r="A127" t="str">
            <v>Adjusted EBIT</v>
          </cell>
          <cell r="O127">
            <v>149.93100000000015</v>
          </cell>
          <cell r="P127">
            <v>202.89820846046555</v>
          </cell>
          <cell r="Q127">
            <v>285.46488992756883</v>
          </cell>
          <cell r="R127">
            <v>356.56260340052125</v>
          </cell>
          <cell r="S127">
            <v>495.56191190139401</v>
          </cell>
          <cell r="T127">
            <v>702.07909462713155</v>
          </cell>
          <cell r="U127">
            <v>909.55206807213017</v>
          </cell>
          <cell r="V127">
            <v>1162.0160421676203</v>
          </cell>
          <cell r="W127">
            <v>1124.0727215405316</v>
          </cell>
          <cell r="X127">
            <v>1299.5376427948038</v>
          </cell>
          <cell r="Y127">
            <v>1532.6385186930127</v>
          </cell>
          <cell r="Z127">
            <v>1875.8232509342622</v>
          </cell>
          <cell r="AA127">
            <v>2162.6370373354675</v>
          </cell>
          <cell r="AB127">
            <v>2516.8412255801145</v>
          </cell>
          <cell r="AC127">
            <v>2822.1691436387737</v>
          </cell>
          <cell r="AD127">
            <v>3037.8029477923897</v>
          </cell>
          <cell r="AE127">
            <v>3243.3043859966965</v>
          </cell>
          <cell r="AF127">
            <v>3440.8358910807233</v>
          </cell>
          <cell r="AG127">
            <v>3637.0338489491128</v>
          </cell>
          <cell r="AH127">
            <v>3819.3630847518625</v>
          </cell>
          <cell r="AI127">
            <v>4016.7265876485058</v>
          </cell>
        </row>
        <row r="128">
          <cell r="A128" t="str">
            <v>Financial Income</v>
          </cell>
          <cell r="O128">
            <v>-27.201999999999998</v>
          </cell>
          <cell r="P128">
            <v>-17.622000000000014</v>
          </cell>
          <cell r="Q128">
            <v>-23.771999999999991</v>
          </cell>
          <cell r="R128">
            <v>-21.115999999999985</v>
          </cell>
          <cell r="S128">
            <v>-27.163000000000011</v>
          </cell>
          <cell r="T128">
            <v>-38.612999999999943</v>
          </cell>
          <cell r="U128">
            <v>-50.11099999999999</v>
          </cell>
          <cell r="V128">
            <v>-56.009000000000015</v>
          </cell>
          <cell r="W128">
            <v>-72.966000000000008</v>
          </cell>
          <cell r="X128">
            <v>-62.471000000000004</v>
          </cell>
          <cell r="Y128">
            <v>-60.022186495176811</v>
          </cell>
          <cell r="Z128">
            <v>-32.577065393690873</v>
          </cell>
          <cell r="AA128">
            <v>-29.913695268690844</v>
          </cell>
          <cell r="AB128">
            <v>-23.810243573038406</v>
          </cell>
          <cell r="AC128">
            <v>-20.372330135538505</v>
          </cell>
          <cell r="AD128">
            <v>-17.617229198038331</v>
          </cell>
          <cell r="AE128">
            <v>-17.000588948038512</v>
          </cell>
          <cell r="AF128">
            <v>-16.383948698038694</v>
          </cell>
          <cell r="AG128">
            <v>-15.76730844803842</v>
          </cell>
          <cell r="AH128">
            <v>-15.150668198038602</v>
          </cell>
          <cell r="AI128">
            <v>-14.541152948038416</v>
          </cell>
        </row>
        <row r="129">
          <cell r="A129" t="str">
            <v>Lease Interest Expense</v>
          </cell>
          <cell r="O129">
            <v>0</v>
          </cell>
          <cell r="P129">
            <v>-38.694905808411242</v>
          </cell>
          <cell r="Q129">
            <v>-55.460793501673315</v>
          </cell>
          <cell r="R129">
            <v>-71.173031999457947</v>
          </cell>
          <cell r="S129">
            <v>-96.81699998391386</v>
          </cell>
          <cell r="T129">
            <v>-111.73626038241318</v>
          </cell>
          <cell r="U129">
            <v>-129.66069647880414</v>
          </cell>
          <cell r="V129">
            <v>-160.82247126698647</v>
          </cell>
          <cell r="W129">
            <v>-186.95689049973771</v>
          </cell>
          <cell r="X129">
            <v>-243.55343382086784</v>
          </cell>
          <cell r="Y129">
            <v>-262.20975843270691</v>
          </cell>
          <cell r="Z129">
            <v>-311.9095126107357</v>
          </cell>
          <cell r="AA129">
            <v>-371.03424244062285</v>
          </cell>
          <cell r="AB129">
            <v>-441.36093025689058</v>
          </cell>
          <cell r="AC129">
            <v>-433.39854413539001</v>
          </cell>
          <cell r="AD129">
            <v>-429.72970851298896</v>
          </cell>
          <cell r="AE129">
            <v>-420.93851032168237</v>
          </cell>
          <cell r="AF129">
            <v>-412.13018583940453</v>
          </cell>
          <cell r="AG129">
            <v>-403.18502443296831</v>
          </cell>
          <cell r="AH129">
            <v>-393.9065267838962</v>
          </cell>
          <cell r="AI129">
            <v>-385.0314153107326</v>
          </cell>
        </row>
        <row r="130">
          <cell r="A130" t="str">
            <v>EBT</v>
          </cell>
          <cell r="O130">
            <v>122.72900000000016</v>
          </cell>
          <cell r="P130">
            <v>146.58130265205429</v>
          </cell>
          <cell r="Q130">
            <v>206.23209642589552</v>
          </cell>
          <cell r="R130">
            <v>264.27357140106335</v>
          </cell>
          <cell r="S130">
            <v>371.58191191748017</v>
          </cell>
          <cell r="T130">
            <v>551.7298342447184</v>
          </cell>
          <cell r="U130">
            <v>729.78037159332598</v>
          </cell>
          <cell r="V130">
            <v>945.18457090063384</v>
          </cell>
          <cell r="W130">
            <v>864.14983104079374</v>
          </cell>
          <cell r="X130">
            <v>993.51320897393589</v>
          </cell>
          <cell r="Y130">
            <v>1210.406573765129</v>
          </cell>
          <cell r="Z130">
            <v>1531.3366729298357</v>
          </cell>
          <cell r="AA130">
            <v>1761.6890996261538</v>
          </cell>
          <cell r="AB130">
            <v>2051.6700517501854</v>
          </cell>
          <cell r="AC130">
            <v>2368.3982693678454</v>
          </cell>
          <cell r="AD130">
            <v>2590.4560100813624</v>
          </cell>
          <cell r="AE130">
            <v>2805.3652867269757</v>
          </cell>
          <cell r="AF130">
            <v>3012.3217565432801</v>
          </cell>
          <cell r="AG130">
            <v>3218.0815160681059</v>
          </cell>
          <cell r="AH130">
            <v>3410.3058897699275</v>
          </cell>
          <cell r="AI130">
            <v>3617.1540193897349</v>
          </cell>
        </row>
        <row r="131">
          <cell r="A131" t="str">
            <v>Adjusted Taxes</v>
          </cell>
          <cell r="O131">
            <v>50.076999999999998</v>
          </cell>
          <cell r="P131">
            <v>58.830301549118687</v>
          </cell>
          <cell r="Q131">
            <v>82.296362959302726</v>
          </cell>
          <cell r="R131">
            <v>108.27242598499967</v>
          </cell>
          <cell r="S131">
            <v>143.57414809898953</v>
          </cell>
          <cell r="T131">
            <v>215.54768584706758</v>
          </cell>
          <cell r="U131">
            <v>280.69604451149894</v>
          </cell>
          <cell r="V131">
            <v>357.28037284764167</v>
          </cell>
          <cell r="W131">
            <v>326.63382270740635</v>
          </cell>
          <cell r="X131">
            <v>375.51211708280266</v>
          </cell>
          <cell r="Y131">
            <v>457.61221049956703</v>
          </cell>
          <cell r="Z131">
            <v>574.09772042030022</v>
          </cell>
          <cell r="AA131">
            <v>665.91847965868612</v>
          </cell>
          <cell r="AB131">
            <v>775.53127956157005</v>
          </cell>
          <cell r="AC131">
            <v>895.25454582104555</v>
          </cell>
          <cell r="AD131">
            <v>979.19237181075493</v>
          </cell>
          <cell r="AE131">
            <v>1060.4280783827969</v>
          </cell>
          <cell r="AF131">
            <v>1138.6576239733599</v>
          </cell>
          <cell r="AG131">
            <v>1216.434813073744</v>
          </cell>
          <cell r="AH131">
            <v>1289.0956263330327</v>
          </cell>
          <cell r="AI131">
            <v>1367.2842193293197</v>
          </cell>
        </row>
        <row r="132">
          <cell r="A132" t="str">
            <v>Adjusted Net Income</v>
          </cell>
          <cell r="O132">
            <v>72.652000000000157</v>
          </cell>
          <cell r="P132">
            <v>87.751001102935604</v>
          </cell>
          <cell r="Q132">
            <v>123.93573346659279</v>
          </cell>
          <cell r="R132">
            <v>156.00114541606368</v>
          </cell>
          <cell r="S132">
            <v>228.00776381849064</v>
          </cell>
          <cell r="T132">
            <v>336.18214839765085</v>
          </cell>
          <cell r="U132">
            <v>449.08432708182704</v>
          </cell>
          <cell r="V132">
            <v>587.90419805299211</v>
          </cell>
          <cell r="W132">
            <v>537.51600833338739</v>
          </cell>
          <cell r="X132">
            <v>618.00109189113323</v>
          </cell>
          <cell r="Y132">
            <v>752.79436326556197</v>
          </cell>
          <cell r="Z132">
            <v>957.23895250953547</v>
          </cell>
          <cell r="AA132">
            <v>1095.7706199674676</v>
          </cell>
          <cell r="AB132">
            <v>1276.1387721886153</v>
          </cell>
          <cell r="AC132">
            <v>1473.1437235467997</v>
          </cell>
          <cell r="AD132">
            <v>1611.2636382706073</v>
          </cell>
          <cell r="AE132">
            <v>1744.9372083441788</v>
          </cell>
          <cell r="AF132">
            <v>1873.6641325699202</v>
          </cell>
          <cell r="AG132">
            <v>2001.6467029943619</v>
          </cell>
          <cell r="AH132">
            <v>2121.2102634368948</v>
          </cell>
          <cell r="AI132">
            <v>2249.8698000604154</v>
          </cell>
        </row>
        <row r="133">
          <cell r="A133" t="str">
            <v xml:space="preserve">[A] = Tax Burden (NI/EBT) </v>
          </cell>
          <cell r="O133">
            <v>0.59197092781657201</v>
          </cell>
          <cell r="P133">
            <v>0.5986507113477737</v>
          </cell>
          <cell r="Q133">
            <v>0.60095269172190213</v>
          </cell>
          <cell r="R133">
            <v>0.59030172630964783</v>
          </cell>
          <cell r="S133">
            <v>0.61361373227749028</v>
          </cell>
          <cell r="T133">
            <v>0.60932385296485181</v>
          </cell>
          <cell r="U133">
            <v>0.61536915017506344</v>
          </cell>
          <cell r="V133">
            <v>0.62199935986343746</v>
          </cell>
          <cell r="W133">
            <v>0.6220171421962738</v>
          </cell>
          <cell r="X133">
            <v>0.62203611014833127</v>
          </cell>
          <cell r="Y133">
            <v>0.62193512459528044</v>
          </cell>
          <cell r="Z133">
            <v>0.62510026007415753</v>
          </cell>
          <cell r="AA133">
            <v>0.622</v>
          </cell>
          <cell r="AB133">
            <v>0.622</v>
          </cell>
          <cell r="AC133">
            <v>0.622</v>
          </cell>
          <cell r="AD133">
            <v>0.622</v>
          </cell>
          <cell r="AE133">
            <v>0.622</v>
          </cell>
          <cell r="AF133">
            <v>0.622</v>
          </cell>
          <cell r="AG133">
            <v>0.622</v>
          </cell>
          <cell r="AH133">
            <v>0.622</v>
          </cell>
          <cell r="AI133">
            <v>0.62200000000000011</v>
          </cell>
        </row>
        <row r="134">
          <cell r="A134" t="str">
            <v>Pre-tax Income</v>
          </cell>
          <cell r="O134">
            <v>122.72900000000016</v>
          </cell>
          <cell r="P134">
            <v>146.58130265205429</v>
          </cell>
          <cell r="Q134">
            <v>206.23209642589552</v>
          </cell>
          <cell r="R134">
            <v>264.27357140106335</v>
          </cell>
          <cell r="S134">
            <v>371.58191191748017</v>
          </cell>
          <cell r="T134">
            <v>551.7298342447184</v>
          </cell>
          <cell r="U134">
            <v>729.78037159332598</v>
          </cell>
          <cell r="V134">
            <v>945.18457090063384</v>
          </cell>
          <cell r="W134">
            <v>864.14983104079374</v>
          </cell>
          <cell r="X134">
            <v>993.51320897393589</v>
          </cell>
          <cell r="Y134">
            <v>1210.406573765129</v>
          </cell>
          <cell r="Z134">
            <v>1531.3366729298357</v>
          </cell>
          <cell r="AA134">
            <v>1761.6890996261538</v>
          </cell>
          <cell r="AB134">
            <v>2051.6700517501854</v>
          </cell>
          <cell r="AC134">
            <v>2368.3982693678454</v>
          </cell>
          <cell r="AD134">
            <v>2590.4560100813624</v>
          </cell>
          <cell r="AE134">
            <v>2805.3652867269757</v>
          </cell>
          <cell r="AF134">
            <v>3012.3217565432801</v>
          </cell>
          <cell r="AG134">
            <v>3218.0815160681059</v>
          </cell>
          <cell r="AH134">
            <v>3410.3058897699275</v>
          </cell>
          <cell r="AI134">
            <v>3617.1540193897349</v>
          </cell>
        </row>
        <row r="135">
          <cell r="A135" t="str">
            <v>Operating Income</v>
          </cell>
          <cell r="O135">
            <v>149.93100000000015</v>
          </cell>
          <cell r="P135">
            <v>202.89820846046555</v>
          </cell>
          <cell r="Q135">
            <v>285.46488992756883</v>
          </cell>
          <cell r="R135">
            <v>356.56260340052125</v>
          </cell>
          <cell r="S135">
            <v>495.56191190139401</v>
          </cell>
          <cell r="T135">
            <v>702.07909462713155</v>
          </cell>
          <cell r="U135">
            <v>909.55206807213017</v>
          </cell>
          <cell r="V135">
            <v>1162.0160421676203</v>
          </cell>
          <cell r="W135">
            <v>1124.0727215405316</v>
          </cell>
          <cell r="X135">
            <v>1299.5376427948038</v>
          </cell>
          <cell r="Y135">
            <v>1532.6385186930127</v>
          </cell>
          <cell r="Z135">
            <v>1875.8232509342622</v>
          </cell>
          <cell r="AA135">
            <v>2162.6370373354675</v>
          </cell>
          <cell r="AB135">
            <v>2516.8412255801145</v>
          </cell>
          <cell r="AC135">
            <v>2822.1691436387737</v>
          </cell>
          <cell r="AD135">
            <v>3037.8029477923897</v>
          </cell>
          <cell r="AE135">
            <v>3243.3043859966965</v>
          </cell>
          <cell r="AF135">
            <v>3440.8358910807233</v>
          </cell>
          <cell r="AG135">
            <v>3637.0338489491128</v>
          </cell>
          <cell r="AH135">
            <v>3819.3630847518625</v>
          </cell>
          <cell r="AI135">
            <v>4016.7265876485058</v>
          </cell>
        </row>
        <row r="136">
          <cell r="A136" t="str">
            <v xml:space="preserve">[B] = Interest Burden (EBT/EBIT) </v>
          </cell>
          <cell r="O136">
            <v>0.81856987547605253</v>
          </cell>
          <cell r="P136">
            <v>0.72243763887454659</v>
          </cell>
          <cell r="Q136">
            <v>0.7224429472858217</v>
          </cell>
          <cell r="R136">
            <v>0.74117018689200265</v>
          </cell>
          <cell r="S136">
            <v>0.74981935252404319</v>
          </cell>
          <cell r="T136">
            <v>0.78585139262370085</v>
          </cell>
          <cell r="U136">
            <v>0.80235139604503902</v>
          </cell>
          <cell r="V136">
            <v>0.81340062150733317</v>
          </cell>
          <cell r="W136">
            <v>0.76876683730611672</v>
          </cell>
          <cell r="X136">
            <v>0.76451283614784138</v>
          </cell>
          <cell r="Y136">
            <v>0.7897534604554548</v>
          </cell>
          <cell r="Z136">
            <v>0.81635445779187699</v>
          </cell>
          <cell r="AA136">
            <v>0.81460229766373005</v>
          </cell>
          <cell r="AB136">
            <v>0.81517659155368039</v>
          </cell>
          <cell r="AC136">
            <v>0.8392120205503143</v>
          </cell>
          <cell r="AD136">
            <v>0.85273997510729915</v>
          </cell>
          <cell r="AE136">
            <v>0.86497132333290438</v>
          </cell>
          <cell r="AF136">
            <v>0.87546219927308067</v>
          </cell>
          <cell r="AG136">
            <v>0.88480933907116122</v>
          </cell>
          <cell r="AH136">
            <v>0.89289910754622304</v>
          </cell>
          <cell r="AI136">
            <v>0.90052283630968</v>
          </cell>
        </row>
        <row r="137">
          <cell r="A137" t="str">
            <v>EBIT</v>
          </cell>
          <cell r="O137">
            <v>149.93100000000015</v>
          </cell>
          <cell r="P137">
            <v>202.89820846046555</v>
          </cell>
          <cell r="Q137">
            <v>285.46488992756883</v>
          </cell>
          <cell r="R137">
            <v>356.56260340052125</v>
          </cell>
          <cell r="S137">
            <v>495.56191190139401</v>
          </cell>
          <cell r="T137">
            <v>702.07909462713155</v>
          </cell>
          <cell r="U137">
            <v>909.55206807213017</v>
          </cell>
          <cell r="V137">
            <v>1162.0160421676203</v>
          </cell>
          <cell r="W137">
            <v>1124.0727215405316</v>
          </cell>
          <cell r="X137">
            <v>1299.5376427948038</v>
          </cell>
          <cell r="Y137">
            <v>1532.6385186930127</v>
          </cell>
          <cell r="Z137">
            <v>1875.8232509342622</v>
          </cell>
          <cell r="AA137">
            <v>2162.6370373354675</v>
          </cell>
          <cell r="AB137">
            <v>2516.8412255801145</v>
          </cell>
          <cell r="AC137">
            <v>2822.1691436387737</v>
          </cell>
          <cell r="AD137">
            <v>3037.8029477923897</v>
          </cell>
          <cell r="AE137">
            <v>3243.3043859966965</v>
          </cell>
          <cell r="AF137">
            <v>3440.8358910807233</v>
          </cell>
          <cell r="AG137">
            <v>3637.0338489491128</v>
          </cell>
          <cell r="AH137">
            <v>3819.3630847518625</v>
          </cell>
          <cell r="AI137">
            <v>4016.7265876485058</v>
          </cell>
        </row>
        <row r="138">
          <cell r="A138" t="str">
            <v>Sales</v>
          </cell>
          <cell r="O138">
            <v>1925.6690000000001</v>
          </cell>
          <cell r="P138">
            <v>2388.5</v>
          </cell>
          <cell r="Q138">
            <v>3060.0839999999998</v>
          </cell>
          <cell r="R138">
            <v>3681.7</v>
          </cell>
          <cell r="S138">
            <v>4556.9799999999996</v>
          </cell>
          <cell r="T138">
            <v>6152.2000000000007</v>
          </cell>
          <cell r="U138">
            <v>7488.6460000000006</v>
          </cell>
          <cell r="V138">
            <v>9120.2870000000003</v>
          </cell>
          <cell r="W138">
            <v>10282.093999999999</v>
          </cell>
          <cell r="X138">
            <v>11700.7</v>
          </cell>
          <cell r="Y138">
            <v>13402.199999999999</v>
          </cell>
          <cell r="Z138">
            <v>15432.124031897749</v>
          </cell>
          <cell r="AA138">
            <v>17576.766512535702</v>
          </cell>
          <cell r="AB138">
            <v>19634.069507911772</v>
          </cell>
          <cell r="AC138">
            <v>21753.091593149125</v>
          </cell>
          <cell r="AD138">
            <v>23718.153425012108</v>
          </cell>
          <cell r="AE138">
            <v>25722.51649351235</v>
          </cell>
          <cell r="AF138">
            <v>27690.466823382598</v>
          </cell>
          <cell r="AG138">
            <v>29697.776159850251</v>
          </cell>
          <cell r="AH138">
            <v>31745.231683047256</v>
          </cell>
          <cell r="AI138">
            <v>33833.636316708202</v>
          </cell>
        </row>
        <row r="139">
          <cell r="A139" t="str">
            <v xml:space="preserve">[C] = Operating Margin (EBIT/Sales) </v>
          </cell>
          <cell r="O139">
            <v>7.7859175174965239E-2</v>
          </cell>
          <cell r="P139">
            <v>8.4947962512231759E-2</v>
          </cell>
          <cell r="Q139">
            <v>9.3286618905745355E-2</v>
          </cell>
          <cell r="R139">
            <v>9.6847272564446113E-2</v>
          </cell>
          <cell r="S139">
            <v>0.10874787949505903</v>
          </cell>
          <cell r="T139">
            <v>0.11411837954343673</v>
          </cell>
          <cell r="U139">
            <v>0.12145747950592538</v>
          </cell>
          <cell r="V139">
            <v>0.1274100302071218</v>
          </cell>
          <cell r="W139">
            <v>0.10932332670179165</v>
          </cell>
          <cell r="X139">
            <v>0.11106494848981717</v>
          </cell>
          <cell r="Y139">
            <v>0.11435723378945344</v>
          </cell>
          <cell r="Z139">
            <v>0.12155314764558595</v>
          </cell>
          <cell r="AA139">
            <v>0.12303952696834658</v>
          </cell>
          <cell r="AB139">
            <v>0.12818744603944304</v>
          </cell>
          <cell r="AC139">
            <v>0.12973646212787437</v>
          </cell>
          <cell r="AD139">
            <v>0.12807923506342017</v>
          </cell>
          <cell r="AE139">
            <v>0.12608814486773531</v>
          </cell>
          <cell r="AF139">
            <v>0.12426066750796654</v>
          </cell>
          <cell r="AG139">
            <v>0.12246822217840611</v>
          </cell>
          <cell r="AH139">
            <v>0.12031296929521222</v>
          </cell>
          <cell r="AI139">
            <v>0.11871991972866687</v>
          </cell>
        </row>
        <row r="140">
          <cell r="A140" t="str">
            <v>Sales</v>
          </cell>
          <cell r="O140">
            <v>1925.6690000000001</v>
          </cell>
          <cell r="P140">
            <v>2388.5</v>
          </cell>
          <cell r="Q140">
            <v>3060.0839999999998</v>
          </cell>
          <cell r="R140">
            <v>3681.7</v>
          </cell>
          <cell r="S140">
            <v>4556.9799999999996</v>
          </cell>
          <cell r="T140">
            <v>6152.2000000000007</v>
          </cell>
          <cell r="U140">
            <v>7488.6460000000006</v>
          </cell>
          <cell r="V140">
            <v>9120.2870000000003</v>
          </cell>
          <cell r="W140">
            <v>10282.093999999999</v>
          </cell>
          <cell r="X140">
            <v>11700.7</v>
          </cell>
          <cell r="Y140">
            <v>13402.199999999999</v>
          </cell>
          <cell r="Z140">
            <v>15432.124031897749</v>
          </cell>
          <cell r="AA140">
            <v>17576.766512535702</v>
          </cell>
          <cell r="AB140">
            <v>19634.069507911772</v>
          </cell>
          <cell r="AC140">
            <v>21753.091593149125</v>
          </cell>
          <cell r="AD140">
            <v>23718.153425012108</v>
          </cell>
          <cell r="AE140">
            <v>25722.51649351235</v>
          </cell>
          <cell r="AF140">
            <v>27690.466823382598</v>
          </cell>
          <cell r="AG140">
            <v>29697.776159850251</v>
          </cell>
          <cell r="AH140">
            <v>31745.231683047256</v>
          </cell>
          <cell r="AI140">
            <v>33833.636316708202</v>
          </cell>
        </row>
        <row r="141">
          <cell r="A141" t="str">
            <v>Reported Assets</v>
          </cell>
          <cell r="O141">
            <v>804.92499999999995</v>
          </cell>
          <cell r="P141">
            <v>1122.414</v>
          </cell>
          <cell r="Q141">
            <v>1621.7913339999998</v>
          </cell>
          <cell r="R141">
            <v>1935.6759199999997</v>
          </cell>
          <cell r="S141">
            <v>2914.946919999999</v>
          </cell>
          <cell r="T141">
            <v>3854.5429200000003</v>
          </cell>
          <cell r="U141">
            <v>4929.57492</v>
          </cell>
          <cell r="V141">
            <v>6315.7259200000008</v>
          </cell>
          <cell r="W141">
            <v>6690.7609199999997</v>
          </cell>
          <cell r="X141">
            <v>7979.3318080000008</v>
          </cell>
          <cell r="Y141">
            <v>9153.1335876039902</v>
          </cell>
          <cell r="Z141">
            <v>9171.7128922069514</v>
          </cell>
          <cell r="AA141">
            <v>10010.568474877815</v>
          </cell>
          <cell r="AB141">
            <v>11026.973149293175</v>
          </cell>
          <cell r="AC141">
            <v>12190.883005594507</v>
          </cell>
          <cell r="AD141">
            <v>13377.26250144243</v>
          </cell>
          <cell r="AE141">
            <v>14600.915258584482</v>
          </cell>
          <cell r="AF141">
            <v>15897.6751989974</v>
          </cell>
          <cell r="AG141">
            <v>17172.885385404181</v>
          </cell>
          <cell r="AH141">
            <v>18525.7702583422</v>
          </cell>
          <cell r="AI141">
            <v>19855.534315409597</v>
          </cell>
        </row>
        <row r="142">
          <cell r="A142" t="str">
            <v>Lease Adjustments</v>
          </cell>
          <cell r="O142">
            <v>274.52370541508816</v>
          </cell>
          <cell r="P142">
            <v>448.12111595883397</v>
          </cell>
          <cell r="Q142">
            <v>634.73225198922592</v>
          </cell>
          <cell r="R142">
            <v>828.76675632219349</v>
          </cell>
          <cell r="S142">
            <v>1244.0991681506562</v>
          </cell>
          <cell r="T142">
            <v>1447.74849106242</v>
          </cell>
          <cell r="U142">
            <v>1794.8500397443527</v>
          </cell>
          <cell r="V142">
            <v>2266.2355130346646</v>
          </cell>
          <cell r="W142">
            <v>2532.2944327544283</v>
          </cell>
          <cell r="X142">
            <v>3427.7737850969011</v>
          </cell>
          <cell r="Y142">
            <v>3583.2299507508033</v>
          </cell>
          <cell r="Z142">
            <v>4221.0210381135457</v>
          </cell>
          <cell r="AA142">
            <v>4988.6140065771306</v>
          </cell>
          <cell r="AB142">
            <v>5910.3375022433956</v>
          </cell>
          <cell r="AC142">
            <v>5569.0309622377154</v>
          </cell>
          <cell r="AD142">
            <v>5228.458018722431</v>
          </cell>
          <cell r="AE142">
            <v>4888.5306401186954</v>
          </cell>
          <cell r="AF142">
            <v>4549.1713586371234</v>
          </cell>
          <cell r="AG142">
            <v>4210.3120026230545</v>
          </cell>
          <cell r="AH142">
            <v>3871.8925810203882</v>
          </cell>
          <cell r="AI142">
            <v>3533.8603016997567</v>
          </cell>
        </row>
        <row r="143">
          <cell r="A143" t="str">
            <v>Adjusted Assets</v>
          </cell>
          <cell r="O143">
            <v>539.72435270754409</v>
          </cell>
          <cell r="P143">
            <v>1324.9919106869611</v>
          </cell>
          <cell r="Q143">
            <v>1913.5293509740297</v>
          </cell>
          <cell r="R143">
            <v>2510.4831311557091</v>
          </cell>
          <cell r="S143">
            <v>3461.7443822364239</v>
          </cell>
          <cell r="T143">
            <v>4730.6687496065379</v>
          </cell>
          <cell r="U143">
            <v>6013.3581854033864</v>
          </cell>
          <cell r="V143">
            <v>7653.1931963895086</v>
          </cell>
          <cell r="W143">
            <v>8902.508392894546</v>
          </cell>
          <cell r="X143">
            <v>10315.080472925665</v>
          </cell>
          <cell r="Y143">
            <v>12071.734565725848</v>
          </cell>
          <cell r="Z143">
            <v>13064.548734337644</v>
          </cell>
          <cell r="AA143">
            <v>14195.95820588772</v>
          </cell>
          <cell r="AB143">
            <v>15968.24656649576</v>
          </cell>
          <cell r="AC143">
            <v>17348.612309684398</v>
          </cell>
          <cell r="AD143">
            <v>18182.817243998543</v>
          </cell>
          <cell r="AE143">
            <v>19047.583209434018</v>
          </cell>
          <cell r="AF143">
            <v>19968.146228168851</v>
          </cell>
          <cell r="AG143">
            <v>20915.02197283088</v>
          </cell>
          <cell r="AH143">
            <v>21890.430113694911</v>
          </cell>
          <cell r="AI143">
            <v>22893.528728235971</v>
          </cell>
        </row>
        <row r="144">
          <cell r="A144" t="str">
            <v xml:space="preserve">[D] = Asset Turnover (Sales/Avg. Assets) </v>
          </cell>
          <cell r="O144">
            <v>3.5678749538348997</v>
          </cell>
          <cell r="P144">
            <v>1.8026525148833912</v>
          </cell>
          <cell r="Q144">
            <v>1.5991832048159322</v>
          </cell>
          <cell r="R144">
            <v>1.4665304675061159</v>
          </cell>
          <cell r="S144">
            <v>1.3163825796565631</v>
          </cell>
          <cell r="T144">
            <v>1.3004926630112699</v>
          </cell>
          <cell r="U144">
            <v>1.2453350971471608</v>
          </cell>
          <cell r="V144">
            <v>1.1916969513199551</v>
          </cell>
          <cell r="W144">
            <v>1.154965942880386</v>
          </cell>
          <cell r="X144">
            <v>1.1343294926986967</v>
          </cell>
          <cell r="Y144">
            <v>1.1102132777216307</v>
          </cell>
          <cell r="Z144">
            <v>1.1812213606228426</v>
          </cell>
          <cell r="AA144">
            <v>1.2381528782781146</v>
          </cell>
          <cell r="AB144">
            <v>1.2295695351490605</v>
          </cell>
          <cell r="AC144">
            <v>1.2538807833642143</v>
          </cell>
          <cell r="AD144">
            <v>1.3044267621861827</v>
          </cell>
          <cell r="AE144">
            <v>1.350434656758571</v>
          </cell>
          <cell r="AF144">
            <v>1.3867319733626526</v>
          </cell>
          <cell r="AG144">
            <v>1.4199256495368917</v>
          </cell>
          <cell r="AH144">
            <v>1.4501876627443271</v>
          </cell>
          <cell r="AI144">
            <v>1.4778689960093017</v>
          </cell>
        </row>
        <row r="145">
          <cell r="A145" t="str">
            <v>ROA = [A*B*C*D]</v>
          </cell>
          <cell r="O145">
            <v>0.13460945320613962</v>
          </cell>
          <cell r="P145">
            <v>6.622757497246895E-2</v>
          </cell>
          <cell r="Q145">
            <v>6.476813820676787E-2</v>
          </cell>
          <cell r="R145">
            <v>6.2139889920012348E-2</v>
          </cell>
          <cell r="S145">
            <v>6.5864991357677483E-2</v>
          </cell>
          <cell r="T145">
            <v>7.1064402559492673E-2</v>
          </cell>
          <cell r="U145">
            <v>7.4681120471406223E-2</v>
          </cell>
          <cell r="V145">
            <v>7.6818157201407555E-2</v>
          </cell>
          <cell r="W145">
            <v>6.0378040054688491E-2</v>
          </cell>
          <cell r="X145">
            <v>5.9912386870196635E-2</v>
          </cell>
          <cell r="Y145">
            <v>6.2360082485817821E-2</v>
          </cell>
          <cell r="Z145">
            <v>7.3269959183023092E-2</v>
          </cell>
          <cell r="AA145">
            <v>7.7188915610712394E-2</v>
          </cell>
          <cell r="AB145">
            <v>7.9917276256629394E-2</v>
          </cell>
          <cell r="AC145">
            <v>8.4914210845812549E-2</v>
          </cell>
          <cell r="AD145">
            <v>8.8614630870935282E-2</v>
          </cell>
          <cell r="AE145">
            <v>9.1609375801541798E-2</v>
          </cell>
          <cell r="AF145">
            <v>9.3832652824164628E-2</v>
          </cell>
          <cell r="AG145">
            <v>9.5703781979983069E-2</v>
          </cell>
          <cell r="AH145">
            <v>9.690126015887833E-2</v>
          </cell>
          <cell r="AI145">
            <v>9.827536098816933E-2</v>
          </cell>
        </row>
        <row r="146">
          <cell r="A146" t="str">
            <v>Assets</v>
          </cell>
          <cell r="O146">
            <v>539.72435270754409</v>
          </cell>
          <cell r="P146">
            <v>1324.9919106869611</v>
          </cell>
          <cell r="Q146">
            <v>1913.5293509740297</v>
          </cell>
          <cell r="R146">
            <v>2510.4831311557091</v>
          </cell>
          <cell r="S146">
            <v>3461.7443822364239</v>
          </cell>
          <cell r="T146">
            <v>4730.6687496065379</v>
          </cell>
          <cell r="U146">
            <v>6013.3581854033864</v>
          </cell>
          <cell r="V146">
            <v>7653.1931963895086</v>
          </cell>
          <cell r="W146">
            <v>8902.508392894546</v>
          </cell>
          <cell r="X146">
            <v>10315.080472925665</v>
          </cell>
          <cell r="Y146">
            <v>12071.734565725848</v>
          </cell>
          <cell r="Z146">
            <v>13064.548734337644</v>
          </cell>
          <cell r="AA146">
            <v>14195.95820588772</v>
          </cell>
          <cell r="AB146">
            <v>15968.24656649576</v>
          </cell>
          <cell r="AC146">
            <v>17348.612309684398</v>
          </cell>
          <cell r="AD146">
            <v>18182.817243998543</v>
          </cell>
          <cell r="AE146">
            <v>19047.583209434018</v>
          </cell>
          <cell r="AF146">
            <v>19968.146228168851</v>
          </cell>
          <cell r="AG146">
            <v>20915.02197283088</v>
          </cell>
          <cell r="AH146">
            <v>21890.430113694911</v>
          </cell>
          <cell r="AI146">
            <v>22893.528728235971</v>
          </cell>
        </row>
        <row r="147">
          <cell r="A147" t="str">
            <v>Reported Equity</v>
          </cell>
          <cell r="O147">
            <v>410.57499999999993</v>
          </cell>
          <cell r="P147">
            <v>517.471</v>
          </cell>
          <cell r="Q147">
            <v>954.78199999999993</v>
          </cell>
          <cell r="R147">
            <v>1162.779</v>
          </cell>
          <cell r="S147">
            <v>1685.5029999999999</v>
          </cell>
          <cell r="T147">
            <v>2202.6390000000001</v>
          </cell>
          <cell r="U147">
            <v>2791.4059999999999</v>
          </cell>
          <cell r="V147">
            <v>3511.9169999999999</v>
          </cell>
          <cell r="W147">
            <v>4148.509</v>
          </cell>
          <cell r="X147">
            <v>5033.8980000000001</v>
          </cell>
          <cell r="Y147">
            <v>5957.3379999999997</v>
          </cell>
          <cell r="Z147">
            <v>5231.8041871931509</v>
          </cell>
          <cell r="AA147">
            <v>5941.5705442806902</v>
          </cell>
          <cell r="AB147">
            <v>6698.1035657852353</v>
          </cell>
          <cell r="AC147">
            <v>7596.1704151428603</v>
          </cell>
          <cell r="AD147">
            <v>8529.5056642091495</v>
          </cell>
          <cell r="AE147">
            <v>9495.938069633934</v>
          </cell>
          <cell r="AF147">
            <v>10539.34683473531</v>
          </cell>
          <cell r="AG147">
            <v>11557.023602324314</v>
          </cell>
          <cell r="AH147">
            <v>12648.109168068206</v>
          </cell>
          <cell r="AI147">
            <v>13711.722711797587</v>
          </cell>
        </row>
        <row r="148">
          <cell r="A148" t="str">
            <v>Adjustment to Equity</v>
          </cell>
          <cell r="O148">
            <v>-70.707458304533404</v>
          </cell>
          <cell r="P148">
            <v>-104.54479972425993</v>
          </cell>
          <cell r="Q148">
            <v>-143.45436954930065</v>
          </cell>
          <cell r="R148">
            <v>-193.9584481578645</v>
          </cell>
          <cell r="S148">
            <v>-261.72586706926546</v>
          </cell>
          <cell r="T148">
            <v>-321.92259083889672</v>
          </cell>
          <cell r="U148">
            <v>-409.37603918790757</v>
          </cell>
          <cell r="V148">
            <v>-512.81381847205273</v>
          </cell>
          <cell r="W148">
            <v>-606.89014656697907</v>
          </cell>
          <cell r="X148">
            <v>-792.4757144521667</v>
          </cell>
          <cell r="Y148">
            <v>-985.89188810075177</v>
          </cell>
          <cell r="Z148">
            <v>-1203.743930784502</v>
          </cell>
          <cell r="AA148">
            <v>-1451.1623312862641</v>
          </cell>
          <cell r="AB148">
            <v>-1734.1723579365919</v>
          </cell>
          <cell r="AC148">
            <v>-2005.307759616036</v>
          </cell>
          <cell r="AD148">
            <v>-2270.2541817610058</v>
          </cell>
          <cell r="AE148">
            <v>-2533.9495451996199</v>
          </cell>
          <cell r="AF148">
            <v>-2793.8454518193385</v>
          </cell>
          <cell r="AG148">
            <v>-3045.6791933028885</v>
          </cell>
          <cell r="AH148">
            <v>-3305.8587079563376</v>
          </cell>
          <cell r="AI148">
            <v>-3552.7301773343215</v>
          </cell>
        </row>
        <row r="149">
          <cell r="A149" t="str">
            <v>Adjusted Equity</v>
          </cell>
          <cell r="O149">
            <v>169.93377084773326</v>
          </cell>
          <cell r="P149">
            <v>376.3968709856033</v>
          </cell>
          <cell r="Q149">
            <v>612.12691536321972</v>
          </cell>
          <cell r="R149">
            <v>890.07409114641746</v>
          </cell>
          <cell r="S149">
            <v>1196.2988423864349</v>
          </cell>
          <cell r="T149">
            <v>1652.2467710459191</v>
          </cell>
          <cell r="U149">
            <v>2131.3731849865981</v>
          </cell>
          <cell r="V149">
            <v>2690.5665711700194</v>
          </cell>
          <cell r="W149">
            <v>3270.361017480484</v>
          </cell>
          <cell r="X149">
            <v>3891.5205694904271</v>
          </cell>
          <cell r="Y149">
            <v>4606.4341987235402</v>
          </cell>
          <cell r="Z149">
            <v>4499.7531841539485</v>
          </cell>
          <cell r="AA149">
            <v>4259.2342347015374</v>
          </cell>
          <cell r="AB149">
            <v>4727.1697104215345</v>
          </cell>
          <cell r="AC149">
            <v>5277.3969316877337</v>
          </cell>
          <cell r="AD149">
            <v>5925.0570689874839</v>
          </cell>
          <cell r="AE149">
            <v>6610.6200034412286</v>
          </cell>
          <cell r="AF149">
            <v>7353.7449536751428</v>
          </cell>
          <cell r="AG149">
            <v>8128.4228959686989</v>
          </cell>
          <cell r="AH149">
            <v>8926.7974345666462</v>
          </cell>
          <cell r="AI149">
            <v>9750.6214972875659</v>
          </cell>
        </row>
        <row r="150">
          <cell r="A150" t="str">
            <v>Financial Leverage (Assets/Equity)</v>
          </cell>
          <cell r="O150">
            <v>3.1760864836640179</v>
          </cell>
          <cell r="P150">
            <v>3.5201990580246889</v>
          </cell>
          <cell r="Q150">
            <v>3.1260336752854472</v>
          </cell>
          <cell r="R150">
            <v>2.8205327580338859</v>
          </cell>
          <cell r="S150">
            <v>2.8937120555351941</v>
          </cell>
          <cell r="T150">
            <v>2.8631732453693282</v>
          </cell>
          <cell r="U150">
            <v>2.8213539645527623</v>
          </cell>
          <cell r="V150">
            <v>2.8444541303660968</v>
          </cell>
          <cell r="W150">
            <v>2.7221790943903557</v>
          </cell>
          <cell r="X150">
            <v>2.6506555185127461</v>
          </cell>
          <cell r="Y150">
            <v>2.6206245536017794</v>
          </cell>
          <cell r="Z150">
            <v>2.9033922972364237</v>
          </cell>
          <cell r="AA150">
            <v>3.3329836828949353</v>
          </cell>
          <cell r="AB150">
            <v>3.3779719249960731</v>
          </cell>
          <cell r="AC150">
            <v>3.2873427059306377</v>
          </cell>
          <cell r="AD150">
            <v>3.0688003562311263</v>
          </cell>
          <cell r="AE150">
            <v>2.8813610825487772</v>
          </cell>
          <cell r="AF150">
            <v>2.715371059774037</v>
          </cell>
          <cell r="AG150">
            <v>2.5730725677675692</v>
          </cell>
          <cell r="AH150">
            <v>2.452215396860026</v>
          </cell>
          <cell r="AI150">
            <v>2.3479045653248369</v>
          </cell>
        </row>
        <row r="151">
          <cell r="A151" t="str">
            <v>ROE = (ROA * FINANCIAL LEVERAGE)</v>
          </cell>
          <cell r="O151">
            <v>0.42753126490142418</v>
          </cell>
          <cell r="P151">
            <v>0.23313424703334465</v>
          </cell>
          <cell r="Q151">
            <v>0.20246738111989834</v>
          </cell>
          <cell r="R151">
            <v>0.17526759510001449</v>
          </cell>
          <cell r="S151">
            <v>0.1905943195294327</v>
          </cell>
          <cell r="T151">
            <v>0.20346969610649504</v>
          </cell>
          <cell r="U151">
            <v>0.21070187531924442</v>
          </cell>
          <cell r="V151">
            <v>0.21850572453865585</v>
          </cell>
          <cell r="W151">
            <v>0.16435983839713653</v>
          </cell>
          <cell r="X151">
            <v>0.1588070988847573</v>
          </cell>
          <cell r="Y151">
            <v>0.16342236332696647</v>
          </cell>
          <cell r="Z151">
            <v>0.21273143511081641</v>
          </cell>
          <cell r="AA151">
            <v>0.25726939623085854</v>
          </cell>
          <cell r="AB151">
            <v>0.26995831551704935</v>
          </cell>
          <cell r="AC151">
            <v>0.27914211165383812</v>
          </cell>
          <cell r="AD151">
            <v>0.27194061078401593</v>
          </cell>
          <cell r="AE151">
            <v>0.26395969023114824</v>
          </cell>
          <cell r="AF151">
            <v>0.2547904699405612</v>
          </cell>
          <cell r="AG151">
            <v>0.24625277604430265</v>
          </cell>
          <cell r="AH151">
            <v>0.23762276213674044</v>
          </cell>
          <cell r="AI151">
            <v>0.23074116872306916</v>
          </cell>
        </row>
        <row r="154">
          <cell r="A154" t="str">
            <v>Schedule I - One Time Gains/Losses</v>
          </cell>
        </row>
        <row r="155">
          <cell r="A155">
            <v>1987</v>
          </cell>
        </row>
        <row r="156">
          <cell r="A156">
            <v>1988</v>
          </cell>
        </row>
        <row r="157">
          <cell r="A157">
            <v>1989</v>
          </cell>
        </row>
        <row r="158">
          <cell r="A158">
            <v>1990</v>
          </cell>
        </row>
        <row r="159">
          <cell r="A159">
            <v>1991</v>
          </cell>
        </row>
        <row r="160">
          <cell r="A160">
            <v>1992</v>
          </cell>
        </row>
        <row r="161">
          <cell r="A161">
            <v>1993</v>
          </cell>
        </row>
        <row r="162">
          <cell r="A162">
            <v>1994</v>
          </cell>
        </row>
        <row r="163">
          <cell r="A163">
            <v>1995</v>
          </cell>
          <cell r="O163">
            <v>14.052</v>
          </cell>
          <cell r="P163">
            <v>14.052</v>
          </cell>
          <cell r="Q163">
            <v>14.052</v>
          </cell>
          <cell r="R163">
            <v>14.052</v>
          </cell>
          <cell r="S163">
            <v>14.052</v>
          </cell>
          <cell r="T163">
            <v>14.052</v>
          </cell>
          <cell r="U163">
            <v>14.052</v>
          </cell>
          <cell r="V163">
            <v>14.052</v>
          </cell>
          <cell r="W163">
            <v>14.052</v>
          </cell>
          <cell r="X163">
            <v>14.052</v>
          </cell>
          <cell r="Y163">
            <v>14.052</v>
          </cell>
          <cell r="Z163">
            <v>14.052</v>
          </cell>
          <cell r="AA163">
            <v>14.052</v>
          </cell>
          <cell r="AB163">
            <v>14.052</v>
          </cell>
          <cell r="AC163">
            <v>14.052</v>
          </cell>
          <cell r="AD163">
            <v>14.052</v>
          </cell>
          <cell r="AE163">
            <v>14.052</v>
          </cell>
          <cell r="AF163">
            <v>14.052</v>
          </cell>
          <cell r="AG163">
            <v>14.052</v>
          </cell>
          <cell r="AH163">
            <v>14.052</v>
          </cell>
          <cell r="AI163">
            <v>14.052</v>
          </cell>
        </row>
        <row r="164">
          <cell r="A164">
            <v>1996</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v>0</v>
          </cell>
          <cell r="AF164">
            <v>0</v>
          </cell>
          <cell r="AG164">
            <v>0</v>
          </cell>
          <cell r="AH164">
            <v>0</v>
          </cell>
          <cell r="AI164">
            <v>0</v>
          </cell>
        </row>
        <row r="165">
          <cell r="A165">
            <v>1997</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row>
        <row r="166">
          <cell r="A166">
            <v>1998</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row>
        <row r="167">
          <cell r="A167">
            <v>1999</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row>
        <row r="168">
          <cell r="A168">
            <v>2000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row>
        <row r="169">
          <cell r="A169">
            <v>2001</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row>
        <row r="170">
          <cell r="A170">
            <v>2002</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row>
        <row r="171">
          <cell r="A171">
            <v>2003</v>
          </cell>
          <cell r="W171">
            <v>0</v>
          </cell>
          <cell r="X171">
            <v>0</v>
          </cell>
          <cell r="Y171">
            <v>0</v>
          </cell>
          <cell r="Z171">
            <v>0</v>
          </cell>
          <cell r="AA171">
            <v>0</v>
          </cell>
          <cell r="AB171">
            <v>0</v>
          </cell>
          <cell r="AC171">
            <v>0</v>
          </cell>
          <cell r="AD171">
            <v>0</v>
          </cell>
          <cell r="AE171">
            <v>0</v>
          </cell>
          <cell r="AF171">
            <v>0</v>
          </cell>
          <cell r="AG171">
            <v>0</v>
          </cell>
          <cell r="AH171">
            <v>0</v>
          </cell>
          <cell r="AI171">
            <v>0</v>
          </cell>
        </row>
        <row r="172">
          <cell r="A172">
            <v>2004</v>
          </cell>
          <cell r="X172">
            <v>0</v>
          </cell>
          <cell r="Y172">
            <v>0</v>
          </cell>
          <cell r="Z172">
            <v>0</v>
          </cell>
          <cell r="AA172">
            <v>0</v>
          </cell>
          <cell r="AB172">
            <v>0</v>
          </cell>
          <cell r="AC172">
            <v>0</v>
          </cell>
          <cell r="AD172">
            <v>0</v>
          </cell>
          <cell r="AE172">
            <v>0</v>
          </cell>
          <cell r="AF172">
            <v>0</v>
          </cell>
          <cell r="AG172">
            <v>0</v>
          </cell>
          <cell r="AH172">
            <v>0</v>
          </cell>
          <cell r="AI172">
            <v>0</v>
          </cell>
        </row>
        <row r="173">
          <cell r="A173">
            <v>2005</v>
          </cell>
          <cell r="Y173">
            <v>-10.277813504823152</v>
          </cell>
          <cell r="Z173">
            <v>-10.277813504823152</v>
          </cell>
          <cell r="AA173">
            <v>-10.277813504823152</v>
          </cell>
          <cell r="AB173">
            <v>-10.277813504823152</v>
          </cell>
          <cell r="AC173">
            <v>-10.277813504823152</v>
          </cell>
          <cell r="AD173">
            <v>-10.277813504823152</v>
          </cell>
          <cell r="AE173">
            <v>-10.277813504823152</v>
          </cell>
          <cell r="AF173">
            <v>-10.277813504823152</v>
          </cell>
          <cell r="AG173">
            <v>-10.277813504823152</v>
          </cell>
          <cell r="AH173">
            <v>-10.277813504823152</v>
          </cell>
          <cell r="AI173">
            <v>-10.277813504823152</v>
          </cell>
        </row>
        <row r="174">
          <cell r="A174">
            <v>2006</v>
          </cell>
          <cell r="Z174">
            <v>0</v>
          </cell>
          <cell r="AA174">
            <v>0</v>
          </cell>
          <cell r="AB174">
            <v>0</v>
          </cell>
          <cell r="AC174">
            <v>0</v>
          </cell>
          <cell r="AD174">
            <v>0</v>
          </cell>
          <cell r="AE174">
            <v>0</v>
          </cell>
          <cell r="AF174">
            <v>0</v>
          </cell>
          <cell r="AG174">
            <v>0</v>
          </cell>
          <cell r="AH174">
            <v>0</v>
          </cell>
          <cell r="AI174">
            <v>0</v>
          </cell>
        </row>
        <row r="175">
          <cell r="A175">
            <v>2007</v>
          </cell>
          <cell r="AA175">
            <v>0</v>
          </cell>
          <cell r="AB175">
            <v>0</v>
          </cell>
          <cell r="AC175">
            <v>0</v>
          </cell>
          <cell r="AD175">
            <v>0</v>
          </cell>
          <cell r="AE175">
            <v>0</v>
          </cell>
          <cell r="AF175">
            <v>0</v>
          </cell>
          <cell r="AG175">
            <v>0</v>
          </cell>
          <cell r="AH175">
            <v>0</v>
          </cell>
          <cell r="AI175">
            <v>0</v>
          </cell>
        </row>
        <row r="176">
          <cell r="A176">
            <v>2008</v>
          </cell>
          <cell r="AB176">
            <v>0</v>
          </cell>
          <cell r="AC176">
            <v>0</v>
          </cell>
          <cell r="AD176">
            <v>0</v>
          </cell>
          <cell r="AE176">
            <v>0</v>
          </cell>
          <cell r="AF176">
            <v>0</v>
          </cell>
          <cell r="AG176">
            <v>0</v>
          </cell>
          <cell r="AH176">
            <v>0</v>
          </cell>
          <cell r="AI176">
            <v>0</v>
          </cell>
        </row>
        <row r="177">
          <cell r="A177">
            <v>2009</v>
          </cell>
          <cell r="AC177">
            <v>0</v>
          </cell>
          <cell r="AD177">
            <v>0</v>
          </cell>
          <cell r="AE177">
            <v>0</v>
          </cell>
          <cell r="AF177">
            <v>0</v>
          </cell>
          <cell r="AG177">
            <v>0</v>
          </cell>
          <cell r="AH177">
            <v>0</v>
          </cell>
          <cell r="AI177">
            <v>0</v>
          </cell>
        </row>
        <row r="178">
          <cell r="A178">
            <v>2010</v>
          </cell>
          <cell r="AD178">
            <v>0</v>
          </cell>
          <cell r="AE178">
            <v>0</v>
          </cell>
          <cell r="AF178">
            <v>0</v>
          </cell>
          <cell r="AG178">
            <v>0</v>
          </cell>
          <cell r="AH178">
            <v>0</v>
          </cell>
          <cell r="AI178">
            <v>0</v>
          </cell>
        </row>
        <row r="179">
          <cell r="A179">
            <v>2011</v>
          </cell>
          <cell r="AE179">
            <v>0</v>
          </cell>
          <cell r="AF179">
            <v>0</v>
          </cell>
          <cell r="AG179">
            <v>0</v>
          </cell>
          <cell r="AH179">
            <v>0</v>
          </cell>
          <cell r="AI179">
            <v>0</v>
          </cell>
        </row>
        <row r="187">
          <cell r="A187" t="str">
            <v>Total One-Time Gains and Losses</v>
          </cell>
          <cell r="O187">
            <v>14.052</v>
          </cell>
          <cell r="P187">
            <v>14.052</v>
          </cell>
          <cell r="Q187">
            <v>14.052</v>
          </cell>
          <cell r="R187">
            <v>14.052</v>
          </cell>
          <cell r="S187">
            <v>14.052</v>
          </cell>
          <cell r="T187">
            <v>14.052</v>
          </cell>
          <cell r="U187">
            <v>14.052</v>
          </cell>
          <cell r="V187">
            <v>14.052</v>
          </cell>
          <cell r="W187">
            <v>14.052</v>
          </cell>
          <cell r="X187">
            <v>14.052</v>
          </cell>
          <cell r="Y187">
            <v>3.7741864951768473</v>
          </cell>
          <cell r="Z187">
            <v>3.7741864951768473</v>
          </cell>
          <cell r="AA187">
            <v>3.7741864951768473</v>
          </cell>
          <cell r="AB187">
            <v>3.7741864951768473</v>
          </cell>
          <cell r="AC187">
            <v>3.7741864951768473</v>
          </cell>
          <cell r="AD187">
            <v>3.7741864951768473</v>
          </cell>
          <cell r="AE187">
            <v>3.7741864951768473</v>
          </cell>
          <cell r="AF187">
            <v>3.7741864951768473</v>
          </cell>
          <cell r="AG187">
            <v>3.7741864951768473</v>
          </cell>
          <cell r="AH187">
            <v>3.7741864951768473</v>
          </cell>
          <cell r="AI187">
            <v>3.7741864951768473</v>
          </cell>
          <cell r="AL187" t="str">
            <v>mstag:nonImpairmentWriteOffs</v>
          </cell>
          <cell r="AM187">
            <v>6</v>
          </cell>
          <cell r="AN187" t="str">
            <v>ISO4217:USD</v>
          </cell>
          <cell r="AO187" t="b">
            <v>0</v>
          </cell>
          <cell r="AP187" t="b">
            <v>0</v>
          </cell>
        </row>
        <row r="188">
          <cell r="A188" t="str">
            <v>Explanation of Charges</v>
          </cell>
        </row>
        <row r="191">
          <cell r="Q191" t="str">
            <v>1998-FY</v>
          </cell>
          <cell r="R191" t="str">
            <v>1999-FY</v>
          </cell>
          <cell r="S191" t="str">
            <v>2000-FY</v>
          </cell>
          <cell r="T191" t="str">
            <v>2001-FY</v>
          </cell>
          <cell r="U191" t="str">
            <v>2002-FY</v>
          </cell>
          <cell r="V191" t="str">
            <v>2003-FY</v>
          </cell>
          <cell r="W191" t="str">
            <v>2004-FY</v>
          </cell>
          <cell r="X191" t="str">
            <v>2005-FY</v>
          </cell>
          <cell r="Y191" t="str">
            <v>2006-FY</v>
          </cell>
          <cell r="Z191" t="str">
            <v>2007-FY</v>
          </cell>
          <cell r="AA191" t="str">
            <v>2008-FY</v>
          </cell>
          <cell r="AB191" t="str">
            <v>2009-FY</v>
          </cell>
        </row>
      </sheetData>
      <sheetData sheetId="12" refreshError="1"/>
      <sheetData sheetId="13"/>
      <sheetData sheetId="14" refreshError="1">
        <row r="1">
          <cell r="A1" t="str">
            <v>Kohl's</v>
          </cell>
        </row>
        <row r="2">
          <cell r="A2" t="str">
            <v>Residual Income Model</v>
          </cell>
        </row>
        <row r="4">
          <cell r="A4" t="str">
            <v>Assumptions:</v>
          </cell>
          <cell r="E4" t="str">
            <v>Cost of Capital Calculations:</v>
          </cell>
          <cell r="I4" t="str">
            <v>Implied Perpetuity Values:</v>
          </cell>
        </row>
        <row r="5">
          <cell r="A5" t="str">
            <v>Equity Beta</v>
          </cell>
          <cell r="C5">
            <v>1.05</v>
          </cell>
          <cell r="E5" t="str">
            <v>Debt Beta</v>
          </cell>
          <cell r="G5">
            <v>0.75</v>
          </cell>
          <cell r="I5" t="str">
            <v>Real COC</v>
          </cell>
          <cell r="K5">
            <v>6.9109543673789631E-2</v>
          </cell>
        </row>
        <row r="6">
          <cell r="A6" t="str">
            <v>L.T. Govt. Bond Rate</v>
          </cell>
          <cell r="C6">
            <v>0.05</v>
          </cell>
          <cell r="E6" t="str">
            <v>Equity Beta</v>
          </cell>
          <cell r="G6">
            <v>1.05</v>
          </cell>
          <cell r="I6" t="str">
            <v>Real ROI</v>
          </cell>
          <cell r="K6">
            <v>6.9109543673789631E-2</v>
          </cell>
        </row>
        <row r="7">
          <cell r="A7" t="str">
            <v>Market Risk Premium</v>
          </cell>
          <cell r="C7">
            <v>0.04</v>
          </cell>
          <cell r="E7" t="str">
            <v>Cost of Equity</v>
          </cell>
          <cell r="G7">
            <v>9.1999999999999998E-2</v>
          </cell>
          <cell r="I7" t="str">
            <v>Plowback Rate</v>
          </cell>
          <cell r="K7">
            <v>9.2686139330691503E-2</v>
          </cell>
        </row>
        <row r="8">
          <cell r="A8" t="str">
            <v>Rate of Inflation</v>
          </cell>
          <cell r="C8">
            <v>0.02</v>
          </cell>
          <cell r="E8" t="str">
            <v>WACC</v>
          </cell>
          <cell r="G8">
            <v>9.0491734547265251E-2</v>
          </cell>
          <cell r="I8" t="str">
            <v>Real Growth Rate</v>
          </cell>
          <cell r="K8">
            <v>6.4054967940293753E-3</v>
          </cell>
        </row>
        <row r="9">
          <cell r="A9" t="str">
            <v>Marginal Cost of Debt</v>
          </cell>
          <cell r="C9">
            <v>0.08</v>
          </cell>
          <cell r="I9" t="str">
            <v>Nominal Growth Rate</v>
          </cell>
          <cell r="K9">
            <v>2.6533606729909964E-2</v>
          </cell>
        </row>
        <row r="10">
          <cell r="A10" t="str">
            <v>Marginal Tax Rate</v>
          </cell>
          <cell r="C10">
            <v>0.37489973992584241</v>
          </cell>
        </row>
        <row r="11">
          <cell r="A11" t="str">
            <v>D/V Ratio</v>
          </cell>
          <cell r="C11">
            <v>3.5917941513646169E-2</v>
          </cell>
        </row>
        <row r="13">
          <cell r="C13">
            <v>2004</v>
          </cell>
          <cell r="D13">
            <v>2005</v>
          </cell>
          <cell r="E13" t="str">
            <v>2006E</v>
          </cell>
          <cell r="F13" t="str">
            <v>2007E</v>
          </cell>
          <cell r="G13" t="str">
            <v>2008E</v>
          </cell>
          <cell r="H13" t="str">
            <v>2009E</v>
          </cell>
          <cell r="I13" t="str">
            <v>2010E</v>
          </cell>
          <cell r="J13" t="str">
            <v>2011E</v>
          </cell>
          <cell r="K13" t="str">
            <v>2012E</v>
          </cell>
          <cell r="L13" t="str">
            <v>2013E</v>
          </cell>
          <cell r="M13" t="str">
            <v>2014E</v>
          </cell>
          <cell r="N13" t="str">
            <v>2015E</v>
          </cell>
          <cell r="O13" t="str">
            <v>2016E</v>
          </cell>
        </row>
        <row r="14">
          <cell r="C14">
            <v>2004</v>
          </cell>
          <cell r="D14">
            <v>2005</v>
          </cell>
          <cell r="E14">
            <v>2006</v>
          </cell>
          <cell r="F14">
            <v>2007</v>
          </cell>
          <cell r="G14">
            <v>2008</v>
          </cell>
          <cell r="H14">
            <v>2009</v>
          </cell>
          <cell r="I14">
            <v>2010</v>
          </cell>
          <cell r="J14">
            <v>2011</v>
          </cell>
          <cell r="K14">
            <v>2012</v>
          </cell>
          <cell r="L14">
            <v>2013</v>
          </cell>
          <cell r="M14">
            <v>2014</v>
          </cell>
          <cell r="N14">
            <v>2015</v>
          </cell>
          <cell r="O14">
            <v>2016</v>
          </cell>
        </row>
        <row r="15">
          <cell r="A15" t="str">
            <v>Adjusted Net Income</v>
          </cell>
          <cell r="C15">
            <v>618.00109189113323</v>
          </cell>
          <cell r="D15">
            <v>752.79436326556197</v>
          </cell>
          <cell r="E15">
            <v>957.23895250953547</v>
          </cell>
          <cell r="F15">
            <v>1095.7706199674676</v>
          </cell>
          <cell r="G15">
            <v>1276.1387721886153</v>
          </cell>
          <cell r="H15">
            <v>1473.1437235467997</v>
          </cell>
          <cell r="I15">
            <v>1611.2636382706073</v>
          </cell>
          <cell r="J15">
            <v>1744.9372083441788</v>
          </cell>
          <cell r="K15">
            <v>1873.6641325699202</v>
          </cell>
          <cell r="L15">
            <v>2001.6467029943619</v>
          </cell>
          <cell r="M15">
            <v>2121.2102634368948</v>
          </cell>
          <cell r="N15">
            <v>2249.8698000604154</v>
          </cell>
        </row>
        <row r="16">
          <cell r="A16" t="str">
            <v>Adjusted Equity (Beginning)</v>
          </cell>
          <cell r="C16">
            <v>3270.361017480484</v>
          </cell>
          <cell r="D16">
            <v>3891.5205694904271</v>
          </cell>
          <cell r="E16">
            <v>4606.4341987235402</v>
          </cell>
          <cell r="F16">
            <v>4499.7531841539485</v>
          </cell>
          <cell r="G16">
            <v>4259.2342347015374</v>
          </cell>
          <cell r="H16">
            <v>4727.1697104215345</v>
          </cell>
          <cell r="I16">
            <v>5277.3969316877337</v>
          </cell>
          <cell r="J16">
            <v>5925.0570689874839</v>
          </cell>
          <cell r="K16">
            <v>6610.6200034412286</v>
          </cell>
          <cell r="L16">
            <v>7353.7449536751428</v>
          </cell>
          <cell r="M16">
            <v>8128.4228959686989</v>
          </cell>
          <cell r="N16">
            <v>8926.7974345666462</v>
          </cell>
          <cell r="O16">
            <v>9750.6214972875659</v>
          </cell>
        </row>
        <row r="17">
          <cell r="A17" t="str">
            <v>ROE</v>
          </cell>
          <cell r="C17">
            <v>0.18897029673110735</v>
          </cell>
          <cell r="D17">
            <v>0.19344478586788921</v>
          </cell>
          <cell r="E17">
            <v>0.20780475986714189</v>
          </cell>
          <cell r="F17">
            <v>0.2435179386785625</v>
          </cell>
          <cell r="G17">
            <v>0.29961695034084918</v>
          </cell>
          <cell r="H17">
            <v>0.31163334802622</v>
          </cell>
          <cell r="I17">
            <v>0.30531408933747162</v>
          </cell>
          <cell r="J17">
            <v>0.29450133357827152</v>
          </cell>
          <cell r="K17">
            <v>0.28343243623057512</v>
          </cell>
          <cell r="L17">
            <v>0.27219419705248404</v>
          </cell>
          <cell r="M17">
            <v>0.26096209444133517</v>
          </cell>
          <cell r="N17">
            <v>0.25203549386573887</v>
          </cell>
        </row>
        <row r="18">
          <cell r="A18" t="str">
            <v>ROE-Cost of Equity</v>
          </cell>
          <cell r="C18">
            <v>9.6970296731107353E-2</v>
          </cell>
          <cell r="D18">
            <v>0.10144478586788921</v>
          </cell>
          <cell r="E18">
            <v>0.11580475986714189</v>
          </cell>
          <cell r="F18">
            <v>0.1515179386785625</v>
          </cell>
          <cell r="G18">
            <v>0.20761695034084918</v>
          </cell>
          <cell r="H18">
            <v>0.21963334802622</v>
          </cell>
          <cell r="I18">
            <v>0.21331408933747162</v>
          </cell>
          <cell r="J18">
            <v>0.20250133357827152</v>
          </cell>
          <cell r="K18">
            <v>0.19143243623057513</v>
          </cell>
          <cell r="L18">
            <v>0.18019419705248405</v>
          </cell>
          <cell r="M18">
            <v>0.16896209444133517</v>
          </cell>
          <cell r="N18">
            <v>0.16003549386573887</v>
          </cell>
        </row>
        <row r="20">
          <cell r="A20" t="str">
            <v xml:space="preserve"> - Equity Charges</v>
          </cell>
          <cell r="C20">
            <v>-300.87321360820454</v>
          </cell>
          <cell r="D20">
            <v>-358.01989239311928</v>
          </cell>
          <cell r="E20">
            <v>-423.79194628256568</v>
          </cell>
          <cell r="F20">
            <v>-413.97729294216327</v>
          </cell>
          <cell r="G20">
            <v>-391.84954959254145</v>
          </cell>
          <cell r="H20">
            <v>-434.89961335878115</v>
          </cell>
          <cell r="I20">
            <v>-485.52051771527152</v>
          </cell>
          <cell r="J20">
            <v>-545.10525034684849</v>
          </cell>
          <cell r="K20">
            <v>-608.17704031659298</v>
          </cell>
          <cell r="L20">
            <v>-676.54453573811315</v>
          </cell>
          <cell r="M20">
            <v>-747.81490642912024</v>
          </cell>
          <cell r="N20">
            <v>-821.26536398013138</v>
          </cell>
        </row>
        <row r="22">
          <cell r="A22" t="str">
            <v>Residual Income</v>
          </cell>
          <cell r="C22">
            <v>317.12787828292869</v>
          </cell>
          <cell r="D22">
            <v>394.77447087244269</v>
          </cell>
          <cell r="E22">
            <v>533.44700622696973</v>
          </cell>
          <cell r="F22">
            <v>681.79332702530428</v>
          </cell>
          <cell r="G22">
            <v>884.28922259607384</v>
          </cell>
          <cell r="H22">
            <v>1038.2441101880186</v>
          </cell>
          <cell r="I22">
            <v>1125.7431205553357</v>
          </cell>
          <cell r="J22">
            <v>1199.8319579973304</v>
          </cell>
          <cell r="K22">
            <v>1265.4870922533273</v>
          </cell>
          <cell r="L22">
            <v>1325.1021672562488</v>
          </cell>
          <cell r="M22">
            <v>1373.3953570077747</v>
          </cell>
          <cell r="N22">
            <v>1428.6044360802839</v>
          </cell>
        </row>
        <row r="23">
          <cell r="A23" t="str">
            <v>+ Terminal Value</v>
          </cell>
          <cell r="N23">
            <v>21576.10511626588</v>
          </cell>
        </row>
        <row r="25">
          <cell r="A25" t="str">
            <v>PV of Residual Income</v>
          </cell>
          <cell r="E25">
            <v>533.44700622696973</v>
          </cell>
          <cell r="F25">
            <v>624.35286357628593</v>
          </cell>
          <cell r="G25">
            <v>741.56471188738078</v>
          </cell>
          <cell r="H25">
            <v>797.31798584919329</v>
          </cell>
          <cell r="I25">
            <v>791.67831302684181</v>
          </cell>
          <cell r="J25">
            <v>772.69345480664924</v>
          </cell>
          <cell r="K25">
            <v>746.3145172723365</v>
          </cell>
          <cell r="L25">
            <v>715.63388440306221</v>
          </cell>
          <cell r="M25">
            <v>679.22625970171566</v>
          </cell>
          <cell r="N25">
            <v>10418.687432386561</v>
          </cell>
        </row>
        <row r="27">
          <cell r="A27" t="str">
            <v>Total PV of Residual Income</v>
          </cell>
          <cell r="E27">
            <v>16820.916429136996</v>
          </cell>
        </row>
        <row r="28">
          <cell r="A28" t="str">
            <v>Beginning Equity</v>
          </cell>
          <cell r="E28">
            <v>4606.4341987235402</v>
          </cell>
        </row>
        <row r="30">
          <cell r="A30" t="str">
            <v>Equity Value</v>
          </cell>
          <cell r="E30">
            <v>21427.350627860535</v>
          </cell>
        </row>
        <row r="31">
          <cell r="A31" t="str">
            <v>KSS Shares Outstanding</v>
          </cell>
          <cell r="E31">
            <v>333.43993436117614</v>
          </cell>
        </row>
        <row r="32">
          <cell r="A32" t="str">
            <v>Equity Value per Share</v>
          </cell>
          <cell r="E32">
            <v>64.261500857455232</v>
          </cell>
        </row>
        <row r="34">
          <cell r="A34" t="str">
            <v>PV of RI as % of TEV</v>
          </cell>
          <cell r="E34">
            <v>0.78502082321208189</v>
          </cell>
        </row>
        <row r="38">
          <cell r="A38" t="str">
            <v>Discounted Cash Flow Analysis</v>
          </cell>
        </row>
        <row r="40">
          <cell r="A40" t="str">
            <v>Assumptions:</v>
          </cell>
          <cell r="E40" t="str">
            <v>Cost of Capital Calculations:</v>
          </cell>
          <cell r="I40" t="str">
            <v>Implied Perpetuity Values:</v>
          </cell>
        </row>
        <row r="41">
          <cell r="A41" t="str">
            <v>Kohl's Equity Beta (unlevered)</v>
          </cell>
          <cell r="C41">
            <v>1.05</v>
          </cell>
          <cell r="E41" t="str">
            <v xml:space="preserve">Unlevered COC </v>
          </cell>
          <cell r="G41">
            <v>9.1999999999999998E-2</v>
          </cell>
          <cell r="I41" t="str">
            <v>w</v>
          </cell>
          <cell r="K41">
            <v>6.9520372940457875E-2</v>
          </cell>
        </row>
        <row r="42">
          <cell r="A42" t="str">
            <v>L.T. Govt. Bond Rate</v>
          </cell>
          <cell r="C42">
            <v>0.05</v>
          </cell>
          <cell r="E42" t="str">
            <v>Debt Beta</v>
          </cell>
          <cell r="G42">
            <v>0.75</v>
          </cell>
          <cell r="I42" t="str">
            <v>roi</v>
          </cell>
          <cell r="K42">
            <v>6.9520372940457875E-2</v>
          </cell>
        </row>
        <row r="43">
          <cell r="A43" t="str">
            <v>Market Risk Premium</v>
          </cell>
          <cell r="C43">
            <v>0.04</v>
          </cell>
          <cell r="E43" t="str">
            <v>Equity Beta</v>
          </cell>
          <cell r="G43">
            <v>1.0608664466969693</v>
          </cell>
          <cell r="I43" t="str">
            <v>k</v>
          </cell>
          <cell r="K43">
            <v>9.2686139330691503E-2</v>
          </cell>
        </row>
        <row r="44">
          <cell r="A44" t="str">
            <v>Rate of Inflation</v>
          </cell>
          <cell r="C44">
            <v>0.02</v>
          </cell>
          <cell r="E44" t="str">
            <v>Cost of Equity</v>
          </cell>
          <cell r="G44">
            <v>9.2434657867878772E-2</v>
          </cell>
          <cell r="I44" t="str">
            <v>g</v>
          </cell>
          <cell r="K44">
            <v>6.4435749726809138E-3</v>
          </cell>
        </row>
        <row r="45">
          <cell r="A45" t="str">
            <v>Debt Rate</v>
          </cell>
          <cell r="C45">
            <v>0.08</v>
          </cell>
          <cell r="E45" t="str">
            <v>WACC</v>
          </cell>
          <cell r="G45">
            <v>9.0910780399267102E-2</v>
          </cell>
          <cell r="I45" t="str">
            <v>G</v>
          </cell>
          <cell r="K45">
            <v>2.6572446472134532E-2</v>
          </cell>
        </row>
        <row r="46">
          <cell r="A46" t="str">
            <v>Marginal Tax Rate</v>
          </cell>
          <cell r="C46">
            <v>0.37489973992584241</v>
          </cell>
        </row>
        <row r="47">
          <cell r="A47" t="str">
            <v>D/V Ratio</v>
          </cell>
          <cell r="C47">
            <v>3.5917941513646169E-2</v>
          </cell>
        </row>
        <row r="48">
          <cell r="A48" t="str">
            <v>CGSt / Salest</v>
          </cell>
          <cell r="C48">
            <v>0.67029468900012013</v>
          </cell>
        </row>
        <row r="49">
          <cell r="A49" t="str">
            <v>SGAt / Salest</v>
          </cell>
          <cell r="C49">
            <v>0.20440116575475775</v>
          </cell>
        </row>
        <row r="50">
          <cell r="A50" t="str">
            <v>Working Capitalt / Salest+1</v>
          </cell>
          <cell r="C50">
            <v>0.16257924055825718</v>
          </cell>
        </row>
        <row r="51">
          <cell r="A51" t="str">
            <v>PPEt / Salest+1</v>
          </cell>
          <cell r="C51">
            <v>0.28344338372917854</v>
          </cell>
        </row>
        <row r="52">
          <cell r="A52" t="str">
            <v>L.T. ROI = WACC</v>
          </cell>
          <cell r="C52">
            <v>9.0910780399267102E-2</v>
          </cell>
        </row>
        <row r="55">
          <cell r="C55">
            <v>2003</v>
          </cell>
          <cell r="D55" t="str">
            <v>2004E</v>
          </cell>
          <cell r="E55" t="str">
            <v>2005E</v>
          </cell>
          <cell r="F55" t="str">
            <v>2006E</v>
          </cell>
          <cell r="G55" t="str">
            <v>2007E</v>
          </cell>
          <cell r="H55" t="str">
            <v>2008E</v>
          </cell>
          <cell r="I55" t="str">
            <v>2009E</v>
          </cell>
          <cell r="J55" t="str">
            <v>2010E</v>
          </cell>
          <cell r="K55" t="str">
            <v>2011E</v>
          </cell>
          <cell r="L55" t="str">
            <v>2012E</v>
          </cell>
          <cell r="M55" t="str">
            <v>2013E</v>
          </cell>
          <cell r="N55" t="str">
            <v>2014E</v>
          </cell>
        </row>
        <row r="56">
          <cell r="C56">
            <v>2003</v>
          </cell>
          <cell r="D56">
            <v>2004</v>
          </cell>
          <cell r="E56">
            <v>2005</v>
          </cell>
          <cell r="F56">
            <v>2006</v>
          </cell>
          <cell r="G56">
            <v>2007</v>
          </cell>
          <cell r="H56">
            <v>2008</v>
          </cell>
          <cell r="I56">
            <v>2009</v>
          </cell>
          <cell r="J56">
            <v>2010</v>
          </cell>
          <cell r="K56">
            <v>2011</v>
          </cell>
          <cell r="L56">
            <v>2012</v>
          </cell>
          <cell r="M56">
            <v>2013</v>
          </cell>
          <cell r="N56">
            <v>2014</v>
          </cell>
        </row>
        <row r="57">
          <cell r="A57" t="str">
            <v>Sales Revenues</v>
          </cell>
          <cell r="C57">
            <v>10282.093999999999</v>
          </cell>
          <cell r="D57">
            <v>11700.7</v>
          </cell>
          <cell r="E57">
            <v>13402.199999999999</v>
          </cell>
          <cell r="F57">
            <v>15432.124031897749</v>
          </cell>
          <cell r="G57">
            <v>17576.766512535702</v>
          </cell>
          <cell r="H57">
            <v>19634.069507911772</v>
          </cell>
          <cell r="I57">
            <v>21753.091593149125</v>
          </cell>
          <cell r="J57">
            <v>23718.153425012108</v>
          </cell>
          <cell r="K57">
            <v>25722.51649351235</v>
          </cell>
          <cell r="L57">
            <v>27690.466823382598</v>
          </cell>
          <cell r="M57">
            <v>29697.776159850251</v>
          </cell>
          <cell r="N57">
            <v>31745.231683047256</v>
          </cell>
        </row>
        <row r="58">
          <cell r="A58" t="str">
            <v>- CGS</v>
          </cell>
          <cell r="C58">
            <v>-6892.0330000000004</v>
          </cell>
          <cell r="D58">
            <v>-7587.0249999999996</v>
          </cell>
          <cell r="E58">
            <v>-8641.6</v>
          </cell>
          <cell r="F58">
            <v>-9896.273647155982</v>
          </cell>
          <cell r="G58">
            <v>-11254.007811260597</v>
          </cell>
          <cell r="H58">
            <v>-12530.021047693495</v>
          </cell>
          <cell r="I58">
            <v>-13838.827043999696</v>
          </cell>
          <cell r="J58">
            <v>-15088.955132941384</v>
          </cell>
          <cell r="K58">
            <v>-16364.085783661907</v>
          </cell>
          <cell r="L58">
            <v>-17616.051469993756</v>
          </cell>
          <cell r="M58">
            <v>-18893.056470052241</v>
          </cell>
        </row>
        <row r="59">
          <cell r="A59" t="str">
            <v>- SGA</v>
          </cell>
          <cell r="C59">
            <v>-2101.672</v>
          </cell>
          <cell r="D59">
            <v>-2632.0819999999999</v>
          </cell>
          <cell r="E59">
            <v>-3008</v>
          </cell>
          <cell r="F59">
            <v>-3413.0630763993809</v>
          </cell>
          <cell r="G59">
            <v>-3874.6374896494281</v>
          </cell>
          <cell r="H59">
            <v>-4281.3874127400513</v>
          </cell>
          <cell r="I59">
            <v>-4715.2308114381567</v>
          </cell>
          <cell r="J59">
            <v>-5135.760295575973</v>
          </cell>
          <cell r="K59">
            <v>-5564.7003693965453</v>
          </cell>
          <cell r="L59">
            <v>-5982.8480012980763</v>
          </cell>
          <cell r="M59">
            <v>-6412.4185858376386</v>
          </cell>
        </row>
        <row r="60">
          <cell r="A60" t="str">
            <v>-Preopening Expenses</v>
          </cell>
          <cell r="C60">
            <v>-47.029000000000003</v>
          </cell>
          <cell r="D60">
            <v>-49.111000000000004</v>
          </cell>
          <cell r="E60">
            <v>-44.5</v>
          </cell>
          <cell r="F60">
            <v>-56.527000000000001</v>
          </cell>
          <cell r="G60">
            <v>-78</v>
          </cell>
          <cell r="H60">
            <v>-60</v>
          </cell>
          <cell r="I60">
            <v>-60</v>
          </cell>
          <cell r="J60">
            <v>-60</v>
          </cell>
        </row>
        <row r="61">
          <cell r="C61" t="str">
            <v xml:space="preserve">    -------------</v>
          </cell>
          <cell r="D61" t="str">
            <v xml:space="preserve">    -------------</v>
          </cell>
          <cell r="E61" t="str">
            <v xml:space="preserve">    -------------</v>
          </cell>
          <cell r="F61" t="str">
            <v xml:space="preserve">    -------------</v>
          </cell>
          <cell r="G61" t="str">
            <v xml:space="preserve">    -------------</v>
          </cell>
          <cell r="H61" t="str">
            <v xml:space="preserve">    -------------</v>
          </cell>
          <cell r="I61" t="str">
            <v xml:space="preserve">    -------------</v>
          </cell>
          <cell r="J61" t="str">
            <v xml:space="preserve">    -------------</v>
          </cell>
          <cell r="K61" t="str">
            <v xml:space="preserve">    -------------</v>
          </cell>
          <cell r="L61" t="str">
            <v xml:space="preserve">    -------------</v>
          </cell>
          <cell r="M61" t="str">
            <v xml:space="preserve">    -------------</v>
          </cell>
        </row>
        <row r="62">
          <cell r="A62" t="str">
            <v>Operating Profits/EBITDA</v>
          </cell>
          <cell r="C62">
            <v>1241.3599999999988</v>
          </cell>
          <cell r="D62">
            <v>1432.4820000000011</v>
          </cell>
          <cell r="E62">
            <v>1708.0999999999985</v>
          </cell>
          <cell r="F62">
            <v>2066.260308342386</v>
          </cell>
          <cell r="G62">
            <v>2370.1212116256766</v>
          </cell>
          <cell r="H62">
            <v>2762.6610474782256</v>
          </cell>
          <cell r="I62">
            <v>3139.0337377112728</v>
          </cell>
          <cell r="J62">
            <v>3433.4379964947502</v>
          </cell>
          <cell r="K62">
            <v>3793.730340453898</v>
          </cell>
          <cell r="L62">
            <v>4091.5673520907658</v>
          </cell>
          <cell r="M62">
            <v>4392.3011039603716</v>
          </cell>
        </row>
        <row r="63">
          <cell r="A63" t="str">
            <v>-Depreciation</v>
          </cell>
          <cell r="C63">
            <v>-239.55799999999999</v>
          </cell>
          <cell r="D63">
            <v>-288.13799999999998</v>
          </cell>
          <cell r="E63">
            <v>-338.9</v>
          </cell>
          <cell r="F63">
            <v>-397.50168654941541</v>
          </cell>
          <cell r="G63">
            <v>-473.24552747026712</v>
          </cell>
          <cell r="H63">
            <v>-537.54369537698017</v>
          </cell>
          <cell r="I63">
            <v>-609.42209992681876</v>
          </cell>
          <cell r="J63">
            <v>-689.10814821907672</v>
          </cell>
          <cell r="K63">
            <v>-776.03456593546628</v>
          </cell>
          <cell r="L63">
            <v>-870.34616046447002</v>
          </cell>
          <cell r="M63">
            <v>-971.90876723418967</v>
          </cell>
        </row>
        <row r="64">
          <cell r="A64" t="str">
            <v>-Amortization</v>
          </cell>
          <cell r="C64">
            <v>0</v>
          </cell>
          <cell r="D64">
            <v>0</v>
          </cell>
          <cell r="E64">
            <v>0</v>
          </cell>
          <cell r="F64">
            <v>0</v>
          </cell>
          <cell r="G64">
            <v>0</v>
          </cell>
          <cell r="H64">
            <v>0</v>
          </cell>
          <cell r="I64">
            <v>0</v>
          </cell>
          <cell r="J64">
            <v>0</v>
          </cell>
          <cell r="K64">
            <v>0</v>
          </cell>
          <cell r="L64">
            <v>0</v>
          </cell>
          <cell r="M64">
            <v>0</v>
          </cell>
        </row>
        <row r="65">
          <cell r="A65" t="str">
            <v>-LIFO Charge</v>
          </cell>
          <cell r="C65">
            <v>5</v>
          </cell>
          <cell r="D65">
            <v>0</v>
          </cell>
          <cell r="E65">
            <v>0</v>
          </cell>
          <cell r="F65">
            <v>0</v>
          </cell>
          <cell r="G65">
            <v>0</v>
          </cell>
          <cell r="H65">
            <v>0</v>
          </cell>
          <cell r="I65">
            <v>0</v>
          </cell>
          <cell r="J65">
            <v>0</v>
          </cell>
          <cell r="K65">
            <v>0</v>
          </cell>
          <cell r="L65">
            <v>0</v>
          </cell>
          <cell r="M65">
            <v>0</v>
          </cell>
        </row>
        <row r="66">
          <cell r="C66" t="str">
            <v xml:space="preserve">    -------------</v>
          </cell>
          <cell r="D66" t="str">
            <v xml:space="preserve">    -------------</v>
          </cell>
          <cell r="E66" t="str">
            <v xml:space="preserve">    -------------</v>
          </cell>
          <cell r="F66" t="str">
            <v xml:space="preserve">    -------------</v>
          </cell>
          <cell r="G66" t="str">
            <v xml:space="preserve">    -------------</v>
          </cell>
          <cell r="H66" t="str">
            <v xml:space="preserve">    -------------</v>
          </cell>
          <cell r="I66" t="str">
            <v xml:space="preserve">    -------------</v>
          </cell>
          <cell r="J66" t="str">
            <v xml:space="preserve">    -------------</v>
          </cell>
          <cell r="K66" t="str">
            <v xml:space="preserve">    -------------</v>
          </cell>
          <cell r="L66" t="str">
            <v xml:space="preserve">    -------------</v>
          </cell>
          <cell r="M66" t="str">
            <v xml:space="preserve">    -------------</v>
          </cell>
        </row>
        <row r="67">
          <cell r="A67" t="str">
            <v>EBIT/Net Operating Income</v>
          </cell>
          <cell r="C67">
            <v>1006.8019999999988</v>
          </cell>
          <cell r="D67">
            <v>1144.3440000000012</v>
          </cell>
          <cell r="E67">
            <v>1369.1999999999985</v>
          </cell>
          <cell r="F67">
            <v>1668.7586217929706</v>
          </cell>
          <cell r="G67">
            <v>1896.8756841554095</v>
          </cell>
          <cell r="H67">
            <v>2225.1173521012452</v>
          </cell>
          <cell r="I67">
            <v>2529.6116377844542</v>
          </cell>
          <cell r="J67">
            <v>2744.3298482756736</v>
          </cell>
          <cell r="K67">
            <v>3017.6957745184318</v>
          </cell>
          <cell r="L67">
            <v>3221.2211916262959</v>
          </cell>
          <cell r="M67">
            <v>3420.3923367261818</v>
          </cell>
        </row>
        <row r="68">
          <cell r="A68" t="str">
            <v xml:space="preserve">- Taxes </v>
          </cell>
          <cell r="C68">
            <v>-377.44980795681755</v>
          </cell>
          <cell r="D68">
            <v>-429.01426798569867</v>
          </cell>
          <cell r="E68">
            <v>-513.31272390646291</v>
          </cell>
          <cell r="F68">
            <v>-625.61717330919191</v>
          </cell>
          <cell r="G68">
            <v>-711.13820066151743</v>
          </cell>
          <cell r="H68">
            <v>-834.19591660723597</v>
          </cell>
          <cell r="I68">
            <v>-948.3507451187761</v>
          </cell>
          <cell r="J68">
            <v>-1028.8485463892766</v>
          </cell>
          <cell r="K68">
            <v>-1131.3333610422737</v>
          </cell>
          <cell r="L68">
            <v>-1207.6349869843104</v>
          </cell>
          <cell r="M68">
            <v>-1282.30419748299</v>
          </cell>
        </row>
        <row r="69">
          <cell r="C69" t="str">
            <v xml:space="preserve">    -------------</v>
          </cell>
          <cell r="D69" t="str">
            <v xml:space="preserve">    -------------</v>
          </cell>
          <cell r="E69" t="str">
            <v xml:space="preserve">    -------------</v>
          </cell>
          <cell r="F69" t="str">
            <v xml:space="preserve">    -------------</v>
          </cell>
          <cell r="G69" t="str">
            <v xml:space="preserve">    -------------</v>
          </cell>
          <cell r="H69" t="str">
            <v xml:space="preserve">    -------------</v>
          </cell>
          <cell r="I69" t="str">
            <v xml:space="preserve">    -------------</v>
          </cell>
          <cell r="J69" t="str">
            <v xml:space="preserve">    -------------</v>
          </cell>
          <cell r="K69" t="str">
            <v xml:space="preserve">    -------------</v>
          </cell>
          <cell r="L69" t="str">
            <v xml:space="preserve">    -------------</v>
          </cell>
          <cell r="M69" t="str">
            <v xml:space="preserve">    -------------</v>
          </cell>
        </row>
        <row r="70">
          <cell r="A70" t="str">
            <v>EBIAT</v>
          </cell>
          <cell r="C70">
            <v>629.35219204318128</v>
          </cell>
          <cell r="D70">
            <v>715.32973201430252</v>
          </cell>
          <cell r="E70">
            <v>855.88727609353555</v>
          </cell>
          <cell r="F70">
            <v>1043.1414484837787</v>
          </cell>
          <cell r="G70">
            <v>1185.7374834938921</v>
          </cell>
          <cell r="H70">
            <v>1390.9214354940091</v>
          </cell>
          <cell r="I70">
            <v>1581.2608926656781</v>
          </cell>
          <cell r="J70">
            <v>1715.481301886397</v>
          </cell>
          <cell r="K70">
            <v>1886.3624134761581</v>
          </cell>
          <cell r="L70">
            <v>2013.5862046419854</v>
          </cell>
          <cell r="M70">
            <v>2138.088139243192</v>
          </cell>
        </row>
        <row r="71">
          <cell r="A71" t="str">
            <v>+ Depreciation &amp; Amortization2</v>
          </cell>
          <cell r="C71">
            <v>234.55799999999999</v>
          </cell>
          <cell r="D71">
            <v>288.13799999999998</v>
          </cell>
          <cell r="E71">
            <v>338.9</v>
          </cell>
          <cell r="F71">
            <v>397.50168654941541</v>
          </cell>
          <cell r="G71">
            <v>473.24552747026712</v>
          </cell>
          <cell r="H71">
            <v>537.54369537698017</v>
          </cell>
          <cell r="I71">
            <v>609.42209992681876</v>
          </cell>
          <cell r="J71">
            <v>689.10814821907672</v>
          </cell>
          <cell r="K71">
            <v>776.03456593546628</v>
          </cell>
          <cell r="L71">
            <v>870.34616046447002</v>
          </cell>
          <cell r="M71">
            <v>971.90876723418967</v>
          </cell>
        </row>
        <row r="72">
          <cell r="C72" t="str">
            <v xml:space="preserve">    -------------</v>
          </cell>
          <cell r="D72" t="str">
            <v xml:space="preserve">    -------------</v>
          </cell>
          <cell r="E72" t="str">
            <v xml:space="preserve">    -------------</v>
          </cell>
          <cell r="F72" t="str">
            <v xml:space="preserve">    -------------</v>
          </cell>
          <cell r="G72" t="str">
            <v xml:space="preserve">    -------------</v>
          </cell>
          <cell r="H72" t="str">
            <v xml:space="preserve">    -------------</v>
          </cell>
          <cell r="I72" t="str">
            <v xml:space="preserve">    -------------</v>
          </cell>
          <cell r="J72" t="str">
            <v xml:space="preserve">    -------------</v>
          </cell>
          <cell r="K72" t="str">
            <v xml:space="preserve">    -------------</v>
          </cell>
          <cell r="L72" t="str">
            <v xml:space="preserve">    -------------</v>
          </cell>
          <cell r="M72" t="str">
            <v xml:space="preserve">    -------------</v>
          </cell>
        </row>
        <row r="73">
          <cell r="A73" t="str">
            <v>Operating Cash Flows</v>
          </cell>
          <cell r="C73">
            <v>863.91019204318127</v>
          </cell>
          <cell r="D73">
            <v>1003.4677320143026</v>
          </cell>
          <cell r="E73">
            <v>1194.7872760935356</v>
          </cell>
          <cell r="F73">
            <v>1440.6431350331941</v>
          </cell>
          <cell r="G73">
            <v>1658.9830109641593</v>
          </cell>
          <cell r="H73">
            <v>1928.4651308709892</v>
          </cell>
          <cell r="I73">
            <v>2190.6829925924967</v>
          </cell>
          <cell r="J73">
            <v>2404.5894501054736</v>
          </cell>
          <cell r="K73">
            <v>2662.3969794116242</v>
          </cell>
          <cell r="L73">
            <v>2883.9323651064556</v>
          </cell>
          <cell r="M73">
            <v>3109.9969064773818</v>
          </cell>
        </row>
        <row r="74">
          <cell r="A74" t="str">
            <v>- Additions to WC3</v>
          </cell>
          <cell r="C74">
            <v>-1789.5319999999999</v>
          </cell>
          <cell r="D74">
            <v>-281.02999999999997</v>
          </cell>
          <cell r="E74">
            <v>-322.19600000000173</v>
          </cell>
          <cell r="F74">
            <v>862.60491716400952</v>
          </cell>
          <cell r="G74">
            <v>62.14605565944521</v>
          </cell>
          <cell r="H74">
            <v>-200.51983713506502</v>
          </cell>
          <cell r="I74">
            <v>-128.41976864382696</v>
          </cell>
          <cell r="J74">
            <v>-124.83366847227353</v>
          </cell>
          <cell r="K74">
            <v>-127.33034184172084</v>
          </cell>
          <cell r="L74">
            <v>-125.01716488789589</v>
          </cell>
          <cell r="M74">
            <v>-127.51750818565415</v>
          </cell>
        </row>
        <row r="75">
          <cell r="A75" t="str">
            <v>- Capital Expenditures2</v>
          </cell>
          <cell r="C75">
            <v>-831.59900000000005</v>
          </cell>
          <cell r="D75">
            <v>-889.59799999999996</v>
          </cell>
          <cell r="E75">
            <v>-799.41700000000003</v>
          </cell>
          <cell r="F75">
            <v>-1200.4715000000001</v>
          </cell>
          <cell r="G75">
            <v>-1054.6059907521421</v>
          </cell>
          <cell r="H75">
            <v>-1178.0441704747063</v>
          </cell>
          <cell r="I75">
            <v>-1305.1854955889476</v>
          </cell>
          <cell r="J75">
            <v>-1423.0892055007264</v>
          </cell>
          <cell r="K75">
            <v>-1543.350989610741</v>
          </cell>
          <cell r="L75">
            <v>-1661.4280094029557</v>
          </cell>
          <cell r="M75">
            <v>-1781.8665695910149</v>
          </cell>
        </row>
        <row r="76">
          <cell r="C76" t="str">
            <v xml:space="preserve">    -------------</v>
          </cell>
          <cell r="D76" t="str">
            <v xml:space="preserve">    -------------</v>
          </cell>
          <cell r="E76" t="str">
            <v xml:space="preserve">    -------------</v>
          </cell>
          <cell r="F76" t="str">
            <v xml:space="preserve">    -------------</v>
          </cell>
          <cell r="G76" t="str">
            <v xml:space="preserve">    -------------</v>
          </cell>
          <cell r="H76" t="str">
            <v xml:space="preserve">    -------------</v>
          </cell>
          <cell r="I76" t="str">
            <v xml:space="preserve">    -------------</v>
          </cell>
          <cell r="J76" t="str">
            <v xml:space="preserve">    -------------</v>
          </cell>
          <cell r="K76" t="str">
            <v xml:space="preserve">    -------------</v>
          </cell>
          <cell r="L76" t="str">
            <v xml:space="preserve">    -------------</v>
          </cell>
          <cell r="M76" t="str">
            <v xml:space="preserve">    -------------</v>
          </cell>
        </row>
        <row r="77">
          <cell r="A77" t="str">
            <v>Free Cash Flows</v>
          </cell>
          <cell r="C77">
            <v>-1757.2208079568186</v>
          </cell>
          <cell r="D77">
            <v>-167.16026798569737</v>
          </cell>
          <cell r="E77">
            <v>73.174276093533877</v>
          </cell>
          <cell r="F77">
            <v>1102.7765521972037</v>
          </cell>
          <cell r="G77">
            <v>666.52307587146242</v>
          </cell>
          <cell r="H77">
            <v>549.90112326121789</v>
          </cell>
          <cell r="I77">
            <v>757.07772835972219</v>
          </cell>
          <cell r="J77">
            <v>856.66657613247366</v>
          </cell>
          <cell r="K77">
            <v>991.71564795916242</v>
          </cell>
          <cell r="L77">
            <v>1097.487190815604</v>
          </cell>
          <cell r="M77">
            <v>1200.6128287007127</v>
          </cell>
        </row>
        <row r="78">
          <cell r="A78" t="str">
            <v>+ Terminal Value4</v>
          </cell>
          <cell r="M78">
            <v>30953.01390729897</v>
          </cell>
        </row>
        <row r="79">
          <cell r="A79" t="str">
            <v>Present Value (WACC)</v>
          </cell>
          <cell r="D79">
            <v>-167.16026798569737</v>
          </cell>
          <cell r="E79">
            <v>67.076315871360734</v>
          </cell>
          <cell r="F79">
            <v>926.63576050312395</v>
          </cell>
          <cell r="G79">
            <v>513.39009968057337</v>
          </cell>
          <cell r="H79">
            <v>388.26449030253758</v>
          </cell>
          <cell r="I79">
            <v>489.99799497018108</v>
          </cell>
          <cell r="J79">
            <v>508.24887011281805</v>
          </cell>
          <cell r="K79">
            <v>539.33987668755663</v>
          </cell>
          <cell r="L79">
            <v>596.86323128888978</v>
          </cell>
          <cell r="M79">
            <v>17486.598214457037</v>
          </cell>
        </row>
        <row r="81">
          <cell r="A81" t="str">
            <v>Total Firm Value</v>
          </cell>
          <cell r="D81">
            <v>21349.254585888382</v>
          </cell>
        </row>
        <row r="82">
          <cell r="A82" t="str">
            <v>Less: Existing Debt</v>
          </cell>
          <cell r="D82">
            <v>-1103.441</v>
          </cell>
        </row>
        <row r="83">
          <cell r="D83" t="str">
            <v xml:space="preserve">    -------------</v>
          </cell>
        </row>
        <row r="84">
          <cell r="A84" t="str">
            <v>Equity Value</v>
          </cell>
          <cell r="D84">
            <v>20245.813585888383</v>
          </cell>
        </row>
        <row r="85">
          <cell r="A85" t="str">
            <v>KSS Shares Outstanding</v>
          </cell>
          <cell r="D85">
            <v>333.43993436117614</v>
          </cell>
        </row>
        <row r="86">
          <cell r="A86" t="str">
            <v>Per Share</v>
          </cell>
          <cell r="D86">
            <v>60.718022946701048</v>
          </cell>
        </row>
        <row r="88">
          <cell r="A88" t="str">
            <v>FCF/Share</v>
          </cell>
          <cell r="D88">
            <v>-5.1119448199169693</v>
          </cell>
          <cell r="E88">
            <v>-0.48500506079076466</v>
          </cell>
          <cell r="F88">
            <v>0.21117020210648182</v>
          </cell>
          <cell r="G88">
            <v>3.3072719808140798</v>
          </cell>
          <cell r="H88">
            <v>2.1215340665800424</v>
          </cell>
          <cell r="I88">
            <v>1.7975784863974695</v>
          </cell>
          <cell r="J88">
            <v>2.5485714054844304</v>
          </cell>
          <cell r="K88">
            <v>2.9731909903568448</v>
          </cell>
          <cell r="L88">
            <v>3.5554662822617549</v>
          </cell>
          <cell r="M88">
            <v>4.0676552562796982</v>
          </cell>
        </row>
        <row r="90">
          <cell r="A90" t="str">
            <v>After Tax Profit Margin = EBIATt / Salest</v>
          </cell>
          <cell r="D90">
            <v>7.5468524100796547E-2</v>
          </cell>
          <cell r="E90">
            <v>7.6529170968536078E-2</v>
          </cell>
          <cell r="F90">
            <v>7.9668543540065626E-2</v>
          </cell>
          <cell r="G90">
            <v>8.3696829642892587E-2</v>
          </cell>
          <cell r="H90">
            <v>8.4291009085080637E-2</v>
          </cell>
          <cell r="I90">
            <v>8.7956301600108575E-2</v>
          </cell>
          <cell r="J90">
            <v>9.0203767010425595E-2</v>
          </cell>
          <cell r="K90">
            <v>9.0489463749485272E-2</v>
          </cell>
          <cell r="L90">
            <v>9.2194005320866496E-2</v>
          </cell>
          <cell r="M90">
            <v>9.236535563723787E-2</v>
          </cell>
        </row>
        <row r="91">
          <cell r="A91" t="str">
            <v>k = (NNI + DWC)t / EBIATt</v>
          </cell>
          <cell r="E91">
            <v>1.0259329990367103</v>
          </cell>
          <cell r="F91">
            <v>-1.5269361347474437E-2</v>
          </cell>
          <cell r="G91">
            <v>0.43788310216230458</v>
          </cell>
          <cell r="H91">
            <v>0.60464976005930093</v>
          </cell>
          <cell r="I91">
            <v>0.52121896401077339</v>
          </cell>
          <cell r="J91">
            <v>0.50062610697624299</v>
          </cell>
          <cell r="K91">
            <v>0.47427088195017353</v>
          </cell>
          <cell r="L91">
            <v>0.45495892438797442</v>
          </cell>
          <cell r="M91">
            <v>0.43846429589863034</v>
          </cell>
        </row>
        <row r="92">
          <cell r="A92" t="str">
            <v>G = (EBIATt / EBIATt-1) - 1</v>
          </cell>
          <cell r="D92">
            <v>0.13661276000643863</v>
          </cell>
          <cell r="E92">
            <v>0.19649336213585866</v>
          </cell>
          <cell r="F92">
            <v>0.2187836852125129</v>
          </cell>
          <cell r="G92">
            <v>0.13669865694377181</v>
          </cell>
          <cell r="H92">
            <v>0.17304332101868125</v>
          </cell>
          <cell r="I92">
            <v>0.13684414684720614</v>
          </cell>
          <cell r="J92">
            <v>8.48818875134838E-2</v>
          </cell>
          <cell r="K92">
            <v>9.9611176992634665E-2</v>
          </cell>
          <cell r="L92">
            <v>6.7443981207927717E-2</v>
          </cell>
          <cell r="M92">
            <v>6.1830943375648983E-2</v>
          </cell>
        </row>
        <row r="93">
          <cell r="A93" t="str">
            <v>R = EBIATt / It-1</v>
          </cell>
          <cell r="E93">
            <v>0.14127032882747112</v>
          </cell>
          <cell r="F93">
            <v>0.15038245715600582</v>
          </cell>
          <cell r="G93">
            <v>0.17133295937056603</v>
          </cell>
          <cell r="H93">
            <v>0.1869549141244729</v>
          </cell>
          <cell r="I93">
            <v>0.19095286005423084</v>
          </cell>
          <cell r="J93">
            <v>0.18840925541039427</v>
          </cell>
          <cell r="K93">
            <v>0.1893197897972583</v>
          </cell>
          <cell r="L93">
            <v>0.18543800260596871</v>
          </cell>
          <cell r="M93">
            <v>0.18158415776556516</v>
          </cell>
        </row>
        <row r="94">
          <cell r="A94" t="str">
            <v>Ending Working Capital (excl cash)</v>
          </cell>
          <cell r="C94">
            <v>1789.5319999999999</v>
          </cell>
          <cell r="D94">
            <v>2070.5619999999999</v>
          </cell>
          <cell r="E94">
            <v>2392.7580000000016</v>
          </cell>
          <cell r="F94">
            <v>1530.1530828359921</v>
          </cell>
          <cell r="G94">
            <v>1468.0070271765469</v>
          </cell>
          <cell r="H94">
            <v>1668.5268643116119</v>
          </cell>
          <cell r="I94">
            <v>1796.9466329554389</v>
          </cell>
          <cell r="J94">
            <v>1921.7803014277124</v>
          </cell>
          <cell r="K94">
            <v>2049.1106432694332</v>
          </cell>
          <cell r="L94">
            <v>2174.1278081573291</v>
          </cell>
          <cell r="M94">
            <v>2301.6453163429833</v>
          </cell>
        </row>
        <row r="95">
          <cell r="A95" t="str">
            <v>Ending PPE</v>
          </cell>
          <cell r="D95">
            <v>3987.9450000000002</v>
          </cell>
          <cell r="E95">
            <v>4543.8320000000003</v>
          </cell>
          <cell r="F95">
            <v>5390.5088134505831</v>
          </cell>
          <cell r="G95">
            <v>5971.8692767324583</v>
          </cell>
          <cell r="H95">
            <v>6612.3697518301842</v>
          </cell>
          <cell r="I95">
            <v>7308.1331474923127</v>
          </cell>
          <cell r="J95">
            <v>8042.1142047739631</v>
          </cell>
          <cell r="K95">
            <v>8809.4306284492377</v>
          </cell>
          <cell r="L95">
            <v>9600.5124773877233</v>
          </cell>
          <cell r="M95">
            <v>10410.470279744548</v>
          </cell>
        </row>
        <row r="96">
          <cell r="A96" t="str">
            <v xml:space="preserve">TCR </v>
          </cell>
          <cell r="D96">
            <v>6058.5069999999996</v>
          </cell>
          <cell r="E96">
            <v>6936.590000000002</v>
          </cell>
          <cell r="F96">
            <v>6920.661896286575</v>
          </cell>
          <cell r="G96">
            <v>7439.8763039090054</v>
          </cell>
          <cell r="H96">
            <v>8280.8966161417957</v>
          </cell>
          <cell r="I96">
            <v>9105.0797804477515</v>
          </cell>
          <cell r="J96">
            <v>9963.8945062016755</v>
          </cell>
          <cell r="K96">
            <v>10858.54127171867</v>
          </cell>
          <cell r="L96">
            <v>11774.640285545052</v>
          </cell>
          <cell r="M96">
            <v>12712.115596087531</v>
          </cell>
        </row>
        <row r="97">
          <cell r="A97" t="str">
            <v>TCR / St+1 = (WC+PP&amp;E)t / St+1</v>
          </cell>
          <cell r="D97">
            <v>0.45205317037501308</v>
          </cell>
          <cell r="E97">
            <v>0.44949029606438318</v>
          </cell>
          <cell r="F97">
            <v>0.39373919493956855</v>
          </cell>
          <cell r="G97">
            <v>0.37892685980922203</v>
          </cell>
          <cell r="H97">
            <v>0.38067676866444883</v>
          </cell>
          <cell r="I97">
            <v>0.38388653691926711</v>
          </cell>
          <cell r="J97">
            <v>0.38736079763870446</v>
          </cell>
          <cell r="K97">
            <v>0.39214005820044234</v>
          </cell>
          <cell r="L97">
            <v>0.39648222217607371</v>
          </cell>
          <cell r="M97">
            <v>0.40044173320291493</v>
          </cell>
        </row>
        <row r="101">
          <cell r="A101" t="str">
            <v>1.  Debt beta and cost of equity were calculated using the CAPM.  The equity beta and WACC were calculated using the Miles-Ezzell formulas (where q = Rd/(1+Rd)):</v>
          </cell>
        </row>
        <row r="103">
          <cell r="B103" t="str">
            <v>Be = Bu + (Bu - Bd)(1-tq)(D/E)</v>
          </cell>
        </row>
        <row r="105">
          <cell r="B105" t="str">
            <v>WACC = Rd(1-t)(D/V) + Re(E/V)</v>
          </cell>
        </row>
        <row r="106">
          <cell r="B106" t="str">
            <v xml:space="preserve">           = Ru - tq(1+Ru)(D/V)</v>
          </cell>
        </row>
        <row r="108">
          <cell r="A108" t="str">
            <v xml:space="preserve">2.  Depreciation is calculated on a straightline basis.  Initial PPE and all additions to PPE are assumed to have a useful life of 15 years.  Capital expenditures are what is </v>
          </cell>
        </row>
        <row r="109">
          <cell r="A109" t="str">
            <v xml:space="preserve">     required to maintain a constant PPE/Sales ratio.</v>
          </cell>
        </row>
        <row r="111">
          <cell r="A111" t="str">
            <v>4.  Terminal value:</v>
          </cell>
        </row>
        <row r="113">
          <cell r="B113" t="str">
            <v>TVT = EBIATT  ( 1 + G ) ( 1 - k ) / ( W - G )</v>
          </cell>
        </row>
      </sheetData>
      <sheetData sheetId="15" refreshError="1"/>
      <sheetData sheetId="16" refreshError="1"/>
      <sheetData sheetId="17"/>
      <sheetData sheetId="18"/>
      <sheetData sheetId="19"/>
      <sheetData sheetId="20"/>
      <sheetData sheetId="21"/>
      <sheetData sheetId="22"/>
      <sheetData sheetId="23" refreshError="1"/>
      <sheetData sheetId="24" refreshError="1"/>
      <sheetData sheetId="25" refreshError="1"/>
      <sheetData sheetId="26" refreshError="1"/>
      <sheetData sheetId="27" refreshError="1"/>
      <sheetData sheetId="28"/>
      <sheetData sheetId="29" refreshError="1"/>
      <sheetData sheetId="30" refreshError="1"/>
      <sheetData sheetId="31" refreshError="1"/>
      <sheetData sheetId="32" refreshError="1"/>
      <sheetData sheetId="33" refreshError="1"/>
      <sheetData sheetId="34"/>
      <sheetData sheetId="35"/>
      <sheetData sheetId="36"/>
      <sheetData sheetId="37"/>
      <sheetData sheetId="38"/>
      <sheetData sheetId="39"/>
      <sheetData sheetId="40"/>
      <sheetData sheetId="4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areTaxoPres"/>
      <sheetName val="Questions"/>
      <sheetName val="Returns"/>
      <sheetName val="Comp Performance"/>
      <sheetName val="Op Margin"/>
      <sheetName val="Variance"/>
      <sheetName val="Disclosures"/>
      <sheetName val="Productivity"/>
      <sheetName val="Shrink"/>
      <sheetName val="Income"/>
      <sheetName val="Balance Sheet"/>
      <sheetName val="mwareValPrintout"/>
      <sheetName val="Cash Flow"/>
      <sheetName val="RNOA - ROE"/>
      <sheetName val="VALUATION"/>
      <sheetName val="LEASES NEW"/>
      <sheetName val="LINKED DATA"/>
      <sheetName val="mwarePreview"/>
      <sheetName val="mwareDates"/>
      <sheetName val="Mix"/>
      <sheetName val="mwareDatesOld"/>
      <sheetName val="mwareSettings"/>
      <sheetName val="mwareSettingsOld"/>
      <sheetName val="NY UPLOAD shadow"/>
      <sheetName val="ROST_working"/>
      <sheetName val="P Map"/>
      <sheetName val="MW-Cache"/>
      <sheetName val="MWA RR"/>
    </sheetNames>
    <sheetDataSet>
      <sheetData sheetId="0" refreshError="1"/>
      <sheetData sheetId="1" refreshError="1"/>
      <sheetData sheetId="2" refreshError="1">
        <row r="3">
          <cell r="E3">
            <v>2001</v>
          </cell>
          <cell r="F3">
            <v>2002</v>
          </cell>
          <cell r="G3">
            <v>2003</v>
          </cell>
          <cell r="H3">
            <v>2004</v>
          </cell>
          <cell r="I3" t="str">
            <v>2005E</v>
          </cell>
          <cell r="J3" t="str">
            <v>2006E</v>
          </cell>
          <cell r="K3" t="str">
            <v>2007E</v>
          </cell>
        </row>
        <row r="4">
          <cell r="D4" t="str">
            <v>RNOA Old</v>
          </cell>
          <cell r="E4">
            <v>0.21659044985158352</v>
          </cell>
          <cell r="F4">
            <v>0.20026107683325725</v>
          </cell>
          <cell r="G4">
            <v>0.18722647709185505</v>
          </cell>
          <cell r="H4">
            <v>0.12905084510452705</v>
          </cell>
          <cell r="I4">
            <v>0.15716129905306389</v>
          </cell>
          <cell r="J4">
            <v>0.17577949576621876</v>
          </cell>
          <cell r="K4">
            <v>0.18500181827983439</v>
          </cell>
        </row>
        <row r="6">
          <cell r="E6">
            <v>2001</v>
          </cell>
          <cell r="F6">
            <v>2002</v>
          </cell>
          <cell r="G6">
            <v>2003</v>
          </cell>
          <cell r="H6">
            <v>2004</v>
          </cell>
          <cell r="I6" t="str">
            <v>2005E</v>
          </cell>
          <cell r="J6" t="str">
            <v>2006E</v>
          </cell>
          <cell r="K6" t="str">
            <v>2007E</v>
          </cell>
        </row>
        <row r="7">
          <cell r="D7" t="str">
            <v>RNOA New</v>
          </cell>
          <cell r="E7">
            <v>0.22550731861735751</v>
          </cell>
          <cell r="F7">
            <v>0.2081664172382533</v>
          </cell>
          <cell r="G7">
            <v>0.20875034525635222</v>
          </cell>
          <cell r="H7">
            <v>0.1468580823245382</v>
          </cell>
          <cell r="I7">
            <v>0.1610785778608389</v>
          </cell>
          <cell r="J7">
            <v>0.17033732967132059</v>
          </cell>
          <cell r="K7">
            <v>0.17178377094114411</v>
          </cell>
        </row>
      </sheetData>
      <sheetData sheetId="3" refreshError="1">
        <row r="5">
          <cell r="E5" t="str">
            <v>Actual</v>
          </cell>
          <cell r="G5" t="str">
            <v>Consensus</v>
          </cell>
          <cell r="I5" t="str">
            <v xml:space="preserve">Degree of </v>
          </cell>
        </row>
        <row r="6">
          <cell r="E6" t="str">
            <v>Comp</v>
          </cell>
          <cell r="G6" t="str">
            <v>Estimate</v>
          </cell>
          <cell r="I6" t="str">
            <v>Outperformance</v>
          </cell>
        </row>
        <row r="7">
          <cell r="E7" t="str">
            <v>(%)</v>
          </cell>
          <cell r="G7" t="str">
            <v>(%)</v>
          </cell>
          <cell r="I7" t="str">
            <v>(%)</v>
          </cell>
        </row>
        <row r="8">
          <cell r="D8" t="str">
            <v>July</v>
          </cell>
          <cell r="E8">
            <v>7</v>
          </cell>
          <cell r="G8">
            <v>5.5</v>
          </cell>
          <cell r="I8">
            <v>1.5</v>
          </cell>
        </row>
        <row r="9">
          <cell r="D9" t="str">
            <v>August</v>
          </cell>
          <cell r="E9">
            <v>13</v>
          </cell>
          <cell r="G9">
            <v>10.8</v>
          </cell>
          <cell r="I9">
            <v>2.1999999999999993</v>
          </cell>
        </row>
        <row r="10">
          <cell r="D10" t="str">
            <v>September</v>
          </cell>
          <cell r="E10">
            <v>9</v>
          </cell>
          <cell r="G10">
            <v>6.2</v>
          </cell>
          <cell r="I10">
            <v>2.8</v>
          </cell>
        </row>
        <row r="11">
          <cell r="D11" t="str">
            <v>October</v>
          </cell>
          <cell r="E11">
            <v>7</v>
          </cell>
          <cell r="G11">
            <v>4</v>
          </cell>
          <cell r="I11">
            <v>3</v>
          </cell>
        </row>
      </sheetData>
      <sheetData sheetId="4" refreshError="1">
        <row r="6">
          <cell r="E6">
            <v>2001</v>
          </cell>
          <cell r="F6">
            <v>2002</v>
          </cell>
          <cell r="G6">
            <v>2003</v>
          </cell>
          <cell r="H6">
            <v>2004</v>
          </cell>
          <cell r="I6" t="str">
            <v>2005E</v>
          </cell>
          <cell r="J6" t="str">
            <v>2006E</v>
          </cell>
          <cell r="K6" t="str">
            <v>2007E</v>
          </cell>
        </row>
        <row r="7">
          <cell r="D7" t="str">
            <v>Operating Magin New</v>
          </cell>
          <cell r="E7">
            <v>8.6304608992980661E-2</v>
          </cell>
          <cell r="F7">
            <v>9.3624561038855206E-2</v>
          </cell>
          <cell r="G7">
            <v>9.5246803855447038E-2</v>
          </cell>
          <cell r="H7">
            <v>6.974497581362217E-2</v>
          </cell>
          <cell r="I7">
            <v>6.5823668600995242E-2</v>
          </cell>
          <cell r="J7">
            <v>6.8122423315100808E-2</v>
          </cell>
          <cell r="K7">
            <v>7.1122423315100949E-2</v>
          </cell>
        </row>
        <row r="8">
          <cell r="D8" t="str">
            <v>Operating Margin Old</v>
          </cell>
          <cell r="E8">
            <v>8.6368284749331475E-2</v>
          </cell>
          <cell r="F8">
            <v>9.3112575392576696E-2</v>
          </cell>
          <cell r="G8">
            <v>9.5246803855447038E-2</v>
          </cell>
          <cell r="H8">
            <v>6.9215965131993212E-2</v>
          </cell>
          <cell r="I8">
            <v>6.9434946241582557E-2</v>
          </cell>
          <cell r="J8">
            <v>8.1434946241582415E-2</v>
          </cell>
          <cell r="K8">
            <v>8.3934946241582306E-2</v>
          </cell>
        </row>
        <row r="10">
          <cell r="M10" t="str">
            <v>2005E</v>
          </cell>
          <cell r="O10" t="str">
            <v>2006E</v>
          </cell>
        </row>
        <row r="11">
          <cell r="M11" t="str">
            <v xml:space="preserve">Old </v>
          </cell>
          <cell r="N11" t="str">
            <v>New</v>
          </cell>
          <cell r="O11" t="str">
            <v xml:space="preserve">Old </v>
          </cell>
          <cell r="P11" t="str">
            <v>New</v>
          </cell>
        </row>
        <row r="12">
          <cell r="L12" t="str">
            <v>Gross margin</v>
          </cell>
          <cell r="M12">
            <v>0.22281374993380371</v>
          </cell>
          <cell r="N12">
            <v>0.22078245953473774</v>
          </cell>
          <cell r="O12">
            <v>0.23431374993380352</v>
          </cell>
          <cell r="P12">
            <v>0.2250119761582198</v>
          </cell>
        </row>
        <row r="13">
          <cell r="L13" t="str">
            <v>Operating margin</v>
          </cell>
          <cell r="M13">
            <v>6.9434946241582557E-2</v>
          </cell>
          <cell r="N13">
            <v>6.5823668600995242E-2</v>
          </cell>
          <cell r="O13">
            <v>8.1434946241582415E-2</v>
          </cell>
          <cell r="P13">
            <v>6.8122423315100808E-2</v>
          </cell>
        </row>
        <row r="15">
          <cell r="N15">
            <v>-3.6112776405873154E-3</v>
          </cell>
          <cell r="P15">
            <v>-1.3312522926481607E-2</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ffic"/>
      <sheetName val="PSF"/>
      <sheetName val="Comps"/>
      <sheetName val="__FDSCACHE__"/>
      <sheetName val="P"/>
    </sheetNames>
    <sheetDataSet>
      <sheetData sheetId="0" refreshError="1">
        <row r="1">
          <cell r="A1" t="str">
            <v>Gap Traffic Growth</v>
          </cell>
        </row>
        <row r="2">
          <cell r="B2">
            <v>38443</v>
          </cell>
          <cell r="C2">
            <v>38473</v>
          </cell>
          <cell r="D2">
            <v>38504</v>
          </cell>
          <cell r="E2">
            <v>38534</v>
          </cell>
          <cell r="F2">
            <v>38565</v>
          </cell>
          <cell r="G2">
            <v>38596</v>
          </cell>
          <cell r="H2">
            <v>38626</v>
          </cell>
          <cell r="I2">
            <v>38657</v>
          </cell>
          <cell r="J2">
            <v>38687</v>
          </cell>
          <cell r="K2">
            <v>38718</v>
          </cell>
          <cell r="L2">
            <v>38749</v>
          </cell>
          <cell r="M2">
            <v>38777</v>
          </cell>
          <cell r="N2">
            <v>38808</v>
          </cell>
          <cell r="O2">
            <v>38838</v>
          </cell>
          <cell r="P2">
            <v>38869</v>
          </cell>
          <cell r="Q2">
            <v>38899</v>
          </cell>
          <cell r="R2">
            <v>38108</v>
          </cell>
          <cell r="S2">
            <v>38139</v>
          </cell>
          <cell r="T2">
            <v>38169</v>
          </cell>
          <cell r="U2">
            <v>38200</v>
          </cell>
          <cell r="V2">
            <v>38231</v>
          </cell>
          <cell r="W2">
            <v>38261</v>
          </cell>
          <cell r="X2">
            <v>38292</v>
          </cell>
          <cell r="Y2">
            <v>38322</v>
          </cell>
          <cell r="Z2">
            <v>38353</v>
          </cell>
          <cell r="AA2">
            <v>38384</v>
          </cell>
          <cell r="AB2">
            <v>38412</v>
          </cell>
          <cell r="AC2">
            <v>38443</v>
          </cell>
          <cell r="AD2">
            <v>38473</v>
          </cell>
          <cell r="AE2">
            <v>38504</v>
          </cell>
          <cell r="AF2">
            <v>38534</v>
          </cell>
          <cell r="AG2">
            <v>38565</v>
          </cell>
          <cell r="AH2">
            <v>38596</v>
          </cell>
          <cell r="AI2">
            <v>38626</v>
          </cell>
          <cell r="AJ2">
            <v>38657</v>
          </cell>
          <cell r="AK2">
            <v>38687</v>
          </cell>
          <cell r="AL2">
            <v>38718</v>
          </cell>
          <cell r="AM2">
            <v>38749</v>
          </cell>
          <cell r="AN2">
            <v>38777</v>
          </cell>
          <cell r="AO2">
            <v>38808</v>
          </cell>
          <cell r="AP2">
            <v>38838</v>
          </cell>
          <cell r="AQ2">
            <v>38869</v>
          </cell>
          <cell r="AR2">
            <v>38899</v>
          </cell>
          <cell r="AS2">
            <v>38930</v>
          </cell>
          <cell r="AT2">
            <v>37865</v>
          </cell>
          <cell r="AU2">
            <v>37895</v>
          </cell>
          <cell r="AV2">
            <v>37926</v>
          </cell>
          <cell r="AW2">
            <v>37956</v>
          </cell>
          <cell r="AX2">
            <v>37987</v>
          </cell>
          <cell r="AY2">
            <v>38018</v>
          </cell>
          <cell r="AZ2">
            <v>38047</v>
          </cell>
          <cell r="BA2">
            <v>38078</v>
          </cell>
          <cell r="BB2">
            <v>38108</v>
          </cell>
          <cell r="BC2">
            <v>38139</v>
          </cell>
          <cell r="BD2">
            <v>38169</v>
          </cell>
          <cell r="BE2">
            <v>38200</v>
          </cell>
          <cell r="BF2">
            <v>38231</v>
          </cell>
          <cell r="BG2">
            <v>38261</v>
          </cell>
          <cell r="BH2">
            <v>38292</v>
          </cell>
          <cell r="BI2">
            <v>38322</v>
          </cell>
          <cell r="BJ2">
            <v>38353</v>
          </cell>
          <cell r="BK2">
            <v>38384</v>
          </cell>
          <cell r="BL2">
            <v>38412</v>
          </cell>
          <cell r="BM2">
            <v>38443</v>
          </cell>
          <cell r="BN2">
            <v>38473</v>
          </cell>
          <cell r="BO2">
            <v>38504</v>
          </cell>
          <cell r="BP2">
            <v>38534</v>
          </cell>
          <cell r="BQ2">
            <v>38565</v>
          </cell>
          <cell r="BR2">
            <v>38596</v>
          </cell>
          <cell r="BS2">
            <v>38626</v>
          </cell>
          <cell r="BT2">
            <v>38657</v>
          </cell>
          <cell r="BU2">
            <v>38687</v>
          </cell>
          <cell r="BV2">
            <v>38718</v>
          </cell>
          <cell r="BW2">
            <v>38749</v>
          </cell>
          <cell r="BX2">
            <v>38777</v>
          </cell>
          <cell r="BY2">
            <v>38808</v>
          </cell>
          <cell r="BZ2">
            <v>38838</v>
          </cell>
          <cell r="CA2">
            <v>38869</v>
          </cell>
          <cell r="CB2">
            <v>38899</v>
          </cell>
          <cell r="CC2">
            <v>38930</v>
          </cell>
          <cell r="CD2" t="str">
            <v>R2</v>
          </cell>
          <cell r="CE2" t="str">
            <v>R2</v>
          </cell>
        </row>
        <row r="3">
          <cell r="A3" t="str">
            <v>Gap North America</v>
          </cell>
          <cell r="B3">
            <v>-0.09</v>
          </cell>
          <cell r="C3">
            <v>-0.08</v>
          </cell>
          <cell r="D3">
            <v>0</v>
          </cell>
          <cell r="E3">
            <v>-0.06</v>
          </cell>
          <cell r="F3">
            <v>-0.09</v>
          </cell>
          <cell r="G3">
            <v>-0.1</v>
          </cell>
          <cell r="H3">
            <v>-0.09</v>
          </cell>
          <cell r="I3">
            <v>-0.08</v>
          </cell>
          <cell r="J3">
            <v>-0.1</v>
          </cell>
          <cell r="K3">
            <v>-0.05</v>
          </cell>
          <cell r="L3">
            <v>-0.12</v>
          </cell>
          <cell r="M3">
            <v>-0.16</v>
          </cell>
          <cell r="N3">
            <v>-0.06</v>
          </cell>
          <cell r="O3">
            <v>-0.12</v>
          </cell>
          <cell r="P3">
            <v>-0.12</v>
          </cell>
          <cell r="Q3">
            <v>-0.11</v>
          </cell>
          <cell r="R3">
            <v>0.02</v>
          </cell>
          <cell r="S3">
            <v>-0.03</v>
          </cell>
          <cell r="T3">
            <v>-0.03</v>
          </cell>
          <cell r="U3">
            <v>-0.05</v>
          </cell>
          <cell r="V3">
            <v>-0.02</v>
          </cell>
          <cell r="W3">
            <v>0.05</v>
          </cell>
          <cell r="X3">
            <v>-0.04</v>
          </cell>
          <cell r="Y3">
            <v>-0.01</v>
          </cell>
          <cell r="Z3">
            <v>-0.02</v>
          </cell>
          <cell r="AA3">
            <v>-0.02</v>
          </cell>
          <cell r="AB3">
            <v>0</v>
          </cell>
          <cell r="AC3">
            <v>-0.09</v>
          </cell>
          <cell r="AD3">
            <v>-0.08</v>
          </cell>
          <cell r="AE3">
            <v>0</v>
          </cell>
          <cell r="AF3">
            <v>-0.06</v>
          </cell>
          <cell r="AG3">
            <v>-0.09</v>
          </cell>
          <cell r="AH3">
            <v>-0.1</v>
          </cell>
          <cell r="AI3">
            <v>-0.09</v>
          </cell>
          <cell r="AJ3">
            <v>-0.08</v>
          </cell>
          <cell r="AK3">
            <v>-0.1</v>
          </cell>
          <cell r="AL3">
            <v>-0.05</v>
          </cell>
          <cell r="AM3">
            <v>-0.12</v>
          </cell>
          <cell r="AN3">
            <v>-0.16</v>
          </cell>
          <cell r="AO3">
            <v>-0.06</v>
          </cell>
          <cell r="AP3">
            <v>-0.12</v>
          </cell>
          <cell r="AQ3">
            <v>-0.12</v>
          </cell>
          <cell r="AR3">
            <v>-0.11</v>
          </cell>
          <cell r="AS3">
            <v>-0.1</v>
          </cell>
          <cell r="AT3">
            <v>-35</v>
          </cell>
          <cell r="AU3">
            <v>-34</v>
          </cell>
          <cell r="AV3">
            <v>-33</v>
          </cell>
          <cell r="AW3">
            <v>-32</v>
          </cell>
          <cell r="AX3">
            <v>-31</v>
          </cell>
          <cell r="AY3">
            <v>-30</v>
          </cell>
          <cell r="AZ3">
            <v>-29</v>
          </cell>
          <cell r="BA3">
            <v>-28</v>
          </cell>
          <cell r="BB3">
            <v>-27</v>
          </cell>
          <cell r="BC3">
            <v>-26</v>
          </cell>
          <cell r="BD3">
            <v>-25</v>
          </cell>
          <cell r="BE3">
            <v>-24</v>
          </cell>
          <cell r="BF3">
            <v>-23</v>
          </cell>
          <cell r="BG3">
            <v>-22</v>
          </cell>
          <cell r="BH3">
            <v>-21</v>
          </cell>
          <cell r="BI3">
            <v>-20</v>
          </cell>
          <cell r="BJ3">
            <v>-19</v>
          </cell>
          <cell r="BK3">
            <v>-18</v>
          </cell>
          <cell r="BL3">
            <v>-17</v>
          </cell>
          <cell r="BM3">
            <v>-16</v>
          </cell>
          <cell r="BN3">
            <v>-15</v>
          </cell>
          <cell r="BO3">
            <v>-14</v>
          </cell>
          <cell r="BP3">
            <v>-13</v>
          </cell>
          <cell r="BQ3">
            <v>-12</v>
          </cell>
          <cell r="BR3">
            <v>-11</v>
          </cell>
          <cell r="BS3">
            <v>-10</v>
          </cell>
          <cell r="BT3">
            <v>-9</v>
          </cell>
          <cell r="BU3">
            <v>-8</v>
          </cell>
          <cell r="BV3">
            <v>-7</v>
          </cell>
          <cell r="BW3">
            <v>-6</v>
          </cell>
          <cell r="BX3">
            <v>-5</v>
          </cell>
          <cell r="BY3">
            <v>-4</v>
          </cell>
          <cell r="BZ3">
            <v>-3</v>
          </cell>
          <cell r="CA3">
            <v>-2</v>
          </cell>
          <cell r="CB3">
            <v>-1</v>
          </cell>
          <cell r="CC3">
            <v>0</v>
          </cell>
          <cell r="CD3">
            <v>0</v>
          </cell>
        </row>
        <row r="4">
          <cell r="A4" t="str">
            <v>Banana Republic</v>
          </cell>
          <cell r="B4">
            <v>-0.04</v>
          </cell>
          <cell r="C4">
            <v>-0.04</v>
          </cell>
          <cell r="D4">
            <v>-0.02</v>
          </cell>
          <cell r="E4">
            <v>0.02</v>
          </cell>
          <cell r="F4">
            <v>-0.04</v>
          </cell>
          <cell r="G4">
            <v>-0.08</v>
          </cell>
          <cell r="H4">
            <v>-0.08</v>
          </cell>
          <cell r="I4">
            <v>-7.0000000000000007E-2</v>
          </cell>
          <cell r="J4">
            <v>-7.0000000000000007E-2</v>
          </cell>
          <cell r="K4">
            <v>-0.05</v>
          </cell>
          <cell r="L4">
            <v>-0.15</v>
          </cell>
          <cell r="M4">
            <v>-0.13</v>
          </cell>
          <cell r="N4">
            <v>-7.0000000000000007E-2</v>
          </cell>
          <cell r="O4">
            <v>-0.09</v>
          </cell>
          <cell r="P4">
            <v>-0.12</v>
          </cell>
          <cell r="Q4">
            <v>-0.08</v>
          </cell>
          <cell r="R4">
            <v>7.0000000000000007E-2</v>
          </cell>
          <cell r="S4">
            <v>0.08</v>
          </cell>
          <cell r="T4">
            <v>-0.03</v>
          </cell>
          <cell r="U4">
            <v>0</v>
          </cell>
          <cell r="V4">
            <v>0.04</v>
          </cell>
          <cell r="W4">
            <v>0.03</v>
          </cell>
          <cell r="X4">
            <v>0</v>
          </cell>
          <cell r="Y4">
            <v>-0.01</v>
          </cell>
          <cell r="Z4">
            <v>0.04</v>
          </cell>
          <cell r="AA4">
            <v>-0.02</v>
          </cell>
          <cell r="AB4">
            <v>0.01</v>
          </cell>
          <cell r="AC4">
            <v>-0.04</v>
          </cell>
          <cell r="AD4">
            <v>-0.04</v>
          </cell>
          <cell r="AE4">
            <v>-0.02</v>
          </cell>
          <cell r="AF4">
            <v>0.02</v>
          </cell>
          <cell r="AG4">
            <v>-0.04</v>
          </cell>
          <cell r="AH4">
            <v>-0.08</v>
          </cell>
          <cell r="AI4">
            <v>-0.08</v>
          </cell>
          <cell r="AJ4">
            <v>-7.0000000000000007E-2</v>
          </cell>
          <cell r="AK4">
            <v>-7.0000000000000007E-2</v>
          </cell>
          <cell r="AL4">
            <v>-0.05</v>
          </cell>
          <cell r="AM4">
            <v>-0.15</v>
          </cell>
          <cell r="AN4">
            <v>-0.13</v>
          </cell>
          <cell r="AO4">
            <v>-7.0000000000000007E-2</v>
          </cell>
          <cell r="AP4">
            <v>-0.09</v>
          </cell>
          <cell r="AQ4">
            <v>-0.12</v>
          </cell>
          <cell r="AR4">
            <v>-0.08</v>
          </cell>
          <cell r="AS4">
            <v>-7.0000000000000007E-2</v>
          </cell>
          <cell r="AT4" t="str">
            <v>09/2003</v>
          </cell>
          <cell r="AU4" t="str">
            <v>10/2003</v>
          </cell>
          <cell r="AV4" t="str">
            <v>11/2003</v>
          </cell>
          <cell r="AW4" t="str">
            <v>12/2003</v>
          </cell>
          <cell r="AX4" t="str">
            <v>01/2004</v>
          </cell>
          <cell r="AY4" t="str">
            <v>02/2004</v>
          </cell>
          <cell r="AZ4" t="str">
            <v>03/2004</v>
          </cell>
          <cell r="BA4" t="str">
            <v>04/2004</v>
          </cell>
          <cell r="BB4" t="str">
            <v>05/2004</v>
          </cell>
          <cell r="BC4" t="str">
            <v>06/2004</v>
          </cell>
          <cell r="BD4" t="str">
            <v>07/2004</v>
          </cell>
          <cell r="BE4" t="str">
            <v>08/2004</v>
          </cell>
          <cell r="BF4" t="str">
            <v>09/2004</v>
          </cell>
          <cell r="BG4" t="str">
            <v>10/2004</v>
          </cell>
          <cell r="BH4" t="str">
            <v>11/2004</v>
          </cell>
          <cell r="BI4" t="str">
            <v>12/2004</v>
          </cell>
          <cell r="BJ4" t="str">
            <v>01/2005</v>
          </cell>
          <cell r="BK4" t="str">
            <v>02/2005</v>
          </cell>
          <cell r="BL4" t="str">
            <v>03/2005</v>
          </cell>
          <cell r="BM4" t="str">
            <v>04/2005</v>
          </cell>
          <cell r="BN4" t="str">
            <v>05/2005</v>
          </cell>
          <cell r="BO4" t="str">
            <v>06/2005</v>
          </cell>
          <cell r="BP4" t="str">
            <v>07/2005</v>
          </cell>
          <cell r="BQ4" t="str">
            <v>08/2005</v>
          </cell>
          <cell r="BR4" t="str">
            <v>09/2005</v>
          </cell>
          <cell r="BS4" t="str">
            <v>10/2005</v>
          </cell>
          <cell r="BT4" t="str">
            <v>11/2005</v>
          </cell>
          <cell r="BU4" t="str">
            <v>12/2005</v>
          </cell>
          <cell r="BV4" t="str">
            <v>01/2006</v>
          </cell>
          <cell r="BW4" t="str">
            <v>02/2006</v>
          </cell>
          <cell r="BX4" t="str">
            <v>03/2006</v>
          </cell>
          <cell r="BY4" t="str">
            <v>04/2006</v>
          </cell>
          <cell r="BZ4" t="str">
            <v>05/2006</v>
          </cell>
          <cell r="CA4" t="str">
            <v>06/2006</v>
          </cell>
          <cell r="CB4" t="str">
            <v>07/2006</v>
          </cell>
          <cell r="CC4" t="str">
            <v>08/2006</v>
          </cell>
          <cell r="CD4" t="str">
            <v>08/2006</v>
          </cell>
        </row>
        <row r="5">
          <cell r="A5" t="str">
            <v>Old Navy</v>
          </cell>
          <cell r="B5">
            <v>-0.01</v>
          </cell>
          <cell r="C5">
            <v>-0.02</v>
          </cell>
          <cell r="D5">
            <v>0.03</v>
          </cell>
          <cell r="E5">
            <v>-0.01</v>
          </cell>
          <cell r="F5">
            <v>-0.05</v>
          </cell>
          <cell r="G5">
            <v>-7.0000000000000007E-2</v>
          </cell>
          <cell r="H5">
            <v>-0.09</v>
          </cell>
          <cell r="I5">
            <v>-0.05</v>
          </cell>
          <cell r="J5">
            <v>-0.1</v>
          </cell>
          <cell r="K5">
            <v>0</v>
          </cell>
          <cell r="L5">
            <v>-0.11</v>
          </cell>
          <cell r="M5">
            <v>-0.11</v>
          </cell>
          <cell r="N5">
            <v>-0.02</v>
          </cell>
          <cell r="O5">
            <v>-7.0000000000000007E-2</v>
          </cell>
          <cell r="P5">
            <v>-7.0000000000000007E-2</v>
          </cell>
          <cell r="Q5">
            <v>0</v>
          </cell>
          <cell r="R5">
            <v>0.02</v>
          </cell>
          <cell r="S5">
            <v>-0.01</v>
          </cell>
          <cell r="T5">
            <v>0</v>
          </cell>
          <cell r="U5">
            <v>0</v>
          </cell>
          <cell r="V5">
            <v>0.04</v>
          </cell>
          <cell r="W5">
            <v>0.06</v>
          </cell>
          <cell r="X5">
            <v>0</v>
          </cell>
          <cell r="Y5">
            <v>0.05</v>
          </cell>
          <cell r="Z5">
            <v>-0.05</v>
          </cell>
          <cell r="AA5">
            <v>-0.01</v>
          </cell>
          <cell r="AB5">
            <v>-0.02</v>
          </cell>
          <cell r="AC5">
            <v>-0.01</v>
          </cell>
          <cell r="AD5">
            <v>-0.02</v>
          </cell>
          <cell r="AE5">
            <v>0.03</v>
          </cell>
          <cell r="AF5">
            <v>-0.01</v>
          </cell>
          <cell r="AG5">
            <v>-0.05</v>
          </cell>
          <cell r="AH5">
            <v>-7.0000000000000007E-2</v>
          </cell>
          <cell r="AI5">
            <v>-0.09</v>
          </cell>
          <cell r="AJ5">
            <v>-0.05</v>
          </cell>
          <cell r="AK5">
            <v>-0.1</v>
          </cell>
          <cell r="AL5">
            <v>0</v>
          </cell>
          <cell r="AM5">
            <v>-0.11</v>
          </cell>
          <cell r="AN5">
            <v>-0.11</v>
          </cell>
          <cell r="AO5">
            <v>-0.02</v>
          </cell>
          <cell r="AP5">
            <v>-7.0000000000000007E-2</v>
          </cell>
          <cell r="AQ5">
            <v>-7.0000000000000007E-2</v>
          </cell>
          <cell r="AR5">
            <v>0</v>
          </cell>
          <cell r="AS5">
            <v>-0.05</v>
          </cell>
          <cell r="AT5">
            <v>17.12</v>
          </cell>
          <cell r="AU5">
            <v>19.080000000000002</v>
          </cell>
          <cell r="AV5">
            <v>21.5</v>
          </cell>
          <cell r="AW5">
            <v>23.21</v>
          </cell>
          <cell r="AX5">
            <v>18.580000000000002</v>
          </cell>
          <cell r="AY5">
            <v>20.8</v>
          </cell>
          <cell r="AZ5">
            <v>21.92</v>
          </cell>
          <cell r="BA5">
            <v>22.01</v>
          </cell>
          <cell r="BB5">
            <v>24.150000000000002</v>
          </cell>
          <cell r="BC5">
            <v>24.25</v>
          </cell>
          <cell r="BD5">
            <v>22.700000000000003</v>
          </cell>
          <cell r="BE5">
            <v>18.740000000000002</v>
          </cell>
          <cell r="BF5">
            <v>18.650000000000002</v>
          </cell>
          <cell r="BG5">
            <v>19.98</v>
          </cell>
          <cell r="BH5">
            <v>21.85</v>
          </cell>
          <cell r="BI5">
            <v>21.12</v>
          </cell>
          <cell r="BJ5">
            <v>22.01</v>
          </cell>
          <cell r="BK5">
            <v>21.330000000000002</v>
          </cell>
          <cell r="BL5">
            <v>21.84</v>
          </cell>
          <cell r="BM5">
            <v>21.35</v>
          </cell>
          <cell r="BN5">
            <v>21</v>
          </cell>
          <cell r="BO5">
            <v>19.75</v>
          </cell>
          <cell r="BP5">
            <v>21.11</v>
          </cell>
          <cell r="BQ5">
            <v>19.010000000000002</v>
          </cell>
          <cell r="BR5">
            <v>17.43</v>
          </cell>
          <cell r="BS5">
            <v>17.28</v>
          </cell>
          <cell r="BT5">
            <v>17.38</v>
          </cell>
          <cell r="BU5">
            <v>17.64</v>
          </cell>
          <cell r="BV5">
            <v>18.09</v>
          </cell>
          <cell r="BW5">
            <v>18.54</v>
          </cell>
          <cell r="BX5">
            <v>18.68</v>
          </cell>
          <cell r="BY5">
            <v>18.09</v>
          </cell>
          <cell r="BZ5">
            <v>18.2</v>
          </cell>
          <cell r="CA5">
            <v>17.400000000000002</v>
          </cell>
          <cell r="CB5">
            <v>17.350000000000001</v>
          </cell>
          <cell r="CC5">
            <v>16.809999999999999</v>
          </cell>
          <cell r="CD5">
            <v>16.809999999999999</v>
          </cell>
        </row>
        <row r="6">
          <cell r="A6" t="str">
            <v>Gap North America</v>
          </cell>
        </row>
        <row r="7">
          <cell r="A7" t="str">
            <v>Traffic Growth</v>
          </cell>
          <cell r="AL7">
            <v>-0.09</v>
          </cell>
          <cell r="AM7">
            <v>-0.12</v>
          </cell>
          <cell r="AN7">
            <v>-0.12</v>
          </cell>
          <cell r="AO7">
            <v>-0.02</v>
          </cell>
          <cell r="AP7">
            <v>-0.05</v>
          </cell>
          <cell r="AQ7">
            <v>-0.03</v>
          </cell>
          <cell r="AR7">
            <v>-0.04</v>
          </cell>
          <cell r="AS7">
            <v>-0.04</v>
          </cell>
          <cell r="AT7">
            <v>0.02</v>
          </cell>
          <cell r="AU7">
            <v>-7.0000000000000007E-2</v>
          </cell>
          <cell r="AV7">
            <v>-0.04</v>
          </cell>
          <cell r="AW7">
            <v>-0.06</v>
          </cell>
          <cell r="AX7">
            <v>0.01</v>
          </cell>
          <cell r="AY7">
            <v>0.04</v>
          </cell>
          <cell r="AZ7">
            <v>0.01</v>
          </cell>
          <cell r="BA7">
            <v>0</v>
          </cell>
          <cell r="BB7">
            <v>0.02</v>
          </cell>
          <cell r="BC7">
            <v>-0.03</v>
          </cell>
          <cell r="BD7">
            <v>-0.03</v>
          </cell>
          <cell r="BE7">
            <v>-0.05</v>
          </cell>
          <cell r="BF7">
            <v>-0.02</v>
          </cell>
          <cell r="BG7">
            <v>0.05</v>
          </cell>
          <cell r="BH7">
            <v>-0.04</v>
          </cell>
          <cell r="BI7">
            <v>-0.01</v>
          </cell>
          <cell r="BJ7">
            <v>-0.02</v>
          </cell>
          <cell r="BK7">
            <v>-0.02</v>
          </cell>
          <cell r="BL7">
            <v>0</v>
          </cell>
          <cell r="BM7">
            <v>-0.09</v>
          </cell>
          <cell r="BN7">
            <v>-0.08</v>
          </cell>
          <cell r="BO7">
            <v>0</v>
          </cell>
          <cell r="BP7">
            <v>-0.06</v>
          </cell>
          <cell r="BQ7">
            <v>-0.09</v>
          </cell>
          <cell r="BR7">
            <v>-0.1</v>
          </cell>
          <cell r="BS7">
            <v>-0.09</v>
          </cell>
          <cell r="BT7">
            <v>-0.08</v>
          </cell>
          <cell r="BU7">
            <v>-0.1</v>
          </cell>
          <cell r="BV7">
            <v>-0.05</v>
          </cell>
          <cell r="BW7">
            <v>-0.12</v>
          </cell>
          <cell r="BX7">
            <v>-0.16</v>
          </cell>
          <cell r="BY7">
            <v>-0.06</v>
          </cell>
          <cell r="BZ7">
            <v>-0.12</v>
          </cell>
          <cell r="CA7">
            <v>-0.12</v>
          </cell>
          <cell r="CB7">
            <v>-0.11</v>
          </cell>
          <cell r="CC7">
            <v>-0.1</v>
          </cell>
          <cell r="CD7">
            <v>-0.05</v>
          </cell>
          <cell r="CF7">
            <v>0.05</v>
          </cell>
        </row>
        <row r="8">
          <cell r="A8" t="str">
            <v>Comp Growth</v>
          </cell>
          <cell r="C8">
            <v>0</v>
          </cell>
          <cell r="D8">
            <v>-0.15</v>
          </cell>
          <cell r="E8">
            <v>0.09</v>
          </cell>
          <cell r="F8">
            <v>0.01</v>
          </cell>
          <cell r="G8">
            <v>0.01</v>
          </cell>
          <cell r="H8">
            <v>0.1</v>
          </cell>
          <cell r="I8">
            <v>-0.06</v>
          </cell>
          <cell r="J8">
            <v>-0.04</v>
          </cell>
          <cell r="K8">
            <v>0.03</v>
          </cell>
          <cell r="L8">
            <v>0.05</v>
          </cell>
          <cell r="M8">
            <v>-0.01</v>
          </cell>
          <cell r="N8">
            <v>-0.04</v>
          </cell>
          <cell r="O8">
            <v>-0.05</v>
          </cell>
          <cell r="P8">
            <v>-0.05</v>
          </cell>
          <cell r="Q8">
            <v>-0.02</v>
          </cell>
          <cell r="R8">
            <v>-0.05</v>
          </cell>
          <cell r="S8">
            <v>-0.09</v>
          </cell>
          <cell r="T8">
            <v>-0.1</v>
          </cell>
          <cell r="U8">
            <v>-0.17</v>
          </cell>
          <cell r="V8">
            <v>-0.18</v>
          </cell>
          <cell r="W8">
            <v>-0.17</v>
          </cell>
          <cell r="X8">
            <v>-0.24</v>
          </cell>
          <cell r="Y8">
            <v>-0.1</v>
          </cell>
          <cell r="Z8">
            <v>-0.23</v>
          </cell>
          <cell r="AA8">
            <v>-0.24</v>
          </cell>
          <cell r="AB8">
            <v>-0.13</v>
          </cell>
          <cell r="AC8">
            <v>-0.25</v>
          </cell>
          <cell r="AD8">
            <v>-0.16</v>
          </cell>
          <cell r="AE8">
            <v>-7.0000000000000007E-2</v>
          </cell>
          <cell r="AF8">
            <v>-0.18</v>
          </cell>
          <cell r="AG8">
            <v>-0.04</v>
          </cell>
          <cell r="AH8">
            <v>-0.03</v>
          </cell>
          <cell r="AI8">
            <v>0.01</v>
          </cell>
          <cell r="AJ8">
            <v>7.0000000000000007E-2</v>
          </cell>
          <cell r="AK8">
            <v>0.02</v>
          </cell>
          <cell r="AL8">
            <v>0.08</v>
          </cell>
          <cell r="AM8">
            <v>0.11</v>
          </cell>
          <cell r="AN8">
            <v>0.05</v>
          </cell>
          <cell r="AO8">
            <v>0.23</v>
          </cell>
          <cell r="AP8">
            <v>0.08</v>
          </cell>
          <cell r="AQ8">
            <v>0.08</v>
          </cell>
          <cell r="AR8">
            <v>0.12</v>
          </cell>
          <cell r="AS8">
            <v>0.01</v>
          </cell>
          <cell r="AT8">
            <v>0.12</v>
          </cell>
          <cell r="AU8">
            <v>0.01</v>
          </cell>
          <cell r="AV8">
            <v>0.04</v>
          </cell>
          <cell r="AW8">
            <v>-0.01</v>
          </cell>
          <cell r="AX8">
            <v>0.05</v>
          </cell>
          <cell r="AY8">
            <v>0.04</v>
          </cell>
          <cell r="AZ8">
            <v>0.05</v>
          </cell>
          <cell r="BA8">
            <v>0.02</v>
          </cell>
          <cell r="BB8">
            <v>0.1</v>
          </cell>
          <cell r="BC8">
            <v>-0.03</v>
          </cell>
          <cell r="BD8">
            <v>-0.03</v>
          </cell>
          <cell r="BE8">
            <v>-0.01</v>
          </cell>
          <cell r="BF8">
            <v>-0.02</v>
          </cell>
          <cell r="BG8">
            <v>0.05</v>
          </cell>
          <cell r="BH8">
            <v>-0.01</v>
          </cell>
          <cell r="BI8">
            <v>0.01</v>
          </cell>
          <cell r="BJ8">
            <v>-0.06</v>
          </cell>
          <cell r="BK8">
            <v>-0.02</v>
          </cell>
          <cell r="BL8">
            <v>-0.01</v>
          </cell>
          <cell r="BM8">
            <v>-0.09</v>
          </cell>
          <cell r="BN8">
            <v>-0.09</v>
          </cell>
          <cell r="BO8">
            <v>0.03</v>
          </cell>
          <cell r="BP8">
            <v>-0.08</v>
          </cell>
          <cell r="BQ8">
            <v>-7.0000000000000007E-2</v>
          </cell>
          <cell r="BR8">
            <v>-0.03</v>
          </cell>
          <cell r="BS8">
            <v>-0.03</v>
          </cell>
          <cell r="BT8">
            <v>-0.05</v>
          </cell>
          <cell r="BU8">
            <v>-0.1</v>
          </cell>
          <cell r="BV8">
            <v>0.03</v>
          </cell>
          <cell r="BW8">
            <v>-7.0000000000000007E-2</v>
          </cell>
          <cell r="BX8">
            <v>-0.13</v>
          </cell>
          <cell r="BY8">
            <v>-0.02</v>
          </cell>
          <cell r="BZ8">
            <v>-0.05</v>
          </cell>
          <cell r="CA8">
            <v>-0.04</v>
          </cell>
          <cell r="CB8">
            <v>-0.13</v>
          </cell>
          <cell r="CC8">
            <v>-0.11</v>
          </cell>
          <cell r="CD8">
            <v>3.3046306775885603E-2</v>
          </cell>
          <cell r="CE8">
            <v>3.0293135522352376E-3</v>
          </cell>
        </row>
        <row r="9">
          <cell r="A9" t="str">
            <v>2-yr. Average Comps</v>
          </cell>
          <cell r="O9">
            <v>-2.5000000000000001E-2</v>
          </cell>
          <cell r="P9">
            <v>-0.1</v>
          </cell>
          <cell r="Q9">
            <v>3.4999999999999996E-2</v>
          </cell>
          <cell r="R9">
            <v>-0.02</v>
          </cell>
          <cell r="S9">
            <v>-0.04</v>
          </cell>
          <cell r="T9">
            <v>0</v>
          </cell>
          <cell r="U9">
            <v>-0.115</v>
          </cell>
          <cell r="V9">
            <v>-0.11</v>
          </cell>
          <cell r="W9">
            <v>-7.0000000000000007E-2</v>
          </cell>
          <cell r="X9">
            <v>-9.5000000000000001E-2</v>
          </cell>
          <cell r="Y9">
            <v>-5.5E-2</v>
          </cell>
          <cell r="Z9">
            <v>-0.13500000000000001</v>
          </cell>
          <cell r="AA9">
            <v>-0.14499999999999999</v>
          </cell>
          <cell r="AB9">
            <v>-0.09</v>
          </cell>
          <cell r="AC9">
            <v>-0.13500000000000001</v>
          </cell>
          <cell r="AD9">
            <v>-0.10500000000000001</v>
          </cell>
          <cell r="AE9">
            <v>-0.08</v>
          </cell>
          <cell r="AF9">
            <v>-0.14000000000000001</v>
          </cell>
          <cell r="AG9">
            <v>-0.10500000000000001</v>
          </cell>
          <cell r="AH9">
            <v>-0.105</v>
          </cell>
          <cell r="AI9">
            <v>-0.08</v>
          </cell>
          <cell r="AJ9">
            <v>-8.4999999999999992E-2</v>
          </cell>
          <cell r="AK9">
            <v>-0.04</v>
          </cell>
          <cell r="AL9">
            <v>-7.5000000000000011E-2</v>
          </cell>
          <cell r="AM9">
            <v>-6.5000000000000002E-2</v>
          </cell>
          <cell r="AN9">
            <v>-0.04</v>
          </cell>
          <cell r="AO9">
            <v>-9.999999999999995E-3</v>
          </cell>
          <cell r="AP9">
            <v>-0.04</v>
          </cell>
          <cell r="AQ9">
            <v>4.9999999999999975E-3</v>
          </cell>
          <cell r="AR9">
            <v>-0.03</v>
          </cell>
          <cell r="AS9">
            <v>-1.4999999999999999E-2</v>
          </cell>
          <cell r="AT9">
            <v>4.4999999999999998E-2</v>
          </cell>
          <cell r="AU9">
            <v>0.01</v>
          </cell>
          <cell r="AV9">
            <v>5.5000000000000007E-2</v>
          </cell>
          <cell r="AW9">
            <v>5.0000000000000001E-3</v>
          </cell>
          <cell r="AX9">
            <v>6.5000000000000002E-2</v>
          </cell>
          <cell r="AY9">
            <v>7.4999999999999997E-2</v>
          </cell>
          <cell r="AZ9">
            <v>0.05</v>
          </cell>
          <cell r="BA9">
            <v>0.125</v>
          </cell>
          <cell r="BB9">
            <v>0.09</v>
          </cell>
          <cell r="BC9">
            <v>2.5000000000000001E-2</v>
          </cell>
          <cell r="BD9">
            <v>4.4999999999999998E-2</v>
          </cell>
          <cell r="BE9">
            <v>0</v>
          </cell>
          <cell r="BF9">
            <v>4.9999999999999996E-2</v>
          </cell>
          <cell r="BG9">
            <v>3.0000000000000002E-2</v>
          </cell>
          <cell r="BH9">
            <v>1.4999999999999999E-2</v>
          </cell>
          <cell r="BI9">
            <v>0</v>
          </cell>
          <cell r="BJ9">
            <v>-4.9999999999999975E-3</v>
          </cell>
          <cell r="BK9">
            <v>0.01</v>
          </cell>
          <cell r="BL9">
            <v>0.02</v>
          </cell>
          <cell r="BM9">
            <v>-3.4999999999999996E-2</v>
          </cell>
          <cell r="BN9">
            <v>5.0000000000000044E-3</v>
          </cell>
          <cell r="BO9">
            <v>0</v>
          </cell>
          <cell r="BP9">
            <v>-5.5E-2</v>
          </cell>
          <cell r="BQ9">
            <v>-0.04</v>
          </cell>
          <cell r="BR9">
            <v>-2.5000000000000001E-2</v>
          </cell>
          <cell r="BS9">
            <v>1.0000000000000002E-2</v>
          </cell>
          <cell r="BT9">
            <v>-3.0000000000000002E-2</v>
          </cell>
          <cell r="BU9">
            <v>-4.5000000000000005E-2</v>
          </cell>
          <cell r="BV9">
            <v>-1.4999999999999999E-2</v>
          </cell>
          <cell r="BW9">
            <v>-4.5000000000000005E-2</v>
          </cell>
          <cell r="BX9">
            <v>-7.0000000000000007E-2</v>
          </cell>
          <cell r="BY9">
            <v>-5.5E-2</v>
          </cell>
          <cell r="BZ9">
            <v>-7.0000000000000007E-2</v>
          </cell>
          <cell r="CA9">
            <v>-5.000000000000001E-3</v>
          </cell>
          <cell r="CB9">
            <v>-0.10500000000000001</v>
          </cell>
          <cell r="CC9">
            <v>-0.09</v>
          </cell>
          <cell r="CD9">
            <v>0.34856151166975674</v>
          </cell>
          <cell r="CE9">
            <v>0.19069843988137203</v>
          </cell>
        </row>
        <row r="11">
          <cell r="A11" t="str">
            <v>Banana Republic</v>
          </cell>
        </row>
        <row r="12">
          <cell r="A12" t="str">
            <v>Traffic Growth</v>
          </cell>
          <cell r="AL12">
            <v>-0.06</v>
          </cell>
          <cell r="AM12">
            <v>-0.11</v>
          </cell>
          <cell r="AN12">
            <v>-0.14000000000000001</v>
          </cell>
          <cell r="AO12">
            <v>-0.06</v>
          </cell>
          <cell r="AP12">
            <v>-7.0000000000000007E-2</v>
          </cell>
          <cell r="AQ12">
            <v>-0.05</v>
          </cell>
          <cell r="AR12">
            <v>0</v>
          </cell>
          <cell r="AS12">
            <v>-0.06</v>
          </cell>
          <cell r="AT12">
            <v>0.02</v>
          </cell>
          <cell r="AU12">
            <v>0.03</v>
          </cell>
          <cell r="AV12">
            <v>0.03</v>
          </cell>
          <cell r="AW12">
            <v>0.05</v>
          </cell>
          <cell r="AX12">
            <v>0.06</v>
          </cell>
          <cell r="AY12">
            <v>0.17</v>
          </cell>
          <cell r="AZ12">
            <v>0.18</v>
          </cell>
          <cell r="BA12">
            <v>0.11</v>
          </cell>
          <cell r="BB12">
            <v>7.0000000000000007E-2</v>
          </cell>
          <cell r="BC12">
            <v>0.08</v>
          </cell>
          <cell r="BD12">
            <v>-0.03</v>
          </cell>
          <cell r="BE12">
            <v>0</v>
          </cell>
          <cell r="BF12">
            <v>0.04</v>
          </cell>
          <cell r="BG12">
            <v>0.03</v>
          </cell>
          <cell r="BH12">
            <v>0</v>
          </cell>
          <cell r="BI12">
            <v>-0.01</v>
          </cell>
          <cell r="BJ12">
            <v>0.04</v>
          </cell>
          <cell r="BK12">
            <v>-0.02</v>
          </cell>
          <cell r="BL12">
            <v>0.01</v>
          </cell>
          <cell r="BM12">
            <v>-0.04</v>
          </cell>
          <cell r="BN12">
            <v>-0.04</v>
          </cell>
          <cell r="BO12">
            <v>-0.02</v>
          </cell>
          <cell r="BP12">
            <v>0.02</v>
          </cell>
          <cell r="BQ12">
            <v>-0.04</v>
          </cell>
          <cell r="BR12">
            <v>-0.08</v>
          </cell>
          <cell r="BS12">
            <v>-0.08</v>
          </cell>
          <cell r="BT12">
            <v>-7.0000000000000007E-2</v>
          </cell>
          <cell r="BU12">
            <v>-7.0000000000000007E-2</v>
          </cell>
          <cell r="BV12">
            <v>-0.05</v>
          </cell>
          <cell r="BW12">
            <v>-0.15</v>
          </cell>
          <cell r="BX12">
            <v>-0.13</v>
          </cell>
          <cell r="BY12">
            <v>-7.0000000000000007E-2</v>
          </cell>
          <cell r="BZ12">
            <v>-0.09</v>
          </cell>
          <cell r="CA12">
            <v>-0.12</v>
          </cell>
          <cell r="CB12">
            <v>-0.08</v>
          </cell>
          <cell r="CC12">
            <v>-7.0000000000000007E-2</v>
          </cell>
          <cell r="CD12">
            <v>-0.02</v>
          </cell>
          <cell r="CF12">
            <v>0.06</v>
          </cell>
        </row>
        <row r="13">
          <cell r="A13" t="str">
            <v>Comp Growth</v>
          </cell>
          <cell r="C13">
            <v>0.03</v>
          </cell>
          <cell r="D13">
            <v>0.03</v>
          </cell>
          <cell r="E13">
            <v>0.08</v>
          </cell>
          <cell r="F13">
            <v>-0.03</v>
          </cell>
          <cell r="G13">
            <v>0.01</v>
          </cell>
          <cell r="H13">
            <v>0</v>
          </cell>
          <cell r="I13">
            <v>-0.01</v>
          </cell>
          <cell r="J13">
            <v>-0.05</v>
          </cell>
          <cell r="K13">
            <v>-0.01</v>
          </cell>
          <cell r="L13">
            <v>-0.06</v>
          </cell>
          <cell r="M13">
            <v>-0.03</v>
          </cell>
          <cell r="N13">
            <v>-0.09</v>
          </cell>
          <cell r="O13">
            <v>-0.1</v>
          </cell>
          <cell r="P13">
            <v>-0.09</v>
          </cell>
          <cell r="Q13">
            <v>-0.04</v>
          </cell>
          <cell r="R13">
            <v>-0.09</v>
          </cell>
          <cell r="S13">
            <v>0.01</v>
          </cell>
          <cell r="T13">
            <v>-0.03</v>
          </cell>
          <cell r="U13">
            <v>-0.12</v>
          </cell>
          <cell r="V13">
            <v>-0.12</v>
          </cell>
          <cell r="W13">
            <v>-0.15</v>
          </cell>
          <cell r="X13">
            <v>-0.12</v>
          </cell>
          <cell r="Y13">
            <v>-0.03</v>
          </cell>
          <cell r="Z13">
            <v>-7.0000000000000007E-2</v>
          </cell>
          <cell r="AA13">
            <v>-0.1</v>
          </cell>
          <cell r="AB13">
            <v>-0.04</v>
          </cell>
          <cell r="AC13">
            <v>-0.13</v>
          </cell>
          <cell r="AD13">
            <v>-0.01</v>
          </cell>
          <cell r="AE13">
            <v>-0.06</v>
          </cell>
          <cell r="AF13">
            <v>-0.06</v>
          </cell>
          <cell r="AG13">
            <v>0</v>
          </cell>
          <cell r="AH13">
            <v>-0.02</v>
          </cell>
          <cell r="AI13">
            <v>0.06</v>
          </cell>
          <cell r="AJ13">
            <v>0.03</v>
          </cell>
          <cell r="AK13">
            <v>0.04</v>
          </cell>
          <cell r="AL13">
            <v>0.11</v>
          </cell>
          <cell r="AM13">
            <v>-0.03</v>
          </cell>
          <cell r="AN13">
            <v>-0.05</v>
          </cell>
          <cell r="AO13">
            <v>0.11</v>
          </cell>
          <cell r="AP13">
            <v>0.02</v>
          </cell>
          <cell r="AQ13">
            <v>7.0000000000000007E-2</v>
          </cell>
          <cell r="AR13">
            <v>0.05</v>
          </cell>
          <cell r="AS13">
            <v>0.08</v>
          </cell>
          <cell r="AT13">
            <v>0.12</v>
          </cell>
          <cell r="AU13">
            <v>0.11</v>
          </cell>
          <cell r="AV13">
            <v>0.14000000000000001</v>
          </cell>
          <cell r="AW13">
            <v>0.1</v>
          </cell>
          <cell r="AX13">
            <v>-0.01</v>
          </cell>
          <cell r="AY13">
            <v>0.3</v>
          </cell>
          <cell r="AZ13">
            <v>0.25</v>
          </cell>
          <cell r="BA13">
            <v>0.12</v>
          </cell>
          <cell r="BB13">
            <v>0.08</v>
          </cell>
          <cell r="BC13">
            <v>0.11</v>
          </cell>
          <cell r="BD13">
            <v>-0.1</v>
          </cell>
          <cell r="BE13">
            <v>0</v>
          </cell>
          <cell r="BF13">
            <v>0.06</v>
          </cell>
          <cell r="BG13">
            <v>0.03</v>
          </cell>
          <cell r="BH13">
            <v>-0.03</v>
          </cell>
          <cell r="BI13">
            <v>-0.02</v>
          </cell>
          <cell r="BJ13">
            <v>7.0000000000000007E-2</v>
          </cell>
          <cell r="BK13">
            <v>-0.06</v>
          </cell>
          <cell r="BL13">
            <v>-0.01</v>
          </cell>
          <cell r="BM13">
            <v>-0.06</v>
          </cell>
          <cell r="BN13">
            <v>-7.0000000000000007E-2</v>
          </cell>
          <cell r="BO13">
            <v>-0.06</v>
          </cell>
          <cell r="BP13">
            <v>7.0000000000000007E-2</v>
          </cell>
          <cell r="BQ13">
            <v>-0.06</v>
          </cell>
          <cell r="BR13">
            <v>-7.0000000000000007E-2</v>
          </cell>
          <cell r="BS13">
            <v>-0.08</v>
          </cell>
          <cell r="BT13">
            <v>-0.05</v>
          </cell>
          <cell r="BU13">
            <v>-0.05</v>
          </cell>
          <cell r="BV13">
            <v>-0.06</v>
          </cell>
          <cell r="BW13">
            <v>-0.11</v>
          </cell>
          <cell r="BX13">
            <v>-7.0000000000000007E-2</v>
          </cell>
          <cell r="BY13">
            <v>0.01</v>
          </cell>
          <cell r="BZ13">
            <v>0.03</v>
          </cell>
          <cell r="CA13">
            <v>-0.04</v>
          </cell>
          <cell r="CB13">
            <v>0</v>
          </cell>
          <cell r="CC13">
            <v>0.02</v>
          </cell>
          <cell r="CD13">
            <v>1.363107422565973E-2</v>
          </cell>
          <cell r="CE13">
            <v>1.8598064674433836E-3</v>
          </cell>
        </row>
        <row r="14">
          <cell r="A14" t="str">
            <v>2-yr. Average Comps</v>
          </cell>
          <cell r="O14">
            <v>-3.5000000000000003E-2</v>
          </cell>
          <cell r="P14">
            <v>-0.03</v>
          </cell>
          <cell r="Q14">
            <v>0.02</v>
          </cell>
          <cell r="R14">
            <v>-0.06</v>
          </cell>
          <cell r="S14">
            <v>0.01</v>
          </cell>
          <cell r="T14">
            <v>-1.4999999999999999E-2</v>
          </cell>
          <cell r="U14">
            <v>-6.5000000000000002E-2</v>
          </cell>
          <cell r="V14">
            <v>-8.4999999999999992E-2</v>
          </cell>
          <cell r="W14">
            <v>-0.08</v>
          </cell>
          <cell r="X14">
            <v>-0.09</v>
          </cell>
          <cell r="Y14">
            <v>-0.03</v>
          </cell>
          <cell r="Z14">
            <v>-0.08</v>
          </cell>
          <cell r="AA14">
            <v>-0.1</v>
          </cell>
          <cell r="AB14">
            <v>-6.5000000000000002E-2</v>
          </cell>
          <cell r="AC14">
            <v>-8.5000000000000006E-2</v>
          </cell>
          <cell r="AD14">
            <v>-4.9999999999999996E-2</v>
          </cell>
          <cell r="AE14">
            <v>-2.4999999999999998E-2</v>
          </cell>
          <cell r="AF14">
            <v>-4.4999999999999998E-2</v>
          </cell>
          <cell r="AG14">
            <v>-0.06</v>
          </cell>
          <cell r="AH14">
            <v>-6.9999999999999993E-2</v>
          </cell>
          <cell r="AI14">
            <v>-4.4999999999999998E-2</v>
          </cell>
          <cell r="AJ14">
            <v>-4.4999999999999998E-2</v>
          </cell>
          <cell r="AK14">
            <v>5.000000000000001E-3</v>
          </cell>
          <cell r="AL14">
            <v>1.9999999999999997E-2</v>
          </cell>
          <cell r="AM14">
            <v>-6.5000000000000002E-2</v>
          </cell>
          <cell r="AN14">
            <v>-4.4999999999999998E-2</v>
          </cell>
          <cell r="AO14">
            <v>-1.0000000000000002E-2</v>
          </cell>
          <cell r="AP14">
            <v>5.0000000000000001E-3</v>
          </cell>
          <cell r="AQ14">
            <v>5.0000000000000044E-3</v>
          </cell>
          <cell r="AR14">
            <v>-4.9999999999999975E-3</v>
          </cell>
          <cell r="AS14">
            <v>0.04</v>
          </cell>
          <cell r="AT14">
            <v>4.9999999999999996E-2</v>
          </cell>
          <cell r="AU14">
            <v>8.4999999999999992E-2</v>
          </cell>
          <cell r="AV14">
            <v>8.5000000000000006E-2</v>
          </cell>
          <cell r="AW14">
            <v>7.0000000000000007E-2</v>
          </cell>
          <cell r="AX14">
            <v>0.05</v>
          </cell>
          <cell r="AY14">
            <v>0.13500000000000001</v>
          </cell>
          <cell r="AZ14">
            <v>0.1</v>
          </cell>
          <cell r="BA14">
            <v>0.11499999999999999</v>
          </cell>
          <cell r="BB14">
            <v>0.05</v>
          </cell>
          <cell r="BC14">
            <v>0.09</v>
          </cell>
          <cell r="BD14">
            <v>-2.5000000000000001E-2</v>
          </cell>
          <cell r="BE14">
            <v>0.04</v>
          </cell>
          <cell r="BF14">
            <v>0.09</v>
          </cell>
          <cell r="BG14">
            <v>7.0000000000000007E-2</v>
          </cell>
          <cell r="BH14">
            <v>5.5000000000000007E-2</v>
          </cell>
          <cell r="BI14">
            <v>0.04</v>
          </cell>
          <cell r="BJ14">
            <v>3.0000000000000002E-2</v>
          </cell>
          <cell r="BK14">
            <v>0.12</v>
          </cell>
          <cell r="BL14">
            <v>0.12</v>
          </cell>
          <cell r="BM14">
            <v>0.03</v>
          </cell>
          <cell r="BN14">
            <v>4.9999999999999975E-3</v>
          </cell>
          <cell r="BO14">
            <v>2.5000000000000001E-2</v>
          </cell>
          <cell r="BP14">
            <v>-1.4999999999999999E-2</v>
          </cell>
          <cell r="BQ14">
            <v>-0.03</v>
          </cell>
          <cell r="BR14">
            <v>-5.0000000000000044E-3</v>
          </cell>
          <cell r="BS14">
            <v>-2.5000000000000001E-2</v>
          </cell>
          <cell r="BT14">
            <v>-0.04</v>
          </cell>
          <cell r="BU14">
            <v>-3.5000000000000003E-2</v>
          </cell>
          <cell r="BV14">
            <v>5.0000000000000044E-3</v>
          </cell>
          <cell r="BW14">
            <v>-8.4999999999999992E-2</v>
          </cell>
          <cell r="BX14">
            <v>-0.04</v>
          </cell>
          <cell r="BY14">
            <v>-2.4999999999999998E-2</v>
          </cell>
          <cell r="BZ14">
            <v>-2.0000000000000004E-2</v>
          </cell>
          <cell r="CA14">
            <v>-0.05</v>
          </cell>
          <cell r="CB14">
            <v>3.5000000000000003E-2</v>
          </cell>
          <cell r="CC14">
            <v>-1.9999999999999997E-2</v>
          </cell>
          <cell r="CD14">
            <v>0.23451919190404089</v>
          </cell>
          <cell r="CE14">
            <v>0.11855162206333995</v>
          </cell>
        </row>
        <row r="16">
          <cell r="A16" t="str">
            <v>Old Navy</v>
          </cell>
        </row>
        <row r="17">
          <cell r="A17" t="str">
            <v>Traffic Growth</v>
          </cell>
          <cell r="AL17">
            <v>-0.05</v>
          </cell>
          <cell r="AM17">
            <v>-0.11</v>
          </cell>
          <cell r="AN17">
            <v>-0.06</v>
          </cell>
          <cell r="AO17">
            <v>0.02</v>
          </cell>
          <cell r="AP17">
            <v>0.03</v>
          </cell>
          <cell r="AQ17">
            <v>0.01</v>
          </cell>
          <cell r="AR17">
            <v>0.01</v>
          </cell>
          <cell r="AS17">
            <v>0.02</v>
          </cell>
          <cell r="AT17">
            <v>0.06</v>
          </cell>
          <cell r="AU17">
            <v>-0.02</v>
          </cell>
          <cell r="AV17">
            <v>0.04</v>
          </cell>
          <cell r="AW17">
            <v>0.01</v>
          </cell>
          <cell r="AX17">
            <v>0.02</v>
          </cell>
          <cell r="AY17">
            <v>0.11</v>
          </cell>
          <cell r="AZ17">
            <v>0.1</v>
          </cell>
          <cell r="BA17">
            <v>0.06</v>
          </cell>
          <cell r="BB17">
            <v>0.02</v>
          </cell>
          <cell r="BC17">
            <v>-0.01</v>
          </cell>
          <cell r="BD17">
            <v>0</v>
          </cell>
          <cell r="BE17">
            <v>0</v>
          </cell>
          <cell r="BF17">
            <v>0.04</v>
          </cell>
          <cell r="BG17">
            <v>0.06</v>
          </cell>
          <cell r="BH17">
            <v>0</v>
          </cell>
          <cell r="BI17">
            <v>0.05</v>
          </cell>
          <cell r="BJ17">
            <v>-0.05</v>
          </cell>
          <cell r="BK17">
            <v>-0.01</v>
          </cell>
          <cell r="BL17">
            <v>-0.02</v>
          </cell>
          <cell r="BM17">
            <v>-0.01</v>
          </cell>
          <cell r="BN17">
            <v>-0.02</v>
          </cell>
          <cell r="BO17">
            <v>0.03</v>
          </cell>
          <cell r="BP17">
            <v>-0.01</v>
          </cell>
          <cell r="BQ17">
            <v>-0.05</v>
          </cell>
          <cell r="BR17">
            <v>-7.0000000000000007E-2</v>
          </cell>
          <cell r="BS17">
            <v>-0.09</v>
          </cell>
          <cell r="BT17">
            <v>-0.05</v>
          </cell>
          <cell r="BU17">
            <v>-0.1</v>
          </cell>
          <cell r="BV17">
            <v>0</v>
          </cell>
          <cell r="BW17">
            <v>-0.11</v>
          </cell>
          <cell r="BX17">
            <v>-0.11</v>
          </cell>
          <cell r="BY17">
            <v>-0.02</v>
          </cell>
          <cell r="BZ17">
            <v>-7.0000000000000007E-2</v>
          </cell>
          <cell r="CA17">
            <v>-7.0000000000000007E-2</v>
          </cell>
          <cell r="CB17">
            <v>0</v>
          </cell>
          <cell r="CC17">
            <v>-0.05</v>
          </cell>
          <cell r="CD17">
            <v>-0.02</v>
          </cell>
          <cell r="CF17">
            <v>0.05</v>
          </cell>
        </row>
        <row r="18">
          <cell r="A18" t="str">
            <v>Comp Growth</v>
          </cell>
          <cell r="C18">
            <v>0.09</v>
          </cell>
          <cell r="D18">
            <v>-0.13</v>
          </cell>
          <cell r="E18">
            <v>0.04</v>
          </cell>
          <cell r="F18">
            <v>-7.0000000000000007E-2</v>
          </cell>
          <cell r="G18">
            <v>-7.0000000000000007E-2</v>
          </cell>
          <cell r="H18">
            <v>-0.17</v>
          </cell>
          <cell r="I18">
            <v>-0.26</v>
          </cell>
          <cell r="J18">
            <v>-0.14000000000000001</v>
          </cell>
          <cell r="K18">
            <v>-0.11</v>
          </cell>
          <cell r="L18">
            <v>-0.04</v>
          </cell>
          <cell r="M18">
            <v>-0.13</v>
          </cell>
          <cell r="N18">
            <v>-0.23</v>
          </cell>
          <cell r="O18">
            <v>-0.17</v>
          </cell>
          <cell r="P18">
            <v>-0.13</v>
          </cell>
          <cell r="Q18">
            <v>0.02</v>
          </cell>
          <cell r="R18">
            <v>-0.16</v>
          </cell>
          <cell r="S18">
            <v>-7.0000000000000007E-2</v>
          </cell>
          <cell r="T18">
            <v>-0.19</v>
          </cell>
          <cell r="U18">
            <v>-0.19</v>
          </cell>
          <cell r="V18">
            <v>-0.18</v>
          </cell>
          <cell r="W18">
            <v>-0.18</v>
          </cell>
          <cell r="X18">
            <v>-0.33</v>
          </cell>
          <cell r="Y18">
            <v>-0.14000000000000001</v>
          </cell>
          <cell r="Z18">
            <v>-0.14000000000000001</v>
          </cell>
          <cell r="AA18">
            <v>-0.12</v>
          </cell>
          <cell r="AB18">
            <v>-0.12</v>
          </cell>
          <cell r="AC18">
            <v>-0.27</v>
          </cell>
          <cell r="AD18">
            <v>-0.04</v>
          </cell>
          <cell r="AE18">
            <v>-0.04</v>
          </cell>
          <cell r="AF18">
            <v>0.06</v>
          </cell>
          <cell r="AG18">
            <v>0</v>
          </cell>
          <cell r="AH18">
            <v>-0.02</v>
          </cell>
          <cell r="AI18">
            <v>0.24</v>
          </cell>
          <cell r="AJ18">
            <v>0.15</v>
          </cell>
          <cell r="AK18">
            <v>0.09</v>
          </cell>
          <cell r="AL18">
            <v>0.27</v>
          </cell>
          <cell r="AM18">
            <v>0.08</v>
          </cell>
          <cell r="AN18">
            <v>0.17</v>
          </cell>
          <cell r="AO18">
            <v>0.2</v>
          </cell>
          <cell r="AP18">
            <v>0.13</v>
          </cell>
          <cell r="AQ18">
            <v>0.11</v>
          </cell>
          <cell r="AR18">
            <v>0.09</v>
          </cell>
          <cell r="AS18">
            <v>0.06</v>
          </cell>
          <cell r="AT18">
            <v>0.16</v>
          </cell>
          <cell r="AU18">
            <v>-0.04</v>
          </cell>
          <cell r="AV18">
            <v>7.0000000000000007E-2</v>
          </cell>
          <cell r="AW18">
            <v>0.02</v>
          </cell>
          <cell r="AX18">
            <v>0.03</v>
          </cell>
          <cell r="AY18">
            <v>0.16</v>
          </cell>
          <cell r="AZ18">
            <v>0.11</v>
          </cell>
          <cell r="BA18">
            <v>0.03</v>
          </cell>
          <cell r="BB18">
            <v>0.04</v>
          </cell>
          <cell r="BC18">
            <v>-0.02</v>
          </cell>
          <cell r="BD18">
            <v>-0.02</v>
          </cell>
          <cell r="BE18">
            <v>-0.01</v>
          </cell>
          <cell r="BF18">
            <v>-0.06</v>
          </cell>
          <cell r="BG18">
            <v>0.04</v>
          </cell>
          <cell r="BH18">
            <v>-0.05</v>
          </cell>
          <cell r="BI18">
            <v>-0.01</v>
          </cell>
          <cell r="BJ18">
            <v>-0.13</v>
          </cell>
          <cell r="BK18">
            <v>-0.01</v>
          </cell>
          <cell r="BL18">
            <v>-0.09</v>
          </cell>
          <cell r="BM18">
            <v>0</v>
          </cell>
          <cell r="BN18">
            <v>-0.08</v>
          </cell>
          <cell r="BO18">
            <v>0</v>
          </cell>
          <cell r="BP18">
            <v>-0.05</v>
          </cell>
          <cell r="BQ18">
            <v>-0.11</v>
          </cell>
          <cell r="BR18">
            <v>-7.0000000000000007E-2</v>
          </cell>
          <cell r="BS18">
            <v>-0.06</v>
          </cell>
          <cell r="BT18">
            <v>-0.02</v>
          </cell>
          <cell r="BU18">
            <v>-0.1</v>
          </cell>
          <cell r="BV18">
            <v>0</v>
          </cell>
          <cell r="BW18">
            <v>-0.14000000000000001</v>
          </cell>
          <cell r="BX18">
            <v>-0.15</v>
          </cell>
          <cell r="BY18">
            <v>-0.06</v>
          </cell>
          <cell r="BZ18">
            <v>-0.08</v>
          </cell>
          <cell r="CA18">
            <v>-0.06</v>
          </cell>
          <cell r="CB18">
            <v>0</v>
          </cell>
          <cell r="CC18">
            <v>-0.08</v>
          </cell>
          <cell r="CD18">
            <v>2.871235777012833E-2</v>
          </cell>
          <cell r="CE18">
            <v>6.8601420707013319E-2</v>
          </cell>
        </row>
        <row r="19">
          <cell r="A19" t="str">
            <v>2-yr. Average Comps</v>
          </cell>
          <cell r="O19">
            <v>-4.0000000000000008E-2</v>
          </cell>
          <cell r="P19">
            <v>-0.13</v>
          </cell>
          <cell r="Q19">
            <v>0.03</v>
          </cell>
          <cell r="R19">
            <v>-0.115</v>
          </cell>
          <cell r="S19">
            <v>-7.0000000000000007E-2</v>
          </cell>
          <cell r="T19">
            <v>-0.18</v>
          </cell>
          <cell r="U19">
            <v>-0.22500000000000001</v>
          </cell>
          <cell r="V19">
            <v>-0.16</v>
          </cell>
          <cell r="W19">
            <v>-0.14499999999999999</v>
          </cell>
          <cell r="X19">
            <v>-0.185</v>
          </cell>
          <cell r="Y19">
            <v>-0.13500000000000001</v>
          </cell>
          <cell r="Z19">
            <v>-0.185</v>
          </cell>
          <cell r="AA19">
            <v>-0.14500000000000002</v>
          </cell>
          <cell r="AB19">
            <v>-0.125</v>
          </cell>
          <cell r="AC19">
            <v>-0.125</v>
          </cell>
          <cell r="AD19">
            <v>-0.1</v>
          </cell>
          <cell r="AE19">
            <v>-5.5000000000000007E-2</v>
          </cell>
          <cell r="AF19">
            <v>-6.5000000000000002E-2</v>
          </cell>
          <cell r="AG19">
            <v>-9.5000000000000001E-2</v>
          </cell>
          <cell r="AH19">
            <v>-9.9999999999999992E-2</v>
          </cell>
          <cell r="AI19">
            <v>0.03</v>
          </cell>
          <cell r="AJ19">
            <v>-9.0000000000000011E-2</v>
          </cell>
          <cell r="AK19">
            <v>-2.5000000000000008E-2</v>
          </cell>
          <cell r="AL19">
            <v>6.5000000000000002E-2</v>
          </cell>
          <cell r="AM19">
            <v>-1.9999999999999997E-2</v>
          </cell>
          <cell r="AN19">
            <v>2.5000000000000008E-2</v>
          </cell>
          <cell r="AO19">
            <v>-3.5000000000000003E-2</v>
          </cell>
          <cell r="AP19">
            <v>4.4999999999999998E-2</v>
          </cell>
          <cell r="AQ19">
            <v>3.5000000000000003E-2</v>
          </cell>
          <cell r="AR19">
            <v>7.4999999999999997E-2</v>
          </cell>
          <cell r="AS19">
            <v>0.03</v>
          </cell>
          <cell r="AT19">
            <v>7.0000000000000007E-2</v>
          </cell>
          <cell r="AU19">
            <v>9.9999999999999992E-2</v>
          </cell>
          <cell r="AV19">
            <v>0.11</v>
          </cell>
          <cell r="AW19">
            <v>5.5E-2</v>
          </cell>
          <cell r="AX19">
            <v>0.15000000000000002</v>
          </cell>
          <cell r="AY19">
            <v>0.12</v>
          </cell>
          <cell r="AZ19">
            <v>0.14000000000000001</v>
          </cell>
          <cell r="BA19">
            <v>0.115</v>
          </cell>
          <cell r="BB19">
            <v>8.5000000000000006E-2</v>
          </cell>
          <cell r="BC19">
            <v>4.4999999999999998E-2</v>
          </cell>
          <cell r="BD19">
            <v>3.4999999999999996E-2</v>
          </cell>
          <cell r="BE19">
            <v>2.4999999999999998E-2</v>
          </cell>
          <cell r="BF19">
            <v>0.05</v>
          </cell>
          <cell r="BG19">
            <v>0</v>
          </cell>
          <cell r="BH19">
            <v>1.0000000000000002E-2</v>
          </cell>
          <cell r="BI19">
            <v>5.0000000000000001E-3</v>
          </cell>
          <cell r="BJ19">
            <v>-0.05</v>
          </cell>
          <cell r="BK19">
            <v>7.4999999999999997E-2</v>
          </cell>
          <cell r="BL19">
            <v>1.0000000000000002E-2</v>
          </cell>
          <cell r="BM19">
            <v>1.4999999999999999E-2</v>
          </cell>
          <cell r="BN19">
            <v>-0.02</v>
          </cell>
          <cell r="BO19">
            <v>-0.01</v>
          </cell>
          <cell r="BP19">
            <v>-3.5000000000000003E-2</v>
          </cell>
          <cell r="BQ19">
            <v>-0.06</v>
          </cell>
          <cell r="BR19">
            <v>-6.5000000000000002E-2</v>
          </cell>
          <cell r="BS19">
            <v>-9.9999999999999985E-3</v>
          </cell>
          <cell r="BT19">
            <v>-3.5000000000000003E-2</v>
          </cell>
          <cell r="BU19">
            <v>-5.5E-2</v>
          </cell>
          <cell r="BV19">
            <v>-6.5000000000000002E-2</v>
          </cell>
          <cell r="BW19">
            <v>-7.5000000000000011E-2</v>
          </cell>
          <cell r="BX19">
            <v>-0.12</v>
          </cell>
          <cell r="BY19">
            <v>-0.03</v>
          </cell>
          <cell r="BZ19">
            <v>-0.08</v>
          </cell>
          <cell r="CA19">
            <v>-0.03</v>
          </cell>
          <cell r="CB19">
            <v>-2.5000000000000001E-2</v>
          </cell>
          <cell r="CC19">
            <v>-9.5000000000000001E-2</v>
          </cell>
          <cell r="CD19">
            <v>7.6949253978818744E-2</v>
          </cell>
          <cell r="CE19">
            <v>1.9803307430834666E-2</v>
          </cell>
        </row>
        <row r="21">
          <cell r="A21" t="str">
            <v>Consolidated</v>
          </cell>
        </row>
        <row r="22">
          <cell r="A22" t="str">
            <v>Comp Growth</v>
          </cell>
          <cell r="C22">
            <v>0.04</v>
          </cell>
          <cell r="D22">
            <v>-0.11</v>
          </cell>
          <cell r="E22">
            <v>7.0000000000000007E-2</v>
          </cell>
          <cell r="F22">
            <v>-0.02</v>
          </cell>
          <cell r="G22">
            <v>-0.02</v>
          </cell>
          <cell r="H22">
            <v>-0.01</v>
          </cell>
          <cell r="I22">
            <v>-0.14000000000000001</v>
          </cell>
          <cell r="J22">
            <v>-0.08</v>
          </cell>
          <cell r="K22">
            <v>-0.02</v>
          </cell>
          <cell r="L22">
            <v>-0.01</v>
          </cell>
          <cell r="M22">
            <v>-0.06</v>
          </cell>
          <cell r="N22">
            <v>-0.12</v>
          </cell>
          <cell r="O22">
            <v>-0.11</v>
          </cell>
          <cell r="P22">
            <v>-0.08</v>
          </cell>
          <cell r="Q22">
            <v>-0.02</v>
          </cell>
          <cell r="R22">
            <v>-0.1</v>
          </cell>
          <cell r="S22">
            <v>-7.0000000000000007E-2</v>
          </cell>
          <cell r="T22">
            <v>-0.12</v>
          </cell>
          <cell r="U22">
            <v>-0.17</v>
          </cell>
          <cell r="V22">
            <v>-0.17</v>
          </cell>
          <cell r="W22">
            <v>-0.17</v>
          </cell>
          <cell r="X22">
            <v>-0.25</v>
          </cell>
          <cell r="Y22">
            <v>-0.11</v>
          </cell>
          <cell r="Z22">
            <v>-0.16</v>
          </cell>
          <cell r="AA22">
            <v>-0.17</v>
          </cell>
          <cell r="AB22">
            <v>-0.12</v>
          </cell>
          <cell r="AC22">
            <v>-0.24</v>
          </cell>
          <cell r="AD22">
            <v>-0.09</v>
          </cell>
          <cell r="AE22">
            <v>-0.06</v>
          </cell>
          <cell r="AF22">
            <v>-0.08</v>
          </cell>
          <cell r="AG22">
            <v>-0.02</v>
          </cell>
          <cell r="AH22">
            <v>-0.02</v>
          </cell>
          <cell r="AI22">
            <v>0.11</v>
          </cell>
          <cell r="AJ22">
            <v>0.09</v>
          </cell>
          <cell r="AK22">
            <v>0.05</v>
          </cell>
          <cell r="AL22">
            <v>0.16</v>
          </cell>
          <cell r="AM22">
            <v>0.08</v>
          </cell>
          <cell r="AN22">
            <v>0.09</v>
          </cell>
          <cell r="AO22">
            <v>0.2</v>
          </cell>
          <cell r="AP22">
            <v>0.1</v>
          </cell>
          <cell r="AQ22">
            <v>0.1</v>
          </cell>
          <cell r="AR22">
            <v>0.09</v>
          </cell>
          <cell r="AS22">
            <v>0.04</v>
          </cell>
          <cell r="AT22">
            <v>0.13</v>
          </cell>
          <cell r="AU22">
            <v>0.01</v>
          </cell>
          <cell r="AV22">
            <v>0.06</v>
          </cell>
          <cell r="AW22">
            <v>0.01</v>
          </cell>
          <cell r="AX22">
            <v>0.03</v>
          </cell>
          <cell r="AY22">
            <v>0.12</v>
          </cell>
          <cell r="AZ22">
            <v>0.08</v>
          </cell>
          <cell r="BA22">
            <v>0.03</v>
          </cell>
          <cell r="BB22">
            <v>0.06</v>
          </cell>
          <cell r="BC22">
            <v>-0.02</v>
          </cell>
          <cell r="BD22">
            <v>-0.05</v>
          </cell>
          <cell r="BE22">
            <v>-0.01</v>
          </cell>
          <cell r="BF22">
            <v>-0.03</v>
          </cell>
          <cell r="BG22">
            <v>0.03</v>
          </cell>
          <cell r="BH22">
            <v>-0.04</v>
          </cell>
          <cell r="BI22">
            <v>-0.01</v>
          </cell>
          <cell r="BJ22">
            <v>-7.0000000000000007E-2</v>
          </cell>
          <cell r="BK22">
            <v>-0.03</v>
          </cell>
          <cell r="BL22">
            <v>-0.04</v>
          </cell>
          <cell r="BM22">
            <v>-0.05</v>
          </cell>
          <cell r="BN22">
            <v>-0.08</v>
          </cell>
          <cell r="BO22">
            <v>0</v>
          </cell>
          <cell r="BP22">
            <v>-0.04</v>
          </cell>
          <cell r="BQ22">
            <v>-0.09</v>
          </cell>
          <cell r="BR22">
            <v>-0.06</v>
          </cell>
          <cell r="BS22">
            <v>-0.05</v>
          </cell>
          <cell r="BT22">
            <v>-0.04</v>
          </cell>
          <cell r="BU22">
            <v>-0.09</v>
          </cell>
          <cell r="BV22">
            <v>0.01</v>
          </cell>
          <cell r="BW22">
            <v>-0.11</v>
          </cell>
          <cell r="BX22">
            <v>-0.13</v>
          </cell>
          <cell r="BY22">
            <v>-0.03</v>
          </cell>
          <cell r="BZ22">
            <v>-0.06</v>
          </cell>
          <cell r="CA22">
            <v>-0.06</v>
          </cell>
          <cell r="CB22">
            <v>-0.04</v>
          </cell>
          <cell r="CC22">
            <v>-7.0000000000000007E-2</v>
          </cell>
          <cell r="CD22">
            <v>2.0337529889304349E-5</v>
          </cell>
          <cell r="CE22">
            <v>1.6958321763223178E-2</v>
          </cell>
        </row>
        <row r="23">
          <cell r="A23" t="str">
            <v>2-yr. Average Comps</v>
          </cell>
          <cell r="O23">
            <v>-3.5000000000000003E-2</v>
          </cell>
          <cell r="P23">
            <v>-9.5000000000000001E-2</v>
          </cell>
          <cell r="Q23">
            <v>2.5000000000000001E-2</v>
          </cell>
          <cell r="R23">
            <v>-6.0000000000000005E-2</v>
          </cell>
          <cell r="S23">
            <v>-4.5000000000000005E-2</v>
          </cell>
          <cell r="T23">
            <v>-6.5000000000000002E-2</v>
          </cell>
          <cell r="U23">
            <v>-0.15500000000000003</v>
          </cell>
          <cell r="V23">
            <v>-0.125</v>
          </cell>
          <cell r="W23">
            <v>-9.5000000000000001E-2</v>
          </cell>
          <cell r="X23">
            <v>-0.13</v>
          </cell>
          <cell r="Y23">
            <v>-8.4999999999999992E-2</v>
          </cell>
          <cell r="Z23">
            <v>-0.14000000000000001</v>
          </cell>
          <cell r="AA23">
            <v>-0.14000000000000001</v>
          </cell>
          <cell r="AB23">
            <v>-0.1</v>
          </cell>
          <cell r="AC23">
            <v>-0.13</v>
          </cell>
          <cell r="AD23">
            <v>-9.5000000000000001E-2</v>
          </cell>
          <cell r="AE23">
            <v>-6.5000000000000002E-2</v>
          </cell>
          <cell r="AF23">
            <v>-0.1</v>
          </cell>
          <cell r="AG23">
            <v>-9.5000000000000001E-2</v>
          </cell>
          <cell r="AH23">
            <v>-9.5000000000000001E-2</v>
          </cell>
          <cell r="AI23">
            <v>-3.0000000000000006E-2</v>
          </cell>
          <cell r="AJ23">
            <v>-0.08</v>
          </cell>
          <cell r="AK23">
            <v>-0.03</v>
          </cell>
          <cell r="AL23">
            <v>0</v>
          </cell>
          <cell r="AM23">
            <v>-4.5000000000000005E-2</v>
          </cell>
          <cell r="AN23">
            <v>-1.4999999999999999E-2</v>
          </cell>
          <cell r="AO23">
            <v>-1.999999999999999E-2</v>
          </cell>
          <cell r="AP23">
            <v>5.0000000000000044E-3</v>
          </cell>
          <cell r="AQ23">
            <v>2.0000000000000004E-2</v>
          </cell>
          <cell r="AR23">
            <v>4.9999999999999975E-3</v>
          </cell>
          <cell r="AS23">
            <v>0.01</v>
          </cell>
          <cell r="AT23">
            <v>5.5E-2</v>
          </cell>
          <cell r="AU23">
            <v>0.06</v>
          </cell>
          <cell r="AV23">
            <v>7.4999999999999997E-2</v>
          </cell>
          <cell r="AW23">
            <v>3.0000000000000002E-2</v>
          </cell>
          <cell r="AX23">
            <v>9.5000000000000001E-2</v>
          </cell>
          <cell r="AY23">
            <v>0.1</v>
          </cell>
          <cell r="AZ23">
            <v>8.4999999999999992E-2</v>
          </cell>
          <cell r="BA23">
            <v>0.115</v>
          </cell>
          <cell r="BB23">
            <v>0.08</v>
          </cell>
          <cell r="BC23">
            <v>0.04</v>
          </cell>
          <cell r="BD23">
            <v>1.9999999999999997E-2</v>
          </cell>
          <cell r="BE23">
            <v>1.4999999999999999E-2</v>
          </cell>
          <cell r="BF23">
            <v>0.05</v>
          </cell>
          <cell r="BG23">
            <v>0.02</v>
          </cell>
          <cell r="BH23">
            <v>9.9999999999999985E-3</v>
          </cell>
          <cell r="BI23">
            <v>0</v>
          </cell>
          <cell r="BJ23">
            <v>-2.0000000000000004E-2</v>
          </cell>
          <cell r="BK23">
            <v>4.4999999999999998E-2</v>
          </cell>
          <cell r="BL23">
            <v>0.02</v>
          </cell>
          <cell r="BM23">
            <v>-1.0000000000000002E-2</v>
          </cell>
          <cell r="BN23">
            <v>-1.0000000000000002E-2</v>
          </cell>
          <cell r="BO23">
            <v>-0.01</v>
          </cell>
          <cell r="BP23">
            <v>-4.4999999999999998E-2</v>
          </cell>
          <cell r="BQ23">
            <v>-4.9999999999999996E-2</v>
          </cell>
          <cell r="BR23">
            <v>-4.4999999999999998E-2</v>
          </cell>
          <cell r="BS23">
            <v>-1.0000000000000002E-2</v>
          </cell>
          <cell r="BT23">
            <v>-0.04</v>
          </cell>
          <cell r="BU23">
            <v>-4.9999999999999996E-2</v>
          </cell>
          <cell r="BV23">
            <v>-3.0000000000000002E-2</v>
          </cell>
          <cell r="BW23">
            <v>-7.0000000000000007E-2</v>
          </cell>
          <cell r="BX23">
            <v>-8.5000000000000006E-2</v>
          </cell>
          <cell r="BY23">
            <v>-0.04</v>
          </cell>
          <cell r="BZ23">
            <v>-7.0000000000000007E-2</v>
          </cell>
          <cell r="CA23">
            <v>-0.03</v>
          </cell>
          <cell r="CB23">
            <v>-0.04</v>
          </cell>
          <cell r="CC23">
            <v>-0.08</v>
          </cell>
          <cell r="CD23">
            <v>0.20676712398552954</v>
          </cell>
          <cell r="CE23">
            <v>8.8260344427614823E-2</v>
          </cell>
        </row>
        <row r="25">
          <cell r="A25" t="str">
            <v>Traffic Growth</v>
          </cell>
          <cell r="L25" t="str">
            <v>Gap North America</v>
          </cell>
          <cell r="X25" t="str">
            <v>Gap North America Comps vs. Price</v>
          </cell>
          <cell r="AB25" t="str">
            <v>R-square = 35%</v>
          </cell>
        </row>
        <row r="35">
          <cell r="B35" t="str">
            <v>1Q</v>
          </cell>
          <cell r="C35" t="str">
            <v>2Q</v>
          </cell>
          <cell r="D35" t="str">
            <v>3Q</v>
          </cell>
          <cell r="E35" t="str">
            <v>4Q</v>
          </cell>
        </row>
        <row r="36">
          <cell r="A36" t="str">
            <v>2-yr. Comp</v>
          </cell>
          <cell r="B36">
            <v>1.5000000000000003E-2</v>
          </cell>
          <cell r="C36">
            <v>-1.4999999999999999E-2</v>
          </cell>
          <cell r="D36">
            <v>-0.04</v>
          </cell>
          <cell r="E36">
            <v>-4.4999999999999998E-2</v>
          </cell>
        </row>
        <row r="37">
          <cell r="A37" t="str">
            <v>1-yr. Comp</v>
          </cell>
          <cell r="B37">
            <v>-0.04</v>
          </cell>
          <cell r="C37">
            <v>-0.03</v>
          </cell>
          <cell r="D37">
            <v>-7.0000000000000007E-2</v>
          </cell>
          <cell r="E37">
            <v>-0.06</v>
          </cell>
        </row>
        <row r="38">
          <cell r="A38" t="str">
            <v>2006 Reported</v>
          </cell>
          <cell r="B38">
            <v>-0.09</v>
          </cell>
          <cell r="C38">
            <v>-0.05</v>
          </cell>
        </row>
        <row r="40">
          <cell r="B40" t="str">
            <v>1Q</v>
          </cell>
          <cell r="C40" t="str">
            <v>2Q</v>
          </cell>
          <cell r="D40" t="str">
            <v>3Q</v>
          </cell>
          <cell r="E40" t="str">
            <v>4Q</v>
          </cell>
        </row>
        <row r="41">
          <cell r="A41" t="str">
            <v>2-yr. Comp</v>
          </cell>
          <cell r="B41">
            <v>1.5000000000000003E-2</v>
          </cell>
          <cell r="C41">
            <v>-1.4999999999999999E-2</v>
          </cell>
          <cell r="D41">
            <v>-0.04</v>
          </cell>
          <cell r="E41">
            <v>-4.4999999999999998E-2</v>
          </cell>
        </row>
        <row r="42">
          <cell r="A42" t="str">
            <v>1-yr. Comp</v>
          </cell>
          <cell r="B42">
            <v>-0.04</v>
          </cell>
          <cell r="C42">
            <v>-0.03</v>
          </cell>
          <cell r="D42">
            <v>-7.0000000000000007E-2</v>
          </cell>
          <cell r="E42">
            <v>-0.06</v>
          </cell>
        </row>
        <row r="43">
          <cell r="A43" t="str">
            <v>2006 Reported</v>
          </cell>
          <cell r="B43">
            <v>-0.09</v>
          </cell>
          <cell r="C43">
            <v>-0.05</v>
          </cell>
        </row>
        <row r="53">
          <cell r="A53" t="str">
            <v>Old Navy</v>
          </cell>
          <cell r="L53" t="str">
            <v>Banana Republic</v>
          </cell>
        </row>
        <row r="81">
          <cell r="B81" t="str">
            <v>1Q</v>
          </cell>
          <cell r="C81" t="str">
            <v>2Q</v>
          </cell>
          <cell r="D81" t="str">
            <v>3Q</v>
          </cell>
          <cell r="E81" t="str">
            <v>4Q</v>
          </cell>
        </row>
        <row r="82">
          <cell r="A82" t="str">
            <v>2-yr. Comp</v>
          </cell>
          <cell r="B82">
            <v>-0.1095</v>
          </cell>
          <cell r="C82">
            <v>-8.6347810513925066E-2</v>
          </cell>
          <cell r="D82" t="e">
            <v>#DIV/0!</v>
          </cell>
          <cell r="E82">
            <v>-0.1215</v>
          </cell>
        </row>
        <row r="83">
          <cell r="A83" t="str">
            <v>1-yr. Comp</v>
          </cell>
          <cell r="B83">
            <v>-0.161</v>
          </cell>
          <cell r="C83">
            <v>-0.12531757801605939</v>
          </cell>
          <cell r="D83">
            <v>0</v>
          </cell>
          <cell r="E83">
            <v>-0.17499999999999999</v>
          </cell>
        </row>
        <row r="84">
          <cell r="A84" t="str">
            <v>2006 Reported</v>
          </cell>
          <cell r="B84">
            <v>8.0819609667905495E-2</v>
          </cell>
          <cell r="C84">
            <v>-1.9928306962111796E-2</v>
          </cell>
        </row>
        <row r="86">
          <cell r="A86" t="str">
            <v>Quarterly Comp Comparisons</v>
          </cell>
        </row>
      </sheetData>
      <sheetData sheetId="1"/>
      <sheetData sheetId="2" refreshError="1"/>
      <sheetData sheetId="3" refreshError="1"/>
      <sheetData sheetId="4"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ld BKS"/>
      <sheetName val="MODEL"/>
      <sheetName val="SCF &amp; BS"/>
      <sheetName val="Report Stats"/>
      <sheetName val="Report Income Statement"/>
      <sheetName val="DCF + ROCE"/>
      <sheetName val="Report CFBS"/>
      <sheetName val="SEARS"/>
      <sheetName val="table for quarterly"/>
      <sheetName val="ImportantDisclosures"/>
      <sheetName val="IndexInformation"/>
      <sheetName val="Income"/>
      <sheetName val="Pension_Old"/>
      <sheetName val="SQLSheet"/>
      <sheetName val="Qtr Income"/>
      <sheetName val=" Qtr Margin"/>
      <sheetName val="Qtr Sa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areTaxoPres"/>
      <sheetName val="Summary"/>
      <sheetName val="Balance Sheet"/>
      <sheetName val="Cash Flow"/>
      <sheetName val="Income"/>
      <sheetName val="May Co Acquisition"/>
      <sheetName val="Drivers"/>
      <sheetName val="__FDSCACHE__"/>
      <sheetName val="Trends"/>
      <sheetName val="Credit Income &amp; SG&amp;A Detail"/>
      <sheetName val="Variance-2Q12"/>
      <sheetName val="2012 Stores"/>
      <sheetName val="online"/>
      <sheetName val="PreFHT"/>
      <sheetName val="MainCode"/>
      <sheetName val="Debt"/>
      <sheetName val="CreditRatios"/>
      <sheetName val="Reported 2009"/>
      <sheetName val="Productivity"/>
      <sheetName val="MWA RR"/>
      <sheetName val="LEASES NEW"/>
      <sheetName val="RNOA - ROE"/>
      <sheetName val="Real Estate"/>
      <sheetName val="mwareValPrintout"/>
      <sheetName val="P Map"/>
      <sheetName val="Asset Sales"/>
      <sheetName val="Ledger"/>
      <sheetName val="Valuation "/>
      <sheetName val="MW-Cache"/>
      <sheetName val="LBO"/>
      <sheetName val="LINKED DATA"/>
      <sheetName val="mwareDates_38951_3819959"/>
      <sheetName val="mwareDates_38951_3889055"/>
      <sheetName val="mwareDates"/>
      <sheetName val="mwareSettings"/>
      <sheetName val="MacabacusCustomFormats"/>
      <sheetName val="Variance"/>
      <sheetName val="Disclosures"/>
      <sheetName val="Guidance"/>
      <sheetName val="Variance-1Q11"/>
      <sheetName val="Variance-2Q11"/>
      <sheetName val="LEASES"/>
      <sheetName val="Inv Turn"/>
      <sheetName val="msri"/>
      <sheetName val="Variance2"/>
      <sheetName val="NY UPLOAD shadow"/>
      <sheetName val="#REF"/>
      <sheetName val="M_working2"/>
      <sheetName val="Variance-1Q12"/>
      <sheetName val="Credit Income"/>
      <sheetName val="Variance-4Q11"/>
      <sheetName val="Variance-3Q11"/>
      <sheetName val="3Q EPS Cheat Sheet"/>
      <sheetName val="Shr Repo"/>
    </sheetNames>
    <sheetDataSet>
      <sheetData sheetId="0"/>
      <sheetData sheetId="1"/>
      <sheetData sheetId="2">
        <row r="3">
          <cell r="AM3" t="str">
            <v>Quarterly Balance Sheet: Base Case - 5/2/13</v>
          </cell>
        </row>
      </sheetData>
      <sheetData sheetId="3">
        <row r="2">
          <cell r="A2" t="str">
            <v>Macy's Inc.</v>
          </cell>
        </row>
      </sheetData>
      <sheetData sheetId="4">
        <row r="1">
          <cell r="EX1" t="str">
            <v>Q1-07</v>
          </cell>
          <cell r="EY1" t="str">
            <v>Q2-07</v>
          </cell>
          <cell r="EZ1" t="str">
            <v>Q3-07</v>
          </cell>
          <cell r="FA1" t="str">
            <v>Q4-07</v>
          </cell>
          <cell r="FD1" t="str">
            <v>Q1-08</v>
          </cell>
          <cell r="FE1" t="str">
            <v>Q2-08</v>
          </cell>
          <cell r="FF1" t="str">
            <v>Q3-08</v>
          </cell>
          <cell r="FG1" t="str">
            <v>Q4-08</v>
          </cell>
          <cell r="FJ1" t="str">
            <v>Q1-09</v>
          </cell>
          <cell r="FK1" t="str">
            <v>Q2-09</v>
          </cell>
          <cell r="FL1" t="str">
            <v>Q3-09</v>
          </cell>
          <cell r="FM1" t="str">
            <v>Q4-09</v>
          </cell>
          <cell r="FP1" t="str">
            <v>Q1-10</v>
          </cell>
          <cell r="FQ1" t="str">
            <v>Q2-10</v>
          </cell>
          <cell r="FR1" t="str">
            <v>Q3-10</v>
          </cell>
          <cell r="FS1" t="str">
            <v>Q4-10</v>
          </cell>
          <cell r="FV1" t="str">
            <v>Q1-11</v>
          </cell>
          <cell r="FW1" t="str">
            <v>Q2-11</v>
          </cell>
          <cell r="FX1" t="str">
            <v>Q3-11</v>
          </cell>
          <cell r="FY1" t="str">
            <v>Q4-11</v>
          </cell>
          <cell r="GB1" t="str">
            <v>Q1-12</v>
          </cell>
          <cell r="GC1" t="str">
            <v>Q2-12</v>
          </cell>
          <cell r="GD1" t="str">
            <v>Q3-12</v>
          </cell>
          <cell r="GE1" t="str">
            <v>Q4-12</v>
          </cell>
          <cell r="GS1" t="str">
            <v>ElementName</v>
          </cell>
          <cell r="GT1" t="str">
            <v>ScaleOverride</v>
          </cell>
          <cell r="GU1" t="str">
            <v>UnitOverride</v>
          </cell>
          <cell r="GV1" t="str">
            <v>ReverseSign</v>
          </cell>
          <cell r="GW1" t="str">
            <v>IsDrivinFYssumption</v>
          </cell>
          <cell r="GX1" t="str">
            <v>SegmentID</v>
          </cell>
        </row>
        <row r="2">
          <cell r="A2" t="str">
            <v>Macy's Inc.</v>
          </cell>
          <cell r="F2" t="str">
            <v>Federated (Post-Bankruptcy)</v>
          </cell>
          <cell r="K2" t="str">
            <v>Combined Federated + Macy's;  Adjusted for Broadway</v>
          </cell>
          <cell r="R2" t="str">
            <v>Ex-Fingerhut</v>
          </cell>
          <cell r="X2" t="str">
            <v>Proforma -- May Department Stores</v>
          </cell>
          <cell r="AN2" t="str">
            <v>Macy's Inc.</v>
          </cell>
          <cell r="AO2" t="str">
            <v>Not Adjusted For Consistency</v>
          </cell>
          <cell r="DH2" t="str">
            <v>Adjusted -- Fingerhut Disposition</v>
          </cell>
          <cell r="EN2" t="str">
            <v>Proforma -- May Department Stores</v>
          </cell>
        </row>
        <row r="3">
          <cell r="A3" t="str">
            <v>Annual Income Statement: Base Case - 5/2/13</v>
          </cell>
          <cell r="E3" t="str">
            <v>RPT'D</v>
          </cell>
          <cell r="F3" t="str">
            <v>PFMA</v>
          </cell>
          <cell r="J3" t="str">
            <v>91P-94E</v>
          </cell>
          <cell r="K3" t="str">
            <v>PFMA</v>
          </cell>
          <cell r="L3" t="str">
            <v>FD+MCO</v>
          </cell>
          <cell r="AN3" t="str">
            <v>Quarterly Income Statement: Base Case - 5/2/13</v>
          </cell>
          <cell r="BY3" t="str">
            <v>1995A</v>
          </cell>
          <cell r="CJ3">
            <v>1996</v>
          </cell>
          <cell r="CR3">
            <v>1997</v>
          </cell>
          <cell r="CX3">
            <v>1998</v>
          </cell>
          <cell r="DD3">
            <v>1999</v>
          </cell>
          <cell r="DJ3">
            <v>2000</v>
          </cell>
          <cell r="DP3">
            <v>2001</v>
          </cell>
          <cell r="DV3">
            <v>2002</v>
          </cell>
          <cell r="EB3">
            <v>2003</v>
          </cell>
          <cell r="EH3">
            <v>2004</v>
          </cell>
          <cell r="EN3">
            <v>2005</v>
          </cell>
          <cell r="ET3">
            <v>2006</v>
          </cell>
          <cell r="EX3">
            <v>39447</v>
          </cell>
          <cell r="FD3">
            <v>39813</v>
          </cell>
          <cell r="FJ3">
            <v>40178</v>
          </cell>
          <cell r="FP3">
            <v>40543</v>
          </cell>
          <cell r="FV3">
            <v>40908</v>
          </cell>
          <cell r="FZ3" t="str">
            <v xml:space="preserve"> </v>
          </cell>
          <cell r="GB3">
            <v>41274</v>
          </cell>
          <cell r="GF3" t="str">
            <v xml:space="preserve"> </v>
          </cell>
        </row>
        <row r="4">
          <cell r="A4" t="str">
            <v>($ Millions)</v>
          </cell>
          <cell r="C4">
            <v>32873</v>
          </cell>
          <cell r="D4">
            <v>1990</v>
          </cell>
          <cell r="E4">
            <v>1991</v>
          </cell>
          <cell r="F4">
            <v>1991</v>
          </cell>
          <cell r="G4" t="str">
            <v>1992</v>
          </cell>
          <cell r="H4">
            <v>1993</v>
          </cell>
          <cell r="I4">
            <v>1994</v>
          </cell>
          <cell r="J4" t="str">
            <v>CAGR</v>
          </cell>
          <cell r="K4" t="str">
            <v>1994P</v>
          </cell>
          <cell r="L4">
            <v>1995</v>
          </cell>
          <cell r="N4">
            <v>1995</v>
          </cell>
          <cell r="O4">
            <v>1996</v>
          </cell>
          <cell r="P4">
            <v>1997</v>
          </cell>
          <cell r="Q4">
            <v>1998</v>
          </cell>
          <cell r="R4">
            <v>1999</v>
          </cell>
          <cell r="S4">
            <v>2000</v>
          </cell>
          <cell r="T4">
            <v>2001</v>
          </cell>
          <cell r="U4">
            <v>2002</v>
          </cell>
          <cell r="V4">
            <v>2003</v>
          </cell>
          <cell r="W4">
            <v>2004</v>
          </cell>
          <cell r="X4">
            <v>2005</v>
          </cell>
          <cell r="Y4">
            <v>2006</v>
          </cell>
          <cell r="Z4">
            <v>2007</v>
          </cell>
          <cell r="AA4">
            <v>2008</v>
          </cell>
          <cell r="AB4">
            <v>2009</v>
          </cell>
          <cell r="AC4">
            <v>2010</v>
          </cell>
          <cell r="AD4">
            <v>2011</v>
          </cell>
          <cell r="AE4" t="str">
            <v>2012E</v>
          </cell>
          <cell r="AF4" t="str">
            <v>2013E</v>
          </cell>
          <cell r="AG4" t="str">
            <v>2014E</v>
          </cell>
          <cell r="AH4" t="str">
            <v>2015E</v>
          </cell>
          <cell r="AI4" t="str">
            <v>2016E</v>
          </cell>
          <cell r="AJ4" t="str">
            <v>2017E</v>
          </cell>
          <cell r="AK4" t="str">
            <v>2018E</v>
          </cell>
          <cell r="AL4" t="str">
            <v>2019E</v>
          </cell>
          <cell r="AN4" t="str">
            <v>($ Millions)</v>
          </cell>
          <cell r="AO4" t="str">
            <v>Q1</v>
          </cell>
          <cell r="AP4" t="str">
            <v>Q2</v>
          </cell>
          <cell r="AQ4" t="str">
            <v>Q3</v>
          </cell>
          <cell r="AR4" t="str">
            <v>Q4</v>
          </cell>
          <cell r="AS4" t="str">
            <v>Year</v>
          </cell>
          <cell r="AU4" t="str">
            <v>Q1</v>
          </cell>
          <cell r="AV4" t="str">
            <v>Q2</v>
          </cell>
          <cell r="AW4" t="str">
            <v>Q3</v>
          </cell>
          <cell r="AX4" t="str">
            <v>Q4</v>
          </cell>
          <cell r="AY4" t="str">
            <v>Year</v>
          </cell>
          <cell r="BA4" t="str">
            <v>Q1</v>
          </cell>
          <cell r="BB4" t="str">
            <v>Q2</v>
          </cell>
          <cell r="BC4" t="str">
            <v>Q3</v>
          </cell>
          <cell r="BD4" t="str">
            <v>Q4</v>
          </cell>
          <cell r="BE4" t="str">
            <v>Year</v>
          </cell>
          <cell r="BG4" t="str">
            <v>Q1</v>
          </cell>
          <cell r="BH4" t="str">
            <v>Q2</v>
          </cell>
          <cell r="BI4" t="str">
            <v>Q3</v>
          </cell>
          <cell r="BJ4" t="str">
            <v>Q4</v>
          </cell>
          <cell r="BK4" t="str">
            <v>Year</v>
          </cell>
          <cell r="BM4" t="str">
            <v>Q1</v>
          </cell>
          <cell r="BN4" t="str">
            <v>Q2</v>
          </cell>
          <cell r="BO4" t="str">
            <v>Q3</v>
          </cell>
          <cell r="BP4" t="str">
            <v>Q4</v>
          </cell>
          <cell r="BQ4" t="str">
            <v>Year</v>
          </cell>
          <cell r="BS4" t="str">
            <v>Q1P</v>
          </cell>
          <cell r="BT4" t="str">
            <v>Q2P</v>
          </cell>
          <cell r="BU4" t="str">
            <v>Q3P</v>
          </cell>
          <cell r="BV4" t="str">
            <v>Q4P</v>
          </cell>
          <cell r="BW4" t="str">
            <v>Year P</v>
          </cell>
          <cell r="BY4" t="str">
            <v>Q1</v>
          </cell>
          <cell r="BZ4" t="str">
            <v>Q2</v>
          </cell>
          <cell r="CA4" t="str">
            <v>Q3</v>
          </cell>
          <cell r="CB4" t="str">
            <v>Q3</v>
          </cell>
          <cell r="CC4" t="str">
            <v>Q3</v>
          </cell>
          <cell r="CD4" t="str">
            <v>Q4</v>
          </cell>
          <cell r="CE4" t="str">
            <v>Q4</v>
          </cell>
          <cell r="CF4" t="str">
            <v>Year</v>
          </cell>
          <cell r="CG4" t="str">
            <v>Year</v>
          </cell>
          <cell r="CH4" t="str">
            <v>Year</v>
          </cell>
          <cell r="CJ4" t="str">
            <v>Q1</v>
          </cell>
          <cell r="CK4" t="str">
            <v>Q2</v>
          </cell>
          <cell r="CL4" t="str">
            <v>Q3</v>
          </cell>
          <cell r="CM4" t="str">
            <v>Q4</v>
          </cell>
          <cell r="CN4" t="str">
            <v>Year</v>
          </cell>
          <cell r="CP4" t="str">
            <v>Q1</v>
          </cell>
          <cell r="CQ4" t="str">
            <v>Q2</v>
          </cell>
          <cell r="CR4" t="str">
            <v>Q3</v>
          </cell>
          <cell r="CS4" t="str">
            <v>Q4</v>
          </cell>
          <cell r="CT4" t="str">
            <v>Year</v>
          </cell>
          <cell r="CV4" t="str">
            <v>Q1</v>
          </cell>
          <cell r="CW4" t="str">
            <v>Q2</v>
          </cell>
          <cell r="CX4" t="str">
            <v>Q3</v>
          </cell>
          <cell r="CY4" t="str">
            <v>Q4</v>
          </cell>
          <cell r="CZ4" t="str">
            <v>Year</v>
          </cell>
          <cell r="DB4" t="str">
            <v>Q1</v>
          </cell>
          <cell r="DC4" t="str">
            <v>Q2</v>
          </cell>
          <cell r="DD4" t="str">
            <v>Q3</v>
          </cell>
          <cell r="DE4" t="str">
            <v>Q4</v>
          </cell>
          <cell r="DF4" t="str">
            <v>Year</v>
          </cell>
          <cell r="DH4" t="str">
            <v>Q1</v>
          </cell>
          <cell r="DI4" t="str">
            <v>Q2</v>
          </cell>
          <cell r="DJ4" t="str">
            <v>Q3</v>
          </cell>
          <cell r="DK4" t="str">
            <v>Q4</v>
          </cell>
          <cell r="DL4">
            <v>2000</v>
          </cell>
          <cell r="DN4" t="str">
            <v>Q1A</v>
          </cell>
          <cell r="DO4" t="str">
            <v>Q2A</v>
          </cell>
          <cell r="DP4" t="str">
            <v>Q3A</v>
          </cell>
          <cell r="DQ4" t="str">
            <v>Q4A</v>
          </cell>
          <cell r="DR4">
            <v>2001</v>
          </cell>
          <cell r="DT4" t="str">
            <v>Q1A</v>
          </cell>
          <cell r="DU4" t="str">
            <v>Q2A</v>
          </cell>
          <cell r="DV4" t="str">
            <v>Q3A</v>
          </cell>
          <cell r="DW4" t="str">
            <v>Q4A</v>
          </cell>
          <cell r="DX4">
            <v>2002</v>
          </cell>
          <cell r="DZ4" t="str">
            <v>Q1A</v>
          </cell>
          <cell r="EA4" t="str">
            <v>Q2A</v>
          </cell>
          <cell r="EB4" t="str">
            <v>Q3A</v>
          </cell>
          <cell r="EC4" t="str">
            <v>Q4A</v>
          </cell>
          <cell r="ED4">
            <v>2003</v>
          </cell>
          <cell r="EF4" t="str">
            <v>Q1A</v>
          </cell>
          <cell r="EG4" t="str">
            <v>Q2A</v>
          </cell>
          <cell r="EH4" t="str">
            <v>Q3A</v>
          </cell>
          <cell r="EI4" t="str">
            <v>Q4A</v>
          </cell>
          <cell r="EJ4">
            <v>2004</v>
          </cell>
          <cell r="EL4" t="str">
            <v>Q1A</v>
          </cell>
          <cell r="EM4" t="str">
            <v>Q2A</v>
          </cell>
          <cell r="EN4" t="str">
            <v>Q3A</v>
          </cell>
          <cell r="EO4" t="str">
            <v>Q4A</v>
          </cell>
          <cell r="EP4">
            <v>2005</v>
          </cell>
          <cell r="ER4" t="str">
            <v>Q1A</v>
          </cell>
          <cell r="ES4" t="str">
            <v>Q2A</v>
          </cell>
          <cell r="ET4" t="str">
            <v>Q3A</v>
          </cell>
          <cell r="EU4" t="str">
            <v>Q4A</v>
          </cell>
          <cell r="EV4">
            <v>2006</v>
          </cell>
          <cell r="EX4">
            <v>1</v>
          </cell>
          <cell r="EY4">
            <v>2</v>
          </cell>
          <cell r="EZ4">
            <v>3</v>
          </cell>
          <cell r="FA4">
            <v>4</v>
          </cell>
          <cell r="FB4" t="str">
            <v>Year</v>
          </cell>
          <cell r="FD4">
            <v>1</v>
          </cell>
          <cell r="FE4">
            <v>2</v>
          </cell>
          <cell r="FF4">
            <v>3</v>
          </cell>
          <cell r="FG4">
            <v>4</v>
          </cell>
          <cell r="FH4" t="str">
            <v>Year</v>
          </cell>
          <cell r="FJ4">
            <v>1</v>
          </cell>
          <cell r="FK4">
            <v>2</v>
          </cell>
          <cell r="FL4">
            <v>3</v>
          </cell>
          <cell r="FM4">
            <v>4</v>
          </cell>
          <cell r="FN4" t="str">
            <v>Year</v>
          </cell>
          <cell r="FP4">
            <v>1</v>
          </cell>
          <cell r="FQ4">
            <v>2</v>
          </cell>
          <cell r="FR4">
            <v>3</v>
          </cell>
          <cell r="FS4">
            <v>4</v>
          </cell>
          <cell r="FT4" t="str">
            <v>Year</v>
          </cell>
          <cell r="FV4">
            <v>1</v>
          </cell>
          <cell r="FW4">
            <v>2</v>
          </cell>
          <cell r="FX4">
            <v>3</v>
          </cell>
          <cell r="FY4">
            <v>4</v>
          </cell>
          <cell r="FZ4" t="str">
            <v>Year</v>
          </cell>
          <cell r="GB4">
            <v>1</v>
          </cell>
          <cell r="GC4">
            <v>2</v>
          </cell>
          <cell r="GD4">
            <v>3</v>
          </cell>
          <cell r="GE4">
            <v>4</v>
          </cell>
          <cell r="GF4" t="str">
            <v>Year</v>
          </cell>
        </row>
        <row r="5">
          <cell r="A5" t="str">
            <v>R=Restated  O=Originally Reported</v>
          </cell>
          <cell r="N5" t="str">
            <v>R-1999</v>
          </cell>
          <cell r="O5" t="str">
            <v>R-2000</v>
          </cell>
          <cell r="P5" t="str">
            <v>R-2001</v>
          </cell>
          <cell r="Q5" t="str">
            <v>R-2001</v>
          </cell>
          <cell r="R5" t="str">
            <v>R-2001</v>
          </cell>
          <cell r="S5" t="str">
            <v>R-2001</v>
          </cell>
          <cell r="T5" t="str">
            <v>R-2005</v>
          </cell>
          <cell r="U5" t="str">
            <v>R-2005</v>
          </cell>
          <cell r="V5" t="str">
            <v>R-2005</v>
          </cell>
          <cell r="W5" t="str">
            <v>R-2005</v>
          </cell>
          <cell r="X5" t="str">
            <v>O-2005</v>
          </cell>
          <cell r="Y5" t="str">
            <v>O-Q406</v>
          </cell>
          <cell r="Z5" t="str">
            <v>O-Q407</v>
          </cell>
          <cell r="DH5" t="str">
            <v>R-2001</v>
          </cell>
          <cell r="DI5" t="str">
            <v>R-2001</v>
          </cell>
          <cell r="DJ5" t="str">
            <v>R-2001</v>
          </cell>
          <cell r="DK5" t="str">
            <v>R-Q401</v>
          </cell>
          <cell r="DL5" t="str">
            <v>R-2001</v>
          </cell>
          <cell r="DN5" t="str">
            <v>R-Q102</v>
          </cell>
          <cell r="DO5" t="str">
            <v>R-Q202</v>
          </cell>
          <cell r="DP5" t="str">
            <v>R-Q302</v>
          </cell>
          <cell r="DQ5" t="str">
            <v>O-Q402</v>
          </cell>
          <cell r="DR5" t="str">
            <v>R-2005</v>
          </cell>
          <cell r="DT5" t="str">
            <v>O-Q102</v>
          </cell>
          <cell r="DU5" t="str">
            <v>O-Q202</v>
          </cell>
          <cell r="DV5" t="str">
            <v>O-Q302</v>
          </cell>
          <cell r="DW5" t="str">
            <v>O-Q402</v>
          </cell>
          <cell r="DX5" t="str">
            <v>R-2005</v>
          </cell>
          <cell r="DZ5" t="str">
            <v>O-Q103</v>
          </cell>
          <cell r="EA5" t="str">
            <v>O-Q203</v>
          </cell>
          <cell r="EB5" t="str">
            <v>O-Q303</v>
          </cell>
          <cell r="EC5" t="str">
            <v>O-Q403</v>
          </cell>
          <cell r="ED5" t="str">
            <v>R-2005</v>
          </cell>
          <cell r="EF5" t="str">
            <v>R-Q105</v>
          </cell>
          <cell r="EG5" t="str">
            <v>R-Q205</v>
          </cell>
          <cell r="EH5" t="str">
            <v>R-Q305</v>
          </cell>
          <cell r="EI5" t="str">
            <v>R-Q405</v>
          </cell>
          <cell r="EJ5" t="str">
            <v>R-2005</v>
          </cell>
          <cell r="EL5" t="str">
            <v>O-Q105</v>
          </cell>
          <cell r="EM5" t="str">
            <v>O-Q205</v>
          </cell>
          <cell r="EN5" t="str">
            <v>R-2005</v>
          </cell>
          <cell r="EO5" t="str">
            <v>O-Q405</v>
          </cell>
          <cell r="EP5" t="str">
            <v>O-2005</v>
          </cell>
          <cell r="ER5" t="str">
            <v>O-Q106</v>
          </cell>
          <cell r="ES5" t="str">
            <v>O-Q206</v>
          </cell>
          <cell r="ET5" t="str">
            <v>O-Q306</v>
          </cell>
          <cell r="EU5" t="str">
            <v>O-Q406</v>
          </cell>
          <cell r="EV5" t="str">
            <v>O-Q406</v>
          </cell>
          <cell r="FB5" t="str">
            <v>O-Q407</v>
          </cell>
          <cell r="GE5" t="str">
            <v>53rd Week</v>
          </cell>
        </row>
        <row r="7">
          <cell r="A7" t="str">
            <v>Retail Revenues</v>
          </cell>
          <cell r="C7">
            <v>7577.5860000000002</v>
          </cell>
          <cell r="D7">
            <v>7141.9830000000002</v>
          </cell>
          <cell r="E7">
            <v>6932.3230000000003</v>
          </cell>
          <cell r="F7">
            <v>6932.3230000000003</v>
          </cell>
          <cell r="G7">
            <v>7079.9410000000007</v>
          </cell>
          <cell r="H7">
            <v>7229.4059999999999</v>
          </cell>
          <cell r="I7">
            <v>7707.476999999999</v>
          </cell>
          <cell r="J7">
            <v>3.5963567590107104E-2</v>
          </cell>
          <cell r="K7">
            <v>13701.5</v>
          </cell>
          <cell r="L7">
            <v>13998.034</v>
          </cell>
          <cell r="N7">
            <v>14614</v>
          </cell>
          <cell r="O7">
            <v>14833</v>
          </cell>
          <cell r="P7">
            <v>15220</v>
          </cell>
          <cell r="Q7">
            <v>15365</v>
          </cell>
          <cell r="R7">
            <v>16029</v>
          </cell>
          <cell r="S7">
            <v>16638</v>
          </cell>
          <cell r="T7">
            <v>15785</v>
          </cell>
          <cell r="U7">
            <v>15571</v>
          </cell>
          <cell r="V7">
            <v>15412</v>
          </cell>
          <cell r="W7">
            <v>15776</v>
          </cell>
          <cell r="X7">
            <v>22390</v>
          </cell>
          <cell r="Y7">
            <v>26970</v>
          </cell>
          <cell r="Z7">
            <v>26313</v>
          </cell>
          <cell r="AA7">
            <v>24892</v>
          </cell>
          <cell r="AB7">
            <v>23895</v>
          </cell>
          <cell r="AC7">
            <v>25003</v>
          </cell>
          <cell r="AD7">
            <v>26405</v>
          </cell>
          <cell r="AE7">
            <v>27697.820605365057</v>
          </cell>
          <cell r="AF7">
            <v>28358.892641397051</v>
          </cell>
          <cell r="AG7">
            <v>28905.408744504351</v>
          </cell>
          <cell r="AH7">
            <v>29204.897015558319</v>
          </cell>
          <cell r="AI7">
            <v>29496.945985713905</v>
          </cell>
          <cell r="AJ7">
            <v>29791.915445571045</v>
          </cell>
          <cell r="AK7">
            <v>30089.834600026756</v>
          </cell>
          <cell r="AL7">
            <v>30390.732946027023</v>
          </cell>
          <cell r="AN7" t="str">
            <v>Retail Revenues</v>
          </cell>
          <cell r="AO7">
            <v>1590.46</v>
          </cell>
          <cell r="AP7">
            <v>1525.692</v>
          </cell>
          <cell r="AQ7">
            <v>1767.327</v>
          </cell>
          <cell r="AR7">
            <v>2258.5039999999999</v>
          </cell>
          <cell r="AS7">
            <v>7141.9830000000002</v>
          </cell>
          <cell r="AU7">
            <v>1593.4190000000001</v>
          </cell>
          <cell r="AV7">
            <v>1495.7429999999999</v>
          </cell>
          <cell r="AW7">
            <v>1708.9010000000001</v>
          </cell>
          <cell r="AX7">
            <v>2134.2600000000002</v>
          </cell>
          <cell r="AY7">
            <v>6932.3230000000003</v>
          </cell>
          <cell r="BA7">
            <v>1571.7260000000001</v>
          </cell>
          <cell r="BB7">
            <v>1457.212</v>
          </cell>
          <cell r="BC7">
            <v>1788.9649999999999</v>
          </cell>
          <cell r="BD7">
            <v>2262.038</v>
          </cell>
          <cell r="BE7">
            <v>7079.9410000000007</v>
          </cell>
          <cell r="BG7">
            <v>1590.259</v>
          </cell>
          <cell r="BH7">
            <v>1502.288</v>
          </cell>
          <cell r="BI7">
            <v>1789.3150000000001</v>
          </cell>
          <cell r="BJ7">
            <v>2347.5439999999999</v>
          </cell>
          <cell r="BK7">
            <v>7229.4059999999999</v>
          </cell>
          <cell r="BM7">
            <v>1653.6310000000001</v>
          </cell>
          <cell r="BN7">
            <v>1596.1</v>
          </cell>
          <cell r="BO7">
            <v>1926.8109999999999</v>
          </cell>
          <cell r="BP7">
            <v>2530.9349999999999</v>
          </cell>
          <cell r="BQ7">
            <v>7707.476999999999</v>
          </cell>
          <cell r="BS7">
            <v>2938</v>
          </cell>
          <cell r="BT7">
            <v>2930.8</v>
          </cell>
          <cell r="BU7">
            <v>3352.6</v>
          </cell>
          <cell r="BV7">
            <v>4480.1000000000004</v>
          </cell>
          <cell r="BW7">
            <v>13701.5</v>
          </cell>
          <cell r="BY7">
            <v>2988.0059999999999</v>
          </cell>
          <cell r="BZ7">
            <v>3047</v>
          </cell>
          <cell r="CA7">
            <v>3333.5279999999998</v>
          </cell>
          <cell r="CB7">
            <v>414.8</v>
          </cell>
          <cell r="CC7">
            <v>3748.3690000000001</v>
          </cell>
          <cell r="CD7">
            <v>4629.5</v>
          </cell>
          <cell r="CE7">
            <v>5264.9</v>
          </cell>
          <cell r="CF7">
            <v>13998.034</v>
          </cell>
          <cell r="CG7">
            <v>14633.433999999999</v>
          </cell>
          <cell r="CH7">
            <v>15048.233999999999</v>
          </cell>
          <cell r="CJ7">
            <v>3300.7</v>
          </cell>
          <cell r="CK7">
            <v>3284.2280000000001</v>
          </cell>
          <cell r="CL7">
            <v>3609.1480000000001</v>
          </cell>
          <cell r="CM7">
            <v>5034.9579999999996</v>
          </cell>
          <cell r="CN7">
            <v>15229.034</v>
          </cell>
          <cell r="CP7">
            <v>3409.0909999999999</v>
          </cell>
          <cell r="CQ7">
            <v>3452.8290000000002</v>
          </cell>
          <cell r="CR7">
            <v>3746.2759999999998</v>
          </cell>
          <cell r="CS7">
            <v>5060.116</v>
          </cell>
          <cell r="CT7">
            <v>15668.312</v>
          </cell>
          <cell r="CV7">
            <v>3357</v>
          </cell>
          <cell r="CW7">
            <v>3426</v>
          </cell>
          <cell r="CX7">
            <v>3548</v>
          </cell>
          <cell r="CY7">
            <v>5034</v>
          </cell>
          <cell r="CZ7">
            <v>15365</v>
          </cell>
          <cell r="DB7">
            <v>3470</v>
          </cell>
          <cell r="DC7">
            <v>3609</v>
          </cell>
          <cell r="DD7">
            <v>3691</v>
          </cell>
          <cell r="DE7">
            <v>5259</v>
          </cell>
          <cell r="DF7">
            <v>16029</v>
          </cell>
          <cell r="DH7">
            <v>3573</v>
          </cell>
          <cell r="DI7">
            <v>3679</v>
          </cell>
          <cell r="DJ7">
            <v>3782</v>
          </cell>
          <cell r="DK7">
            <v>5604</v>
          </cell>
          <cell r="DL7">
            <v>16638</v>
          </cell>
          <cell r="DN7">
            <v>3556</v>
          </cell>
          <cell r="DO7">
            <v>3488</v>
          </cell>
          <cell r="DP7">
            <v>3475</v>
          </cell>
          <cell r="DQ7">
            <v>5132</v>
          </cell>
          <cell r="DR7">
            <v>15785</v>
          </cell>
          <cell r="DT7">
            <v>3453</v>
          </cell>
          <cell r="DU7">
            <v>3486</v>
          </cell>
          <cell r="DV7">
            <v>3479</v>
          </cell>
          <cell r="DW7">
            <v>5017</v>
          </cell>
          <cell r="DX7">
            <v>15571</v>
          </cell>
          <cell r="DZ7">
            <v>3291</v>
          </cell>
          <cell r="EA7">
            <v>3434</v>
          </cell>
          <cell r="EB7">
            <v>3486</v>
          </cell>
          <cell r="EC7">
            <v>5053</v>
          </cell>
          <cell r="ED7">
            <v>15412</v>
          </cell>
          <cell r="EF7">
            <v>3550</v>
          </cell>
          <cell r="EG7">
            <v>3581</v>
          </cell>
          <cell r="EH7">
            <v>3525</v>
          </cell>
          <cell r="EI7">
            <v>5120</v>
          </cell>
          <cell r="EJ7">
            <v>15776</v>
          </cell>
          <cell r="EL7">
            <v>3641</v>
          </cell>
          <cell r="EM7">
            <v>3623</v>
          </cell>
          <cell r="EN7">
            <v>5555</v>
          </cell>
          <cell r="EO7">
            <v>9571</v>
          </cell>
          <cell r="EP7">
            <v>22390</v>
          </cell>
          <cell r="ER7">
            <v>5930</v>
          </cell>
          <cell r="ES7">
            <v>5995</v>
          </cell>
          <cell r="ET7">
            <v>5886</v>
          </cell>
          <cell r="EU7">
            <v>9159</v>
          </cell>
          <cell r="EV7">
            <v>26970</v>
          </cell>
          <cell r="EX7">
            <v>5921</v>
          </cell>
          <cell r="EY7">
            <v>5892</v>
          </cell>
          <cell r="EZ7">
            <v>5906</v>
          </cell>
          <cell r="FA7">
            <v>8594</v>
          </cell>
          <cell r="FB7">
            <v>26313</v>
          </cell>
          <cell r="FD7">
            <v>5747</v>
          </cell>
          <cell r="FE7">
            <v>5718</v>
          </cell>
          <cell r="FF7">
            <v>5493</v>
          </cell>
          <cell r="FG7">
            <v>7934</v>
          </cell>
          <cell r="FH7">
            <v>24892</v>
          </cell>
          <cell r="FJ7">
            <v>5288</v>
          </cell>
          <cell r="FK7">
            <v>5285</v>
          </cell>
          <cell r="FL7">
            <v>5385</v>
          </cell>
          <cell r="FM7">
            <v>7937</v>
          </cell>
          <cell r="FN7">
            <v>23895</v>
          </cell>
          <cell r="FP7">
            <v>5574</v>
          </cell>
          <cell r="FQ7">
            <v>5537</v>
          </cell>
          <cell r="FR7">
            <v>5623</v>
          </cell>
          <cell r="FS7">
            <v>8269</v>
          </cell>
          <cell r="FT7">
            <v>25003</v>
          </cell>
          <cell r="FV7">
            <v>5889</v>
          </cell>
          <cell r="FW7">
            <v>5939</v>
          </cell>
          <cell r="FX7">
            <v>5853</v>
          </cell>
          <cell r="FY7">
            <v>8724</v>
          </cell>
          <cell r="FZ7">
            <v>26405</v>
          </cell>
          <cell r="GB7">
            <v>6143</v>
          </cell>
          <cell r="GC7">
            <v>6118</v>
          </cell>
          <cell r="GD7">
            <v>6069.6866469352608</v>
          </cell>
          <cell r="GE7">
            <v>9367.1339584297966</v>
          </cell>
          <cell r="GF7">
            <v>27697.820605365057</v>
          </cell>
        </row>
        <row r="8">
          <cell r="A8" t="str">
            <v>Direct-to-consumer</v>
          </cell>
          <cell r="AN8" t="str">
            <v>Direct-to-consumer</v>
          </cell>
          <cell r="CP8" t="str">
            <v>--</v>
          </cell>
          <cell r="CQ8" t="str">
            <v>--</v>
          </cell>
          <cell r="CR8" t="str">
            <v>--</v>
          </cell>
          <cell r="CS8" t="str">
            <v>--</v>
          </cell>
          <cell r="CT8" t="str">
            <v>--</v>
          </cell>
          <cell r="DB8">
            <v>130</v>
          </cell>
          <cell r="DC8">
            <v>397</v>
          </cell>
          <cell r="DD8">
            <v>446</v>
          </cell>
          <cell r="DE8">
            <v>714</v>
          </cell>
          <cell r="DF8">
            <v>1687</v>
          </cell>
        </row>
        <row r="9">
          <cell r="A9" t="str">
            <v>Total Revenues</v>
          </cell>
          <cell r="K9">
            <v>13701.5</v>
          </cell>
          <cell r="L9">
            <v>13998.034</v>
          </cell>
          <cell r="N9">
            <v>14614</v>
          </cell>
          <cell r="O9">
            <v>14833</v>
          </cell>
          <cell r="P9">
            <v>15220</v>
          </cell>
          <cell r="Q9">
            <v>15365</v>
          </cell>
          <cell r="R9">
            <v>16029</v>
          </cell>
          <cell r="S9">
            <v>16638</v>
          </cell>
          <cell r="T9">
            <v>15785</v>
          </cell>
          <cell r="U9">
            <v>15571</v>
          </cell>
          <cell r="V9">
            <v>15412</v>
          </cell>
          <cell r="W9">
            <v>15776</v>
          </cell>
          <cell r="X9">
            <v>22390</v>
          </cell>
          <cell r="Y9">
            <v>26970</v>
          </cell>
          <cell r="Z9">
            <v>26313</v>
          </cell>
          <cell r="AA9">
            <v>24892</v>
          </cell>
          <cell r="AB9">
            <v>23895</v>
          </cell>
          <cell r="AC9">
            <v>25003</v>
          </cell>
          <cell r="AD9">
            <v>26405</v>
          </cell>
          <cell r="AE9">
            <v>27697.820605365057</v>
          </cell>
          <cell r="AF9">
            <v>28358.892641397051</v>
          </cell>
          <cell r="AG9">
            <v>28905.408744504351</v>
          </cell>
          <cell r="AH9">
            <v>29204.897015558319</v>
          </cell>
          <cell r="AI9">
            <v>29496.945985713905</v>
          </cell>
          <cell r="AJ9">
            <v>29791.915445571045</v>
          </cell>
          <cell r="AK9">
            <v>30089.834600026756</v>
          </cell>
          <cell r="AL9">
            <v>30390.732946027023</v>
          </cell>
          <cell r="AN9" t="str">
            <v>Total Revenues</v>
          </cell>
          <cell r="AO9">
            <v>1590.46</v>
          </cell>
          <cell r="AP9">
            <v>1525.692</v>
          </cell>
          <cell r="AQ9">
            <v>1767.327</v>
          </cell>
          <cell r="AR9">
            <v>2258.5039999999999</v>
          </cell>
          <cell r="AS9">
            <v>7141.9830000000002</v>
          </cell>
          <cell r="AU9">
            <v>1593.4190000000001</v>
          </cell>
          <cell r="AV9">
            <v>1495.7429999999999</v>
          </cell>
          <cell r="AW9">
            <v>1708.9010000000001</v>
          </cell>
          <cell r="AX9">
            <v>2134.2600000000002</v>
          </cell>
          <cell r="AY9">
            <v>6932.3230000000003</v>
          </cell>
          <cell r="BA9">
            <v>1571.7260000000001</v>
          </cell>
          <cell r="BB9">
            <v>1457.212</v>
          </cell>
          <cell r="BC9">
            <v>1788.9649999999999</v>
          </cell>
          <cell r="BD9">
            <v>2262.038</v>
          </cell>
          <cell r="BE9">
            <v>7079.9410000000007</v>
          </cell>
          <cell r="BG9">
            <v>1590.259</v>
          </cell>
          <cell r="BH9">
            <v>1502.288</v>
          </cell>
          <cell r="BI9">
            <v>1789.3150000000001</v>
          </cell>
          <cell r="BJ9">
            <v>2347.5439999999999</v>
          </cell>
          <cell r="BK9">
            <v>7229.4059999999999</v>
          </cell>
          <cell r="BM9">
            <v>1653.6310000000001</v>
          </cell>
          <cell r="BN9">
            <v>1596.1</v>
          </cell>
          <cell r="BO9">
            <v>1926.8109999999999</v>
          </cell>
          <cell r="BP9">
            <v>2530.9349999999999</v>
          </cell>
          <cell r="BQ9">
            <v>7707.476999999999</v>
          </cell>
          <cell r="BS9">
            <v>2938</v>
          </cell>
          <cell r="BT9">
            <v>2930.8</v>
          </cell>
          <cell r="BU9">
            <v>3352.6</v>
          </cell>
          <cell r="BV9">
            <v>4480.1000000000004</v>
          </cell>
          <cell r="BW9">
            <v>13701.5</v>
          </cell>
          <cell r="BY9">
            <v>2988.0059999999999</v>
          </cell>
          <cell r="BZ9">
            <v>3047</v>
          </cell>
          <cell r="CA9">
            <v>3333.5279999999998</v>
          </cell>
          <cell r="CB9">
            <v>414.8</v>
          </cell>
          <cell r="CC9">
            <v>3748.3690000000001</v>
          </cell>
          <cell r="CD9">
            <v>4629.5</v>
          </cell>
          <cell r="CE9">
            <v>5264.9</v>
          </cell>
          <cell r="CF9">
            <v>13998.034</v>
          </cell>
          <cell r="CG9">
            <v>14633.433999999999</v>
          </cell>
          <cell r="CH9">
            <v>15048.233999999999</v>
          </cell>
          <cell r="CJ9">
            <v>3300.7</v>
          </cell>
          <cell r="CK9">
            <v>3284.2280000000001</v>
          </cell>
          <cell r="CL9">
            <v>3609.1480000000001</v>
          </cell>
          <cell r="CM9">
            <v>5034.9579999999996</v>
          </cell>
          <cell r="CN9">
            <v>15229.034</v>
          </cell>
          <cell r="CP9">
            <v>3409.0909999999999</v>
          </cell>
          <cell r="CQ9">
            <v>3452.8290000000002</v>
          </cell>
          <cell r="CR9">
            <v>3746.2759999999998</v>
          </cell>
          <cell r="CS9">
            <v>5060.116</v>
          </cell>
          <cell r="CT9">
            <v>15668.312</v>
          </cell>
          <cell r="CV9">
            <v>3357</v>
          </cell>
          <cell r="CW9">
            <v>3426</v>
          </cell>
          <cell r="CX9">
            <v>3548</v>
          </cell>
          <cell r="CY9">
            <v>5034</v>
          </cell>
          <cell r="CZ9">
            <v>15365</v>
          </cell>
          <cell r="DB9">
            <v>3600</v>
          </cell>
          <cell r="DC9">
            <v>4006</v>
          </cell>
          <cell r="DD9">
            <v>4137</v>
          </cell>
          <cell r="DE9">
            <v>5973</v>
          </cell>
          <cell r="DF9">
            <v>17716</v>
          </cell>
          <cell r="DH9">
            <v>3573</v>
          </cell>
          <cell r="DI9">
            <v>3679</v>
          </cell>
          <cell r="DJ9">
            <v>3782</v>
          </cell>
          <cell r="DK9">
            <v>5604</v>
          </cell>
          <cell r="DL9">
            <v>16638</v>
          </cell>
          <cell r="DN9">
            <v>3556</v>
          </cell>
          <cell r="DO9">
            <v>3488</v>
          </cell>
          <cell r="DP9">
            <v>3475</v>
          </cell>
          <cell r="DQ9">
            <v>5132</v>
          </cell>
          <cell r="DR9">
            <v>15785</v>
          </cell>
          <cell r="DT9">
            <v>3453</v>
          </cell>
          <cell r="DU9">
            <v>3486</v>
          </cell>
          <cell r="DV9">
            <v>3479</v>
          </cell>
          <cell r="DW9">
            <v>5017</v>
          </cell>
          <cell r="DX9">
            <v>15571</v>
          </cell>
          <cell r="DZ9">
            <v>3291</v>
          </cell>
          <cell r="EA9">
            <v>3434</v>
          </cell>
          <cell r="EB9">
            <v>3486</v>
          </cell>
          <cell r="EC9">
            <v>5053</v>
          </cell>
          <cell r="ED9">
            <v>15412</v>
          </cell>
          <cell r="EF9">
            <v>3550</v>
          </cell>
          <cell r="EG9">
            <v>3581</v>
          </cell>
          <cell r="EH9">
            <v>3525</v>
          </cell>
          <cell r="EI9">
            <v>5120</v>
          </cell>
          <cell r="EJ9">
            <v>15776</v>
          </cell>
          <cell r="EK9" t="str">
            <v>Total Revenues</v>
          </cell>
          <cell r="EL9">
            <v>3641</v>
          </cell>
          <cell r="EM9">
            <v>3623</v>
          </cell>
          <cell r="EN9">
            <v>5555</v>
          </cell>
          <cell r="EO9">
            <v>9571</v>
          </cell>
          <cell r="EP9">
            <v>22390</v>
          </cell>
          <cell r="ER9">
            <v>5930</v>
          </cell>
          <cell r="ES9">
            <v>5995</v>
          </cell>
          <cell r="ET9">
            <v>5886</v>
          </cell>
          <cell r="EU9">
            <v>9159</v>
          </cell>
          <cell r="EV9">
            <v>26970</v>
          </cell>
          <cell r="EX9">
            <v>5921</v>
          </cell>
          <cell r="EY9">
            <v>5892</v>
          </cell>
          <cell r="EZ9">
            <v>5906</v>
          </cell>
          <cell r="FA9">
            <v>8594</v>
          </cell>
          <cell r="FB9">
            <v>26313</v>
          </cell>
          <cell r="FD9">
            <v>5747</v>
          </cell>
          <cell r="FE9">
            <v>5718</v>
          </cell>
          <cell r="FF9">
            <v>5493</v>
          </cell>
          <cell r="FG9">
            <v>7934</v>
          </cell>
          <cell r="FH9">
            <v>24892</v>
          </cell>
          <cell r="FJ9">
            <v>5288</v>
          </cell>
          <cell r="FK9">
            <v>5285</v>
          </cell>
          <cell r="FL9">
            <v>5385</v>
          </cell>
          <cell r="FM9">
            <v>7937</v>
          </cell>
          <cell r="FN9">
            <v>23895</v>
          </cell>
          <cell r="FP9">
            <v>5574</v>
          </cell>
          <cell r="FQ9">
            <v>5537</v>
          </cell>
          <cell r="FR9">
            <v>5623</v>
          </cell>
          <cell r="FS9">
            <v>8269</v>
          </cell>
          <cell r="FT9">
            <v>25003</v>
          </cell>
          <cell r="FV9">
            <v>5889</v>
          </cell>
          <cell r="FW9">
            <v>5939</v>
          </cell>
          <cell r="FX9">
            <v>5853</v>
          </cell>
          <cell r="FY9">
            <v>8724</v>
          </cell>
          <cell r="FZ9">
            <v>26405</v>
          </cell>
          <cell r="GB9">
            <v>6143</v>
          </cell>
          <cell r="GC9">
            <v>6118</v>
          </cell>
          <cell r="GD9">
            <v>6069.6866469352608</v>
          </cell>
          <cell r="GE9">
            <v>9367.1339584297966</v>
          </cell>
          <cell r="GF9">
            <v>27697.820605365057</v>
          </cell>
          <cell r="GS9" t="str">
            <v>mstag:revenueNet</v>
          </cell>
          <cell r="GT9">
            <v>6</v>
          </cell>
          <cell r="GU9" t="str">
            <v>ISO4217:USD</v>
          </cell>
          <cell r="GV9" t="b">
            <v>0</v>
          </cell>
          <cell r="GW9" t="b">
            <v>0</v>
          </cell>
        </row>
        <row r="10">
          <cell r="A10" t="str">
            <v>Y/Y Growth</v>
          </cell>
          <cell r="C10" t="str">
            <v>--</v>
          </cell>
          <cell r="D10">
            <v>-5.7485721706094783E-2</v>
          </cell>
          <cell r="E10" t="str">
            <v>--</v>
          </cell>
          <cell r="F10">
            <v>-2.935599258637267E-2</v>
          </cell>
          <cell r="G10">
            <v>2.1294160701975429E-2</v>
          </cell>
          <cell r="H10">
            <v>2.1111051631644839E-2</v>
          </cell>
          <cell r="I10">
            <v>6.6128669492348191E-2</v>
          </cell>
          <cell r="K10" t="str">
            <v xml:space="preserve">--  </v>
          </cell>
          <cell r="L10">
            <v>2.164244790716352E-2</v>
          </cell>
          <cell r="N10" t="str">
            <v>NA</v>
          </cell>
          <cell r="O10">
            <v>1.4985630217599466E-2</v>
          </cell>
          <cell r="P10">
            <v>2.6090473943234604E-2</v>
          </cell>
          <cell r="Q10">
            <v>9.5269382391589552E-3</v>
          </cell>
          <cell r="R10">
            <v>4.3215099251545652E-2</v>
          </cell>
          <cell r="S10">
            <v>3.7993636533782515E-2</v>
          </cell>
          <cell r="T10">
            <v>-5.126818127178745E-2</v>
          </cell>
          <cell r="U10">
            <v>-1.3557174532784266E-2</v>
          </cell>
          <cell r="V10">
            <v>-1.0211290218996805E-2</v>
          </cell>
          <cell r="W10">
            <v>2.361796003114458E-2</v>
          </cell>
          <cell r="X10">
            <v>0.41924442190669375</v>
          </cell>
          <cell r="Y10">
            <v>0.20455560518088434</v>
          </cell>
          <cell r="Z10">
            <v>-2.4360400444938812E-2</v>
          </cell>
          <cell r="AA10">
            <v>-5.4003724394785846E-2</v>
          </cell>
          <cell r="AB10">
            <v>-4.0053029085650005E-2</v>
          </cell>
          <cell r="AC10">
            <v>4.6369533375183014E-2</v>
          </cell>
          <cell r="AD10">
            <v>5.60732712074552E-2</v>
          </cell>
          <cell r="AE10">
            <v>4.8961204520547419E-2</v>
          </cell>
          <cell r="AF10">
            <v>2.3867294306323394E-2</v>
          </cell>
          <cell r="AG10">
            <v>1.9271419022529823E-2</v>
          </cell>
          <cell r="AH10">
            <v>1.0360976857347159E-2</v>
          </cell>
          <cell r="AI10">
            <v>1.0000000000000009E-2</v>
          </cell>
          <cell r="AJ10">
            <v>1.0000000000000009E-2</v>
          </cell>
          <cell r="AK10">
            <v>1.0000000000000009E-2</v>
          </cell>
          <cell r="AL10">
            <v>1.0000000000000009E-2</v>
          </cell>
          <cell r="AN10" t="str">
            <v>Y/Y Growth</v>
          </cell>
          <cell r="AS10">
            <v>-5.7485721706094783E-2</v>
          </cell>
          <cell r="AU10">
            <v>1.86046804069262E-3</v>
          </cell>
          <cell r="AV10">
            <v>-1.9629781109162359E-2</v>
          </cell>
          <cell r="AW10">
            <v>-3.3058964187159479E-2</v>
          </cell>
          <cell r="AX10">
            <v>-5.5011636021012E-2</v>
          </cell>
          <cell r="AY10">
            <v>-2.935599258637267E-2</v>
          </cell>
          <cell r="BA10">
            <v>-1.3614121583839567E-2</v>
          </cell>
          <cell r="BB10">
            <v>-2.5760441466214368E-2</v>
          </cell>
          <cell r="BC10">
            <v>4.6851163408529795E-2</v>
          </cell>
          <cell r="BD10">
            <v>5.9869931498505169E-2</v>
          </cell>
          <cell r="BE10">
            <v>2.1294160701975429E-2</v>
          </cell>
          <cell r="BG10">
            <v>1.1791495464221979E-2</v>
          </cell>
          <cell r="BH10">
            <v>3.0933042000752087E-2</v>
          </cell>
          <cell r="BI10">
            <v>1.9564384993575601E-4</v>
          </cell>
          <cell r="BJ10">
            <v>3.7800425987538633E-2</v>
          </cell>
          <cell r="BK10">
            <v>2.1111051631644839E-2</v>
          </cell>
          <cell r="BM10">
            <v>3.9850112465956933E-2</v>
          </cell>
          <cell r="BN10">
            <v>6.2446082242552547E-2</v>
          </cell>
          <cell r="BO10">
            <v>7.6842814149548744E-2</v>
          </cell>
          <cell r="BP10">
            <v>7.8120367498969223E-2</v>
          </cell>
          <cell r="BQ10">
            <v>6.6128669492348191E-2</v>
          </cell>
          <cell r="BS10" t="str">
            <v xml:space="preserve"> --  </v>
          </cell>
          <cell r="BT10" t="str">
            <v xml:space="preserve"> --  </v>
          </cell>
          <cell r="BU10" t="str">
            <v xml:space="preserve"> --  </v>
          </cell>
          <cell r="BV10" t="str">
            <v xml:space="preserve"> --  </v>
          </cell>
          <cell r="BW10" t="str">
            <v xml:space="preserve"> --  </v>
          </cell>
          <cell r="BY10">
            <v>1.7020422055820328E-2</v>
          </cell>
          <cell r="BZ10">
            <v>3.9647877712569946E-2</v>
          </cell>
          <cell r="CA10">
            <v>-5.6887192030066203E-3</v>
          </cell>
          <cell r="CC10">
            <v>0.11804838036151044</v>
          </cell>
          <cell r="CD10">
            <v>3.3347469922546225E-2</v>
          </cell>
          <cell r="CE10">
            <v>0.1751746612798819</v>
          </cell>
          <cell r="CF10">
            <v>2.164244790716352E-2</v>
          </cell>
          <cell r="CG10">
            <v>6.8016932452651169E-2</v>
          </cell>
          <cell r="CH10">
            <v>9.8290990037587012E-2</v>
          </cell>
          <cell r="CJ10">
            <v>0.10464972292558983</v>
          </cell>
          <cell r="CK10">
            <v>7.7856252051197838E-2</v>
          </cell>
          <cell r="CL10">
            <v>-3.7141754186954423E-2</v>
          </cell>
          <cell r="CM10">
            <v>-4.3674523732644466E-2</v>
          </cell>
          <cell r="CN10">
            <v>1.2014698867654605E-2</v>
          </cell>
          <cell r="CP10">
            <v>3.2838791771442555E-2</v>
          </cell>
          <cell r="CQ10">
            <v>5.1336569811840205E-2</v>
          </cell>
          <cell r="CR10">
            <v>3.799456270565793E-2</v>
          </cell>
          <cell r="CS10">
            <v>4.9966653147852647E-3</v>
          </cell>
          <cell r="CT10">
            <v>2.8844771112862544E-2</v>
          </cell>
          <cell r="CV10">
            <v>-1.528002625919922E-2</v>
          </cell>
          <cell r="CW10">
            <v>-7.7701502159533975E-3</v>
          </cell>
          <cell r="CX10">
            <v>-5.2926159204500611E-2</v>
          </cell>
          <cell r="CY10">
            <v>-5.1611465033607473E-3</v>
          </cell>
          <cell r="CZ10">
            <v>-1.9358307391376894E-2</v>
          </cell>
          <cell r="DB10">
            <v>3.3661006851355424E-2</v>
          </cell>
          <cell r="DC10">
            <v>5.3415061295972066E-2</v>
          </cell>
          <cell r="DD10">
            <v>4.0304396843291901E-2</v>
          </cell>
          <cell r="DE10">
            <v>4.4696066746126251E-2</v>
          </cell>
          <cell r="DF10">
            <v>4.3215099251545652E-2</v>
          </cell>
          <cell r="DH10">
            <v>2.9682997118155585E-2</v>
          </cell>
          <cell r="DI10">
            <v>1.9395954558049322E-2</v>
          </cell>
          <cell r="DJ10">
            <v>2.4654565158493735E-2</v>
          </cell>
          <cell r="DK10">
            <v>6.560182544209936E-2</v>
          </cell>
          <cell r="DL10">
            <v>3.7993636533782515E-2</v>
          </cell>
          <cell r="DN10">
            <v>-4.7579065211307281E-3</v>
          </cell>
          <cell r="DO10">
            <v>-5.191628159826045E-2</v>
          </cell>
          <cell r="DP10">
            <v>-8.1173982020095181E-2</v>
          </cell>
          <cell r="DQ10">
            <v>-8.4225553176302648E-2</v>
          </cell>
          <cell r="DR10">
            <v>-5.126818127178745E-2</v>
          </cell>
          <cell r="DT10">
            <v>-2.8965129358830111E-2</v>
          </cell>
          <cell r="DU10">
            <v>-5.7339449541282672E-4</v>
          </cell>
          <cell r="DV10">
            <v>1.1510791366906581E-3</v>
          </cell>
          <cell r="DW10">
            <v>-2.2408417770849565E-2</v>
          </cell>
          <cell r="DX10">
            <v>-1.3557174532784266E-2</v>
          </cell>
          <cell r="DZ10">
            <v>-4.6915725456125101E-2</v>
          </cell>
          <cell r="EA10">
            <v>-1.4916810097532984E-2</v>
          </cell>
          <cell r="EB10">
            <v>2.012072434607548E-3</v>
          </cell>
          <cell r="EC10">
            <v>7.1756029499701057E-3</v>
          </cell>
          <cell r="ED10">
            <v>-1.0211290218996805E-2</v>
          </cell>
          <cell r="EF10">
            <v>7.8699483439683915E-2</v>
          </cell>
          <cell r="EG10">
            <v>4.2807221898660375E-2</v>
          </cell>
          <cell r="EH10">
            <v>1.1187607573149849E-2</v>
          </cell>
          <cell r="EI10">
            <v>1.3259449831783066E-2</v>
          </cell>
          <cell r="EJ10">
            <v>2.361796003114458E-2</v>
          </cell>
          <cell r="EK10" t="str">
            <v>Y/Y Growth</v>
          </cell>
          <cell r="EL10">
            <v>2.5633802816901419E-2</v>
          </cell>
          <cell r="EM10">
            <v>1.1728567439262871E-2</v>
          </cell>
          <cell r="EN10">
            <v>0.57588652482269498</v>
          </cell>
          <cell r="EO10">
            <v>0.86933593750000004</v>
          </cell>
          <cell r="EP10">
            <v>0.41924442190669375</v>
          </cell>
          <cell r="ER10">
            <v>0.62867344136226322</v>
          </cell>
          <cell r="ES10">
            <v>0.65470604471432514</v>
          </cell>
          <cell r="ET10">
            <v>5.9585958595859578E-2</v>
          </cell>
          <cell r="EU10">
            <v>-4.3046703583742518E-2</v>
          </cell>
          <cell r="EV10">
            <v>0.20455560518088434</v>
          </cell>
          <cell r="EX10">
            <v>-1.5177065767284503E-3</v>
          </cell>
          <cell r="EY10">
            <v>-1.7180984153461254E-2</v>
          </cell>
          <cell r="EZ10">
            <v>3.397893306150257E-3</v>
          </cell>
          <cell r="FA10">
            <v>-6.1687957200567745E-2</v>
          </cell>
          <cell r="FB10">
            <v>-2.4360400444938812E-2</v>
          </cell>
          <cell r="FD10">
            <v>-2.9386927883803371E-2</v>
          </cell>
          <cell r="FE10">
            <v>-2.9531568228105876E-2</v>
          </cell>
          <cell r="FF10">
            <v>-6.9928885878767333E-2</v>
          </cell>
          <cell r="FG10">
            <v>-7.6797765883174329E-2</v>
          </cell>
          <cell r="FH10">
            <v>-5.4003724394785846E-2</v>
          </cell>
          <cell r="FJ10">
            <v>-7.9867757090655966E-2</v>
          </cell>
          <cell r="FK10">
            <v>-7.5725778244141284E-2</v>
          </cell>
          <cell r="FL10">
            <v>-1.9661387220098359E-2</v>
          </cell>
          <cell r="FM10">
            <v>3.7811948575749987E-4</v>
          </cell>
          <cell r="FN10">
            <v>-4.0053029085650005E-2</v>
          </cell>
          <cell r="FP10">
            <v>5.4084720121028829E-2</v>
          </cell>
          <cell r="FQ10">
            <v>4.7682119205298079E-2</v>
          </cell>
          <cell r="FR10">
            <v>4.4196843082636939E-2</v>
          </cell>
          <cell r="FS10">
            <v>4.182940657679235E-2</v>
          </cell>
          <cell r="FT10">
            <v>4.6369533375183014E-2</v>
          </cell>
          <cell r="FV10">
            <v>5.6512378902045191E-2</v>
          </cell>
          <cell r="FW10">
            <v>7.2602492324363332E-2</v>
          </cell>
          <cell r="FX10">
            <v>4.0903432331495626E-2</v>
          </cell>
          <cell r="FY10">
            <v>5.5024791389527206E-2</v>
          </cell>
          <cell r="FZ10">
            <v>5.60732712074552E-2</v>
          </cell>
          <cell r="GB10">
            <v>4.313126167430803E-2</v>
          </cell>
          <cell r="GC10">
            <v>3.0139754167368249E-2</v>
          </cell>
          <cell r="GD10">
            <v>3.7021467099822347E-2</v>
          </cell>
          <cell r="GE10">
            <v>7.372007776590972E-2</v>
          </cell>
          <cell r="GF10">
            <v>4.8961204520547419E-2</v>
          </cell>
        </row>
        <row r="11">
          <cell r="A11" t="str">
            <v xml:space="preserve">  % Same-Store</v>
          </cell>
          <cell r="C11" t="str">
            <v>--</v>
          </cell>
          <cell r="D11">
            <v>-4.2999999999999997E-2</v>
          </cell>
          <cell r="E11" t="str">
            <v>--</v>
          </cell>
          <cell r="F11">
            <v>1.4E-2</v>
          </cell>
          <cell r="G11">
            <v>5.1999999999999998E-2</v>
          </cell>
          <cell r="H11">
            <v>1.9E-2</v>
          </cell>
          <cell r="I11">
            <v>3.1E-2</v>
          </cell>
          <cell r="K11">
            <v>3.0898675327518884E-2</v>
          </cell>
          <cell r="L11">
            <v>2.7118808112624956E-2</v>
          </cell>
          <cell r="N11">
            <v>2.7E-2</v>
          </cell>
          <cell r="O11">
            <v>3.1E-2</v>
          </cell>
          <cell r="P11">
            <v>2.7E-2</v>
          </cell>
          <cell r="Q11">
            <v>2.1999999999999999E-2</v>
          </cell>
          <cell r="R11">
            <v>4.4999999999999998E-2</v>
          </cell>
          <cell r="S11">
            <v>0.02</v>
          </cell>
          <cell r="T11">
            <v>-5.2999999999999999E-2</v>
          </cell>
          <cell r="U11">
            <v>-0.03</v>
          </cell>
          <cell r="V11">
            <v>-9.0000000000000011E-3</v>
          </cell>
          <cell r="W11">
            <v>2.5999999999999999E-2</v>
          </cell>
          <cell r="X11">
            <v>1.2999999999999999E-2</v>
          </cell>
          <cell r="Y11">
            <v>4.3999999999999997E-2</v>
          </cell>
          <cell r="Z11">
            <v>-1.2999999999999999E-2</v>
          </cell>
          <cell r="AA11">
            <v>-4.4999999999999998E-2</v>
          </cell>
          <cell r="AB11">
            <v>-5.2999999999999999E-2</v>
          </cell>
          <cell r="AC11">
            <v>4.610434747830261E-2</v>
          </cell>
          <cell r="AD11">
            <v>5.2999999999999999E-2</v>
          </cell>
          <cell r="AE11">
            <v>4.02253638971692E-2</v>
          </cell>
          <cell r="AF11">
            <v>3.5000000000000003E-2</v>
          </cell>
          <cell r="AG11">
            <v>0.02</v>
          </cell>
          <cell r="AH11">
            <v>0.01</v>
          </cell>
          <cell r="AI11">
            <v>0.01</v>
          </cell>
          <cell r="AJ11">
            <v>0.01</v>
          </cell>
          <cell r="AK11">
            <v>0.01</v>
          </cell>
          <cell r="AL11">
            <v>0.01</v>
          </cell>
          <cell r="AN11" t="str">
            <v xml:space="preserve">  % Same-Store</v>
          </cell>
          <cell r="AS11">
            <v>-4.2999999999999997E-2</v>
          </cell>
          <cell r="AU11">
            <v>2.9000000000000001E-2</v>
          </cell>
          <cell r="AV11">
            <v>1.4E-2</v>
          </cell>
          <cell r="AW11">
            <v>1.7999999999999999E-2</v>
          </cell>
          <cell r="AX11">
            <v>-1E-3</v>
          </cell>
          <cell r="AY11">
            <v>1.4E-2</v>
          </cell>
          <cell r="BA11">
            <v>4.3999999999999997E-2</v>
          </cell>
          <cell r="BB11">
            <v>1.7000000000000001E-2</v>
          </cell>
          <cell r="BC11">
            <v>5.7000000000000002E-2</v>
          </cell>
          <cell r="BD11">
            <v>7.4999999999999997E-2</v>
          </cell>
          <cell r="BE11">
            <v>5.1999999999999998E-2</v>
          </cell>
          <cell r="BG11">
            <v>0.02</v>
          </cell>
          <cell r="BH11">
            <v>0.04</v>
          </cell>
          <cell r="BI11">
            <v>0</v>
          </cell>
          <cell r="BJ11">
            <v>2.1000000000000001E-2</v>
          </cell>
          <cell r="BK11">
            <v>1.9E-2</v>
          </cell>
          <cell r="BM11">
            <v>2.1000000000000001E-2</v>
          </cell>
          <cell r="BN11">
            <v>2.1999999999999999E-2</v>
          </cell>
          <cell r="BO11">
            <v>3.4000000000000002E-2</v>
          </cell>
          <cell r="BP11">
            <v>4.1000000000000002E-2</v>
          </cell>
          <cell r="BQ11">
            <v>3.1E-2</v>
          </cell>
          <cell r="BS11">
            <v>3.9E-2</v>
          </cell>
          <cell r="BT11">
            <v>8.0000000000000002E-3</v>
          </cell>
          <cell r="BU11">
            <v>3.6999999999999998E-2</v>
          </cell>
          <cell r="BV11">
            <v>3.5999999999999997E-2</v>
          </cell>
          <cell r="BW11">
            <v>3.0898675327518884E-2</v>
          </cell>
          <cell r="BY11">
            <v>1.2999999999999999E-2</v>
          </cell>
          <cell r="BZ11">
            <v>6.2E-2</v>
          </cell>
          <cell r="CA11">
            <v>1.4999999999999999E-2</v>
          </cell>
          <cell r="CC11">
            <v>1.4999999999999999E-2</v>
          </cell>
          <cell r="CD11">
            <v>2.1999999999999999E-2</v>
          </cell>
          <cell r="CE11">
            <v>2.1999999999999999E-2</v>
          </cell>
          <cell r="CF11">
            <v>2.7118808112624956E-2</v>
          </cell>
          <cell r="CG11">
            <v>2.7118808112624956E-2</v>
          </cell>
          <cell r="CH11">
            <v>2.7118808112624956E-2</v>
          </cell>
          <cell r="CJ11">
            <v>4.5999999999999999E-2</v>
          </cell>
          <cell r="CK11">
            <v>8.0000000000000002E-3</v>
          </cell>
          <cell r="CL11">
            <v>2.5000000000000001E-2</v>
          </cell>
          <cell r="CM11">
            <v>0.04</v>
          </cell>
          <cell r="CN11">
            <v>3.0844572544785176E-2</v>
          </cell>
          <cell r="CP11">
            <v>2.5000000000000001E-2</v>
          </cell>
          <cell r="CQ11">
            <v>4.3999999999999997E-2</v>
          </cell>
          <cell r="CR11">
            <v>3.1E-2</v>
          </cell>
          <cell r="CS11">
            <v>1.4E-2</v>
          </cell>
          <cell r="CT11">
            <v>2.7069152758765591E-2</v>
          </cell>
          <cell r="CV11">
            <v>2.4E-2</v>
          </cell>
          <cell r="CW11">
            <v>3.0187969924812031E-2</v>
          </cell>
          <cell r="CX11">
            <v>-1.2999999999999999E-2</v>
          </cell>
          <cell r="CY11">
            <v>4.1000000000000002E-2</v>
          </cell>
          <cell r="CZ11">
            <v>4.4999999999999998E-2</v>
          </cell>
          <cell r="DB11">
            <v>0.04</v>
          </cell>
          <cell r="DC11">
            <v>5.8999999999999997E-2</v>
          </cell>
          <cell r="DD11">
            <v>3.9E-2</v>
          </cell>
          <cell r="DE11">
            <v>4.3999999999999997E-2</v>
          </cell>
          <cell r="DF11">
            <v>4.4999999999999998E-2</v>
          </cell>
          <cell r="DH11">
            <v>2.9000000000000001E-2</v>
          </cell>
          <cell r="DI11">
            <v>1.9E-2</v>
          </cell>
          <cell r="DJ11">
            <v>1.9E-2</v>
          </cell>
          <cell r="DK11">
            <v>1.6E-2</v>
          </cell>
          <cell r="DL11">
            <v>0.02</v>
          </cell>
          <cell r="DN11">
            <v>-1.4999999999999999E-2</v>
          </cell>
          <cell r="DO11">
            <v>-4.8000000000000001E-2</v>
          </cell>
          <cell r="DP11">
            <v>-8.5999999999999993E-2</v>
          </cell>
          <cell r="DQ11">
            <v>-0.06</v>
          </cell>
          <cell r="DR11">
            <v>-5.2999999999999999E-2</v>
          </cell>
          <cell r="DT11">
            <v>-2.9000000000000001E-2</v>
          </cell>
          <cell r="DU11">
            <v>-2.8000000000000001E-2</v>
          </cell>
          <cell r="DV11">
            <v>-0.02</v>
          </cell>
          <cell r="DW11">
            <v>-3.9E-2</v>
          </cell>
          <cell r="DX11">
            <v>-0.03</v>
          </cell>
          <cell r="DZ11">
            <v>-0.05</v>
          </cell>
          <cell r="EA11">
            <v>-1.2E-2</v>
          </cell>
          <cell r="EB11">
            <v>2E-3</v>
          </cell>
          <cell r="EC11">
            <v>1.3999999999999999E-2</v>
          </cell>
          <cell r="ED11">
            <v>-9.0000000000000011E-3</v>
          </cell>
          <cell r="EF11">
            <v>6.9000000000000006E-2</v>
          </cell>
          <cell r="EG11">
            <v>3.3000000000000002E-2</v>
          </cell>
          <cell r="EH11">
            <v>4.0000000000000001E-3</v>
          </cell>
          <cell r="EI11">
            <v>8.0000000000000002E-3</v>
          </cell>
          <cell r="EJ11">
            <v>2.5999999999999999E-2</v>
          </cell>
          <cell r="EK11" t="str">
            <v xml:space="preserve">  % Same-Store</v>
          </cell>
          <cell r="EL11">
            <v>2.5999999999999999E-2</v>
          </cell>
          <cell r="EM11">
            <v>1.0999999999999999E-2</v>
          </cell>
          <cell r="EN11">
            <v>6.0000000000000001E-3</v>
          </cell>
          <cell r="EO11">
            <v>1.0999999999999999E-2</v>
          </cell>
          <cell r="EP11">
            <v>1.2999999999999999E-2</v>
          </cell>
          <cell r="ER11">
            <v>0</v>
          </cell>
          <cell r="ES11">
            <v>4.5999999999999999E-2</v>
          </cell>
          <cell r="ET11">
            <v>5.8999999999999997E-2</v>
          </cell>
          <cell r="EU11">
            <v>6.0999999999999999E-2</v>
          </cell>
          <cell r="EV11">
            <v>4.3999999999999997E-2</v>
          </cell>
          <cell r="EX11">
            <v>6.0000000000000001E-3</v>
          </cell>
          <cell r="EY11">
            <v>-2.5999999999999999E-2</v>
          </cell>
          <cell r="EZ11">
            <v>-8.0000000000000002E-3</v>
          </cell>
          <cell r="FA11">
            <v>-0.02</v>
          </cell>
          <cell r="FB11">
            <v>-1.2999999999999999E-2</v>
          </cell>
          <cell r="FD11">
            <v>-2.5999999999999999E-2</v>
          </cell>
          <cell r="FE11">
            <v>-2.1000000000000001E-2</v>
          </cell>
          <cell r="FF11">
            <v>-0.06</v>
          </cell>
          <cell r="FG11">
            <v>-7.0000000000000007E-2</v>
          </cell>
          <cell r="FH11">
            <v>-4.4999999999999998E-2</v>
          </cell>
          <cell r="FJ11">
            <v>-0.09</v>
          </cell>
          <cell r="FK11">
            <v>-9.5000000000000001E-2</v>
          </cell>
          <cell r="FL11">
            <v>-3.5999999999999997E-2</v>
          </cell>
          <cell r="FM11">
            <v>-8.0000000000000002E-3</v>
          </cell>
          <cell r="FN11">
            <v>-5.2999999999999999E-2</v>
          </cell>
          <cell r="FP11">
            <v>5.5E-2</v>
          </cell>
          <cell r="FQ11">
            <v>4.9000000000000002E-2</v>
          </cell>
          <cell r="FR11">
            <v>3.9E-2</v>
          </cell>
          <cell r="FS11">
            <v>4.2999999999999997E-2</v>
          </cell>
          <cell r="FT11">
            <v>4.610434747830261E-2</v>
          </cell>
          <cell r="FV11">
            <v>5.3999999999999999E-2</v>
          </cell>
          <cell r="FW11">
            <v>6.4000000000000001E-2</v>
          </cell>
          <cell r="FX11">
            <v>0.04</v>
          </cell>
          <cell r="FY11">
            <v>5.1999999999999998E-2</v>
          </cell>
          <cell r="FZ11">
            <v>5.2999999999999999E-2</v>
          </cell>
          <cell r="GB11">
            <v>4.3999999999999997E-2</v>
          </cell>
          <cell r="GC11">
            <v>0.03</v>
          </cell>
          <cell r="GD11">
            <v>4.4170626829774157E-2</v>
          </cell>
          <cell r="GE11">
            <v>4.1872044415560798E-2</v>
          </cell>
          <cell r="GF11">
            <v>4.02253638971692E-2</v>
          </cell>
          <cell r="GS11" t="str">
            <v>mstag:comparableStoreSalesGrowth</v>
          </cell>
          <cell r="GT11">
            <v>0</v>
          </cell>
          <cell r="GU11" t="str">
            <v>ms_eqr_gcim_Decimal:ms_eqr_gcim_decimal</v>
          </cell>
          <cell r="GV11" t="b">
            <v>0</v>
          </cell>
          <cell r="GW11" t="b">
            <v>0</v>
          </cell>
        </row>
        <row r="13">
          <cell r="A13" t="str">
            <v>Cost of Goods Sold</v>
          </cell>
          <cell r="C13">
            <v>5447.1210000000001</v>
          </cell>
          <cell r="D13">
            <v>4394.9759999999997</v>
          </cell>
          <cell r="E13">
            <v>4202.223</v>
          </cell>
          <cell r="F13">
            <v>4173.2920000000004</v>
          </cell>
          <cell r="G13">
            <v>4220.8230000000003</v>
          </cell>
          <cell r="H13">
            <v>4371.2170000000006</v>
          </cell>
          <cell r="I13">
            <v>4738.326</v>
          </cell>
          <cell r="K13">
            <v>8409.8680000000004</v>
          </cell>
          <cell r="L13">
            <v>8578.85</v>
          </cell>
          <cell r="N13">
            <v>9038</v>
          </cell>
          <cell r="O13">
            <v>9018</v>
          </cell>
          <cell r="P13">
            <v>9200</v>
          </cell>
          <cell r="Q13">
            <v>9218</v>
          </cell>
          <cell r="R13">
            <v>9576</v>
          </cell>
          <cell r="S13">
            <v>9955</v>
          </cell>
          <cell r="T13">
            <v>9603</v>
          </cell>
          <cell r="U13">
            <v>9324</v>
          </cell>
          <cell r="V13">
            <v>9175</v>
          </cell>
          <cell r="W13">
            <v>9346</v>
          </cell>
          <cell r="X13">
            <v>13272</v>
          </cell>
          <cell r="Y13">
            <v>16019</v>
          </cell>
          <cell r="Z13">
            <v>15677</v>
          </cell>
          <cell r="AA13">
            <v>15009</v>
          </cell>
          <cell r="AB13">
            <v>14278</v>
          </cell>
          <cell r="AC13">
            <v>14824</v>
          </cell>
          <cell r="AD13">
            <v>15738</v>
          </cell>
          <cell r="AE13">
            <v>16473.116703251519</v>
          </cell>
          <cell r="AF13">
            <v>16781.208749826241</v>
          </cell>
          <cell r="AG13">
            <v>17061.248342231931</v>
          </cell>
          <cell r="AH13">
            <v>17267.224438478806</v>
          </cell>
          <cell r="AI13">
            <v>17498.890574835023</v>
          </cell>
          <cell r="AJ13">
            <v>17673.879480583375</v>
          </cell>
          <cell r="AK13">
            <v>17850.618275389206</v>
          </cell>
          <cell r="AL13">
            <v>18029.124458143102</v>
          </cell>
          <cell r="AN13" t="str">
            <v>Cost of Goods Sold</v>
          </cell>
          <cell r="AO13">
            <v>955.19299999999998</v>
          </cell>
          <cell r="AP13">
            <v>949.21100000000001</v>
          </cell>
          <cell r="AQ13">
            <v>1068.867</v>
          </cell>
          <cell r="AR13">
            <v>1421.7049999999999</v>
          </cell>
          <cell r="AS13">
            <v>4394.9759999999997</v>
          </cell>
          <cell r="AU13">
            <v>954.02099999999996</v>
          </cell>
          <cell r="AV13">
            <v>897.43100000000004</v>
          </cell>
          <cell r="AW13">
            <v>1031.549</v>
          </cell>
          <cell r="AX13">
            <v>1319.222</v>
          </cell>
          <cell r="AY13">
            <v>4202.223</v>
          </cell>
          <cell r="BA13">
            <v>924.86599999999999</v>
          </cell>
          <cell r="BB13">
            <v>867.78200000000004</v>
          </cell>
          <cell r="BC13">
            <v>1063.415</v>
          </cell>
          <cell r="BD13">
            <v>1364.76</v>
          </cell>
          <cell r="BE13">
            <v>4220.8230000000003</v>
          </cell>
          <cell r="BG13">
            <v>947.86799999999994</v>
          </cell>
          <cell r="BH13">
            <v>900.06400000000008</v>
          </cell>
          <cell r="BI13">
            <v>1077.3520000000001</v>
          </cell>
          <cell r="BJ13">
            <v>1445.933</v>
          </cell>
          <cell r="BK13">
            <v>4371.2170000000006</v>
          </cell>
          <cell r="BM13">
            <v>1002.9349999999999</v>
          </cell>
          <cell r="BN13">
            <v>974.73500000000001</v>
          </cell>
          <cell r="BO13">
            <v>1182.5509999999999</v>
          </cell>
          <cell r="BP13">
            <v>1578.105</v>
          </cell>
          <cell r="BQ13">
            <v>4738.326</v>
          </cell>
          <cell r="BS13">
            <v>1781.979</v>
          </cell>
          <cell r="BT13">
            <v>1814.82</v>
          </cell>
          <cell r="BU13">
            <v>2045.9162000000001</v>
          </cell>
          <cell r="BV13">
            <v>2767.1528000000003</v>
          </cell>
          <cell r="BW13">
            <v>8409.8680000000004</v>
          </cell>
          <cell r="BY13">
            <v>1822.16</v>
          </cell>
          <cell r="BZ13">
            <v>1862.915</v>
          </cell>
          <cell r="CA13">
            <v>2039.616</v>
          </cell>
          <cell r="CB13">
            <v>288.96100000000024</v>
          </cell>
          <cell r="CC13">
            <v>2328.5770000000002</v>
          </cell>
          <cell r="CD13">
            <v>2854.1590000000001</v>
          </cell>
          <cell r="CE13">
            <v>3304.3710000000001</v>
          </cell>
          <cell r="CF13">
            <v>8578.85</v>
          </cell>
          <cell r="CG13">
            <v>9029.0619999999999</v>
          </cell>
          <cell r="CH13">
            <v>9318.023000000001</v>
          </cell>
          <cell r="CJ13">
            <v>2014.6479999999999</v>
          </cell>
          <cell r="CK13">
            <v>1995.5730000000001</v>
          </cell>
          <cell r="CL13">
            <v>2189.9029999999998</v>
          </cell>
          <cell r="CM13">
            <v>3088.5619999999999</v>
          </cell>
          <cell r="CN13">
            <v>9288.6859999999997</v>
          </cell>
          <cell r="CP13">
            <v>2086.8649999999998</v>
          </cell>
          <cell r="CQ13">
            <v>2098.6709999999998</v>
          </cell>
          <cell r="CR13">
            <v>2286.9189999999999</v>
          </cell>
          <cell r="CS13">
            <v>3108.3119999999999</v>
          </cell>
          <cell r="CT13">
            <v>9580.7669999999998</v>
          </cell>
          <cell r="CV13">
            <v>2022</v>
          </cell>
          <cell r="CW13">
            <v>2017</v>
          </cell>
          <cell r="CX13">
            <v>2145</v>
          </cell>
          <cell r="CY13">
            <v>3034</v>
          </cell>
          <cell r="CZ13">
            <v>9218</v>
          </cell>
          <cell r="DB13">
            <v>2174</v>
          </cell>
          <cell r="DC13">
            <v>2319</v>
          </cell>
          <cell r="DD13">
            <v>2454</v>
          </cell>
          <cell r="DE13">
            <v>3496</v>
          </cell>
          <cell r="DF13">
            <v>10443</v>
          </cell>
          <cell r="DH13">
            <v>2152</v>
          </cell>
          <cell r="DI13">
            <v>2173</v>
          </cell>
          <cell r="DJ13">
            <v>2295</v>
          </cell>
          <cell r="DK13">
            <v>3335</v>
          </cell>
          <cell r="DL13">
            <v>9955</v>
          </cell>
          <cell r="DN13">
            <v>2158</v>
          </cell>
          <cell r="DO13">
            <v>2128</v>
          </cell>
          <cell r="DP13">
            <v>2134</v>
          </cell>
          <cell r="DQ13">
            <v>3111</v>
          </cell>
          <cell r="DR13">
            <v>9603</v>
          </cell>
          <cell r="DT13">
            <v>2078</v>
          </cell>
          <cell r="DU13">
            <v>2051</v>
          </cell>
          <cell r="DV13">
            <v>2112</v>
          </cell>
          <cell r="DW13">
            <v>3014</v>
          </cell>
          <cell r="DX13">
            <v>9324</v>
          </cell>
          <cell r="DZ13">
            <v>2002</v>
          </cell>
          <cell r="EA13">
            <v>2025</v>
          </cell>
          <cell r="EB13">
            <v>2091</v>
          </cell>
          <cell r="EC13">
            <v>2981</v>
          </cell>
          <cell r="ED13">
            <v>9175</v>
          </cell>
          <cell r="EF13">
            <v>2119</v>
          </cell>
          <cell r="EG13">
            <v>2098</v>
          </cell>
          <cell r="EH13">
            <v>2107</v>
          </cell>
          <cell r="EI13">
            <v>3022</v>
          </cell>
          <cell r="EJ13">
            <v>9346</v>
          </cell>
          <cell r="EK13" t="str">
            <v>Cost of Goods Sold</v>
          </cell>
          <cell r="EL13">
            <v>2176</v>
          </cell>
          <cell r="EM13">
            <v>2126</v>
          </cell>
          <cell r="EN13">
            <v>3312</v>
          </cell>
          <cell r="EO13">
            <v>5658</v>
          </cell>
          <cell r="EP13">
            <v>13272</v>
          </cell>
          <cell r="ER13">
            <v>3627</v>
          </cell>
          <cell r="ES13">
            <v>3470</v>
          </cell>
          <cell r="ET13">
            <v>3513</v>
          </cell>
          <cell r="EU13">
            <v>5409</v>
          </cell>
          <cell r="EV13">
            <v>16019</v>
          </cell>
          <cell r="EX13">
            <v>3564</v>
          </cell>
          <cell r="EY13">
            <v>3507</v>
          </cell>
          <cell r="EZ13">
            <v>3585</v>
          </cell>
          <cell r="FA13">
            <v>5021</v>
          </cell>
          <cell r="FB13">
            <v>15677</v>
          </cell>
          <cell r="FD13">
            <v>3527</v>
          </cell>
          <cell r="FE13">
            <v>3346</v>
          </cell>
          <cell r="FF13">
            <v>3324</v>
          </cell>
          <cell r="FG13">
            <v>4812</v>
          </cell>
          <cell r="FH13">
            <v>15009</v>
          </cell>
          <cell r="FJ13">
            <v>3279</v>
          </cell>
          <cell r="FK13">
            <v>3117</v>
          </cell>
          <cell r="FL13">
            <v>3241</v>
          </cell>
          <cell r="FM13">
            <v>4641</v>
          </cell>
          <cell r="FN13">
            <v>14278</v>
          </cell>
          <cell r="FP13">
            <v>3378</v>
          </cell>
          <cell r="FQ13">
            <v>3214</v>
          </cell>
          <cell r="FR13">
            <v>3377</v>
          </cell>
          <cell r="FS13">
            <v>4855</v>
          </cell>
          <cell r="FT13">
            <v>14824</v>
          </cell>
          <cell r="FV13">
            <v>3586</v>
          </cell>
          <cell r="FW13">
            <v>3457</v>
          </cell>
          <cell r="FX13">
            <v>3544</v>
          </cell>
          <cell r="FY13">
            <v>5151</v>
          </cell>
          <cell r="FZ13">
            <v>15738</v>
          </cell>
          <cell r="GB13">
            <v>3757</v>
          </cell>
          <cell r="GC13">
            <v>3555</v>
          </cell>
          <cell r="GD13">
            <v>3666.0995494313679</v>
          </cell>
          <cell r="GE13">
            <v>5495.0171538201503</v>
          </cell>
          <cell r="GF13">
            <v>16473.116703251519</v>
          </cell>
          <cell r="GS13" t="str">
            <v>mstag:costOfSalesWithoutDepreciation</v>
          </cell>
          <cell r="GT13">
            <v>6</v>
          </cell>
          <cell r="GU13" t="str">
            <v>ISO4217:USD</v>
          </cell>
          <cell r="GV13" t="b">
            <v>0</v>
          </cell>
          <cell r="GW13" t="b">
            <v>0</v>
          </cell>
        </row>
        <row r="14">
          <cell r="A14" t="str">
            <v>Gross Profit</v>
          </cell>
          <cell r="C14">
            <v>2130.4650000000001</v>
          </cell>
          <cell r="D14">
            <v>2747.0070000000005</v>
          </cell>
          <cell r="E14">
            <v>2730.1000000000004</v>
          </cell>
          <cell r="F14">
            <v>2759.0309999999999</v>
          </cell>
          <cell r="G14">
            <v>2859.1180000000004</v>
          </cell>
          <cell r="H14">
            <v>2858.1889999999994</v>
          </cell>
          <cell r="I14">
            <v>2969.1509999999989</v>
          </cell>
          <cell r="K14">
            <v>5291.6319999999996</v>
          </cell>
          <cell r="L14">
            <v>5419.1839999999993</v>
          </cell>
          <cell r="N14">
            <v>5576</v>
          </cell>
          <cell r="O14">
            <v>5815</v>
          </cell>
          <cell r="P14">
            <v>6020</v>
          </cell>
          <cell r="Q14">
            <v>6147</v>
          </cell>
          <cell r="R14">
            <v>6453</v>
          </cell>
          <cell r="S14">
            <v>6683</v>
          </cell>
          <cell r="T14">
            <v>6182</v>
          </cell>
          <cell r="U14">
            <v>6247</v>
          </cell>
          <cell r="V14">
            <v>6237</v>
          </cell>
          <cell r="W14">
            <v>6430</v>
          </cell>
          <cell r="X14">
            <v>9118</v>
          </cell>
          <cell r="Y14">
            <v>10951</v>
          </cell>
          <cell r="Z14">
            <v>10636</v>
          </cell>
          <cell r="AA14">
            <v>9883</v>
          </cell>
          <cell r="AB14">
            <v>9617</v>
          </cell>
          <cell r="AC14">
            <v>10179</v>
          </cell>
          <cell r="AD14">
            <v>10667</v>
          </cell>
          <cell r="AE14">
            <v>11224.703902113539</v>
          </cell>
          <cell r="AF14">
            <v>11577.68389157081</v>
          </cell>
          <cell r="AG14">
            <v>11844.16040227242</v>
          </cell>
          <cell r="AH14">
            <v>11937.672577079513</v>
          </cell>
          <cell r="AI14">
            <v>11998.055410878882</v>
          </cell>
          <cell r="AJ14">
            <v>12118.03596498767</v>
          </cell>
          <cell r="AK14">
            <v>12239.216324637549</v>
          </cell>
          <cell r="AL14">
            <v>12361.608487883921</v>
          </cell>
          <cell r="AN14" t="str">
            <v>Gross Profit</v>
          </cell>
          <cell r="AO14">
            <v>635.26700000000005</v>
          </cell>
          <cell r="AP14">
            <v>576.48099999999999</v>
          </cell>
          <cell r="AQ14">
            <v>698.46</v>
          </cell>
          <cell r="AR14">
            <v>836.79899999999998</v>
          </cell>
          <cell r="AS14">
            <v>2747.0070000000001</v>
          </cell>
          <cell r="AU14">
            <v>639.39800000000014</v>
          </cell>
          <cell r="AV14">
            <v>598.3119999999999</v>
          </cell>
          <cell r="AW14">
            <v>677.35200000000009</v>
          </cell>
          <cell r="AX14">
            <v>815.03800000000024</v>
          </cell>
          <cell r="AY14">
            <v>2730.1000000000004</v>
          </cell>
          <cell r="BA14">
            <v>646.86000000000013</v>
          </cell>
          <cell r="BB14">
            <v>589.42999999999995</v>
          </cell>
          <cell r="BC14">
            <v>725.55</v>
          </cell>
          <cell r="BD14">
            <v>897.27800000000002</v>
          </cell>
          <cell r="BE14">
            <v>2859.1179999999999</v>
          </cell>
          <cell r="BG14">
            <v>642.39100000000008</v>
          </cell>
          <cell r="BH14">
            <v>602.22399999999993</v>
          </cell>
          <cell r="BI14">
            <v>711.96299999999997</v>
          </cell>
          <cell r="BJ14">
            <v>901.61099999999988</v>
          </cell>
          <cell r="BK14">
            <v>2858.1889999999994</v>
          </cell>
          <cell r="BM14">
            <v>650.69600000000014</v>
          </cell>
          <cell r="BN14">
            <v>621.3649999999999</v>
          </cell>
          <cell r="BO14">
            <v>744.26</v>
          </cell>
          <cell r="BP14">
            <v>952.82999999999993</v>
          </cell>
          <cell r="BQ14">
            <v>2969.1509999999989</v>
          </cell>
          <cell r="BS14">
            <v>1156.021</v>
          </cell>
          <cell r="BT14">
            <v>1115.9800000000002</v>
          </cell>
          <cell r="BU14">
            <v>1306.6837999999998</v>
          </cell>
          <cell r="BV14">
            <v>1712.9472000000001</v>
          </cell>
          <cell r="BW14">
            <v>5291.6319999999996</v>
          </cell>
          <cell r="BY14">
            <v>1165.8459999999998</v>
          </cell>
          <cell r="BZ14">
            <v>1184.085</v>
          </cell>
          <cell r="CA14">
            <v>1293.9119999999998</v>
          </cell>
          <cell r="CB14">
            <v>125.83899999999977</v>
          </cell>
          <cell r="CC14">
            <v>1419.7919999999999</v>
          </cell>
          <cell r="CD14">
            <v>1775.3409999999999</v>
          </cell>
          <cell r="CE14">
            <v>1960.5289999999995</v>
          </cell>
          <cell r="CF14">
            <v>5419.1839999999993</v>
          </cell>
          <cell r="CG14">
            <v>5604.3719999999994</v>
          </cell>
          <cell r="CH14">
            <v>5730.2109999999975</v>
          </cell>
          <cell r="CJ14">
            <v>1286.0519999999999</v>
          </cell>
          <cell r="CK14">
            <v>1288.655</v>
          </cell>
          <cell r="CL14">
            <v>1419.2450000000003</v>
          </cell>
          <cell r="CM14">
            <v>1946.3959999999997</v>
          </cell>
          <cell r="CN14">
            <v>5940.348</v>
          </cell>
          <cell r="CP14">
            <v>1322.2260000000001</v>
          </cell>
          <cell r="CQ14">
            <v>1354.1580000000004</v>
          </cell>
          <cell r="CR14">
            <v>1459.357</v>
          </cell>
          <cell r="CS14">
            <v>1951.8040000000001</v>
          </cell>
          <cell r="CT14">
            <v>6087.5450000000001</v>
          </cell>
          <cell r="CV14">
            <v>1335</v>
          </cell>
          <cell r="CW14">
            <v>1409</v>
          </cell>
          <cell r="CX14">
            <v>1403</v>
          </cell>
          <cell r="CY14">
            <v>2000</v>
          </cell>
          <cell r="CZ14">
            <v>6147</v>
          </cell>
          <cell r="DB14">
            <v>1426</v>
          </cell>
          <cell r="DC14">
            <v>1687</v>
          </cell>
          <cell r="DD14">
            <v>1683</v>
          </cell>
          <cell r="DE14">
            <v>2477</v>
          </cell>
          <cell r="DF14">
            <v>7273</v>
          </cell>
          <cell r="DH14">
            <v>1421</v>
          </cell>
          <cell r="DI14">
            <v>1506</v>
          </cell>
          <cell r="DJ14">
            <v>1487</v>
          </cell>
          <cell r="DK14">
            <v>2269</v>
          </cell>
          <cell r="DL14">
            <v>6683</v>
          </cell>
          <cell r="DN14">
            <v>1398</v>
          </cell>
          <cell r="DO14">
            <v>1360</v>
          </cell>
          <cell r="DP14">
            <v>1341</v>
          </cell>
          <cell r="DQ14">
            <v>2021</v>
          </cell>
          <cell r="DR14">
            <v>6182</v>
          </cell>
          <cell r="DT14">
            <v>1375</v>
          </cell>
          <cell r="DU14">
            <v>1435</v>
          </cell>
          <cell r="DV14">
            <v>1367</v>
          </cell>
          <cell r="DW14">
            <v>2003</v>
          </cell>
          <cell r="DX14">
            <v>6247</v>
          </cell>
          <cell r="DZ14">
            <v>1289</v>
          </cell>
          <cell r="EA14">
            <v>1409</v>
          </cell>
          <cell r="EB14">
            <v>1395</v>
          </cell>
          <cell r="EC14">
            <v>2072</v>
          </cell>
          <cell r="ED14">
            <v>6237</v>
          </cell>
          <cell r="EF14">
            <v>1431</v>
          </cell>
          <cell r="EG14">
            <v>1483</v>
          </cell>
          <cell r="EH14">
            <v>1418</v>
          </cell>
          <cell r="EI14">
            <v>2098</v>
          </cell>
          <cell r="EJ14">
            <v>6430</v>
          </cell>
          <cell r="EK14" t="str">
            <v>Gross Profit</v>
          </cell>
          <cell r="EL14">
            <v>1465</v>
          </cell>
          <cell r="EM14">
            <v>1497</v>
          </cell>
          <cell r="EN14">
            <v>2243</v>
          </cell>
          <cell r="EO14">
            <v>3913</v>
          </cell>
          <cell r="EP14">
            <v>9118</v>
          </cell>
          <cell r="ER14">
            <v>2303</v>
          </cell>
          <cell r="ES14">
            <v>2525</v>
          </cell>
          <cell r="ET14">
            <v>2373</v>
          </cell>
          <cell r="EU14">
            <v>3750</v>
          </cell>
          <cell r="EV14">
            <v>10951</v>
          </cell>
          <cell r="EX14">
            <v>2357</v>
          </cell>
          <cell r="EY14">
            <v>2385</v>
          </cell>
          <cell r="EZ14">
            <v>2321</v>
          </cell>
          <cell r="FA14">
            <v>3573</v>
          </cell>
          <cell r="FB14">
            <v>10636</v>
          </cell>
          <cell r="FD14">
            <v>2220</v>
          </cell>
          <cell r="FE14">
            <v>2372</v>
          </cell>
          <cell r="FF14">
            <v>2169</v>
          </cell>
          <cell r="FG14">
            <v>3122</v>
          </cell>
          <cell r="FH14">
            <v>9883</v>
          </cell>
          <cell r="FJ14">
            <v>2009</v>
          </cell>
          <cell r="FK14">
            <v>2168</v>
          </cell>
          <cell r="FL14">
            <v>2144</v>
          </cell>
          <cell r="FM14">
            <v>3296</v>
          </cell>
          <cell r="FN14">
            <v>9617</v>
          </cell>
          <cell r="FP14">
            <v>2196</v>
          </cell>
          <cell r="FQ14">
            <v>2323</v>
          </cell>
          <cell r="FR14">
            <v>2246</v>
          </cell>
          <cell r="FS14">
            <v>3414</v>
          </cell>
          <cell r="FT14">
            <v>10179</v>
          </cell>
          <cell r="FV14">
            <v>2303</v>
          </cell>
          <cell r="FW14">
            <v>2482</v>
          </cell>
          <cell r="FX14">
            <v>2309</v>
          </cell>
          <cell r="FY14">
            <v>3573</v>
          </cell>
          <cell r="FZ14">
            <v>10667</v>
          </cell>
          <cell r="GB14">
            <v>2386</v>
          </cell>
          <cell r="GC14">
            <v>2563</v>
          </cell>
          <cell r="GD14">
            <v>2403.5870975038929</v>
          </cell>
          <cell r="GE14">
            <v>3872.1168046096464</v>
          </cell>
          <cell r="GF14">
            <v>11224.703902113539</v>
          </cell>
        </row>
        <row r="16">
          <cell r="A16" t="str">
            <v>SG&amp;A Expense</v>
          </cell>
          <cell r="C16">
            <v>1881.0170000000001</v>
          </cell>
          <cell r="D16">
            <v>2611.8339999999998</v>
          </cell>
          <cell r="E16">
            <v>2463.1280000000002</v>
          </cell>
          <cell r="F16">
            <v>2458.1280000000002</v>
          </cell>
          <cell r="G16">
            <v>2420.6839999999997</v>
          </cell>
          <cell r="H16">
            <v>2347.5460000000003</v>
          </cell>
          <cell r="I16">
            <v>2328.047</v>
          </cell>
          <cell r="K16">
            <v>4608.8310000000001</v>
          </cell>
          <cell r="L16">
            <v>4424.5330000000004</v>
          </cell>
          <cell r="N16">
            <v>4913</v>
          </cell>
          <cell r="O16">
            <v>4922</v>
          </cell>
          <cell r="P16">
            <v>4679</v>
          </cell>
          <cell r="Q16">
            <v>4692</v>
          </cell>
          <cell r="R16">
            <v>4760</v>
          </cell>
          <cell r="S16">
            <v>4912</v>
          </cell>
          <cell r="T16">
            <v>4806</v>
          </cell>
          <cell r="U16">
            <v>4836</v>
          </cell>
          <cell r="V16">
            <v>4837</v>
          </cell>
          <cell r="W16">
            <v>4931</v>
          </cell>
          <cell r="X16">
            <v>6980</v>
          </cell>
          <cell r="Y16">
            <v>8678</v>
          </cell>
          <cell r="Z16">
            <v>8554</v>
          </cell>
          <cell r="AA16">
            <v>8458</v>
          </cell>
          <cell r="AB16">
            <v>8163</v>
          </cell>
          <cell r="AC16">
            <v>8260</v>
          </cell>
          <cell r="AD16">
            <v>8281</v>
          </cell>
          <cell r="AE16">
            <v>8553.4072798862726</v>
          </cell>
          <cell r="AF16">
            <v>8800.0923077192638</v>
          </cell>
          <cell r="AG16">
            <v>8940.7771652737574</v>
          </cell>
          <cell r="AH16">
            <v>9004.2074535542979</v>
          </cell>
          <cell r="AI16">
            <v>9064.7525821041272</v>
          </cell>
          <cell r="AJ16">
            <v>9125.6081924795981</v>
          </cell>
          <cell r="AK16">
            <v>9186.7744398043687</v>
          </cell>
          <cell r="AL16">
            <v>9248.2514512563848</v>
          </cell>
          <cell r="AN16" t="str">
            <v>SG&amp;A Expense</v>
          </cell>
          <cell r="AO16">
            <v>608.81899999999996</v>
          </cell>
          <cell r="AP16">
            <v>616.54300000000001</v>
          </cell>
          <cell r="AQ16">
            <v>656.14200000000005</v>
          </cell>
          <cell r="AR16">
            <v>730.33</v>
          </cell>
          <cell r="AS16">
            <v>2611.8340000000003</v>
          </cell>
          <cell r="AU16">
            <v>597.87800000000004</v>
          </cell>
          <cell r="AV16">
            <v>589.803</v>
          </cell>
          <cell r="AW16">
            <v>624.08500000000004</v>
          </cell>
          <cell r="AX16">
            <v>651.36199999999997</v>
          </cell>
          <cell r="AY16">
            <v>2463.1280000000002</v>
          </cell>
          <cell r="BA16">
            <v>562.19899999999996</v>
          </cell>
          <cell r="BB16">
            <v>557.755</v>
          </cell>
          <cell r="BC16">
            <v>614.78200000000004</v>
          </cell>
          <cell r="BD16">
            <v>685.94799999999998</v>
          </cell>
          <cell r="BE16">
            <v>2420.6839999999997</v>
          </cell>
          <cell r="BG16">
            <v>555.61</v>
          </cell>
          <cell r="BH16">
            <v>540.18899999999996</v>
          </cell>
          <cell r="BI16">
            <v>604.58100000000002</v>
          </cell>
          <cell r="BJ16">
            <v>647.16600000000005</v>
          </cell>
          <cell r="BK16">
            <v>2347.5460000000003</v>
          </cell>
          <cell r="BM16">
            <v>542.08799999999997</v>
          </cell>
          <cell r="BN16">
            <v>534.79100000000005</v>
          </cell>
          <cell r="BO16">
            <v>611.56299999999999</v>
          </cell>
          <cell r="BP16">
            <v>639.6049999999999</v>
          </cell>
          <cell r="BQ16">
            <v>2328.047</v>
          </cell>
          <cell r="BS16">
            <v>1095.52</v>
          </cell>
          <cell r="BT16">
            <v>1083.9040000000002</v>
          </cell>
          <cell r="BU16">
            <v>1182.6087999999997</v>
          </cell>
          <cell r="BV16">
            <v>1246.7982</v>
          </cell>
          <cell r="BW16">
            <v>4608.8310000000001</v>
          </cell>
          <cell r="BY16">
            <v>1069.9590000000001</v>
          </cell>
          <cell r="BZ16">
            <v>1067.8869999999999</v>
          </cell>
          <cell r="CA16">
            <v>1107.3150000000001</v>
          </cell>
          <cell r="CB16">
            <v>168.36500000000001</v>
          </cell>
          <cell r="CC16">
            <v>1275.68</v>
          </cell>
          <cell r="CD16">
            <v>1179.3720000000001</v>
          </cell>
          <cell r="CE16">
            <v>1334.8050000000001</v>
          </cell>
          <cell r="CF16">
            <v>4424.5330000000004</v>
          </cell>
          <cell r="CG16">
            <v>4579.9660000000003</v>
          </cell>
          <cell r="CH16">
            <v>4748.3310000000001</v>
          </cell>
          <cell r="CJ16">
            <v>1153.0650000000001</v>
          </cell>
          <cell r="CK16">
            <v>1113.9839999999999</v>
          </cell>
          <cell r="CL16">
            <v>1187.6289999999999</v>
          </cell>
          <cell r="CM16">
            <v>1283.8050000000001</v>
          </cell>
          <cell r="CN16">
            <v>4738.4830000000002</v>
          </cell>
          <cell r="CP16">
            <v>1174.1659999999999</v>
          </cell>
          <cell r="CQ16">
            <v>1142.298</v>
          </cell>
          <cell r="CR16">
            <v>1191.396</v>
          </cell>
          <cell r="CS16">
            <v>1238.9000000000001</v>
          </cell>
          <cell r="CT16">
            <v>4746.76</v>
          </cell>
          <cell r="CV16">
            <v>1154</v>
          </cell>
          <cell r="CW16">
            <v>1142</v>
          </cell>
          <cell r="CX16">
            <v>1146</v>
          </cell>
          <cell r="CY16">
            <v>1250</v>
          </cell>
          <cell r="CZ16">
            <v>4692</v>
          </cell>
          <cell r="DB16">
            <v>1201</v>
          </cell>
          <cell r="DC16">
            <v>1369</v>
          </cell>
          <cell r="DD16">
            <v>1381</v>
          </cell>
          <cell r="DE16">
            <v>1621</v>
          </cell>
          <cell r="DF16">
            <v>5572</v>
          </cell>
          <cell r="DH16">
            <v>1152</v>
          </cell>
          <cell r="DI16">
            <v>1104</v>
          </cell>
          <cell r="DJ16">
            <v>1218</v>
          </cell>
          <cell r="DK16">
            <v>1438</v>
          </cell>
          <cell r="DL16">
            <v>4912</v>
          </cell>
          <cell r="DN16">
            <v>1168</v>
          </cell>
          <cell r="DO16">
            <v>1106</v>
          </cell>
          <cell r="DP16">
            <v>1185</v>
          </cell>
          <cell r="DQ16">
            <v>1285</v>
          </cell>
          <cell r="DR16">
            <v>4806</v>
          </cell>
          <cell r="DT16">
            <v>1154</v>
          </cell>
          <cell r="DU16">
            <v>1135</v>
          </cell>
          <cell r="DV16">
            <v>1179</v>
          </cell>
          <cell r="DW16">
            <v>1301</v>
          </cell>
          <cell r="DX16">
            <v>4836</v>
          </cell>
          <cell r="DZ16">
            <v>1135</v>
          </cell>
          <cell r="EA16">
            <v>1135</v>
          </cell>
          <cell r="EB16">
            <v>1193</v>
          </cell>
          <cell r="EC16">
            <v>1302</v>
          </cell>
          <cell r="ED16">
            <v>4837</v>
          </cell>
          <cell r="EF16">
            <v>1195</v>
          </cell>
          <cell r="EG16">
            <v>1207</v>
          </cell>
          <cell r="EH16">
            <v>1207</v>
          </cell>
          <cell r="EI16">
            <v>1322</v>
          </cell>
          <cell r="EJ16">
            <v>4931</v>
          </cell>
          <cell r="EK16" t="str">
            <v>SG&amp;A Expense</v>
          </cell>
          <cell r="EL16">
            <v>1213</v>
          </cell>
          <cell r="EM16">
            <v>1206</v>
          </cell>
          <cell r="EN16">
            <v>1973</v>
          </cell>
          <cell r="EO16">
            <v>2588</v>
          </cell>
          <cell r="EP16">
            <v>6980</v>
          </cell>
          <cell r="ER16">
            <v>2154</v>
          </cell>
          <cell r="ES16">
            <v>2117</v>
          </cell>
          <cell r="ET16">
            <v>2094</v>
          </cell>
          <cell r="EU16">
            <v>2313</v>
          </cell>
          <cell r="EV16">
            <v>8678</v>
          </cell>
          <cell r="EX16">
            <v>2113</v>
          </cell>
          <cell r="EY16">
            <v>2038</v>
          </cell>
          <cell r="EZ16">
            <v>2121</v>
          </cell>
          <cell r="FA16">
            <v>2282</v>
          </cell>
          <cell r="FB16">
            <v>8554</v>
          </cell>
          <cell r="FD16">
            <v>2080</v>
          </cell>
          <cell r="FE16">
            <v>2037</v>
          </cell>
          <cell r="FF16">
            <v>2085</v>
          </cell>
          <cell r="FG16">
            <v>2256</v>
          </cell>
          <cell r="FH16">
            <v>8458</v>
          </cell>
          <cell r="FJ16">
            <v>1985</v>
          </cell>
          <cell r="FK16">
            <v>1886</v>
          </cell>
          <cell r="FL16">
            <v>2056</v>
          </cell>
          <cell r="FM16">
            <v>2236</v>
          </cell>
          <cell r="FN16">
            <v>8163</v>
          </cell>
          <cell r="FP16">
            <v>1993</v>
          </cell>
          <cell r="FQ16">
            <v>1953</v>
          </cell>
          <cell r="FR16">
            <v>2069</v>
          </cell>
          <cell r="FS16">
            <v>2245</v>
          </cell>
          <cell r="FT16">
            <v>8260</v>
          </cell>
          <cell r="FV16">
            <v>1973</v>
          </cell>
          <cell r="FW16">
            <v>1976</v>
          </cell>
          <cell r="FX16">
            <v>2018</v>
          </cell>
          <cell r="FY16">
            <v>2314</v>
          </cell>
          <cell r="FZ16">
            <v>8281</v>
          </cell>
          <cell r="GB16">
            <v>1995</v>
          </cell>
          <cell r="GC16">
            <v>2009</v>
          </cell>
          <cell r="GD16">
            <v>2122.0121029772449</v>
          </cell>
          <cell r="GE16">
            <v>2427.3951769090281</v>
          </cell>
          <cell r="GF16">
            <v>8553.4072798862726</v>
          </cell>
          <cell r="GS16" t="str">
            <v>mstag:sellingGeneralAndAdministrativeExpenses</v>
          </cell>
          <cell r="GT16">
            <v>6</v>
          </cell>
          <cell r="GU16" t="str">
            <v>ISO4217:USD</v>
          </cell>
          <cell r="GV16" t="b">
            <v>0</v>
          </cell>
          <cell r="GW16" t="b">
            <v>0</v>
          </cell>
        </row>
        <row r="17">
          <cell r="A17" t="str">
            <v>Operating Income</v>
          </cell>
          <cell r="C17">
            <v>249.44800000000009</v>
          </cell>
          <cell r="D17">
            <v>135.17300000000068</v>
          </cell>
          <cell r="E17">
            <v>266.97200000000021</v>
          </cell>
          <cell r="F17">
            <v>300.90299999999979</v>
          </cell>
          <cell r="G17">
            <v>438.43400000000065</v>
          </cell>
          <cell r="H17">
            <v>510.64299999999912</v>
          </cell>
          <cell r="I17">
            <v>641.1039999999989</v>
          </cell>
          <cell r="J17">
            <v>0.28676919756182384</v>
          </cell>
          <cell r="K17">
            <v>682.80099999999948</v>
          </cell>
          <cell r="L17">
            <v>994.65099999999893</v>
          </cell>
          <cell r="N17">
            <v>663</v>
          </cell>
          <cell r="O17">
            <v>893</v>
          </cell>
          <cell r="P17">
            <v>1341</v>
          </cell>
          <cell r="Q17">
            <v>1455</v>
          </cell>
          <cell r="R17">
            <v>1693</v>
          </cell>
          <cell r="S17">
            <v>1771</v>
          </cell>
          <cell r="T17">
            <v>1376</v>
          </cell>
          <cell r="U17">
            <v>1411</v>
          </cell>
          <cell r="V17">
            <v>1400</v>
          </cell>
          <cell r="W17">
            <v>1499</v>
          </cell>
          <cell r="X17">
            <v>2138</v>
          </cell>
          <cell r="Y17">
            <v>2273</v>
          </cell>
          <cell r="Z17">
            <v>2082</v>
          </cell>
          <cell r="AA17">
            <v>1425</v>
          </cell>
          <cell r="AB17">
            <v>1454</v>
          </cell>
          <cell r="AC17">
            <v>1919</v>
          </cell>
          <cell r="AD17">
            <v>2386</v>
          </cell>
          <cell r="AE17">
            <v>2671.2966222272662</v>
          </cell>
          <cell r="AF17">
            <v>2777.5915838515466</v>
          </cell>
          <cell r="AG17">
            <v>2903.3832369986631</v>
          </cell>
          <cell r="AH17">
            <v>2933.4651235252149</v>
          </cell>
          <cell r="AI17">
            <v>2933.3028287747547</v>
          </cell>
          <cell r="AJ17">
            <v>2992.4277725080719</v>
          </cell>
          <cell r="AK17">
            <v>3052.4418848331807</v>
          </cell>
          <cell r="AL17">
            <v>3113.3570366275362</v>
          </cell>
          <cell r="AN17" t="str">
            <v>Operating Income</v>
          </cell>
          <cell r="AO17">
            <v>26.448000000000093</v>
          </cell>
          <cell r="AP17">
            <v>-40.062000000000012</v>
          </cell>
          <cell r="AQ17">
            <v>42.317999999999984</v>
          </cell>
          <cell r="AR17">
            <v>106.46899999999994</v>
          </cell>
          <cell r="AS17">
            <v>135.173</v>
          </cell>
          <cell r="AU17">
            <v>41.520000000000095</v>
          </cell>
          <cell r="AV17">
            <v>8.5089999999999009</v>
          </cell>
          <cell r="AW17">
            <v>53.267000000000053</v>
          </cell>
          <cell r="AX17">
            <v>163.67600000000027</v>
          </cell>
          <cell r="AY17">
            <v>266.97200000000032</v>
          </cell>
          <cell r="BA17">
            <v>84.661000000000172</v>
          </cell>
          <cell r="BB17">
            <v>31.674999999999955</v>
          </cell>
          <cell r="BC17">
            <v>110.76799999999992</v>
          </cell>
          <cell r="BD17">
            <v>211.33000000000004</v>
          </cell>
          <cell r="BE17">
            <v>438.43400000000008</v>
          </cell>
          <cell r="BG17">
            <v>86.781000000000063</v>
          </cell>
          <cell r="BH17">
            <v>62.034999999999968</v>
          </cell>
          <cell r="BI17">
            <v>107.38199999999995</v>
          </cell>
          <cell r="BJ17">
            <v>254.44499999999982</v>
          </cell>
          <cell r="BK17">
            <v>510.64299999999912</v>
          </cell>
          <cell r="BM17">
            <v>108.60800000000017</v>
          </cell>
          <cell r="BN17">
            <v>86.573999999999842</v>
          </cell>
          <cell r="BO17">
            <v>132.697</v>
          </cell>
          <cell r="BP17">
            <v>313.22500000000002</v>
          </cell>
          <cell r="BQ17">
            <v>641.1039999999989</v>
          </cell>
          <cell r="BS17">
            <v>60.500999999999976</v>
          </cell>
          <cell r="BT17">
            <v>32.076000000000022</v>
          </cell>
          <cell r="BU17">
            <v>124.07500000000005</v>
          </cell>
          <cell r="BV17">
            <v>466.14900000000011</v>
          </cell>
          <cell r="BW17">
            <v>682.80099999999948</v>
          </cell>
          <cell r="BY17">
            <v>95.886999999999716</v>
          </cell>
          <cell r="BZ17">
            <v>116.19800000000009</v>
          </cell>
          <cell r="CA17">
            <v>186.59699999999975</v>
          </cell>
          <cell r="CB17">
            <v>-42.526000000000238</v>
          </cell>
          <cell r="CC17">
            <v>144.11199999999985</v>
          </cell>
          <cell r="CD17">
            <v>595.96899999999982</v>
          </cell>
          <cell r="CE17">
            <v>625.72399999999948</v>
          </cell>
          <cell r="CF17">
            <v>994.65099999999893</v>
          </cell>
          <cell r="CG17">
            <v>1024.405999999999</v>
          </cell>
          <cell r="CH17">
            <v>981.87999999999738</v>
          </cell>
          <cell r="CJ17">
            <v>132.98699999999985</v>
          </cell>
          <cell r="CK17">
            <v>174.67100000000005</v>
          </cell>
          <cell r="CL17">
            <v>231.61600000000044</v>
          </cell>
          <cell r="CM17">
            <v>662.59099999999967</v>
          </cell>
          <cell r="CN17">
            <v>1201.8649999999998</v>
          </cell>
          <cell r="CP17">
            <v>148.06000000000017</v>
          </cell>
          <cell r="CQ17">
            <v>211.86000000000035</v>
          </cell>
          <cell r="CR17">
            <v>267.96100000000001</v>
          </cell>
          <cell r="CS17">
            <v>712.904</v>
          </cell>
          <cell r="CT17">
            <v>1340.7850000000005</v>
          </cell>
          <cell r="CV17">
            <v>181</v>
          </cell>
          <cell r="CW17">
            <v>267</v>
          </cell>
          <cell r="CX17">
            <v>257</v>
          </cell>
          <cell r="CY17">
            <v>750</v>
          </cell>
          <cell r="CZ17">
            <v>1455</v>
          </cell>
          <cell r="DB17">
            <v>225</v>
          </cell>
          <cell r="DC17">
            <v>318</v>
          </cell>
          <cell r="DD17">
            <v>302</v>
          </cell>
          <cell r="DE17">
            <v>856</v>
          </cell>
          <cell r="DF17">
            <v>1701</v>
          </cell>
          <cell r="DH17">
            <v>269</v>
          </cell>
          <cell r="DI17">
            <v>402</v>
          </cell>
          <cell r="DJ17">
            <v>269</v>
          </cell>
          <cell r="DK17">
            <v>831</v>
          </cell>
          <cell r="DL17">
            <v>1771</v>
          </cell>
          <cell r="DN17">
            <v>230</v>
          </cell>
          <cell r="DO17">
            <v>254</v>
          </cell>
          <cell r="DP17">
            <v>156</v>
          </cell>
          <cell r="DQ17">
            <v>736</v>
          </cell>
          <cell r="DR17">
            <v>1376</v>
          </cell>
          <cell r="DT17">
            <v>221</v>
          </cell>
          <cell r="DU17">
            <v>300</v>
          </cell>
          <cell r="DV17">
            <v>188</v>
          </cell>
          <cell r="DW17">
            <v>702</v>
          </cell>
          <cell r="DX17">
            <v>1411</v>
          </cell>
          <cell r="DZ17">
            <v>154</v>
          </cell>
          <cell r="EA17">
            <v>274</v>
          </cell>
          <cell r="EB17">
            <v>202</v>
          </cell>
          <cell r="EC17">
            <v>770</v>
          </cell>
          <cell r="ED17">
            <v>1400</v>
          </cell>
          <cell r="EF17">
            <v>236</v>
          </cell>
          <cell r="EG17">
            <v>276</v>
          </cell>
          <cell r="EH17">
            <v>211</v>
          </cell>
          <cell r="EI17">
            <v>776</v>
          </cell>
          <cell r="EJ17">
            <v>1499</v>
          </cell>
          <cell r="EK17" t="str">
            <v>Operating Income</v>
          </cell>
          <cell r="EL17">
            <v>252</v>
          </cell>
          <cell r="EM17">
            <v>291</v>
          </cell>
          <cell r="EN17">
            <v>270</v>
          </cell>
          <cell r="EO17">
            <v>1325</v>
          </cell>
          <cell r="EP17">
            <v>2138</v>
          </cell>
          <cell r="ER17">
            <v>149</v>
          </cell>
          <cell r="ES17">
            <v>408</v>
          </cell>
          <cell r="ET17">
            <v>279</v>
          </cell>
          <cell r="EU17">
            <v>1437</v>
          </cell>
          <cell r="EV17">
            <v>2273</v>
          </cell>
          <cell r="EX17">
            <v>244</v>
          </cell>
          <cell r="EY17">
            <v>347</v>
          </cell>
          <cell r="EZ17">
            <v>200</v>
          </cell>
          <cell r="FA17">
            <v>1291</v>
          </cell>
          <cell r="FB17">
            <v>2082</v>
          </cell>
          <cell r="FD17">
            <v>140</v>
          </cell>
          <cell r="FE17">
            <v>335</v>
          </cell>
          <cell r="FF17">
            <v>84</v>
          </cell>
          <cell r="FG17">
            <v>866</v>
          </cell>
          <cell r="FH17">
            <v>1425</v>
          </cell>
          <cell r="FJ17">
            <v>24</v>
          </cell>
          <cell r="FK17">
            <v>282</v>
          </cell>
          <cell r="FL17">
            <v>88</v>
          </cell>
          <cell r="FM17">
            <v>1060</v>
          </cell>
          <cell r="FN17">
            <v>1454</v>
          </cell>
          <cell r="FP17">
            <v>203</v>
          </cell>
          <cell r="FQ17">
            <v>370</v>
          </cell>
          <cell r="FR17">
            <v>177</v>
          </cell>
          <cell r="FS17">
            <v>1169</v>
          </cell>
          <cell r="FT17">
            <v>1919</v>
          </cell>
          <cell r="FV17">
            <v>330</v>
          </cell>
          <cell r="FW17">
            <v>506</v>
          </cell>
          <cell r="FX17">
            <v>291</v>
          </cell>
          <cell r="FY17">
            <v>1259</v>
          </cell>
          <cell r="FZ17">
            <v>2386</v>
          </cell>
          <cell r="GB17">
            <v>391</v>
          </cell>
          <cell r="GC17">
            <v>554</v>
          </cell>
          <cell r="GD17">
            <v>281.57499452664797</v>
          </cell>
          <cell r="GE17">
            <v>1444.7216277006182</v>
          </cell>
          <cell r="GF17">
            <v>2671.2966222272662</v>
          </cell>
        </row>
        <row r="19">
          <cell r="A19" t="str">
            <v xml:space="preserve">Interest Expense, net </v>
          </cell>
          <cell r="C19">
            <v>806.66499999999996</v>
          </cell>
          <cell r="D19">
            <v>555.94200000000001</v>
          </cell>
          <cell r="E19">
            <v>436.99700000000001</v>
          </cell>
          <cell r="F19">
            <v>224.37599999999998</v>
          </cell>
          <cell r="G19">
            <v>197.85400000000001</v>
          </cell>
          <cell r="H19">
            <v>164.13899999999998</v>
          </cell>
          <cell r="I19">
            <v>199.44799999999998</v>
          </cell>
          <cell r="K19">
            <v>448</v>
          </cell>
          <cell r="L19">
            <v>413.26499999999999</v>
          </cell>
          <cell r="N19">
            <v>461</v>
          </cell>
          <cell r="O19">
            <v>452</v>
          </cell>
          <cell r="P19">
            <v>383</v>
          </cell>
          <cell r="Q19">
            <v>292</v>
          </cell>
          <cell r="R19">
            <v>307</v>
          </cell>
          <cell r="S19">
            <v>321</v>
          </cell>
          <cell r="T19">
            <v>324</v>
          </cell>
          <cell r="U19">
            <v>295</v>
          </cell>
          <cell r="V19">
            <v>257</v>
          </cell>
          <cell r="W19">
            <v>225</v>
          </cell>
          <cell r="X19">
            <v>397</v>
          </cell>
          <cell r="Y19">
            <v>461</v>
          </cell>
          <cell r="Z19">
            <v>543</v>
          </cell>
          <cell r="AA19">
            <v>560</v>
          </cell>
          <cell r="AB19">
            <v>556</v>
          </cell>
          <cell r="AC19">
            <v>574</v>
          </cell>
          <cell r="AD19">
            <v>443</v>
          </cell>
          <cell r="AE19">
            <v>437.94267925414607</v>
          </cell>
          <cell r="AF19">
            <v>437.64689230808881</v>
          </cell>
          <cell r="AG19">
            <v>333.89684092277935</v>
          </cell>
          <cell r="AH19">
            <v>328.47781900841903</v>
          </cell>
          <cell r="AI19">
            <v>261.10044333485752</v>
          </cell>
          <cell r="AJ19">
            <v>217.66232702027793</v>
          </cell>
          <cell r="AK19">
            <v>193.03041288077011</v>
          </cell>
          <cell r="AL19">
            <v>185.41379199688066</v>
          </cell>
          <cell r="AN19" t="str">
            <v xml:space="preserve">Interest Expense, net </v>
          </cell>
          <cell r="AO19">
            <v>150.16</v>
          </cell>
          <cell r="AP19">
            <v>137.041</v>
          </cell>
          <cell r="AQ19">
            <v>134.49700000000001</v>
          </cell>
          <cell r="AR19">
            <v>134.244</v>
          </cell>
          <cell r="AS19">
            <v>555.94200000000001</v>
          </cell>
          <cell r="AU19">
            <v>115.88100000000001</v>
          </cell>
          <cell r="AV19">
            <v>110.38499999999999</v>
          </cell>
          <cell r="AW19">
            <v>109.601</v>
          </cell>
          <cell r="AX19">
            <v>101.13</v>
          </cell>
          <cell r="AY19">
            <v>436.99700000000001</v>
          </cell>
          <cell r="BA19">
            <v>57.285000000000011</v>
          </cell>
          <cell r="BB19">
            <v>49.753999999999998</v>
          </cell>
          <cell r="BC19">
            <v>43.933</v>
          </cell>
          <cell r="BD19">
            <v>46.881999999999998</v>
          </cell>
          <cell r="BE19">
            <v>197.85400000000001</v>
          </cell>
          <cell r="BG19">
            <v>43.271999999999998</v>
          </cell>
          <cell r="BH19">
            <v>40.268999999999998</v>
          </cell>
          <cell r="BI19">
            <v>39.991999999999997</v>
          </cell>
          <cell r="BJ19">
            <v>40.606000000000002</v>
          </cell>
          <cell r="BK19">
            <v>164.13899999999998</v>
          </cell>
          <cell r="BM19">
            <v>45.338999999999999</v>
          </cell>
          <cell r="BN19">
            <v>48.698</v>
          </cell>
          <cell r="BO19">
            <v>50.985999999999997</v>
          </cell>
          <cell r="BP19">
            <v>54.424999999999997</v>
          </cell>
          <cell r="BQ19">
            <v>199.44799999999998</v>
          </cell>
          <cell r="BS19">
            <v>103.04</v>
          </cell>
          <cell r="BT19">
            <v>109.75999999999999</v>
          </cell>
          <cell r="BU19">
            <v>114.24000000000001</v>
          </cell>
          <cell r="BV19">
            <v>120.96000000000001</v>
          </cell>
          <cell r="BW19">
            <v>448</v>
          </cell>
          <cell r="BY19">
            <v>97.552000000000007</v>
          </cell>
          <cell r="BZ19">
            <v>103.21599999999999</v>
          </cell>
          <cell r="CA19">
            <v>104.617</v>
          </cell>
          <cell r="CB19">
            <v>25.671999999999983</v>
          </cell>
          <cell r="CC19">
            <v>130.28899999999999</v>
          </cell>
          <cell r="CD19">
            <v>107.88</v>
          </cell>
          <cell r="CE19">
            <v>129.971</v>
          </cell>
          <cell r="CF19">
            <v>413.26499999999999</v>
          </cell>
          <cell r="CG19">
            <v>435.35599999999999</v>
          </cell>
          <cell r="CH19">
            <v>461.02799999999996</v>
          </cell>
          <cell r="CJ19">
            <v>112.28100000000001</v>
          </cell>
          <cell r="CK19">
            <v>115.614</v>
          </cell>
          <cell r="CL19">
            <v>113.361</v>
          </cell>
          <cell r="CM19">
            <v>110.508</v>
          </cell>
          <cell r="CN19">
            <v>451.76400000000001</v>
          </cell>
          <cell r="CP19">
            <v>104.377</v>
          </cell>
          <cell r="CQ19">
            <v>99.263000000000005</v>
          </cell>
          <cell r="CR19">
            <v>91.878</v>
          </cell>
          <cell r="CS19">
            <v>86.977000000000004</v>
          </cell>
          <cell r="CT19">
            <v>382.495</v>
          </cell>
          <cell r="CV19">
            <v>77</v>
          </cell>
          <cell r="CW19">
            <v>74</v>
          </cell>
          <cell r="CX19">
            <v>72</v>
          </cell>
          <cell r="CY19">
            <v>69</v>
          </cell>
          <cell r="CZ19">
            <v>292</v>
          </cell>
          <cell r="DB19">
            <v>75</v>
          </cell>
          <cell r="DC19">
            <v>85</v>
          </cell>
          <cell r="DD19">
            <v>91</v>
          </cell>
          <cell r="DE19">
            <v>104</v>
          </cell>
          <cell r="DF19">
            <v>355</v>
          </cell>
          <cell r="DH19">
            <v>69</v>
          </cell>
          <cell r="DI19">
            <v>78</v>
          </cell>
          <cell r="DJ19">
            <v>84</v>
          </cell>
          <cell r="DK19">
            <v>90</v>
          </cell>
          <cell r="DL19">
            <v>321</v>
          </cell>
          <cell r="DN19">
            <v>78</v>
          </cell>
          <cell r="DO19">
            <v>78</v>
          </cell>
          <cell r="DP19">
            <v>80</v>
          </cell>
          <cell r="DQ19">
            <v>88</v>
          </cell>
          <cell r="DR19">
            <v>324</v>
          </cell>
          <cell r="DT19">
            <v>74</v>
          </cell>
          <cell r="DU19">
            <v>78</v>
          </cell>
          <cell r="DV19">
            <v>73</v>
          </cell>
          <cell r="DW19">
            <v>70</v>
          </cell>
          <cell r="DX19">
            <v>295</v>
          </cell>
          <cell r="DZ19">
            <v>70</v>
          </cell>
          <cell r="EA19">
            <v>65</v>
          </cell>
          <cell r="EB19">
            <v>61</v>
          </cell>
          <cell r="EC19">
            <v>61</v>
          </cell>
          <cell r="ED19">
            <v>257</v>
          </cell>
          <cell r="EF19">
            <v>60</v>
          </cell>
          <cell r="EG19">
            <v>60</v>
          </cell>
          <cell r="EH19">
            <v>55</v>
          </cell>
          <cell r="EI19">
            <v>50</v>
          </cell>
          <cell r="EJ19">
            <v>225</v>
          </cell>
          <cell r="EK19" t="str">
            <v xml:space="preserve">Interest Expense, net </v>
          </cell>
          <cell r="EL19">
            <v>54</v>
          </cell>
          <cell r="EM19">
            <v>54</v>
          </cell>
          <cell r="EN19">
            <v>145</v>
          </cell>
          <cell r="EO19">
            <v>144</v>
          </cell>
          <cell r="EP19">
            <v>397</v>
          </cell>
          <cell r="ER19">
            <v>138</v>
          </cell>
          <cell r="ES19">
            <v>116</v>
          </cell>
          <cell r="ET19">
            <v>104</v>
          </cell>
          <cell r="EU19">
            <v>103</v>
          </cell>
          <cell r="EV19">
            <v>461</v>
          </cell>
          <cell r="EX19">
            <v>125</v>
          </cell>
          <cell r="EY19">
            <v>137</v>
          </cell>
          <cell r="EZ19">
            <v>145</v>
          </cell>
          <cell r="FA19">
            <v>136</v>
          </cell>
          <cell r="FB19">
            <v>543</v>
          </cell>
          <cell r="FD19">
            <v>136</v>
          </cell>
          <cell r="FE19">
            <v>138</v>
          </cell>
          <cell r="FF19">
            <v>143</v>
          </cell>
          <cell r="FG19">
            <v>143</v>
          </cell>
          <cell r="FH19">
            <v>560</v>
          </cell>
          <cell r="FJ19">
            <v>141</v>
          </cell>
          <cell r="FK19">
            <v>139</v>
          </cell>
          <cell r="FL19">
            <v>137</v>
          </cell>
          <cell r="FM19">
            <v>139</v>
          </cell>
          <cell r="FN19">
            <v>556</v>
          </cell>
          <cell r="FP19">
            <v>162</v>
          </cell>
          <cell r="FQ19">
            <v>130</v>
          </cell>
          <cell r="FR19">
            <v>164</v>
          </cell>
          <cell r="FS19">
            <v>118</v>
          </cell>
          <cell r="FT19">
            <v>574</v>
          </cell>
          <cell r="FV19">
            <v>116</v>
          </cell>
          <cell r="FW19">
            <v>111</v>
          </cell>
          <cell r="FX19">
            <v>108</v>
          </cell>
          <cell r="FY19">
            <v>108</v>
          </cell>
          <cell r="FZ19">
            <v>443</v>
          </cell>
          <cell r="GB19">
            <v>112</v>
          </cell>
          <cell r="GC19">
            <v>105</v>
          </cell>
          <cell r="GD19">
            <v>106.92000000000002</v>
          </cell>
          <cell r="GE19">
            <v>114.02267925414607</v>
          </cell>
          <cell r="GF19">
            <v>437.94267925414607</v>
          </cell>
          <cell r="GS19" t="str">
            <v>mstag:interestExpense</v>
          </cell>
          <cell r="GT19">
            <v>6</v>
          </cell>
          <cell r="GU19" t="str">
            <v>ISO4217:USD</v>
          </cell>
          <cell r="GV19" t="b">
            <v>0</v>
          </cell>
          <cell r="GW19" t="b">
            <v>0</v>
          </cell>
        </row>
        <row r="20">
          <cell r="A20" t="str">
            <v>LIFO Charge</v>
          </cell>
          <cell r="C20">
            <v>0</v>
          </cell>
          <cell r="D20">
            <v>0</v>
          </cell>
          <cell r="E20">
            <v>0</v>
          </cell>
          <cell r="F20">
            <v>23.248000000000001</v>
          </cell>
          <cell r="G20">
            <v>8.5730000000000022</v>
          </cell>
          <cell r="H20">
            <v>2.7240000000000002</v>
          </cell>
          <cell r="I20">
            <v>-11.271000000000001</v>
          </cell>
          <cell r="K20">
            <v>-2.0990000000000002</v>
          </cell>
          <cell r="L20">
            <v>-0.2390000000000001</v>
          </cell>
          <cell r="AN20" t="str">
            <v>LIFO Charge</v>
          </cell>
          <cell r="AO20">
            <v>0</v>
          </cell>
          <cell r="AP20">
            <v>0</v>
          </cell>
          <cell r="AQ20">
            <v>0</v>
          </cell>
          <cell r="AR20">
            <v>0</v>
          </cell>
          <cell r="AS20">
            <v>0</v>
          </cell>
          <cell r="AU20">
            <v>0</v>
          </cell>
          <cell r="AV20">
            <v>0</v>
          </cell>
          <cell r="AW20">
            <v>0</v>
          </cell>
          <cell r="AX20">
            <v>10.055999999999999</v>
          </cell>
          <cell r="AY20">
            <v>23.248000000000001</v>
          </cell>
          <cell r="BA20">
            <v>4.4000000000000004</v>
          </cell>
          <cell r="BB20">
            <v>4.4000000000000004</v>
          </cell>
          <cell r="BC20">
            <v>11.3</v>
          </cell>
          <cell r="BD20">
            <v>-11.526999999999999</v>
          </cell>
          <cell r="BE20">
            <v>8.5730000000000022</v>
          </cell>
          <cell r="BG20">
            <v>3.85</v>
          </cell>
          <cell r="BH20">
            <v>3.6749999999999998</v>
          </cell>
          <cell r="BI20">
            <v>4.375</v>
          </cell>
          <cell r="BJ20">
            <v>-9.1760000000000002</v>
          </cell>
          <cell r="BK20">
            <v>2.7240000000000002</v>
          </cell>
          <cell r="BM20">
            <v>5.2009999999999996</v>
          </cell>
          <cell r="BN20">
            <v>0.60399999999999998</v>
          </cell>
          <cell r="BO20">
            <v>3.375</v>
          </cell>
          <cell r="BP20">
            <v>-20.451000000000001</v>
          </cell>
          <cell r="BQ20">
            <v>-11.271000000000001</v>
          </cell>
          <cell r="BS20">
            <v>10.201000000000001</v>
          </cell>
          <cell r="BT20">
            <v>2.2759999999999998</v>
          </cell>
          <cell r="BU20">
            <v>5.875</v>
          </cell>
          <cell r="BV20">
            <v>-20.451000000000001</v>
          </cell>
          <cell r="BW20">
            <v>-2.0990000000000002</v>
          </cell>
          <cell r="BY20">
            <v>1.7609999999999999</v>
          </cell>
          <cell r="BZ20">
            <v>0</v>
          </cell>
          <cell r="CA20">
            <v>0</v>
          </cell>
          <cell r="CB20">
            <v>0</v>
          </cell>
          <cell r="CC20">
            <v>0</v>
          </cell>
          <cell r="CD20">
            <v>-2</v>
          </cell>
          <cell r="CE20">
            <v>-1.7609999999999999</v>
          </cell>
          <cell r="CF20">
            <v>-0.2390000000000001</v>
          </cell>
          <cell r="CG20">
            <v>0</v>
          </cell>
          <cell r="CH20">
            <v>0</v>
          </cell>
        </row>
        <row r="21">
          <cell r="A21" t="str">
            <v>Pre-Tax Extraordinary Charges (FYins)</v>
          </cell>
          <cell r="C21">
            <v>1209.9270000000001</v>
          </cell>
          <cell r="D21">
            <v>127.032</v>
          </cell>
          <cell r="E21">
            <v>1679.9359999999999</v>
          </cell>
          <cell r="F21">
            <v>0</v>
          </cell>
          <cell r="G21">
            <v>0</v>
          </cell>
          <cell r="H21">
            <v>-24</v>
          </cell>
          <cell r="I21">
            <v>25.204999999999998</v>
          </cell>
          <cell r="K21">
            <v>144.60500000000002</v>
          </cell>
          <cell r="L21">
            <v>276.92599999999999</v>
          </cell>
          <cell r="N21">
            <v>0</v>
          </cell>
          <cell r="O21">
            <v>0</v>
          </cell>
          <cell r="P21">
            <v>0</v>
          </cell>
          <cell r="Q21">
            <v>0</v>
          </cell>
          <cell r="R21">
            <v>0</v>
          </cell>
          <cell r="S21">
            <v>80</v>
          </cell>
          <cell r="T21">
            <v>272</v>
          </cell>
          <cell r="U21">
            <v>68</v>
          </cell>
          <cell r="V21">
            <v>59</v>
          </cell>
          <cell r="W21">
            <v>158</v>
          </cell>
          <cell r="X21">
            <v>-303</v>
          </cell>
          <cell r="Y21">
            <v>437</v>
          </cell>
          <cell r="Z21">
            <v>219</v>
          </cell>
          <cell r="AA21">
            <v>421</v>
          </cell>
          <cell r="AB21">
            <v>391</v>
          </cell>
          <cell r="AC21">
            <v>25</v>
          </cell>
          <cell r="AD21">
            <v>-25</v>
          </cell>
          <cell r="AE21">
            <v>0</v>
          </cell>
          <cell r="AF21">
            <v>0</v>
          </cell>
          <cell r="AG21">
            <v>0</v>
          </cell>
          <cell r="AH21">
            <v>0</v>
          </cell>
          <cell r="AI21">
            <v>0</v>
          </cell>
          <cell r="AJ21">
            <v>0</v>
          </cell>
          <cell r="AK21">
            <v>0</v>
          </cell>
          <cell r="AL21">
            <v>0</v>
          </cell>
          <cell r="AN21" t="str">
            <v>Pre-Tax Extraordinary Charges (FYins)</v>
          </cell>
          <cell r="AO21">
            <v>19.689</v>
          </cell>
          <cell r="AP21">
            <v>9.3439999999999994</v>
          </cell>
          <cell r="AQ21">
            <v>29.286000000000001</v>
          </cell>
          <cell r="AR21">
            <v>68.712999999999994</v>
          </cell>
          <cell r="AS21">
            <v>127.032</v>
          </cell>
          <cell r="AU21">
            <v>10.657</v>
          </cell>
          <cell r="AV21">
            <v>108.504</v>
          </cell>
          <cell r="AW21">
            <v>23.658000000000001</v>
          </cell>
          <cell r="AX21">
            <v>1537.117</v>
          </cell>
          <cell r="AY21">
            <v>1679.9359999999999</v>
          </cell>
          <cell r="BA21">
            <v>0</v>
          </cell>
          <cell r="BB21">
            <v>0</v>
          </cell>
          <cell r="BC21">
            <v>0</v>
          </cell>
          <cell r="BD21">
            <v>0</v>
          </cell>
          <cell r="BE21">
            <v>0</v>
          </cell>
          <cell r="BG21">
            <v>0</v>
          </cell>
          <cell r="BH21">
            <v>0</v>
          </cell>
          <cell r="BI21">
            <v>0</v>
          </cell>
          <cell r="BJ21">
            <v>-24</v>
          </cell>
          <cell r="BK21">
            <v>-24</v>
          </cell>
          <cell r="BM21">
            <v>0</v>
          </cell>
          <cell r="BN21">
            <v>27.004999999999999</v>
          </cell>
          <cell r="BO21">
            <v>0</v>
          </cell>
          <cell r="BP21">
            <v>-1.8000000000000007</v>
          </cell>
          <cell r="BQ21">
            <v>25.204999999999998</v>
          </cell>
          <cell r="BS21">
            <v>0</v>
          </cell>
          <cell r="BT21">
            <v>7.5050000000000026</v>
          </cell>
          <cell r="BU21">
            <v>80</v>
          </cell>
          <cell r="BV21">
            <v>57.100000000000009</v>
          </cell>
          <cell r="BW21">
            <v>144.60500000000002</v>
          </cell>
          <cell r="BY21">
            <v>83.322000000000003</v>
          </cell>
          <cell r="BZ21">
            <v>114.604</v>
          </cell>
          <cell r="CA21">
            <v>39</v>
          </cell>
          <cell r="CB21">
            <v>0</v>
          </cell>
          <cell r="CC21">
            <v>39.134</v>
          </cell>
          <cell r="CD21">
            <v>40</v>
          </cell>
          <cell r="CE21">
            <v>82.450999999999993</v>
          </cell>
          <cell r="CF21">
            <v>276.92599999999999</v>
          </cell>
          <cell r="CG21">
            <v>319.37699999999995</v>
          </cell>
          <cell r="CH21">
            <v>319.37699999999995</v>
          </cell>
          <cell r="CJ21">
            <v>77.7</v>
          </cell>
          <cell r="CK21">
            <v>98.917000000000002</v>
          </cell>
          <cell r="CL21">
            <v>44.304000000000002</v>
          </cell>
          <cell r="CM21">
            <v>87.721999999999994</v>
          </cell>
          <cell r="CN21">
            <v>308.64300000000003</v>
          </cell>
          <cell r="CP21">
            <v>0</v>
          </cell>
          <cell r="CQ21">
            <v>0</v>
          </cell>
          <cell r="CR21">
            <v>0</v>
          </cell>
          <cell r="CS21">
            <v>0</v>
          </cell>
          <cell r="CT21">
            <v>0</v>
          </cell>
          <cell r="CV21">
            <v>0</v>
          </cell>
          <cell r="CW21">
            <v>0</v>
          </cell>
          <cell r="CX21">
            <v>0</v>
          </cell>
          <cell r="CY21">
            <v>0</v>
          </cell>
          <cell r="CZ21">
            <v>0</v>
          </cell>
          <cell r="DB21">
            <v>0</v>
          </cell>
          <cell r="DC21">
            <v>0</v>
          </cell>
          <cell r="DD21">
            <v>0</v>
          </cell>
          <cell r="DE21">
            <v>0</v>
          </cell>
          <cell r="DF21">
            <v>0</v>
          </cell>
          <cell r="DH21">
            <v>0</v>
          </cell>
          <cell r="DI21">
            <v>0</v>
          </cell>
          <cell r="DJ21">
            <v>0</v>
          </cell>
          <cell r="DK21">
            <v>80</v>
          </cell>
          <cell r="DL21">
            <v>80</v>
          </cell>
          <cell r="DN21">
            <v>52</v>
          </cell>
          <cell r="DO21">
            <v>41</v>
          </cell>
          <cell r="DP21">
            <v>30</v>
          </cell>
          <cell r="DQ21">
            <v>149</v>
          </cell>
          <cell r="DR21">
            <v>272</v>
          </cell>
          <cell r="DT21">
            <v>0</v>
          </cell>
          <cell r="DU21">
            <v>0</v>
          </cell>
          <cell r="DV21">
            <v>0</v>
          </cell>
          <cell r="DW21">
            <v>68</v>
          </cell>
          <cell r="DX21">
            <v>68</v>
          </cell>
          <cell r="DZ21">
            <v>8</v>
          </cell>
          <cell r="EA21">
            <v>10</v>
          </cell>
          <cell r="EB21">
            <v>29</v>
          </cell>
          <cell r="EC21">
            <v>12</v>
          </cell>
          <cell r="ED21">
            <v>59</v>
          </cell>
          <cell r="EF21">
            <v>19</v>
          </cell>
          <cell r="EG21">
            <v>90</v>
          </cell>
          <cell r="EH21">
            <v>36</v>
          </cell>
          <cell r="EI21">
            <v>13</v>
          </cell>
          <cell r="EJ21">
            <v>158</v>
          </cell>
          <cell r="EK21" t="str">
            <v>Pre-Tax Extraordinary Charges (FYins)</v>
          </cell>
          <cell r="EL21">
            <v>0</v>
          </cell>
          <cell r="EM21">
            <v>0</v>
          </cell>
          <cell r="EN21">
            <v>-417</v>
          </cell>
          <cell r="EO21">
            <v>114</v>
          </cell>
          <cell r="EP21">
            <v>-303</v>
          </cell>
          <cell r="ER21">
            <v>129</v>
          </cell>
          <cell r="ES21">
            <v>-14</v>
          </cell>
          <cell r="ET21">
            <v>145</v>
          </cell>
          <cell r="EU21">
            <v>177</v>
          </cell>
          <cell r="EV21">
            <v>437</v>
          </cell>
          <cell r="EX21">
            <v>36</v>
          </cell>
          <cell r="EY21">
            <v>97</v>
          </cell>
          <cell r="EZ21">
            <v>17</v>
          </cell>
          <cell r="FA21">
            <v>69</v>
          </cell>
          <cell r="FB21">
            <v>219</v>
          </cell>
          <cell r="FD21">
            <v>110</v>
          </cell>
          <cell r="FE21">
            <v>76</v>
          </cell>
          <cell r="FF21">
            <v>16</v>
          </cell>
          <cell r="FG21">
            <v>219</v>
          </cell>
          <cell r="FH21">
            <v>421</v>
          </cell>
          <cell r="FJ21">
            <v>138</v>
          </cell>
          <cell r="FK21">
            <v>34</v>
          </cell>
          <cell r="FL21">
            <v>33</v>
          </cell>
          <cell r="FM21">
            <v>186</v>
          </cell>
          <cell r="FN21">
            <v>391</v>
          </cell>
          <cell r="FP21">
            <v>0</v>
          </cell>
          <cell r="FQ21">
            <v>0</v>
          </cell>
          <cell r="FR21">
            <v>0</v>
          </cell>
          <cell r="FS21">
            <v>25</v>
          </cell>
          <cell r="FT21">
            <v>25</v>
          </cell>
          <cell r="FV21">
            <v>0</v>
          </cell>
          <cell r="FW21">
            <v>0</v>
          </cell>
          <cell r="FX21">
            <v>0</v>
          </cell>
          <cell r="FY21">
            <v>-25</v>
          </cell>
          <cell r="FZ21">
            <v>-25</v>
          </cell>
          <cell r="GB21">
            <v>0</v>
          </cell>
          <cell r="GC21">
            <v>0</v>
          </cell>
          <cell r="GD21">
            <v>0</v>
          </cell>
          <cell r="GE21">
            <v>0</v>
          </cell>
          <cell r="GF21">
            <v>0</v>
          </cell>
        </row>
        <row r="23">
          <cell r="A23" t="str">
            <v>Pretax Income</v>
          </cell>
          <cell r="C23">
            <v>-1767.144</v>
          </cell>
          <cell r="D23">
            <v>-547.80099999999936</v>
          </cell>
          <cell r="E23">
            <v>-1849.9609999999998</v>
          </cell>
          <cell r="F23">
            <v>53.278999999999812</v>
          </cell>
          <cell r="G23">
            <v>232.00700000000063</v>
          </cell>
          <cell r="H23">
            <v>367.77999999999912</v>
          </cell>
          <cell r="I23">
            <v>427.72199999999896</v>
          </cell>
          <cell r="J23">
            <v>1.0023277888444908</v>
          </cell>
          <cell r="K23">
            <v>92.294999999999447</v>
          </cell>
          <cell r="L23">
            <v>304.69899999999899</v>
          </cell>
          <cell r="N23">
            <v>202</v>
          </cell>
          <cell r="O23">
            <v>441</v>
          </cell>
          <cell r="P23">
            <v>958</v>
          </cell>
          <cell r="Q23">
            <v>1163</v>
          </cell>
          <cell r="R23">
            <v>1386</v>
          </cell>
          <cell r="S23">
            <v>1370</v>
          </cell>
          <cell r="T23">
            <v>780</v>
          </cell>
          <cell r="U23">
            <v>1048</v>
          </cell>
          <cell r="V23">
            <v>1084</v>
          </cell>
          <cell r="W23">
            <v>1116</v>
          </cell>
          <cell r="X23">
            <v>2044</v>
          </cell>
          <cell r="Y23">
            <v>1375</v>
          </cell>
          <cell r="Z23">
            <v>1320</v>
          </cell>
          <cell r="AA23">
            <v>444</v>
          </cell>
          <cell r="AB23">
            <v>507</v>
          </cell>
          <cell r="AC23">
            <v>1320</v>
          </cell>
          <cell r="AD23">
            <v>1968</v>
          </cell>
          <cell r="AE23">
            <v>2233.35394297312</v>
          </cell>
          <cell r="AF23">
            <v>2339.9446915434578</v>
          </cell>
          <cell r="AG23">
            <v>2569.4863960758839</v>
          </cell>
          <cell r="AH23">
            <v>2604.987304516796</v>
          </cell>
          <cell r="AI23">
            <v>2672.2023854398972</v>
          </cell>
          <cell r="AJ23">
            <v>2774.7654454877938</v>
          </cell>
          <cell r="AK23">
            <v>2859.4114719524105</v>
          </cell>
          <cell r="AL23">
            <v>2927.9432446306555</v>
          </cell>
          <cell r="AN23" t="str">
            <v>Pretax Income</v>
          </cell>
          <cell r="AO23">
            <v>-143.4009999999999</v>
          </cell>
          <cell r="AP23">
            <v>-186.447</v>
          </cell>
          <cell r="AQ23">
            <v>-121.46500000000003</v>
          </cell>
          <cell r="AR23">
            <v>-96.488000000000056</v>
          </cell>
          <cell r="AS23">
            <v>-547.80100000000004</v>
          </cell>
          <cell r="AT23">
            <v>0</v>
          </cell>
          <cell r="AU23">
            <v>-85.017999999999915</v>
          </cell>
          <cell r="AV23">
            <v>-210.38000000000011</v>
          </cell>
          <cell r="AW23">
            <v>-79.991999999999962</v>
          </cell>
          <cell r="AX23">
            <v>-1484.6269999999995</v>
          </cell>
          <cell r="AY23">
            <v>-1873.2089999999998</v>
          </cell>
          <cell r="AZ23">
            <v>0</v>
          </cell>
          <cell r="BA23">
            <v>22.976000000000163</v>
          </cell>
          <cell r="BB23">
            <v>-22.479000000000042</v>
          </cell>
          <cell r="BC23">
            <v>55.534999999999911</v>
          </cell>
          <cell r="BD23">
            <v>175.97500000000005</v>
          </cell>
          <cell r="BE23">
            <v>232.00700000000006</v>
          </cell>
          <cell r="BF23">
            <v>0</v>
          </cell>
          <cell r="BG23">
            <v>39.659000000000063</v>
          </cell>
          <cell r="BH23">
            <v>18.090999999999973</v>
          </cell>
          <cell r="BI23">
            <v>63.014999999999951</v>
          </cell>
          <cell r="BJ23">
            <v>247.01499999999982</v>
          </cell>
          <cell r="BK23">
            <v>367.77999999999918</v>
          </cell>
          <cell r="BL23">
            <v>0</v>
          </cell>
          <cell r="BM23">
            <v>58.068000000000175</v>
          </cell>
          <cell r="BN23">
            <v>10.26699999999984</v>
          </cell>
          <cell r="BO23">
            <v>78.336000000000013</v>
          </cell>
          <cell r="BP23">
            <v>281.05100000000004</v>
          </cell>
          <cell r="BQ23">
            <v>427.72199999999896</v>
          </cell>
          <cell r="BR23">
            <v>0</v>
          </cell>
          <cell r="BS23">
            <v>-52.740000000000038</v>
          </cell>
          <cell r="BT23">
            <v>-87.464999999999975</v>
          </cell>
          <cell r="BU23">
            <v>-76.039999999999964</v>
          </cell>
          <cell r="BV23">
            <v>308.54000000000008</v>
          </cell>
          <cell r="BW23">
            <v>92.294999999999391</v>
          </cell>
          <cell r="BX23">
            <v>0</v>
          </cell>
          <cell r="BY23">
            <v>-86.748000000000275</v>
          </cell>
          <cell r="BZ23">
            <v>-101.6219999999999</v>
          </cell>
          <cell r="CA23">
            <v>42.979999999999734</v>
          </cell>
          <cell r="CB23">
            <v>-68.198000000000221</v>
          </cell>
          <cell r="CC23">
            <v>-25.311000000000149</v>
          </cell>
          <cell r="CD23">
            <v>450.08899999999983</v>
          </cell>
          <cell r="CE23">
            <v>415.06299999999948</v>
          </cell>
          <cell r="CF23">
            <v>304.69899999999893</v>
          </cell>
          <cell r="CG23">
            <v>269.67299999999909</v>
          </cell>
          <cell r="CH23">
            <v>201.47499999999741</v>
          </cell>
          <cell r="CJ23">
            <v>-56.994000000000142</v>
          </cell>
          <cell r="CK23">
            <v>-39.859999999999957</v>
          </cell>
          <cell r="CL23">
            <v>73.95100000000042</v>
          </cell>
          <cell r="CM23">
            <v>464.36099999999965</v>
          </cell>
          <cell r="CN23">
            <v>441.45799999999974</v>
          </cell>
          <cell r="CP23">
            <v>43.683000000000177</v>
          </cell>
          <cell r="CQ23">
            <v>112.59700000000035</v>
          </cell>
          <cell r="CR23">
            <v>176.08300000000003</v>
          </cell>
          <cell r="CS23">
            <v>625.92700000000002</v>
          </cell>
          <cell r="CT23">
            <v>958.29000000000053</v>
          </cell>
          <cell r="CU23">
            <v>0</v>
          </cell>
          <cell r="CV23">
            <v>104</v>
          </cell>
          <cell r="CW23">
            <v>193</v>
          </cell>
          <cell r="CX23">
            <v>185</v>
          </cell>
          <cell r="CY23">
            <v>681</v>
          </cell>
          <cell r="CZ23">
            <v>1163</v>
          </cell>
          <cell r="DB23">
            <v>150</v>
          </cell>
          <cell r="DC23">
            <v>233</v>
          </cell>
          <cell r="DD23">
            <v>211</v>
          </cell>
          <cell r="DE23">
            <v>752</v>
          </cell>
          <cell r="DF23">
            <v>1346</v>
          </cell>
          <cell r="DH23">
            <v>200</v>
          </cell>
          <cell r="DI23">
            <v>324</v>
          </cell>
          <cell r="DJ23">
            <v>185</v>
          </cell>
          <cell r="DK23">
            <v>661</v>
          </cell>
          <cell r="DL23">
            <v>1370</v>
          </cell>
          <cell r="DN23">
            <v>100</v>
          </cell>
          <cell r="DO23">
            <v>135</v>
          </cell>
          <cell r="DP23">
            <v>46</v>
          </cell>
          <cell r="DQ23">
            <v>499</v>
          </cell>
          <cell r="DR23">
            <v>780</v>
          </cell>
          <cell r="DT23">
            <v>147</v>
          </cell>
          <cell r="DU23">
            <v>222</v>
          </cell>
          <cell r="DV23">
            <v>115</v>
          </cell>
          <cell r="DW23">
            <v>564</v>
          </cell>
          <cell r="DX23">
            <v>1048</v>
          </cell>
          <cell r="DZ23">
            <v>76</v>
          </cell>
          <cell r="EA23">
            <v>199</v>
          </cell>
          <cell r="EB23">
            <v>112</v>
          </cell>
          <cell r="EC23">
            <v>697</v>
          </cell>
          <cell r="ED23">
            <v>1084</v>
          </cell>
          <cell r="EF23">
            <v>157</v>
          </cell>
          <cell r="EG23">
            <v>126</v>
          </cell>
          <cell r="EH23">
            <v>120</v>
          </cell>
          <cell r="EI23">
            <v>713</v>
          </cell>
          <cell r="EJ23">
            <v>1116</v>
          </cell>
          <cell r="EK23" t="str">
            <v>Pretax Income</v>
          </cell>
          <cell r="EL23">
            <v>198</v>
          </cell>
          <cell r="EM23">
            <v>237</v>
          </cell>
          <cell r="EN23">
            <v>542</v>
          </cell>
          <cell r="EO23">
            <v>1067</v>
          </cell>
          <cell r="EP23">
            <v>2044</v>
          </cell>
          <cell r="ER23">
            <v>-118</v>
          </cell>
          <cell r="ES23">
            <v>306</v>
          </cell>
          <cell r="ET23">
            <v>30</v>
          </cell>
          <cell r="EU23">
            <v>1157</v>
          </cell>
          <cell r="EV23">
            <v>1375</v>
          </cell>
          <cell r="EX23">
            <v>83</v>
          </cell>
          <cell r="EY23">
            <v>113</v>
          </cell>
          <cell r="EZ23">
            <v>38</v>
          </cell>
          <cell r="FA23">
            <v>1086</v>
          </cell>
          <cell r="FB23">
            <v>1320</v>
          </cell>
          <cell r="FD23">
            <v>-106</v>
          </cell>
          <cell r="FE23">
            <v>121</v>
          </cell>
          <cell r="FF23">
            <v>-75</v>
          </cell>
          <cell r="FG23">
            <v>504</v>
          </cell>
          <cell r="FH23">
            <v>444</v>
          </cell>
          <cell r="FJ23">
            <v>-255</v>
          </cell>
          <cell r="FK23">
            <v>109</v>
          </cell>
          <cell r="FL23">
            <v>-82</v>
          </cell>
          <cell r="FM23">
            <v>735</v>
          </cell>
          <cell r="FN23">
            <v>507</v>
          </cell>
          <cell r="FP23">
            <v>41</v>
          </cell>
          <cell r="FQ23">
            <v>240</v>
          </cell>
          <cell r="FR23">
            <v>13</v>
          </cell>
          <cell r="FS23">
            <v>1026</v>
          </cell>
          <cell r="FT23">
            <v>1320</v>
          </cell>
          <cell r="FV23">
            <v>214</v>
          </cell>
          <cell r="FW23">
            <v>395</v>
          </cell>
          <cell r="FX23">
            <v>183</v>
          </cell>
          <cell r="FY23">
            <v>1176</v>
          </cell>
          <cell r="FZ23">
            <v>1968</v>
          </cell>
          <cell r="GB23">
            <v>279</v>
          </cell>
          <cell r="GC23">
            <v>449</v>
          </cell>
          <cell r="GD23">
            <v>174.65499452664795</v>
          </cell>
          <cell r="GE23">
            <v>1330.6989484464721</v>
          </cell>
          <cell r="GF23">
            <v>2233.35394297312</v>
          </cell>
        </row>
        <row r="24">
          <cell r="A24" t="str">
            <v>Income Taxes (Benefit)</v>
          </cell>
          <cell r="C24">
            <v>6.7830000000000004</v>
          </cell>
          <cell r="D24">
            <v>-276.35500000000002</v>
          </cell>
          <cell r="E24">
            <v>-613.98900000000003</v>
          </cell>
          <cell r="F24">
            <v>28.096</v>
          </cell>
          <cell r="G24">
            <v>99.299000000000007</v>
          </cell>
          <cell r="H24">
            <v>156.745</v>
          </cell>
          <cell r="I24">
            <v>180.869</v>
          </cell>
          <cell r="K24">
            <v>55.495050000000049</v>
          </cell>
          <cell r="L24">
            <v>155.708</v>
          </cell>
          <cell r="N24">
            <v>127</v>
          </cell>
          <cell r="O24">
            <v>175</v>
          </cell>
          <cell r="P24">
            <v>383</v>
          </cell>
          <cell r="Q24">
            <v>478</v>
          </cell>
          <cell r="R24">
            <v>561</v>
          </cell>
          <cell r="S24">
            <v>549</v>
          </cell>
          <cell r="T24">
            <v>306</v>
          </cell>
          <cell r="U24">
            <v>410</v>
          </cell>
          <cell r="V24">
            <v>429</v>
          </cell>
          <cell r="W24">
            <v>427</v>
          </cell>
          <cell r="X24">
            <v>765.40858992805761</v>
          </cell>
          <cell r="Y24">
            <v>511.75</v>
          </cell>
          <cell r="Z24">
            <v>489</v>
          </cell>
          <cell r="AA24">
            <v>-135</v>
          </cell>
          <cell r="AB24">
            <v>178</v>
          </cell>
          <cell r="AC24">
            <v>473</v>
          </cell>
          <cell r="AD24">
            <v>712</v>
          </cell>
          <cell r="AE24">
            <v>824.98095890005447</v>
          </cell>
          <cell r="AF24">
            <v>865.77953587107936</v>
          </cell>
          <cell r="AG24">
            <v>950.70996654807709</v>
          </cell>
          <cell r="AH24">
            <v>963.84530267121454</v>
          </cell>
          <cell r="AI24">
            <v>988.71488261276193</v>
          </cell>
          <cell r="AJ24">
            <v>1026.6632148304836</v>
          </cell>
          <cell r="AK24">
            <v>1057.9822446223918</v>
          </cell>
          <cell r="AL24">
            <v>1083.3390005133426</v>
          </cell>
          <cell r="AN24" t="str">
            <v>Income Taxes (Benefit)</v>
          </cell>
          <cell r="AO24">
            <v>-43.960999999999999</v>
          </cell>
          <cell r="AP24">
            <v>-60.075000000000003</v>
          </cell>
          <cell r="AQ24">
            <v>-34.662999999999997</v>
          </cell>
          <cell r="AR24">
            <v>-137.65600000000001</v>
          </cell>
          <cell r="AS24">
            <v>-276.35500000000002</v>
          </cell>
          <cell r="AU24">
            <v>-20.856999999999999</v>
          </cell>
          <cell r="AV24">
            <v>-66.552000000000007</v>
          </cell>
          <cell r="AW24">
            <v>-18.997</v>
          </cell>
          <cell r="AX24">
            <v>-507.58300000000003</v>
          </cell>
          <cell r="AY24">
            <v>-613.98900000000003</v>
          </cell>
          <cell r="BA24">
            <v>11.164</v>
          </cell>
          <cell r="BB24">
            <v>-6.69</v>
          </cell>
          <cell r="BC24">
            <v>23.952999999999999</v>
          </cell>
          <cell r="BD24">
            <v>70.872</v>
          </cell>
          <cell r="BE24">
            <v>99.299000000000007</v>
          </cell>
          <cell r="BG24">
            <v>17.959</v>
          </cell>
          <cell r="BH24">
            <v>9.2379999999999995</v>
          </cell>
          <cell r="BI24">
            <v>28.490999999999996</v>
          </cell>
          <cell r="BJ24">
            <v>101.057</v>
          </cell>
          <cell r="BK24">
            <v>156.745</v>
          </cell>
          <cell r="BM24">
            <v>25.846</v>
          </cell>
          <cell r="BN24">
            <v>6.4950000000000001</v>
          </cell>
          <cell r="BO24">
            <v>33.993000000000002</v>
          </cell>
          <cell r="BP24">
            <v>114.535</v>
          </cell>
          <cell r="BQ24">
            <v>180.869</v>
          </cell>
          <cell r="BS24">
            <v>-15.693600000000016</v>
          </cell>
          <cell r="BT24">
            <v>-29.236349999999991</v>
          </cell>
          <cell r="BU24">
            <v>-24.780599999999986</v>
          </cell>
          <cell r="BV24">
            <v>125.20560000000003</v>
          </cell>
          <cell r="BW24">
            <v>55.495050000000049</v>
          </cell>
          <cell r="BY24">
            <v>-29.748999999999999</v>
          </cell>
          <cell r="BZ24">
            <v>-34.447000000000003</v>
          </cell>
          <cell r="CA24">
            <v>21.084</v>
          </cell>
          <cell r="CB24">
            <v>0</v>
          </cell>
          <cell r="CC24">
            <v>21.084</v>
          </cell>
          <cell r="CD24">
            <v>198.82</v>
          </cell>
          <cell r="CE24">
            <v>170.41800000000001</v>
          </cell>
          <cell r="CF24">
            <v>155.708</v>
          </cell>
          <cell r="CG24">
            <v>127.30600000000001</v>
          </cell>
          <cell r="CH24">
            <v>127.30600000000001</v>
          </cell>
          <cell r="CJ24">
            <v>-19.071000000000002</v>
          </cell>
          <cell r="CK24">
            <v>-12.667</v>
          </cell>
          <cell r="CL24">
            <v>32.15</v>
          </cell>
          <cell r="CM24">
            <v>175.15899999999999</v>
          </cell>
          <cell r="CN24">
            <v>175.571</v>
          </cell>
          <cell r="CP24">
            <v>19.623999999999999</v>
          </cell>
          <cell r="CQ24">
            <v>46.226999999999997</v>
          </cell>
          <cell r="CR24">
            <v>70.968999999999994</v>
          </cell>
          <cell r="CS24">
            <v>246.84700000000001</v>
          </cell>
          <cell r="CT24">
            <v>383.66700000000003</v>
          </cell>
          <cell r="CV24">
            <v>43.765999999999998</v>
          </cell>
          <cell r="CW24">
            <v>86</v>
          </cell>
          <cell r="CX24">
            <v>75</v>
          </cell>
          <cell r="CY24">
            <v>273</v>
          </cell>
          <cell r="CZ24">
            <v>477.76599999999996</v>
          </cell>
          <cell r="DB24">
            <v>63</v>
          </cell>
          <cell r="DC24">
            <v>96</v>
          </cell>
          <cell r="DD24">
            <v>88</v>
          </cell>
          <cell r="DE24">
            <v>304</v>
          </cell>
          <cell r="DF24">
            <v>551</v>
          </cell>
          <cell r="DH24">
            <v>82</v>
          </cell>
          <cell r="DI24">
            <v>130</v>
          </cell>
          <cell r="DJ24">
            <v>76</v>
          </cell>
          <cell r="DK24">
            <v>261</v>
          </cell>
          <cell r="DL24">
            <v>549</v>
          </cell>
          <cell r="DN24">
            <v>42</v>
          </cell>
          <cell r="DO24">
            <v>55</v>
          </cell>
          <cell r="DP24">
            <v>20</v>
          </cell>
          <cell r="DQ24">
            <v>189</v>
          </cell>
          <cell r="DR24">
            <v>306</v>
          </cell>
          <cell r="DT24">
            <v>58</v>
          </cell>
          <cell r="DU24">
            <v>89</v>
          </cell>
          <cell r="DV24">
            <v>40</v>
          </cell>
          <cell r="DW24">
            <v>223</v>
          </cell>
          <cell r="DX24">
            <v>410</v>
          </cell>
          <cell r="DZ24">
            <v>30</v>
          </cell>
          <cell r="EA24">
            <v>79</v>
          </cell>
          <cell r="EB24">
            <v>45</v>
          </cell>
          <cell r="EC24">
            <v>275</v>
          </cell>
          <cell r="ED24">
            <v>429</v>
          </cell>
          <cell r="EF24">
            <v>60</v>
          </cell>
          <cell r="EG24">
            <v>48</v>
          </cell>
          <cell r="EH24">
            <v>46</v>
          </cell>
          <cell r="EI24">
            <v>273</v>
          </cell>
          <cell r="EJ24">
            <v>427</v>
          </cell>
          <cell r="EK24" t="str">
            <v>Income Taxes (Benefit)</v>
          </cell>
          <cell r="EL24">
            <v>74.646000000000001</v>
          </cell>
          <cell r="EM24">
            <v>89</v>
          </cell>
          <cell r="EN24">
            <v>202.76258992805757</v>
          </cell>
          <cell r="EO24">
            <v>399</v>
          </cell>
          <cell r="EP24">
            <v>765.40858992805761</v>
          </cell>
          <cell r="ER24">
            <v>-44</v>
          </cell>
          <cell r="ES24">
            <v>114.75</v>
          </cell>
          <cell r="ET24">
            <v>10</v>
          </cell>
          <cell r="EU24">
            <v>431</v>
          </cell>
          <cell r="EV24">
            <v>511.75</v>
          </cell>
          <cell r="EX24">
            <v>31</v>
          </cell>
          <cell r="EY24">
            <v>39</v>
          </cell>
          <cell r="EZ24">
            <v>5</v>
          </cell>
          <cell r="FA24">
            <v>414</v>
          </cell>
          <cell r="FB24">
            <v>489</v>
          </cell>
          <cell r="FD24">
            <v>-47</v>
          </cell>
          <cell r="FE24">
            <v>48</v>
          </cell>
          <cell r="FF24">
            <v>-31</v>
          </cell>
          <cell r="FG24">
            <v>-105</v>
          </cell>
          <cell r="FH24">
            <v>-135</v>
          </cell>
          <cell r="FJ24">
            <v>-167</v>
          </cell>
          <cell r="FK24">
            <v>102</v>
          </cell>
          <cell r="FL24">
            <v>-47</v>
          </cell>
          <cell r="FM24">
            <v>290</v>
          </cell>
          <cell r="FN24">
            <v>178</v>
          </cell>
          <cell r="FP24">
            <v>18</v>
          </cell>
          <cell r="FQ24">
            <v>93</v>
          </cell>
          <cell r="FR24">
            <v>3</v>
          </cell>
          <cell r="FS24">
            <v>359</v>
          </cell>
          <cell r="FT24">
            <v>473</v>
          </cell>
          <cell r="FV24">
            <v>83</v>
          </cell>
          <cell r="FW24">
            <v>154</v>
          </cell>
          <cell r="FX24">
            <v>44</v>
          </cell>
          <cell r="FY24">
            <v>431</v>
          </cell>
          <cell r="FZ24">
            <v>712</v>
          </cell>
          <cell r="GB24">
            <v>98</v>
          </cell>
          <cell r="GC24">
            <v>170</v>
          </cell>
          <cell r="GD24">
            <v>64.622347974859736</v>
          </cell>
          <cell r="GE24">
            <v>492.35861092519468</v>
          </cell>
          <cell r="GF24">
            <v>824.98095890005447</v>
          </cell>
          <cell r="GS24" t="str">
            <v>mstag:taxExpenseIncome</v>
          </cell>
          <cell r="GT24">
            <v>6</v>
          </cell>
          <cell r="GU24" t="str">
            <v>ISO4217:USD</v>
          </cell>
          <cell r="GV24" t="b">
            <v>0</v>
          </cell>
          <cell r="GW24" t="b">
            <v>0</v>
          </cell>
        </row>
        <row r="25">
          <cell r="A25" t="str">
            <v>Net Income Before Post-Tax Items</v>
          </cell>
          <cell r="C25">
            <v>-1773.9269999999999</v>
          </cell>
          <cell r="D25">
            <v>-271.44599999999934</v>
          </cell>
          <cell r="E25">
            <v>-1235.9719999999998</v>
          </cell>
          <cell r="F25">
            <v>25.182999999999812</v>
          </cell>
          <cell r="G25">
            <v>132.70800000000062</v>
          </cell>
          <cell r="H25">
            <v>211.03499999999912</v>
          </cell>
          <cell r="I25">
            <v>246.85299999999896</v>
          </cell>
          <cell r="J25">
            <v>1.1401472134972468</v>
          </cell>
          <cell r="K25">
            <v>36.799949999999399</v>
          </cell>
          <cell r="L25">
            <v>148.99099999999899</v>
          </cell>
          <cell r="N25">
            <v>75</v>
          </cell>
          <cell r="O25">
            <v>266</v>
          </cell>
          <cell r="P25">
            <v>575</v>
          </cell>
          <cell r="Q25">
            <v>685</v>
          </cell>
          <cell r="R25">
            <v>825</v>
          </cell>
          <cell r="S25">
            <v>821</v>
          </cell>
          <cell r="T25">
            <v>474</v>
          </cell>
          <cell r="U25">
            <v>638</v>
          </cell>
          <cell r="V25">
            <v>655</v>
          </cell>
          <cell r="W25">
            <v>689</v>
          </cell>
          <cell r="X25">
            <v>1278.5914100719424</v>
          </cell>
          <cell r="Y25">
            <v>863.25</v>
          </cell>
          <cell r="Z25">
            <v>831</v>
          </cell>
          <cell r="AA25">
            <v>579</v>
          </cell>
          <cell r="AB25">
            <v>329</v>
          </cell>
          <cell r="AC25">
            <v>847</v>
          </cell>
          <cell r="AD25">
            <v>1256</v>
          </cell>
          <cell r="AE25">
            <v>1408.3729840730655</v>
          </cell>
          <cell r="AF25">
            <v>1474.1651556723784</v>
          </cell>
          <cell r="AG25">
            <v>1618.7764295278068</v>
          </cell>
          <cell r="AH25">
            <v>1641.1420018455815</v>
          </cell>
          <cell r="AI25">
            <v>1683.4875028271354</v>
          </cell>
          <cell r="AJ25">
            <v>1748.1022306573102</v>
          </cell>
          <cell r="AK25">
            <v>1801.4292273300186</v>
          </cell>
          <cell r="AL25">
            <v>1844.6042441173129</v>
          </cell>
          <cell r="AN25" t="str">
            <v>Net Income Before Post-Tax Items</v>
          </cell>
          <cell r="AO25">
            <v>-99.439999999999898</v>
          </cell>
          <cell r="AP25">
            <v>-126.372</v>
          </cell>
          <cell r="AQ25">
            <v>-86.802000000000035</v>
          </cell>
          <cell r="AR25">
            <v>41.16799999999995</v>
          </cell>
          <cell r="AS25">
            <v>-271.44599999999997</v>
          </cell>
          <cell r="AU25">
            <v>-64.160999999999916</v>
          </cell>
          <cell r="AV25">
            <v>-143.82800000000009</v>
          </cell>
          <cell r="AW25">
            <v>-60.994999999999962</v>
          </cell>
          <cell r="AX25">
            <v>-977.04399999999941</v>
          </cell>
          <cell r="AY25">
            <v>-1246.0279999999993</v>
          </cell>
          <cell r="BA25">
            <v>11.812000000000163</v>
          </cell>
          <cell r="BB25">
            <v>-15.789000000000041</v>
          </cell>
          <cell r="BC25">
            <v>31.581999999999912</v>
          </cell>
          <cell r="BD25">
            <v>105.10300000000005</v>
          </cell>
          <cell r="BE25">
            <v>132.70800000000008</v>
          </cell>
          <cell r="BG25">
            <v>21.700000000000063</v>
          </cell>
          <cell r="BH25">
            <v>8.8529999999999731</v>
          </cell>
          <cell r="BI25">
            <v>34.523999999999958</v>
          </cell>
          <cell r="BJ25">
            <v>145.9579999999998</v>
          </cell>
          <cell r="BK25">
            <v>211.03499999999917</v>
          </cell>
          <cell r="BM25">
            <v>32.222000000000179</v>
          </cell>
          <cell r="BN25">
            <v>3.7719999999998395</v>
          </cell>
          <cell r="BO25">
            <v>44.343000000000011</v>
          </cell>
          <cell r="BP25">
            <v>166.51600000000005</v>
          </cell>
          <cell r="BQ25">
            <v>246.85299999999896</v>
          </cell>
          <cell r="BS25">
            <v>-37.04640000000002</v>
          </cell>
          <cell r="BT25">
            <v>-58.228649999999988</v>
          </cell>
          <cell r="BU25">
            <v>-51.259399999999978</v>
          </cell>
          <cell r="BV25">
            <v>183.33440000000004</v>
          </cell>
          <cell r="BW25">
            <v>36.799949999999342</v>
          </cell>
          <cell r="BY25">
            <v>-56.999000000000279</v>
          </cell>
          <cell r="BZ25">
            <v>-67.174999999999898</v>
          </cell>
          <cell r="CA25">
            <v>21.895999999999734</v>
          </cell>
          <cell r="CB25">
            <v>-68.198000000000221</v>
          </cell>
          <cell r="CC25">
            <v>-46.395000000000152</v>
          </cell>
          <cell r="CD25">
            <v>251.26899999999983</v>
          </cell>
          <cell r="CE25">
            <v>244.64499999999947</v>
          </cell>
          <cell r="CF25">
            <v>148.99099999999893</v>
          </cell>
          <cell r="CG25">
            <v>142.36699999999902</v>
          </cell>
          <cell r="CH25">
            <v>74.168999999998789</v>
          </cell>
          <cell r="CJ25">
            <v>-37.923000000000144</v>
          </cell>
          <cell r="CK25">
            <v>-27.192999999999955</v>
          </cell>
          <cell r="CL25">
            <v>41.801000000000421</v>
          </cell>
          <cell r="CM25">
            <v>289.20199999999966</v>
          </cell>
          <cell r="CN25">
            <v>265.88699999999972</v>
          </cell>
          <cell r="CP25">
            <v>24.059000000000179</v>
          </cell>
          <cell r="CQ25">
            <v>66.370000000000346</v>
          </cell>
          <cell r="CR25">
            <v>105.11400000000003</v>
          </cell>
          <cell r="CS25">
            <v>379.08000000000004</v>
          </cell>
          <cell r="CT25">
            <v>574.62300000000062</v>
          </cell>
          <cell r="CV25">
            <v>60.234000000000002</v>
          </cell>
          <cell r="CW25">
            <v>107</v>
          </cell>
          <cell r="CX25">
            <v>110</v>
          </cell>
          <cell r="CY25">
            <v>408</v>
          </cell>
          <cell r="CZ25">
            <v>685.23400000000004</v>
          </cell>
          <cell r="DB25">
            <v>87</v>
          </cell>
          <cell r="DC25">
            <v>137</v>
          </cell>
          <cell r="DD25">
            <v>123</v>
          </cell>
          <cell r="DE25">
            <v>448</v>
          </cell>
          <cell r="DF25">
            <v>795</v>
          </cell>
          <cell r="DH25">
            <v>118</v>
          </cell>
          <cell r="DI25">
            <v>194</v>
          </cell>
          <cell r="DJ25">
            <v>109</v>
          </cell>
          <cell r="DK25">
            <v>400</v>
          </cell>
          <cell r="DL25">
            <v>821</v>
          </cell>
          <cell r="DN25">
            <v>58</v>
          </cell>
          <cell r="DO25">
            <v>80</v>
          </cell>
          <cell r="DP25">
            <v>26</v>
          </cell>
          <cell r="DQ25">
            <v>310</v>
          </cell>
          <cell r="DR25">
            <v>474</v>
          </cell>
          <cell r="DT25">
            <v>89</v>
          </cell>
          <cell r="DU25">
            <v>133</v>
          </cell>
          <cell r="DV25">
            <v>75</v>
          </cell>
          <cell r="DW25">
            <v>341</v>
          </cell>
          <cell r="DX25">
            <v>638</v>
          </cell>
          <cell r="DZ25">
            <v>46</v>
          </cell>
          <cell r="EA25">
            <v>120</v>
          </cell>
          <cell r="EB25">
            <v>67</v>
          </cell>
          <cell r="EC25">
            <v>422</v>
          </cell>
          <cell r="ED25">
            <v>655</v>
          </cell>
          <cell r="EF25">
            <v>97</v>
          </cell>
          <cell r="EG25">
            <v>78</v>
          </cell>
          <cell r="EH25">
            <v>74</v>
          </cell>
          <cell r="EI25">
            <v>440</v>
          </cell>
          <cell r="EJ25">
            <v>689</v>
          </cell>
          <cell r="EK25" t="str">
            <v>Net Income Before Post-Tax Items</v>
          </cell>
          <cell r="EL25">
            <v>123.354</v>
          </cell>
          <cell r="EM25">
            <v>148</v>
          </cell>
          <cell r="EN25">
            <v>339.23741007194246</v>
          </cell>
          <cell r="EO25">
            <v>668</v>
          </cell>
          <cell r="EP25">
            <v>1278.5914100719424</v>
          </cell>
          <cell r="ER25">
            <v>-74</v>
          </cell>
          <cell r="ES25">
            <v>191.25</v>
          </cell>
          <cell r="ET25">
            <v>20</v>
          </cell>
          <cell r="EU25">
            <v>726</v>
          </cell>
          <cell r="EV25">
            <v>863.25</v>
          </cell>
          <cell r="EX25">
            <v>52</v>
          </cell>
          <cell r="EY25">
            <v>74</v>
          </cell>
          <cell r="EZ25">
            <v>33</v>
          </cell>
          <cell r="FA25">
            <v>672</v>
          </cell>
          <cell r="FB25">
            <v>831</v>
          </cell>
          <cell r="FD25">
            <v>-59</v>
          </cell>
          <cell r="FE25">
            <v>73</v>
          </cell>
          <cell r="FF25">
            <v>-44</v>
          </cell>
          <cell r="FG25">
            <v>609</v>
          </cell>
          <cell r="FH25">
            <v>579</v>
          </cell>
          <cell r="FJ25">
            <v>-88</v>
          </cell>
          <cell r="FK25">
            <v>7</v>
          </cell>
          <cell r="FL25">
            <v>-35</v>
          </cell>
          <cell r="FM25">
            <v>445</v>
          </cell>
          <cell r="FN25">
            <v>329</v>
          </cell>
          <cell r="FP25">
            <v>23</v>
          </cell>
          <cell r="FQ25">
            <v>147</v>
          </cell>
          <cell r="FR25">
            <v>10</v>
          </cell>
          <cell r="FS25">
            <v>667</v>
          </cell>
          <cell r="FT25">
            <v>847</v>
          </cell>
          <cell r="FV25">
            <v>131</v>
          </cell>
          <cell r="FW25">
            <v>241</v>
          </cell>
          <cell r="FX25">
            <v>139</v>
          </cell>
          <cell r="FY25">
            <v>745</v>
          </cell>
          <cell r="FZ25">
            <v>1256</v>
          </cell>
          <cell r="GB25">
            <v>181</v>
          </cell>
          <cell r="GC25">
            <v>279</v>
          </cell>
          <cell r="GD25">
            <v>110.03264655178822</v>
          </cell>
          <cell r="GE25">
            <v>838.34033752127743</v>
          </cell>
          <cell r="GF25">
            <v>1408.3729840730655</v>
          </cell>
        </row>
        <row r="26">
          <cell r="A26" t="str">
            <v>Discontinued Operations Charges (FYins)</v>
          </cell>
          <cell r="N26">
            <v>0</v>
          </cell>
          <cell r="O26">
            <v>0</v>
          </cell>
          <cell r="P26">
            <v>0</v>
          </cell>
          <cell r="Q26">
            <v>0</v>
          </cell>
          <cell r="R26">
            <v>30</v>
          </cell>
          <cell r="S26">
            <v>1005</v>
          </cell>
          <cell r="T26">
            <v>797</v>
          </cell>
          <cell r="U26">
            <v>-180</v>
          </cell>
          <cell r="V26">
            <v>0</v>
          </cell>
          <cell r="W26">
            <v>0</v>
          </cell>
          <cell r="X26">
            <v>-33</v>
          </cell>
          <cell r="Y26">
            <v>-7</v>
          </cell>
          <cell r="Z26">
            <v>16</v>
          </cell>
          <cell r="AA26">
            <v>0</v>
          </cell>
          <cell r="AB26">
            <v>0</v>
          </cell>
          <cell r="AC26">
            <v>0</v>
          </cell>
          <cell r="AD26">
            <v>0</v>
          </cell>
          <cell r="AE26">
            <v>0</v>
          </cell>
          <cell r="AF26">
            <v>0</v>
          </cell>
          <cell r="AG26">
            <v>0</v>
          </cell>
          <cell r="AH26">
            <v>0</v>
          </cell>
          <cell r="AI26">
            <v>0</v>
          </cell>
          <cell r="AJ26">
            <v>0</v>
          </cell>
          <cell r="AK26">
            <v>0</v>
          </cell>
          <cell r="AL26">
            <v>0</v>
          </cell>
          <cell r="AN26" t="str">
            <v>Discontinued Operations Charges (FYins)</v>
          </cell>
          <cell r="DB26">
            <v>0</v>
          </cell>
          <cell r="DC26">
            <v>0</v>
          </cell>
          <cell r="DD26">
            <v>0</v>
          </cell>
          <cell r="DE26">
            <v>0</v>
          </cell>
          <cell r="DF26">
            <v>0</v>
          </cell>
          <cell r="DH26">
            <v>29</v>
          </cell>
          <cell r="DI26">
            <v>131</v>
          </cell>
          <cell r="DJ26">
            <v>777</v>
          </cell>
          <cell r="DK26">
            <v>68</v>
          </cell>
          <cell r="DL26">
            <v>1005</v>
          </cell>
          <cell r="DN26">
            <v>0</v>
          </cell>
          <cell r="DO26">
            <v>14</v>
          </cell>
          <cell r="DP26">
            <v>13</v>
          </cell>
          <cell r="DQ26">
            <v>770</v>
          </cell>
          <cell r="DR26">
            <v>797</v>
          </cell>
          <cell r="DT26">
            <v>0</v>
          </cell>
          <cell r="DU26">
            <v>-149</v>
          </cell>
          <cell r="DV26">
            <v>-31</v>
          </cell>
          <cell r="DW26">
            <v>0</v>
          </cell>
          <cell r="DX26">
            <v>-180</v>
          </cell>
          <cell r="DZ26">
            <v>0</v>
          </cell>
          <cell r="EA26">
            <v>0</v>
          </cell>
          <cell r="EB26">
            <v>0</v>
          </cell>
          <cell r="EC26">
            <v>0</v>
          </cell>
          <cell r="ED26">
            <v>0</v>
          </cell>
          <cell r="EF26">
            <v>0</v>
          </cell>
          <cell r="EG26">
            <v>0</v>
          </cell>
          <cell r="EH26">
            <v>0</v>
          </cell>
          <cell r="EI26">
            <v>0</v>
          </cell>
          <cell r="EJ26">
            <v>0</v>
          </cell>
          <cell r="EK26" t="str">
            <v>Discontinued Operations Charges (FYins)</v>
          </cell>
          <cell r="EL26">
            <v>0</v>
          </cell>
          <cell r="EM26">
            <v>0</v>
          </cell>
          <cell r="EN26">
            <v>-12</v>
          </cell>
          <cell r="EO26">
            <v>-21</v>
          </cell>
          <cell r="EP26">
            <v>-33</v>
          </cell>
          <cell r="ER26">
            <v>-22</v>
          </cell>
          <cell r="ES26">
            <v>-35</v>
          </cell>
          <cell r="ET26">
            <v>23</v>
          </cell>
          <cell r="EU26">
            <v>27</v>
          </cell>
          <cell r="EV26">
            <v>-7</v>
          </cell>
          <cell r="EX26">
            <v>16</v>
          </cell>
          <cell r="EY26">
            <v>0</v>
          </cell>
          <cell r="EZ26">
            <v>0</v>
          </cell>
          <cell r="FA26">
            <v>0</v>
          </cell>
          <cell r="FB26">
            <v>16</v>
          </cell>
          <cell r="FD26">
            <v>0</v>
          </cell>
          <cell r="FE26">
            <v>0</v>
          </cell>
          <cell r="FF26">
            <v>0</v>
          </cell>
          <cell r="FG26">
            <v>0</v>
          </cell>
          <cell r="FH26">
            <v>0</v>
          </cell>
          <cell r="FJ26">
            <v>0</v>
          </cell>
          <cell r="FK26">
            <v>0</v>
          </cell>
          <cell r="FL26">
            <v>0</v>
          </cell>
          <cell r="FM26">
            <v>0</v>
          </cell>
          <cell r="FN26">
            <v>0</v>
          </cell>
          <cell r="FP26">
            <v>0</v>
          </cell>
          <cell r="FQ26">
            <v>0</v>
          </cell>
          <cell r="FR26">
            <v>0</v>
          </cell>
          <cell r="FS26">
            <v>0</v>
          </cell>
          <cell r="FT26">
            <v>0</v>
          </cell>
          <cell r="FV26">
            <v>0</v>
          </cell>
          <cell r="FW26">
            <v>0</v>
          </cell>
          <cell r="FX26">
            <v>0</v>
          </cell>
          <cell r="FY26">
            <v>0</v>
          </cell>
          <cell r="FZ26">
            <v>0</v>
          </cell>
          <cell r="GB26">
            <v>0</v>
          </cell>
          <cell r="GC26">
            <v>0</v>
          </cell>
          <cell r="GD26">
            <v>0</v>
          </cell>
          <cell r="GE26">
            <v>0</v>
          </cell>
          <cell r="GF26">
            <v>0</v>
          </cell>
          <cell r="GS26" t="str">
            <v>mstag:incomeLossFromDiscontinuedOperationsNetOfTax</v>
          </cell>
          <cell r="GT26">
            <v>6</v>
          </cell>
          <cell r="GU26" t="str">
            <v>ISO4217:USD</v>
          </cell>
          <cell r="GV26" t="b">
            <v>1</v>
          </cell>
          <cell r="GW26" t="b">
            <v>0</v>
          </cell>
        </row>
        <row r="27">
          <cell r="A27" t="str">
            <v>Post-Tax Extraordinary Charges (FYins)</v>
          </cell>
          <cell r="C27">
            <v>0</v>
          </cell>
          <cell r="D27">
            <v>0</v>
          </cell>
          <cell r="E27">
            <v>2072.364</v>
          </cell>
          <cell r="F27">
            <v>0</v>
          </cell>
          <cell r="G27">
            <v>-19.698999999999998</v>
          </cell>
          <cell r="H27">
            <v>-17.786999999999999</v>
          </cell>
          <cell r="I27">
            <v>0</v>
          </cell>
          <cell r="K27">
            <v>0</v>
          </cell>
          <cell r="L27">
            <v>0</v>
          </cell>
          <cell r="N27">
            <v>0</v>
          </cell>
          <cell r="O27">
            <v>0</v>
          </cell>
          <cell r="P27">
            <v>39</v>
          </cell>
          <cell r="Q27">
            <v>23</v>
          </cell>
          <cell r="R27">
            <v>0</v>
          </cell>
          <cell r="S27">
            <v>0</v>
          </cell>
          <cell r="T27">
            <v>-47</v>
          </cell>
          <cell r="U27">
            <v>0</v>
          </cell>
          <cell r="V27">
            <v>-38</v>
          </cell>
          <cell r="W27">
            <v>0</v>
          </cell>
          <cell r="X27">
            <v>-95</v>
          </cell>
          <cell r="Y27">
            <v>-124.625</v>
          </cell>
          <cell r="Z27">
            <v>-78</v>
          </cell>
          <cell r="AA27">
            <v>5382</v>
          </cell>
          <cell r="AB27">
            <v>0</v>
          </cell>
          <cell r="AC27">
            <v>41.4</v>
          </cell>
          <cell r="AD27">
            <v>0</v>
          </cell>
          <cell r="AE27">
            <v>0</v>
          </cell>
          <cell r="AF27">
            <v>0</v>
          </cell>
          <cell r="AG27">
            <v>0</v>
          </cell>
          <cell r="AH27">
            <v>0</v>
          </cell>
          <cell r="AI27">
            <v>0</v>
          </cell>
          <cell r="AJ27">
            <v>0</v>
          </cell>
          <cell r="AK27">
            <v>0</v>
          </cell>
          <cell r="AL27">
            <v>0</v>
          </cell>
          <cell r="AN27" t="str">
            <v>Post-Tax Extraordinary Charges (FYins)</v>
          </cell>
          <cell r="AO27">
            <v>0</v>
          </cell>
          <cell r="AP27">
            <v>0</v>
          </cell>
          <cell r="AQ27">
            <v>0</v>
          </cell>
          <cell r="AR27">
            <v>0</v>
          </cell>
          <cell r="AS27">
            <v>0</v>
          </cell>
          <cell r="AU27">
            <v>0</v>
          </cell>
          <cell r="AV27">
            <v>0</v>
          </cell>
          <cell r="AW27">
            <v>0</v>
          </cell>
          <cell r="AX27">
            <v>2165.5149999999999</v>
          </cell>
          <cell r="AY27">
            <v>2165.5149999999999</v>
          </cell>
          <cell r="BA27">
            <v>0</v>
          </cell>
          <cell r="BB27">
            <v>-13.574</v>
          </cell>
          <cell r="BC27">
            <v>0</v>
          </cell>
          <cell r="BD27">
            <v>-6.125</v>
          </cell>
          <cell r="BE27">
            <v>-19.698999999999998</v>
          </cell>
          <cell r="BG27">
            <v>-3.5449999999999999</v>
          </cell>
          <cell r="BH27">
            <v>0</v>
          </cell>
          <cell r="BI27">
            <v>-14.242000000000001</v>
          </cell>
          <cell r="BJ27">
            <v>0</v>
          </cell>
          <cell r="BK27">
            <v>-17.786999999999999</v>
          </cell>
          <cell r="BM27">
            <v>0</v>
          </cell>
          <cell r="BN27">
            <v>0</v>
          </cell>
          <cell r="BO27">
            <v>0</v>
          </cell>
          <cell r="BP27">
            <v>0</v>
          </cell>
          <cell r="BQ27">
            <v>0</v>
          </cell>
          <cell r="BS27">
            <v>0</v>
          </cell>
          <cell r="BT27">
            <v>0</v>
          </cell>
          <cell r="BU27">
            <v>0</v>
          </cell>
          <cell r="BV27">
            <v>0</v>
          </cell>
          <cell r="BW27">
            <v>0</v>
          </cell>
          <cell r="BY27">
            <v>0</v>
          </cell>
          <cell r="BZ27">
            <v>0</v>
          </cell>
          <cell r="CA27">
            <v>0</v>
          </cell>
          <cell r="CB27">
            <v>0</v>
          </cell>
          <cell r="CC27">
            <v>0</v>
          </cell>
          <cell r="CD27">
            <v>0</v>
          </cell>
          <cell r="CE27">
            <v>0</v>
          </cell>
          <cell r="CF27">
            <v>0</v>
          </cell>
          <cell r="CG27">
            <v>0</v>
          </cell>
          <cell r="CH27">
            <v>0</v>
          </cell>
          <cell r="CJ27">
            <v>0</v>
          </cell>
          <cell r="CK27">
            <v>0</v>
          </cell>
          <cell r="CL27">
            <v>0</v>
          </cell>
          <cell r="CM27">
            <v>0</v>
          </cell>
          <cell r="CN27">
            <v>0</v>
          </cell>
          <cell r="CP27">
            <v>0</v>
          </cell>
          <cell r="CQ27">
            <v>-38.673000000000002</v>
          </cell>
          <cell r="CR27">
            <v>0</v>
          </cell>
          <cell r="CS27">
            <v>0</v>
          </cell>
          <cell r="CT27">
            <v>-38.673000000000002</v>
          </cell>
          <cell r="CV27">
            <v>0</v>
          </cell>
          <cell r="CW27">
            <v>0</v>
          </cell>
          <cell r="CX27">
            <v>23</v>
          </cell>
          <cell r="CY27">
            <v>0</v>
          </cell>
          <cell r="CZ27">
            <v>23</v>
          </cell>
          <cell r="DB27">
            <v>0</v>
          </cell>
          <cell r="DC27">
            <v>0</v>
          </cell>
          <cell r="DD27">
            <v>0</v>
          </cell>
          <cell r="DE27">
            <v>0</v>
          </cell>
          <cell r="DF27">
            <v>0</v>
          </cell>
          <cell r="DH27">
            <v>0</v>
          </cell>
          <cell r="DI27">
            <v>0</v>
          </cell>
          <cell r="DJ27">
            <v>0</v>
          </cell>
          <cell r="DK27">
            <v>0</v>
          </cell>
          <cell r="DL27">
            <v>0</v>
          </cell>
          <cell r="DN27">
            <v>0</v>
          </cell>
          <cell r="DO27">
            <v>-44</v>
          </cell>
          <cell r="DP27">
            <v>10</v>
          </cell>
          <cell r="DQ27">
            <v>-13</v>
          </cell>
          <cell r="DR27">
            <v>-47</v>
          </cell>
          <cell r="DT27">
            <v>0</v>
          </cell>
          <cell r="DU27">
            <v>0</v>
          </cell>
          <cell r="DV27">
            <v>0</v>
          </cell>
          <cell r="DW27">
            <v>0</v>
          </cell>
          <cell r="DX27">
            <v>0</v>
          </cell>
          <cell r="DZ27">
            <v>0</v>
          </cell>
          <cell r="EA27">
            <v>0</v>
          </cell>
          <cell r="EB27">
            <v>0</v>
          </cell>
          <cell r="EC27">
            <v>-38</v>
          </cell>
          <cell r="ED27">
            <v>-38</v>
          </cell>
          <cell r="EF27">
            <v>0</v>
          </cell>
          <cell r="EG27">
            <v>0</v>
          </cell>
          <cell r="EH27">
            <v>0</v>
          </cell>
          <cell r="EI27">
            <v>0</v>
          </cell>
          <cell r="EJ27">
            <v>0</v>
          </cell>
          <cell r="EK27" t="str">
            <v>Post-Tax Extraordinary Charges (FYins)</v>
          </cell>
          <cell r="EL27">
            <v>0</v>
          </cell>
          <cell r="EM27">
            <v>0</v>
          </cell>
          <cell r="EN27">
            <v>-85</v>
          </cell>
          <cell r="EO27">
            <v>-10</v>
          </cell>
          <cell r="EP27">
            <v>-95</v>
          </cell>
          <cell r="ER27">
            <v>0</v>
          </cell>
          <cell r="ES27">
            <v>-90.625</v>
          </cell>
          <cell r="ET27">
            <v>0</v>
          </cell>
          <cell r="EU27">
            <v>-34</v>
          </cell>
          <cell r="EV27">
            <v>-124.625</v>
          </cell>
          <cell r="EX27">
            <v>0</v>
          </cell>
          <cell r="EY27">
            <v>0</v>
          </cell>
          <cell r="EZ27">
            <v>0</v>
          </cell>
          <cell r="FA27">
            <v>-78</v>
          </cell>
          <cell r="FB27">
            <v>-78</v>
          </cell>
          <cell r="FD27">
            <v>0</v>
          </cell>
          <cell r="FE27">
            <v>0</v>
          </cell>
          <cell r="FF27">
            <v>0</v>
          </cell>
          <cell r="FG27">
            <v>5382</v>
          </cell>
          <cell r="FH27">
            <v>5382</v>
          </cell>
          <cell r="FJ27">
            <v>0</v>
          </cell>
          <cell r="FK27">
            <v>0</v>
          </cell>
          <cell r="FL27">
            <v>0</v>
          </cell>
          <cell r="FM27">
            <v>0</v>
          </cell>
          <cell r="FN27">
            <v>0</v>
          </cell>
          <cell r="FP27">
            <v>17</v>
          </cell>
          <cell r="FQ27">
            <v>0</v>
          </cell>
          <cell r="FR27">
            <v>24.4</v>
          </cell>
          <cell r="FS27">
            <v>0</v>
          </cell>
          <cell r="FT27">
            <v>41.4</v>
          </cell>
          <cell r="FV27">
            <v>0</v>
          </cell>
          <cell r="FW27">
            <v>0</v>
          </cell>
          <cell r="FX27">
            <v>0</v>
          </cell>
          <cell r="FY27">
            <v>0</v>
          </cell>
          <cell r="FZ27">
            <v>0</v>
          </cell>
          <cell r="GB27">
            <v>0</v>
          </cell>
          <cell r="GC27">
            <v>0</v>
          </cell>
          <cell r="GD27">
            <v>0</v>
          </cell>
          <cell r="GE27">
            <v>0</v>
          </cell>
          <cell r="GF27">
            <v>0</v>
          </cell>
        </row>
        <row r="28">
          <cell r="A28" t="str">
            <v>Net Income, Reported</v>
          </cell>
          <cell r="C28">
            <v>-1773.9269999999999</v>
          </cell>
          <cell r="D28">
            <v>-271.44599999999934</v>
          </cell>
          <cell r="E28">
            <v>836.39200000000028</v>
          </cell>
          <cell r="F28">
            <v>25.182999999999812</v>
          </cell>
          <cell r="G28">
            <v>113.00900000000063</v>
          </cell>
          <cell r="H28">
            <v>193.24799999999911</v>
          </cell>
          <cell r="I28">
            <v>246.85299999999896</v>
          </cell>
          <cell r="K28">
            <v>36.799949999999399</v>
          </cell>
          <cell r="L28">
            <v>148.99099999999899</v>
          </cell>
          <cell r="N28">
            <v>75</v>
          </cell>
          <cell r="O28">
            <v>266</v>
          </cell>
          <cell r="P28">
            <v>536</v>
          </cell>
          <cell r="Q28">
            <v>662</v>
          </cell>
          <cell r="R28">
            <v>795</v>
          </cell>
          <cell r="S28">
            <v>-184</v>
          </cell>
          <cell r="T28">
            <v>-276</v>
          </cell>
          <cell r="U28">
            <v>818</v>
          </cell>
          <cell r="V28">
            <v>693</v>
          </cell>
          <cell r="W28">
            <v>689</v>
          </cell>
          <cell r="X28">
            <v>1406.5914100719424</v>
          </cell>
          <cell r="Y28">
            <v>994.875</v>
          </cell>
          <cell r="Z28">
            <v>893</v>
          </cell>
          <cell r="AA28">
            <v>-4803</v>
          </cell>
          <cell r="AB28">
            <v>329</v>
          </cell>
          <cell r="AC28">
            <v>805.6</v>
          </cell>
          <cell r="AD28">
            <v>1256</v>
          </cell>
          <cell r="AE28">
            <v>1408.3729840730655</v>
          </cell>
          <cell r="AF28">
            <v>1474.1651556723784</v>
          </cell>
          <cell r="AG28">
            <v>1618.7764295278068</v>
          </cell>
          <cell r="AH28">
            <v>1641.1420018455815</v>
          </cell>
          <cell r="AI28">
            <v>1683.4875028271354</v>
          </cell>
          <cell r="AJ28">
            <v>1748.1022306573102</v>
          </cell>
          <cell r="AK28">
            <v>1801.4292273300186</v>
          </cell>
          <cell r="AL28">
            <v>1844.6042441173129</v>
          </cell>
          <cell r="AN28" t="str">
            <v>Net Income, Reported</v>
          </cell>
          <cell r="AO28">
            <v>-99.439999999999898</v>
          </cell>
          <cell r="AP28">
            <v>-126.372</v>
          </cell>
          <cell r="AQ28">
            <v>-86.802000000000035</v>
          </cell>
          <cell r="AR28">
            <v>41.16799999999995</v>
          </cell>
          <cell r="AS28">
            <v>-271.44599999999997</v>
          </cell>
          <cell r="AU28">
            <v>-64.160999999999916</v>
          </cell>
          <cell r="AV28">
            <v>-143.82800000000009</v>
          </cell>
          <cell r="AW28">
            <v>-60.994999999999962</v>
          </cell>
          <cell r="AX28">
            <v>-3142.5589999999993</v>
          </cell>
          <cell r="AY28">
            <v>-3411.5429999999992</v>
          </cell>
          <cell r="BA28">
            <v>11.812000000000163</v>
          </cell>
          <cell r="BB28">
            <v>-2.2150000000000407</v>
          </cell>
          <cell r="BC28">
            <v>31.581999999999912</v>
          </cell>
          <cell r="BD28">
            <v>111.22800000000005</v>
          </cell>
          <cell r="BE28">
            <v>152.4070000000001</v>
          </cell>
          <cell r="BG28">
            <v>25.245000000000061</v>
          </cell>
          <cell r="BH28">
            <v>8.8529999999999731</v>
          </cell>
          <cell r="BI28">
            <v>48.765999999999963</v>
          </cell>
          <cell r="BJ28">
            <v>145.9579999999998</v>
          </cell>
          <cell r="BK28">
            <v>228.82199999999918</v>
          </cell>
          <cell r="BM28">
            <v>32.222000000000179</v>
          </cell>
          <cell r="BN28">
            <v>3.7719999999998395</v>
          </cell>
          <cell r="BO28">
            <v>44.343000000000011</v>
          </cell>
          <cell r="BP28">
            <v>166.51600000000005</v>
          </cell>
          <cell r="BQ28">
            <v>246.85299999999896</v>
          </cell>
          <cell r="BS28">
            <v>-37.04640000000002</v>
          </cell>
          <cell r="BT28">
            <v>-58.228649999999988</v>
          </cell>
          <cell r="BU28">
            <v>-51.259399999999978</v>
          </cell>
          <cell r="BV28">
            <v>183.33440000000004</v>
          </cell>
          <cell r="BW28">
            <v>36.799949999999342</v>
          </cell>
          <cell r="BY28">
            <v>-56.999000000000279</v>
          </cell>
          <cell r="BZ28">
            <v>-67.174999999999898</v>
          </cell>
          <cell r="CA28">
            <v>21.895999999999734</v>
          </cell>
          <cell r="CB28">
            <v>-68.198000000000221</v>
          </cell>
          <cell r="CC28">
            <v>-46.395000000000152</v>
          </cell>
          <cell r="CD28">
            <v>251.26899999999983</v>
          </cell>
          <cell r="CE28">
            <v>244.64499999999947</v>
          </cell>
          <cell r="CF28">
            <v>148.99099999999893</v>
          </cell>
          <cell r="CG28">
            <v>142.36699999999902</v>
          </cell>
          <cell r="CH28">
            <v>74.168999999998789</v>
          </cell>
          <cell r="CJ28">
            <v>-37.923000000000144</v>
          </cell>
          <cell r="CK28">
            <v>-27.192999999999955</v>
          </cell>
          <cell r="CL28">
            <v>41.801000000000421</v>
          </cell>
          <cell r="CM28">
            <v>289.20199999999966</v>
          </cell>
          <cell r="CN28">
            <v>265.88699999999972</v>
          </cell>
          <cell r="CP28">
            <v>24.059000000000179</v>
          </cell>
          <cell r="CQ28">
            <v>105.04300000000035</v>
          </cell>
          <cell r="CR28">
            <v>105.11400000000003</v>
          </cell>
          <cell r="CS28">
            <v>379.08000000000004</v>
          </cell>
          <cell r="CT28">
            <v>613.29600000000062</v>
          </cell>
          <cell r="CV28">
            <v>60.234000000000002</v>
          </cell>
          <cell r="CW28">
            <v>107</v>
          </cell>
          <cell r="CX28">
            <v>87</v>
          </cell>
          <cell r="CY28">
            <v>408</v>
          </cell>
          <cell r="CZ28">
            <v>662.23400000000004</v>
          </cell>
          <cell r="DB28">
            <v>87</v>
          </cell>
          <cell r="DC28">
            <v>137</v>
          </cell>
          <cell r="DD28">
            <v>123</v>
          </cell>
          <cell r="DE28">
            <v>448</v>
          </cell>
          <cell r="DF28">
            <v>795</v>
          </cell>
          <cell r="DH28">
            <v>89</v>
          </cell>
          <cell r="DI28">
            <v>63</v>
          </cell>
          <cell r="DJ28">
            <v>-668</v>
          </cell>
          <cell r="DK28">
            <v>332</v>
          </cell>
          <cell r="DL28">
            <v>-184</v>
          </cell>
          <cell r="DN28">
            <v>58</v>
          </cell>
          <cell r="DO28">
            <v>110</v>
          </cell>
          <cell r="DP28">
            <v>3</v>
          </cell>
          <cell r="DQ28">
            <v>-447</v>
          </cell>
          <cell r="DR28">
            <v>-276</v>
          </cell>
          <cell r="DT28">
            <v>89</v>
          </cell>
          <cell r="DU28">
            <v>282</v>
          </cell>
          <cell r="DV28">
            <v>106</v>
          </cell>
          <cell r="DW28">
            <v>341</v>
          </cell>
          <cell r="DX28">
            <v>818</v>
          </cell>
          <cell r="DZ28">
            <v>46</v>
          </cell>
          <cell r="EA28">
            <v>120</v>
          </cell>
          <cell r="EB28">
            <v>67</v>
          </cell>
          <cell r="EC28">
            <v>460</v>
          </cell>
          <cell r="ED28">
            <v>693</v>
          </cell>
          <cell r="EF28">
            <v>97</v>
          </cell>
          <cell r="EG28">
            <v>78</v>
          </cell>
          <cell r="EH28">
            <v>74</v>
          </cell>
          <cell r="EI28">
            <v>440</v>
          </cell>
          <cell r="EJ28">
            <v>689</v>
          </cell>
          <cell r="EK28" t="str">
            <v>Net Income, Reported</v>
          </cell>
          <cell r="EL28">
            <v>123.354</v>
          </cell>
          <cell r="EM28">
            <v>148</v>
          </cell>
          <cell r="EN28">
            <v>436.23741007194246</v>
          </cell>
          <cell r="EO28">
            <v>699</v>
          </cell>
          <cell r="EP28">
            <v>1406.5914100719424</v>
          </cell>
          <cell r="ER28">
            <v>-52</v>
          </cell>
          <cell r="ES28">
            <v>316.875</v>
          </cell>
          <cell r="ET28">
            <v>-3</v>
          </cell>
          <cell r="EU28">
            <v>733</v>
          </cell>
          <cell r="EV28">
            <v>994.875</v>
          </cell>
          <cell r="EX28">
            <v>36</v>
          </cell>
          <cell r="EY28">
            <v>74</v>
          </cell>
          <cell r="EZ28">
            <v>33</v>
          </cell>
          <cell r="FA28">
            <v>750</v>
          </cell>
          <cell r="FB28">
            <v>893</v>
          </cell>
          <cell r="FD28">
            <v>-59</v>
          </cell>
          <cell r="FE28">
            <v>73</v>
          </cell>
          <cell r="FF28">
            <v>-44</v>
          </cell>
          <cell r="FG28">
            <v>-4773</v>
          </cell>
          <cell r="FH28">
            <v>-4803</v>
          </cell>
          <cell r="FJ28">
            <v>-88</v>
          </cell>
          <cell r="FK28">
            <v>7</v>
          </cell>
          <cell r="FL28">
            <v>-35</v>
          </cell>
          <cell r="FM28">
            <v>445</v>
          </cell>
          <cell r="FN28">
            <v>329</v>
          </cell>
          <cell r="FP28">
            <v>23</v>
          </cell>
          <cell r="FQ28">
            <v>147</v>
          </cell>
          <cell r="FR28">
            <v>10</v>
          </cell>
          <cell r="FS28">
            <v>667</v>
          </cell>
          <cell r="FT28">
            <v>847</v>
          </cell>
          <cell r="FV28">
            <v>131</v>
          </cell>
          <cell r="FW28">
            <v>241</v>
          </cell>
          <cell r="FX28">
            <v>139</v>
          </cell>
          <cell r="FY28">
            <v>745</v>
          </cell>
          <cell r="FZ28">
            <v>1256</v>
          </cell>
          <cell r="GB28">
            <v>181</v>
          </cell>
          <cell r="GC28">
            <v>279</v>
          </cell>
          <cell r="GD28">
            <v>110.03264655178822</v>
          </cell>
          <cell r="GE28">
            <v>838.34033752127743</v>
          </cell>
          <cell r="GF28">
            <v>1408.3729840730655</v>
          </cell>
          <cell r="GS28" t="str">
            <v>mstag:netIncomeAsReported</v>
          </cell>
          <cell r="GT28">
            <v>6</v>
          </cell>
          <cell r="GU28" t="str">
            <v>ISO4217:USD</v>
          </cell>
          <cell r="GV28" t="b">
            <v>0</v>
          </cell>
        </row>
        <row r="30">
          <cell r="A30" t="str">
            <v>EPS, Before All Extraordinary Items</v>
          </cell>
          <cell r="C30" t="str">
            <v xml:space="preserve">--  </v>
          </cell>
          <cell r="D30" t="str">
            <v xml:space="preserve">--  </v>
          </cell>
          <cell r="E30" t="str">
            <v xml:space="preserve">--  </v>
          </cell>
          <cell r="F30">
            <v>0.22616075437808544</v>
          </cell>
          <cell r="G30">
            <v>1.0148989672204816</v>
          </cell>
          <cell r="H30">
            <v>1.5301560656568385</v>
          </cell>
          <cell r="I30">
            <v>1.9499735372413873</v>
          </cell>
          <cell r="K30">
            <v>0.20197557628978816</v>
          </cell>
          <cell r="L30">
            <v>0.81437207573570658</v>
          </cell>
          <cell r="N30">
            <v>0.19396284189183596</v>
          </cell>
          <cell r="O30">
            <v>0.59802158273381312</v>
          </cell>
          <cell r="P30">
            <v>1.2657726276118944</v>
          </cell>
          <cell r="Q30">
            <v>1.5161575918548031</v>
          </cell>
          <cell r="R30">
            <v>1.8784153005464481</v>
          </cell>
          <cell r="S30">
            <v>2.100160980880764</v>
          </cell>
          <cell r="T30">
            <v>1.6014336365037769</v>
          </cell>
          <cell r="U30">
            <v>1.7093897259149216</v>
          </cell>
          <cell r="V30">
            <v>1.8506172802885585</v>
          </cell>
          <cell r="W30">
            <v>2.2069208613414109</v>
          </cell>
          <cell r="X30">
            <v>2.5058780966631615</v>
          </cell>
          <cell r="Y30">
            <v>2.0770614304446693</v>
          </cell>
          <cell r="Z30">
            <v>2.129219701162147</v>
          </cell>
          <cell r="AA30">
            <v>1.2932312985703269</v>
          </cell>
          <cell r="AB30">
            <v>1.3637977980348048</v>
          </cell>
          <cell r="AC30">
            <v>2.1076672104404568</v>
          </cell>
          <cell r="AD30">
            <v>2.879879182156134</v>
          </cell>
          <cell r="AE30">
            <v>3.4254564468311228</v>
          </cell>
          <cell r="AF30">
            <v>3.9453943917559142</v>
          </cell>
          <cell r="AG30">
            <v>4.7983581094155907</v>
          </cell>
          <cell r="AH30">
            <v>5.2958753573867723</v>
          </cell>
          <cell r="AI30">
            <v>5.6959829769682733</v>
          </cell>
          <cell r="AJ30">
            <v>6.1538937066977288</v>
          </cell>
          <cell r="AK30">
            <v>6.8001516881883797</v>
          </cell>
          <cell r="AL30">
            <v>7.5529335978779351</v>
          </cell>
          <cell r="AN30" t="str">
            <v>EPS, Before All Extraordinary Items</v>
          </cell>
          <cell r="AO30">
            <v>-1.2429999999999988</v>
          </cell>
          <cell r="AP30">
            <v>-1.57965</v>
          </cell>
          <cell r="AQ30">
            <v>-1.0850250000000004</v>
          </cell>
          <cell r="AR30">
            <v>0.51459999999999939</v>
          </cell>
          <cell r="AS30">
            <v>-3.3930749999999996</v>
          </cell>
          <cell r="AU30">
            <v>-0.80231336751281623</v>
          </cell>
          <cell r="AV30">
            <v>-1.7985244466675014</v>
          </cell>
          <cell r="AW30">
            <v>-0.7627235213204947</v>
          </cell>
          <cell r="AX30">
            <v>-39.296723771414271</v>
          </cell>
          <cell r="AY30">
            <v>-42.660285106915083</v>
          </cell>
          <cell r="BA30">
            <v>0.14770538952107243</v>
          </cell>
          <cell r="BB30">
            <v>-1.9535728775290969E-2</v>
          </cell>
          <cell r="BC30">
            <v>0.25065079365079296</v>
          </cell>
          <cell r="BD30">
            <v>0.88256577903323108</v>
          </cell>
          <cell r="BE30">
            <v>1.3687202514593633</v>
          </cell>
          <cell r="BG30">
            <v>0.20002535476867783</v>
          </cell>
          <cell r="BH30">
            <v>7.0090017338431732E-2</v>
          </cell>
          <cell r="BI30">
            <v>0.38607880548804113</v>
          </cell>
          <cell r="BJ30">
            <v>1.1552976934888934</v>
          </cell>
          <cell r="BK30">
            <v>1.8118343851203089</v>
          </cell>
          <cell r="BM30">
            <v>0.25479187753036581</v>
          </cell>
          <cell r="BN30">
            <v>2.9799807233483223E-2</v>
          </cell>
          <cell r="BO30">
            <v>0.3502606635071091</v>
          </cell>
          <cell r="BP30">
            <v>1.3138393561622224</v>
          </cell>
          <cell r="BQ30">
            <v>1.9499735372413873</v>
          </cell>
          <cell r="BS30">
            <v>-0.20332821075740956</v>
          </cell>
          <cell r="BT30">
            <v>-0.31958644346871568</v>
          </cell>
          <cell r="BU30">
            <v>-0.28133589462129516</v>
          </cell>
          <cell r="BV30">
            <v>1.0062261251372122</v>
          </cell>
          <cell r="BW30">
            <v>0.20197557628978785</v>
          </cell>
          <cell r="BY30">
            <v>-0.31201213036862024</v>
          </cell>
          <cell r="BZ30">
            <v>-0.36741781983263083</v>
          </cell>
          <cell r="CA30">
            <v>0.11965027322404226</v>
          </cell>
          <cell r="CB30">
            <v>-0.34615287005689976</v>
          </cell>
          <cell r="CC30">
            <v>-0.23548729297471871</v>
          </cell>
          <cell r="CD30">
            <v>1.3712712428644704</v>
          </cell>
          <cell r="CE30">
            <v>1.207342410588703</v>
          </cell>
          <cell r="CF30">
            <v>0.81437207573570625</v>
          </cell>
          <cell r="CG30">
            <v>0.7435356421009699</v>
          </cell>
          <cell r="CH30">
            <v>0.38729941567494397</v>
          </cell>
          <cell r="CJ30">
            <v>-0.18345991969425834</v>
          </cell>
          <cell r="CK30">
            <v>-0.13094773743998667</v>
          </cell>
          <cell r="CL30">
            <v>0.19647851243942646</v>
          </cell>
          <cell r="CM30">
            <v>1.295707885304658</v>
          </cell>
          <cell r="CN30">
            <v>1.1955350719424447</v>
          </cell>
          <cell r="CP30">
            <v>0.11263576779026301</v>
          </cell>
          <cell r="CQ30">
            <v>0.29367256637168293</v>
          </cell>
          <cell r="CR30">
            <v>0.46448961555457374</v>
          </cell>
          <cell r="CS30">
            <v>1.6504702194357368</v>
          </cell>
          <cell r="CT30">
            <v>2.5298854420738444</v>
          </cell>
          <cell r="CV30">
            <v>0.26007772020725389</v>
          </cell>
          <cell r="CW30">
            <v>0.4604130808950086</v>
          </cell>
          <cell r="CX30">
            <v>0.48076923076923067</v>
          </cell>
          <cell r="CY30">
            <v>1.8793182865039153</v>
          </cell>
          <cell r="CZ30">
            <v>3.0333510402833115</v>
          </cell>
          <cell r="DB30">
            <v>0.20101663585951943</v>
          </cell>
          <cell r="DC30">
            <v>0.30869761153672826</v>
          </cell>
          <cell r="DD30">
            <v>0.27967257844474763</v>
          </cell>
          <cell r="DE30">
            <v>1.0186448385629832</v>
          </cell>
          <cell r="DF30">
            <v>1.8103153819879312</v>
          </cell>
          <cell r="DH30">
            <v>0.27276930189551551</v>
          </cell>
          <cell r="DI30">
            <v>0.46522781774580335</v>
          </cell>
          <cell r="DJ30">
            <v>0.27100944803580307</v>
          </cell>
          <cell r="DK30">
            <v>1.1121316908003744</v>
          </cell>
          <cell r="DL30">
            <v>2.100160980880764</v>
          </cell>
          <cell r="DN30">
            <v>0.21597256246937779</v>
          </cell>
          <cell r="DO30">
            <v>0.26126326727529131</v>
          </cell>
          <cell r="DP30">
            <v>0.11037133026498057</v>
          </cell>
          <cell r="DQ30">
            <v>1.0059098707159446</v>
          </cell>
          <cell r="DR30">
            <v>1.6014336365037769</v>
          </cell>
          <cell r="DT30">
            <v>0.21813725490196079</v>
          </cell>
          <cell r="DU30">
            <v>0.32678132678132676</v>
          </cell>
          <cell r="DV30">
            <v>0.19142419601837671</v>
          </cell>
          <cell r="DW30">
            <v>0.99768531377886427</v>
          </cell>
          <cell r="DX30">
            <v>1.7093897259149216</v>
          </cell>
          <cell r="DZ30">
            <v>0.13414803499513958</v>
          </cell>
          <cell r="EA30">
            <v>0.3366189923978869</v>
          </cell>
          <cell r="EB30">
            <v>0.22710881606277405</v>
          </cell>
          <cell r="EC30">
            <v>1.1671164307843058</v>
          </cell>
          <cell r="ED30">
            <v>1.8506172802885585</v>
          </cell>
          <cell r="EF30">
            <v>0.29516518323340046</v>
          </cell>
          <cell r="EG30">
            <v>0.36734693877551022</v>
          </cell>
          <cell r="EH30">
            <v>0.27580275229357798</v>
          </cell>
          <cell r="EI30">
            <v>1.2993690266609828</v>
          </cell>
          <cell r="EJ30">
            <v>2.2069208613414109</v>
          </cell>
          <cell r="EK30" t="str">
            <v>EPS, Before All Extraordinary Items</v>
          </cell>
          <cell r="EL30">
            <v>0.35692708333333328</v>
          </cell>
          <cell r="EM30">
            <v>0.42117245304496292</v>
          </cell>
          <cell r="EN30">
            <v>0.1606847608789124</v>
          </cell>
          <cell r="EO30">
            <v>1.3341216109951204</v>
          </cell>
          <cell r="EP30">
            <v>2.5058780966631615</v>
          </cell>
          <cell r="ER30">
            <v>1.2362553915314987E-2</v>
          </cell>
          <cell r="ES30">
            <v>0.32635908440629469</v>
          </cell>
          <cell r="ET30">
            <v>0.20415978662787176</v>
          </cell>
          <cell r="EU30">
            <v>1.5983670475799727</v>
          </cell>
          <cell r="EV30">
            <v>2.0770614304446693</v>
          </cell>
          <cell r="EX30">
            <v>0.16</v>
          </cell>
          <cell r="EY30">
            <v>0.34</v>
          </cell>
          <cell r="EZ30">
            <v>0.08</v>
          </cell>
          <cell r="FA30">
            <v>1.67</v>
          </cell>
          <cell r="FB30">
            <v>2.129219701162147</v>
          </cell>
          <cell r="FD30">
            <v>0.01</v>
          </cell>
          <cell r="FE30">
            <v>0.28999999999999998</v>
          </cell>
          <cell r="FF30">
            <v>-0.08</v>
          </cell>
          <cell r="FG30">
            <v>1.06</v>
          </cell>
          <cell r="FH30">
            <v>1.2932312985703269</v>
          </cell>
          <cell r="FJ30">
            <v>-0.16</v>
          </cell>
          <cell r="FK30">
            <v>0.2</v>
          </cell>
          <cell r="FL30">
            <v>-0.03</v>
          </cell>
          <cell r="FM30">
            <v>1.35</v>
          </cell>
          <cell r="FN30">
            <v>1.3637977980348048</v>
          </cell>
          <cell r="FP30">
            <v>9.3852651337400284E-2</v>
          </cell>
          <cell r="FQ30">
            <v>0.35</v>
          </cell>
          <cell r="FR30">
            <v>8.0449017773620193E-2</v>
          </cell>
          <cell r="FS30">
            <v>1.59</v>
          </cell>
          <cell r="FT30">
            <v>2.1076672104404568</v>
          </cell>
          <cell r="FV30">
            <v>0.30465116279069765</v>
          </cell>
          <cell r="FW30">
            <v>0.55453290381960418</v>
          </cell>
          <cell r="FX30">
            <v>0.32190829087540529</v>
          </cell>
          <cell r="FY30">
            <v>1.7048911771589044</v>
          </cell>
          <cell r="FZ30">
            <v>2.879879182156134</v>
          </cell>
          <cell r="GB30">
            <v>0.42718904885532216</v>
          </cell>
          <cell r="GC30">
            <v>0.66890433948693373</v>
          </cell>
          <cell r="GD30">
            <v>0.27084783703217807</v>
          </cell>
          <cell r="GE30">
            <v>2.1088022722950708</v>
          </cell>
          <cell r="GF30">
            <v>3.4254564468311224</v>
          </cell>
          <cell r="GS30" t="str">
            <v>mstag:adjEpsForConsensus</v>
          </cell>
          <cell r="GT30">
            <v>0</v>
          </cell>
          <cell r="GU30" t="str">
            <v>ISO4217:USD</v>
          </cell>
          <cell r="GV30" t="b">
            <v>0</v>
          </cell>
          <cell r="GW30" t="b">
            <v>0</v>
          </cell>
        </row>
        <row r="31">
          <cell r="A31" t="str">
            <v>EPS, Extraordinary/Discontinued</v>
          </cell>
          <cell r="K31">
            <v>-0.57276646542261256</v>
          </cell>
          <cell r="L31">
            <v>-0.9233288512833967</v>
          </cell>
          <cell r="N31">
            <v>0</v>
          </cell>
          <cell r="O31">
            <v>0</v>
          </cell>
          <cell r="P31">
            <v>-8.5852404307589364E-2</v>
          </cell>
          <cell r="Q31">
            <v>-5.090748118636565E-2</v>
          </cell>
          <cell r="R31">
            <v>-6.8306010928961755E-2</v>
          </cell>
          <cell r="S31">
            <v>-2.5448739718173199</v>
          </cell>
          <cell r="T31">
            <v>-2.2928164020348389</v>
          </cell>
          <cell r="U31">
            <v>0.34873079238926785</v>
          </cell>
          <cell r="V31">
            <v>6.29590299118425E-3</v>
          </cell>
          <cell r="W31">
            <v>-0.27369976145364439</v>
          </cell>
          <cell r="X31">
            <v>0.7306414847264896</v>
          </cell>
          <cell r="Y31">
            <v>-0.26060168971069103</v>
          </cell>
          <cell r="Z31">
            <v>-0.1348828629404164</v>
          </cell>
          <cell r="AA31">
            <v>-12.690277036246071</v>
          </cell>
          <cell r="AB31">
            <v>-0.58482301408784143</v>
          </cell>
          <cell r="AC31">
            <v>-0.13766721044045682</v>
          </cell>
          <cell r="AD31">
            <v>4.0120817843865897E-2</v>
          </cell>
          <cell r="AE31">
            <v>4.5435531688777786E-3</v>
          </cell>
          <cell r="AF31">
            <v>0</v>
          </cell>
          <cell r="AG31">
            <v>0</v>
          </cell>
          <cell r="AH31">
            <v>0</v>
          </cell>
          <cell r="AI31">
            <v>0</v>
          </cell>
          <cell r="AJ31">
            <v>0</v>
          </cell>
          <cell r="AK31">
            <v>0</v>
          </cell>
          <cell r="AL31">
            <v>0</v>
          </cell>
          <cell r="AN31" t="str">
            <v>EPS, Extraordinary/Discontinued</v>
          </cell>
          <cell r="AO31">
            <v>0.17066427012363927</v>
          </cell>
          <cell r="AP31">
            <v>7.9165927046291967E-2</v>
          </cell>
          <cell r="AQ31">
            <v>0.2616065710286915</v>
          </cell>
          <cell r="AR31">
            <v>-0.36646743429234646</v>
          </cell>
          <cell r="AS31">
            <v>0.14496933390627625</v>
          </cell>
          <cell r="AU31">
            <v>0.10056992116474267</v>
          </cell>
          <cell r="AV31">
            <v>0.92759338606906783</v>
          </cell>
          <cell r="AW31">
            <v>0.22557897123962739</v>
          </cell>
          <cell r="AX31">
            <v>12.649594309088322</v>
          </cell>
          <cell r="AY31">
            <v>13.90333658756176</v>
          </cell>
          <cell r="BA31">
            <v>0</v>
          </cell>
          <cell r="BB31">
            <v>-0.12</v>
          </cell>
          <cell r="BC31">
            <v>0</v>
          </cell>
          <cell r="BD31">
            <v>-0.05</v>
          </cell>
          <cell r="BE31">
            <v>-0.16999999999999998</v>
          </cell>
          <cell r="BG31">
            <v>-2.8088329675379727E-2</v>
          </cell>
          <cell r="BH31">
            <v>0</v>
          </cell>
          <cell r="BI31">
            <v>-0.11275344190133876</v>
          </cell>
          <cell r="BJ31">
            <v>0.11</v>
          </cell>
          <cell r="BK31">
            <v>-3.0841771576718482E-2</v>
          </cell>
          <cell r="BM31">
            <v>0</v>
          </cell>
          <cell r="BN31">
            <v>-0.12758141225173411</v>
          </cell>
          <cell r="BO31">
            <v>0</v>
          </cell>
          <cell r="BP31">
            <v>0</v>
          </cell>
          <cell r="BQ31">
            <v>-0.12758141225173411</v>
          </cell>
          <cell r="BS31">
            <v>0</v>
          </cell>
          <cell r="BT31">
            <v>-0.11375987925356752</v>
          </cell>
          <cell r="BU31">
            <v>-0.26783754116355651</v>
          </cell>
          <cell r="BV31">
            <v>-0.19116904500548851</v>
          </cell>
          <cell r="BW31">
            <v>-0.57276646542261256</v>
          </cell>
          <cell r="BY31">
            <v>-0.27822347029263966</v>
          </cell>
          <cell r="BZ31">
            <v>-0.38236853908001966</v>
          </cell>
          <cell r="CA31">
            <v>-0.12076142131979695</v>
          </cell>
          <cell r="CB31">
            <v>0</v>
          </cell>
          <cell r="CC31">
            <v>-0.12117634517766497</v>
          </cell>
          <cell r="CD31">
            <v>-0.13316015237014156</v>
          </cell>
          <cell r="CE31">
            <v>-0.24821034293864214</v>
          </cell>
          <cell r="CF31">
            <v>-0.9233288512833967</v>
          </cell>
          <cell r="CG31">
            <v>-1.0174801146897994</v>
          </cell>
          <cell r="CH31">
            <v>-1.0173207208242168</v>
          </cell>
          <cell r="CJ31">
            <v>-0.22177446664409073</v>
          </cell>
          <cell r="CK31">
            <v>-0.28818222312111447</v>
          </cell>
          <cell r="CL31">
            <v>-0.12598728090584768</v>
          </cell>
          <cell r="CM31">
            <v>-0.23777692652329746</v>
          </cell>
          <cell r="CN31">
            <v>-0.83960888039568349</v>
          </cell>
          <cell r="CP31">
            <v>0</v>
          </cell>
          <cell r="CQ31">
            <v>-0.17111946902654868</v>
          </cell>
          <cell r="CR31">
            <v>0</v>
          </cell>
          <cell r="CS31">
            <v>0</v>
          </cell>
          <cell r="CT31">
            <v>-0.17026512983525147</v>
          </cell>
          <cell r="CV31">
            <v>0</v>
          </cell>
          <cell r="CW31">
            <v>0</v>
          </cell>
          <cell r="CX31">
            <v>-0.10052447552447552</v>
          </cell>
          <cell r="CY31">
            <v>0</v>
          </cell>
          <cell r="CZ31">
            <v>-0.1018149623727313</v>
          </cell>
          <cell r="DB31">
            <v>0</v>
          </cell>
          <cell r="DC31">
            <v>0</v>
          </cell>
          <cell r="DD31">
            <v>0</v>
          </cell>
          <cell r="DE31">
            <v>0</v>
          </cell>
          <cell r="DF31">
            <v>0</v>
          </cell>
          <cell r="DH31">
            <v>-6.7036523347202961E-2</v>
          </cell>
          <cell r="DI31">
            <v>-0.31414868105515587</v>
          </cell>
          <cell r="DJ31">
            <v>-1.9318746892093486</v>
          </cell>
          <cell r="DK31">
            <v>-0.28871899238767618</v>
          </cell>
          <cell r="DL31">
            <v>-2.5448739718173199</v>
          </cell>
          <cell r="DN31">
            <v>-7.3885350318471349E-2</v>
          </cell>
          <cell r="DO31">
            <v>1.4287834929117501E-2</v>
          </cell>
          <cell r="DP31">
            <v>-0.10266321104606999</v>
          </cell>
          <cell r="DQ31">
            <v>-2.122851399951327</v>
          </cell>
          <cell r="DR31">
            <v>-2.2928164020348389</v>
          </cell>
          <cell r="DT31">
            <v>0</v>
          </cell>
          <cell r="DU31">
            <v>0.36609336609336607</v>
          </cell>
          <cell r="DV31">
            <v>7.9122001020929048E-2</v>
          </cell>
          <cell r="DW31">
            <v>-0.10734588819139679</v>
          </cell>
          <cell r="DX31">
            <v>0.34873079238926785</v>
          </cell>
          <cell r="DZ31">
            <v>-1.2776003332870435E-2</v>
          </cell>
          <cell r="EA31">
            <v>-1.6106171885066356E-2</v>
          </cell>
          <cell r="EB31">
            <v>-4.6710323871067008E-2</v>
          </cell>
          <cell r="EC31">
            <v>8.3563286453323213E-2</v>
          </cell>
          <cell r="ED31">
            <v>6.29590299118425E-3</v>
          </cell>
          <cell r="EF31">
            <v>-3.1864423189969363E-2</v>
          </cell>
          <cell r="EG31">
            <v>-0.15306122448979592</v>
          </cell>
          <cell r="EH31">
            <v>-6.3646788990825695E-2</v>
          </cell>
          <cell r="EI31">
            <v>-2.3266938493929443E-2</v>
          </cell>
          <cell r="EJ31">
            <v>-0.27369976145364439</v>
          </cell>
          <cell r="EK31" t="str">
            <v>EPS, Extraordinary/Discontinued</v>
          </cell>
          <cell r="EL31">
            <v>0</v>
          </cell>
          <cell r="EM31">
            <v>0</v>
          </cell>
          <cell r="EN31">
            <v>0.73526391456151163</v>
          </cell>
          <cell r="EO31">
            <v>-7.2844093853294434E-2</v>
          </cell>
          <cell r="EP31">
            <v>0.7306414847264896</v>
          </cell>
          <cell r="ER31">
            <v>-0.10555251807302107</v>
          </cell>
          <cell r="ES31">
            <v>0.24029864091559369</v>
          </cell>
          <cell r="ET31">
            <v>-0.21761532399830275</v>
          </cell>
          <cell r="EU31">
            <v>-0.19871075580987546</v>
          </cell>
          <cell r="EV31">
            <v>-0.26060168971069103</v>
          </cell>
          <cell r="EX31">
            <v>-8.3109782144382749E-2</v>
          </cell>
          <cell r="EY31">
            <v>-0.17624695729143616</v>
          </cell>
          <cell r="EZ31">
            <v>-3.9981575310916589E-3</v>
          </cell>
          <cell r="FA31">
            <v>0.17943409247757075</v>
          </cell>
          <cell r="FB31">
            <v>-0.1348828629404164</v>
          </cell>
          <cell r="FD31">
            <v>-0.15</v>
          </cell>
          <cell r="FE31">
            <v>-0.12</v>
          </cell>
          <cell r="FF31">
            <v>-0.02</v>
          </cell>
          <cell r="FG31">
            <v>-12.39</v>
          </cell>
          <cell r="FH31">
            <v>-12.690277036246071</v>
          </cell>
          <cell r="FJ31">
            <v>-0.05</v>
          </cell>
          <cell r="FK31">
            <v>-0.18</v>
          </cell>
          <cell r="FL31">
            <v>-0.05</v>
          </cell>
          <cell r="FM31">
            <v>-0.3</v>
          </cell>
          <cell r="FN31">
            <v>-0.58482301408784143</v>
          </cell>
          <cell r="FP31">
            <v>-4.3852651337400281E-2</v>
          </cell>
          <cell r="FQ31">
            <v>-5.3341148886283385E-3</v>
          </cell>
          <cell r="FR31">
            <v>-6.0449017773620189E-2</v>
          </cell>
          <cell r="FS31">
            <v>-4.0000000000000036E-2</v>
          </cell>
          <cell r="FT31">
            <v>-0.13766721044045682</v>
          </cell>
          <cell r="FV31">
            <v>-4.6511627906976605E-3</v>
          </cell>
          <cell r="FW31">
            <v>0</v>
          </cell>
          <cell r="FX31">
            <v>-1.908290875405283E-3</v>
          </cell>
          <cell r="FY31">
            <v>3.5108822841095622E-2</v>
          </cell>
          <cell r="FZ31">
            <v>4.0120817843865897E-2</v>
          </cell>
          <cell r="GB31">
            <v>2.8109511446778312E-3</v>
          </cell>
          <cell r="GC31">
            <v>1.09566051306631E-3</v>
          </cell>
          <cell r="GD31">
            <v>-8.4783703217805595E-4</v>
          </cell>
          <cell r="GE31">
            <v>1.1977277049290969E-3</v>
          </cell>
          <cell r="GF31">
            <v>4.5435531688777786E-3</v>
          </cell>
        </row>
        <row r="32">
          <cell r="A32" t="str">
            <v>EPS Basic, Reported</v>
          </cell>
          <cell r="C32" t="str">
            <v xml:space="preserve">--  </v>
          </cell>
          <cell r="D32" t="str">
            <v xml:space="preserve">--  </v>
          </cell>
          <cell r="E32" t="str">
            <v xml:space="preserve">--  </v>
          </cell>
          <cell r="F32">
            <v>0.22616075437808544</v>
          </cell>
          <cell r="G32">
            <v>1.1918096093399249</v>
          </cell>
          <cell r="H32">
            <v>1.78</v>
          </cell>
          <cell r="I32">
            <v>2.0775398323761891</v>
          </cell>
          <cell r="J32">
            <v>1.0943248139788602</v>
          </cell>
          <cell r="K32">
            <v>0.77474204171240069</v>
          </cell>
          <cell r="L32">
            <v>1.7377009270191033</v>
          </cell>
          <cell r="N32">
            <v>0.19424315098649622</v>
          </cell>
          <cell r="O32">
            <v>0.64003849855630413</v>
          </cell>
          <cell r="P32">
            <v>1.279376733483867</v>
          </cell>
          <cell r="Q32">
            <v>1.5799522673031026</v>
          </cell>
          <cell r="R32">
            <v>1.8892585551330798</v>
          </cell>
          <cell r="S32">
            <v>-0.44921875</v>
          </cell>
          <cell r="T32">
            <v>-0.70525105404369481</v>
          </cell>
          <cell r="U32">
            <v>2.0735107731305451</v>
          </cell>
          <cell r="V32">
            <v>1.8790672451193058</v>
          </cell>
          <cell r="W32">
            <v>1.966447173043975</v>
          </cell>
          <cell r="X32">
            <v>3.3018577701219307</v>
          </cell>
          <cell r="Y32">
            <v>1.8423611111111111</v>
          </cell>
          <cell r="Z32">
            <v>1.9545877791262072</v>
          </cell>
          <cell r="AA32">
            <v>-11.403810767495697</v>
          </cell>
          <cell r="AB32">
            <v>0.78012923113403276</v>
          </cell>
          <cell r="AC32">
            <v>1.996229083195852</v>
          </cell>
          <cell r="AD32">
            <v>2.9587750294464077</v>
          </cell>
          <cell r="AE32">
            <v>3.4768289072784784</v>
          </cell>
          <cell r="AF32">
            <v>4.0106022836648636</v>
          </cell>
          <cell r="AG32">
            <v>4.8863487599011481</v>
          </cell>
          <cell r="AH32">
            <v>5.401769994132783</v>
          </cell>
          <cell r="AI32">
            <v>5.8155175230849547</v>
          </cell>
          <cell r="AJ32">
            <v>6.2883768989543398</v>
          </cell>
          <cell r="AK32">
            <v>6.9597548987727658</v>
          </cell>
          <cell r="AL32">
            <v>7.7456035591899965</v>
          </cell>
          <cell r="AN32" t="str">
            <v>EPS Basic, Reported</v>
          </cell>
          <cell r="AO32">
            <v>-1.0723357298763596</v>
          </cell>
          <cell r="AP32">
            <v>-1.5004840729537079</v>
          </cell>
          <cell r="AQ32">
            <v>-0.82341842897130901</v>
          </cell>
          <cell r="AR32">
            <v>0.14813256570765293</v>
          </cell>
          <cell r="AS32">
            <v>-2.6062398109441198</v>
          </cell>
          <cell r="AU32">
            <v>-0.70174344634807351</v>
          </cell>
          <cell r="AV32">
            <v>-0.8709310605984335</v>
          </cell>
          <cell r="AW32">
            <v>-0.53714455008086737</v>
          </cell>
          <cell r="AX32">
            <v>0.43196269723388214</v>
          </cell>
          <cell r="AY32">
            <v>-1.4596868454619985</v>
          </cell>
          <cell r="BA32">
            <v>0.14770538952107243</v>
          </cell>
          <cell r="BB32">
            <v>-0.13925490818648498</v>
          </cell>
          <cell r="BC32">
            <v>0.25065079365079296</v>
          </cell>
          <cell r="BD32">
            <v>0.83396546799124038</v>
          </cell>
          <cell r="BE32">
            <v>1.19180960933992</v>
          </cell>
          <cell r="BG32">
            <v>0.17</v>
          </cell>
          <cell r="BH32">
            <v>7.0000000000000007E-2</v>
          </cell>
          <cell r="BI32">
            <v>0.27</v>
          </cell>
          <cell r="BJ32">
            <v>1.04</v>
          </cell>
          <cell r="BK32">
            <v>1.56</v>
          </cell>
          <cell r="BM32">
            <v>0.25</v>
          </cell>
          <cell r="BN32">
            <v>0.15738121948521733</v>
          </cell>
          <cell r="BO32">
            <v>0.35</v>
          </cell>
          <cell r="BP32">
            <v>1.31</v>
          </cell>
          <cell r="BQ32">
            <v>2.0775398323761891</v>
          </cell>
          <cell r="BS32">
            <v>-0.20332821075740956</v>
          </cell>
          <cell r="BT32">
            <v>-0.20582656421514811</v>
          </cell>
          <cell r="BU32">
            <v>-1.3498353457738645E-2</v>
          </cell>
          <cell r="BV32">
            <v>1.1973951701427006</v>
          </cell>
          <cell r="BW32">
            <v>0.77474204171240035</v>
          </cell>
          <cell r="BY32">
            <v>-3.378866007598056E-2</v>
          </cell>
          <cell r="BZ32">
            <v>1.4950719247388836E-2</v>
          </cell>
          <cell r="CA32">
            <v>0.24965027322404229</v>
          </cell>
          <cell r="CB32">
            <v>-0.34615287005689976</v>
          </cell>
          <cell r="CC32">
            <v>-0.11432140373673416</v>
          </cell>
          <cell r="CD32">
            <v>1.5044313952346118</v>
          </cell>
          <cell r="CE32">
            <v>1.4555527535273449</v>
          </cell>
          <cell r="CF32">
            <v>1.7377009270191031</v>
          </cell>
          <cell r="CG32">
            <v>1.7610157567907692</v>
          </cell>
          <cell r="CH32">
            <v>1.4012846587259669</v>
          </cell>
          <cell r="CJ32">
            <v>0.04</v>
          </cell>
          <cell r="CK32">
            <v>0.16</v>
          </cell>
          <cell r="CL32">
            <v>0.33</v>
          </cell>
          <cell r="CM32">
            <v>1.65</v>
          </cell>
          <cell r="CN32">
            <v>2.1800000000000002</v>
          </cell>
          <cell r="CP32">
            <v>0.11539088729016872</v>
          </cell>
          <cell r="CQ32">
            <v>0.3169531996179577</v>
          </cell>
          <cell r="CR32">
            <v>0.50221691352126152</v>
          </cell>
          <cell r="CS32">
            <v>1.8039573994232363</v>
          </cell>
          <cell r="CT32">
            <v>2.743131704196645</v>
          </cell>
          <cell r="CV32">
            <v>0.28887565258661607</v>
          </cell>
          <cell r="CW32">
            <v>0.50731353919239908</v>
          </cell>
          <cell r="CX32">
            <v>0.41527446300715992</v>
          </cell>
          <cell r="CY32">
            <v>1.9474940334128878</v>
          </cell>
          <cell r="CZ32">
            <v>3.1610214797136038</v>
          </cell>
          <cell r="DB32">
            <v>0.21113397129186603</v>
          </cell>
          <cell r="DC32">
            <v>0.32534587898999523</v>
          </cell>
          <cell r="DD32">
            <v>0.29230038022813687</v>
          </cell>
          <cell r="DE32">
            <v>1.0551106924163918</v>
          </cell>
          <cell r="DF32">
            <v>1.8892585551330801</v>
          </cell>
          <cell r="DH32">
            <v>0.21211654135338345</v>
          </cell>
          <cell r="DI32">
            <v>0.15346853823814133</v>
          </cell>
          <cell r="DJ32">
            <v>-1.6608652411735456</v>
          </cell>
          <cell r="DK32">
            <v>0.83543029693004534</v>
          </cell>
          <cell r="DL32">
            <v>-0.44921875</v>
          </cell>
          <cell r="DN32">
            <v>0.14946464646464647</v>
          </cell>
          <cell r="DO32">
            <v>0.28163103802672151</v>
          </cell>
          <cell r="DP32">
            <v>7.7760497667185065E-3</v>
          </cell>
          <cell r="DQ32">
            <v>-1.1333671399594321</v>
          </cell>
          <cell r="DR32">
            <v>-0.70525105404369481</v>
          </cell>
          <cell r="DT32">
            <v>0.22073412698412698</v>
          </cell>
          <cell r="DU32">
            <v>0.69975186104218368</v>
          </cell>
          <cell r="DV32">
            <v>0.27179487179487177</v>
          </cell>
          <cell r="DW32">
            <v>0.89113776846516501</v>
          </cell>
          <cell r="DX32">
            <v>2.0735107731305451</v>
          </cell>
          <cell r="DZ32">
            <v>0.12156448202959831</v>
          </cell>
          <cell r="EA32">
            <v>0.32327586206896552</v>
          </cell>
          <cell r="EB32">
            <v>0.18346111719605696</v>
          </cell>
          <cell r="EC32">
            <v>1.2749445676274944</v>
          </cell>
          <cell r="ED32">
            <v>1.8790672451193058</v>
          </cell>
          <cell r="EF32">
            <v>0.26869806094182824</v>
          </cell>
          <cell r="EG32">
            <v>0.21775544388609716</v>
          </cell>
          <cell r="EH32">
            <v>0.21511627906976744</v>
          </cell>
          <cell r="EI32">
            <v>1.3040901007705987</v>
          </cell>
          <cell r="EJ32">
            <v>1.966447173043975</v>
          </cell>
          <cell r="EK32" t="str">
            <v>EPS Basic, Reported</v>
          </cell>
          <cell r="EL32">
            <v>0.36538507109004736</v>
          </cell>
          <cell r="EM32">
            <v>0.43324299065420563</v>
          </cell>
          <cell r="EN32">
            <v>0.91167692805003653</v>
          </cell>
          <cell r="EO32">
            <v>1.2806888970318799</v>
          </cell>
          <cell r="EP32">
            <v>3.3018577701219307</v>
          </cell>
          <cell r="ER32">
            <v>-9.4511086877499081E-2</v>
          </cell>
          <cell r="ES32">
            <v>0.57384099963781232</v>
          </cell>
          <cell r="ET32">
            <v>-5.538120731031936E-3</v>
          </cell>
          <cell r="EU32">
            <v>1.4205426356589148</v>
          </cell>
          <cell r="EV32">
            <v>1.8423611111111111</v>
          </cell>
          <cell r="EX32">
            <v>7.6890217855617254E-2</v>
          </cell>
          <cell r="EY32">
            <v>0.16375304270856386</v>
          </cell>
          <cell r="EZ32">
            <v>7.6001842468908343E-2</v>
          </cell>
          <cell r="FA32">
            <v>1.7978979422385495</v>
          </cell>
          <cell r="FB32">
            <v>1.9545877791262072</v>
          </cell>
          <cell r="FD32">
            <v>-0.14000000000000001</v>
          </cell>
          <cell r="FE32">
            <v>0.17</v>
          </cell>
          <cell r="FF32">
            <v>-0.1</v>
          </cell>
          <cell r="FG32">
            <v>-11.33</v>
          </cell>
          <cell r="FH32">
            <v>-11.403810767495697</v>
          </cell>
          <cell r="FJ32">
            <v>-0.21</v>
          </cell>
          <cell r="FK32">
            <v>0.02</v>
          </cell>
          <cell r="FL32">
            <v>-0.08</v>
          </cell>
          <cell r="FM32">
            <v>1.05</v>
          </cell>
          <cell r="FN32">
            <v>0.78012923113403276</v>
          </cell>
          <cell r="FP32">
            <v>5.4424988168480827E-2</v>
          </cell>
          <cell r="FQ32">
            <v>0.3475177304964539</v>
          </cell>
          <cell r="FR32">
            <v>2.3612750885478158E-2</v>
          </cell>
          <cell r="FS32">
            <v>1.5757146231986769</v>
          </cell>
          <cell r="FT32">
            <v>1.996229083195852</v>
          </cell>
          <cell r="FV32">
            <v>0.30816278522700541</v>
          </cell>
          <cell r="FW32">
            <v>0.56374269005847955</v>
          </cell>
          <cell r="FX32">
            <v>0.32682812132612271</v>
          </cell>
          <cell r="FY32">
            <v>1.7738095238095237</v>
          </cell>
          <cell r="FZ32">
            <v>2.9587750294464077</v>
          </cell>
          <cell r="GB32">
            <v>0.43394869335890673</v>
          </cell>
          <cell r="GC32">
            <v>0.67850194552529186</v>
          </cell>
          <cell r="GD32">
            <v>0.27483932381768389</v>
          </cell>
          <cell r="GE32">
            <v>2.1405708013402154</v>
          </cell>
          <cell r="GF32">
            <v>3.4768289072784784</v>
          </cell>
        </row>
        <row r="33">
          <cell r="A33" t="str">
            <v>EPS Diluted, Reported</v>
          </cell>
          <cell r="N33">
            <v>0.19396284189183596</v>
          </cell>
          <cell r="O33">
            <v>0.62193570143884891</v>
          </cell>
          <cell r="P33">
            <v>1.2039336603062509</v>
          </cell>
          <cell r="Q33">
            <v>1.4807436918990704</v>
          </cell>
          <cell r="R33">
            <v>1.8101092896174864</v>
          </cell>
          <cell r="S33">
            <v>-0.44471299093655592</v>
          </cell>
          <cell r="T33">
            <v>-0.69138276553106215</v>
          </cell>
          <cell r="U33">
            <v>2.0581205183041891</v>
          </cell>
          <cell r="V33">
            <v>1.8569131832797428</v>
          </cell>
          <cell r="W33">
            <v>1.9312210998877666</v>
          </cell>
          <cell r="X33">
            <v>3.236519581389651</v>
          </cell>
          <cell r="Y33">
            <v>1.8164597407339782</v>
          </cell>
          <cell r="Z33">
            <v>1.9323052621090515</v>
          </cell>
          <cell r="AA33">
            <v>-11.397045737675745</v>
          </cell>
          <cell r="AB33">
            <v>0.7789747839469634</v>
          </cell>
          <cell r="AC33">
            <v>1.97</v>
          </cell>
          <cell r="AD33">
            <v>2.92</v>
          </cell>
          <cell r="AE33">
            <v>3.43</v>
          </cell>
          <cell r="AF33">
            <v>3.9453943917559142</v>
          </cell>
          <cell r="AG33">
            <v>4.7983581094155907</v>
          </cell>
          <cell r="AH33">
            <v>5.2958753573867723</v>
          </cell>
          <cell r="AI33">
            <v>5.6959829769682733</v>
          </cell>
          <cell r="AJ33">
            <v>6.1538937066977288</v>
          </cell>
          <cell r="AK33">
            <v>6.8001516881883797</v>
          </cell>
          <cell r="AL33">
            <v>7.5529335978779351</v>
          </cell>
          <cell r="AN33" t="str">
            <v>EPS Diluted, Reported</v>
          </cell>
          <cell r="CJ33">
            <v>4.3952880847563512E-2</v>
          </cell>
          <cell r="CK33">
            <v>0.1572344856811278</v>
          </cell>
          <cell r="CL33">
            <v>0.33496867229766447</v>
          </cell>
          <cell r="CM33">
            <v>1.5454023745519698</v>
          </cell>
          <cell r="CN33">
            <v>2.071115175359711</v>
          </cell>
          <cell r="CP33">
            <v>0.12199906367041283</v>
          </cell>
          <cell r="CQ33">
            <v>0.30544247787610773</v>
          </cell>
          <cell r="CR33">
            <v>0.47624392399469739</v>
          </cell>
          <cell r="CS33">
            <v>1.6620515499825848</v>
          </cell>
          <cell r="CT33">
            <v>2.5768180897619937</v>
          </cell>
          <cell r="CV33">
            <v>0.26107772020725389</v>
          </cell>
          <cell r="CW33">
            <v>0.4604130808950086</v>
          </cell>
          <cell r="CX33">
            <v>0.38024475524475521</v>
          </cell>
          <cell r="CY33">
            <v>1.8793182865039153</v>
          </cell>
          <cell r="CZ33">
            <v>2.9315360779105801</v>
          </cell>
          <cell r="DB33">
            <v>0.2020166358595194</v>
          </cell>
          <cell r="DC33">
            <v>0.30869761153672826</v>
          </cell>
          <cell r="DD33">
            <v>0.27967257844474763</v>
          </cell>
          <cell r="DE33">
            <v>1.0186448385629832</v>
          </cell>
          <cell r="DF33">
            <v>1.8103153819879312</v>
          </cell>
          <cell r="DH33">
            <v>0.20673277854831251</v>
          </cell>
          <cell r="DI33">
            <v>0.15107913669064749</v>
          </cell>
          <cell r="DJ33">
            <v>-1.6608652411735456</v>
          </cell>
          <cell r="DK33">
            <v>0.82341269841269848</v>
          </cell>
          <cell r="DL33">
            <v>-0.44471299093655592</v>
          </cell>
          <cell r="DN33">
            <v>0.14308721215090642</v>
          </cell>
          <cell r="DO33">
            <v>0.27555110220440882</v>
          </cell>
          <cell r="DP33">
            <v>7.7081192189105861E-3</v>
          </cell>
          <cell r="DQ33">
            <v>-1.1169415292353824</v>
          </cell>
          <cell r="DR33">
            <v>-0.69138276553106215</v>
          </cell>
          <cell r="DT33">
            <v>0.21613725490196078</v>
          </cell>
          <cell r="DU33">
            <v>0.69287469287469283</v>
          </cell>
          <cell r="DV33">
            <v>0.27054619703930577</v>
          </cell>
          <cell r="DW33">
            <v>0.89033942558746737</v>
          </cell>
          <cell r="DX33">
            <v>2.0581205183041891</v>
          </cell>
          <cell r="DZ33">
            <v>0.12137203166226913</v>
          </cell>
          <cell r="EA33">
            <v>0.32051282051282054</v>
          </cell>
          <cell r="EB33">
            <v>0.18039849219170706</v>
          </cell>
          <cell r="EC33">
            <v>1.2506797172376292</v>
          </cell>
          <cell r="ED33">
            <v>1.8569131832797428</v>
          </cell>
          <cell r="EF33">
            <v>0.26330076004343106</v>
          </cell>
          <cell r="EG33">
            <v>0.21428571428571427</v>
          </cell>
          <cell r="EH33">
            <v>0.2121559633027523</v>
          </cell>
          <cell r="EI33">
            <v>1.2761020881670533</v>
          </cell>
          <cell r="EJ33">
            <v>1.9312210998877666</v>
          </cell>
          <cell r="EK33" t="str">
            <v>EPS Diluted, Reported</v>
          </cell>
          <cell r="EL33">
            <v>0.35692708333333328</v>
          </cell>
          <cell r="EM33">
            <v>0.42117245304496304</v>
          </cell>
          <cell r="EN33">
            <v>0.89594867544042411</v>
          </cell>
          <cell r="EO33">
            <v>1.261277517141826</v>
          </cell>
          <cell r="EP33">
            <v>3.236519581389651</v>
          </cell>
          <cell r="ER33">
            <v>-9.3189964157706098E-2</v>
          </cell>
          <cell r="ES33">
            <v>0.56665772532188841</v>
          </cell>
          <cell r="ET33">
            <v>-5.4555373704309879E-3</v>
          </cell>
          <cell r="EU33">
            <v>1.3996562917700972</v>
          </cell>
          <cell r="EV33">
            <v>1.8164597407339782</v>
          </cell>
          <cell r="EX33">
            <v>7.5566750629722929E-2</v>
          </cell>
          <cell r="EY33">
            <v>0.16164263870685888</v>
          </cell>
          <cell r="EZ33">
            <v>7.532526820360648E-2</v>
          </cell>
          <cell r="FA33">
            <v>1.7778979422385495</v>
          </cell>
          <cell r="FB33">
            <v>1.9323052621090515</v>
          </cell>
          <cell r="FD33">
            <v>-0.14000000000000001</v>
          </cell>
          <cell r="FE33">
            <v>0.17</v>
          </cell>
          <cell r="FF33">
            <v>-0.1</v>
          </cell>
          <cell r="FG33">
            <v>-11.33</v>
          </cell>
          <cell r="FH33">
            <v>-11.397045737675745</v>
          </cell>
          <cell r="FJ33">
            <v>-0.21</v>
          </cell>
          <cell r="FK33">
            <v>0.02</v>
          </cell>
          <cell r="FL33">
            <v>-0.08</v>
          </cell>
          <cell r="FM33">
            <v>1.05</v>
          </cell>
          <cell r="FN33">
            <v>0.7789747839469634</v>
          </cell>
          <cell r="FP33">
            <v>0.05</v>
          </cell>
          <cell r="FQ33">
            <v>0.34466588511137164</v>
          </cell>
          <cell r="FR33">
            <v>0.02</v>
          </cell>
          <cell r="FS33">
            <v>1.55</v>
          </cell>
          <cell r="FT33">
            <v>1.97</v>
          </cell>
          <cell r="FV33">
            <v>0.3</v>
          </cell>
          <cell r="FW33">
            <v>0.55453290381960418</v>
          </cell>
          <cell r="FX33">
            <v>0.32</v>
          </cell>
          <cell r="FY33">
            <v>1.74</v>
          </cell>
          <cell r="FZ33">
            <v>2.92</v>
          </cell>
          <cell r="GB33">
            <v>0.43</v>
          </cell>
          <cell r="GC33">
            <v>0.67</v>
          </cell>
          <cell r="GD33">
            <v>0.27</v>
          </cell>
          <cell r="GE33">
            <v>2.11</v>
          </cell>
          <cell r="GF33">
            <v>3.43</v>
          </cell>
        </row>
        <row r="34">
          <cell r="A34" t="str">
            <v>Net Income, For Consensus</v>
          </cell>
          <cell r="W34">
            <v>786.54659498207877</v>
          </cell>
          <cell r="X34">
            <v>1089.0546208098101</v>
          </cell>
          <cell r="Y34">
            <v>1137.6065454545455</v>
          </cell>
          <cell r="Z34">
            <v>968.87045454545455</v>
          </cell>
          <cell r="AA34">
            <v>545</v>
          </cell>
          <cell r="AB34">
            <v>575.99999999999989</v>
          </cell>
          <cell r="AC34">
            <v>863</v>
          </cell>
          <cell r="AD34">
            <v>1239.5</v>
          </cell>
          <cell r="AE34">
            <v>1407.0129840730656</v>
          </cell>
          <cell r="AF34">
            <v>1474.1651556723784</v>
          </cell>
          <cell r="AG34">
            <v>1618.7764295278068</v>
          </cell>
          <cell r="AH34">
            <v>1641.1420018455815</v>
          </cell>
          <cell r="AI34">
            <v>1683.4875028271351</v>
          </cell>
          <cell r="AJ34">
            <v>1748.1022306573102</v>
          </cell>
          <cell r="AK34">
            <v>1801.4292273300186</v>
          </cell>
          <cell r="AL34">
            <v>1844.6042441173129</v>
          </cell>
          <cell r="ER34">
            <v>11</v>
          </cell>
          <cell r="ES34">
            <v>292</v>
          </cell>
          <cell r="ET34">
            <v>175</v>
          </cell>
          <cell r="EU34">
            <v>1334</v>
          </cell>
          <cell r="EV34">
            <v>1812</v>
          </cell>
          <cell r="EX34">
            <v>119</v>
          </cell>
          <cell r="EY34">
            <v>210</v>
          </cell>
          <cell r="EZ34">
            <v>55</v>
          </cell>
          <cell r="FA34">
            <v>1155</v>
          </cell>
          <cell r="FB34">
            <v>1539</v>
          </cell>
          <cell r="FD34">
            <v>4</v>
          </cell>
          <cell r="FE34">
            <v>120.99999999999999</v>
          </cell>
          <cell r="FF34">
            <v>-34</v>
          </cell>
          <cell r="FG34">
            <v>448</v>
          </cell>
          <cell r="FH34">
            <v>545</v>
          </cell>
          <cell r="FJ34">
            <v>-67.999999999999986</v>
          </cell>
          <cell r="FK34">
            <v>84</v>
          </cell>
          <cell r="FL34">
            <v>-12.000000000000002</v>
          </cell>
          <cell r="FM34">
            <v>572</v>
          </cell>
          <cell r="FN34">
            <v>575.99999999999989</v>
          </cell>
          <cell r="FP34">
            <v>23.000000000000004</v>
          </cell>
          <cell r="FQ34">
            <v>147</v>
          </cell>
          <cell r="FR34">
            <v>10</v>
          </cell>
          <cell r="FS34">
            <v>682.99999999999989</v>
          </cell>
          <cell r="FT34">
            <v>863</v>
          </cell>
          <cell r="FV34">
            <v>131</v>
          </cell>
          <cell r="FW34">
            <v>240.99999999999997</v>
          </cell>
          <cell r="FX34">
            <v>139</v>
          </cell>
          <cell r="FY34">
            <v>728.49999999999989</v>
          </cell>
          <cell r="FZ34">
            <v>1239.5</v>
          </cell>
          <cell r="GB34">
            <v>181</v>
          </cell>
          <cell r="GC34">
            <v>279.00000000000006</v>
          </cell>
          <cell r="GD34">
            <v>110.03264655178822</v>
          </cell>
          <cell r="GE34">
            <v>838.34033752127743</v>
          </cell>
          <cell r="GF34">
            <v>1408.3729840730653</v>
          </cell>
          <cell r="GS34" t="str">
            <v>mstag:netIncomeAdjustedForConsensus</v>
          </cell>
          <cell r="GT34">
            <v>6</v>
          </cell>
          <cell r="GU34" t="str">
            <v>ISO4217:USD</v>
          </cell>
          <cell r="GV34" t="b">
            <v>0</v>
          </cell>
        </row>
        <row r="35">
          <cell r="A35" t="str">
            <v>Average Basic Shares Outstanding</v>
          </cell>
          <cell r="C35" t="str">
            <v xml:space="preserve">--  </v>
          </cell>
          <cell r="D35" t="str">
            <v xml:space="preserve">--  </v>
          </cell>
          <cell r="E35" t="str">
            <v xml:space="preserve">--  </v>
          </cell>
          <cell r="F35">
            <v>111.35</v>
          </cell>
          <cell r="G35">
            <v>111.35</v>
          </cell>
          <cell r="H35">
            <v>126.29300000000001</v>
          </cell>
          <cell r="I35">
            <v>126.593</v>
          </cell>
          <cell r="K35">
            <v>182.2</v>
          </cell>
          <cell r="L35">
            <v>182.952</v>
          </cell>
          <cell r="N35">
            <v>386.11399999999998</v>
          </cell>
          <cell r="O35">
            <v>415.6</v>
          </cell>
          <cell r="P35">
            <v>418.95400000000001</v>
          </cell>
          <cell r="Q35">
            <v>419</v>
          </cell>
          <cell r="R35">
            <v>420.8</v>
          </cell>
          <cell r="S35">
            <v>409.6</v>
          </cell>
          <cell r="T35">
            <v>391.35</v>
          </cell>
          <cell r="U35">
            <v>394.5</v>
          </cell>
          <cell r="V35">
            <v>368.8</v>
          </cell>
          <cell r="W35">
            <v>350.2</v>
          </cell>
          <cell r="X35">
            <v>426</v>
          </cell>
          <cell r="Y35">
            <v>540</v>
          </cell>
          <cell r="Z35">
            <v>446.6</v>
          </cell>
          <cell r="AA35">
            <v>421.17499999999995</v>
          </cell>
          <cell r="AB35">
            <v>421.72500000000002</v>
          </cell>
          <cell r="AC35">
            <v>424.3</v>
          </cell>
          <cell r="AD35">
            <v>424.5</v>
          </cell>
          <cell r="AE35">
            <v>405.07399749373434</v>
          </cell>
          <cell r="AF35">
            <v>367.56702644803153</v>
          </cell>
          <cell r="AG35">
            <v>331.28548719485082</v>
          </cell>
          <cell r="AH35">
            <v>303.81560185423177</v>
          </cell>
          <cell r="AI35">
            <v>289.4819757905392</v>
          </cell>
          <cell r="AJ35">
            <v>277.98941741993752</v>
          </cell>
          <cell r="AK35">
            <v>258.83515346893466</v>
          </cell>
          <cell r="AL35">
            <v>238.1485484018516</v>
          </cell>
          <cell r="AN35" t="str">
            <v>Average Basic Shares Outstanding</v>
          </cell>
          <cell r="AO35">
            <v>80</v>
          </cell>
          <cell r="AP35">
            <v>80</v>
          </cell>
          <cell r="AQ35">
            <v>80</v>
          </cell>
          <cell r="AR35">
            <v>80</v>
          </cell>
          <cell r="AS35">
            <v>80</v>
          </cell>
          <cell r="AU35">
            <v>79.97</v>
          </cell>
          <cell r="AV35">
            <v>79.97</v>
          </cell>
          <cell r="AW35">
            <v>79.97</v>
          </cell>
          <cell r="AX35">
            <v>79.97</v>
          </cell>
          <cell r="AY35">
            <v>79.97</v>
          </cell>
          <cell r="BA35">
            <v>79.97</v>
          </cell>
          <cell r="BB35">
            <v>113.38200000000001</v>
          </cell>
          <cell r="BC35">
            <v>126</v>
          </cell>
          <cell r="BD35">
            <v>126.02800000000001</v>
          </cell>
          <cell r="BE35">
            <v>111.35</v>
          </cell>
          <cell r="BG35">
            <v>126.209</v>
          </cell>
          <cell r="BH35">
            <v>126.309</v>
          </cell>
          <cell r="BI35">
            <v>126.31100000000001</v>
          </cell>
          <cell r="BJ35">
            <v>126.33799999999999</v>
          </cell>
          <cell r="BK35">
            <v>126.29300000000001</v>
          </cell>
          <cell r="BM35">
            <v>126.464</v>
          </cell>
          <cell r="BN35">
            <v>126.578</v>
          </cell>
          <cell r="BO35">
            <v>126.6</v>
          </cell>
          <cell r="BP35">
            <v>126.74</v>
          </cell>
          <cell r="BQ35">
            <v>126.593</v>
          </cell>
          <cell r="BS35">
            <v>182.2</v>
          </cell>
          <cell r="BT35">
            <v>182.2</v>
          </cell>
          <cell r="BU35">
            <v>182.2</v>
          </cell>
          <cell r="BV35">
            <v>182.2</v>
          </cell>
          <cell r="BW35">
            <v>182.2</v>
          </cell>
          <cell r="BY35">
            <v>182.68199999999999</v>
          </cell>
          <cell r="BZ35">
            <v>182.83</v>
          </cell>
          <cell r="CA35">
            <v>183</v>
          </cell>
          <cell r="CB35">
            <v>197.017</v>
          </cell>
          <cell r="CC35">
            <v>197.017</v>
          </cell>
          <cell r="CD35">
            <v>183.238</v>
          </cell>
          <cell r="CE35">
            <v>202.631</v>
          </cell>
          <cell r="CF35">
            <v>182.952</v>
          </cell>
          <cell r="CG35">
            <v>191.47300000000001</v>
          </cell>
          <cell r="CH35">
            <v>191.50299999999999</v>
          </cell>
          <cell r="CJ35">
            <v>206.71</v>
          </cell>
          <cell r="CK35">
            <v>207.66300000000001</v>
          </cell>
          <cell r="CL35">
            <v>207.82</v>
          </cell>
          <cell r="CM35">
            <v>208.26</v>
          </cell>
          <cell r="CN35">
            <v>207.8</v>
          </cell>
          <cell r="CP35">
            <v>208.5</v>
          </cell>
          <cell r="CQ35">
            <v>209.4</v>
          </cell>
          <cell r="CR35">
            <v>209.3</v>
          </cell>
          <cell r="CS35">
            <v>210.13800000000001</v>
          </cell>
          <cell r="CT35">
            <v>209.477</v>
          </cell>
          <cell r="CV35">
            <v>210.7</v>
          </cell>
          <cell r="CW35">
            <v>210.5</v>
          </cell>
          <cell r="CX35">
            <v>209.5</v>
          </cell>
          <cell r="CY35">
            <v>209.5</v>
          </cell>
          <cell r="CZ35">
            <v>209.5</v>
          </cell>
          <cell r="DB35">
            <v>418</v>
          </cell>
          <cell r="DC35">
            <v>419.8</v>
          </cell>
          <cell r="DD35">
            <v>420.8</v>
          </cell>
          <cell r="DE35">
            <v>424.6</v>
          </cell>
          <cell r="DF35">
            <v>420.79999999999995</v>
          </cell>
          <cell r="DH35">
            <v>425.6</v>
          </cell>
          <cell r="DI35">
            <v>413.2</v>
          </cell>
          <cell r="DJ35">
            <v>402.2</v>
          </cell>
          <cell r="DK35">
            <v>397.4</v>
          </cell>
          <cell r="DL35">
            <v>409.6</v>
          </cell>
          <cell r="DN35">
            <v>396</v>
          </cell>
          <cell r="DO35">
            <v>389.2</v>
          </cell>
          <cell r="DP35">
            <v>385.8</v>
          </cell>
          <cell r="DQ35">
            <v>394.4</v>
          </cell>
          <cell r="DR35">
            <v>391.35</v>
          </cell>
          <cell r="DT35">
            <v>403.2</v>
          </cell>
          <cell r="DU35">
            <v>403</v>
          </cell>
          <cell r="DV35">
            <v>390</v>
          </cell>
          <cell r="DW35">
            <v>381.8</v>
          </cell>
          <cell r="DX35">
            <v>394.5</v>
          </cell>
          <cell r="DZ35">
            <v>378.4</v>
          </cell>
          <cell r="EA35">
            <v>371.2</v>
          </cell>
          <cell r="EB35">
            <v>365.2</v>
          </cell>
          <cell r="EC35">
            <v>360.8</v>
          </cell>
          <cell r="ED35">
            <v>368.8</v>
          </cell>
          <cell r="EF35">
            <v>361</v>
          </cell>
          <cell r="EG35">
            <v>358.2</v>
          </cell>
          <cell r="EH35">
            <v>344</v>
          </cell>
          <cell r="EI35">
            <v>337.4</v>
          </cell>
          <cell r="EJ35">
            <v>350.2</v>
          </cell>
          <cell r="EK35" t="str">
            <v>Average Basic Shares Outstanding</v>
          </cell>
          <cell r="EL35">
            <v>337.6</v>
          </cell>
          <cell r="EM35">
            <v>342.4</v>
          </cell>
          <cell r="EN35">
            <v>478.5</v>
          </cell>
          <cell r="EO35">
            <v>545.79999999999995</v>
          </cell>
          <cell r="EP35">
            <v>426</v>
          </cell>
          <cell r="ER35">
            <v>550.20000000000005</v>
          </cell>
          <cell r="ES35">
            <v>552.20000000000005</v>
          </cell>
          <cell r="ET35">
            <v>541.70000000000005</v>
          </cell>
          <cell r="EU35">
            <v>516</v>
          </cell>
          <cell r="EV35">
            <v>540</v>
          </cell>
          <cell r="EX35">
            <v>468.2</v>
          </cell>
          <cell r="EY35">
            <v>451.9</v>
          </cell>
          <cell r="EZ35">
            <v>434.2</v>
          </cell>
          <cell r="FA35">
            <v>432.1</v>
          </cell>
          <cell r="FB35">
            <v>446.6</v>
          </cell>
          <cell r="FD35">
            <v>420.9</v>
          </cell>
          <cell r="FE35">
            <v>421.1</v>
          </cell>
          <cell r="FF35">
            <v>421.3</v>
          </cell>
          <cell r="FG35">
            <v>421.4</v>
          </cell>
          <cell r="FH35">
            <v>421.17499999999995</v>
          </cell>
          <cell r="FJ35">
            <v>421.4</v>
          </cell>
          <cell r="FK35">
            <v>421.5</v>
          </cell>
          <cell r="FL35">
            <v>421.8</v>
          </cell>
          <cell r="FM35">
            <v>422.2</v>
          </cell>
          <cell r="FN35">
            <v>421.72500000000002</v>
          </cell>
          <cell r="FP35">
            <v>422.6</v>
          </cell>
          <cell r="FQ35">
            <v>423</v>
          </cell>
          <cell r="FR35">
            <v>423.5</v>
          </cell>
          <cell r="FS35">
            <v>423.3</v>
          </cell>
          <cell r="FT35">
            <v>424.3</v>
          </cell>
          <cell r="FV35">
            <v>425.1</v>
          </cell>
          <cell r="FW35">
            <v>427.5</v>
          </cell>
          <cell r="FX35">
            <v>425.3</v>
          </cell>
          <cell r="FY35">
            <v>420</v>
          </cell>
          <cell r="FZ35">
            <v>424.5</v>
          </cell>
          <cell r="GB35">
            <v>417.1</v>
          </cell>
          <cell r="GC35">
            <v>411.2</v>
          </cell>
          <cell r="GD35">
            <v>400.35263157894735</v>
          </cell>
          <cell r="GE35">
            <v>391.64335839598999</v>
          </cell>
          <cell r="GF35">
            <v>405.07399749373434</v>
          </cell>
          <cell r="GS35" t="str">
            <v>mstag:averageBasicSharesOutstanding</v>
          </cell>
          <cell r="GT35">
            <v>6</v>
          </cell>
          <cell r="GU35" t="str">
            <v>ms_eqr_gcim_Decimal:ms_eqr_gcim_decimal</v>
          </cell>
          <cell r="GV35" t="b">
            <v>0</v>
          </cell>
          <cell r="GW35" t="b">
            <v>0</v>
          </cell>
        </row>
        <row r="36">
          <cell r="A36" t="str">
            <v>Average Fully Diluted Shares Outstanding</v>
          </cell>
          <cell r="K36">
            <v>182.2</v>
          </cell>
          <cell r="L36">
            <v>182.952</v>
          </cell>
          <cell r="N36">
            <v>386.67200000000003</v>
          </cell>
          <cell r="O36">
            <v>444.8</v>
          </cell>
          <cell r="P36">
            <v>454.26799999999997</v>
          </cell>
          <cell r="Q36">
            <v>451.8</v>
          </cell>
          <cell r="R36">
            <v>439.2</v>
          </cell>
          <cell r="S36">
            <v>413.75</v>
          </cell>
          <cell r="T36">
            <v>399.2</v>
          </cell>
          <cell r="U36">
            <v>397.45</v>
          </cell>
          <cell r="V36">
            <v>373.2</v>
          </cell>
          <cell r="W36">
            <v>356.4</v>
          </cell>
          <cell r="X36">
            <v>434.6</v>
          </cell>
          <cell r="Y36">
            <v>547.70000000000005</v>
          </cell>
          <cell r="Z36">
            <v>451.75000000000006</v>
          </cell>
          <cell r="AA36">
            <v>421.42499999999995</v>
          </cell>
          <cell r="AB36">
            <v>422.35</v>
          </cell>
          <cell r="AC36">
            <v>429.1</v>
          </cell>
          <cell r="AD36">
            <v>430.4</v>
          </cell>
          <cell r="AE36">
            <v>411.14899749373433</v>
          </cell>
          <cell r="AF36">
            <v>373.64202644803152</v>
          </cell>
          <cell r="AG36">
            <v>337.3604871948508</v>
          </cell>
          <cell r="AH36">
            <v>309.89060185423176</v>
          </cell>
          <cell r="AI36">
            <v>295.55697579053918</v>
          </cell>
          <cell r="AJ36">
            <v>284.06441741993751</v>
          </cell>
          <cell r="AK36">
            <v>264.91015346893465</v>
          </cell>
          <cell r="AL36">
            <v>244.22354840185159</v>
          </cell>
          <cell r="AN36" t="str">
            <v>Average Fully Diluted Shares Outstanding</v>
          </cell>
          <cell r="AO36">
            <v>80</v>
          </cell>
          <cell r="AP36">
            <v>80</v>
          </cell>
          <cell r="AQ36">
            <v>80</v>
          </cell>
          <cell r="AR36">
            <v>80</v>
          </cell>
          <cell r="AS36">
            <v>80</v>
          </cell>
          <cell r="AU36">
            <v>79.97</v>
          </cell>
          <cell r="AV36">
            <v>79.97</v>
          </cell>
          <cell r="AW36">
            <v>79.97</v>
          </cell>
          <cell r="AX36">
            <v>79.97</v>
          </cell>
          <cell r="AY36">
            <v>79.97</v>
          </cell>
          <cell r="BA36">
            <v>79.97</v>
          </cell>
          <cell r="BB36">
            <v>113.38200000000001</v>
          </cell>
          <cell r="BC36">
            <v>126</v>
          </cell>
          <cell r="BD36">
            <v>126.02800000000001</v>
          </cell>
          <cell r="BE36">
            <v>111.35</v>
          </cell>
          <cell r="BG36">
            <v>126.209</v>
          </cell>
          <cell r="BH36">
            <v>126.309</v>
          </cell>
          <cell r="BI36">
            <v>126.31100000000001</v>
          </cell>
          <cell r="BJ36">
            <v>126.33799999999999</v>
          </cell>
          <cell r="BK36">
            <v>126.29300000000001</v>
          </cell>
          <cell r="BM36">
            <v>126.464</v>
          </cell>
          <cell r="BN36">
            <v>126.578</v>
          </cell>
          <cell r="BO36">
            <v>126.6</v>
          </cell>
          <cell r="BP36">
            <v>126.74</v>
          </cell>
          <cell r="BQ36">
            <v>126.593</v>
          </cell>
          <cell r="BS36">
            <v>182.2</v>
          </cell>
          <cell r="BT36">
            <v>182.2</v>
          </cell>
          <cell r="BU36">
            <v>182.2</v>
          </cell>
          <cell r="BV36">
            <v>182.2</v>
          </cell>
          <cell r="BW36">
            <v>182.2</v>
          </cell>
          <cell r="BY36">
            <v>182.68199999999999</v>
          </cell>
          <cell r="BZ36">
            <v>182.83</v>
          </cell>
          <cell r="CA36">
            <v>183</v>
          </cell>
          <cell r="CB36">
            <v>197.017</v>
          </cell>
          <cell r="CC36">
            <v>197.017</v>
          </cell>
          <cell r="CD36">
            <v>183.238</v>
          </cell>
          <cell r="CE36">
            <v>202.631</v>
          </cell>
          <cell r="CF36">
            <v>182.952</v>
          </cell>
          <cell r="CG36">
            <v>191.47300000000001</v>
          </cell>
          <cell r="CH36">
            <v>191.50299999999999</v>
          </cell>
          <cell r="CJ36">
            <v>206.71</v>
          </cell>
          <cell r="CK36">
            <v>207.66300000000001</v>
          </cell>
          <cell r="CL36">
            <v>212.751</v>
          </cell>
          <cell r="CM36">
            <v>223.2</v>
          </cell>
          <cell r="CN36">
            <v>222.4</v>
          </cell>
          <cell r="CP36">
            <v>213.6</v>
          </cell>
          <cell r="CQ36">
            <v>226</v>
          </cell>
          <cell r="CR36">
            <v>226.3</v>
          </cell>
          <cell r="CS36">
            <v>229.68</v>
          </cell>
          <cell r="CT36">
            <v>227.13399999999999</v>
          </cell>
          <cell r="CV36">
            <v>231.6</v>
          </cell>
          <cell r="CW36">
            <v>232.4</v>
          </cell>
          <cell r="CX36">
            <v>228.8</v>
          </cell>
          <cell r="CY36">
            <v>217.1</v>
          </cell>
          <cell r="CZ36">
            <v>225.9</v>
          </cell>
          <cell r="DB36">
            <v>432.8</v>
          </cell>
          <cell r="DC36">
            <v>443.8</v>
          </cell>
          <cell r="DD36">
            <v>439.8</v>
          </cell>
          <cell r="DE36">
            <v>439.8</v>
          </cell>
          <cell r="DF36">
            <v>439.15000000000003</v>
          </cell>
          <cell r="DH36">
            <v>432.6</v>
          </cell>
          <cell r="DI36">
            <v>417</v>
          </cell>
          <cell r="DJ36">
            <v>402.2</v>
          </cell>
          <cell r="DK36">
            <v>403.2</v>
          </cell>
          <cell r="DL36">
            <v>413.75</v>
          </cell>
          <cell r="DN36">
            <v>408.2</v>
          </cell>
          <cell r="DO36">
            <v>399.2</v>
          </cell>
          <cell r="DP36">
            <v>389.2</v>
          </cell>
          <cell r="DQ36">
            <v>400.2</v>
          </cell>
          <cell r="DR36">
            <v>399.2</v>
          </cell>
          <cell r="DT36">
            <v>408</v>
          </cell>
          <cell r="DU36">
            <v>407</v>
          </cell>
          <cell r="DV36">
            <v>391.8</v>
          </cell>
          <cell r="DW36">
            <v>383</v>
          </cell>
          <cell r="DX36">
            <v>397.45</v>
          </cell>
          <cell r="DZ36">
            <v>379</v>
          </cell>
          <cell r="EA36">
            <v>374.4</v>
          </cell>
          <cell r="EB36">
            <v>371.4</v>
          </cell>
          <cell r="EC36">
            <v>367.8</v>
          </cell>
          <cell r="ED36">
            <v>373.2</v>
          </cell>
          <cell r="EF36">
            <v>368.4</v>
          </cell>
          <cell r="EG36">
            <v>364</v>
          </cell>
          <cell r="EH36">
            <v>348.8</v>
          </cell>
          <cell r="EI36">
            <v>344.8</v>
          </cell>
          <cell r="EJ36">
            <v>356.4</v>
          </cell>
          <cell r="EK36" t="str">
            <v>Average Fully Diluted Shares Outstanding</v>
          </cell>
          <cell r="EL36">
            <v>345.6</v>
          </cell>
          <cell r="EM36">
            <v>351.4</v>
          </cell>
          <cell r="EN36">
            <v>486.9</v>
          </cell>
          <cell r="EO36">
            <v>554.20000000000005</v>
          </cell>
          <cell r="EP36">
            <v>434.6</v>
          </cell>
          <cell r="ER36">
            <v>558</v>
          </cell>
          <cell r="ES36">
            <v>559.20000000000005</v>
          </cell>
          <cell r="ET36">
            <v>549.9</v>
          </cell>
          <cell r="EU36">
            <v>523.70000000000005</v>
          </cell>
          <cell r="EV36">
            <v>547.70000000000005</v>
          </cell>
          <cell r="EX36">
            <v>476.4</v>
          </cell>
          <cell r="EY36">
            <v>457.8</v>
          </cell>
          <cell r="EZ36">
            <v>438.1</v>
          </cell>
          <cell r="FA36">
            <v>434.7</v>
          </cell>
          <cell r="FB36">
            <v>451.75000000000006</v>
          </cell>
          <cell r="FD36">
            <v>420.9</v>
          </cell>
          <cell r="FE36">
            <v>422.1</v>
          </cell>
          <cell r="FF36">
            <v>421.3</v>
          </cell>
          <cell r="FG36">
            <v>421.4</v>
          </cell>
          <cell r="FH36">
            <v>421.42499999999995</v>
          </cell>
          <cell r="FJ36">
            <v>421.4</v>
          </cell>
          <cell r="FK36">
            <v>422.1</v>
          </cell>
          <cell r="FL36">
            <v>421.8</v>
          </cell>
          <cell r="FM36">
            <v>424.1</v>
          </cell>
          <cell r="FN36">
            <v>422.35</v>
          </cell>
          <cell r="FP36">
            <v>426.2</v>
          </cell>
          <cell r="FQ36">
            <v>426.5</v>
          </cell>
          <cell r="FR36">
            <v>427.6</v>
          </cell>
          <cell r="FS36">
            <v>429</v>
          </cell>
          <cell r="FT36">
            <v>429.1</v>
          </cell>
          <cell r="FV36">
            <v>430</v>
          </cell>
          <cell r="FW36">
            <v>434.6</v>
          </cell>
          <cell r="FX36">
            <v>431.8</v>
          </cell>
          <cell r="FY36">
            <v>427.3</v>
          </cell>
          <cell r="FZ36">
            <v>430.4</v>
          </cell>
          <cell r="GB36">
            <v>423.7</v>
          </cell>
          <cell r="GC36">
            <v>417.1</v>
          </cell>
          <cell r="GD36">
            <v>406.25263157894739</v>
          </cell>
          <cell r="GE36">
            <v>397.54335839599003</v>
          </cell>
          <cell r="GF36">
            <v>411.14899749373433</v>
          </cell>
          <cell r="GS36" t="str">
            <v>mstag:averageDilutedSharesOutstanding</v>
          </cell>
          <cell r="GT36">
            <v>6</v>
          </cell>
          <cell r="GU36" t="str">
            <v>ms_eqr_gcim_Decimal:ms_eqr_gcim_decimal</v>
          </cell>
          <cell r="GV36" t="b">
            <v>0</v>
          </cell>
          <cell r="GW36" t="b">
            <v>0</v>
          </cell>
        </row>
        <row r="37">
          <cell r="A37" t="str">
            <v>Period End Basic Shares Outstanding</v>
          </cell>
          <cell r="N37">
            <v>414.918274</v>
          </cell>
          <cell r="O37">
            <v>416.75912199999999</v>
          </cell>
          <cell r="P37">
            <v>421.21032200000002</v>
          </cell>
          <cell r="Q37">
            <v>417.15312399999999</v>
          </cell>
          <cell r="R37">
            <v>423.09761800000001</v>
          </cell>
          <cell r="S37">
            <v>395.34445399999998</v>
          </cell>
          <cell r="T37">
            <v>402.252748</v>
          </cell>
          <cell r="U37">
            <v>374.65489600000001</v>
          </cell>
          <cell r="V37">
            <v>357</v>
          </cell>
          <cell r="W37">
            <v>335.19655599999999</v>
          </cell>
          <cell r="X37">
            <v>546.79999999999995</v>
          </cell>
          <cell r="Y37">
            <v>496.9</v>
          </cell>
          <cell r="Z37">
            <v>419.7</v>
          </cell>
          <cell r="AA37">
            <v>420.57529799999998</v>
          </cell>
          <cell r="AB37">
            <v>421.53</v>
          </cell>
          <cell r="AC37">
            <v>423.3</v>
          </cell>
          <cell r="AD37">
            <v>414.2</v>
          </cell>
          <cell r="AE37">
            <v>386.88145363408523</v>
          </cell>
          <cell r="AF37">
            <v>348.25259926197782</v>
          </cell>
          <cell r="AG37">
            <v>314.31837512772381</v>
          </cell>
          <cell r="AH37">
            <v>293.31282858073979</v>
          </cell>
          <cell r="AI37">
            <v>285.65112300033866</v>
          </cell>
          <cell r="AJ37">
            <v>270.32771183953639</v>
          </cell>
          <cell r="AK37">
            <v>247.34259509833296</v>
          </cell>
          <cell r="AL37">
            <v>228.95450170537021</v>
          </cell>
          <cell r="AN37" t="str">
            <v>Period End Basic Shares Outstanding</v>
          </cell>
          <cell r="CN37">
            <v>208.379561</v>
          </cell>
          <cell r="CT37">
            <v>210.60516100000001</v>
          </cell>
          <cell r="CZ37">
            <v>208.576562</v>
          </cell>
          <cell r="DH37">
            <v>415.872772</v>
          </cell>
          <cell r="DI37">
            <v>403.836004</v>
          </cell>
          <cell r="DJ37">
            <v>397.47889600000002</v>
          </cell>
          <cell r="DK37">
            <v>395.34445399999998</v>
          </cell>
          <cell r="DL37">
            <v>395.34445399999998</v>
          </cell>
          <cell r="DN37">
            <v>389.8</v>
          </cell>
          <cell r="DO37">
            <v>385.4</v>
          </cell>
          <cell r="DP37">
            <v>383.4</v>
          </cell>
          <cell r="DQ37">
            <v>402.252748</v>
          </cell>
          <cell r="DR37">
            <v>402.252748</v>
          </cell>
          <cell r="DT37">
            <v>403</v>
          </cell>
          <cell r="DU37">
            <v>392.4</v>
          </cell>
          <cell r="DV37">
            <v>380.4</v>
          </cell>
          <cell r="DW37">
            <v>374.65489600000001</v>
          </cell>
          <cell r="DX37">
            <v>374.65489600000001</v>
          </cell>
          <cell r="DZ37">
            <v>370.72</v>
          </cell>
          <cell r="EA37">
            <v>365.62</v>
          </cell>
          <cell r="EB37">
            <v>361.58</v>
          </cell>
          <cell r="EC37">
            <v>357</v>
          </cell>
          <cell r="ED37">
            <v>357</v>
          </cell>
          <cell r="EF37">
            <v>359.61200000000002</v>
          </cell>
          <cell r="EG37">
            <v>345.39600000000002</v>
          </cell>
          <cell r="EH37">
            <v>338.4</v>
          </cell>
          <cell r="EI37">
            <v>335.19655599999999</v>
          </cell>
          <cell r="EJ37">
            <v>335.19655599999999</v>
          </cell>
          <cell r="EK37" t="str">
            <v>Period End Basic Shares Outstanding</v>
          </cell>
          <cell r="EL37">
            <v>340.8</v>
          </cell>
          <cell r="EM37">
            <v>340.85399999999998</v>
          </cell>
          <cell r="EN37">
            <v>544.43164000000002</v>
          </cell>
          <cell r="EO37">
            <v>546.79999999999995</v>
          </cell>
          <cell r="EP37">
            <v>546.79999999999995</v>
          </cell>
          <cell r="ER37">
            <v>553.21778400000005</v>
          </cell>
          <cell r="ES37">
            <v>545</v>
          </cell>
          <cell r="ET37">
            <v>530</v>
          </cell>
          <cell r="EU37">
            <v>496.9</v>
          </cell>
          <cell r="EV37">
            <v>496.9</v>
          </cell>
          <cell r="EX37">
            <v>459.62333699999999</v>
          </cell>
          <cell r="EY37">
            <v>435.6</v>
          </cell>
          <cell r="EZ37">
            <v>432.98764799999998</v>
          </cell>
          <cell r="FA37">
            <v>419.7</v>
          </cell>
          <cell r="FB37">
            <v>419.7</v>
          </cell>
          <cell r="FD37">
            <v>420.477236</v>
          </cell>
          <cell r="FE37">
            <v>420.54819300000003</v>
          </cell>
          <cell r="FF37">
            <v>420.56348700000001</v>
          </cell>
          <cell r="FG37">
            <v>420.57529799999998</v>
          </cell>
          <cell r="FH37">
            <v>420.57529799999998</v>
          </cell>
          <cell r="FJ37">
            <v>420.56635599999998</v>
          </cell>
          <cell r="FK37">
            <v>420.5</v>
          </cell>
          <cell r="FL37">
            <v>421</v>
          </cell>
          <cell r="FM37">
            <v>421.53</v>
          </cell>
          <cell r="FN37">
            <v>421.53</v>
          </cell>
          <cell r="FP37">
            <v>422.10645299999999</v>
          </cell>
          <cell r="FQ37">
            <v>422.67482899999999</v>
          </cell>
          <cell r="FR37">
            <v>423</v>
          </cell>
          <cell r="FS37">
            <v>423.3</v>
          </cell>
          <cell r="FT37">
            <v>423.3</v>
          </cell>
          <cell r="FV37">
            <v>425.2</v>
          </cell>
          <cell r="FW37">
            <v>427.5</v>
          </cell>
          <cell r="FX37">
            <v>420.6</v>
          </cell>
          <cell r="FY37">
            <v>414.2</v>
          </cell>
          <cell r="FZ37">
            <v>414.2</v>
          </cell>
          <cell r="GB37">
            <v>414.6</v>
          </cell>
          <cell r="GC37">
            <v>404.3</v>
          </cell>
          <cell r="GD37">
            <v>396.40526315789475</v>
          </cell>
          <cell r="GE37">
            <v>386.88145363408523</v>
          </cell>
          <cell r="GF37">
            <v>386.88145363408523</v>
          </cell>
          <cell r="GS37" t="str">
            <v>mstag:periodEndBasicSharesOutstanding</v>
          </cell>
          <cell r="GT37">
            <v>6</v>
          </cell>
          <cell r="GU37" t="str">
            <v>ms_eqr_gcim_Decimal:ms_eqr_gcim_decimal</v>
          </cell>
          <cell r="GV37" t="b">
            <v>0</v>
          </cell>
          <cell r="GW37" t="b">
            <v>0</v>
          </cell>
        </row>
        <row r="38">
          <cell r="A38" t="str">
            <v>Average Repurchase Price</v>
          </cell>
          <cell r="Y38">
            <v>38.059090830879164</v>
          </cell>
          <cell r="Z38">
            <v>34.721403433168142</v>
          </cell>
          <cell r="AD38">
            <v>0</v>
          </cell>
          <cell r="AE38">
            <v>38.72816212438854</v>
          </cell>
          <cell r="AF38">
            <v>44.008553389238294</v>
          </cell>
          <cell r="AG38">
            <v>50.096916707872467</v>
          </cell>
          <cell r="AH38">
            <v>57.127768483238825</v>
          </cell>
          <cell r="AI38">
            <v>65.259620687985446</v>
          </cell>
          <cell r="AJ38">
            <v>65.259620687985446</v>
          </cell>
          <cell r="AK38">
            <v>65.259620687985446</v>
          </cell>
          <cell r="AL38">
            <v>65.259620687985446</v>
          </cell>
          <cell r="AN38" t="str">
            <v>Average Repurchase Price</v>
          </cell>
          <cell r="ER38">
            <v>33.869</v>
          </cell>
          <cell r="ES38">
            <v>35.432098765432102</v>
          </cell>
          <cell r="ET38">
            <v>41.758793969849251</v>
          </cell>
          <cell r="EU38">
            <v>41.176470588235297</v>
          </cell>
          <cell r="EV38">
            <v>38.059090830879164</v>
          </cell>
          <cell r="EX38">
            <v>44.244444444444447</v>
          </cell>
          <cell r="EY38">
            <v>38.991596638655459</v>
          </cell>
          <cell r="EZ38">
            <v>31.111111111111111</v>
          </cell>
          <cell r="FA38">
            <v>24.53846153846154</v>
          </cell>
          <cell r="FB38">
            <v>34.721403433168142</v>
          </cell>
          <cell r="GB38">
            <v>39.629629629629626</v>
          </cell>
          <cell r="GC38">
            <v>35.283018867924532</v>
          </cell>
          <cell r="GD38">
            <v>38</v>
          </cell>
          <cell r="GE38">
            <v>42</v>
          </cell>
          <cell r="GF38">
            <v>38.72816212438854</v>
          </cell>
        </row>
        <row r="40">
          <cell r="A40" t="str">
            <v>Depreciation &amp; Amortization (Reported)</v>
          </cell>
          <cell r="C40">
            <v>235.45400000000001</v>
          </cell>
          <cell r="D40">
            <v>212.18600000000001</v>
          </cell>
          <cell r="E40">
            <v>212.18600000000001</v>
          </cell>
          <cell r="F40">
            <v>212.18600000000001</v>
          </cell>
          <cell r="G40">
            <v>205.554</v>
          </cell>
          <cell r="H40">
            <v>207.91399999999999</v>
          </cell>
          <cell r="I40">
            <v>251.40600000000001</v>
          </cell>
          <cell r="K40">
            <v>551.07000000000005</v>
          </cell>
          <cell r="L40">
            <v>474.94499999999999</v>
          </cell>
          <cell r="N40">
            <v>497</v>
          </cell>
          <cell r="O40">
            <v>533</v>
          </cell>
          <cell r="P40">
            <v>590</v>
          </cell>
          <cell r="Q40">
            <v>624</v>
          </cell>
          <cell r="R40">
            <v>665</v>
          </cell>
          <cell r="S40">
            <v>651</v>
          </cell>
          <cell r="T40">
            <v>689</v>
          </cell>
          <cell r="U40">
            <v>680</v>
          </cell>
          <cell r="V40">
            <v>710</v>
          </cell>
          <cell r="W40">
            <v>737</v>
          </cell>
          <cell r="X40">
            <v>978</v>
          </cell>
          <cell r="Y40">
            <v>1265</v>
          </cell>
          <cell r="Z40">
            <v>1304</v>
          </cell>
          <cell r="AA40">
            <v>1278</v>
          </cell>
          <cell r="AB40">
            <v>1210</v>
          </cell>
          <cell r="AC40">
            <v>1150</v>
          </cell>
          <cell r="AD40">
            <v>1085</v>
          </cell>
          <cell r="AE40">
            <v>1058.1233144856478</v>
          </cell>
          <cell r="AF40">
            <v>1083.3778550448592</v>
          </cell>
          <cell r="AG40">
            <v>1104.2560836491582</v>
          </cell>
          <cell r="AH40">
            <v>1115.6972553764319</v>
          </cell>
          <cell r="AI40">
            <v>1126.8542279301962</v>
          </cell>
          <cell r="AJ40">
            <v>1138.1227702094982</v>
          </cell>
          <cell r="AK40">
            <v>1149.5039979115932</v>
          </cell>
          <cell r="AL40">
            <v>1160.9990378907089</v>
          </cell>
          <cell r="AN40" t="str">
            <v>Depreciation &amp; Amortization (Reported)</v>
          </cell>
          <cell r="DH40">
            <v>175</v>
          </cell>
          <cell r="DI40">
            <v>174</v>
          </cell>
          <cell r="DJ40">
            <v>177</v>
          </cell>
          <cell r="DK40">
            <v>166</v>
          </cell>
          <cell r="DL40">
            <v>651</v>
          </cell>
          <cell r="DN40">
            <v>169</v>
          </cell>
          <cell r="DO40">
            <v>168</v>
          </cell>
          <cell r="DP40">
            <v>174</v>
          </cell>
          <cell r="DQ40">
            <v>178</v>
          </cell>
          <cell r="DR40">
            <v>689</v>
          </cell>
          <cell r="DT40">
            <v>165</v>
          </cell>
          <cell r="DU40">
            <v>168</v>
          </cell>
          <cell r="DV40">
            <v>167</v>
          </cell>
          <cell r="DW40">
            <v>180</v>
          </cell>
          <cell r="DX40">
            <v>680</v>
          </cell>
          <cell r="DZ40">
            <v>180</v>
          </cell>
          <cell r="EA40">
            <v>173</v>
          </cell>
          <cell r="EB40">
            <v>176</v>
          </cell>
          <cell r="EC40">
            <v>181</v>
          </cell>
          <cell r="ED40">
            <v>710</v>
          </cell>
          <cell r="EF40">
            <v>177</v>
          </cell>
          <cell r="EG40">
            <v>178</v>
          </cell>
          <cell r="EH40">
            <v>178</v>
          </cell>
          <cell r="EI40">
            <v>204</v>
          </cell>
          <cell r="EJ40">
            <v>737</v>
          </cell>
          <cell r="EK40" t="str">
            <v>Depreciation &amp; Amortization (Reported)</v>
          </cell>
          <cell r="EL40">
            <v>177</v>
          </cell>
          <cell r="EM40">
            <v>178</v>
          </cell>
          <cell r="EN40">
            <v>295</v>
          </cell>
          <cell r="EO40">
            <v>328</v>
          </cell>
          <cell r="EP40">
            <v>978</v>
          </cell>
          <cell r="ER40">
            <v>316</v>
          </cell>
          <cell r="ES40">
            <v>314</v>
          </cell>
          <cell r="ET40">
            <v>315</v>
          </cell>
          <cell r="EU40">
            <v>320</v>
          </cell>
          <cell r="EV40">
            <v>1265</v>
          </cell>
          <cell r="EX40">
            <v>329</v>
          </cell>
          <cell r="EY40">
            <v>327</v>
          </cell>
          <cell r="EZ40">
            <v>321</v>
          </cell>
          <cell r="FA40">
            <v>327</v>
          </cell>
          <cell r="FB40">
            <v>1304</v>
          </cell>
          <cell r="FD40">
            <v>315</v>
          </cell>
          <cell r="FE40">
            <v>315</v>
          </cell>
          <cell r="FF40">
            <v>320</v>
          </cell>
          <cell r="FG40">
            <v>328</v>
          </cell>
          <cell r="FH40">
            <v>1278</v>
          </cell>
          <cell r="FJ40">
            <v>303</v>
          </cell>
          <cell r="FK40">
            <v>301</v>
          </cell>
          <cell r="FL40">
            <v>301</v>
          </cell>
          <cell r="FM40">
            <v>305</v>
          </cell>
          <cell r="FN40">
            <v>1210</v>
          </cell>
          <cell r="FP40">
            <v>287</v>
          </cell>
          <cell r="FQ40">
            <v>288</v>
          </cell>
          <cell r="FR40">
            <v>290</v>
          </cell>
          <cell r="FS40">
            <v>285</v>
          </cell>
          <cell r="FT40">
            <v>1150</v>
          </cell>
          <cell r="FV40">
            <v>268</v>
          </cell>
          <cell r="FW40">
            <v>268</v>
          </cell>
          <cell r="FX40">
            <v>282</v>
          </cell>
          <cell r="FY40">
            <v>267</v>
          </cell>
          <cell r="FZ40">
            <v>1085</v>
          </cell>
          <cell r="GB40">
            <v>256</v>
          </cell>
          <cell r="GC40">
            <v>257</v>
          </cell>
          <cell r="GD40">
            <v>275.44005372214991</v>
          </cell>
          <cell r="GE40">
            <v>269.68326076349791</v>
          </cell>
          <cell r="GF40">
            <v>1058.1233144856478</v>
          </cell>
        </row>
        <row r="41">
          <cell r="A41" t="str">
            <v>% of Sales</v>
          </cell>
          <cell r="N41">
            <v>3.4008485014369781E-2</v>
          </cell>
          <cell r="O41">
            <v>3.5933391761612622E-2</v>
          </cell>
          <cell r="P41">
            <v>3.8764783180026283E-2</v>
          </cell>
          <cell r="Q41">
            <v>4.0611780019524896E-2</v>
          </cell>
          <cell r="R41">
            <v>4.148730426102689E-2</v>
          </cell>
          <cell r="S41">
            <v>3.9127298954201223E-2</v>
          </cell>
          <cell r="T41">
            <v>4.3649033892936333E-2</v>
          </cell>
          <cell r="U41">
            <v>4.3670926722753835E-2</v>
          </cell>
          <cell r="V41">
            <v>4.6067998961847913E-2</v>
          </cell>
          <cell r="W41">
            <v>4.6716531440162273E-2</v>
          </cell>
          <cell r="X41">
            <v>4.3680214381420279E-2</v>
          </cell>
          <cell r="Y41">
            <v>4.6903967371153134E-2</v>
          </cell>
          <cell r="Z41">
            <v>4.9557253068825295E-2</v>
          </cell>
          <cell r="AA41">
            <v>5.134179656114414E-2</v>
          </cell>
          <cell r="AB41">
            <v>5.0638208830299229E-2</v>
          </cell>
          <cell r="AC41">
            <v>4.5994480662320522E-2</v>
          </cell>
          <cell r="AD41">
            <v>4.1090702518462412E-2</v>
          </cell>
          <cell r="AE41">
            <v>3.8202403342907414E-2</v>
          </cell>
          <cell r="AF41">
            <v>3.8202403342907414E-2</v>
          </cell>
          <cell r="AG41">
            <v>3.8202403342907414E-2</v>
          </cell>
          <cell r="AH41">
            <v>3.8202403342907414E-2</v>
          </cell>
          <cell r="AI41">
            <v>3.8202403342907414E-2</v>
          </cell>
          <cell r="AJ41">
            <v>3.8202403342907407E-2</v>
          </cell>
          <cell r="AK41">
            <v>3.8202403342907407E-2</v>
          </cell>
          <cell r="AL41">
            <v>3.8202403342907407E-2</v>
          </cell>
          <cell r="AN41" t="str">
            <v>% of Sales</v>
          </cell>
          <cell r="DH41">
            <v>4.897844948222782E-2</v>
          </cell>
          <cell r="DI41">
            <v>4.7295460723022563E-2</v>
          </cell>
          <cell r="DJ41">
            <v>4.6800634584875725E-2</v>
          </cell>
          <cell r="DK41">
            <v>2.9621698786581014E-2</v>
          </cell>
          <cell r="DL41">
            <v>3.9127298954201223E-2</v>
          </cell>
          <cell r="DN41">
            <v>4.7525309336332956E-2</v>
          </cell>
          <cell r="DO41">
            <v>4.8165137614678902E-2</v>
          </cell>
          <cell r="DP41">
            <v>5.0071942446043169E-2</v>
          </cell>
          <cell r="DQ41">
            <v>3.4684333593141076E-2</v>
          </cell>
          <cell r="DR41">
            <v>4.3649033892936333E-2</v>
          </cell>
          <cell r="DT41">
            <v>4.778453518679409E-2</v>
          </cell>
          <cell r="DU41">
            <v>4.8192771084337352E-2</v>
          </cell>
          <cell r="DV41">
            <v>4.8002299511353839E-2</v>
          </cell>
          <cell r="DW41">
            <v>3.5878014749850508E-2</v>
          </cell>
          <cell r="DX41">
            <v>4.3670926722753835E-2</v>
          </cell>
          <cell r="DZ41">
            <v>5.4694621695533276E-2</v>
          </cell>
          <cell r="EA41">
            <v>5.0378567268491554E-2</v>
          </cell>
          <cell r="EB41">
            <v>5.0487664945496273E-2</v>
          </cell>
          <cell r="EC41">
            <v>3.5820304769443895E-2</v>
          </cell>
          <cell r="ED41">
            <v>4.6067998961847913E-2</v>
          </cell>
          <cell r="EF41">
            <v>4.9859154929577466E-2</v>
          </cell>
          <cell r="EG41">
            <v>4.9706785814018432E-2</v>
          </cell>
          <cell r="EH41">
            <v>5.0496453900709219E-2</v>
          </cell>
          <cell r="EI41">
            <v>3.9843749999999997E-2</v>
          </cell>
          <cell r="EJ41">
            <v>4.6716531440162273E-2</v>
          </cell>
          <cell r="EK41" t="str">
            <v>% of Sales</v>
          </cell>
          <cell r="EL41">
            <v>4.861301840153804E-2</v>
          </cell>
          <cell r="EM41">
            <v>4.9130554788849021E-2</v>
          </cell>
          <cell r="EN41">
            <v>5.3105310531053107E-2</v>
          </cell>
          <cell r="EO41">
            <v>3.4270191202591158E-2</v>
          </cell>
          <cell r="EP41">
            <v>4.3680214381420279E-2</v>
          </cell>
          <cell r="ER41">
            <v>5.3288364249578418E-2</v>
          </cell>
          <cell r="ES41">
            <v>5.237698081734779E-2</v>
          </cell>
          <cell r="ET41">
            <v>5.3516819571865444E-2</v>
          </cell>
          <cell r="EU41">
            <v>3.493831204279943E-2</v>
          </cell>
          <cell r="EV41">
            <v>4.6903967371153134E-2</v>
          </cell>
          <cell r="EX41">
            <v>5.5564938355007601E-2</v>
          </cell>
          <cell r="EY41">
            <v>5.54989816700611E-2</v>
          </cell>
          <cell r="EZ41">
            <v>5.4351506942092787E-2</v>
          </cell>
          <cell r="FA41">
            <v>3.8049802187572722E-2</v>
          </cell>
          <cell r="FB41">
            <v>4.9557253068825295E-2</v>
          </cell>
          <cell r="FD41">
            <v>5.4811205846528627E-2</v>
          </cell>
          <cell r="FE41">
            <v>5.5089192025183628E-2</v>
          </cell>
          <cell r="FF41">
            <v>5.8255962133624613E-2</v>
          </cell>
          <cell r="FG41">
            <v>4.1341063776153264E-2</v>
          </cell>
          <cell r="FH41">
            <v>5.134179656114414E-2</v>
          </cell>
          <cell r="FJ41">
            <v>5.7299546142208772E-2</v>
          </cell>
          <cell r="FK41">
            <v>5.6953642384105961E-2</v>
          </cell>
          <cell r="FL41">
            <v>5.5896007428040857E-2</v>
          </cell>
          <cell r="FM41">
            <v>3.8427617487715761E-2</v>
          </cell>
          <cell r="FN41">
            <v>5.0638208830299229E-2</v>
          </cell>
          <cell r="FP41">
            <v>5.1489056332974521E-2</v>
          </cell>
          <cell r="FQ41">
            <v>5.2013725844320027E-2</v>
          </cell>
          <cell r="FR41">
            <v>5.1573892939711895E-2</v>
          </cell>
          <cell r="FS41">
            <v>3.4466078123110415E-2</v>
          </cell>
          <cell r="FT41">
            <v>4.5994480662320522E-2</v>
          </cell>
          <cell r="FV41">
            <v>4.5508575309899817E-2</v>
          </cell>
          <cell r="FW41">
            <v>4.512544199360162E-2</v>
          </cell>
          <cell r="FX41">
            <v>4.8180420297283442E-2</v>
          </cell>
          <cell r="FY41">
            <v>3.0605226960110043E-2</v>
          </cell>
          <cell r="FZ41">
            <v>4.1090702518462412E-2</v>
          </cell>
          <cell r="GB41">
            <v>4.1673449454663843E-2</v>
          </cell>
          <cell r="GC41">
            <v>4.2007191892775415E-2</v>
          </cell>
          <cell r="GD41">
            <v>4.5379616732146563E-2</v>
          </cell>
          <cell r="GE41">
            <v>2.8790370881885484E-2</v>
          </cell>
          <cell r="GF41">
            <v>3.8202403342907414E-2</v>
          </cell>
        </row>
        <row r="42">
          <cell r="A42" t="str">
            <v>EBITDA (FIFO)</v>
          </cell>
          <cell r="C42" t="str">
            <v xml:space="preserve">NM </v>
          </cell>
          <cell r="D42" t="str">
            <v xml:space="preserve">NM </v>
          </cell>
          <cell r="E42">
            <v>479.15800000000024</v>
          </cell>
          <cell r="F42">
            <v>513.08899999999983</v>
          </cell>
          <cell r="G42">
            <v>643.98800000000062</v>
          </cell>
          <cell r="H42">
            <v>718.55699999999911</v>
          </cell>
          <cell r="I42">
            <v>892.50999999999885</v>
          </cell>
          <cell r="J42">
            <v>0.20265241838785197</v>
          </cell>
          <cell r="K42">
            <v>1233.8709999999996</v>
          </cell>
          <cell r="L42">
            <v>1469.5959999999989</v>
          </cell>
          <cell r="N42">
            <v>1160</v>
          </cell>
          <cell r="O42">
            <v>1426</v>
          </cell>
          <cell r="P42">
            <v>1931</v>
          </cell>
          <cell r="Q42">
            <v>2079</v>
          </cell>
          <cell r="R42">
            <v>2358</v>
          </cell>
          <cell r="S42">
            <v>2422</v>
          </cell>
          <cell r="T42">
            <v>2065</v>
          </cell>
          <cell r="U42">
            <v>2091</v>
          </cell>
          <cell r="V42">
            <v>2110</v>
          </cell>
          <cell r="W42">
            <v>2236</v>
          </cell>
          <cell r="X42">
            <v>3116</v>
          </cell>
          <cell r="Y42">
            <v>3538</v>
          </cell>
          <cell r="Z42">
            <v>3386</v>
          </cell>
          <cell r="AA42">
            <v>2703</v>
          </cell>
          <cell r="AB42">
            <v>2664</v>
          </cell>
          <cell r="AC42">
            <v>3069</v>
          </cell>
          <cell r="AD42">
            <v>3471</v>
          </cell>
          <cell r="AE42">
            <v>3729.419936712914</v>
          </cell>
          <cell r="AF42">
            <v>3860.9694388964058</v>
          </cell>
          <cell r="AG42">
            <v>4007.6393206478215</v>
          </cell>
          <cell r="AH42">
            <v>4049.1623789016467</v>
          </cell>
          <cell r="AI42">
            <v>4060.1570567049512</v>
          </cell>
          <cell r="AJ42">
            <v>4130.5505427175704</v>
          </cell>
          <cell r="AK42">
            <v>4201.9458827447743</v>
          </cell>
          <cell r="AL42">
            <v>4274.3560745182449</v>
          </cell>
          <cell r="AN42" t="str">
            <v>EBITDA (FIFO)</v>
          </cell>
          <cell r="DH42">
            <v>444</v>
          </cell>
          <cell r="DI42">
            <v>576</v>
          </cell>
          <cell r="DJ42">
            <v>446</v>
          </cell>
          <cell r="DK42">
            <v>997</v>
          </cell>
          <cell r="DL42">
            <v>2422</v>
          </cell>
          <cell r="DN42">
            <v>399</v>
          </cell>
          <cell r="DO42">
            <v>422</v>
          </cell>
          <cell r="DP42">
            <v>330</v>
          </cell>
          <cell r="DQ42">
            <v>914</v>
          </cell>
          <cell r="DR42">
            <v>2065</v>
          </cell>
          <cell r="DT42">
            <v>386</v>
          </cell>
          <cell r="DU42">
            <v>468</v>
          </cell>
          <cell r="DV42">
            <v>355</v>
          </cell>
          <cell r="DW42">
            <v>882</v>
          </cell>
          <cell r="DX42">
            <v>2091</v>
          </cell>
          <cell r="DZ42">
            <v>334</v>
          </cell>
          <cell r="EA42">
            <v>447</v>
          </cell>
          <cell r="EB42">
            <v>378</v>
          </cell>
          <cell r="EC42">
            <v>951</v>
          </cell>
          <cell r="ED42">
            <v>2110</v>
          </cell>
          <cell r="EF42">
            <v>413</v>
          </cell>
          <cell r="EG42">
            <v>454</v>
          </cell>
          <cell r="EH42">
            <v>389</v>
          </cell>
          <cell r="EI42">
            <v>980</v>
          </cell>
          <cell r="EJ42">
            <v>2236</v>
          </cell>
          <cell r="EK42" t="str">
            <v>EBITDA (FIFO)</v>
          </cell>
          <cell r="EL42">
            <v>429</v>
          </cell>
          <cell r="EM42">
            <v>469</v>
          </cell>
          <cell r="EN42">
            <v>565</v>
          </cell>
          <cell r="EO42">
            <v>1653</v>
          </cell>
          <cell r="EP42">
            <v>3116</v>
          </cell>
          <cell r="ER42">
            <v>465</v>
          </cell>
          <cell r="ES42">
            <v>722</v>
          </cell>
          <cell r="ET42">
            <v>594</v>
          </cell>
          <cell r="EU42">
            <v>1757</v>
          </cell>
          <cell r="EV42">
            <v>3538</v>
          </cell>
          <cell r="EX42">
            <v>573</v>
          </cell>
          <cell r="EY42">
            <v>674</v>
          </cell>
          <cell r="EZ42">
            <v>521</v>
          </cell>
          <cell r="FA42">
            <v>1618</v>
          </cell>
          <cell r="FB42">
            <v>3386</v>
          </cell>
          <cell r="FD42">
            <v>455</v>
          </cell>
          <cell r="FE42">
            <v>650</v>
          </cell>
          <cell r="FF42">
            <v>404</v>
          </cell>
          <cell r="FG42">
            <v>1194</v>
          </cell>
          <cell r="FH42">
            <v>2703</v>
          </cell>
          <cell r="FJ42">
            <v>327</v>
          </cell>
          <cell r="FK42">
            <v>583</v>
          </cell>
          <cell r="FL42">
            <v>389</v>
          </cell>
          <cell r="FM42">
            <v>1365</v>
          </cell>
          <cell r="FN42">
            <v>2664</v>
          </cell>
          <cell r="FP42">
            <v>490</v>
          </cell>
          <cell r="FQ42">
            <v>658</v>
          </cell>
          <cell r="FR42">
            <v>467</v>
          </cell>
          <cell r="FS42">
            <v>1454</v>
          </cell>
          <cell r="FT42">
            <v>3069</v>
          </cell>
          <cell r="FV42">
            <v>598</v>
          </cell>
          <cell r="FW42">
            <v>774</v>
          </cell>
          <cell r="FX42">
            <v>573</v>
          </cell>
          <cell r="FY42">
            <v>1526</v>
          </cell>
          <cell r="FZ42">
            <v>3471</v>
          </cell>
          <cell r="GB42">
            <v>647</v>
          </cell>
          <cell r="GC42">
            <v>811</v>
          </cell>
          <cell r="GD42">
            <v>557.01504824879794</v>
          </cell>
          <cell r="GE42">
            <v>1714.4048884641161</v>
          </cell>
          <cell r="GF42">
            <v>3729.419936712914</v>
          </cell>
          <cell r="GS42" t="str">
            <v>mstag:tag013</v>
          </cell>
          <cell r="GT42">
            <v>6</v>
          </cell>
          <cell r="GU42" t="str">
            <v>ISO4217:USD</v>
          </cell>
          <cell r="GV42" t="b">
            <v>0</v>
          </cell>
          <cell r="GW42" t="b">
            <v>0</v>
          </cell>
        </row>
        <row r="43">
          <cell r="A43" t="str">
            <v>EBITDA Margin</v>
          </cell>
          <cell r="E43">
            <v>6.9119399081664284E-2</v>
          </cell>
          <cell r="F43">
            <v>7.4014006560282869E-2</v>
          </cell>
          <cell r="G43">
            <v>9.0959515058105789E-2</v>
          </cell>
          <cell r="H43">
            <v>9.9393643129186429E-2</v>
          </cell>
          <cell r="I43">
            <v>0.11579794529390085</v>
          </cell>
          <cell r="K43">
            <v>9.0053716746341619E-2</v>
          </cell>
          <cell r="L43">
            <v>0.10498588587511638</v>
          </cell>
          <cell r="N43">
            <v>7.9375940878609552E-2</v>
          </cell>
          <cell r="O43">
            <v>9.6136991842513314E-2</v>
          </cell>
          <cell r="P43">
            <v>0.12687253613666227</v>
          </cell>
          <cell r="Q43">
            <v>0.13530751708428246</v>
          </cell>
          <cell r="R43">
            <v>0.14710836608646827</v>
          </cell>
          <cell r="S43">
            <v>0.14557038105541531</v>
          </cell>
          <cell r="T43">
            <v>0.13082039911308205</v>
          </cell>
          <cell r="U43">
            <v>0.13428809967246805</v>
          </cell>
          <cell r="V43">
            <v>0.13690630677394239</v>
          </cell>
          <cell r="W43">
            <v>0.14173427991886409</v>
          </cell>
          <cell r="X43">
            <v>0.13916927199642698</v>
          </cell>
          <cell r="Y43">
            <v>0.13118279569892474</v>
          </cell>
          <cell r="Z43">
            <v>0.12868164025386691</v>
          </cell>
          <cell r="AA43">
            <v>0.10858910493331191</v>
          </cell>
          <cell r="AB43">
            <v>0.11148775894538607</v>
          </cell>
          <cell r="AC43">
            <v>0.1227452705675319</v>
          </cell>
          <cell r="AD43">
            <v>0.13145237644385532</v>
          </cell>
          <cell r="AE43">
            <v>0.13464669259900278</v>
          </cell>
          <cell r="AF43">
            <v>0.13614669259900275</v>
          </cell>
          <cell r="AG43">
            <v>0.13864669259900278</v>
          </cell>
          <cell r="AH43">
            <v>0.13864669259900272</v>
          </cell>
          <cell r="AI43">
            <v>0.13764669259900278</v>
          </cell>
          <cell r="AJ43">
            <v>0.13864669259900272</v>
          </cell>
          <cell r="AK43">
            <v>0.13964669259900278</v>
          </cell>
          <cell r="AL43">
            <v>0.14064669259900264</v>
          </cell>
          <cell r="AN43" t="str">
            <v>EBITDA Margin</v>
          </cell>
          <cell r="DH43">
            <v>0.12426532325776658</v>
          </cell>
          <cell r="DI43">
            <v>0.15656428377276435</v>
          </cell>
          <cell r="DJ43">
            <v>0.11792702273929138</v>
          </cell>
          <cell r="DK43">
            <v>0.17790863668807994</v>
          </cell>
          <cell r="DL43">
            <v>0.14557038105541531</v>
          </cell>
          <cell r="DN43">
            <v>0.11220472440944881</v>
          </cell>
          <cell r="DO43">
            <v>0.12098623853211009</v>
          </cell>
          <cell r="DP43">
            <v>9.4964028776978418E-2</v>
          </cell>
          <cell r="DQ43">
            <v>0.17809820732657833</v>
          </cell>
          <cell r="DR43">
            <v>0.13082039911308205</v>
          </cell>
          <cell r="DT43">
            <v>0.11178685201274255</v>
          </cell>
          <cell r="DU43">
            <v>0.13425129087779691</v>
          </cell>
          <cell r="DV43">
            <v>0.10204081632653061</v>
          </cell>
          <cell r="DW43">
            <v>0.17580227227426748</v>
          </cell>
          <cell r="DX43">
            <v>0.13428809967246805</v>
          </cell>
          <cell r="DZ43">
            <v>0.10148890914615619</v>
          </cell>
          <cell r="EA43">
            <v>0.13016889924286545</v>
          </cell>
          <cell r="EB43">
            <v>0.10843373493975904</v>
          </cell>
          <cell r="EC43">
            <v>0.18820502671680189</v>
          </cell>
          <cell r="ED43">
            <v>0.13690630677394239</v>
          </cell>
          <cell r="EF43">
            <v>0.11633802816901409</v>
          </cell>
          <cell r="EG43">
            <v>0.12678022898631666</v>
          </cell>
          <cell r="EH43">
            <v>0.11035460992907802</v>
          </cell>
          <cell r="EI43">
            <v>0.19140625</v>
          </cell>
          <cell r="EJ43">
            <v>0.14173427991886409</v>
          </cell>
          <cell r="EK43" t="str">
            <v>EBITDA Margin</v>
          </cell>
          <cell r="EL43">
            <v>0.11782477341389729</v>
          </cell>
          <cell r="EM43">
            <v>0.12945073143803479</v>
          </cell>
          <cell r="EN43">
            <v>0.10171017101710171</v>
          </cell>
          <cell r="EO43">
            <v>0.17270922578622924</v>
          </cell>
          <cell r="EP43">
            <v>0.13916927199642698</v>
          </cell>
          <cell r="ER43">
            <v>7.8414839797639121E-2</v>
          </cell>
          <cell r="ES43">
            <v>0.12043369474562135</v>
          </cell>
          <cell r="ET43">
            <v>0.10091743119266056</v>
          </cell>
          <cell r="EU43">
            <v>0.19183316955999563</v>
          </cell>
          <cell r="EV43">
            <v>0.13118279569892474</v>
          </cell>
          <cell r="EX43">
            <v>9.6774193548387094E-2</v>
          </cell>
          <cell r="EY43">
            <v>0.11439239646978955</v>
          </cell>
          <cell r="EZ43">
            <v>8.8215374195733151E-2</v>
          </cell>
          <cell r="FA43">
            <v>0.18827088666511518</v>
          </cell>
          <cell r="FB43">
            <v>0.12868164025386691</v>
          </cell>
          <cell r="FD43">
            <v>7.9171741778319121E-2</v>
          </cell>
          <cell r="FE43">
            <v>0.1136761105281567</v>
          </cell>
          <cell r="FF43">
            <v>7.3548152193701075E-2</v>
          </cell>
          <cell r="FG43">
            <v>0.15049155533148476</v>
          </cell>
          <cell r="FH43">
            <v>0.10858910493331191</v>
          </cell>
          <cell r="FJ43">
            <v>6.1838124054462935E-2</v>
          </cell>
          <cell r="FK43">
            <v>0.11031220435193945</v>
          </cell>
          <cell r="FL43">
            <v>7.2237697307335189E-2</v>
          </cell>
          <cell r="FM43">
            <v>0.17197933728108858</v>
          </cell>
          <cell r="FN43">
            <v>0.11148775894538607</v>
          </cell>
          <cell r="FP43">
            <v>8.7908144958737E-2</v>
          </cell>
          <cell r="FQ43">
            <v>0.11883691529709228</v>
          </cell>
          <cell r="FR43">
            <v>8.3051751733949852E-2</v>
          </cell>
          <cell r="FS43">
            <v>0.17583746523158786</v>
          </cell>
          <cell r="FT43">
            <v>0.1227452705675319</v>
          </cell>
          <cell r="FV43">
            <v>0.10154525386313466</v>
          </cell>
          <cell r="FW43">
            <v>0.13032497053375988</v>
          </cell>
          <cell r="FX43">
            <v>9.7898513582778068E-2</v>
          </cell>
          <cell r="FY43">
            <v>0.17491976157725814</v>
          </cell>
          <cell r="FZ43">
            <v>0.13145237644385532</v>
          </cell>
          <cell r="GB43">
            <v>0.10532313202018558</v>
          </cell>
          <cell r="GC43">
            <v>0.13255966001961425</v>
          </cell>
          <cell r="GD43">
            <v>9.1769984292360302E-2</v>
          </cell>
          <cell r="GE43">
            <v>0.18302341955100002</v>
          </cell>
          <cell r="GF43">
            <v>0.13464669259900278</v>
          </cell>
        </row>
        <row r="44">
          <cell r="A44" t="str">
            <v>EBITDA (FIFO)/Share</v>
          </cell>
          <cell r="C44" t="str">
            <v xml:space="preserve">NM </v>
          </cell>
          <cell r="D44" t="str">
            <v xml:space="preserve">NM </v>
          </cell>
          <cell r="E44" t="str">
            <v xml:space="preserve">NM </v>
          </cell>
          <cell r="F44">
            <v>4.6078940278401426</v>
          </cell>
          <cell r="G44">
            <v>5.783457566232606</v>
          </cell>
          <cell r="H44">
            <v>5.8796370345149693</v>
          </cell>
          <cell r="I44">
            <v>6.8511292093559586</v>
          </cell>
          <cell r="K44">
            <v>6.7720691547749707</v>
          </cell>
          <cell r="L44">
            <v>8.0326861690497999</v>
          </cell>
          <cell r="N44">
            <v>2.9999586212603964</v>
          </cell>
          <cell r="O44">
            <v>3.2059352517985609</v>
          </cell>
          <cell r="P44">
            <v>4.2507946850757703</v>
          </cell>
          <cell r="Q44">
            <v>4.6015936254980074</v>
          </cell>
          <cell r="R44">
            <v>5.3688524590163933</v>
          </cell>
          <cell r="S44">
            <v>5.853776435045317</v>
          </cell>
          <cell r="T44">
            <v>5.1728456913827658</v>
          </cell>
          <cell r="U44">
            <v>5.2610391244181658</v>
          </cell>
          <cell r="V44">
            <v>5.6538049303322619</v>
          </cell>
          <cell r="W44">
            <v>6.2738496071829406</v>
          </cell>
          <cell r="X44">
            <v>7.1698113207547163</v>
          </cell>
          <cell r="Y44">
            <v>6.4597407339784549</v>
          </cell>
          <cell r="Z44">
            <v>7.4952960708356384</v>
          </cell>
          <cell r="AA44">
            <v>6.4139526606157684</v>
          </cell>
          <cell r="AB44">
            <v>6.3075648159109736</v>
          </cell>
          <cell r="AC44">
            <v>7.1521789792589132</v>
          </cell>
          <cell r="AD44">
            <v>8.0645910780669148</v>
          </cell>
          <cell r="AE44">
            <v>9.0707260857902199</v>
          </cell>
          <cell r="AF44">
            <v>10.333338237135949</v>
          </cell>
          <cell r="AG44">
            <v>11.879397477669373</v>
          </cell>
          <cell r="AH44">
            <v>13.066425230947521</v>
          </cell>
          <cell r="AI44">
            <v>13.737307488158827</v>
          </cell>
          <cell r="AJ44">
            <v>14.540893858632437</v>
          </cell>
          <cell r="AK44">
            <v>15.861777390263473</v>
          </cell>
          <cell r="AL44">
            <v>17.501817914319677</v>
          </cell>
          <cell r="AN44" t="str">
            <v>EBITDA (FIFO)/Share</v>
          </cell>
          <cell r="DH44">
            <v>1.0263522884882108</v>
          </cell>
          <cell r="DI44">
            <v>1.3812949640287771</v>
          </cell>
          <cell r="DJ44">
            <v>1.1089010442565888</v>
          </cell>
          <cell r="DK44">
            <v>2.472718253968254</v>
          </cell>
          <cell r="DL44">
            <v>5.853776435045317</v>
          </cell>
          <cell r="DN44">
            <v>0.97746202841744245</v>
          </cell>
          <cell r="DO44">
            <v>1.0571142284569139</v>
          </cell>
          <cell r="DP44">
            <v>0.84789311408016443</v>
          </cell>
          <cell r="DQ44">
            <v>2.2838580709645178</v>
          </cell>
          <cell r="DR44">
            <v>5.1728456913827658</v>
          </cell>
          <cell r="DT44">
            <v>0.94607843137254899</v>
          </cell>
          <cell r="DU44">
            <v>1.1498771498771498</v>
          </cell>
          <cell r="DV44">
            <v>0.9060745278203165</v>
          </cell>
          <cell r="DW44">
            <v>2.3028720626631856</v>
          </cell>
          <cell r="DX44">
            <v>5.2610391244181658</v>
          </cell>
          <cell r="DZ44">
            <v>0.8812664907651715</v>
          </cell>
          <cell r="EA44">
            <v>1.1939102564102564</v>
          </cell>
          <cell r="EB44">
            <v>1.0177705977382876</v>
          </cell>
          <cell r="EC44">
            <v>2.5856443719412723</v>
          </cell>
          <cell r="ED44">
            <v>5.6538049303322619</v>
          </cell>
          <cell r="EF44">
            <v>1.1210640608034745</v>
          </cell>
          <cell r="EG44">
            <v>1.2472527472527473</v>
          </cell>
          <cell r="EH44">
            <v>1.1152522935779816</v>
          </cell>
          <cell r="EI44">
            <v>2.8422273781902549</v>
          </cell>
          <cell r="EJ44">
            <v>6.2738496071829406</v>
          </cell>
          <cell r="EK44" t="str">
            <v>EBITDA (FIFO)/Share</v>
          </cell>
          <cell r="EL44">
            <v>1.2413194444444444</v>
          </cell>
          <cell r="EM44">
            <v>1.3346613545816735</v>
          </cell>
          <cell r="EN44">
            <v>1.1604025467241734</v>
          </cell>
          <cell r="EO44">
            <v>2.9826777336701551</v>
          </cell>
          <cell r="EP44">
            <v>7.1698113207547163</v>
          </cell>
          <cell r="ER44">
            <v>0.83333333333333337</v>
          </cell>
          <cell r="ES44">
            <v>1.2911301859799713</v>
          </cell>
          <cell r="ET44">
            <v>1.0801963993453356</v>
          </cell>
          <cell r="EU44">
            <v>3.354974221882757</v>
          </cell>
          <cell r="EV44">
            <v>6.4597407339784549</v>
          </cell>
          <cell r="EX44">
            <v>1.2027707808564232</v>
          </cell>
          <cell r="EY44">
            <v>1.472258628221931</v>
          </cell>
          <cell r="EZ44">
            <v>1.1892262040629993</v>
          </cell>
          <cell r="FA44">
            <v>3.72210720036807</v>
          </cell>
          <cell r="FB44">
            <v>7.4952960708356384</v>
          </cell>
          <cell r="FD44">
            <v>1.0810168686148729</v>
          </cell>
          <cell r="FE44">
            <v>1.5399194503672116</v>
          </cell>
          <cell r="FF44">
            <v>0.95893662473296937</v>
          </cell>
          <cell r="FG44">
            <v>2.8334124347413385</v>
          </cell>
          <cell r="FH44">
            <v>6.4139526606157684</v>
          </cell>
          <cell r="FJ44">
            <v>0.77598481252966311</v>
          </cell>
          <cell r="FK44">
            <v>1.3811892916370527</v>
          </cell>
          <cell r="FL44">
            <v>0.92223802750118533</v>
          </cell>
          <cell r="FM44">
            <v>3.2185805234614477</v>
          </cell>
          <cell r="FN44">
            <v>6.3075648159109736</v>
          </cell>
          <cell r="FP44">
            <v>1.1496949788831534</v>
          </cell>
          <cell r="FQ44">
            <v>1.5427901524032825</v>
          </cell>
          <cell r="FR44">
            <v>1.0921421889616463</v>
          </cell>
          <cell r="FS44">
            <v>3.3892773892773893</v>
          </cell>
          <cell r="FT44">
            <v>7.1521789792589132</v>
          </cell>
          <cell r="FV44">
            <v>1.3906976744186046</v>
          </cell>
          <cell r="FW44">
            <v>1.7809479981592269</v>
          </cell>
          <cell r="FX44">
            <v>1.3270032422417786</v>
          </cell>
          <cell r="FY44">
            <v>3.5712614088462438</v>
          </cell>
          <cell r="FZ44">
            <v>8.0645910780669148</v>
          </cell>
          <cell r="GB44">
            <v>1.5270238376209582</v>
          </cell>
          <cell r="GC44">
            <v>1.9443778470390793</v>
          </cell>
          <cell r="GD44">
            <v>1.3711050832677567</v>
          </cell>
          <cell r="GE44">
            <v>4.3124978754051018</v>
          </cell>
          <cell r="GF44">
            <v>9.0707260857902199</v>
          </cell>
        </row>
        <row r="46">
          <cell r="A46" t="str">
            <v>Pre-Tax Extraordinary Charges/(FYins)</v>
          </cell>
          <cell r="N46">
            <v>0</v>
          </cell>
          <cell r="O46">
            <v>0</v>
          </cell>
          <cell r="P46">
            <v>64.977391304347833</v>
          </cell>
          <cell r="Q46">
            <v>39.049635036496348</v>
          </cell>
          <cell r="R46">
            <v>0</v>
          </cell>
          <cell r="S46">
            <v>80</v>
          </cell>
          <cell r="T46">
            <v>194.65822784810126</v>
          </cell>
          <cell r="U46">
            <v>68</v>
          </cell>
          <cell r="V46">
            <v>-3.8885496183206101</v>
          </cell>
          <cell r="W46">
            <v>158</v>
          </cell>
          <cell r="X46">
            <v>-454.87025227165736</v>
          </cell>
          <cell r="Y46">
            <v>238.49507674485955</v>
          </cell>
          <cell r="Z46">
            <v>95.101083032490976</v>
          </cell>
          <cell r="AA46">
            <v>4548.1295336787571</v>
          </cell>
          <cell r="AB46">
            <v>391</v>
          </cell>
          <cell r="AC46">
            <v>89.519480519480524</v>
          </cell>
          <cell r="AD46">
            <v>-25</v>
          </cell>
          <cell r="AE46">
            <v>0</v>
          </cell>
          <cell r="AF46">
            <v>0</v>
          </cell>
          <cell r="AG46">
            <v>0</v>
          </cell>
          <cell r="AH46">
            <v>0</v>
          </cell>
          <cell r="AI46">
            <v>0</v>
          </cell>
          <cell r="AJ46">
            <v>0</v>
          </cell>
          <cell r="AK46">
            <v>0</v>
          </cell>
          <cell r="AL46">
            <v>0</v>
          </cell>
          <cell r="AN46" t="str">
            <v>Pre-Tax Extraordinary Charges/(FYins)</v>
          </cell>
          <cell r="FY46">
            <v>1151</v>
          </cell>
          <cell r="GS46" t="str">
            <v>mstag:incomeLossFromExtraordinaryItemsPretax</v>
          </cell>
          <cell r="GT46">
            <v>6</v>
          </cell>
          <cell r="GU46" t="str">
            <v>ISO4217:USD</v>
          </cell>
          <cell r="GV46" t="b">
            <v>1</v>
          </cell>
          <cell r="GW46" t="b">
            <v>0</v>
          </cell>
        </row>
        <row r="47">
          <cell r="A47" t="str">
            <v>Taxes (Benefit) on Extraordinary Charges</v>
          </cell>
          <cell r="N47">
            <v>0</v>
          </cell>
          <cell r="O47">
            <v>0</v>
          </cell>
          <cell r="P47">
            <v>-25.97739130434783</v>
          </cell>
          <cell r="Q47">
            <v>-16.049635036496348</v>
          </cell>
          <cell r="R47">
            <v>0</v>
          </cell>
          <cell r="S47">
            <v>0</v>
          </cell>
          <cell r="T47">
            <v>30.341772151898731</v>
          </cell>
          <cell r="U47">
            <v>0</v>
          </cell>
          <cell r="V47">
            <v>24.888549618320614</v>
          </cell>
          <cell r="W47">
            <v>0</v>
          </cell>
          <cell r="X47">
            <v>56.870252271657364</v>
          </cell>
          <cell r="Y47">
            <v>73.879923255140454</v>
          </cell>
          <cell r="Z47">
            <v>45.898916967509031</v>
          </cell>
          <cell r="AA47">
            <v>1254.8704663212436</v>
          </cell>
          <cell r="AB47">
            <v>0</v>
          </cell>
          <cell r="AC47">
            <v>-23.119480519480522</v>
          </cell>
          <cell r="AD47">
            <v>0</v>
          </cell>
          <cell r="AE47">
            <v>0</v>
          </cell>
          <cell r="AF47">
            <v>0</v>
          </cell>
          <cell r="AG47">
            <v>0</v>
          </cell>
          <cell r="AH47">
            <v>0</v>
          </cell>
          <cell r="AI47">
            <v>0</v>
          </cell>
          <cell r="AJ47">
            <v>0</v>
          </cell>
          <cell r="AK47">
            <v>0</v>
          </cell>
          <cell r="AL47">
            <v>0</v>
          </cell>
          <cell r="AN47" t="str">
            <v>Taxes (Benefit) on Extraordinary Charges</v>
          </cell>
          <cell r="FY47">
            <v>0.6329278887923544</v>
          </cell>
          <cell r="GS47" t="str">
            <v>mstag:taxOnIncomeLossFromExtraordinaryItems</v>
          </cell>
          <cell r="GT47">
            <v>6</v>
          </cell>
          <cell r="GU47" t="str">
            <v>ISO4217:USD</v>
          </cell>
          <cell r="GV47" t="b">
            <v>0</v>
          </cell>
        </row>
        <row r="48">
          <cell r="A48" t="str">
            <v>Post-Tax Extraordinary Charges/(FYins)</v>
          </cell>
          <cell r="N48">
            <v>0</v>
          </cell>
          <cell r="O48">
            <v>0</v>
          </cell>
          <cell r="P48">
            <v>39</v>
          </cell>
          <cell r="Q48">
            <v>23</v>
          </cell>
          <cell r="R48">
            <v>0</v>
          </cell>
          <cell r="S48">
            <v>80</v>
          </cell>
          <cell r="T48">
            <v>225</v>
          </cell>
          <cell r="U48">
            <v>68</v>
          </cell>
          <cell r="V48">
            <v>21.000000000000004</v>
          </cell>
          <cell r="W48">
            <v>158</v>
          </cell>
          <cell r="X48">
            <v>-398</v>
          </cell>
          <cell r="Y48">
            <v>312.375</v>
          </cell>
          <cell r="Z48">
            <v>141</v>
          </cell>
          <cell r="AA48">
            <v>5803.0000000000009</v>
          </cell>
          <cell r="AB48">
            <v>391</v>
          </cell>
          <cell r="AC48">
            <v>66.400000000000006</v>
          </cell>
          <cell r="AD48">
            <v>-25</v>
          </cell>
          <cell r="AE48">
            <v>0</v>
          </cell>
          <cell r="AF48">
            <v>0</v>
          </cell>
          <cell r="AG48">
            <v>0</v>
          </cell>
          <cell r="AH48">
            <v>0</v>
          </cell>
          <cell r="AI48">
            <v>0</v>
          </cell>
          <cell r="AJ48">
            <v>0</v>
          </cell>
          <cell r="AK48">
            <v>0</v>
          </cell>
          <cell r="AL48">
            <v>0</v>
          </cell>
          <cell r="AN48" t="str">
            <v>Post-Tax Extraordinary Charges/(FYins)</v>
          </cell>
        </row>
        <row r="50">
          <cell r="A50" t="str">
            <v>Extraordinary Charges (FYins)</v>
          </cell>
          <cell r="AN50" t="str">
            <v>Extraordinary Charges (FYins)</v>
          </cell>
          <cell r="FD50">
            <v>110</v>
          </cell>
          <cell r="FE50">
            <v>76</v>
          </cell>
          <cell r="FF50">
            <v>16</v>
          </cell>
          <cell r="FG50">
            <v>219</v>
          </cell>
          <cell r="FH50">
            <v>421</v>
          </cell>
          <cell r="FJ50">
            <v>138</v>
          </cell>
          <cell r="FK50">
            <v>34</v>
          </cell>
          <cell r="FL50">
            <v>33</v>
          </cell>
          <cell r="FM50">
            <v>186</v>
          </cell>
          <cell r="FN50">
            <v>391</v>
          </cell>
          <cell r="FP50">
            <v>0</v>
          </cell>
          <cell r="FQ50">
            <v>0</v>
          </cell>
          <cell r="FR50">
            <v>0</v>
          </cell>
          <cell r="FS50">
            <v>25</v>
          </cell>
          <cell r="FT50">
            <v>25</v>
          </cell>
          <cell r="FV50">
            <v>0</v>
          </cell>
          <cell r="FW50">
            <v>0</v>
          </cell>
          <cell r="FX50">
            <v>0</v>
          </cell>
          <cell r="FY50">
            <v>-25</v>
          </cell>
          <cell r="FZ50">
            <v>-25</v>
          </cell>
          <cell r="GB50">
            <v>0</v>
          </cell>
          <cell r="GC50">
            <v>0</v>
          </cell>
          <cell r="GD50">
            <v>0</v>
          </cell>
          <cell r="GE50">
            <v>0</v>
          </cell>
          <cell r="GF50">
            <v>0</v>
          </cell>
        </row>
        <row r="51">
          <cell r="A51" t="str">
            <v>Taxes on Extraordinary Charges (FYins)</v>
          </cell>
          <cell r="AN51" t="str">
            <v>Taxes on Extraordinary Charges (FYins)</v>
          </cell>
          <cell r="FD51">
            <v>41</v>
          </cell>
          <cell r="FE51">
            <v>28</v>
          </cell>
          <cell r="FF51">
            <v>6</v>
          </cell>
          <cell r="FG51">
            <v>81</v>
          </cell>
          <cell r="FH51">
            <v>156</v>
          </cell>
          <cell r="FJ51">
            <v>118</v>
          </cell>
          <cell r="FK51">
            <v>-43</v>
          </cell>
          <cell r="FL51">
            <v>10</v>
          </cell>
          <cell r="FM51">
            <v>59</v>
          </cell>
          <cell r="FN51">
            <v>144</v>
          </cell>
          <cell r="FP51">
            <v>0</v>
          </cell>
          <cell r="FQ51">
            <v>0</v>
          </cell>
          <cell r="FR51">
            <v>0</v>
          </cell>
          <cell r="FS51">
            <v>0</v>
          </cell>
          <cell r="FT51">
            <v>0</v>
          </cell>
          <cell r="FV51">
            <v>0</v>
          </cell>
          <cell r="FW51">
            <v>0</v>
          </cell>
          <cell r="FX51">
            <v>0</v>
          </cell>
          <cell r="FY51">
            <v>0</v>
          </cell>
          <cell r="FZ51">
            <v>0</v>
          </cell>
          <cell r="GB51">
            <v>0</v>
          </cell>
          <cell r="GC51">
            <v>0</v>
          </cell>
          <cell r="GD51">
            <v>0</v>
          </cell>
          <cell r="GE51">
            <v>0</v>
          </cell>
          <cell r="GF51">
            <v>0</v>
          </cell>
        </row>
        <row r="52">
          <cell r="A52" t="str">
            <v>Tax Rate on Extraordinary Charges (FYins)</v>
          </cell>
          <cell r="AN52" t="str">
            <v>Tax Rate on Extraordinary Charges (FYins)</v>
          </cell>
          <cell r="FD52">
            <v>0.37272727272727274</v>
          </cell>
          <cell r="FE52">
            <v>0.36842105263157893</v>
          </cell>
          <cell r="FF52">
            <v>0.375</v>
          </cell>
          <cell r="FG52">
            <v>0.36986301369863012</v>
          </cell>
          <cell r="FH52">
            <v>0.37054631828978624</v>
          </cell>
          <cell r="FJ52">
            <v>0.85507246376811596</v>
          </cell>
          <cell r="FK52">
            <v>-1.2647058823529411</v>
          </cell>
          <cell r="FL52">
            <v>0.30303030303030304</v>
          </cell>
          <cell r="FM52">
            <v>0.31720430107526881</v>
          </cell>
          <cell r="FN52">
            <v>0.36828644501278773</v>
          </cell>
          <cell r="FP52" t="str">
            <v>NM</v>
          </cell>
          <cell r="FQ52" t="str">
            <v>NM</v>
          </cell>
          <cell r="FR52" t="str">
            <v>NM</v>
          </cell>
          <cell r="FS52" t="str">
            <v>NM</v>
          </cell>
          <cell r="FT52" t="str">
            <v>NM</v>
          </cell>
          <cell r="FV52" t="str">
            <v>NM</v>
          </cell>
          <cell r="FW52" t="str">
            <v>NM</v>
          </cell>
          <cell r="FX52" t="str">
            <v>NM</v>
          </cell>
          <cell r="FY52" t="str">
            <v>NM</v>
          </cell>
          <cell r="FZ52" t="str">
            <v>NM</v>
          </cell>
          <cell r="GB52" t="str">
            <v>NM</v>
          </cell>
          <cell r="GC52" t="str">
            <v>NM</v>
          </cell>
          <cell r="GD52">
            <v>0.37</v>
          </cell>
          <cell r="GE52">
            <v>0.37</v>
          </cell>
          <cell r="GF52">
            <v>0.37</v>
          </cell>
        </row>
        <row r="54">
          <cell r="A54" t="str">
            <v>Continuing Pre-Tax Income</v>
          </cell>
          <cell r="FD54">
            <v>4</v>
          </cell>
          <cell r="FE54">
            <v>197</v>
          </cell>
          <cell r="FF54">
            <v>-59</v>
          </cell>
          <cell r="FG54">
            <v>723</v>
          </cell>
          <cell r="FH54">
            <v>865</v>
          </cell>
          <cell r="FJ54">
            <v>-117</v>
          </cell>
          <cell r="FK54">
            <v>143</v>
          </cell>
          <cell r="FL54">
            <v>-49</v>
          </cell>
          <cell r="FM54">
            <v>921</v>
          </cell>
          <cell r="FN54">
            <v>898</v>
          </cell>
          <cell r="FP54">
            <v>41</v>
          </cell>
          <cell r="FQ54">
            <v>240</v>
          </cell>
          <cell r="FR54">
            <v>13</v>
          </cell>
          <cell r="FS54">
            <v>1051</v>
          </cell>
          <cell r="FT54">
            <v>1345</v>
          </cell>
          <cell r="FV54">
            <v>214</v>
          </cell>
          <cell r="FW54">
            <v>395</v>
          </cell>
          <cell r="FX54">
            <v>183</v>
          </cell>
          <cell r="FY54">
            <v>1151</v>
          </cell>
          <cell r="FZ54">
            <v>1943</v>
          </cell>
          <cell r="GB54">
            <v>279</v>
          </cell>
          <cell r="GC54">
            <v>449</v>
          </cell>
          <cell r="GD54">
            <v>174.65499452664795</v>
          </cell>
          <cell r="GE54">
            <v>1330.6989484464721</v>
          </cell>
          <cell r="GF54">
            <v>2233.35394297312</v>
          </cell>
        </row>
        <row r="55">
          <cell r="A55" t="str">
            <v>Continuing Taxes</v>
          </cell>
          <cell r="FD55">
            <v>-6</v>
          </cell>
          <cell r="FE55">
            <v>76</v>
          </cell>
          <cell r="FF55">
            <v>-25</v>
          </cell>
          <cell r="FG55">
            <v>275</v>
          </cell>
          <cell r="FH55">
            <v>320</v>
          </cell>
          <cell r="FJ55">
            <v>-49</v>
          </cell>
          <cell r="FK55">
            <v>59</v>
          </cell>
          <cell r="FL55">
            <v>-37</v>
          </cell>
          <cell r="FM55">
            <v>349</v>
          </cell>
          <cell r="FN55">
            <v>322</v>
          </cell>
          <cell r="FP55">
            <v>18</v>
          </cell>
          <cell r="FQ55">
            <v>93</v>
          </cell>
          <cell r="FR55">
            <v>3</v>
          </cell>
          <cell r="FS55">
            <v>368</v>
          </cell>
          <cell r="FT55">
            <v>482</v>
          </cell>
          <cell r="FV55">
            <v>83</v>
          </cell>
          <cell r="FW55">
            <v>154</v>
          </cell>
          <cell r="FX55">
            <v>44</v>
          </cell>
          <cell r="FY55">
            <v>422.5</v>
          </cell>
          <cell r="FZ55">
            <v>703.5</v>
          </cell>
          <cell r="GB55">
            <v>98</v>
          </cell>
          <cell r="GC55">
            <v>170</v>
          </cell>
          <cell r="GD55">
            <v>64.622347974859736</v>
          </cell>
          <cell r="GE55">
            <v>492.35861092519468</v>
          </cell>
          <cell r="GF55">
            <v>824.98095890005447</v>
          </cell>
        </row>
        <row r="56">
          <cell r="A56" t="str">
            <v>Tax Rate on Continuing Operations</v>
          </cell>
          <cell r="N56">
            <v>0.62871287128712872</v>
          </cell>
          <cell r="O56">
            <v>0.3968253968253968</v>
          </cell>
          <cell r="P56">
            <v>0.39979123173277664</v>
          </cell>
          <cell r="Q56">
            <v>0.411006018916595</v>
          </cell>
          <cell r="R56">
            <v>0.40476190476190477</v>
          </cell>
          <cell r="S56">
            <v>0.40072992700729926</v>
          </cell>
          <cell r="T56">
            <v>0.3923076923076923</v>
          </cell>
          <cell r="U56">
            <v>0.39122137404580154</v>
          </cell>
          <cell r="V56">
            <v>0.39575645756457567</v>
          </cell>
          <cell r="W56">
            <v>0.38261648745519711</v>
          </cell>
          <cell r="X56">
            <v>0.37446604203916711</v>
          </cell>
          <cell r="Y56">
            <v>0.37218181818181817</v>
          </cell>
          <cell r="Z56">
            <v>0.37045454545454548</v>
          </cell>
          <cell r="AA56">
            <v>0.36994219653179189</v>
          </cell>
          <cell r="AB56">
            <v>0.35857461024498888</v>
          </cell>
          <cell r="AC56">
            <v>0.35836431226765797</v>
          </cell>
          <cell r="AD56">
            <v>0.36206896551724138</v>
          </cell>
          <cell r="AE56">
            <v>0.37</v>
          </cell>
          <cell r="AF56">
            <v>0.37</v>
          </cell>
          <cell r="AG56">
            <v>0.37</v>
          </cell>
          <cell r="AH56">
            <v>0.37</v>
          </cell>
          <cell r="AI56">
            <v>0.37</v>
          </cell>
          <cell r="AJ56">
            <v>0.37</v>
          </cell>
          <cell r="AK56">
            <v>0.37</v>
          </cell>
          <cell r="AL56">
            <v>0.37</v>
          </cell>
          <cell r="FE56">
            <v>0.38578680203045684</v>
          </cell>
          <cell r="FF56">
            <v>0.42372881355932202</v>
          </cell>
          <cell r="FG56">
            <v>0.38035961272475793</v>
          </cell>
          <cell r="FH56">
            <v>0.36994219653179189</v>
          </cell>
          <cell r="FJ56">
            <v>0.41880341880341881</v>
          </cell>
          <cell r="FK56">
            <v>0.41258741258741261</v>
          </cell>
          <cell r="FL56">
            <v>0.75510204081632648</v>
          </cell>
          <cell r="FM56">
            <v>0.37893593919652552</v>
          </cell>
          <cell r="FN56">
            <v>0.35857461024498888</v>
          </cell>
          <cell r="FP56">
            <v>0.43902439024390244</v>
          </cell>
          <cell r="FQ56">
            <v>0.38750000000000001</v>
          </cell>
          <cell r="FR56">
            <v>0.23076923076923078</v>
          </cell>
          <cell r="FS56">
            <v>0.35014272121788775</v>
          </cell>
          <cell r="FT56">
            <v>0.35836431226765797</v>
          </cell>
          <cell r="FV56">
            <v>0.38785046728971961</v>
          </cell>
          <cell r="FW56">
            <v>0.38987341772151901</v>
          </cell>
          <cell r="FX56">
            <v>0.24043715846994534</v>
          </cell>
          <cell r="FY56">
            <v>0.36707211120764555</v>
          </cell>
          <cell r="FZ56">
            <v>0.36206896551724138</v>
          </cell>
          <cell r="GB56">
            <v>0.35125448028673834</v>
          </cell>
          <cell r="GC56">
            <v>0.37861915367483295</v>
          </cell>
          <cell r="GD56">
            <v>0.37</v>
          </cell>
          <cell r="GE56">
            <v>0.37</v>
          </cell>
          <cell r="GF56">
            <v>0.36939105039562631</v>
          </cell>
          <cell r="GS56" t="str">
            <v>mstag:statutoryTaxRate</v>
          </cell>
          <cell r="GT56">
            <v>0</v>
          </cell>
          <cell r="GU56" t="str">
            <v>ms_eqr_gcim_Decimal:ms_eqr_gcim_decimal</v>
          </cell>
          <cell r="GV56" t="b">
            <v>0</v>
          </cell>
        </row>
        <row r="58">
          <cell r="A58" t="str">
            <v>Total Tax Expense</v>
          </cell>
          <cell r="FD58">
            <v>-47</v>
          </cell>
          <cell r="FE58">
            <v>48</v>
          </cell>
          <cell r="FF58">
            <v>-31</v>
          </cell>
          <cell r="FG58">
            <v>-105</v>
          </cell>
          <cell r="FH58">
            <v>-135</v>
          </cell>
          <cell r="FJ58">
            <v>-167</v>
          </cell>
          <cell r="FK58">
            <v>102</v>
          </cell>
          <cell r="FL58">
            <v>-47</v>
          </cell>
          <cell r="FM58">
            <v>290</v>
          </cell>
          <cell r="FN58">
            <v>178</v>
          </cell>
          <cell r="FP58">
            <v>18</v>
          </cell>
          <cell r="FQ58">
            <v>93</v>
          </cell>
          <cell r="FR58">
            <v>3</v>
          </cell>
          <cell r="FS58">
            <v>359</v>
          </cell>
          <cell r="FT58">
            <v>473</v>
          </cell>
          <cell r="FV58">
            <v>83</v>
          </cell>
          <cell r="FW58">
            <v>154</v>
          </cell>
          <cell r="FX58">
            <v>44</v>
          </cell>
          <cell r="FY58">
            <v>431</v>
          </cell>
          <cell r="FZ58">
            <v>712</v>
          </cell>
          <cell r="GB58">
            <v>98</v>
          </cell>
          <cell r="GC58">
            <v>170</v>
          </cell>
          <cell r="GD58">
            <v>64.622347974859736</v>
          </cell>
          <cell r="GE58">
            <v>492.35861092519468</v>
          </cell>
          <cell r="GF58">
            <v>824.98095890005447</v>
          </cell>
        </row>
        <row r="59">
          <cell r="A59" t="str">
            <v>Tax Rate</v>
          </cell>
          <cell r="FD59">
            <v>0.44339622641509435</v>
          </cell>
          <cell r="FE59">
            <v>0.39669421487603307</v>
          </cell>
          <cell r="FF59">
            <v>0.41333333333333333</v>
          </cell>
          <cell r="FG59">
            <v>-0.20833333333333334</v>
          </cell>
          <cell r="FH59">
            <v>-0.30405405405405406</v>
          </cell>
          <cell r="FJ59">
            <v>0.65490196078431373</v>
          </cell>
          <cell r="FK59">
            <v>0.93577981651376152</v>
          </cell>
          <cell r="FL59">
            <v>0.57317073170731703</v>
          </cell>
          <cell r="FM59">
            <v>0.39455782312925169</v>
          </cell>
          <cell r="FN59">
            <v>0.35108481262327418</v>
          </cell>
          <cell r="FP59">
            <v>0.43902439024390244</v>
          </cell>
          <cell r="FQ59">
            <v>0.38750000000000001</v>
          </cell>
          <cell r="FR59">
            <v>0.23076923076923078</v>
          </cell>
          <cell r="FS59">
            <v>0.34990253411306044</v>
          </cell>
          <cell r="FT59">
            <v>0.35833333333333334</v>
          </cell>
          <cell r="FV59">
            <v>0.38785046728971961</v>
          </cell>
          <cell r="FW59">
            <v>0.38987341772151901</v>
          </cell>
          <cell r="FX59">
            <v>0.24043715846994534</v>
          </cell>
          <cell r="FY59">
            <v>0.36649659863945577</v>
          </cell>
          <cell r="FZ59">
            <v>0.36178861788617889</v>
          </cell>
          <cell r="GB59">
            <v>0.35125448028673834</v>
          </cell>
          <cell r="GC59">
            <v>0.37861915367483295</v>
          </cell>
          <cell r="GD59">
            <v>0.36999999999999994</v>
          </cell>
          <cell r="GE59">
            <v>0.37</v>
          </cell>
          <cell r="GF59">
            <v>0.36939105039562631</v>
          </cell>
        </row>
        <row r="61">
          <cell r="A61" t="str">
            <v>As a % of Sales</v>
          </cell>
          <cell r="AN61" t="str">
            <v>As % of Sales</v>
          </cell>
        </row>
        <row r="62">
          <cell r="A62" t="str">
            <v>Cost of Goods Sold (FIFO)</v>
          </cell>
          <cell r="K62">
            <v>0.61379177462321644</v>
          </cell>
          <cell r="L62">
            <v>0.61286106320358991</v>
          </cell>
          <cell r="N62">
            <v>0.61844806350075265</v>
          </cell>
          <cell r="O62">
            <v>0.60796871839816624</v>
          </cell>
          <cell r="P62">
            <v>0.60446780551905388</v>
          </cell>
          <cell r="Q62">
            <v>0.59993491701919943</v>
          </cell>
          <cell r="R62">
            <v>0.59741718135878719</v>
          </cell>
          <cell r="S62">
            <v>0.5983291260968866</v>
          </cell>
          <cell r="T62">
            <v>0.60836236933797905</v>
          </cell>
          <cell r="U62">
            <v>0.59880547171023057</v>
          </cell>
          <cell r="V62">
            <v>0.59531533869711917</v>
          </cell>
          <cell r="W62">
            <v>0.59241886409736311</v>
          </cell>
          <cell r="X62">
            <v>0.59276462706565436</v>
          </cell>
          <cell r="Y62">
            <v>0.59395624768261035</v>
          </cell>
          <cell r="Z62">
            <v>0.59578915365028695</v>
          </cell>
          <cell r="AA62">
            <v>0.60296480797043228</v>
          </cell>
          <cell r="AB62">
            <v>0.59753086419753088</v>
          </cell>
          <cell r="AC62">
            <v>0.59288885333759944</v>
          </cell>
          <cell r="AD62">
            <v>0.59602348040143915</v>
          </cell>
          <cell r="AE62">
            <v>0.59474414748937621</v>
          </cell>
          <cell r="AF62">
            <v>0.5917441474893762</v>
          </cell>
          <cell r="AG62">
            <v>0.59024414748937615</v>
          </cell>
          <cell r="AH62">
            <v>0.59124414748937626</v>
          </cell>
          <cell r="AI62">
            <v>0.59324414748937615</v>
          </cell>
          <cell r="AJ62">
            <v>0.59324414748937626</v>
          </cell>
          <cell r="AK62">
            <v>0.59324414748937615</v>
          </cell>
          <cell r="AL62">
            <v>0.59324414748937626</v>
          </cell>
          <cell r="AN62" t="str">
            <v>Cost of Goods Sold (FIFO)</v>
          </cell>
          <cell r="AO62">
            <v>0.60057656275542926</v>
          </cell>
          <cell r="AP62">
            <v>0.6221511287992596</v>
          </cell>
          <cell r="AQ62">
            <v>0.60479300095568056</v>
          </cell>
          <cell r="AR62">
            <v>0.6294896976051404</v>
          </cell>
          <cell r="AS62">
            <v>0.6153719492191454</v>
          </cell>
          <cell r="AU62">
            <v>0.59872575888702217</v>
          </cell>
          <cell r="AV62">
            <v>0.59999010525203866</v>
          </cell>
          <cell r="AW62">
            <v>0.60363297815379591</v>
          </cell>
          <cell r="AX62">
            <v>0.6181168180071781</v>
          </cell>
          <cell r="AY62">
            <v>0.60617818875433238</v>
          </cell>
          <cell r="BA62">
            <v>0.58843971531933681</v>
          </cell>
          <cell r="BB62">
            <v>0.59550840920881798</v>
          </cell>
          <cell r="BC62">
            <v>0.59443029908354827</v>
          </cell>
          <cell r="BD62">
            <v>0.60333203951480918</v>
          </cell>
          <cell r="BE62">
            <v>0.59616640873137217</v>
          </cell>
          <cell r="BG62">
            <v>0.59604630440701789</v>
          </cell>
          <cell r="BH62">
            <v>0.59912879554386378</v>
          </cell>
          <cell r="BI62">
            <v>0.60210303943129073</v>
          </cell>
          <cell r="BJ62">
            <v>0.61593435522401285</v>
          </cell>
          <cell r="BK62">
            <v>0.60464400533045182</v>
          </cell>
          <cell r="BM62">
            <v>0.60650471598560973</v>
          </cell>
          <cell r="BN62">
            <v>0.61069795125618698</v>
          </cell>
          <cell r="BO62">
            <v>0.61373481882758607</v>
          </cell>
          <cell r="BP62">
            <v>0.62352648329569904</v>
          </cell>
          <cell r="BQ62">
            <v>0.61477004731898655</v>
          </cell>
          <cell r="BS62">
            <v>0.60652791014295437</v>
          </cell>
          <cell r="BT62">
            <v>0.6192234202265593</v>
          </cell>
          <cell r="BU62">
            <v>0.61024762870607896</v>
          </cell>
          <cell r="BV62">
            <v>0.61765424878908959</v>
          </cell>
          <cell r="BW62">
            <v>0.61379177462321644</v>
          </cell>
          <cell r="BY62">
            <v>0.60982474600117942</v>
          </cell>
          <cell r="BZ62">
            <v>0.61139317361339018</v>
          </cell>
          <cell r="CA62">
            <v>0.61184906801442795</v>
          </cell>
          <cell r="CB62">
            <v>0.69662729026036696</v>
          </cell>
          <cell r="CC62">
            <v>0.62122405771683631</v>
          </cell>
          <cell r="CD62">
            <v>0.61651560643698022</v>
          </cell>
          <cell r="CE62">
            <v>0.62762274687078579</v>
          </cell>
          <cell r="CF62">
            <v>0.61286106320358991</v>
          </cell>
          <cell r="CG62">
            <v>0.61701593761245654</v>
          </cell>
          <cell r="CH62">
            <v>0.61921040036990405</v>
          </cell>
          <cell r="CJ62">
            <v>0.61036992153179626</v>
          </cell>
          <cell r="CK62">
            <v>0.60762316136394912</v>
          </cell>
          <cell r="CL62">
            <v>0.60676453279278098</v>
          </cell>
          <cell r="CM62">
            <v>0.6134235876446239</v>
          </cell>
          <cell r="CN62">
            <v>0.60993271142476924</v>
          </cell>
          <cell r="CP62">
            <v>0.6121470503427453</v>
          </cell>
          <cell r="CQ62">
            <v>0.60781202891889508</v>
          </cell>
          <cell r="CR62">
            <v>0.61045128548991046</v>
          </cell>
          <cell r="CS62">
            <v>0.61427682685535268</v>
          </cell>
          <cell r="CT62">
            <v>0.61147410135820623</v>
          </cell>
          <cell r="CV62">
            <v>0.6023235031277927</v>
          </cell>
          <cell r="CW62">
            <v>0.58873321657910094</v>
          </cell>
          <cell r="CX62">
            <v>0.60456595264937996</v>
          </cell>
          <cell r="CY62">
            <v>0.60270162892332146</v>
          </cell>
          <cell r="CZ62">
            <v>0.59993491701919943</v>
          </cell>
          <cell r="DB62">
            <v>0.60388888888888892</v>
          </cell>
          <cell r="DC62">
            <v>0.57888167748377439</v>
          </cell>
          <cell r="DD62">
            <v>0.59318346627991303</v>
          </cell>
          <cell r="DE62">
            <v>0.5853005190021765</v>
          </cell>
          <cell r="DF62">
            <v>0.58946714834048319</v>
          </cell>
          <cell r="DH62">
            <v>0.6022949902043101</v>
          </cell>
          <cell r="DI62">
            <v>0.59064963305245988</v>
          </cell>
          <cell r="DJ62">
            <v>0.60682178741406667</v>
          </cell>
          <cell r="DK62">
            <v>0.59511063526052821</v>
          </cell>
          <cell r="DL62">
            <v>0.5983291260968866</v>
          </cell>
          <cell r="DN62">
            <v>0.60686164229471318</v>
          </cell>
          <cell r="DO62">
            <v>0.61009174311926606</v>
          </cell>
          <cell r="DP62">
            <v>0.61410071942446043</v>
          </cell>
          <cell r="DQ62">
            <v>0.60619641465315666</v>
          </cell>
          <cell r="DR62">
            <v>0.60836236933797905</v>
          </cell>
          <cell r="DT62">
            <v>0.60179554011004921</v>
          </cell>
          <cell r="DU62">
            <v>0.58835341365461846</v>
          </cell>
          <cell r="DV62">
            <v>0.60707099741304971</v>
          </cell>
          <cell r="DW62">
            <v>0.60075742475583016</v>
          </cell>
          <cell r="DX62">
            <v>0.59880547171023057</v>
          </cell>
          <cell r="DZ62">
            <v>0.60832573685809788</v>
          </cell>
          <cell r="EA62">
            <v>0.58969132207338382</v>
          </cell>
          <cell r="EB62">
            <v>0.59982788296041312</v>
          </cell>
          <cell r="EC62">
            <v>0.58994656639620024</v>
          </cell>
          <cell r="ED62">
            <v>0.59531533869711917</v>
          </cell>
          <cell r="EF62">
            <v>0.59690140845070427</v>
          </cell>
          <cell r="EG62">
            <v>0.58586986875174529</v>
          </cell>
          <cell r="EH62">
            <v>0.59773049645390075</v>
          </cell>
          <cell r="EI62">
            <v>0.59023437499999998</v>
          </cell>
          <cell r="EJ62">
            <v>0.59241886409736311</v>
          </cell>
          <cell r="EK62" t="str">
            <v>Cost of Goods Sold (FIFO)</v>
          </cell>
          <cell r="EL62">
            <v>0.5976380115352925</v>
          </cell>
          <cell r="EM62">
            <v>0.58680651393872485</v>
          </cell>
          <cell r="EN62">
            <v>0.59621962196219624</v>
          </cell>
          <cell r="EO62">
            <v>0.59116079824469747</v>
          </cell>
          <cell r="EP62">
            <v>0.59276462706565436</v>
          </cell>
          <cell r="ER62">
            <v>0.61163575042158513</v>
          </cell>
          <cell r="ES62">
            <v>0.57881567973311088</v>
          </cell>
          <cell r="ET62">
            <v>0.59683995922528033</v>
          </cell>
          <cell r="EU62">
            <v>0.59056665574844414</v>
          </cell>
          <cell r="EV62">
            <v>0.59395624768261035</v>
          </cell>
          <cell r="EX62">
            <v>0.60192535044755957</v>
          </cell>
          <cell r="EY62">
            <v>0.59521384928716903</v>
          </cell>
          <cell r="EZ62">
            <v>0.60700982052150354</v>
          </cell>
          <cell r="FA62">
            <v>0.58424482196881544</v>
          </cell>
          <cell r="FB62">
            <v>0.59578915365028695</v>
          </cell>
          <cell r="FD62">
            <v>0.61371150165303634</v>
          </cell>
          <cell r="FE62">
            <v>0.5851696397341728</v>
          </cell>
          <cell r="FF62">
            <v>0.60513380666302563</v>
          </cell>
          <cell r="FG62">
            <v>0.60650365515502902</v>
          </cell>
          <cell r="FH62">
            <v>0.60296480797043228</v>
          </cell>
          <cell r="FJ62">
            <v>0.62008320726172461</v>
          </cell>
          <cell r="FK62">
            <v>0.58978240302743612</v>
          </cell>
          <cell r="FL62">
            <v>0.6018570102135562</v>
          </cell>
          <cell r="FM62">
            <v>0.58472974675570111</v>
          </cell>
          <cell r="FN62">
            <v>0.59753086419753088</v>
          </cell>
          <cell r="FP62">
            <v>0.60602798708288486</v>
          </cell>
          <cell r="FQ62">
            <v>0.58045873216543253</v>
          </cell>
          <cell r="FR62">
            <v>0.60056909123243818</v>
          </cell>
          <cell r="FS62">
            <v>0.58713266416737209</v>
          </cell>
          <cell r="FT62">
            <v>0.59288885333759944</v>
          </cell>
          <cell r="FV62">
            <v>0.60893190694515198</v>
          </cell>
          <cell r="FW62">
            <v>0.58208452601448057</v>
          </cell>
          <cell r="FX62">
            <v>0.60550145224671104</v>
          </cell>
          <cell r="FY62">
            <v>0.59044016506189823</v>
          </cell>
          <cell r="FZ62">
            <v>0.59602348040143915</v>
          </cell>
          <cell r="GB62">
            <v>0.61159042812957842</v>
          </cell>
          <cell r="GC62">
            <v>0.58107224583197126</v>
          </cell>
          <cell r="GD62">
            <v>0.60400145224671109</v>
          </cell>
          <cell r="GE62">
            <v>0.58662736950345429</v>
          </cell>
          <cell r="GF62">
            <v>0.59474414748937621</v>
          </cell>
        </row>
        <row r="63">
          <cell r="A63" t="str">
            <v>Gross Margin (FIFO)</v>
          </cell>
          <cell r="K63">
            <v>0.38620822537678351</v>
          </cell>
          <cell r="L63">
            <v>0.38713893679641009</v>
          </cell>
          <cell r="N63">
            <v>0.38155193649924729</v>
          </cell>
          <cell r="O63">
            <v>0.39203128160183376</v>
          </cell>
          <cell r="P63">
            <v>0.39553219448094612</v>
          </cell>
          <cell r="Q63">
            <v>0.40006508298080051</v>
          </cell>
          <cell r="R63">
            <v>0.40258281864121281</v>
          </cell>
          <cell r="S63">
            <v>0.40167087390311335</v>
          </cell>
          <cell r="T63">
            <v>0.3916376306620209</v>
          </cell>
          <cell r="U63">
            <v>0.40119452828976943</v>
          </cell>
          <cell r="V63">
            <v>0.40468466130288089</v>
          </cell>
          <cell r="W63">
            <v>0.40758113590263689</v>
          </cell>
          <cell r="X63">
            <v>0.4072353729343457</v>
          </cell>
          <cell r="Y63">
            <v>0.40604375231738971</v>
          </cell>
          <cell r="Z63">
            <v>0.40421084634971305</v>
          </cell>
          <cell r="AA63">
            <v>0.39703519202956772</v>
          </cell>
          <cell r="AB63">
            <v>0.40246913580246912</v>
          </cell>
          <cell r="AC63">
            <v>0.4071111466624005</v>
          </cell>
          <cell r="AD63">
            <v>0.4039765195985609</v>
          </cell>
          <cell r="AE63">
            <v>0.40525585251062379</v>
          </cell>
          <cell r="AF63">
            <v>0.40825585251062385</v>
          </cell>
          <cell r="AG63">
            <v>0.4097558525106238</v>
          </cell>
          <cell r="AH63">
            <v>0.4087558525106238</v>
          </cell>
          <cell r="AI63">
            <v>0.40675585251062379</v>
          </cell>
          <cell r="AJ63">
            <v>0.40675585251062374</v>
          </cell>
          <cell r="AK63">
            <v>0.40675585251062385</v>
          </cell>
          <cell r="AL63">
            <v>0.40675585251062374</v>
          </cell>
          <cell r="AN63" t="str">
            <v>Gross Margin (FIFO)</v>
          </cell>
          <cell r="AO63">
            <v>0.3994234372445708</v>
          </cell>
          <cell r="AP63">
            <v>0.3778488712007404</v>
          </cell>
          <cell r="AQ63">
            <v>0.3952069990443195</v>
          </cell>
          <cell r="AR63">
            <v>0.3705103023948596</v>
          </cell>
          <cell r="AS63">
            <v>0.38462805078085455</v>
          </cell>
          <cell r="AU63">
            <v>0.40127424111297788</v>
          </cell>
          <cell r="AV63">
            <v>0.40000989474796134</v>
          </cell>
          <cell r="AW63">
            <v>0.39636702184620409</v>
          </cell>
          <cell r="AX63">
            <v>0.38188318199282195</v>
          </cell>
          <cell r="AY63">
            <v>0.39382181124566762</v>
          </cell>
          <cell r="BA63">
            <v>0.41156028468066325</v>
          </cell>
          <cell r="BB63">
            <v>0.40449159079118202</v>
          </cell>
          <cell r="BC63">
            <v>0.40556970091645167</v>
          </cell>
          <cell r="BD63">
            <v>0.39666796048519082</v>
          </cell>
          <cell r="BE63">
            <v>0.40383359126862778</v>
          </cell>
          <cell r="BG63">
            <v>0.40395369559298205</v>
          </cell>
          <cell r="BH63">
            <v>0.40087120445613617</v>
          </cell>
          <cell r="BI63">
            <v>0.39789696056870921</v>
          </cell>
          <cell r="BJ63">
            <v>0.38406564477598715</v>
          </cell>
          <cell r="BK63">
            <v>0.39535599466954813</v>
          </cell>
          <cell r="BM63">
            <v>0.39349528401439021</v>
          </cell>
          <cell r="BN63">
            <v>0.38930204874381302</v>
          </cell>
          <cell r="BO63">
            <v>0.38626518117241393</v>
          </cell>
          <cell r="BP63">
            <v>0.37647351670430096</v>
          </cell>
          <cell r="BQ63">
            <v>0.38522995268101345</v>
          </cell>
          <cell r="BS63">
            <v>0.39347208985704557</v>
          </cell>
          <cell r="BT63">
            <v>0.38077657977344076</v>
          </cell>
          <cell r="BU63">
            <v>0.3897523712939211</v>
          </cell>
          <cell r="BV63">
            <v>0.38234575121091047</v>
          </cell>
          <cell r="BW63">
            <v>0.38620822537678351</v>
          </cell>
          <cell r="BY63">
            <v>0.39017525399882058</v>
          </cell>
          <cell r="BZ63">
            <v>0.38860682638660982</v>
          </cell>
          <cell r="CA63">
            <v>0.38815093198557199</v>
          </cell>
          <cell r="CB63">
            <v>0.30337270973963298</v>
          </cell>
          <cell r="CC63">
            <v>0.37877594228316364</v>
          </cell>
          <cell r="CD63">
            <v>0.38348439356301972</v>
          </cell>
          <cell r="CE63">
            <v>0.37237725312921416</v>
          </cell>
          <cell r="CF63">
            <v>0.38713893679641009</v>
          </cell>
          <cell r="CG63">
            <v>0.38298406238754346</v>
          </cell>
          <cell r="CH63">
            <v>0.38078959963009601</v>
          </cell>
          <cell r="CJ63">
            <v>0.38963007846820369</v>
          </cell>
          <cell r="CK63">
            <v>0.39237683863605083</v>
          </cell>
          <cell r="CL63">
            <v>0.39323546720721908</v>
          </cell>
          <cell r="CM63">
            <v>0.38657641235537615</v>
          </cell>
          <cell r="CN63">
            <v>0.39006728857523071</v>
          </cell>
          <cell r="CP63">
            <v>0.3878529496572547</v>
          </cell>
          <cell r="CQ63">
            <v>0.39218797108110487</v>
          </cell>
          <cell r="CR63">
            <v>0.38954871451008949</v>
          </cell>
          <cell r="CS63">
            <v>0.38572317314464727</v>
          </cell>
          <cell r="CT63">
            <v>0.38852589864179371</v>
          </cell>
          <cell r="CV63">
            <v>0.39767649687220735</v>
          </cell>
          <cell r="CW63">
            <v>0.41126678342089901</v>
          </cell>
          <cell r="CX63">
            <v>0.39543404735062004</v>
          </cell>
          <cell r="CY63">
            <v>0.39729837107667859</v>
          </cell>
          <cell r="CZ63">
            <v>0.40006508298080051</v>
          </cell>
          <cell r="DB63">
            <v>0.39611111111111114</v>
          </cell>
          <cell r="DC63">
            <v>0.42111832251622566</v>
          </cell>
          <cell r="DD63">
            <v>0.40681653372008703</v>
          </cell>
          <cell r="DE63">
            <v>0.41469948099782356</v>
          </cell>
          <cell r="DF63">
            <v>0.41053285165951681</v>
          </cell>
          <cell r="DH63">
            <v>0.3977050097956899</v>
          </cell>
          <cell r="DI63">
            <v>0.40935036694754007</v>
          </cell>
          <cell r="DJ63">
            <v>0.39317821258593338</v>
          </cell>
          <cell r="DK63">
            <v>0.40488936473947179</v>
          </cell>
          <cell r="DL63">
            <v>0.40167087390311335</v>
          </cell>
          <cell r="DN63">
            <v>0.39313835770528682</v>
          </cell>
          <cell r="DO63">
            <v>0.38990825688073394</v>
          </cell>
          <cell r="DP63">
            <v>0.38589928057553957</v>
          </cell>
          <cell r="DQ63">
            <v>0.39380358534684334</v>
          </cell>
          <cell r="DR63">
            <v>0.3916376306620209</v>
          </cell>
          <cell r="DT63">
            <v>0.39820445988995079</v>
          </cell>
          <cell r="DU63">
            <v>0.41164658634538154</v>
          </cell>
          <cell r="DV63">
            <v>0.39292900258695029</v>
          </cell>
          <cell r="DW63">
            <v>0.39924257524416984</v>
          </cell>
          <cell r="DX63">
            <v>0.40119452828976943</v>
          </cell>
          <cell r="DZ63">
            <v>0.39167426314190218</v>
          </cell>
          <cell r="EA63">
            <v>0.41030867792661618</v>
          </cell>
          <cell r="EB63">
            <v>0.40017211703958694</v>
          </cell>
          <cell r="EC63">
            <v>0.4100534336037997</v>
          </cell>
          <cell r="ED63">
            <v>0.40468466130288089</v>
          </cell>
          <cell r="EF63">
            <v>0.40309859154929578</v>
          </cell>
          <cell r="EG63">
            <v>0.41413013124825465</v>
          </cell>
          <cell r="EH63">
            <v>0.40226950354609931</v>
          </cell>
          <cell r="EI63">
            <v>0.40976562500000002</v>
          </cell>
          <cell r="EJ63">
            <v>0.40758113590263689</v>
          </cell>
          <cell r="EK63" t="str">
            <v>Gross Margin (FIFO)</v>
          </cell>
          <cell r="EL63">
            <v>0.4023619884647075</v>
          </cell>
          <cell r="EM63">
            <v>0.41319348606127521</v>
          </cell>
          <cell r="EN63">
            <v>0.40378037803780376</v>
          </cell>
          <cell r="EO63">
            <v>0.40883920175530247</v>
          </cell>
          <cell r="EP63">
            <v>0.4072353729343457</v>
          </cell>
          <cell r="ER63">
            <v>0.38836424957841487</v>
          </cell>
          <cell r="ES63">
            <v>0.42118432026688907</v>
          </cell>
          <cell r="ET63">
            <v>0.40316004077471967</v>
          </cell>
          <cell r="EU63">
            <v>0.40943334425155586</v>
          </cell>
          <cell r="EV63">
            <v>0.40604375231738971</v>
          </cell>
          <cell r="EX63">
            <v>0.39807464955244048</v>
          </cell>
          <cell r="EY63">
            <v>0.40478615071283097</v>
          </cell>
          <cell r="EZ63">
            <v>0.39299017947849646</v>
          </cell>
          <cell r="FA63">
            <v>0.41575517803118456</v>
          </cell>
          <cell r="FB63">
            <v>0.40421084634971305</v>
          </cell>
          <cell r="FD63">
            <v>0.38628849834696366</v>
          </cell>
          <cell r="FE63">
            <v>0.4148303602658272</v>
          </cell>
          <cell r="FF63">
            <v>0.39486619333697431</v>
          </cell>
          <cell r="FG63">
            <v>0.39349634484497104</v>
          </cell>
          <cell r="FH63">
            <v>0.39703519202956772</v>
          </cell>
          <cell r="FJ63">
            <v>0.37991679273827533</v>
          </cell>
          <cell r="FK63">
            <v>0.41021759697256388</v>
          </cell>
          <cell r="FL63">
            <v>0.3981429897864438</v>
          </cell>
          <cell r="FM63">
            <v>0.41527025324429884</v>
          </cell>
          <cell r="FN63">
            <v>0.40246913580246912</v>
          </cell>
          <cell r="FP63">
            <v>0.3939720129171152</v>
          </cell>
          <cell r="FQ63">
            <v>0.41954126783456747</v>
          </cell>
          <cell r="FR63">
            <v>0.39943090876756182</v>
          </cell>
          <cell r="FS63">
            <v>0.41286733583262791</v>
          </cell>
          <cell r="FT63">
            <v>0.4071111466624005</v>
          </cell>
          <cell r="FV63">
            <v>0.39106809305484802</v>
          </cell>
          <cell r="FW63">
            <v>0.41791547398551943</v>
          </cell>
          <cell r="FX63">
            <v>0.39449854775328891</v>
          </cell>
          <cell r="FY63">
            <v>0.40955983493810177</v>
          </cell>
          <cell r="FZ63">
            <v>0.4039765195985609</v>
          </cell>
          <cell r="GB63">
            <v>0.38840957187042163</v>
          </cell>
          <cell r="GC63">
            <v>0.41892775416802874</v>
          </cell>
          <cell r="GD63">
            <v>0.39599854775328891</v>
          </cell>
          <cell r="GE63">
            <v>0.41337263049654577</v>
          </cell>
          <cell r="GF63">
            <v>0.40525585251062379</v>
          </cell>
        </row>
        <row r="64">
          <cell r="A64" t="str">
            <v>Y/Y ∆ bps</v>
          </cell>
          <cell r="O64">
            <v>104.79345102586468</v>
          </cell>
          <cell r="P64">
            <v>35.009128791123615</v>
          </cell>
          <cell r="Q64">
            <v>45.328884998543927</v>
          </cell>
          <cell r="R64">
            <v>25.177356604123013</v>
          </cell>
          <cell r="S64">
            <v>-9.1194473809946821</v>
          </cell>
          <cell r="T64">
            <v>-100.33243241092448</v>
          </cell>
          <cell r="U64">
            <v>95.568976277485291</v>
          </cell>
          <cell r="V64">
            <v>34.901330131114626</v>
          </cell>
          <cell r="W64">
            <v>28.964745997560048</v>
          </cell>
          <cell r="X64">
            <v>-3.4576296829119668</v>
          </cell>
          <cell r="Y64">
            <v>-11.916206169559906</v>
          </cell>
          <cell r="Z64">
            <v>-18.329059676766569</v>
          </cell>
          <cell r="AA64">
            <v>-71.756543201453297</v>
          </cell>
          <cell r="AB64">
            <v>54.339437729014065</v>
          </cell>
          <cell r="AC64">
            <v>46.420108599313778</v>
          </cell>
          <cell r="AD64">
            <v>-31.346270638396014</v>
          </cell>
          <cell r="AE64">
            <v>12.793329120628915</v>
          </cell>
          <cell r="AF64">
            <v>30.000000000000583</v>
          </cell>
          <cell r="AG64">
            <v>14.999999999999458</v>
          </cell>
          <cell r="AH64">
            <v>-10.000000000000009</v>
          </cell>
          <cell r="AI64">
            <v>-20.000000000000018</v>
          </cell>
          <cell r="AJ64">
            <v>-5.5511151231257827E-13</v>
          </cell>
          <cell r="AK64">
            <v>1.1102230246251565E-12</v>
          </cell>
          <cell r="AL64">
            <v>-1.1102230246251565E-12</v>
          </cell>
          <cell r="AN64" t="str">
            <v>Y/Y ∆ bps</v>
          </cell>
          <cell r="DH64">
            <v>15.93898684578765</v>
          </cell>
          <cell r="DI64">
            <v>-117.67955568685595</v>
          </cell>
          <cell r="DJ64">
            <v>-136.38321134153642</v>
          </cell>
          <cell r="DK64">
            <v>-98.101162583517649</v>
          </cell>
          <cell r="DL64">
            <v>-88.619777564034607</v>
          </cell>
          <cell r="DN64">
            <v>-45.666520904030783</v>
          </cell>
          <cell r="DO64">
            <v>-194.42110066806129</v>
          </cell>
          <cell r="DP64">
            <v>-72.789320103938124</v>
          </cell>
          <cell r="DQ64">
            <v>-110.85779392628447</v>
          </cell>
          <cell r="DR64">
            <v>-100.33243241092448</v>
          </cell>
          <cell r="DT64">
            <v>50.661021846639677</v>
          </cell>
          <cell r="DU64">
            <v>217.38329464647597</v>
          </cell>
          <cell r="DV64">
            <v>70.297220114107219</v>
          </cell>
          <cell r="DW64">
            <v>54.389898973264962</v>
          </cell>
          <cell r="DX64">
            <v>95.568976277485291</v>
          </cell>
          <cell r="DZ64">
            <v>-65.301967480486113</v>
          </cell>
          <cell r="EA64">
            <v>-13.379084187653545</v>
          </cell>
          <cell r="EB64">
            <v>72.431144526366452</v>
          </cell>
          <cell r="EC64">
            <v>108.1085835962986</v>
          </cell>
          <cell r="ED64">
            <v>34.901330131114626</v>
          </cell>
          <cell r="EF64">
            <v>114.24328407393602</v>
          </cell>
          <cell r="EG64">
            <v>38.21453321638468</v>
          </cell>
          <cell r="EH64">
            <v>20.973865065123665</v>
          </cell>
          <cell r="EI64">
            <v>-2.8780860379967743</v>
          </cell>
          <cell r="EJ64">
            <v>28.964745997560048</v>
          </cell>
          <cell r="EK64" t="str">
            <v>Y/Y ∆ bps</v>
          </cell>
          <cell r="EL64">
            <v>-7.3660308458828316</v>
          </cell>
          <cell r="EM64">
            <v>-9.3664518697944565</v>
          </cell>
          <cell r="EN64">
            <v>15.108744917044504</v>
          </cell>
          <cell r="EO64">
            <v>-9.2642324469754946</v>
          </cell>
          <cell r="EP64">
            <v>-3.4576296829119668</v>
          </cell>
          <cell r="ER64">
            <v>-139.97738886292632</v>
          </cell>
          <cell r="ES64">
            <v>79.908342056138622</v>
          </cell>
          <cell r="ET64">
            <v>-6.2033726308408088</v>
          </cell>
          <cell r="EU64">
            <v>5.9414249625339144</v>
          </cell>
          <cell r="EV64">
            <v>-11.916206169559906</v>
          </cell>
          <cell r="EX64">
            <v>97.103999740256185</v>
          </cell>
          <cell r="EY64">
            <v>-163.98169554058094</v>
          </cell>
          <cell r="EZ64">
            <v>-101.69861296223215</v>
          </cell>
          <cell r="FA64">
            <v>63.218337796286939</v>
          </cell>
          <cell r="FB64">
            <v>-18.329059676766569</v>
          </cell>
          <cell r="FD64">
            <v>-117.86151205476824</v>
          </cell>
          <cell r="FE64">
            <v>100.4420955299623</v>
          </cell>
          <cell r="FF64">
            <v>18.760138584778542</v>
          </cell>
          <cell r="FG64">
            <v>-222.58833186213522</v>
          </cell>
          <cell r="FH64">
            <v>-71.756543201453297</v>
          </cell>
          <cell r="FJ64">
            <v>-63.717056086883275</v>
          </cell>
          <cell r="FK64">
            <v>-46.127632932633219</v>
          </cell>
          <cell r="FL64">
            <v>32.76796449469488</v>
          </cell>
          <cell r="FM64">
            <v>217.73908399327803</v>
          </cell>
          <cell r="FN64">
            <v>54.339437729014065</v>
          </cell>
          <cell r="FP64">
            <v>140.55220178839866</v>
          </cell>
          <cell r="FQ64">
            <v>93.236708620035856</v>
          </cell>
          <cell r="FR64">
            <v>12.879189811180192</v>
          </cell>
          <cell r="FS64">
            <v>-24.029174116709239</v>
          </cell>
          <cell r="FT64">
            <v>46.420108599313778</v>
          </cell>
          <cell r="FV64">
            <v>-29.03919862267179</v>
          </cell>
          <cell r="FW64">
            <v>-16.257938490480406</v>
          </cell>
          <cell r="FX64">
            <v>-49.323610142729123</v>
          </cell>
          <cell r="FY64">
            <v>-33.075008945261388</v>
          </cell>
          <cell r="FZ64">
            <v>-31.346270638396014</v>
          </cell>
          <cell r="GB64">
            <v>-26.585211844263878</v>
          </cell>
          <cell r="GC64">
            <v>10.122801825093175</v>
          </cell>
          <cell r="GD64">
            <v>15.000000000000014</v>
          </cell>
          <cell r="GE64">
            <v>38.127955584439931</v>
          </cell>
          <cell r="GF64">
            <v>12.793329120628915</v>
          </cell>
        </row>
        <row r="65">
          <cell r="A65" t="str">
            <v>SG&amp;A Expense</v>
          </cell>
          <cell r="K65">
            <v>0.33637419260664891</v>
          </cell>
          <cell r="L65">
            <v>0.31608245843666333</v>
          </cell>
          <cell r="N65">
            <v>0.33618448063500755</v>
          </cell>
          <cell r="O65">
            <v>0.33182768152093306</v>
          </cell>
          <cell r="P65">
            <v>0.30742444152431014</v>
          </cell>
          <cell r="Q65">
            <v>0.30536934591604298</v>
          </cell>
          <cell r="R65">
            <v>0.29696175681577142</v>
          </cell>
          <cell r="S65">
            <v>0.29522779180189929</v>
          </cell>
          <cell r="T65">
            <v>0.30446626544187522</v>
          </cell>
          <cell r="U65">
            <v>0.31057735534005521</v>
          </cell>
          <cell r="V65">
            <v>0.31384635349078638</v>
          </cell>
          <cell r="W65">
            <v>0.31256338742393508</v>
          </cell>
          <cell r="X65">
            <v>0.311746315319339</v>
          </cell>
          <cell r="Y65">
            <v>0.32176492398961809</v>
          </cell>
          <cell r="Z65">
            <v>0.32508645916467144</v>
          </cell>
          <cell r="AA65">
            <v>0.33978788365739998</v>
          </cell>
          <cell r="AB65">
            <v>0.34161958568738232</v>
          </cell>
          <cell r="AC65">
            <v>0.33036035675718911</v>
          </cell>
          <cell r="AD65">
            <v>0.31361484567316794</v>
          </cell>
          <cell r="AE65">
            <v>0.30881156325452847</v>
          </cell>
          <cell r="AF65">
            <v>0.31031156325452852</v>
          </cell>
          <cell r="AG65">
            <v>0.30931156325452847</v>
          </cell>
          <cell r="AH65">
            <v>0.30831156325452846</v>
          </cell>
          <cell r="AI65">
            <v>0.30731156325452846</v>
          </cell>
          <cell r="AJ65">
            <v>0.30631156325452846</v>
          </cell>
          <cell r="AK65">
            <v>0.30531156325452846</v>
          </cell>
          <cell r="AL65">
            <v>0.30431156325452846</v>
          </cell>
          <cell r="AN65" t="str">
            <v>SG&amp;A Expense</v>
          </cell>
          <cell r="AO65">
            <v>0.38279428592985676</v>
          </cell>
          <cell r="AP65">
            <v>0.40410711991673287</v>
          </cell>
          <cell r="AQ65">
            <v>0.37126236401073487</v>
          </cell>
          <cell r="AR65">
            <v>0.32336892031185249</v>
          </cell>
          <cell r="AS65">
            <v>0.3657015145513508</v>
          </cell>
          <cell r="AU65">
            <v>0.37521706468919974</v>
          </cell>
          <cell r="AV65">
            <v>0.39432108323421872</v>
          </cell>
          <cell r="AW65">
            <v>0.36519669659038179</v>
          </cell>
          <cell r="AX65">
            <v>0.305193369130284</v>
          </cell>
          <cell r="AY65">
            <v>0.3553106224277201</v>
          </cell>
          <cell r="BA65">
            <v>0.35769529803540817</v>
          </cell>
          <cell r="BB65">
            <v>0.38275487712151696</v>
          </cell>
          <cell r="BC65">
            <v>0.34365233528884026</v>
          </cell>
          <cell r="BD65">
            <v>0.30324335842280281</v>
          </cell>
          <cell r="BE65">
            <v>0.34190736900208624</v>
          </cell>
          <cell r="BG65">
            <v>0.34938333944344918</v>
          </cell>
          <cell r="BH65">
            <v>0.35957752441609064</v>
          </cell>
          <cell r="BI65">
            <v>0.33788405060036941</v>
          </cell>
          <cell r="BJ65">
            <v>0.2756778999669442</v>
          </cell>
          <cell r="BK65">
            <v>0.32472183745109906</v>
          </cell>
          <cell r="BM65">
            <v>0.32781678621167598</v>
          </cell>
          <cell r="BN65">
            <v>0.3350610863980954</v>
          </cell>
          <cell r="BO65">
            <v>0.31739646493610429</v>
          </cell>
          <cell r="BP65">
            <v>0.25271490575617306</v>
          </cell>
          <cell r="BQ65">
            <v>0.30205046346554137</v>
          </cell>
          <cell r="BS65">
            <v>0.37287950987066032</v>
          </cell>
          <cell r="BT65">
            <v>0.36983212774669039</v>
          </cell>
          <cell r="BU65">
            <v>0.35274378094613129</v>
          </cell>
          <cell r="BV65">
            <v>0.27829695765719514</v>
          </cell>
          <cell r="BW65">
            <v>0.33637419260664891</v>
          </cell>
          <cell r="BY65">
            <v>0.35808462232003552</v>
          </cell>
          <cell r="BZ65">
            <v>0.35047161142106986</v>
          </cell>
          <cell r="CA65">
            <v>0.33217510097410313</v>
          </cell>
          <cell r="CB65">
            <v>0.40589440694310513</v>
          </cell>
          <cell r="CC65">
            <v>0.3403293539136622</v>
          </cell>
          <cell r="CD65">
            <v>0.25475148504158118</v>
          </cell>
          <cell r="CE65">
            <v>0.25352903189044429</v>
          </cell>
          <cell r="CF65">
            <v>0.31608245843666333</v>
          </cell>
          <cell r="CG65">
            <v>0.31297957813593175</v>
          </cell>
          <cell r="CH65">
            <v>0.31554074717338931</v>
          </cell>
          <cell r="CJ65">
            <v>0.34933953403823437</v>
          </cell>
          <cell r="CK65">
            <v>0.33919204147824084</v>
          </cell>
          <cell r="CL65">
            <v>0.32906076447959459</v>
          </cell>
          <cell r="CM65">
            <v>0.25497829376133824</v>
          </cell>
          <cell r="CN65">
            <v>0.31114796907013276</v>
          </cell>
          <cell r="CP65">
            <v>0.34442201748207951</v>
          </cell>
          <cell r="CQ65">
            <v>0.33082958930198975</v>
          </cell>
          <cell r="CR65">
            <v>0.31802141646798049</v>
          </cell>
          <cell r="CS65">
            <v>0.24483628438557536</v>
          </cell>
          <cell r="CT65">
            <v>0.30295286435450097</v>
          </cell>
          <cell r="CV65">
            <v>0.34375930890676198</v>
          </cell>
          <cell r="CW65">
            <v>0.33333333333333331</v>
          </cell>
          <cell r="CX65">
            <v>0.32299887260428412</v>
          </cell>
          <cell r="CY65">
            <v>0.24831148192292413</v>
          </cell>
          <cell r="CZ65">
            <v>0.30536934591604298</v>
          </cell>
          <cell r="DB65">
            <v>0.33361111111111114</v>
          </cell>
          <cell r="DC65">
            <v>0.34173739390913632</v>
          </cell>
          <cell r="DD65">
            <v>0.33381677544114091</v>
          </cell>
          <cell r="DE65">
            <v>0.27138791227189019</v>
          </cell>
          <cell r="DF65">
            <v>0.31451794987581849</v>
          </cell>
          <cell r="DH65">
            <v>0.32241813602015112</v>
          </cell>
          <cell r="DI65">
            <v>0.30008154389779834</v>
          </cell>
          <cell r="DJ65">
            <v>0.3220518244315177</v>
          </cell>
          <cell r="DK65">
            <v>0.25660242683797285</v>
          </cell>
          <cell r="DL65">
            <v>0.29522779180189929</v>
          </cell>
          <cell r="DN65">
            <v>0.32845894263217096</v>
          </cell>
          <cell r="DO65">
            <v>0.31708715596330272</v>
          </cell>
          <cell r="DP65">
            <v>0.34100719424460429</v>
          </cell>
          <cell r="DQ65">
            <v>0.25038971161340606</v>
          </cell>
          <cell r="DR65">
            <v>0.30446626544187522</v>
          </cell>
          <cell r="DT65">
            <v>0.33420214306400231</v>
          </cell>
          <cell r="DU65">
            <v>0.32558806655192196</v>
          </cell>
          <cell r="DV65">
            <v>0.3388904857717735</v>
          </cell>
          <cell r="DW65">
            <v>0.25931831771975283</v>
          </cell>
          <cell r="DX65">
            <v>0.31057735534005521</v>
          </cell>
          <cell r="DZ65">
            <v>0.34487997569127926</v>
          </cell>
          <cell r="EA65">
            <v>0.33051834595224228</v>
          </cell>
          <cell r="EB65">
            <v>0.34222604704532417</v>
          </cell>
          <cell r="EC65">
            <v>0.25766871165644173</v>
          </cell>
          <cell r="ED65">
            <v>0.31384635349078638</v>
          </cell>
          <cell r="EF65">
            <v>0.33661971830985915</v>
          </cell>
          <cell r="EG65">
            <v>0.33705668807595646</v>
          </cell>
          <cell r="EH65">
            <v>0.3424113475177305</v>
          </cell>
          <cell r="EI65">
            <v>0.25820312499999998</v>
          </cell>
          <cell r="EJ65">
            <v>0.31256338742393508</v>
          </cell>
          <cell r="EK65" t="str">
            <v>SG&amp;A Expense</v>
          </cell>
          <cell r="EL65">
            <v>0.33315023345234823</v>
          </cell>
          <cell r="EM65">
            <v>0.33287330941208942</v>
          </cell>
          <cell r="EN65">
            <v>0.35517551755175519</v>
          </cell>
          <cell r="EO65">
            <v>0.27040016717166443</v>
          </cell>
          <cell r="EP65">
            <v>0.311746315319339</v>
          </cell>
          <cell r="ER65">
            <v>0.36323777403035412</v>
          </cell>
          <cell r="ES65">
            <v>0.35312760633861551</v>
          </cell>
          <cell r="ET65">
            <v>0.35575942915392456</v>
          </cell>
          <cell r="EU65">
            <v>0.25253848673435964</v>
          </cell>
          <cell r="EV65">
            <v>0.32176492398961809</v>
          </cell>
          <cell r="EX65">
            <v>0.35686539435906095</v>
          </cell>
          <cell r="EY65">
            <v>0.34589273591310249</v>
          </cell>
          <cell r="EZ65">
            <v>0.35912631222485608</v>
          </cell>
          <cell r="FA65">
            <v>0.2655340935536421</v>
          </cell>
          <cell r="FB65">
            <v>0.32508645916467144</v>
          </cell>
          <cell r="FD65">
            <v>0.36192796241517311</v>
          </cell>
          <cell r="FE65">
            <v>0.35624344176285416</v>
          </cell>
          <cell r="FF65">
            <v>0.37957400327689789</v>
          </cell>
          <cell r="FG65">
            <v>0.28434585328963952</v>
          </cell>
          <cell r="FH65">
            <v>0.33978788365739998</v>
          </cell>
          <cell r="FJ65">
            <v>0.37537821482602118</v>
          </cell>
          <cell r="FK65">
            <v>0.35685903500473037</v>
          </cell>
          <cell r="FL65">
            <v>0.38180129990714951</v>
          </cell>
          <cell r="FM65">
            <v>0.28171853345092607</v>
          </cell>
          <cell r="FN65">
            <v>0.34161958568738232</v>
          </cell>
          <cell r="FP65">
            <v>0.35755292429135271</v>
          </cell>
          <cell r="FQ65">
            <v>0.3527180783817952</v>
          </cell>
          <cell r="FR65">
            <v>0.36795304997332384</v>
          </cell>
          <cell r="FS65">
            <v>0.27149594872415045</v>
          </cell>
          <cell r="FT65">
            <v>0.33036035675718911</v>
          </cell>
          <cell r="FV65">
            <v>0.33503141450161317</v>
          </cell>
          <cell r="FW65">
            <v>0.33271594544536115</v>
          </cell>
          <cell r="FX65">
            <v>0.34478045446779432</v>
          </cell>
          <cell r="FY65">
            <v>0.26524530032095367</v>
          </cell>
          <cell r="FZ65">
            <v>0.31361484567316794</v>
          </cell>
          <cell r="GB65">
            <v>0.32475988930489991</v>
          </cell>
          <cell r="GC65">
            <v>0.32837528604118993</v>
          </cell>
          <cell r="GD65">
            <v>0.34960818019307516</v>
          </cell>
          <cell r="GE65">
            <v>0.25913958182743124</v>
          </cell>
          <cell r="GF65">
            <v>0.30881156325452847</v>
          </cell>
        </row>
        <row r="66">
          <cell r="A66" t="str">
            <v>Y/Y ∆ bps</v>
          </cell>
          <cell r="O66">
            <v>-43.567991140744944</v>
          </cell>
          <cell r="P66">
            <v>-244.03239996622915</v>
          </cell>
          <cell r="Q66">
            <v>-20.550956082671657</v>
          </cell>
          <cell r="R66">
            <v>-84.075891002715622</v>
          </cell>
          <cell r="S66">
            <v>-17.339650138721296</v>
          </cell>
          <cell r="T66">
            <v>92.384736399759305</v>
          </cell>
          <cell r="U66">
            <v>61.110898981799892</v>
          </cell>
          <cell r="V66">
            <v>32.689981507311728</v>
          </cell>
          <cell r="W66">
            <v>-12.829660668512988</v>
          </cell>
          <cell r="X66">
            <v>-8.170721045960839</v>
          </cell>
          <cell r="Y66">
            <v>100.18608670279094</v>
          </cell>
          <cell r="Z66">
            <v>33.215351750533472</v>
          </cell>
          <cell r="AA66">
            <v>147.01424492728543</v>
          </cell>
          <cell r="AB66">
            <v>18.317020299823405</v>
          </cell>
          <cell r="AC66">
            <v>-112.5922893019321</v>
          </cell>
          <cell r="AD66">
            <v>-167.45511084021169</v>
          </cell>
          <cell r="AE66">
            <v>-48.032824186394762</v>
          </cell>
          <cell r="AF66">
            <v>15.000000000000568</v>
          </cell>
          <cell r="AG66">
            <v>-10.000000000000565</v>
          </cell>
          <cell r="AH66">
            <v>-10.000000000000009</v>
          </cell>
          <cell r="AI66">
            <v>-10.000000000000009</v>
          </cell>
          <cell r="AJ66">
            <v>-10.000000000000009</v>
          </cell>
          <cell r="AK66">
            <v>-10.000000000000009</v>
          </cell>
          <cell r="AL66">
            <v>-10.000000000000009</v>
          </cell>
          <cell r="AN66" t="str">
            <v>Y/Y ∆ bps</v>
          </cell>
          <cell r="DH66">
            <v>-111.92975090960012</v>
          </cell>
          <cell r="DI66">
            <v>-416.55850011337981</v>
          </cell>
          <cell r="DJ66">
            <v>-117.64951009623215</v>
          </cell>
          <cell r="DK66">
            <v>-147.85485433917333</v>
          </cell>
          <cell r="DL66">
            <v>-192.90158073919207</v>
          </cell>
          <cell r="DN66">
            <v>60.408066120198335</v>
          </cell>
          <cell r="DO66">
            <v>170.05612065504383</v>
          </cell>
          <cell r="DP66">
            <v>189.55369813086597</v>
          </cell>
          <cell r="DQ66">
            <v>-62.127152245667894</v>
          </cell>
          <cell r="DR66">
            <v>92.384736399759305</v>
          </cell>
          <cell r="DT66">
            <v>57.432004318313524</v>
          </cell>
          <cell r="DU66">
            <v>85.009105886192373</v>
          </cell>
          <cell r="DV66">
            <v>-21.167084728307973</v>
          </cell>
          <cell r="DW66">
            <v>89.286061063467699</v>
          </cell>
          <cell r="DX66">
            <v>61.110898981799892</v>
          </cell>
          <cell r="DZ66">
            <v>106.7783262727695</v>
          </cell>
          <cell r="EA66">
            <v>49.302794003203147</v>
          </cell>
          <cell r="EB66">
            <v>33.355612735506689</v>
          </cell>
          <cell r="EC66">
            <v>-16.496060633111043</v>
          </cell>
          <cell r="ED66">
            <v>32.689981507311728</v>
          </cell>
          <cell r="EF66">
            <v>-82.602573814201108</v>
          </cell>
          <cell r="EG66">
            <v>65.383421237141803</v>
          </cell>
          <cell r="EH66">
            <v>1.8530047240633563</v>
          </cell>
          <cell r="EI66">
            <v>5.3441334355824877</v>
          </cell>
          <cell r="EJ66">
            <v>-12.829660668512988</v>
          </cell>
          <cell r="EK66" t="str">
            <v>Y/Y ∆ bps</v>
          </cell>
          <cell r="EL66">
            <v>-34.694848575109184</v>
          </cell>
          <cell r="EM66">
            <v>-41.833786638670325</v>
          </cell>
          <cell r="EN66">
            <v>127.64170034024691</v>
          </cell>
          <cell r="EO66">
            <v>121.97042171664452</v>
          </cell>
          <cell r="EP66">
            <v>-8.170721045960839</v>
          </cell>
          <cell r="ER66">
            <v>300.87540578005888</v>
          </cell>
          <cell r="ES66">
            <v>202.54296926526084</v>
          </cell>
          <cell r="ET66">
            <v>5.8391160216936244</v>
          </cell>
          <cell r="EU66">
            <v>-178.61680437304796</v>
          </cell>
          <cell r="EV66">
            <v>100.18608670279094</v>
          </cell>
          <cell r="EX66">
            <v>-63.723796712931716</v>
          </cell>
          <cell r="EY66">
            <v>-72.348704255130187</v>
          </cell>
          <cell r="EZ66">
            <v>33.668830709315259</v>
          </cell>
          <cell r="FA66">
            <v>129.95606819282469</v>
          </cell>
          <cell r="FB66">
            <v>33.215351750533472</v>
          </cell>
          <cell r="FD66">
            <v>50.625680561121598</v>
          </cell>
          <cell r="FE66">
            <v>103.50705849751674</v>
          </cell>
          <cell r="FF66">
            <v>204.47691052041804</v>
          </cell>
          <cell r="FG66">
            <v>188.11759735997413</v>
          </cell>
          <cell r="FH66">
            <v>147.01424492728543</v>
          </cell>
          <cell r="FJ66">
            <v>134.50252410848074</v>
          </cell>
          <cell r="FK66">
            <v>6.1559324187621112</v>
          </cell>
          <cell r="FL66">
            <v>22.272966302516185</v>
          </cell>
          <cell r="FM66">
            <v>-26.273198387134489</v>
          </cell>
          <cell r="FN66">
            <v>18.317020299823405</v>
          </cell>
          <cell r="FP66">
            <v>-178.25290534668468</v>
          </cell>
          <cell r="FQ66">
            <v>-41.409566229351768</v>
          </cell>
          <cell r="FR66">
            <v>-138.48249933825662</v>
          </cell>
          <cell r="FS66">
            <v>-102.22584726775619</v>
          </cell>
          <cell r="FT66">
            <v>-112.5922893019321</v>
          </cell>
          <cell r="FV66">
            <v>-225.21509789739548</v>
          </cell>
          <cell r="FW66">
            <v>-200.02132936434046</v>
          </cell>
          <cell r="FX66">
            <v>-231.72595505529526</v>
          </cell>
          <cell r="FY66">
            <v>-62.506484031967787</v>
          </cell>
          <cell r="FZ66">
            <v>-167.45511084021169</v>
          </cell>
          <cell r="GB66">
            <v>-102.7152519671326</v>
          </cell>
          <cell r="GC66">
            <v>-43.406594041712211</v>
          </cell>
          <cell r="GD66">
            <v>48.277257252808404</v>
          </cell>
          <cell r="GE66">
            <v>-61.057184935224271</v>
          </cell>
          <cell r="GF66">
            <v>-48.032824186394762</v>
          </cell>
        </row>
        <row r="67">
          <cell r="A67" t="str">
            <v xml:space="preserve">     1H &amp; 2H</v>
          </cell>
          <cell r="AN67" t="str">
            <v xml:space="preserve">     1H &amp; 2H</v>
          </cell>
          <cell r="EK67" t="str">
            <v xml:space="preserve">     1H &amp; 2H</v>
          </cell>
          <cell r="EL67">
            <v>0.33301211453744495</v>
          </cell>
          <cell r="EN67">
            <v>0.3015337828903874</v>
          </cell>
          <cell r="ER67">
            <v>0.35815513626834383</v>
          </cell>
          <cell r="ET67">
            <v>0.2929212362911266</v>
          </cell>
        </row>
        <row r="68">
          <cell r="A68" t="str">
            <v>EBITDA</v>
          </cell>
          <cell r="K68">
            <v>9.0053716746341619E-2</v>
          </cell>
          <cell r="L68">
            <v>0.10498588587511638</v>
          </cell>
          <cell r="N68">
            <v>7.9375940878609552E-2</v>
          </cell>
          <cell r="O68">
            <v>9.6136991842513314E-2</v>
          </cell>
          <cell r="P68">
            <v>0.12687253613666227</v>
          </cell>
          <cell r="Q68">
            <v>0.13530751708428246</v>
          </cell>
          <cell r="R68">
            <v>0.14710836608646827</v>
          </cell>
          <cell r="S68">
            <v>0.14557038105541531</v>
          </cell>
          <cell r="T68">
            <v>0.13082039911308205</v>
          </cell>
          <cell r="U68">
            <v>0.13428809967246805</v>
          </cell>
          <cell r="V68">
            <v>0.13690630677394239</v>
          </cell>
          <cell r="W68">
            <v>0.14173427991886409</v>
          </cell>
          <cell r="X68">
            <v>0.13916927199642698</v>
          </cell>
          <cell r="Y68">
            <v>0.13118279569892474</v>
          </cell>
          <cell r="Z68">
            <v>0.12868164025386691</v>
          </cell>
          <cell r="AA68">
            <v>0.10858910493331191</v>
          </cell>
          <cell r="AB68">
            <v>0.11148775894538607</v>
          </cell>
          <cell r="AC68">
            <v>0.1227452705675319</v>
          </cell>
          <cell r="AD68">
            <v>0.13145237644385532</v>
          </cell>
          <cell r="AE68">
            <v>0.13464669259900278</v>
          </cell>
          <cell r="AF68">
            <v>0.13614669259900275</v>
          </cell>
          <cell r="AG68">
            <v>0.13864669259900278</v>
          </cell>
          <cell r="AH68">
            <v>0.13864669259900272</v>
          </cell>
          <cell r="AI68">
            <v>0.13764669259900278</v>
          </cell>
          <cell r="AJ68">
            <v>0.13864669259900272</v>
          </cell>
          <cell r="AK68">
            <v>0.13964669259900278</v>
          </cell>
          <cell r="AL68">
            <v>0.14064669259900264</v>
          </cell>
          <cell r="AN68" t="str">
            <v>EBITDA</v>
          </cell>
          <cell r="AO68">
            <v>0</v>
          </cell>
          <cell r="AP68">
            <v>0</v>
          </cell>
          <cell r="AQ68">
            <v>0</v>
          </cell>
          <cell r="AR68">
            <v>0</v>
          </cell>
          <cell r="AS68">
            <v>0</v>
          </cell>
          <cell r="AU68">
            <v>6.7943208911152742E-2</v>
          </cell>
          <cell r="AV68">
            <v>4.9845461419508498E-2</v>
          </cell>
          <cell r="AW68">
            <v>6.8649383434148642E-2</v>
          </cell>
          <cell r="AX68">
            <v>0.10669880895486035</v>
          </cell>
          <cell r="AY68">
            <v>7.6144172739787269E-2</v>
          </cell>
          <cell r="BA68">
            <v>9.0037958270080251E-2</v>
          </cell>
          <cell r="BB68">
            <v>6.1182587022341257E-2</v>
          </cell>
          <cell r="BC68">
            <v>9.4692741333676139E-2</v>
          </cell>
          <cell r="BD68">
            <v>0.11869075585821284</v>
          </cell>
          <cell r="BE68">
            <v>9.4429600472659303E-2</v>
          </cell>
          <cell r="BG68">
            <v>9.0051997819223198E-2</v>
          </cell>
          <cell r="BH68">
            <v>7.8816445315412209E-2</v>
          </cell>
          <cell r="BI68">
            <v>9.2409106278100797E-2</v>
          </cell>
          <cell r="BJ68">
            <v>0.13352806166785364</v>
          </cell>
          <cell r="BK68">
            <v>0.10241823463781106</v>
          </cell>
          <cell r="BM68">
            <v>0.10189758174586723</v>
          </cell>
          <cell r="BN68">
            <v>9.2698452477914833E-2</v>
          </cell>
          <cell r="BO68">
            <v>0.10149360783180084</v>
          </cell>
          <cell r="BP68">
            <v>0.15033732592895513</v>
          </cell>
          <cell r="BQ68">
            <v>0.11579794529390085</v>
          </cell>
          <cell r="BS68">
            <v>6.7008509189925111E-2</v>
          </cell>
          <cell r="BT68">
            <v>5.9258905418315827E-2</v>
          </cell>
          <cell r="BU68">
            <v>7.7574121577283314E-2</v>
          </cell>
          <cell r="BV68">
            <v>0.13465078904488742</v>
          </cell>
          <cell r="BW68">
            <v>9.0053716746341619E-2</v>
          </cell>
          <cell r="BY68">
            <v>7.0664182066568715E-2</v>
          </cell>
          <cell r="BZ68">
            <v>7.784640630127998E-2</v>
          </cell>
          <cell r="CA68">
            <v>9.2753683184901944E-2</v>
          </cell>
          <cell r="CB68">
            <v>0</v>
          </cell>
          <cell r="CC68">
            <v>7.4262165757960283E-2</v>
          </cell>
          <cell r="CD68">
            <v>0.15499146776109726</v>
          </cell>
          <cell r="CE68">
            <v>0.14389713004995339</v>
          </cell>
          <cell r="CF68">
            <v>0.10498588587511638</v>
          </cell>
          <cell r="CG68">
            <v>0.1039617221767631</v>
          </cell>
          <cell r="CH68">
            <v>9.8270069431402887E-2</v>
          </cell>
          <cell r="CJ68">
            <v>8.0683491380616187E-2</v>
          </cell>
          <cell r="CK68">
            <v>9.3772722234875303E-2</v>
          </cell>
          <cell r="CL68">
            <v>0.10165612493585756</v>
          </cell>
          <cell r="CM68">
            <v>0.15770796896418993</v>
          </cell>
          <cell r="CN68">
            <v>0.11394209245313917</v>
          </cell>
          <cell r="CP68">
            <v>8.6164904368935924E-2</v>
          </cell>
          <cell r="CQ68">
            <v>0.10346704108428201</v>
          </cell>
          <cell r="CR68">
            <v>0.11096806535343365</v>
          </cell>
          <cell r="CS68">
            <v>0.17081762552479032</v>
          </cell>
          <cell r="CT68">
            <v>0.12324697133935045</v>
          </cell>
          <cell r="CV68">
            <v>0.10008936550491511</v>
          </cell>
          <cell r="CW68">
            <v>0.1234676007005254</v>
          </cell>
          <cell r="CX68">
            <v>0.11668545659526494</v>
          </cell>
          <cell r="CY68">
            <v>0.1799761620977354</v>
          </cell>
          <cell r="CZ68">
            <v>0.13530751708428246</v>
          </cell>
          <cell r="DB68">
            <v>0.11055555555555556</v>
          </cell>
          <cell r="DC68">
            <v>0.12606090863704444</v>
          </cell>
          <cell r="DD68">
            <v>0.11916847957457094</v>
          </cell>
          <cell r="DE68">
            <v>0.17461911937050059</v>
          </cell>
          <cell r="DF68">
            <v>0.13767216075863625</v>
          </cell>
          <cell r="DH68">
            <v>0.12426532325776658</v>
          </cell>
          <cell r="DI68">
            <v>0.15656428377276435</v>
          </cell>
          <cell r="DJ68">
            <v>0.11792702273929138</v>
          </cell>
          <cell r="DK68">
            <v>0.17790863668807994</v>
          </cell>
          <cell r="DL68">
            <v>0.14557038105541531</v>
          </cell>
          <cell r="DN68">
            <v>0.11220472440944881</v>
          </cell>
          <cell r="DO68">
            <v>0.12098623853211009</v>
          </cell>
          <cell r="DP68">
            <v>9.4964028776978418E-2</v>
          </cell>
          <cell r="DQ68">
            <v>0.17809820732657833</v>
          </cell>
          <cell r="DR68">
            <v>0.13082039911308205</v>
          </cell>
          <cell r="DT68">
            <v>0.11178685201274255</v>
          </cell>
          <cell r="DU68">
            <v>0.13425129087779691</v>
          </cell>
          <cell r="DV68">
            <v>0.10204081632653061</v>
          </cell>
          <cell r="DW68">
            <v>0.17580227227426748</v>
          </cell>
          <cell r="DX68">
            <v>0.13428809967246805</v>
          </cell>
          <cell r="DZ68">
            <v>0.10148890914615619</v>
          </cell>
          <cell r="EA68">
            <v>0.13016889924286545</v>
          </cell>
          <cell r="EB68">
            <v>0.10843373493975904</v>
          </cell>
          <cell r="EC68">
            <v>0.18820502671680189</v>
          </cell>
          <cell r="ED68">
            <v>0.13690630677394239</v>
          </cell>
          <cell r="EF68">
            <v>0.11633802816901409</v>
          </cell>
          <cell r="EG68">
            <v>0.12678022898631666</v>
          </cell>
          <cell r="EH68">
            <v>0.11035460992907802</v>
          </cell>
          <cell r="EI68">
            <v>0.19140625</v>
          </cell>
          <cell r="EJ68">
            <v>0.14173427991886409</v>
          </cell>
          <cell r="EK68" t="str">
            <v>EBITDA</v>
          </cell>
          <cell r="EL68">
            <v>0.11782477341389729</v>
          </cell>
          <cell r="EM68">
            <v>0.12945073143803479</v>
          </cell>
          <cell r="EN68">
            <v>0.10171017101710171</v>
          </cell>
          <cell r="EO68">
            <v>0.17270922578622924</v>
          </cell>
          <cell r="EP68">
            <v>0.13916927199642698</v>
          </cell>
          <cell r="ER68">
            <v>7.8414839797639121E-2</v>
          </cell>
          <cell r="ES68">
            <v>0.12043369474562135</v>
          </cell>
          <cell r="ET68">
            <v>0.10091743119266056</v>
          </cell>
          <cell r="EU68">
            <v>0.19183316955999563</v>
          </cell>
          <cell r="EV68">
            <v>0.13118279569892474</v>
          </cell>
          <cell r="EX68">
            <v>9.6774193548387094E-2</v>
          </cell>
          <cell r="EY68">
            <v>0.11439239646978955</v>
          </cell>
          <cell r="EZ68">
            <v>8.8215374195733151E-2</v>
          </cell>
          <cell r="FA68">
            <v>0.18827088666511518</v>
          </cell>
          <cell r="FB68">
            <v>0.12868164025386691</v>
          </cell>
          <cell r="FD68">
            <v>7.9171741778319121E-2</v>
          </cell>
          <cell r="FE68">
            <v>0.1136761105281567</v>
          </cell>
          <cell r="FF68">
            <v>7.3548152193701075E-2</v>
          </cell>
          <cell r="FG68">
            <v>0.15049155533148476</v>
          </cell>
          <cell r="FH68">
            <v>0.10858910493331191</v>
          </cell>
          <cell r="FJ68">
            <v>6.1838124054462935E-2</v>
          </cell>
          <cell r="FK68">
            <v>0.11031220435193945</v>
          </cell>
          <cell r="FL68">
            <v>7.2237697307335189E-2</v>
          </cell>
          <cell r="FM68">
            <v>0.17197933728108858</v>
          </cell>
          <cell r="FN68">
            <v>0.11148775894538607</v>
          </cell>
          <cell r="FP68">
            <v>8.7908144958737E-2</v>
          </cell>
          <cell r="FQ68">
            <v>0.11883691529709228</v>
          </cell>
          <cell r="FR68">
            <v>8.3051751733949852E-2</v>
          </cell>
          <cell r="FS68">
            <v>0.17583746523158786</v>
          </cell>
          <cell r="FT68">
            <v>0.1227452705675319</v>
          </cell>
          <cell r="FV68">
            <v>0.10154525386313466</v>
          </cell>
          <cell r="FW68">
            <v>0.13032497053375988</v>
          </cell>
          <cell r="FX68">
            <v>9.7898513582778068E-2</v>
          </cell>
          <cell r="FY68">
            <v>0.17491976157725814</v>
          </cell>
          <cell r="FZ68">
            <v>0.13145237644385532</v>
          </cell>
          <cell r="GB68">
            <v>0.10532313202018558</v>
          </cell>
          <cell r="GC68">
            <v>0.13255966001961425</v>
          </cell>
          <cell r="GD68">
            <v>9.1769984292360302E-2</v>
          </cell>
          <cell r="GE68">
            <v>0.18302341955100002</v>
          </cell>
          <cell r="GF68">
            <v>0.13464669259900278</v>
          </cell>
        </row>
        <row r="69">
          <cell r="A69" t="str">
            <v>Operating Income</v>
          </cell>
          <cell r="K69">
            <v>4.9834032770134616E-2</v>
          </cell>
          <cell r="L69">
            <v>7.1056478359746725E-2</v>
          </cell>
          <cell r="N69">
            <v>4.5367455864239771E-2</v>
          </cell>
          <cell r="O69">
            <v>6.0203600080900692E-2</v>
          </cell>
          <cell r="P69">
            <v>8.8107752956636004E-2</v>
          </cell>
          <cell r="Q69">
            <v>9.4695737064757562E-2</v>
          </cell>
          <cell r="R69">
            <v>0.10562106182544138</v>
          </cell>
          <cell r="S69">
            <v>0.10644308210121409</v>
          </cell>
          <cell r="T69">
            <v>8.7171365220145708E-2</v>
          </cell>
          <cell r="U69">
            <v>9.0617172949714206E-2</v>
          </cell>
          <cell r="V69">
            <v>9.0838307812094468E-2</v>
          </cell>
          <cell r="W69">
            <v>9.5017748478701827E-2</v>
          </cell>
          <cell r="X69">
            <v>9.5489057615006701E-2</v>
          </cell>
          <cell r="Y69">
            <v>8.4278828327771602E-2</v>
          </cell>
          <cell r="Z69">
            <v>7.9124387185041611E-2</v>
          </cell>
          <cell r="AA69">
            <v>5.7247308372167766E-2</v>
          </cell>
          <cell r="AB69">
            <v>6.0849550115086838E-2</v>
          </cell>
          <cell r="AC69">
            <v>7.6750789905211378E-2</v>
          </cell>
          <cell r="AD69">
            <v>9.0361673925392919E-2</v>
          </cell>
          <cell r="AE69">
            <v>9.644428925609537E-2</v>
          </cell>
          <cell r="AF69">
            <v>9.7944289256095343E-2</v>
          </cell>
          <cell r="AG69">
            <v>0.10044428925609535</v>
          </cell>
          <cell r="AH69">
            <v>0.10044428925609533</v>
          </cell>
          <cell r="AI69">
            <v>9.9444289256095372E-2</v>
          </cell>
          <cell r="AJ69">
            <v>0.10044428925609532</v>
          </cell>
          <cell r="AK69">
            <v>0.10144428925609536</v>
          </cell>
          <cell r="AL69">
            <v>0.10244428925609525</v>
          </cell>
          <cell r="AN69" t="str">
            <v>Operating Income</v>
          </cell>
          <cell r="AO69">
            <v>1.6629151314714041E-2</v>
          </cell>
          <cell r="AP69">
            <v>-2.6258248715992489E-2</v>
          </cell>
          <cell r="AQ69">
            <v>2.3944635033584606E-2</v>
          </cell>
          <cell r="AR69">
            <v>4.7141382083007131E-2</v>
          </cell>
          <cell r="AS69">
            <v>1.8926536229503767E-2</v>
          </cell>
          <cell r="AU69">
            <v>2.6057176423778111E-2</v>
          </cell>
          <cell r="AV69">
            <v>5.6888115137426025E-3</v>
          </cell>
          <cell r="AW69">
            <v>3.1170325255822338E-2</v>
          </cell>
          <cell r="AX69">
            <v>7.6689812862537954E-2</v>
          </cell>
          <cell r="AY69">
            <v>3.8511188817947503E-2</v>
          </cell>
          <cell r="BA69">
            <v>5.3864986645255068E-2</v>
          </cell>
          <cell r="BB69">
            <v>2.1736713669665054E-2</v>
          </cell>
          <cell r="BC69">
            <v>6.1917365627611451E-2</v>
          </cell>
          <cell r="BD69">
            <v>9.3424602062388007E-2</v>
          </cell>
          <cell r="BE69">
            <v>6.1926222266541493E-2</v>
          </cell>
          <cell r="BG69">
            <v>5.4570356149532914E-2</v>
          </cell>
          <cell r="BH69">
            <v>4.1293680040045563E-2</v>
          </cell>
          <cell r="BI69">
            <v>6.0012909968339807E-2</v>
          </cell>
          <cell r="BJ69">
            <v>0.10838774480904291</v>
          </cell>
          <cell r="BK69">
            <v>7.0634157218449081E-2</v>
          </cell>
          <cell r="BM69">
            <v>6.5678497802714245E-2</v>
          </cell>
          <cell r="BN69">
            <v>5.424096234571759E-2</v>
          </cell>
          <cell r="BO69">
            <v>6.8868716236309635E-2</v>
          </cell>
          <cell r="BP69">
            <v>0.12375861094812787</v>
          </cell>
          <cell r="BQ69">
            <v>8.3179489215472066E-2</v>
          </cell>
          <cell r="BS69">
            <v>2.0592579986385289E-2</v>
          </cell>
          <cell r="BT69">
            <v>1.0944452026750382E-2</v>
          </cell>
          <cell r="BU69">
            <v>3.7008590347789791E-2</v>
          </cell>
          <cell r="BV69">
            <v>0.10404879355371534</v>
          </cell>
          <cell r="BW69">
            <v>4.9834032770134616E-2</v>
          </cell>
          <cell r="BY69">
            <v>3.2090631678785023E-2</v>
          </cell>
          <cell r="BZ69">
            <v>3.8135214965539906E-2</v>
          </cell>
          <cell r="CA69">
            <v>5.5975831011468857E-2</v>
          </cell>
          <cell r="CB69">
            <v>-0.10252169720347212</v>
          </cell>
          <cell r="CC69">
            <v>3.8446588369501468E-2</v>
          </cell>
          <cell r="CD69">
            <v>0.12873290852143857</v>
          </cell>
          <cell r="CE69">
            <v>0.11884822123876988</v>
          </cell>
          <cell r="CF69">
            <v>7.1056478359746725E-2</v>
          </cell>
          <cell r="CG69">
            <v>7.0004484251611696E-2</v>
          </cell>
          <cell r="CH69">
            <v>6.524885245670671E-2</v>
          </cell>
          <cell r="CJ69">
            <v>4.0290544429969356E-2</v>
          </cell>
          <cell r="CK69">
            <v>5.3184797157810007E-2</v>
          </cell>
          <cell r="CL69">
            <v>6.4174702727624475E-2</v>
          </cell>
          <cell r="CM69">
            <v>0.13159811859403786</v>
          </cell>
          <cell r="CN69">
            <v>7.8919319505097951E-2</v>
          </cell>
          <cell r="CP69">
            <v>4.3430932175175192E-2</v>
          </cell>
          <cell r="CQ69">
            <v>6.1358381779115137E-2</v>
          </cell>
          <cell r="CR69">
            <v>7.1527298042109028E-2</v>
          </cell>
          <cell r="CS69">
            <v>0.14088688875907193</v>
          </cell>
          <cell r="CT69">
            <v>8.5573034287292751E-2</v>
          </cell>
          <cell r="CV69">
            <v>5.391718796544534E-2</v>
          </cell>
          <cell r="CW69">
            <v>7.7933450087565678E-2</v>
          </cell>
          <cell r="CX69">
            <v>7.243517474633597E-2</v>
          </cell>
          <cell r="CY69">
            <v>0.14898688915375446</v>
          </cell>
          <cell r="CZ69">
            <v>9.4695737064757562E-2</v>
          </cell>
          <cell r="DB69">
            <v>6.25E-2</v>
          </cell>
          <cell r="DC69">
            <v>7.9380928607089368E-2</v>
          </cell>
          <cell r="DD69">
            <v>7.29997582789461E-2</v>
          </cell>
          <cell r="DE69">
            <v>0.14331156872593337</v>
          </cell>
          <cell r="DF69">
            <v>9.6014901783698356E-2</v>
          </cell>
          <cell r="DH69">
            <v>7.5286873775538762E-2</v>
          </cell>
          <cell r="DI69">
            <v>0.10926882304974178</v>
          </cell>
          <cell r="DJ69">
            <v>7.112638815441566E-2</v>
          </cell>
          <cell r="DK69">
            <v>0.14828693790149894</v>
          </cell>
          <cell r="DL69">
            <v>0.10644308210121409</v>
          </cell>
          <cell r="DN69">
            <v>6.4679415073115865E-2</v>
          </cell>
          <cell r="DO69">
            <v>7.2821100917431186E-2</v>
          </cell>
          <cell r="DP69">
            <v>4.4892086330935249E-2</v>
          </cell>
          <cell r="DQ69">
            <v>0.14341387373343725</v>
          </cell>
          <cell r="DR69">
            <v>8.7171365220145708E-2</v>
          </cell>
          <cell r="DT69">
            <v>6.4002316825948452E-2</v>
          </cell>
          <cell r="DU69">
            <v>8.6058519793459548E-2</v>
          </cell>
          <cell r="DV69">
            <v>5.4038516815176775E-2</v>
          </cell>
          <cell r="DW69">
            <v>0.13992425752441698</v>
          </cell>
          <cell r="DX69">
            <v>9.0617172949714206E-2</v>
          </cell>
          <cell r="DZ69">
            <v>4.6794287450622911E-2</v>
          </cell>
          <cell r="EA69">
            <v>7.9790331974373907E-2</v>
          </cell>
          <cell r="EB69">
            <v>5.7946069994262765E-2</v>
          </cell>
          <cell r="EC69">
            <v>0.152384721947358</v>
          </cell>
          <cell r="ED69">
            <v>9.0838307812094468E-2</v>
          </cell>
          <cell r="EF69">
            <v>6.6478873239436617E-2</v>
          </cell>
          <cell r="EG69">
            <v>7.7073443172298237E-2</v>
          </cell>
          <cell r="EH69">
            <v>5.9858156028368796E-2</v>
          </cell>
          <cell r="EI69">
            <v>0.15156249999999999</v>
          </cell>
          <cell r="EJ69">
            <v>9.5017748478701827E-2</v>
          </cell>
          <cell r="EK69" t="str">
            <v>Operating Income</v>
          </cell>
          <cell r="EL69">
            <v>6.9211755012359238E-2</v>
          </cell>
          <cell r="EM69">
            <v>8.0320176649185754E-2</v>
          </cell>
          <cell r="EN69">
            <v>4.8604860486048604E-2</v>
          </cell>
          <cell r="EO69">
            <v>0.13843903458363807</v>
          </cell>
          <cell r="EP69">
            <v>9.5489057615006701E-2</v>
          </cell>
          <cell r="ER69">
            <v>2.5126475548060707E-2</v>
          </cell>
          <cell r="ES69">
            <v>6.805671392827356E-2</v>
          </cell>
          <cell r="ET69">
            <v>4.7400611620795105E-2</v>
          </cell>
          <cell r="EU69">
            <v>0.1568948575171962</v>
          </cell>
          <cell r="EV69">
            <v>8.4278828327771602E-2</v>
          </cell>
          <cell r="EX69">
            <v>4.12092551933795E-2</v>
          </cell>
          <cell r="EY69">
            <v>5.8893414799728448E-2</v>
          </cell>
          <cell r="EZ69">
            <v>3.3863867253640365E-2</v>
          </cell>
          <cell r="FA69">
            <v>0.15022108447754248</v>
          </cell>
          <cell r="FB69">
            <v>7.9124387185041611E-2</v>
          </cell>
          <cell r="FD69">
            <v>2.4360535931790498E-2</v>
          </cell>
          <cell r="FE69">
            <v>5.8586918502973068E-2</v>
          </cell>
          <cell r="FF69">
            <v>1.5292190060076462E-2</v>
          </cell>
          <cell r="FG69">
            <v>0.10915049155533149</v>
          </cell>
          <cell r="FH69">
            <v>5.7247308372167766E-2</v>
          </cell>
          <cell r="FJ69">
            <v>4.5385779122541605E-3</v>
          </cell>
          <cell r="FK69">
            <v>5.3358561967833493E-2</v>
          </cell>
          <cell r="FL69">
            <v>1.6341689879294335E-2</v>
          </cell>
          <cell r="FM69">
            <v>0.1335517197933728</v>
          </cell>
          <cell r="FN69">
            <v>6.0849550115086838E-2</v>
          </cell>
          <cell r="FP69">
            <v>3.6419088625762472E-2</v>
          </cell>
          <cell r="FQ69">
            <v>6.6823189452772255E-2</v>
          </cell>
          <cell r="FR69">
            <v>3.1477858794237951E-2</v>
          </cell>
          <cell r="FS69">
            <v>0.14137138710847744</v>
          </cell>
          <cell r="FT69">
            <v>7.6750789905211378E-2</v>
          </cell>
          <cell r="FV69">
            <v>5.6036678553234846E-2</v>
          </cell>
          <cell r="FW69">
            <v>8.5199528540158276E-2</v>
          </cell>
          <cell r="FX69">
            <v>4.9718093285494619E-2</v>
          </cell>
          <cell r="FY69">
            <v>0.1443145346171481</v>
          </cell>
          <cell r="FZ69">
            <v>9.0361673925392919E-2</v>
          </cell>
          <cell r="GB69">
            <v>6.3649682565521726E-2</v>
          </cell>
          <cell r="GC69">
            <v>9.0552468126838842E-2</v>
          </cell>
          <cell r="GD69">
            <v>4.6390367560213731E-2</v>
          </cell>
          <cell r="GE69">
            <v>0.15423304866911453</v>
          </cell>
          <cell r="GF69">
            <v>9.644428925609537E-2</v>
          </cell>
        </row>
        <row r="70">
          <cell r="A70" t="str">
            <v>Y/Y ∆ bps</v>
          </cell>
          <cell r="O70">
            <v>148.36144216660921</v>
          </cell>
          <cell r="P70">
            <v>279.04152875735315</v>
          </cell>
          <cell r="Q70">
            <v>65.879841081215588</v>
          </cell>
          <cell r="R70">
            <v>109.25324760683822</v>
          </cell>
          <cell r="S70">
            <v>8.22020275772703</v>
          </cell>
          <cell r="T70">
            <v>-192.7171688106838</v>
          </cell>
          <cell r="U70">
            <v>34.45807729568498</v>
          </cell>
          <cell r="V70">
            <v>2.2113486238026225</v>
          </cell>
          <cell r="W70">
            <v>41.794406666073591</v>
          </cell>
          <cell r="X70">
            <v>4.7130913630487328</v>
          </cell>
          <cell r="Y70">
            <v>-112.10229287235099</v>
          </cell>
          <cell r="Z70">
            <v>-51.544411427299899</v>
          </cell>
          <cell r="AA70">
            <v>-218.77078812873845</v>
          </cell>
          <cell r="AB70">
            <v>36.022417429190725</v>
          </cell>
          <cell r="AC70">
            <v>159.01239790124541</v>
          </cell>
          <cell r="AD70">
            <v>136.10884020181541</v>
          </cell>
          <cell r="AE70">
            <v>60.826153307024512</v>
          </cell>
          <cell r="AF70">
            <v>14.999999999999735</v>
          </cell>
          <cell r="AG70">
            <v>25.000000000000021</v>
          </cell>
          <cell r="AH70">
            <v>-1.3877787807814457E-13</v>
          </cell>
          <cell r="AI70">
            <v>-9.9999999999995932</v>
          </cell>
          <cell r="AJ70">
            <v>9.9999999999994529</v>
          </cell>
          <cell r="AK70">
            <v>10.000000000000425</v>
          </cell>
          <cell r="AL70">
            <v>9.9999999999988987</v>
          </cell>
          <cell r="AN70" t="str">
            <v>Y/Y ∆ bps</v>
          </cell>
          <cell r="DH70">
            <v>127.86873775538763</v>
          </cell>
          <cell r="DI70">
            <v>298.87894442652413</v>
          </cell>
          <cell r="DJ70">
            <v>-18.733701245304406</v>
          </cell>
          <cell r="DK70">
            <v>49.753691755655694</v>
          </cell>
          <cell r="DL70">
            <v>104.28180317515731</v>
          </cell>
          <cell r="DN70">
            <v>-106.07458702422898</v>
          </cell>
          <cell r="DO70">
            <v>-364.47722132310594</v>
          </cell>
          <cell r="DP70">
            <v>-262.34301823480411</v>
          </cell>
          <cell r="DQ70">
            <v>-48.730641680616863</v>
          </cell>
          <cell r="DR70">
            <v>-192.7171688106838</v>
          </cell>
          <cell r="DT70">
            <v>-6.7709824716741256</v>
          </cell>
          <cell r="DU70">
            <v>132.37418876028363</v>
          </cell>
          <cell r="DV70">
            <v>91.46430484241526</v>
          </cell>
          <cell r="DW70">
            <v>-34.896162090202743</v>
          </cell>
          <cell r="DX70">
            <v>34.45807729568498</v>
          </cell>
          <cell r="DZ70">
            <v>-172.0802937532554</v>
          </cell>
          <cell r="EA70">
            <v>-62.681878190856409</v>
          </cell>
          <cell r="EB70">
            <v>39.075531790859905</v>
          </cell>
          <cell r="EC70">
            <v>124.6046442294102</v>
          </cell>
          <cell r="ED70">
            <v>2.2113486238026225</v>
          </cell>
          <cell r="EF70">
            <v>196.84585788813706</v>
          </cell>
          <cell r="EG70">
            <v>-27.168888020756704</v>
          </cell>
          <cell r="EH70">
            <v>19.120860341060308</v>
          </cell>
          <cell r="EI70">
            <v>-8.2222194735800951</v>
          </cell>
          <cell r="EJ70">
            <v>41.794406666073591</v>
          </cell>
          <cell r="EK70" t="str">
            <v>Y/Y ∆ bps</v>
          </cell>
          <cell r="EL70">
            <v>27.328817729226213</v>
          </cell>
          <cell r="EM70">
            <v>32.467334768875169</v>
          </cell>
          <cell r="EN70">
            <v>-112.53295542320193</v>
          </cell>
          <cell r="EO70">
            <v>-131.23465416361918</v>
          </cell>
          <cell r="EP70">
            <v>4.7130913630487328</v>
          </cell>
          <cell r="ER70">
            <v>-440.85279464298537</v>
          </cell>
          <cell r="ES70">
            <v>-122.63462720912194</v>
          </cell>
          <cell r="ET70">
            <v>-12.042488652534988</v>
          </cell>
          <cell r="EU70">
            <v>184.5582293355813</v>
          </cell>
          <cell r="EV70">
            <v>-112.10229287235099</v>
          </cell>
          <cell r="EX70">
            <v>160.82779645318794</v>
          </cell>
          <cell r="EY70">
            <v>-91.632991285451112</v>
          </cell>
          <cell r="EZ70">
            <v>-135.36744367154739</v>
          </cell>
          <cell r="FA70">
            <v>-66.737730396537188</v>
          </cell>
          <cell r="FB70">
            <v>-51.544411427299899</v>
          </cell>
          <cell r="FD70">
            <v>-168.48719261589002</v>
          </cell>
          <cell r="FE70">
            <v>-3.0649629675538055</v>
          </cell>
          <cell r="FF70">
            <v>-185.71677193563903</v>
          </cell>
          <cell r="FG70">
            <v>-410.70592922210989</v>
          </cell>
          <cell r="FH70">
            <v>-218.77078812873845</v>
          </cell>
          <cell r="FJ70">
            <v>-198.21958019536339</v>
          </cell>
          <cell r="FK70">
            <v>-52.283565351395751</v>
          </cell>
          <cell r="FL70">
            <v>10.494998192178731</v>
          </cell>
          <cell r="FM70">
            <v>244.01228238041307</v>
          </cell>
          <cell r="FN70">
            <v>36.022417429190725</v>
          </cell>
          <cell r="FP70">
            <v>318.80510713508306</v>
          </cell>
          <cell r="FQ70">
            <v>134.64627484938762</v>
          </cell>
          <cell r="FR70">
            <v>151.36168914943616</v>
          </cell>
          <cell r="FS70">
            <v>78.196673151046397</v>
          </cell>
          <cell r="FT70">
            <v>159.01239790124541</v>
          </cell>
          <cell r="FV70">
            <v>196.17589927472375</v>
          </cell>
          <cell r="FW70">
            <v>183.7633908738602</v>
          </cell>
          <cell r="FX70">
            <v>182.40234491256669</v>
          </cell>
          <cell r="FY70">
            <v>29.431475086706683</v>
          </cell>
          <cell r="FZ70">
            <v>136.10884020181541</v>
          </cell>
          <cell r="GB70">
            <v>76.130040122868792</v>
          </cell>
          <cell r="GC70">
            <v>53.529395866805665</v>
          </cell>
          <cell r="GD70">
            <v>-33.277257252808873</v>
          </cell>
          <cell r="GE70">
            <v>99.185140519664202</v>
          </cell>
          <cell r="GF70">
            <v>60.826153307024512</v>
          </cell>
        </row>
        <row r="71">
          <cell r="A71" t="str">
            <v>Interest Expense, net</v>
          </cell>
          <cell r="K71">
            <v>3.2697149947086085E-2</v>
          </cell>
          <cell r="L71">
            <v>2.9523074454598411E-2</v>
          </cell>
          <cell r="N71">
            <v>3.1545093745723278E-2</v>
          </cell>
          <cell r="O71">
            <v>3.0472594889772803E-2</v>
          </cell>
          <cell r="P71">
            <v>2.5164257555847568E-2</v>
          </cell>
          <cell r="Q71">
            <v>1.9004230393752035E-2</v>
          </cell>
          <cell r="R71">
            <v>1.9152785576143239E-2</v>
          </cell>
          <cell r="S71">
            <v>1.9293184276956366E-2</v>
          </cell>
          <cell r="T71">
            <v>2.0525815647766867E-2</v>
          </cell>
          <cell r="U71">
            <v>1.8945475563547622E-2</v>
          </cell>
          <cell r="V71">
            <v>1.6675317934077342E-2</v>
          </cell>
          <cell r="W71">
            <v>1.4262170385395538E-2</v>
          </cell>
          <cell r="X71">
            <v>1.7731129968736044E-2</v>
          </cell>
          <cell r="Y71">
            <v>1.7093066370040787E-2</v>
          </cell>
          <cell r="Z71">
            <v>2.0636187435868203E-2</v>
          </cell>
          <cell r="AA71">
            <v>2.2497187851518559E-2</v>
          </cell>
          <cell r="AB71">
            <v>2.3268466206319314E-2</v>
          </cell>
          <cell r="AC71">
            <v>2.2957245130584329E-2</v>
          </cell>
          <cell r="AD71">
            <v>1.677712554440447E-2</v>
          </cell>
          <cell r="AE71">
            <v>1.5811449048425012E-2</v>
          </cell>
          <cell r="AF71">
            <v>1.5432439405946033E-2</v>
          </cell>
          <cell r="AG71">
            <v>1.1551362026190394E-2</v>
          </cell>
          <cell r="AH71">
            <v>1.1247354128091228E-2</v>
          </cell>
          <cell r="AI71">
            <v>8.8517788743727871E-3</v>
          </cell>
          <cell r="AJ71">
            <v>7.3060870294808875E-3</v>
          </cell>
          <cell r="AK71">
            <v>6.4151370536479606E-3</v>
          </cell>
          <cell r="AL71">
            <v>6.1009977063129633E-3</v>
          </cell>
          <cell r="AN71" t="str">
            <v>Interest Expense, net</v>
          </cell>
          <cell r="AO71">
            <v>9.4412937137683436E-2</v>
          </cell>
          <cell r="AP71">
            <v>8.9822192159361131E-2</v>
          </cell>
          <cell r="AQ71">
            <v>7.6101932466374367E-2</v>
          </cell>
          <cell r="AR71">
            <v>5.9439345690775844E-2</v>
          </cell>
          <cell r="AS71">
            <v>7.7841406231294583E-2</v>
          </cell>
          <cell r="AU71">
            <v>7.2724750991421602E-2</v>
          </cell>
          <cell r="AV71">
            <v>7.3799442818719529E-2</v>
          </cell>
          <cell r="AW71">
            <v>6.4135371212258638E-2</v>
          </cell>
          <cell r="AX71">
            <v>4.7384105029377857E-2</v>
          </cell>
          <cell r="AY71">
            <v>6.303759937325483E-2</v>
          </cell>
          <cell r="BA71">
            <v>3.6447192449574548E-2</v>
          </cell>
          <cell r="BB71">
            <v>3.4143281828587738E-2</v>
          </cell>
          <cell r="BC71">
            <v>2.4557775026342047E-2</v>
          </cell>
          <cell r="BD71">
            <v>2.0725558102914272E-2</v>
          </cell>
          <cell r="BE71">
            <v>2.7945713106931256E-2</v>
          </cell>
          <cell r="BG71">
            <v>2.7210661911047193E-2</v>
          </cell>
          <cell r="BH71">
            <v>2.6805113267229716E-2</v>
          </cell>
          <cell r="BI71">
            <v>2.2350452547483253E-2</v>
          </cell>
          <cell r="BJ71">
            <v>1.729722637786555E-2</v>
          </cell>
          <cell r="BK71">
            <v>2.2704354963602815E-2</v>
          </cell>
          <cell r="BM71">
            <v>2.7417845940236968E-2</v>
          </cell>
          <cell r="BN71">
            <v>3.0510619635361193E-2</v>
          </cell>
          <cell r="BO71">
            <v>2.6461339487889576E-2</v>
          </cell>
          <cell r="BP71">
            <v>2.1503910610110491E-2</v>
          </cell>
          <cell r="BQ71">
            <v>2.587720988333796E-2</v>
          </cell>
          <cell r="BS71">
            <v>3.5071477195371001E-2</v>
          </cell>
          <cell r="BT71">
            <v>3.7450525453801002E-2</v>
          </cell>
          <cell r="BU71">
            <v>3.4075046232774568E-2</v>
          </cell>
          <cell r="BV71">
            <v>2.6999397334880916E-2</v>
          </cell>
          <cell r="BW71">
            <v>3.2697149947086085E-2</v>
          </cell>
          <cell r="BY71">
            <v>3.2647859475516454E-2</v>
          </cell>
          <cell r="BZ71">
            <v>3.3874630784378072E-2</v>
          </cell>
          <cell r="CA71">
            <v>3.1383267217194519E-2</v>
          </cell>
          <cell r="CB71">
            <v>6.1890067502410759E-2</v>
          </cell>
          <cell r="CC71">
            <v>3.4758851116312182E-2</v>
          </cell>
          <cell r="CD71">
            <v>2.3302732476509342E-2</v>
          </cell>
          <cell r="CE71">
            <v>2.4686318828467779E-2</v>
          </cell>
          <cell r="CF71">
            <v>2.9523074454598411E-2</v>
          </cell>
          <cell r="CG71">
            <v>2.9750774835216397E-2</v>
          </cell>
          <cell r="CH71">
            <v>3.0636684676753432E-2</v>
          </cell>
          <cell r="CJ71">
            <v>3.4017329657345413E-2</v>
          </cell>
          <cell r="CK71">
            <v>3.5202793472316786E-2</v>
          </cell>
          <cell r="CL71">
            <v>3.140935201327294E-2</v>
          </cell>
          <cell r="CM71">
            <v>2.1948147333105857E-2</v>
          </cell>
          <cell r="CN71">
            <v>2.966465240014567E-2</v>
          </cell>
          <cell r="CP71">
            <v>3.0617252516873267E-2</v>
          </cell>
          <cell r="CQ71">
            <v>2.8748310443407421E-2</v>
          </cell>
          <cell r="CR71">
            <v>2.4525155114038584E-2</v>
          </cell>
          <cell r="CS71">
            <v>1.7188736384699484E-2</v>
          </cell>
          <cell r="CT71">
            <v>2.4412010687558432E-2</v>
          </cell>
          <cell r="CV71">
            <v>2.2937146261543043E-2</v>
          </cell>
          <cell r="CW71">
            <v>2.1599532983070636E-2</v>
          </cell>
          <cell r="CX71">
            <v>2.0293122886133032E-2</v>
          </cell>
          <cell r="CY71">
            <v>1.3706793802145411E-2</v>
          </cell>
          <cell r="CZ71">
            <v>1.9004230393752035E-2</v>
          </cell>
          <cell r="DB71">
            <v>2.0833333333333332E-2</v>
          </cell>
          <cell r="DC71">
            <v>2.1218172740888667E-2</v>
          </cell>
          <cell r="DD71">
            <v>2.1996615905245348E-2</v>
          </cell>
          <cell r="DE71">
            <v>1.7411685919973212E-2</v>
          </cell>
          <cell r="DF71">
            <v>2.003838338225333E-2</v>
          </cell>
          <cell r="DH71">
            <v>1.9311502938706968E-2</v>
          </cell>
          <cell r="DI71">
            <v>2.1201413427561839E-2</v>
          </cell>
          <cell r="DJ71">
            <v>2.2210470650449499E-2</v>
          </cell>
          <cell r="DK71">
            <v>1.6059957173447537E-2</v>
          </cell>
          <cell r="DL71">
            <v>1.9293184276956366E-2</v>
          </cell>
          <cell r="DN71">
            <v>2.1934758155230598E-2</v>
          </cell>
          <cell r="DO71">
            <v>2.2362385321100919E-2</v>
          </cell>
          <cell r="DP71">
            <v>2.302158273381295E-2</v>
          </cell>
          <cell r="DQ71">
            <v>1.7147310989867499E-2</v>
          </cell>
          <cell r="DR71">
            <v>2.0525815647766867E-2</v>
          </cell>
          <cell r="DT71">
            <v>2.143064002316826E-2</v>
          </cell>
          <cell r="DU71">
            <v>2.2375215146299483E-2</v>
          </cell>
          <cell r="DV71">
            <v>2.0983041103765449E-2</v>
          </cell>
          <cell r="DW71">
            <v>1.3952561291608531E-2</v>
          </cell>
          <cell r="DX71">
            <v>1.8945475563547622E-2</v>
          </cell>
          <cell r="DZ71">
            <v>2.127013065937405E-2</v>
          </cell>
          <cell r="EA71">
            <v>1.8928363424577752E-2</v>
          </cell>
          <cell r="EB71">
            <v>1.7498565691336777E-2</v>
          </cell>
          <cell r="EC71">
            <v>1.2072036414011479E-2</v>
          </cell>
          <cell r="ED71">
            <v>1.6675317934077342E-2</v>
          </cell>
          <cell r="EF71">
            <v>1.6901408450704224E-2</v>
          </cell>
          <cell r="EG71">
            <v>1.6755096341803964E-2</v>
          </cell>
          <cell r="EH71">
            <v>1.5602836879432624E-2</v>
          </cell>
          <cell r="EI71">
            <v>9.765625E-3</v>
          </cell>
          <cell r="EJ71">
            <v>1.4262170385395538E-2</v>
          </cell>
          <cell r="EK71" t="str">
            <v>Interest Expense, net</v>
          </cell>
          <cell r="EL71">
            <v>1.4831090359791266E-2</v>
          </cell>
          <cell r="EM71">
            <v>1.4904775048302512E-2</v>
          </cell>
          <cell r="EN71">
            <v>2.6102610261026102E-2</v>
          </cell>
          <cell r="EO71">
            <v>1.5045449796259535E-2</v>
          </cell>
          <cell r="EP71">
            <v>1.7731129968736044E-2</v>
          </cell>
          <cell r="ER71">
            <v>2.3271500843170319E-2</v>
          </cell>
          <cell r="ES71">
            <v>1.9349457881567972E-2</v>
          </cell>
          <cell r="ET71">
            <v>1.7669045191980971E-2</v>
          </cell>
          <cell r="EU71">
            <v>1.1245769188776067E-2</v>
          </cell>
          <cell r="EV71">
            <v>1.7093066370040787E-2</v>
          </cell>
          <cell r="EX71">
            <v>2.1111298767100151E-2</v>
          </cell>
          <cell r="EY71">
            <v>2.3251866938221316E-2</v>
          </cell>
          <cell r="EZ71">
            <v>2.4551303758889264E-2</v>
          </cell>
          <cell r="FA71">
            <v>1.5824994181987434E-2</v>
          </cell>
          <cell r="FB71">
            <v>2.0636187435868203E-2</v>
          </cell>
          <cell r="FD71">
            <v>2.3664520619453629E-2</v>
          </cell>
          <cell r="FE71">
            <v>2.4134312696747113E-2</v>
          </cell>
          <cell r="FF71">
            <v>2.60331330784635E-2</v>
          </cell>
          <cell r="FG71">
            <v>1.8023695487774136E-2</v>
          </cell>
          <cell r="FH71">
            <v>2.2497187851518559E-2</v>
          </cell>
          <cell r="FJ71">
            <v>2.6664145234493192E-2</v>
          </cell>
          <cell r="FK71">
            <v>2.6300851466414379E-2</v>
          </cell>
          <cell r="FL71">
            <v>2.544103992571959E-2</v>
          </cell>
          <cell r="FM71">
            <v>1.7512914199319642E-2</v>
          </cell>
          <cell r="FN71">
            <v>2.3268466206319314E-2</v>
          </cell>
          <cell r="FP71">
            <v>2.9063509149623249E-2</v>
          </cell>
          <cell r="FQ71">
            <v>2.3478417915838903E-2</v>
          </cell>
          <cell r="FR71">
            <v>2.9165925662457761E-2</v>
          </cell>
          <cell r="FS71">
            <v>1.4270165679042206E-2</v>
          </cell>
          <cell r="FT71">
            <v>2.2957245130584329E-2</v>
          </cell>
          <cell r="FV71">
            <v>1.9697741552046188E-2</v>
          </cell>
          <cell r="FW71">
            <v>1.869001515406634E-2</v>
          </cell>
          <cell r="FX71">
            <v>1.8452075858534086E-2</v>
          </cell>
          <cell r="FY71">
            <v>1.2379642365887207E-2</v>
          </cell>
          <cell r="FZ71">
            <v>1.677712554440447E-2</v>
          </cell>
          <cell r="GB71">
            <v>1.8232134136415432E-2</v>
          </cell>
          <cell r="GC71">
            <v>1.7162471395881007E-2</v>
          </cell>
          <cell r="GD71">
            <v>1.7615406893202082E-2</v>
          </cell>
          <cell r="GE71">
            <v>1.2172632499990378E-2</v>
          </cell>
          <cell r="GF71">
            <v>1.5811449048425012E-2</v>
          </cell>
        </row>
        <row r="72">
          <cell r="A72" t="str">
            <v>Pretax Income</v>
          </cell>
          <cell r="K72">
            <v>6.7361237820676165E-3</v>
          </cell>
          <cell r="L72">
            <v>2.1767271032489204E-2</v>
          </cell>
          <cell r="N72">
            <v>1.3822362118516491E-2</v>
          </cell>
          <cell r="O72">
            <v>2.9731005191127889E-2</v>
          </cell>
          <cell r="P72">
            <v>6.2943495400788432E-2</v>
          </cell>
          <cell r="Q72">
            <v>7.5691506671005535E-2</v>
          </cell>
          <cell r="R72">
            <v>8.6468276249298148E-2</v>
          </cell>
          <cell r="S72">
            <v>8.2341627599471084E-2</v>
          </cell>
          <cell r="T72">
            <v>4.9414000633512832E-2</v>
          </cell>
          <cell r="U72">
            <v>6.7304604713891214E-2</v>
          </cell>
          <cell r="V72">
            <v>7.0334804048793151E-2</v>
          </cell>
          <cell r="W72">
            <v>7.074036511156187E-2</v>
          </cell>
          <cell r="X72">
            <v>9.1290754801250554E-2</v>
          </cell>
          <cell r="Y72">
            <v>5.0982573229514272E-2</v>
          </cell>
          <cell r="Z72">
            <v>5.0165317523657507E-2</v>
          </cell>
          <cell r="AA72">
            <v>1.783705608227543E-2</v>
          </cell>
          <cell r="AB72">
            <v>2.1217827997489013E-2</v>
          </cell>
          <cell r="AC72">
            <v>5.2793664760228773E-2</v>
          </cell>
          <cell r="AD72">
            <v>7.4531338761598176E-2</v>
          </cell>
          <cell r="AE72">
            <v>8.063284020767035E-2</v>
          </cell>
          <cell r="AF72">
            <v>8.251184985014931E-2</v>
          </cell>
          <cell r="AG72">
            <v>8.8892927229904967E-2</v>
          </cell>
          <cell r="AH72">
            <v>8.9196935128004098E-2</v>
          </cell>
          <cell r="AI72">
            <v>9.0592510381722585E-2</v>
          </cell>
          <cell r="AJ72">
            <v>9.3138202226614425E-2</v>
          </cell>
          <cell r="AK72">
            <v>9.5029152202447398E-2</v>
          </cell>
          <cell r="AL72">
            <v>9.6343291549782287E-2</v>
          </cell>
          <cell r="AN72" t="str">
            <v>Pretax Income</v>
          </cell>
          <cell r="AO72">
            <v>-9.0163223218439878E-2</v>
          </cell>
          <cell r="AP72">
            <v>-0.12220487490266711</v>
          </cell>
          <cell r="AQ72">
            <v>-6.8728084842250486E-2</v>
          </cell>
          <cell r="AR72">
            <v>-4.2722085061616032E-2</v>
          </cell>
          <cell r="AS72">
            <v>-7.6701526732841571E-2</v>
          </cell>
          <cell r="AU72">
            <v>-5.3355708699343932E-2</v>
          </cell>
          <cell r="AV72">
            <v>-0.14065250514292904</v>
          </cell>
          <cell r="AW72">
            <v>-4.6809031067335062E-2</v>
          </cell>
          <cell r="AX72">
            <v>-0.69561674772520654</v>
          </cell>
          <cell r="AY72">
            <v>-0.27021375085956034</v>
          </cell>
          <cell r="BA72">
            <v>1.4618324059028203E-2</v>
          </cell>
          <cell r="BB72">
            <v>-1.5426032725505995E-2</v>
          </cell>
          <cell r="BC72">
            <v>3.1043089160492192E-2</v>
          </cell>
          <cell r="BD72">
            <v>7.7794891155674686E-2</v>
          </cell>
          <cell r="BE72">
            <v>3.2769623362680571E-2</v>
          </cell>
          <cell r="BG72">
            <v>2.4938704953092587E-2</v>
          </cell>
          <cell r="BH72">
            <v>1.204229814789173E-2</v>
          </cell>
          <cell r="BI72">
            <v>3.5217387659523307E-2</v>
          </cell>
          <cell r="BJ72">
            <v>0.10522273490933497</v>
          </cell>
          <cell r="BK72">
            <v>5.0872782632487255E-2</v>
          </cell>
          <cell r="BM72">
            <v>3.5115451996243524E-2</v>
          </cell>
          <cell r="BN72">
            <v>6.4325543512310261E-3</v>
          </cell>
          <cell r="BO72">
            <v>4.065577786300785E-2</v>
          </cell>
          <cell r="BP72">
            <v>0.11104631292387993</v>
          </cell>
          <cell r="BQ72">
            <v>5.5494424440059829E-2</v>
          </cell>
          <cell r="BS72">
            <v>-1.7950987066031328E-2</v>
          </cell>
          <cell r="BT72">
            <v>-2.984338747099767E-2</v>
          </cell>
          <cell r="BU72">
            <v>-2.2680904372725637E-2</v>
          </cell>
          <cell r="BV72">
            <v>6.8868998459855821E-2</v>
          </cell>
          <cell r="BW72">
            <v>6.7361237820676122E-3</v>
          </cell>
          <cell r="BY72">
            <v>-2.9032070216726567E-2</v>
          </cell>
          <cell r="BZ72">
            <v>-3.3351493272070855E-2</v>
          </cell>
          <cell r="CA72">
            <v>1.2893247034373114E-2</v>
          </cell>
          <cell r="CB72">
            <v>-0.16441176470588287</v>
          </cell>
          <cell r="CC72">
            <v>-6.752536903383885E-3</v>
          </cell>
          <cell r="CD72">
            <v>9.7221946214493968E-2</v>
          </cell>
          <cell r="CE72">
            <v>7.8835875325267243E-2</v>
          </cell>
          <cell r="CF72">
            <v>2.17672710324892E-2</v>
          </cell>
          <cell r="CG72">
            <v>1.8428552040484762E-2</v>
          </cell>
          <cell r="CH72">
            <v>1.3388614238720465E-2</v>
          </cell>
          <cell r="CJ72">
            <v>-1.7267246341685142E-2</v>
          </cell>
          <cell r="CK72">
            <v>-1.2136794400388754E-2</v>
          </cell>
          <cell r="CL72">
            <v>2.0489877389345192E-2</v>
          </cell>
          <cell r="CM72">
            <v>9.2227383028815668E-2</v>
          </cell>
          <cell r="CN72">
            <v>2.8987918734701083E-2</v>
          </cell>
          <cell r="CP72">
            <v>1.2813679658301928E-2</v>
          </cell>
          <cell r="CQ72">
            <v>3.2610071335707716E-2</v>
          </cell>
          <cell r="CR72">
            <v>4.7002142928070444E-2</v>
          </cell>
          <cell r="CS72">
            <v>0.12369815237437246</v>
          </cell>
          <cell r="CT72">
            <v>6.1161023599734327E-2</v>
          </cell>
          <cell r="CV72">
            <v>3.0980041703902294E-2</v>
          </cell>
          <cell r="CW72">
            <v>5.6333917104495035E-2</v>
          </cell>
          <cell r="CX72">
            <v>5.2142051860202931E-2</v>
          </cell>
          <cell r="CY72">
            <v>0.13528009535160906</v>
          </cell>
          <cell r="CZ72">
            <v>7.5691506671005535E-2</v>
          </cell>
          <cell r="DB72">
            <v>4.1666666666666664E-2</v>
          </cell>
          <cell r="DC72">
            <v>5.8162755866200698E-2</v>
          </cell>
          <cell r="DD72">
            <v>5.1003142373700752E-2</v>
          </cell>
          <cell r="DE72">
            <v>0.12589988280596015</v>
          </cell>
          <cell r="DF72">
            <v>7.5976518401445023E-2</v>
          </cell>
          <cell r="DH72">
            <v>5.5975370836831795E-2</v>
          </cell>
          <cell r="DI72">
            <v>8.8067409622179946E-2</v>
          </cell>
          <cell r="DJ72">
            <v>4.8915917503966157E-2</v>
          </cell>
          <cell r="DK72">
            <v>0.11795146324054247</v>
          </cell>
          <cell r="DL72">
            <v>8.2341627599471084E-2</v>
          </cell>
          <cell r="DN72">
            <v>2.81214848143982E-2</v>
          </cell>
          <cell r="DO72">
            <v>3.8704128440366969E-2</v>
          </cell>
          <cell r="DP72">
            <v>1.3237410071942447E-2</v>
          </cell>
          <cell r="DQ72">
            <v>9.7233047544816834E-2</v>
          </cell>
          <cell r="DR72">
            <v>4.9414000633512832E-2</v>
          </cell>
          <cell r="DT72">
            <v>4.2571676802780192E-2</v>
          </cell>
          <cell r="DU72">
            <v>6.3683304647160072E-2</v>
          </cell>
          <cell r="DV72">
            <v>3.3055475711411327E-2</v>
          </cell>
          <cell r="DW72">
            <v>0.1124177795495316</v>
          </cell>
          <cell r="DX72">
            <v>6.7304604713891214E-2</v>
          </cell>
          <cell r="DZ72">
            <v>2.3093284715891827E-2</v>
          </cell>
          <cell r="EA72">
            <v>5.7949912638322658E-2</v>
          </cell>
          <cell r="EB72">
            <v>3.2128514056224897E-2</v>
          </cell>
          <cell r="EC72">
            <v>0.13793785869780328</v>
          </cell>
          <cell r="ED72">
            <v>7.0334804048793151E-2</v>
          </cell>
          <cell r="EF72">
            <v>4.4225352112676058E-2</v>
          </cell>
          <cell r="EG72">
            <v>3.518570231778833E-2</v>
          </cell>
          <cell r="EH72">
            <v>3.4042553191489362E-2</v>
          </cell>
          <cell r="EI72">
            <v>0.13925781249999999</v>
          </cell>
          <cell r="EJ72">
            <v>7.074036511156187E-2</v>
          </cell>
          <cell r="EK72" t="str">
            <v>Pretax Income</v>
          </cell>
          <cell r="EL72">
            <v>5.4380664652567974E-2</v>
          </cell>
          <cell r="EM72">
            <v>6.5415401600883244E-2</v>
          </cell>
          <cell r="EN72">
            <v>9.7569756975697572E-2</v>
          </cell>
          <cell r="EO72">
            <v>0.11148260369867308</v>
          </cell>
          <cell r="EP72">
            <v>9.1290754801250554E-2</v>
          </cell>
          <cell r="ER72">
            <v>-1.9898819561551432E-2</v>
          </cell>
          <cell r="ES72">
            <v>5.104253544620517E-2</v>
          </cell>
          <cell r="ET72">
            <v>5.0968399592252805E-3</v>
          </cell>
          <cell r="EU72">
            <v>0.12632383447974671</v>
          </cell>
          <cell r="EV72">
            <v>5.0982573229514272E-2</v>
          </cell>
          <cell r="EX72">
            <v>1.4017902381354501E-2</v>
          </cell>
          <cell r="EY72">
            <v>1.9178547182620503E-2</v>
          </cell>
          <cell r="EZ72">
            <v>6.4341347781916693E-3</v>
          </cell>
          <cell r="FA72">
            <v>0.12636723295322319</v>
          </cell>
          <cell r="FB72">
            <v>5.0165317523657507E-2</v>
          </cell>
          <cell r="FD72">
            <v>-1.8444405776927093E-2</v>
          </cell>
          <cell r="FE72">
            <v>2.1161245190626093E-2</v>
          </cell>
          <cell r="FF72">
            <v>-1.3653741125068269E-2</v>
          </cell>
          <cell r="FG72">
            <v>6.3524073607259895E-2</v>
          </cell>
          <cell r="FH72">
            <v>1.783705608227543E-2</v>
          </cell>
          <cell r="FJ72">
            <v>-4.8222390317700453E-2</v>
          </cell>
          <cell r="FK72">
            <v>2.0624408703878903E-2</v>
          </cell>
          <cell r="FL72">
            <v>-1.5227483751160632E-2</v>
          </cell>
          <cell r="FM72">
            <v>9.2604258535970777E-2</v>
          </cell>
          <cell r="FN72">
            <v>2.1217827997489013E-2</v>
          </cell>
          <cell r="FP72">
            <v>7.3555794761392176E-3</v>
          </cell>
          <cell r="FQ72">
            <v>4.3344771536933356E-2</v>
          </cell>
          <cell r="FR72">
            <v>2.3119331317801887E-3</v>
          </cell>
          <cell r="FS72">
            <v>0.12407788124319749</v>
          </cell>
          <cell r="FT72">
            <v>5.2793664760228773E-2</v>
          </cell>
          <cell r="FV72">
            <v>3.6338937001188655E-2</v>
          </cell>
          <cell r="FW72">
            <v>6.6509513386091929E-2</v>
          </cell>
          <cell r="FX72">
            <v>3.1266017426960536E-2</v>
          </cell>
          <cell r="FY72">
            <v>0.13480055020632736</v>
          </cell>
          <cell r="FZ72">
            <v>7.4531338761598176E-2</v>
          </cell>
          <cell r="GB72">
            <v>4.5417548429106301E-2</v>
          </cell>
          <cell r="GC72">
            <v>7.3389996730957835E-2</v>
          </cell>
          <cell r="GD72">
            <v>2.877496066701165E-2</v>
          </cell>
          <cell r="GE72">
            <v>0.14206041616912413</v>
          </cell>
          <cell r="GF72">
            <v>8.063284020767035E-2</v>
          </cell>
        </row>
        <row r="73">
          <cell r="A73" t="str">
            <v>Tax Rate</v>
          </cell>
          <cell r="K73">
            <v>0.60127905086949873</v>
          </cell>
          <cell r="L73">
            <v>0.51102235320759348</v>
          </cell>
          <cell r="N73">
            <v>0.62871287128712872</v>
          </cell>
          <cell r="O73">
            <v>0.3968253968253968</v>
          </cell>
          <cell r="P73">
            <v>0.39979123173277664</v>
          </cell>
          <cell r="Q73">
            <v>0.411006018916595</v>
          </cell>
          <cell r="R73">
            <v>0.40476190476190477</v>
          </cell>
          <cell r="S73">
            <v>0.40072992700729926</v>
          </cell>
          <cell r="T73">
            <v>0.3923076923076923</v>
          </cell>
          <cell r="U73">
            <v>0.39122137404580154</v>
          </cell>
          <cell r="V73">
            <v>0.39575645756457567</v>
          </cell>
          <cell r="W73">
            <v>0.38261648745519711</v>
          </cell>
          <cell r="X73">
            <v>0.37446604203916711</v>
          </cell>
          <cell r="Y73">
            <v>0.37218181818181817</v>
          </cell>
          <cell r="Z73">
            <v>0.37045454545454548</v>
          </cell>
          <cell r="AA73">
            <v>-0.30405405405405406</v>
          </cell>
          <cell r="AB73">
            <v>0.35108481262327418</v>
          </cell>
          <cell r="AC73">
            <v>0.35833333333333334</v>
          </cell>
          <cell r="AD73">
            <v>0.36178861788617889</v>
          </cell>
          <cell r="AE73">
            <v>0.36939105039562631</v>
          </cell>
          <cell r="AF73">
            <v>0.37</v>
          </cell>
          <cell r="AG73">
            <v>0.37</v>
          </cell>
          <cell r="AH73">
            <v>0.37</v>
          </cell>
          <cell r="AI73">
            <v>0.37</v>
          </cell>
          <cell r="AJ73">
            <v>0.37</v>
          </cell>
          <cell r="AK73">
            <v>0.37</v>
          </cell>
          <cell r="AL73">
            <v>0.37000000000000005</v>
          </cell>
          <cell r="AN73" t="str">
            <v>Tax Rate</v>
          </cell>
          <cell r="AO73">
            <v>0.30655992636034635</v>
          </cell>
          <cell r="AP73">
            <v>0.32220952871325365</v>
          </cell>
          <cell r="AQ73">
            <v>0.28537438768369477</v>
          </cell>
          <cell r="AR73">
            <v>1.4266644556836074</v>
          </cell>
          <cell r="AS73">
            <v>0.50448064169287754</v>
          </cell>
          <cell r="AU73">
            <v>0.24532451951351503</v>
          </cell>
          <cell r="AV73">
            <v>0.31634185759102562</v>
          </cell>
          <cell r="AW73">
            <v>0.23748624862486259</v>
          </cell>
          <cell r="AX73">
            <v>0.34189261006299915</v>
          </cell>
          <cell r="AY73">
            <v>0.32777388961936449</v>
          </cell>
          <cell r="BA73">
            <v>0.48589832869080435</v>
          </cell>
          <cell r="BB73">
            <v>0.29761110369678312</v>
          </cell>
          <cell r="BC73">
            <v>0.43131358602683062</v>
          </cell>
          <cell r="BD73">
            <v>0.40273902542974843</v>
          </cell>
          <cell r="BE73">
            <v>0.42800001724085901</v>
          </cell>
          <cell r="BG73">
            <v>0.45283542197231325</v>
          </cell>
          <cell r="BH73">
            <v>0.51064065004698544</v>
          </cell>
          <cell r="BI73">
            <v>0.4521304451321117</v>
          </cell>
          <cell r="BJ73">
            <v>0.40911280691456015</v>
          </cell>
          <cell r="BK73">
            <v>0.42619228886834615</v>
          </cell>
          <cell r="BM73">
            <v>0.44509884962457674</v>
          </cell>
          <cell r="BN73">
            <v>0.63260933086589088</v>
          </cell>
          <cell r="BO73">
            <v>0.43393841911764702</v>
          </cell>
          <cell r="BP73">
            <v>0.4075239013559816</v>
          </cell>
          <cell r="BQ73">
            <v>0.42286578665581953</v>
          </cell>
          <cell r="BS73">
            <v>0.29756541524459623</v>
          </cell>
          <cell r="BT73">
            <v>0.3342634196535757</v>
          </cell>
          <cell r="BU73">
            <v>0.32588900578642815</v>
          </cell>
          <cell r="BV73">
            <v>0.40580022039281777</v>
          </cell>
          <cell r="BW73">
            <v>0.60127905086949907</v>
          </cell>
          <cell r="BY73">
            <v>0.34293586019274108</v>
          </cell>
          <cell r="BZ73">
            <v>0.33897187616854652</v>
          </cell>
          <cell r="CA73">
            <v>0.49055374592834178</v>
          </cell>
          <cell r="CB73">
            <v>0</v>
          </cell>
          <cell r="CC73">
            <v>-0.83299751096360775</v>
          </cell>
          <cell r="CD73">
            <v>0.44173485688386088</v>
          </cell>
          <cell r="CE73">
            <v>0.41058345359620158</v>
          </cell>
          <cell r="CF73">
            <v>0.51102235320759359</v>
          </cell>
          <cell r="CG73">
            <v>0.47207543951378311</v>
          </cell>
          <cell r="CH73">
            <v>0.63186995905199972</v>
          </cell>
          <cell r="CJ73">
            <v>0.33461416991262155</v>
          </cell>
          <cell r="CK73">
            <v>0.31778725539387892</v>
          </cell>
          <cell r="CL73">
            <v>0.43474733269326737</v>
          </cell>
          <cell r="CM73">
            <v>0.3772043733216186</v>
          </cell>
          <cell r="CN73">
            <v>0.39770714314838579</v>
          </cell>
          <cell r="CP73">
            <v>0.44923654510907951</v>
          </cell>
          <cell r="CQ73">
            <v>0.41055267902341852</v>
          </cell>
          <cell r="CR73">
            <v>0.40304288318577025</v>
          </cell>
          <cell r="CS73">
            <v>0.394370270015513</v>
          </cell>
          <cell r="CT73">
            <v>0.40036627743167497</v>
          </cell>
          <cell r="CV73">
            <v>0.42082692307692304</v>
          </cell>
          <cell r="CW73">
            <v>0.44559585492227977</v>
          </cell>
          <cell r="CX73">
            <v>0.40540540540540543</v>
          </cell>
          <cell r="CY73">
            <v>0.40088105726872247</v>
          </cell>
          <cell r="CZ73">
            <v>0.41080481513327599</v>
          </cell>
          <cell r="DB73">
            <v>0.42</v>
          </cell>
          <cell r="DC73">
            <v>0.41201716738197425</v>
          </cell>
          <cell r="DD73">
            <v>0.41706161137440756</v>
          </cell>
          <cell r="DE73">
            <v>0.40425531914893614</v>
          </cell>
          <cell r="DF73">
            <v>0.40936106983655274</v>
          </cell>
          <cell r="DH73">
            <v>0.41</v>
          </cell>
          <cell r="DI73">
            <v>0.40123456790123457</v>
          </cell>
          <cell r="DJ73">
            <v>0.41081081081081083</v>
          </cell>
          <cell r="DK73">
            <v>0.39485627836611198</v>
          </cell>
          <cell r="DL73">
            <v>0.40072992700729926</v>
          </cell>
          <cell r="DN73">
            <v>0.42</v>
          </cell>
          <cell r="DO73">
            <v>0.40740740740740738</v>
          </cell>
          <cell r="DP73">
            <v>0.43478260869565216</v>
          </cell>
          <cell r="DQ73">
            <v>0.37875751503006011</v>
          </cell>
          <cell r="DR73">
            <v>0.3923076923076923</v>
          </cell>
          <cell r="DT73">
            <v>0.39455782312925169</v>
          </cell>
          <cell r="DU73">
            <v>0.40090090090090091</v>
          </cell>
          <cell r="DV73">
            <v>0.34782608695652173</v>
          </cell>
          <cell r="DW73">
            <v>0.3953900709219858</v>
          </cell>
          <cell r="DX73">
            <v>0.39122137404580154</v>
          </cell>
          <cell r="DZ73">
            <v>0.39473684210526316</v>
          </cell>
          <cell r="EA73">
            <v>0.39698492462311558</v>
          </cell>
          <cell r="EB73">
            <v>0.4017857142857143</v>
          </cell>
          <cell r="EC73">
            <v>0.39454806312769009</v>
          </cell>
          <cell r="ED73">
            <v>0.39575645756457567</v>
          </cell>
          <cell r="EF73">
            <v>0.38216560509554143</v>
          </cell>
          <cell r="EG73">
            <v>0.38095238095238093</v>
          </cell>
          <cell r="EH73">
            <v>0.38333333333333336</v>
          </cell>
          <cell r="EI73">
            <v>0.38288920056100983</v>
          </cell>
          <cell r="EJ73">
            <v>0.38261648745519711</v>
          </cell>
          <cell r="EK73" t="str">
            <v>Tax Rate</v>
          </cell>
          <cell r="EL73">
            <v>0.377</v>
          </cell>
          <cell r="EM73">
            <v>0.37552742616033757</v>
          </cell>
          <cell r="EN73">
            <v>0.37410071942446044</v>
          </cell>
          <cell r="EO73">
            <v>0.37394564198687907</v>
          </cell>
          <cell r="EP73">
            <v>0.37446604203916711</v>
          </cell>
          <cell r="ER73">
            <v>0.3728813559322034</v>
          </cell>
          <cell r="ES73">
            <v>0.375</v>
          </cell>
          <cell r="ET73">
            <v>0.33333333333333331</v>
          </cell>
          <cell r="EU73">
            <v>0.37251512532411407</v>
          </cell>
          <cell r="EV73">
            <v>0.37218181818181817</v>
          </cell>
          <cell r="EX73">
            <v>0.37349397590361444</v>
          </cell>
          <cell r="EY73">
            <v>0.34513274336283184</v>
          </cell>
          <cell r="EZ73">
            <v>0.13157894736842105</v>
          </cell>
          <cell r="FA73">
            <v>0.38121546961325969</v>
          </cell>
          <cell r="FB73">
            <v>0.375</v>
          </cell>
          <cell r="FD73">
            <v>0.44339622641509435</v>
          </cell>
          <cell r="FE73">
            <v>0.39669421487603307</v>
          </cell>
          <cell r="FF73">
            <v>0.41333333333333333</v>
          </cell>
          <cell r="FG73">
            <v>-0.20833333333333334</v>
          </cell>
          <cell r="FH73">
            <v>-0.30405405405405406</v>
          </cell>
          <cell r="FJ73">
            <v>0.65490196078431373</v>
          </cell>
          <cell r="FK73">
            <v>0.93577981651376152</v>
          </cell>
          <cell r="FL73">
            <v>0.57317073170731703</v>
          </cell>
          <cell r="FM73">
            <v>0.39455782312925169</v>
          </cell>
          <cell r="FN73">
            <v>0.35108481262327418</v>
          </cell>
          <cell r="FP73">
            <v>0.43902439024390244</v>
          </cell>
          <cell r="FQ73">
            <v>0.38750000000000001</v>
          </cell>
          <cell r="FR73">
            <v>0.23076923076923078</v>
          </cell>
          <cell r="FS73">
            <v>0.34990253411306044</v>
          </cell>
          <cell r="FT73">
            <v>0.35833333333333334</v>
          </cell>
          <cell r="FV73">
            <v>0.38785046728971961</v>
          </cell>
          <cell r="FW73">
            <v>0.38987341772151901</v>
          </cell>
          <cell r="FX73">
            <v>0.24043715846994534</v>
          </cell>
          <cell r="FY73">
            <v>0.36649659863945577</v>
          </cell>
          <cell r="FZ73">
            <v>0.36178861788617889</v>
          </cell>
          <cell r="GB73">
            <v>0.35125448028673834</v>
          </cell>
          <cell r="GC73">
            <v>0.37861915367483295</v>
          </cell>
          <cell r="GD73">
            <v>0.36999999999999994</v>
          </cell>
          <cell r="GE73">
            <v>0.37</v>
          </cell>
          <cell r="GF73">
            <v>0.36939105039562631</v>
          </cell>
        </row>
        <row r="74">
          <cell r="A74" t="str">
            <v>Effective Tax rate</v>
          </cell>
          <cell r="N74">
            <v>0.62871287128712872</v>
          </cell>
          <cell r="O74">
            <v>0.3968253968253968</v>
          </cell>
          <cell r="P74">
            <v>0.39979123173277664</v>
          </cell>
          <cell r="Q74">
            <v>0.411006018916595</v>
          </cell>
          <cell r="R74">
            <v>0.40476190476190477</v>
          </cell>
          <cell r="S74">
            <v>0.40072992700729926</v>
          </cell>
          <cell r="T74">
            <v>0.3923076923076923</v>
          </cell>
          <cell r="U74">
            <v>0.39122137404580154</v>
          </cell>
          <cell r="V74">
            <v>0.39575645756457567</v>
          </cell>
          <cell r="W74">
            <v>0.38261648745519711</v>
          </cell>
          <cell r="X74">
            <v>0.37446604203916711</v>
          </cell>
          <cell r="Y74">
            <v>0.37218181818181817</v>
          </cell>
          <cell r="Z74">
            <v>0.37045454545454548</v>
          </cell>
          <cell r="AA74">
            <v>-0.30405405405405406</v>
          </cell>
          <cell r="AB74">
            <v>0.35108481262327418</v>
          </cell>
          <cell r="AC74">
            <v>0.35833333333333334</v>
          </cell>
          <cell r="AD74">
            <v>0.36178861788617889</v>
          </cell>
          <cell r="AE74">
            <v>0.36939105039562631</v>
          </cell>
          <cell r="AF74">
            <v>0.37</v>
          </cell>
          <cell r="AG74">
            <v>0.37</v>
          </cell>
          <cell r="AH74">
            <v>0.37</v>
          </cell>
          <cell r="AI74">
            <v>0.37</v>
          </cell>
          <cell r="AJ74">
            <v>0.37</v>
          </cell>
          <cell r="AK74">
            <v>0.37</v>
          </cell>
          <cell r="AL74">
            <v>0.37000000000000005</v>
          </cell>
          <cell r="AN74" t="str">
            <v>Effective Tax rate</v>
          </cell>
          <cell r="EF74">
            <v>0.38216560509554143</v>
          </cell>
          <cell r="EG74">
            <v>0.38095238095238093</v>
          </cell>
          <cell r="EH74">
            <v>0.38333333333333336</v>
          </cell>
          <cell r="EI74">
            <v>0.38288920056100983</v>
          </cell>
          <cell r="EK74" t="str">
            <v>Effective Tax rate</v>
          </cell>
          <cell r="EL74">
            <v>0.377</v>
          </cell>
          <cell r="EM74">
            <v>0.37552742616033757</v>
          </cell>
          <cell r="EN74">
            <v>0.37410071942446044</v>
          </cell>
          <cell r="EO74">
            <v>0.37394564198687907</v>
          </cell>
          <cell r="EP74">
            <v>0.37446604203916711</v>
          </cell>
          <cell r="ER74">
            <v>0.3728813559322034</v>
          </cell>
          <cell r="ES74">
            <v>0.375</v>
          </cell>
          <cell r="ET74">
            <v>0.33333333333333331</v>
          </cell>
          <cell r="EU74">
            <v>0.37251512532411407</v>
          </cell>
          <cell r="EV74">
            <v>0.37218181818181817</v>
          </cell>
          <cell r="EX74">
            <v>0.37815126050420167</v>
          </cell>
          <cell r="EY74">
            <v>0.3619047619047619</v>
          </cell>
          <cell r="EZ74">
            <v>0.4</v>
          </cell>
          <cell r="FA74">
            <v>0.375</v>
          </cell>
          <cell r="FB74">
            <v>0.37483263750443169</v>
          </cell>
          <cell r="FD74">
            <v>0.37</v>
          </cell>
          <cell r="FE74">
            <v>0.37</v>
          </cell>
          <cell r="FF74">
            <v>0.37</v>
          </cell>
          <cell r="FG74">
            <v>0.37</v>
          </cell>
          <cell r="FH74">
            <v>0.37</v>
          </cell>
          <cell r="FJ74">
            <v>0.37</v>
          </cell>
          <cell r="FK74">
            <v>0.37</v>
          </cell>
          <cell r="FL74">
            <v>0.37</v>
          </cell>
          <cell r="FM74">
            <v>0.37</v>
          </cell>
          <cell r="FN74">
            <v>0.37</v>
          </cell>
          <cell r="FP74">
            <v>0.37</v>
          </cell>
          <cell r="FQ74">
            <v>0.37</v>
          </cell>
          <cell r="FR74">
            <v>0.37</v>
          </cell>
          <cell r="FS74">
            <v>0.37</v>
          </cell>
          <cell r="FT74">
            <v>0.37</v>
          </cell>
          <cell r="FV74">
            <v>0.37</v>
          </cell>
          <cell r="FW74">
            <v>0.37</v>
          </cell>
          <cell r="FX74">
            <v>0.37</v>
          </cell>
          <cell r="FY74">
            <v>0.38</v>
          </cell>
          <cell r="FZ74">
            <v>0.38</v>
          </cell>
          <cell r="GB74">
            <v>0.37</v>
          </cell>
          <cell r="GC74">
            <v>0.37</v>
          </cell>
          <cell r="GD74">
            <v>0.37</v>
          </cell>
          <cell r="GE74">
            <v>0.37</v>
          </cell>
          <cell r="GF74">
            <v>0.37</v>
          </cell>
        </row>
        <row r="75">
          <cell r="A75" t="str">
            <v>Statutory Tax Rate</v>
          </cell>
          <cell r="N75">
            <v>0.35</v>
          </cell>
          <cell r="O75">
            <v>0.35</v>
          </cell>
          <cell r="P75">
            <v>0.35</v>
          </cell>
          <cell r="Q75">
            <v>0.35</v>
          </cell>
          <cell r="R75">
            <v>0.35</v>
          </cell>
          <cell r="S75">
            <v>0.35</v>
          </cell>
          <cell r="T75">
            <v>0.35</v>
          </cell>
          <cell r="U75">
            <v>0.35</v>
          </cell>
          <cell r="V75">
            <v>0.35</v>
          </cell>
          <cell r="W75">
            <v>0.35</v>
          </cell>
          <cell r="X75">
            <v>0.35</v>
          </cell>
          <cell r="Y75">
            <v>0.35</v>
          </cell>
          <cell r="Z75">
            <v>0.35</v>
          </cell>
          <cell r="AA75">
            <v>0.35</v>
          </cell>
          <cell r="AB75">
            <v>0.35</v>
          </cell>
          <cell r="AC75">
            <v>0.35</v>
          </cell>
          <cell r="AD75">
            <v>0.35</v>
          </cell>
          <cell r="AE75">
            <v>0.35</v>
          </cell>
          <cell r="AF75">
            <v>0.35</v>
          </cell>
          <cell r="AG75">
            <v>0.35</v>
          </cell>
          <cell r="AH75">
            <v>0.35</v>
          </cell>
          <cell r="AI75">
            <v>0.35</v>
          </cell>
          <cell r="AJ75">
            <v>0.35</v>
          </cell>
          <cell r="AK75">
            <v>0.35</v>
          </cell>
          <cell r="AL75">
            <v>0.35</v>
          </cell>
          <cell r="AN75" t="str">
            <v>Statutory Tax Rate</v>
          </cell>
          <cell r="DH75">
            <v>0.35</v>
          </cell>
          <cell r="DI75">
            <v>0.35</v>
          </cell>
          <cell r="DJ75">
            <v>0.35</v>
          </cell>
          <cell r="DK75">
            <v>0.35</v>
          </cell>
          <cell r="DL75">
            <v>0.35</v>
          </cell>
          <cell r="DN75">
            <v>0.35</v>
          </cell>
          <cell r="DO75">
            <v>0.35</v>
          </cell>
          <cell r="DP75">
            <v>0.35</v>
          </cell>
          <cell r="DQ75">
            <v>0.35</v>
          </cell>
          <cell r="DR75">
            <v>0.35</v>
          </cell>
          <cell r="DT75">
            <v>0.35</v>
          </cell>
          <cell r="DU75">
            <v>0.35</v>
          </cell>
          <cell r="DV75">
            <v>0.35</v>
          </cell>
          <cell r="DW75">
            <v>0.35</v>
          </cell>
          <cell r="DX75">
            <v>0.35</v>
          </cell>
          <cell r="DZ75">
            <v>0.35</v>
          </cell>
          <cell r="EA75">
            <v>0.35</v>
          </cell>
          <cell r="EB75">
            <v>0.35</v>
          </cell>
          <cell r="EC75">
            <v>0.35</v>
          </cell>
          <cell r="ED75">
            <v>0.35</v>
          </cell>
          <cell r="EF75">
            <v>0.35</v>
          </cell>
          <cell r="EG75">
            <v>0.35</v>
          </cell>
          <cell r="EH75">
            <v>0.35</v>
          </cell>
          <cell r="EI75">
            <v>0.35</v>
          </cell>
          <cell r="EJ75">
            <v>0.35</v>
          </cell>
          <cell r="EK75" t="str">
            <v>Statutory Tax Rate</v>
          </cell>
          <cell r="EL75">
            <v>0.35</v>
          </cell>
          <cell r="EM75">
            <v>0.35</v>
          </cell>
          <cell r="EN75">
            <v>0.35</v>
          </cell>
          <cell r="EO75">
            <v>0.35</v>
          </cell>
          <cell r="EP75">
            <v>0.35</v>
          </cell>
          <cell r="ER75">
            <v>0.35</v>
          </cell>
          <cell r="ES75">
            <v>0.35</v>
          </cell>
          <cell r="ET75">
            <v>0.35</v>
          </cell>
          <cell r="EU75">
            <v>0.35</v>
          </cell>
          <cell r="EV75">
            <v>0.35</v>
          </cell>
          <cell r="EX75">
            <v>0.35</v>
          </cell>
          <cell r="EY75">
            <v>0.35</v>
          </cell>
          <cell r="EZ75">
            <v>0.35</v>
          </cell>
          <cell r="FA75">
            <v>0.35</v>
          </cell>
          <cell r="FB75">
            <v>0.35</v>
          </cell>
          <cell r="FD75">
            <v>0.35</v>
          </cell>
          <cell r="FE75">
            <v>0.35</v>
          </cell>
          <cell r="FF75">
            <v>0.35</v>
          </cell>
          <cell r="FG75">
            <v>0.35</v>
          </cell>
          <cell r="FH75">
            <v>0.35</v>
          </cell>
          <cell r="FJ75">
            <v>0.35</v>
          </cell>
          <cell r="FK75">
            <v>0.35</v>
          </cell>
          <cell r="FL75">
            <v>0.35</v>
          </cell>
          <cell r="FM75">
            <v>0.35</v>
          </cell>
          <cell r="FN75">
            <v>0.35</v>
          </cell>
          <cell r="FP75">
            <v>0.35</v>
          </cell>
          <cell r="FQ75">
            <v>0.35</v>
          </cell>
          <cell r="FR75">
            <v>0.35</v>
          </cell>
          <cell r="FS75">
            <v>0.35</v>
          </cell>
          <cell r="FT75">
            <v>0.35</v>
          </cell>
          <cell r="FV75">
            <v>0.35</v>
          </cell>
          <cell r="FW75">
            <v>0.35</v>
          </cell>
          <cell r="FX75">
            <v>0.35</v>
          </cell>
          <cell r="FY75">
            <v>0.35</v>
          </cell>
          <cell r="FZ75">
            <v>0.35</v>
          </cell>
          <cell r="GB75">
            <v>0.35</v>
          </cell>
          <cell r="GC75">
            <v>0.35</v>
          </cell>
          <cell r="GD75">
            <v>0.35</v>
          </cell>
          <cell r="GE75">
            <v>0.35</v>
          </cell>
          <cell r="GF75">
            <v>0.35</v>
          </cell>
        </row>
        <row r="76">
          <cell r="A76" t="str">
            <v>Net Income, Reported</v>
          </cell>
          <cell r="K76">
            <v>2.6858336678465423E-3</v>
          </cell>
          <cell r="L76">
            <v>1.064370896655909E-2</v>
          </cell>
          <cell r="N76">
            <v>5.1320651430135488E-3</v>
          </cell>
          <cell r="O76">
            <v>1.7932987258140631E-2</v>
          </cell>
          <cell r="P76">
            <v>3.521681997371879E-2</v>
          </cell>
          <cell r="Q76">
            <v>4.3084933289944678E-2</v>
          </cell>
          <cell r="R76">
            <v>4.959760434212989E-2</v>
          </cell>
          <cell r="S76">
            <v>-1.1059021517009255E-2</v>
          </cell>
          <cell r="T76">
            <v>-1.7484954070319924E-2</v>
          </cell>
          <cell r="U76">
            <v>5.2533555969430351E-2</v>
          </cell>
          <cell r="V76">
            <v>4.4964962366986765E-2</v>
          </cell>
          <cell r="W76">
            <v>4.3673935091277892E-2</v>
          </cell>
          <cell r="X76">
            <v>6.2822305050109079E-2</v>
          </cell>
          <cell r="Y76">
            <v>3.6888209121245831E-2</v>
          </cell>
          <cell r="Z76">
            <v>3.3937597385322843E-2</v>
          </cell>
          <cell r="AA76">
            <v>-0.19295355937650652</v>
          </cell>
          <cell r="AB76">
            <v>1.3768570830717723E-2</v>
          </cell>
          <cell r="AC76">
            <v>3.2220133583969926E-2</v>
          </cell>
          <cell r="AD76">
            <v>4.7566748721832988E-2</v>
          </cell>
          <cell r="AE76">
            <v>5.0847790666976311E-2</v>
          </cell>
          <cell r="AF76">
            <v>5.1982465405594071E-2</v>
          </cell>
          <cell r="AG76">
            <v>5.6002544154840128E-2</v>
          </cell>
          <cell r="AH76">
            <v>5.6194069130642586E-2</v>
          </cell>
          <cell r="AI76">
            <v>5.707328154048523E-2</v>
          </cell>
          <cell r="AJ76">
            <v>5.867706740276709E-2</v>
          </cell>
          <cell r="AK76">
            <v>5.9868365887541859E-2</v>
          </cell>
          <cell r="AL76">
            <v>6.0696273676362836E-2</v>
          </cell>
          <cell r="AN76" t="str">
            <v>Net Income, Reported</v>
          </cell>
          <cell r="AO76">
            <v>-6.2522792148183473E-2</v>
          </cell>
          <cell r="AP76">
            <v>-8.2829299753816629E-2</v>
          </cell>
          <cell r="AQ76">
            <v>-4.9114849713720231E-2</v>
          </cell>
          <cell r="AR76">
            <v>1.8227995168483186E-2</v>
          </cell>
          <cell r="AS76">
            <v>-3.8007091307834251E-2</v>
          </cell>
          <cell r="AU76">
            <v>-4.0266245099374307E-2</v>
          </cell>
          <cell r="AV76">
            <v>-9.6158230391183569E-2</v>
          </cell>
          <cell r="AW76">
            <v>-3.5692529877389009E-2</v>
          </cell>
          <cell r="AX76">
            <v>-0.45779052224190087</v>
          </cell>
          <cell r="AY76">
            <v>-0.17974176910106457</v>
          </cell>
          <cell r="BA76">
            <v>7.5153048304858238E-3</v>
          </cell>
          <cell r="BB76">
            <v>-1.083507410040546E-2</v>
          </cell>
          <cell r="BC76">
            <v>1.765378305332967E-2</v>
          </cell>
          <cell r="BD76">
            <v>4.6463852508224907E-2</v>
          </cell>
          <cell r="BE76">
            <v>1.8744223998476833E-2</v>
          </cell>
          <cell r="BG76">
            <v>1.3645575972215886E-2</v>
          </cell>
          <cell r="BH76">
            <v>5.8930111935926888E-3</v>
          </cell>
          <cell r="BI76">
            <v>1.9294534500632898E-2</v>
          </cell>
          <cell r="BJ76">
            <v>6.2174766479350253E-2</v>
          </cell>
          <cell r="BK76">
            <v>2.9191194961245663E-2</v>
          </cell>
          <cell r="BM76">
            <v>1.9485604708668485E-2</v>
          </cell>
          <cell r="BN76">
            <v>2.3632604473402918E-3</v>
          </cell>
          <cell r="BO76">
            <v>2.3013673889135992E-2</v>
          </cell>
          <cell r="BP76">
            <v>6.5792286249943224E-2</v>
          </cell>
          <cell r="BQ76">
            <v>3.2027730994201996E-2</v>
          </cell>
          <cell r="BS76">
            <v>-1.2609394145677338E-2</v>
          </cell>
          <cell r="BT76">
            <v>-1.9867834720895313E-2</v>
          </cell>
          <cell r="BU76">
            <v>-1.5289446996361027E-2</v>
          </cell>
          <cell r="BV76">
            <v>4.09219437066137E-2</v>
          </cell>
          <cell r="BW76">
            <v>2.6858336678465379E-3</v>
          </cell>
          <cell r="BY76">
            <v>-1.9075932243777384E-2</v>
          </cell>
          <cell r="BZ76">
            <v>-2.2046275024614342E-2</v>
          </cell>
          <cell r="CA76">
            <v>6.568416404481899E-3</v>
          </cell>
          <cell r="CB76">
            <v>-0.16441176470588287</v>
          </cell>
          <cell r="CC76">
            <v>-1.2377383336592569E-2</v>
          </cell>
          <cell r="CD76">
            <v>5.4275623717464055E-2</v>
          </cell>
          <cell r="CE76">
            <v>4.6467169366939447E-2</v>
          </cell>
          <cell r="CF76">
            <v>1.0643708966559084E-2</v>
          </cell>
          <cell r="CG76">
            <v>9.7288852363702893E-3</v>
          </cell>
          <cell r="CH76">
            <v>4.9287511079372367E-3</v>
          </cell>
          <cell r="CJ76">
            <v>-1.1489381040385417E-2</v>
          </cell>
          <cell r="CK76">
            <v>-8.2798758186094137E-3</v>
          </cell>
          <cell r="CL76">
            <v>1.1581957847115281E-2</v>
          </cell>
          <cell r="CM76">
            <v>5.7438810810338373E-2</v>
          </cell>
          <cell r="CN76">
            <v>1.7459216388905543E-2</v>
          </cell>
          <cell r="CP76">
            <v>7.0573064784718795E-3</v>
          </cell>
          <cell r="CQ76">
            <v>1.9221919185688125E-2</v>
          </cell>
          <cell r="CR76">
            <v>2.8058263726431273E-2</v>
          </cell>
          <cell r="CS76">
            <v>7.4915278622071119E-2</v>
          </cell>
          <cell r="CT76">
            <v>3.6674212257197879E-2</v>
          </cell>
          <cell r="CV76">
            <v>1.7942806076854334E-2</v>
          </cell>
          <cell r="CW76">
            <v>3.1231757151196731E-2</v>
          </cell>
          <cell r="CX76">
            <v>3.1003382187147689E-2</v>
          </cell>
          <cell r="CY76">
            <v>8.1048867699642438E-2</v>
          </cell>
          <cell r="CZ76">
            <v>4.4597071265863979E-2</v>
          </cell>
          <cell r="DB76">
            <v>2.4166666666666666E-2</v>
          </cell>
          <cell r="DC76">
            <v>3.4198701947079378E-2</v>
          </cell>
          <cell r="DD76">
            <v>2.9731689630166789E-2</v>
          </cell>
          <cell r="DE76">
            <v>7.5004185501423071E-2</v>
          </cell>
          <cell r="DF76">
            <v>4.4874689546172949E-2</v>
          </cell>
          <cell r="DH76">
            <v>2.4909040022390149E-2</v>
          </cell>
          <cell r="DI76">
            <v>1.7124218537646098E-2</v>
          </cell>
          <cell r="DJ76">
            <v>-0.17662612374405076</v>
          </cell>
          <cell r="DK76">
            <v>5.9243397573162028E-2</v>
          </cell>
          <cell r="DL76">
            <v>-1.1059021517009255E-2</v>
          </cell>
          <cell r="DN76">
            <v>1.6310461192350956E-2</v>
          </cell>
          <cell r="DO76">
            <v>3.153669724770642E-2</v>
          </cell>
          <cell r="DP76">
            <v>8.6330935251798565E-4</v>
          </cell>
          <cell r="DQ76">
            <v>-8.7100545596258766E-2</v>
          </cell>
          <cell r="DR76">
            <v>-1.7484954070319924E-2</v>
          </cell>
          <cell r="DT76">
            <v>2.5774688676513176E-2</v>
          </cell>
          <cell r="DU76">
            <v>8.0895008605851984E-2</v>
          </cell>
          <cell r="DV76">
            <v>3.046852543834435E-2</v>
          </cell>
          <cell r="DW76">
            <v>6.796890572055013E-2</v>
          </cell>
          <cell r="DX76">
            <v>5.2533555969430351E-2</v>
          </cell>
          <cell r="DZ76">
            <v>1.3977514433302947E-2</v>
          </cell>
          <cell r="EA76">
            <v>3.4944670937682006E-2</v>
          </cell>
          <cell r="EB76">
            <v>1.9219736087205966E-2</v>
          </cell>
          <cell r="EC76">
            <v>9.1035028695824263E-2</v>
          </cell>
          <cell r="ED76">
            <v>4.4964962366986765E-2</v>
          </cell>
          <cell r="EF76">
            <v>2.7323943661971831E-2</v>
          </cell>
          <cell r="EG76">
            <v>2.1781625244345154E-2</v>
          </cell>
          <cell r="EH76">
            <v>2.099290780141844E-2</v>
          </cell>
          <cell r="EI76">
            <v>8.59375E-2</v>
          </cell>
          <cell r="EJ76">
            <v>4.3673935091277892E-2</v>
          </cell>
          <cell r="EK76" t="str">
            <v>Net Income, Reported</v>
          </cell>
          <cell r="EL76">
            <v>3.3879154078549849E-2</v>
          </cell>
          <cell r="EM76">
            <v>4.0850124206458734E-2</v>
          </cell>
          <cell r="EN76">
            <v>7.8530586871636804E-2</v>
          </cell>
          <cell r="EO76">
            <v>7.3033120886009828E-2</v>
          </cell>
          <cell r="EP76">
            <v>6.2822305050109079E-2</v>
          </cell>
          <cell r="ER76">
            <v>-8.7689713322091061E-3</v>
          </cell>
          <cell r="ES76">
            <v>5.2856547122602168E-2</v>
          </cell>
          <cell r="ET76">
            <v>-5.0968399592252807E-4</v>
          </cell>
          <cell r="EU76">
            <v>8.0030571023037456E-2</v>
          </cell>
          <cell r="EV76">
            <v>3.6888209121245831E-2</v>
          </cell>
          <cell r="EX76">
            <v>6.0800540449248439E-3</v>
          </cell>
          <cell r="EY76">
            <v>1.2559402579769178E-2</v>
          </cell>
          <cell r="EZ76">
            <v>5.5875380968506607E-3</v>
          </cell>
          <cell r="FA76">
            <v>8.7270188503607168E-2</v>
          </cell>
          <cell r="FB76">
            <v>3.3937597385322843E-2</v>
          </cell>
          <cell r="FD76">
            <v>-1.0266225856968854E-2</v>
          </cell>
          <cell r="FE76">
            <v>1.2766701643931445E-2</v>
          </cell>
          <cell r="FF76">
            <v>-8.0101947933733843E-3</v>
          </cell>
          <cell r="FG76">
            <v>-0.60158810184018152</v>
          </cell>
          <cell r="FH76">
            <v>-0.19295355937650652</v>
          </cell>
          <cell r="FJ76">
            <v>-1.6641452344931921E-2</v>
          </cell>
          <cell r="FK76">
            <v>1.3245033112582781E-3</v>
          </cell>
          <cell r="FL76">
            <v>-6.4995357474466105E-3</v>
          </cell>
          <cell r="FM76">
            <v>5.6066523875519719E-2</v>
          </cell>
          <cell r="FN76">
            <v>1.3768570830717723E-2</v>
          </cell>
          <cell r="FP76">
            <v>4.1263006817366344E-3</v>
          </cell>
          <cell r="FQ76">
            <v>2.6548672566371681E-2</v>
          </cell>
          <cell r="FR76">
            <v>1.7784101013693758E-3</v>
          </cell>
          <cell r="FS76">
            <v>8.0662716168823312E-2</v>
          </cell>
          <cell r="FT76">
            <v>3.3875934887813465E-2</v>
          </cell>
          <cell r="FV76">
            <v>2.2244863304465953E-2</v>
          </cell>
          <cell r="FW76">
            <v>4.0579222091261156E-2</v>
          </cell>
          <cell r="FX76">
            <v>2.3748505040150351E-2</v>
          </cell>
          <cell r="FY76">
            <v>8.5396607060981206E-2</v>
          </cell>
          <cell r="FZ76">
            <v>4.7566748721832988E-2</v>
          </cell>
          <cell r="GB76">
            <v>2.9464431059742797E-2</v>
          </cell>
          <cell r="GC76">
            <v>4.5603138280483818E-2</v>
          </cell>
          <cell r="GD76">
            <v>1.8128225220217339E-2</v>
          </cell>
          <cell r="GE76">
            <v>8.9498062186548211E-2</v>
          </cell>
          <cell r="GF76">
            <v>5.0847790666976311E-2</v>
          </cell>
        </row>
        <row r="78">
          <cell r="A78" t="str">
            <v>% Change</v>
          </cell>
          <cell r="AN78" t="str">
            <v>% Change</v>
          </cell>
        </row>
        <row r="79">
          <cell r="A79" t="str">
            <v>Sales</v>
          </cell>
          <cell r="C79" t="str">
            <v>--</v>
          </cell>
          <cell r="D79" t="str">
            <v>--</v>
          </cell>
          <cell r="E79" t="str">
            <v>--</v>
          </cell>
          <cell r="F79">
            <v>-2.935599258637267E-2</v>
          </cell>
          <cell r="G79">
            <v>2.1294160701975429E-2</v>
          </cell>
          <cell r="H79">
            <v>2.1111051631644839E-2</v>
          </cell>
          <cell r="I79">
            <v>6.6128669492348191E-2</v>
          </cell>
          <cell r="K79" t="str">
            <v xml:space="preserve">--  </v>
          </cell>
          <cell r="L79">
            <v>2.164244790716352E-2</v>
          </cell>
          <cell r="N79" t="str">
            <v>NA</v>
          </cell>
          <cell r="O79">
            <v>1.4985630217599466E-2</v>
          </cell>
          <cell r="P79">
            <v>2.6090473943234604E-2</v>
          </cell>
          <cell r="Q79">
            <v>9.5269382391589552E-3</v>
          </cell>
          <cell r="R79">
            <v>4.3215099251545652E-2</v>
          </cell>
          <cell r="S79">
            <v>3.7993636533782515E-2</v>
          </cell>
          <cell r="T79">
            <v>-5.126818127178745E-2</v>
          </cell>
          <cell r="U79">
            <v>-1.3557174532784266E-2</v>
          </cell>
          <cell r="V79">
            <v>-1.0211290218996805E-2</v>
          </cell>
          <cell r="W79">
            <v>2.361796003114458E-2</v>
          </cell>
          <cell r="X79">
            <v>0.41924442190669375</v>
          </cell>
          <cell r="Y79">
            <v>0.20455560518088434</v>
          </cell>
          <cell r="Z79">
            <v>-2.4360400444938812E-2</v>
          </cell>
          <cell r="AA79">
            <v>-5.4003724394785846E-2</v>
          </cell>
          <cell r="AB79">
            <v>-4.0053029085650005E-2</v>
          </cell>
          <cell r="AC79">
            <v>4.6369533375183014E-2</v>
          </cell>
          <cell r="AD79">
            <v>5.60732712074552E-2</v>
          </cell>
          <cell r="AE79">
            <v>4.8961204520547419E-2</v>
          </cell>
          <cell r="AF79">
            <v>2.3867294306323394E-2</v>
          </cell>
          <cell r="AG79">
            <v>1.9271419022529823E-2</v>
          </cell>
          <cell r="AH79">
            <v>1.0360976857347159E-2</v>
          </cell>
          <cell r="AI79">
            <v>1.0000000000000009E-2</v>
          </cell>
          <cell r="AJ79">
            <v>1.0000000000000009E-2</v>
          </cell>
          <cell r="AK79">
            <v>1.0000000000000009E-2</v>
          </cell>
          <cell r="AL79">
            <v>1.0000000000000009E-2</v>
          </cell>
          <cell r="AN79" t="str">
            <v>Sales</v>
          </cell>
          <cell r="AU79">
            <v>1.86046804069262E-3</v>
          </cell>
          <cell r="AV79">
            <v>-1.9629781109162359E-2</v>
          </cell>
          <cell r="AW79">
            <v>-3.3058964187159479E-2</v>
          </cell>
          <cell r="AX79">
            <v>-5.5011636021012E-2</v>
          </cell>
          <cell r="AY79">
            <v>-2.935599258637267E-2</v>
          </cell>
          <cell r="BA79">
            <v>-1.3614121583839567E-2</v>
          </cell>
          <cell r="BB79">
            <v>-2.5760441466214368E-2</v>
          </cell>
          <cell r="BC79">
            <v>4.6851163408529795E-2</v>
          </cell>
          <cell r="BD79">
            <v>5.9869931498505169E-2</v>
          </cell>
          <cell r="BE79">
            <v>2.1294160701975429E-2</v>
          </cell>
          <cell r="BG79">
            <v>1.1791495464221979E-2</v>
          </cell>
          <cell r="BH79">
            <v>3.0933042000752087E-2</v>
          </cell>
          <cell r="BI79">
            <v>1.9564384993575601E-4</v>
          </cell>
          <cell r="BJ79">
            <v>3.7800425987538633E-2</v>
          </cell>
          <cell r="BK79">
            <v>2.1111051631644839E-2</v>
          </cell>
          <cell r="BM79">
            <v>3.9850112465956933E-2</v>
          </cell>
          <cell r="BN79">
            <v>6.2446082242552547E-2</v>
          </cell>
          <cell r="BO79">
            <v>7.6842814149548744E-2</v>
          </cell>
          <cell r="BP79">
            <v>7.8120367498969223E-2</v>
          </cell>
          <cell r="BQ79">
            <v>6.6128669492348191E-2</v>
          </cell>
          <cell r="BS79" t="str">
            <v xml:space="preserve"> --  </v>
          </cell>
          <cell r="BT79" t="str">
            <v xml:space="preserve"> --  </v>
          </cell>
          <cell r="BU79" t="str">
            <v xml:space="preserve"> --  </v>
          </cell>
          <cell r="BV79" t="str">
            <v xml:space="preserve"> --  </v>
          </cell>
          <cell r="BW79" t="str">
            <v xml:space="preserve"> --  </v>
          </cell>
          <cell r="BY79">
            <v>1.7020422055820328E-2</v>
          </cell>
          <cell r="BZ79">
            <v>3.9647877712569946E-2</v>
          </cell>
          <cell r="CA79">
            <v>-5.6887192030066203E-3</v>
          </cell>
          <cell r="CC79">
            <v>0.11804838036151044</v>
          </cell>
          <cell r="CD79">
            <v>3.3347469922546225E-2</v>
          </cell>
          <cell r="CE79">
            <v>0.1751746612798819</v>
          </cell>
          <cell r="CF79">
            <v>2.164244790716352E-2</v>
          </cell>
          <cell r="CG79">
            <v>6.8016932452651169E-2</v>
          </cell>
          <cell r="CH79">
            <v>9.8290990037587012E-2</v>
          </cell>
          <cell r="CJ79">
            <v>0.10464972292558983</v>
          </cell>
          <cell r="CK79">
            <v>7.7856252051197838E-2</v>
          </cell>
          <cell r="CL79">
            <v>-3.7141754186954423E-2</v>
          </cell>
          <cell r="CM79">
            <v>-4.3674523732644466E-2</v>
          </cell>
          <cell r="CN79">
            <v>1.2014698867654605E-2</v>
          </cell>
          <cell r="CP79">
            <v>3.2838791771442555E-2</v>
          </cell>
          <cell r="CQ79">
            <v>5.1336569811840205E-2</v>
          </cell>
          <cell r="CR79">
            <v>3.799456270565793E-2</v>
          </cell>
          <cell r="CS79">
            <v>4.9966653147852647E-3</v>
          </cell>
          <cell r="CT79">
            <v>2.8844771112862544E-2</v>
          </cell>
          <cell r="CZ79">
            <v>-1.9358307391376894E-2</v>
          </cell>
          <cell r="DF79">
            <v>4.3215099251545652E-2</v>
          </cell>
          <cell r="DH79">
            <v>-7.4999999999999512E-3</v>
          </cell>
          <cell r="DI79">
            <v>-8.1627558662006994E-2</v>
          </cell>
          <cell r="DJ79">
            <v>-8.5810974135847262E-2</v>
          </cell>
          <cell r="DK79">
            <v>-6.1778001004520355E-2</v>
          </cell>
          <cell r="DL79">
            <v>-6.0848950101603072E-2</v>
          </cell>
          <cell r="DN79">
            <v>-4.7579065211307281E-3</v>
          </cell>
          <cell r="DO79">
            <v>-5.191628159826045E-2</v>
          </cell>
          <cell r="DP79">
            <v>-8.1173982020095181E-2</v>
          </cell>
          <cell r="DQ79">
            <v>-8.4225553176302648E-2</v>
          </cell>
          <cell r="DR79">
            <v>-5.126818127178745E-2</v>
          </cell>
          <cell r="DT79">
            <v>-2.8965129358830111E-2</v>
          </cell>
          <cell r="DU79">
            <v>-5.7339449541282672E-4</v>
          </cell>
          <cell r="DV79">
            <v>1.1510791366906581E-3</v>
          </cell>
          <cell r="DW79">
            <v>-2.2408417770849565E-2</v>
          </cell>
          <cell r="DX79">
            <v>-1.3557174532784266E-2</v>
          </cell>
          <cell r="DZ79">
            <v>-4.6915725456125101E-2</v>
          </cell>
          <cell r="EA79">
            <v>-1.4916810097532984E-2</v>
          </cell>
          <cell r="EB79">
            <v>2.012072434607548E-3</v>
          </cell>
          <cell r="EC79">
            <v>7.1756029499701057E-3</v>
          </cell>
          <cell r="ED79">
            <v>-1.0211290218996805E-2</v>
          </cell>
          <cell r="EF79">
            <v>7.8699483439683915E-2</v>
          </cell>
          <cell r="EG79">
            <v>4.2807221898660375E-2</v>
          </cell>
          <cell r="EH79">
            <v>1.1187607573149849E-2</v>
          </cell>
          <cell r="EI79">
            <v>1.3259449831783066E-2</v>
          </cell>
          <cell r="EJ79">
            <v>2.361796003114458E-2</v>
          </cell>
          <cell r="EK79" t="str">
            <v>Sales</v>
          </cell>
          <cell r="EL79">
            <v>2.5633802816901419E-2</v>
          </cell>
          <cell r="EM79">
            <v>1.1728567439262871E-2</v>
          </cell>
          <cell r="EN79">
            <v>0.57588652482269498</v>
          </cell>
          <cell r="EO79">
            <v>0.86933593750000004</v>
          </cell>
          <cell r="EP79">
            <v>0.41924442190669375</v>
          </cell>
          <cell r="ER79">
            <v>0.62867344136226322</v>
          </cell>
          <cell r="ES79">
            <v>0.65470604471432514</v>
          </cell>
          <cell r="ET79">
            <v>5.9585958595859578E-2</v>
          </cell>
          <cell r="EU79">
            <v>-4.3046703583742518E-2</v>
          </cell>
          <cell r="EV79">
            <v>0.20455560518088434</v>
          </cell>
          <cell r="EX79">
            <v>-1.5177065767284503E-3</v>
          </cell>
          <cell r="EY79">
            <v>-1.7180984153461254E-2</v>
          </cell>
          <cell r="EZ79">
            <v>3.397893306150257E-3</v>
          </cell>
          <cell r="FA79">
            <v>-6.1687957200567745E-2</v>
          </cell>
          <cell r="FB79">
            <v>-2.4360400444938812E-2</v>
          </cell>
          <cell r="FD79">
            <v>-2.9386927883803371E-2</v>
          </cell>
          <cell r="FE79">
            <v>-2.9531568228105876E-2</v>
          </cell>
          <cell r="FF79">
            <v>-6.9928885878767333E-2</v>
          </cell>
          <cell r="FG79">
            <v>-7.6797765883174329E-2</v>
          </cell>
          <cell r="FH79">
            <v>-5.4003724394785846E-2</v>
          </cell>
          <cell r="FJ79">
            <v>-7.9867757090655966E-2</v>
          </cell>
          <cell r="FK79">
            <v>-7.5725778244141284E-2</v>
          </cell>
          <cell r="FL79">
            <v>-1.9661387220098359E-2</v>
          </cell>
          <cell r="FM79">
            <v>3.7811948575749987E-4</v>
          </cell>
          <cell r="FN79">
            <v>-4.0053029085650005E-2</v>
          </cell>
          <cell r="FP79">
            <v>5.4084720121028829E-2</v>
          </cell>
          <cell r="FQ79">
            <v>4.7682119205298079E-2</v>
          </cell>
          <cell r="FR79">
            <v>4.4196843082636939E-2</v>
          </cell>
          <cell r="FS79">
            <v>4.182940657679235E-2</v>
          </cell>
          <cell r="FT79">
            <v>4.6369533375183014E-2</v>
          </cell>
          <cell r="FV79">
            <v>5.6512378902045191E-2</v>
          </cell>
          <cell r="FW79">
            <v>7.2602492324363332E-2</v>
          </cell>
          <cell r="FX79">
            <v>4.0903432331495626E-2</v>
          </cell>
          <cell r="FY79">
            <v>5.5024791389527206E-2</v>
          </cell>
          <cell r="FZ79">
            <v>5.60732712074552E-2</v>
          </cell>
          <cell r="GB79">
            <v>4.313126167430803E-2</v>
          </cell>
          <cell r="GC79">
            <v>3.0139754167368249E-2</v>
          </cell>
          <cell r="GD79">
            <v>3.7021467099822347E-2</v>
          </cell>
          <cell r="GE79">
            <v>7.372007776590972E-2</v>
          </cell>
          <cell r="GF79">
            <v>4.8961204520547419E-2</v>
          </cell>
        </row>
        <row r="80">
          <cell r="A80" t="str">
            <v>Gross Profit</v>
          </cell>
          <cell r="C80" t="str">
            <v>--</v>
          </cell>
          <cell r="D80" t="str">
            <v>--</v>
          </cell>
          <cell r="E80" t="str">
            <v>--</v>
          </cell>
          <cell r="F80">
            <v>4.3771275428128309E-3</v>
          </cell>
          <cell r="G80">
            <v>3.6276141877347623E-2</v>
          </cell>
          <cell r="H80">
            <v>-3.2492537908579422E-4</v>
          </cell>
          <cell r="I80">
            <v>3.8822485147063324E-2</v>
          </cell>
          <cell r="K80" t="str">
            <v xml:space="preserve">--  </v>
          </cell>
          <cell r="L80">
            <v>2.4104472873397009E-2</v>
          </cell>
          <cell r="N80" t="str">
            <v>NA</v>
          </cell>
          <cell r="O80">
            <v>4.2862266857962794E-2</v>
          </cell>
          <cell r="P80">
            <v>3.5253654342218388E-2</v>
          </cell>
          <cell r="Q80">
            <v>2.109634551495021E-2</v>
          </cell>
          <cell r="R80">
            <v>4.9780380673499325E-2</v>
          </cell>
          <cell r="S80">
            <v>3.5642336897567128E-2</v>
          </cell>
          <cell r="T80">
            <v>-7.4966332485410736E-2</v>
          </cell>
          <cell r="U80">
            <v>1.0514396635393108E-2</v>
          </cell>
          <cell r="V80">
            <v>-1.6007683688170626E-3</v>
          </cell>
          <cell r="W80">
            <v>3.0944364277697645E-2</v>
          </cell>
          <cell r="X80">
            <v>0.418040435458787</v>
          </cell>
          <cell r="Y80">
            <v>0.2010309278350515</v>
          </cell>
          <cell r="Z80">
            <v>-2.8764496393023475E-2</v>
          </cell>
          <cell r="AA80">
            <v>-7.0797292215118435E-2</v>
          </cell>
          <cell r="AB80">
            <v>-2.6914904381260762E-2</v>
          </cell>
          <cell r="AC80">
            <v>5.843818238535925E-2</v>
          </cell>
          <cell r="AD80">
            <v>4.7941841045289424E-2</v>
          </cell>
          <cell r="AE80">
            <v>5.2283106976051208E-2</v>
          </cell>
          <cell r="AF80">
            <v>3.1446708308341842E-2</v>
          </cell>
          <cell r="AG80">
            <v>2.3016391982823015E-2</v>
          </cell>
          <cell r="AH80">
            <v>7.895213474916396E-3</v>
          </cell>
          <cell r="AI80">
            <v>5.0581747329294657E-3</v>
          </cell>
          <cell r="AJ80">
            <v>1.0000000000000009E-2</v>
          </cell>
          <cell r="AK80">
            <v>1.0000000000000231E-2</v>
          </cell>
          <cell r="AL80">
            <v>9.9999999999997868E-3</v>
          </cell>
          <cell r="AN80" t="str">
            <v>Gross Profit</v>
          </cell>
          <cell r="AU80">
            <v>6.5027775722650283E-3</v>
          </cell>
          <cell r="AV80">
            <v>3.7869418072755012E-2</v>
          </cell>
          <cell r="AW80">
            <v>-3.0220771411390679E-2</v>
          </cell>
          <cell r="AX80">
            <v>-2.6005050197239421E-2</v>
          </cell>
          <cell r="AY80">
            <v>-6.1546985500945395E-3</v>
          </cell>
          <cell r="BA80">
            <v>1.1670352425249941E-2</v>
          </cell>
          <cell r="BB80">
            <v>-1.4845097541082208E-2</v>
          </cell>
          <cell r="BC80">
            <v>7.1156503560925177E-2</v>
          </cell>
          <cell r="BD80">
            <v>0.10090327076774308</v>
          </cell>
          <cell r="BE80">
            <v>4.7257609611369489E-2</v>
          </cell>
          <cell r="BG80">
            <v>-6.9087592369292405E-3</v>
          </cell>
          <cell r="BH80">
            <v>2.1705715691430649E-2</v>
          </cell>
          <cell r="BI80">
            <v>-1.8726483357452972E-2</v>
          </cell>
          <cell r="BJ80">
            <v>4.8290496367902058E-3</v>
          </cell>
          <cell r="BK80">
            <v>-3.249253790856832E-4</v>
          </cell>
          <cell r="BM80">
            <v>1.2928263316267063E-2</v>
          </cell>
          <cell r="BN80">
            <v>3.1783854512606569E-2</v>
          </cell>
          <cell r="BO80">
            <v>4.5363312419325119E-2</v>
          </cell>
          <cell r="BP80">
            <v>5.6808313119516063E-2</v>
          </cell>
          <cell r="BQ80">
            <v>3.8822485147063324E-2</v>
          </cell>
          <cell r="BS80" t="str">
            <v xml:space="preserve"> --  </v>
          </cell>
          <cell r="BT80" t="str">
            <v xml:space="preserve"> --  </v>
          </cell>
          <cell r="BU80" t="str">
            <v xml:space="preserve"> --  </v>
          </cell>
          <cell r="BV80" t="str">
            <v xml:space="preserve"> --  </v>
          </cell>
          <cell r="BW80" t="str">
            <v xml:space="preserve"> --  </v>
          </cell>
          <cell r="BY80">
            <v>8.4989805548514319E-3</v>
          </cell>
          <cell r="BZ80">
            <v>6.1027079338339174E-2</v>
          </cell>
          <cell r="CA80">
            <v>-9.7742085728773631E-3</v>
          </cell>
          <cell r="CC80">
            <v>8.6561262946705408E-2</v>
          </cell>
          <cell r="CD80">
            <v>3.642482383578427E-2</v>
          </cell>
          <cell r="CE80">
            <v>0.1941411403085509</v>
          </cell>
          <cell r="CF80">
            <v>2.4104472873397009E-2</v>
          </cell>
          <cell r="CG80">
            <v>5.9100859621379565E-2</v>
          </cell>
          <cell r="CH80">
            <v>8.2881613838603707E-2</v>
          </cell>
          <cell r="CJ80">
            <v>0.1031062421623441</v>
          </cell>
          <cell r="CK80">
            <v>8.8312916724728296E-2</v>
          </cell>
          <cell r="CL80">
            <v>-3.8526770118407772E-4</v>
          </cell>
          <cell r="CM80">
            <v>-7.2087686537662954E-3</v>
          </cell>
          <cell r="CN80">
            <v>3.6671773517589878E-2</v>
          </cell>
          <cell r="CP80">
            <v>2.8127945059764459E-2</v>
          </cell>
          <cell r="CQ80">
            <v>5.0830517089523797E-2</v>
          </cell>
          <cell r="CR80">
            <v>2.8262914436901099E-2</v>
          </cell>
          <cell r="CS80">
            <v>2.7784685130880504E-3</v>
          </cell>
          <cell r="CT80">
            <v>2.4779188020634502E-2</v>
          </cell>
          <cell r="CV80">
            <v>9.6609808005589937E-3</v>
          </cell>
          <cell r="CW80">
            <v>4.0498966885695431E-2</v>
          </cell>
          <cell r="CX80">
            <v>-3.8617692586529473E-2</v>
          </cell>
          <cell r="CY80">
            <v>2.4693053195915082E-2</v>
          </cell>
          <cell r="CZ80">
            <v>9.7666629158388307E-3</v>
          </cell>
          <cell r="DB80">
            <v>6.8164794007490537E-2</v>
          </cell>
          <cell r="DC80">
            <v>0.19730305180979424</v>
          </cell>
          <cell r="DD80">
            <v>0.1995723449750535</v>
          </cell>
          <cell r="DE80">
            <v>0.23849999999999993</v>
          </cell>
          <cell r="DF80">
            <v>0.18317878639986995</v>
          </cell>
          <cell r="DH80">
            <v>-3.5063113604487661E-3</v>
          </cell>
          <cell r="DI80">
            <v>-0.10729104919976284</v>
          </cell>
          <cell r="DJ80">
            <v>-0.11645870469399877</v>
          </cell>
          <cell r="DK80">
            <v>-8.3972547436415024E-2</v>
          </cell>
          <cell r="DL80">
            <v>-8.1121957926577726E-2</v>
          </cell>
          <cell r="DN80">
            <v>-1.6185784658691027E-2</v>
          </cell>
          <cell r="DO80">
            <v>-9.6945551128818086E-2</v>
          </cell>
          <cell r="DP80">
            <v>-9.8184263618022904E-2</v>
          </cell>
          <cell r="DQ80">
            <v>-0.1092992507712649</v>
          </cell>
          <cell r="DR80">
            <v>-7.4966332485410736E-2</v>
          </cell>
          <cell r="DT80">
            <v>-1.6452074391988591E-2</v>
          </cell>
          <cell r="DU80">
            <v>5.5147058823529438E-2</v>
          </cell>
          <cell r="DV80">
            <v>1.9388516032811332E-2</v>
          </cell>
          <cell r="DW80">
            <v>-8.9064819396338368E-3</v>
          </cell>
          <cell r="DX80">
            <v>1.0514396635393108E-2</v>
          </cell>
          <cell r="DZ80">
            <v>-6.2545454545454571E-2</v>
          </cell>
          <cell r="EA80">
            <v>-1.8118466898954688E-2</v>
          </cell>
          <cell r="EB80">
            <v>2.0482809070958341E-2</v>
          </cell>
          <cell r="EC80">
            <v>3.4448327508736831E-2</v>
          </cell>
          <cell r="ED80">
            <v>-1.6007683688170626E-3</v>
          </cell>
          <cell r="EF80">
            <v>0.11016291698991476</v>
          </cell>
          <cell r="EG80">
            <v>5.2519517388218695E-2</v>
          </cell>
          <cell r="EH80">
            <v>1.6487455197132572E-2</v>
          </cell>
          <cell r="EI80">
            <v>1.2548262548262468E-2</v>
          </cell>
          <cell r="EJ80">
            <v>3.0944364277697645E-2</v>
          </cell>
          <cell r="EK80" t="str">
            <v>Gross Profit</v>
          </cell>
          <cell r="EL80">
            <v>2.3759608665268939E-2</v>
          </cell>
          <cell r="EM80">
            <v>9.4403236682401026E-3</v>
          </cell>
          <cell r="EN80">
            <v>0.58180535966149516</v>
          </cell>
          <cell r="EO80">
            <v>0.86510962821734982</v>
          </cell>
          <cell r="EP80">
            <v>0.418040435458787</v>
          </cell>
          <cell r="ER80">
            <v>0.57201365187713304</v>
          </cell>
          <cell r="ES80">
            <v>0.6867067468269874</v>
          </cell>
          <cell r="ET80">
            <v>5.7958091841284087E-2</v>
          </cell>
          <cell r="EU80">
            <v>-4.1656018400204498E-2</v>
          </cell>
          <cell r="EV80">
            <v>0.2010309278350515</v>
          </cell>
          <cell r="EX80">
            <v>2.3447676943117779E-2</v>
          </cell>
          <cell r="EY80">
            <v>-5.5445544554455495E-2</v>
          </cell>
          <cell r="EZ80">
            <v>-2.1913190054782983E-2</v>
          </cell>
          <cell r="FA80">
            <v>-4.720000000000002E-2</v>
          </cell>
          <cell r="FB80">
            <v>-2.8764496393023475E-2</v>
          </cell>
          <cell r="FD80">
            <v>-5.8124734832414093E-2</v>
          </cell>
          <cell r="FE80">
            <v>-5.4507337526205069E-3</v>
          </cell>
          <cell r="FF80">
            <v>-6.5489013356311965E-2</v>
          </cell>
          <cell r="FG80">
            <v>-0.12622446123705566</v>
          </cell>
          <cell r="FH80">
            <v>-7.0797292215118435E-2</v>
          </cell>
          <cell r="FJ80">
            <v>-9.5045045045045073E-2</v>
          </cell>
          <cell r="FK80">
            <v>-8.6003372681281665E-2</v>
          </cell>
          <cell r="FL80">
            <v>-1.152604887044717E-2</v>
          </cell>
          <cell r="FM80">
            <v>5.5733504163997472E-2</v>
          </cell>
          <cell r="FN80">
            <v>-2.6914904381260762E-2</v>
          </cell>
          <cell r="FP80">
            <v>9.3081134892981643E-2</v>
          </cell>
          <cell r="FQ80">
            <v>7.1494464944649394E-2</v>
          </cell>
          <cell r="FR80">
            <v>4.7574626865671599E-2</v>
          </cell>
          <cell r="FS80">
            <v>3.5800970873786309E-2</v>
          </cell>
          <cell r="FT80">
            <v>5.843818238535925E-2</v>
          </cell>
          <cell r="FV80">
            <v>4.8724954462659342E-2</v>
          </cell>
          <cell r="FW80">
            <v>6.8445975032285888E-2</v>
          </cell>
          <cell r="FX80">
            <v>2.8049866429207482E-2</v>
          </cell>
          <cell r="FY80">
            <v>4.6572934973637903E-2</v>
          </cell>
          <cell r="FZ80">
            <v>4.7941841045289424E-2</v>
          </cell>
          <cell r="GB80">
            <v>3.6039947894051183E-2</v>
          </cell>
          <cell r="GC80">
            <v>3.2634971796937862E-2</v>
          </cell>
          <cell r="GD80">
            <v>4.0964529018576501E-2</v>
          </cell>
          <cell r="GE80">
            <v>8.3715870307765616E-2</v>
          </cell>
          <cell r="GF80">
            <v>5.2283106976051208E-2</v>
          </cell>
        </row>
        <row r="81">
          <cell r="A81" t="str">
            <v>SG&amp;A Expenses</v>
          </cell>
          <cell r="C81" t="str">
            <v>--</v>
          </cell>
          <cell r="D81" t="str">
            <v>--</v>
          </cell>
          <cell r="E81" t="str">
            <v>--</v>
          </cell>
          <cell r="F81">
            <v>-5.8849835020142849E-2</v>
          </cell>
          <cell r="G81">
            <v>-1.5232729947342261E-2</v>
          </cell>
          <cell r="H81">
            <v>-3.021377428858929E-2</v>
          </cell>
          <cell r="I81">
            <v>-8.3061205190442244E-3</v>
          </cell>
          <cell r="K81" t="str">
            <v xml:space="preserve">--  </v>
          </cell>
          <cell r="L81">
            <v>-3.9988014314258802E-2</v>
          </cell>
          <cell r="N81" t="str">
            <v>NA</v>
          </cell>
          <cell r="O81">
            <v>1.8318746183594303E-3</v>
          </cell>
          <cell r="P81">
            <v>-4.937017472572125E-2</v>
          </cell>
          <cell r="Q81">
            <v>2.7783714468903042E-3</v>
          </cell>
          <cell r="R81">
            <v>1.449275362318847E-2</v>
          </cell>
          <cell r="S81">
            <v>3.1932773109243806E-2</v>
          </cell>
          <cell r="T81">
            <v>-2.157980456026054E-2</v>
          </cell>
          <cell r="U81">
            <v>6.2421972534332237E-3</v>
          </cell>
          <cell r="V81">
            <v>2.0678246484706619E-4</v>
          </cell>
          <cell r="W81">
            <v>1.9433533181724139E-2</v>
          </cell>
          <cell r="X81">
            <v>0.41553437436625429</v>
          </cell>
          <cell r="Y81">
            <v>0.24326647564469916</v>
          </cell>
          <cell r="Z81">
            <v>-1.4289006683567695E-2</v>
          </cell>
          <cell r="AA81">
            <v>-1.1222819733458067E-2</v>
          </cell>
          <cell r="AB81">
            <v>-3.4878221801844411E-2</v>
          </cell>
          <cell r="AC81">
            <v>1.1882886193801401E-2</v>
          </cell>
          <cell r="AD81">
            <v>2.5423728813558366E-3</v>
          </cell>
          <cell r="AE81">
            <v>3.2895457056668631E-2</v>
          </cell>
          <cell r="AF81">
            <v>2.8840556723293442E-2</v>
          </cell>
          <cell r="AG81">
            <v>1.5986747937983381E-2</v>
          </cell>
          <cell r="AH81">
            <v>7.0944938127868173E-3</v>
          </cell>
          <cell r="AI81">
            <v>6.7240930267471466E-3</v>
          </cell>
          <cell r="AJ81">
            <v>6.7134331383311707E-3</v>
          </cell>
          <cell r="AK81">
            <v>6.7027036483089386E-3</v>
          </cell>
          <cell r="AL81">
            <v>6.691903872772631E-3</v>
          </cell>
          <cell r="AN81" t="str">
            <v>SG&amp;A Expenses</v>
          </cell>
          <cell r="AU81">
            <v>-1.7970858333921758E-2</v>
          </cell>
          <cell r="AV81">
            <v>-4.3370859777825732E-2</v>
          </cell>
          <cell r="AW81">
            <v>-4.885680233851819E-2</v>
          </cell>
          <cell r="AX81">
            <v>-0.10812646337956822</v>
          </cell>
          <cell r="AY81">
            <v>-5.6935471396727388E-2</v>
          </cell>
          <cell r="BA81">
            <v>-5.9676054312083893E-2</v>
          </cell>
          <cell r="BB81">
            <v>-5.4336787028889333E-2</v>
          </cell>
          <cell r="BC81">
            <v>-1.490662329650605E-2</v>
          </cell>
          <cell r="BD81">
            <v>5.3097970099575953E-2</v>
          </cell>
          <cell r="BE81">
            <v>-1.7231747598988156E-2</v>
          </cell>
          <cell r="BG81">
            <v>-1.1720049306384261E-2</v>
          </cell>
          <cell r="BH81">
            <v>-3.149411479950881E-2</v>
          </cell>
          <cell r="BI81">
            <v>-1.6592873571444899E-2</v>
          </cell>
          <cell r="BJ81">
            <v>-5.6537813361945743E-2</v>
          </cell>
          <cell r="BK81">
            <v>-3.021377428858929E-2</v>
          </cell>
          <cell r="BM81">
            <v>-2.4337214952934727E-2</v>
          </cell>
          <cell r="BN81">
            <v>-9.9927988167103354E-3</v>
          </cell>
          <cell r="BO81">
            <v>1.1548493915620961E-2</v>
          </cell>
          <cell r="BP81">
            <v>-1.1683246647691825E-2</v>
          </cell>
          <cell r="BQ81">
            <v>-8.3061205190442244E-3</v>
          </cell>
          <cell r="BS81" t="str">
            <v xml:space="preserve"> --  </v>
          </cell>
          <cell r="BT81" t="str">
            <v xml:space="preserve"> --  </v>
          </cell>
          <cell r="BU81" t="str">
            <v xml:space="preserve"> --  </v>
          </cell>
          <cell r="BV81" t="str">
            <v xml:space="preserve"> --  </v>
          </cell>
          <cell r="BW81" t="str">
            <v xml:space="preserve"> --  </v>
          </cell>
          <cell r="BY81">
            <v>-2.3332298817000052E-2</v>
          </cell>
          <cell r="BZ81">
            <v>-1.4777138934813694E-2</v>
          </cell>
          <cell r="CA81">
            <v>-6.3667545852863383E-2</v>
          </cell>
          <cell r="CC81">
            <v>7.8699904820596966E-2</v>
          </cell>
          <cell r="CD81">
            <v>-5.4079481346700597E-2</v>
          </cell>
          <cell r="CE81">
            <v>7.0586242424796719E-2</v>
          </cell>
          <cell r="CF81">
            <v>-3.9988014314258802E-2</v>
          </cell>
          <cell r="CG81">
            <v>-6.2629764467387883E-3</v>
          </cell>
          <cell r="CH81">
            <v>3.0267979016805002E-2</v>
          </cell>
          <cell r="CJ81">
            <v>7.7672135100503858E-2</v>
          </cell>
          <cell r="CK81">
            <v>4.3166552266297842E-2</v>
          </cell>
          <cell r="CL81">
            <v>-6.9022795685438454E-2</v>
          </cell>
          <cell r="CM81">
            <v>-3.8207828109723896E-2</v>
          </cell>
          <cell r="CN81">
            <v>-2.0739918931514945E-3</v>
          </cell>
          <cell r="CP81">
            <v>1.8299922380784928E-2</v>
          </cell>
          <cell r="CQ81">
            <v>2.5416882109617456E-2</v>
          </cell>
          <cell r="CR81">
            <v>3.1718659615083133E-3</v>
          </cell>
          <cell r="CS81">
            <v>-3.4978053520589136E-2</v>
          </cell>
          <cell r="CT81">
            <v>1.7467615690507365E-3</v>
          </cell>
          <cell r="CV81">
            <v>-1.7174743605248288E-2</v>
          </cell>
          <cell r="CW81">
            <v>-2.6087763438265021E-4</v>
          </cell>
          <cell r="CX81">
            <v>-3.8103199943595567E-2</v>
          </cell>
          <cell r="CY81">
            <v>8.9595609007990795E-3</v>
          </cell>
          <cell r="CZ81">
            <v>-1.1536290016769368E-2</v>
          </cell>
          <cell r="DB81">
            <v>4.0727902946273931E-2</v>
          </cell>
          <cell r="DC81">
            <v>0.19877408056042034</v>
          </cell>
          <cell r="DD81">
            <v>0.20506108202443274</v>
          </cell>
          <cell r="DE81">
            <v>0.29679999999999995</v>
          </cell>
          <cell r="DF81">
            <v>0.18755328218243816</v>
          </cell>
          <cell r="DH81">
            <v>-4.079933388842627E-2</v>
          </cell>
          <cell r="DI81">
            <v>-0.19357195032870711</v>
          </cell>
          <cell r="DJ81">
            <v>-0.11803041274438808</v>
          </cell>
          <cell r="DK81">
            <v>-0.1128932757557064</v>
          </cell>
          <cell r="DL81">
            <v>-0.1184493898061737</v>
          </cell>
          <cell r="DN81">
            <v>1.388888888888884E-2</v>
          </cell>
          <cell r="DO81">
            <v>1.8115942028984477E-3</v>
          </cell>
          <cell r="DP81">
            <v>-2.7093596059113323E-2</v>
          </cell>
          <cell r="DQ81">
            <v>-0.10639777468706535</v>
          </cell>
          <cell r="DR81">
            <v>-2.157980456026054E-2</v>
          </cell>
          <cell r="DT81">
            <v>-1.1986301369863006E-2</v>
          </cell>
          <cell r="DU81">
            <v>2.6220614828209809E-2</v>
          </cell>
          <cell r="DV81">
            <v>-5.0632911392405333E-3</v>
          </cell>
          <cell r="DW81">
            <v>1.2451361867704236E-2</v>
          </cell>
          <cell r="DX81">
            <v>6.2421972534332237E-3</v>
          </cell>
          <cell r="DZ81">
            <v>-1.6464471403812797E-2</v>
          </cell>
          <cell r="EA81">
            <v>0</v>
          </cell>
          <cell r="EB81">
            <v>1.187446988973706E-2</v>
          </cell>
          <cell r="EC81">
            <v>7.6863950807082304E-4</v>
          </cell>
          <cell r="ED81">
            <v>2.0678246484706619E-4</v>
          </cell>
          <cell r="EF81">
            <v>5.2863436123347984E-2</v>
          </cell>
          <cell r="EG81">
            <v>6.3436123348017626E-2</v>
          </cell>
          <cell r="EH81">
            <v>1.1735121542330251E-2</v>
          </cell>
          <cell r="EI81">
            <v>1.5360983102918668E-2</v>
          </cell>
          <cell r="EJ81">
            <v>1.9433533181724139E-2</v>
          </cell>
          <cell r="EK81" t="str">
            <v>SG&amp;A Expenses</v>
          </cell>
          <cell r="EL81">
            <v>1.5062761506276168E-2</v>
          </cell>
          <cell r="EM81">
            <v>-8.2850041425019949E-4</v>
          </cell>
          <cell r="EN81">
            <v>0.63463131731565858</v>
          </cell>
          <cell r="EO81">
            <v>0.95763993948562787</v>
          </cell>
          <cell r="EP81">
            <v>0.41553437436625429</v>
          </cell>
          <cell r="ER81">
            <v>0.77576257213520194</v>
          </cell>
          <cell r="ES81">
            <v>0.75538971807628519</v>
          </cell>
          <cell r="ET81">
            <v>6.1327927014698469E-2</v>
          </cell>
          <cell r="EU81">
            <v>-0.10625965996908815</v>
          </cell>
          <cell r="EV81">
            <v>0.24326647564469916</v>
          </cell>
          <cell r="EX81">
            <v>-1.9034354688950761E-2</v>
          </cell>
          <cell r="EY81">
            <v>-3.7316957959376507E-2</v>
          </cell>
          <cell r="EZ81">
            <v>1.2893982808023008E-2</v>
          </cell>
          <cell r="FA81">
            <v>-1.3402507565931643E-2</v>
          </cell>
          <cell r="FB81">
            <v>-1.4289006683567695E-2</v>
          </cell>
          <cell r="FD81">
            <v>-1.5617605300520587E-2</v>
          </cell>
          <cell r="FE81">
            <v>-4.906771344455052E-4</v>
          </cell>
          <cell r="FF81">
            <v>-1.6973125884017004E-2</v>
          </cell>
          <cell r="FG81">
            <v>-1.1393514460999121E-2</v>
          </cell>
          <cell r="FH81">
            <v>-1.1222819733458067E-2</v>
          </cell>
          <cell r="FJ81">
            <v>-4.5673076923076872E-2</v>
          </cell>
          <cell r="FK81">
            <v>-7.4128620520373056E-2</v>
          </cell>
          <cell r="FL81">
            <v>-1.3908872901678637E-2</v>
          </cell>
          <cell r="FM81">
            <v>-8.8652482269503396E-3</v>
          </cell>
          <cell r="FN81">
            <v>-3.4878221801844411E-2</v>
          </cell>
          <cell r="FP81">
            <v>4.0302267002518821E-3</v>
          </cell>
          <cell r="FQ81">
            <v>3.5524920466595944E-2</v>
          </cell>
          <cell r="FR81">
            <v>6.3229571984435573E-3</v>
          </cell>
          <cell r="FS81">
            <v>4.025044722719251E-3</v>
          </cell>
          <cell r="FT81">
            <v>1.1882886193801401E-2</v>
          </cell>
          <cell r="FV81">
            <v>-1.003512293025588E-2</v>
          </cell>
          <cell r="FW81">
            <v>1.177675371223752E-2</v>
          </cell>
          <cell r="FX81">
            <v>-2.4649589173513786E-2</v>
          </cell>
          <cell r="FY81">
            <v>3.0734966592427693E-2</v>
          </cell>
          <cell r="FZ81">
            <v>2.5423728813558366E-3</v>
          </cell>
          <cell r="GB81">
            <v>1.1150532184490691E-2</v>
          </cell>
          <cell r="GC81">
            <v>1.6700404858299489E-2</v>
          </cell>
          <cell r="GD81">
            <v>5.1542171941152182E-2</v>
          </cell>
          <cell r="GE81">
            <v>4.9003965820669126E-2</v>
          </cell>
          <cell r="GF81">
            <v>3.2895457056668631E-2</v>
          </cell>
        </row>
        <row r="82">
          <cell r="A82" t="str">
            <v>EBITDA</v>
          </cell>
          <cell r="C82" t="str">
            <v>--</v>
          </cell>
          <cell r="D82" t="str">
            <v>--</v>
          </cell>
          <cell r="E82" t="str">
            <v>--</v>
          </cell>
          <cell r="F82" t="str">
            <v>NM</v>
          </cell>
          <cell r="G82">
            <v>0.25511948219509839</v>
          </cell>
          <cell r="H82">
            <v>0.11579253029559311</v>
          </cell>
          <cell r="I82">
            <v>0.24208657072438222</v>
          </cell>
          <cell r="K82" t="str">
            <v xml:space="preserve">--  </v>
          </cell>
          <cell r="L82">
            <v>0.19104509304457218</v>
          </cell>
          <cell r="N82" t="str">
            <v>NA</v>
          </cell>
          <cell r="O82">
            <v>0.22931034482758617</v>
          </cell>
          <cell r="P82">
            <v>0.3541374474053296</v>
          </cell>
          <cell r="Q82">
            <v>7.6644225789746168E-2</v>
          </cell>
          <cell r="R82">
            <v>0.13419913419913421</v>
          </cell>
          <cell r="S82">
            <v>2.714164546225617E-2</v>
          </cell>
          <cell r="T82">
            <v>-0.14739884393063585</v>
          </cell>
          <cell r="U82">
            <v>1.2590799031477085E-2</v>
          </cell>
          <cell r="V82">
            <v>9.0865614538497841E-3</v>
          </cell>
          <cell r="W82">
            <v>5.9715639810426602E-2</v>
          </cell>
          <cell r="X82">
            <v>0.39355992844364929</v>
          </cell>
          <cell r="Y82">
            <v>0.13543003851091151</v>
          </cell>
          <cell r="Z82">
            <v>-4.2962125494629744E-2</v>
          </cell>
          <cell r="AA82">
            <v>-0.20171293561724746</v>
          </cell>
          <cell r="AB82">
            <v>-1.442841287458374E-2</v>
          </cell>
          <cell r="AC82">
            <v>0.15202702702702697</v>
          </cell>
          <cell r="AD82">
            <v>0.13098729227761496</v>
          </cell>
          <cell r="AE82">
            <v>7.4451148577618476E-2</v>
          </cell>
          <cell r="AF82">
            <v>3.5273448529756779E-2</v>
          </cell>
          <cell r="AG82">
            <v>3.7987838047570444E-2</v>
          </cell>
          <cell r="AH82">
            <v>1.0360976857346715E-2</v>
          </cell>
          <cell r="AI82">
            <v>2.7152968378332254E-3</v>
          </cell>
          <cell r="AJ82">
            <v>1.7337626360135916E-2</v>
          </cell>
          <cell r="AK82">
            <v>1.7284703162167681E-2</v>
          </cell>
          <cell r="AL82">
            <v>1.7232537922685198E-2</v>
          </cell>
          <cell r="AN82" t="str">
            <v>EBITDA</v>
          </cell>
          <cell r="AU82" t="str">
            <v xml:space="preserve">NM  </v>
          </cell>
          <cell r="AV82" t="str">
            <v xml:space="preserve">NM  </v>
          </cell>
          <cell r="AW82" t="str">
            <v xml:space="preserve">NM  </v>
          </cell>
          <cell r="AX82" t="str">
            <v xml:space="preserve">NM  </v>
          </cell>
          <cell r="AY82" t="str">
            <v xml:space="preserve">NM  </v>
          </cell>
          <cell r="BA82">
            <v>0.30715301767933378</v>
          </cell>
          <cell r="BB82">
            <v>0.19582595632813016</v>
          </cell>
          <cell r="BC82">
            <v>0.44399266930912384</v>
          </cell>
          <cell r="BD82">
            <v>0.17898938622800387</v>
          </cell>
          <cell r="BE82">
            <v>0.26654996817313736</v>
          </cell>
          <cell r="BG82">
            <v>1.1949263328975057E-2</v>
          </cell>
          <cell r="BH82">
            <v>0.32806541343263529</v>
          </cell>
          <cell r="BI82">
            <v>-2.3925337363195243E-2</v>
          </cell>
          <cell r="BJ82">
            <v>0.16753388482697118</v>
          </cell>
          <cell r="BK82">
            <v>0.10749585674199169</v>
          </cell>
          <cell r="BM82">
            <v>0.17663366060081342</v>
          </cell>
          <cell r="BN82">
            <v>0.24957560913812671</v>
          </cell>
          <cell r="BO82">
            <v>0.18270446147240116</v>
          </cell>
          <cell r="BP82">
            <v>0.21384022994739493</v>
          </cell>
          <cell r="BQ82">
            <v>0.20540555871441057</v>
          </cell>
          <cell r="BS82" t="str">
            <v xml:space="preserve"> --  </v>
          </cell>
          <cell r="BT82" t="str">
            <v xml:space="preserve"> --  </v>
          </cell>
          <cell r="BU82" t="str">
            <v xml:space="preserve"> --  </v>
          </cell>
          <cell r="BV82" t="str">
            <v xml:space="preserve"> --  </v>
          </cell>
          <cell r="BW82" t="str">
            <v xml:space="preserve"> --  </v>
          </cell>
          <cell r="BY82">
            <v>7.2504330246708326E-2</v>
          </cell>
          <cell r="BZ82">
            <v>0.36575001727354395</v>
          </cell>
          <cell r="CA82">
            <v>0.18887628568682002</v>
          </cell>
          <cell r="CC82">
            <v>7.0314332404113333E-2</v>
          </cell>
          <cell r="CD82">
            <v>0.18944747525482786</v>
          </cell>
          <cell r="CE82">
            <v>0.25587278221762366</v>
          </cell>
          <cell r="CF82">
            <v>0.19104509304457218</v>
          </cell>
          <cell r="CG82">
            <v>0.23296276515129999</v>
          </cell>
          <cell r="CH82">
            <v>0.19849724971248839</v>
          </cell>
          <cell r="CJ82">
            <v>0.26127542683937688</v>
          </cell>
          <cell r="CK82">
            <v>0.29837098120557481</v>
          </cell>
          <cell r="CL82">
            <v>0.31803910016453618</v>
          </cell>
          <cell r="CM82">
            <v>4.8110886426154353E-2</v>
          </cell>
          <cell r="CN82">
            <v>0.17340990038484327</v>
          </cell>
          <cell r="CP82">
            <v>0.1030069993090823</v>
          </cell>
          <cell r="CQ82">
            <v>0.16002480753058013</v>
          </cell>
          <cell r="CR82">
            <v>0.13307730885383018</v>
          </cell>
          <cell r="CS82">
            <v>8.8538170625890755E-2</v>
          </cell>
          <cell r="CT82">
            <v>0.11286355453001029</v>
          </cell>
          <cell r="CV82">
            <v>0.14385315104308449</v>
          </cell>
          <cell r="CW82">
            <v>0.18403152938805323</v>
          </cell>
          <cell r="CX82">
            <v>-4.1302135827978592E-3</v>
          </cell>
          <cell r="CY82">
            <v>4.8178009780680986E-2</v>
          </cell>
          <cell r="CZ82">
            <v>7.6604083120670463E-2</v>
          </cell>
          <cell r="DB82">
            <v>0.18452380952380953</v>
          </cell>
          <cell r="DC82">
            <v>0.19385342789598115</v>
          </cell>
          <cell r="DD82">
            <v>0.1908212560386473</v>
          </cell>
          <cell r="DE82">
            <v>0.15121412803532008</v>
          </cell>
          <cell r="DF82">
            <v>0.17316017316017307</v>
          </cell>
          <cell r="DH82" t="str">
            <v>NA</v>
          </cell>
          <cell r="DI82" t="str">
            <v>NA</v>
          </cell>
          <cell r="DJ82" t="str">
            <v>NA</v>
          </cell>
          <cell r="DK82" t="str">
            <v>NA</v>
          </cell>
          <cell r="DL82" t="str">
            <v>NA</v>
          </cell>
          <cell r="DN82">
            <v>-0.10135135135135132</v>
          </cell>
          <cell r="DO82">
            <v>-0.26736111111111116</v>
          </cell>
          <cell r="DP82">
            <v>-0.26008968609865468</v>
          </cell>
          <cell r="DQ82">
            <v>-8.3249749247743199E-2</v>
          </cell>
          <cell r="DR82">
            <v>-0.14739884393063585</v>
          </cell>
          <cell r="DT82">
            <v>-3.2581453634085267E-2</v>
          </cell>
          <cell r="DU82">
            <v>0.1090047393364928</v>
          </cell>
          <cell r="DV82">
            <v>7.575757575757569E-2</v>
          </cell>
          <cell r="DW82">
            <v>-3.5010940919037226E-2</v>
          </cell>
          <cell r="DX82">
            <v>1.2590799031477085E-2</v>
          </cell>
          <cell r="DZ82">
            <v>-0.13471502590673579</v>
          </cell>
          <cell r="EA82">
            <v>-4.4871794871794823E-2</v>
          </cell>
          <cell r="EB82">
            <v>6.4788732394366111E-2</v>
          </cell>
          <cell r="EC82">
            <v>7.8231292517006779E-2</v>
          </cell>
          <cell r="ED82">
            <v>9.0865614538497841E-3</v>
          </cell>
          <cell r="EF82">
            <v>0.23652694610778435</v>
          </cell>
          <cell r="EG82">
            <v>1.5659955257270708E-2</v>
          </cell>
          <cell r="EH82">
            <v>2.9100529100529071E-2</v>
          </cell>
          <cell r="EI82">
            <v>3.0494216614090464E-2</v>
          </cell>
          <cell r="EJ82">
            <v>5.9715639810426602E-2</v>
          </cell>
          <cell r="EK82" t="str">
            <v>EBITDA</v>
          </cell>
          <cell r="EL82">
            <v>3.874092009685226E-2</v>
          </cell>
          <cell r="EM82">
            <v>3.3039647577092435E-2</v>
          </cell>
          <cell r="EN82">
            <v>0.45244215938303345</v>
          </cell>
          <cell r="EO82">
            <v>0.68673469387755093</v>
          </cell>
          <cell r="EP82">
            <v>0.39355992844364929</v>
          </cell>
          <cell r="ER82">
            <v>8.3916083916083961E-2</v>
          </cell>
          <cell r="ES82">
            <v>0.53944562899786774</v>
          </cell>
          <cell r="ET82">
            <v>5.1327433628318486E-2</v>
          </cell>
          <cell r="EU82">
            <v>6.291591046581968E-2</v>
          </cell>
          <cell r="EV82">
            <v>0.13543003851091151</v>
          </cell>
          <cell r="EX82">
            <v>0.23225806451612896</v>
          </cell>
          <cell r="EY82">
            <v>-6.6481994459833826E-2</v>
          </cell>
          <cell r="EZ82">
            <v>-0.12289562289562295</v>
          </cell>
          <cell r="FA82">
            <v>-7.9112122936824125E-2</v>
          </cell>
          <cell r="FB82">
            <v>-4.2962125494629744E-2</v>
          </cell>
          <cell r="FD82">
            <v>-0.20593368237347298</v>
          </cell>
          <cell r="FE82">
            <v>-3.5608308605341255E-2</v>
          </cell>
          <cell r="FF82">
            <v>-0.22456813819577737</v>
          </cell>
          <cell r="FG82">
            <v>-0.26205191594561184</v>
          </cell>
          <cell r="FH82">
            <v>-0.20171293561724746</v>
          </cell>
          <cell r="FJ82">
            <v>-0.28131868131868132</v>
          </cell>
          <cell r="FK82">
            <v>-0.10307692307692307</v>
          </cell>
          <cell r="FL82">
            <v>-3.7128712871287162E-2</v>
          </cell>
          <cell r="FM82">
            <v>0.14321608040200995</v>
          </cell>
          <cell r="FN82">
            <v>-1.442841287458374E-2</v>
          </cell>
          <cell r="FP82">
            <v>0.49847094801223246</v>
          </cell>
          <cell r="FQ82">
            <v>0.12864493996569459</v>
          </cell>
          <cell r="FR82">
            <v>0.2005141388174807</v>
          </cell>
          <cell r="FS82">
            <v>6.5201465201465192E-2</v>
          </cell>
          <cell r="FT82">
            <v>0.15202702702702697</v>
          </cell>
          <cell r="FV82">
            <v>0.2204081632653061</v>
          </cell>
          <cell r="FW82">
            <v>0.17629179331306988</v>
          </cell>
          <cell r="FX82">
            <v>0.2269807280513918</v>
          </cell>
          <cell r="FY82">
            <v>4.9518569463548934E-2</v>
          </cell>
          <cell r="FZ82">
            <v>0.13098729227761496</v>
          </cell>
          <cell r="GB82">
            <v>8.1939799331103735E-2</v>
          </cell>
          <cell r="GC82">
            <v>4.7803617571059442E-2</v>
          </cell>
          <cell r="GD82">
            <v>-2.7896948954977407E-2</v>
          </cell>
          <cell r="GE82">
            <v>0.12346322966193712</v>
          </cell>
          <cell r="GF82">
            <v>7.4451148577618476E-2</v>
          </cell>
        </row>
        <row r="83">
          <cell r="A83" t="str">
            <v>Operating Income</v>
          </cell>
          <cell r="C83" t="str">
            <v>--</v>
          </cell>
          <cell r="D83" t="str">
            <v>--</v>
          </cell>
          <cell r="E83" t="str">
            <v>--</v>
          </cell>
          <cell r="F83">
            <v>1.2260584584199381</v>
          </cell>
          <cell r="G83">
            <v>0.45706091331758403</v>
          </cell>
          <cell r="H83">
            <v>0.16469753714355728</v>
          </cell>
          <cell r="I83">
            <v>0.25548377242026232</v>
          </cell>
          <cell r="K83" t="str">
            <v xml:space="preserve">--  </v>
          </cell>
          <cell r="L83">
            <v>0.4567216509641896</v>
          </cell>
          <cell r="N83" t="str">
            <v>NA</v>
          </cell>
          <cell r="O83">
            <v>0.3469079939668176</v>
          </cell>
          <cell r="P83">
            <v>0.50167973124300103</v>
          </cell>
          <cell r="Q83">
            <v>8.5011185682326573E-2</v>
          </cell>
          <cell r="R83">
            <v>0.16357388316151211</v>
          </cell>
          <cell r="S83">
            <v>4.6072061429415223E-2</v>
          </cell>
          <cell r="T83">
            <v>-0.2230378317334839</v>
          </cell>
          <cell r="U83">
            <v>2.5436046511627897E-2</v>
          </cell>
          <cell r="V83">
            <v>-7.795889440113446E-3</v>
          </cell>
          <cell r="W83">
            <v>7.071428571428573E-2</v>
          </cell>
          <cell r="X83">
            <v>0.42628418945963986</v>
          </cell>
          <cell r="Y83">
            <v>6.3143124415341534E-2</v>
          </cell>
          <cell r="Z83">
            <v>-8.4029916410030769E-2</v>
          </cell>
          <cell r="AA83">
            <v>-0.31556195965417866</v>
          </cell>
          <cell r="AB83">
            <v>2.0350877192982564E-2</v>
          </cell>
          <cell r="AC83">
            <v>0.31980742778541948</v>
          </cell>
          <cell r="AD83">
            <v>0.24335591453882222</v>
          </cell>
          <cell r="AE83">
            <v>0.11957109062333027</v>
          </cell>
          <cell r="AF83">
            <v>3.9791523239996573E-2</v>
          </cell>
          <cell r="AG83">
            <v>4.528803078121646E-2</v>
          </cell>
          <cell r="AH83">
            <v>1.0360976857346937E-2</v>
          </cell>
          <cell r="AI83">
            <v>-5.5325270158723683E-5</v>
          </cell>
          <cell r="AJ83">
            <v>2.0156440430671108E-2</v>
          </cell>
          <cell r="AK83">
            <v>2.005532527015963E-2</v>
          </cell>
          <cell r="AL83">
            <v>1.9956203620788981E-2</v>
          </cell>
          <cell r="AN83" t="str">
            <v>Operating Income</v>
          </cell>
          <cell r="AU83">
            <v>0.56987295825771134</v>
          </cell>
          <cell r="AV83" t="str">
            <v xml:space="preserve">NM  </v>
          </cell>
          <cell r="AW83">
            <v>0.258731509050524</v>
          </cell>
          <cell r="AX83">
            <v>0.53731133005851817</v>
          </cell>
          <cell r="AY83">
            <v>0.97503939396181427</v>
          </cell>
          <cell r="BA83">
            <v>1.039041425818882</v>
          </cell>
          <cell r="BB83">
            <v>2.7225290868492564</v>
          </cell>
          <cell r="BC83">
            <v>1.0794863611616914</v>
          </cell>
          <cell r="BD83">
            <v>0.29114836628460927</v>
          </cell>
          <cell r="BE83">
            <v>0.64224712703953801</v>
          </cell>
          <cell r="BG83">
            <v>2.5041046054262051E-2</v>
          </cell>
          <cell r="BH83">
            <v>0.95848460931334034</v>
          </cell>
          <cell r="BI83">
            <v>-3.0568395204390919E-2</v>
          </cell>
          <cell r="BJ83">
            <v>0.20401741352387148</v>
          </cell>
          <cell r="BK83">
            <v>0.16469753714355861</v>
          </cell>
          <cell r="BM83">
            <v>0.25151818946543703</v>
          </cell>
          <cell r="BN83">
            <v>0.39556701861852006</v>
          </cell>
          <cell r="BO83">
            <v>0.23574714570412225</v>
          </cell>
          <cell r="BP83">
            <v>0.23101259604236768</v>
          </cell>
          <cell r="BQ83">
            <v>0.25548377242026232</v>
          </cell>
          <cell r="BS83" t="str">
            <v xml:space="preserve"> --  </v>
          </cell>
          <cell r="BT83" t="str">
            <v xml:space="preserve"> --  </v>
          </cell>
          <cell r="BU83" t="str">
            <v xml:space="preserve"> --  </v>
          </cell>
          <cell r="BV83" t="str">
            <v xml:space="preserve"> --  </v>
          </cell>
          <cell r="BW83" t="str">
            <v xml:space="preserve"> --  </v>
          </cell>
          <cell r="BY83">
            <v>0.58488289449760744</v>
          </cell>
          <cell r="BZ83">
            <v>2.6225838633246044</v>
          </cell>
          <cell r="CA83">
            <v>0.5039048962321151</v>
          </cell>
          <cell r="CC83">
            <v>0.16149103364900097</v>
          </cell>
          <cell r="CD83">
            <v>0.2784946444162697</v>
          </cell>
          <cell r="CE83">
            <v>0.34232616609710487</v>
          </cell>
          <cell r="CF83">
            <v>0.4567216509641896</v>
          </cell>
          <cell r="CG83">
            <v>0.50029950161174308</v>
          </cell>
          <cell r="CH83">
            <v>0.43801781192470157</v>
          </cell>
          <cell r="CJ83">
            <v>0.38691376307528902</v>
          </cell>
          <cell r="CK83">
            <v>0.50321864403862304</v>
          </cell>
          <cell r="CL83">
            <v>0.60719440435217531</v>
          </cell>
          <cell r="CM83">
            <v>5.8918948290300976E-2</v>
          </cell>
          <cell r="CN83">
            <v>0.22404468977879466</v>
          </cell>
          <cell r="CP83">
            <v>0.11334190559979795</v>
          </cell>
          <cell r="CQ83">
            <v>0.21290884004786315</v>
          </cell>
          <cell r="CR83">
            <v>0.15691921110803886</v>
          </cell>
          <cell r="CS83">
            <v>7.5933720802124238E-2</v>
          </cell>
          <cell r="CT83">
            <v>0.11558702516505659</v>
          </cell>
          <cell r="CV83">
            <v>0.22247737403755097</v>
          </cell>
          <cell r="CW83">
            <v>0.26026621353723955</v>
          </cell>
          <cell r="CX83">
            <v>-4.090520635465611E-2</v>
          </cell>
          <cell r="CY83">
            <v>5.2035056613513264E-2</v>
          </cell>
          <cell r="CZ83">
            <v>8.5185171373485913E-2</v>
          </cell>
          <cell r="DB83">
            <v>0.24309392265193375</v>
          </cell>
          <cell r="DC83">
            <v>0.1910112359550562</v>
          </cell>
          <cell r="DD83">
            <v>0.17509727626459148</v>
          </cell>
          <cell r="DE83">
            <v>0.14133333333333331</v>
          </cell>
          <cell r="DF83">
            <v>0.16907216494845367</v>
          </cell>
          <cell r="DH83">
            <v>0.19555555555555548</v>
          </cell>
          <cell r="DI83">
            <v>0.26415094339622636</v>
          </cell>
          <cell r="DJ83">
            <v>-0.10927152317880795</v>
          </cell>
          <cell r="DK83">
            <v>-2.9205607476635476E-2</v>
          </cell>
          <cell r="DL83">
            <v>4.1152263374485631E-2</v>
          </cell>
          <cell r="DN83">
            <v>-0.14498141263940523</v>
          </cell>
          <cell r="DO83">
            <v>-0.36815920398009949</v>
          </cell>
          <cell r="DP83">
            <v>-0.4200743494423792</v>
          </cell>
          <cell r="DQ83">
            <v>-0.11432009626955475</v>
          </cell>
          <cell r="DR83">
            <v>-0.2230378317334839</v>
          </cell>
          <cell r="DT83">
            <v>-3.9130434782608692E-2</v>
          </cell>
          <cell r="DU83">
            <v>0.18110236220472431</v>
          </cell>
          <cell r="DV83">
            <v>0.20512820512820507</v>
          </cell>
          <cell r="DW83">
            <v>-4.6195652173913082E-2</v>
          </cell>
          <cell r="DX83">
            <v>2.5436046511627897E-2</v>
          </cell>
          <cell r="DZ83">
            <v>-0.30316742081447967</v>
          </cell>
          <cell r="EA83">
            <v>-8.666666666666667E-2</v>
          </cell>
          <cell r="EB83">
            <v>7.4468085106383031E-2</v>
          </cell>
          <cell r="EC83">
            <v>9.6866096866096818E-2</v>
          </cell>
          <cell r="ED83">
            <v>-7.795889440113446E-3</v>
          </cell>
          <cell r="EF83">
            <v>0.53246753246753253</v>
          </cell>
          <cell r="EG83">
            <v>7.2992700729928028E-3</v>
          </cell>
          <cell r="EH83">
            <v>4.4554455445544594E-2</v>
          </cell>
          <cell r="EI83">
            <v>7.7922077922076838E-3</v>
          </cell>
          <cell r="EJ83">
            <v>7.071428571428573E-2</v>
          </cell>
          <cell r="EK83" t="str">
            <v>Operating Income</v>
          </cell>
          <cell r="EL83">
            <v>6.7796610169491567E-2</v>
          </cell>
          <cell r="EM83">
            <v>5.4347826086956541E-2</v>
          </cell>
          <cell r="EN83">
            <v>0.27962085308056861</v>
          </cell>
          <cell r="EO83">
            <v>0.70747422680412364</v>
          </cell>
          <cell r="EP83">
            <v>0.42628418945963986</v>
          </cell>
          <cell r="ER83">
            <v>-0.40873015873015872</v>
          </cell>
          <cell r="ES83">
            <v>0.402061855670103</v>
          </cell>
          <cell r="ET83">
            <v>3.3333333333333437E-2</v>
          </cell>
          <cell r="EU83">
            <v>8.452830188679239E-2</v>
          </cell>
          <cell r="EV83">
            <v>6.3143124415341534E-2</v>
          </cell>
          <cell r="EX83">
            <v>0.63758389261744974</v>
          </cell>
          <cell r="EY83">
            <v>-0.14950980392156865</v>
          </cell>
          <cell r="EZ83">
            <v>-0.28315412186379929</v>
          </cell>
          <cell r="FA83">
            <v>-0.10160055671537926</v>
          </cell>
          <cell r="FB83">
            <v>-8.4029916410030769E-2</v>
          </cell>
          <cell r="FD83">
            <v>-0.42622950819672134</v>
          </cell>
          <cell r="FE83">
            <v>-3.458213256484155E-2</v>
          </cell>
          <cell r="FF83">
            <v>-0.58000000000000007</v>
          </cell>
          <cell r="FG83">
            <v>-0.32920216886134779</v>
          </cell>
          <cell r="FH83">
            <v>-0.31556195965417866</v>
          </cell>
          <cell r="FJ83">
            <v>-0.82857142857142851</v>
          </cell>
          <cell r="FK83">
            <v>-0.15820895522388057</v>
          </cell>
          <cell r="FL83">
            <v>4.7619047619047672E-2</v>
          </cell>
          <cell r="FM83">
            <v>0.22401847575057743</v>
          </cell>
          <cell r="FN83">
            <v>2.0350877192982564E-2</v>
          </cell>
          <cell r="FP83">
            <v>7.4583333333333339</v>
          </cell>
          <cell r="FQ83">
            <v>0.31205673758865249</v>
          </cell>
          <cell r="FR83">
            <v>1.0113636363636362</v>
          </cell>
          <cell r="FS83">
            <v>0.10283018867924532</v>
          </cell>
          <cell r="FT83">
            <v>0.31980742778541948</v>
          </cell>
          <cell r="FV83">
            <v>0.62561576354679804</v>
          </cell>
          <cell r="FW83">
            <v>0.36756756756756759</v>
          </cell>
          <cell r="FX83">
            <v>0.64406779661016955</v>
          </cell>
          <cell r="FY83">
            <v>7.6988879384088937E-2</v>
          </cell>
          <cell r="FZ83">
            <v>0.24335591453882222</v>
          </cell>
          <cell r="GB83">
            <v>0.18484848484848482</v>
          </cell>
          <cell r="GC83">
            <v>9.486166007905128E-2</v>
          </cell>
          <cell r="GD83">
            <v>-3.238833495997262E-2</v>
          </cell>
          <cell r="GE83">
            <v>0.14751519277253244</v>
          </cell>
          <cell r="GF83">
            <v>0.11957109062333027</v>
          </cell>
        </row>
        <row r="84">
          <cell r="A84" t="str">
            <v>Pretax Income</v>
          </cell>
          <cell r="C84" t="str">
            <v>--</v>
          </cell>
          <cell r="D84" t="str">
            <v>--</v>
          </cell>
          <cell r="E84" t="str">
            <v>--</v>
          </cell>
          <cell r="F84" t="str">
            <v>NM</v>
          </cell>
          <cell r="G84">
            <v>3.354567465605613</v>
          </cell>
          <cell r="H84">
            <v>0.5852107910537101</v>
          </cell>
          <cell r="I84">
            <v>0.16298330523682636</v>
          </cell>
          <cell r="K84" t="str">
            <v xml:space="preserve">--  </v>
          </cell>
          <cell r="L84">
            <v>2.3013597703017585</v>
          </cell>
          <cell r="N84" t="str">
            <v>NA</v>
          </cell>
          <cell r="O84">
            <v>1.1831683168316833</v>
          </cell>
          <cell r="P84">
            <v>1.1723356009070294</v>
          </cell>
          <cell r="Q84">
            <v>0.21398747390396666</v>
          </cell>
          <cell r="R84">
            <v>0.1917454858125538</v>
          </cell>
          <cell r="S84">
            <v>-1.1544011544011523E-2</v>
          </cell>
          <cell r="T84">
            <v>-0.43065693430656937</v>
          </cell>
          <cell r="U84">
            <v>0.34358974358974348</v>
          </cell>
          <cell r="V84">
            <v>3.4351145038167941E-2</v>
          </cell>
          <cell r="W84">
            <v>2.9520295202952074E-2</v>
          </cell>
          <cell r="X84">
            <v>0.83154121863799291</v>
          </cell>
          <cell r="Y84">
            <v>-0.3272994129158513</v>
          </cell>
          <cell r="Z84">
            <v>-4.0000000000000036E-2</v>
          </cell>
          <cell r="AA84">
            <v>-0.66363636363636358</v>
          </cell>
          <cell r="AB84">
            <v>0.14189189189189189</v>
          </cell>
          <cell r="AC84">
            <v>1.6035502958579881</v>
          </cell>
          <cell r="AD84">
            <v>0.49090909090909096</v>
          </cell>
          <cell r="AE84">
            <v>0.13483432061642264</v>
          </cell>
          <cell r="AF84">
            <v>4.7726760420446546E-2</v>
          </cell>
          <cell r="AG84">
            <v>9.8097064157964153E-2</v>
          </cell>
          <cell r="AH84">
            <v>1.3816344190469065E-2</v>
          </cell>
          <cell r="AI84">
            <v>2.5802460075930789E-2</v>
          </cell>
          <cell r="AJ84">
            <v>3.8381471630567709E-2</v>
          </cell>
          <cell r="AK84">
            <v>3.0505651064043793E-2</v>
          </cell>
          <cell r="AL84">
            <v>2.3967090203863339E-2</v>
          </cell>
          <cell r="AN84" t="str">
            <v>Pretax Income</v>
          </cell>
          <cell r="AU84" t="str">
            <v xml:space="preserve">NM  </v>
          </cell>
          <cell r="AV84" t="str">
            <v xml:space="preserve">NM  </v>
          </cell>
          <cell r="AW84" t="str">
            <v xml:space="preserve">NM  </v>
          </cell>
          <cell r="AX84" t="str">
            <v xml:space="preserve">NM  </v>
          </cell>
          <cell r="AY84" t="str">
            <v xml:space="preserve">NM  </v>
          </cell>
          <cell r="BA84" t="str">
            <v xml:space="preserve">NM  </v>
          </cell>
          <cell r="BB84" t="str">
            <v xml:space="preserve">NM  </v>
          </cell>
          <cell r="BC84" t="str">
            <v xml:space="preserve">NM  </v>
          </cell>
          <cell r="BD84" t="str">
            <v xml:space="preserve">NM  </v>
          </cell>
          <cell r="BE84" t="str">
            <v xml:space="preserve">NM  </v>
          </cell>
          <cell r="BG84">
            <v>0.72610550139274821</v>
          </cell>
          <cell r="BH84" t="str">
            <v xml:space="preserve">NM  </v>
          </cell>
          <cell r="BI84">
            <v>0.13468983523903932</v>
          </cell>
          <cell r="BJ84">
            <v>0.403693706492398</v>
          </cell>
          <cell r="BK84">
            <v>0.58521079105371432</v>
          </cell>
          <cell r="BM84">
            <v>0.46418215285307451</v>
          </cell>
          <cell r="BN84">
            <v>-0.43248023879277786</v>
          </cell>
          <cell r="BO84">
            <v>0.24313258747917277</v>
          </cell>
          <cell r="BP84">
            <v>0.137789203084834</v>
          </cell>
          <cell r="BQ84">
            <v>0.16298330523682614</v>
          </cell>
          <cell r="BS84" t="str">
            <v xml:space="preserve"> --  </v>
          </cell>
          <cell r="BT84" t="str">
            <v xml:space="preserve"> --  </v>
          </cell>
          <cell r="BU84" t="str">
            <v xml:space="preserve"> --  </v>
          </cell>
          <cell r="BV84" t="str">
            <v xml:space="preserve"> --  </v>
          </cell>
          <cell r="BW84" t="str">
            <v xml:space="preserve"> --  </v>
          </cell>
          <cell r="BY84" t="str">
            <v xml:space="preserve">NM </v>
          </cell>
          <cell r="BZ84" t="str">
            <v xml:space="preserve">NM </v>
          </cell>
          <cell r="CA84" t="str">
            <v xml:space="preserve">NM </v>
          </cell>
          <cell r="CC84" t="str">
            <v xml:space="preserve">NM </v>
          </cell>
          <cell r="CD84">
            <v>0.45877033771958153</v>
          </cell>
          <cell r="CE84">
            <v>0.34524859013417819</v>
          </cell>
          <cell r="CF84">
            <v>2.3013597703017599</v>
          </cell>
          <cell r="CG84">
            <v>1.9218592556476608</v>
          </cell>
          <cell r="CH84">
            <v>1.1829459884067255</v>
          </cell>
          <cell r="CJ84" t="str">
            <v xml:space="preserve">NM </v>
          </cell>
          <cell r="CK84" t="str">
            <v xml:space="preserve">NM </v>
          </cell>
          <cell r="CL84" t="str">
            <v xml:space="preserve">NM </v>
          </cell>
          <cell r="CM84">
            <v>0.11877233094735073</v>
          </cell>
          <cell r="CN84">
            <v>1.1911304132026577</v>
          </cell>
          <cell r="CP84">
            <v>-1.7664490999052544</v>
          </cell>
          <cell r="CQ84">
            <v>-3.8248118414450696</v>
          </cell>
          <cell r="CR84">
            <v>1.3810766588686971</v>
          </cell>
          <cell r="CS84">
            <v>0.34793188919827567</v>
          </cell>
          <cell r="CT84">
            <v>1.1707387792270185</v>
          </cell>
          <cell r="CV84">
            <v>1.3807888652336051</v>
          </cell>
          <cell r="CW84">
            <v>0.7140776397239661</v>
          </cell>
          <cell r="CX84">
            <v>5.0640890943475458E-2</v>
          </cell>
          <cell r="CY84">
            <v>8.7986298721735912E-2</v>
          </cell>
          <cell r="CZ84">
            <v>0.2136200941259947</v>
          </cell>
          <cell r="DB84">
            <v>0.44230769230769229</v>
          </cell>
          <cell r="DC84">
            <v>0.20725388601036276</v>
          </cell>
          <cell r="DD84">
            <v>0.14054054054054044</v>
          </cell>
          <cell r="DE84">
            <v>0.10425844346549185</v>
          </cell>
          <cell r="DF84">
            <v>0.15735167669819439</v>
          </cell>
          <cell r="DH84">
            <v>0.33333333333333326</v>
          </cell>
          <cell r="DI84">
            <v>0.39055793991416299</v>
          </cell>
          <cell r="DJ84">
            <v>-0.12322274881516593</v>
          </cell>
          <cell r="DK84">
            <v>-0.12101063829787229</v>
          </cell>
          <cell r="DL84">
            <v>1.7830609212481363E-2</v>
          </cell>
          <cell r="DN84">
            <v>-0.5</v>
          </cell>
          <cell r="DO84">
            <v>-0.58333333333333326</v>
          </cell>
          <cell r="DP84">
            <v>-0.75135135135135134</v>
          </cell>
          <cell r="DQ84">
            <v>-0.24508320726172461</v>
          </cell>
          <cell r="DR84">
            <v>-0.43065693430656937</v>
          </cell>
          <cell r="DT84">
            <v>0.47</v>
          </cell>
          <cell r="DU84">
            <v>0.64444444444444438</v>
          </cell>
          <cell r="DV84">
            <v>1.5</v>
          </cell>
          <cell r="DW84">
            <v>0.13026052104208419</v>
          </cell>
          <cell r="DX84">
            <v>0.34358974358974348</v>
          </cell>
          <cell r="DZ84">
            <v>-0.48299319727891155</v>
          </cell>
          <cell r="EA84">
            <v>-0.10360360360360366</v>
          </cell>
          <cell r="EB84">
            <v>-2.6086956521739091E-2</v>
          </cell>
          <cell r="EC84">
            <v>0.23581560283687941</v>
          </cell>
          <cell r="ED84">
            <v>3.4351145038167941E-2</v>
          </cell>
          <cell r="EF84">
            <v>1.0657894736842106</v>
          </cell>
          <cell r="EG84">
            <v>-0.36683417085427139</v>
          </cell>
          <cell r="EH84">
            <v>7.1428571428571397E-2</v>
          </cell>
          <cell r="EI84">
            <v>2.2955523672883782E-2</v>
          </cell>
          <cell r="EJ84">
            <v>2.9520295202952074E-2</v>
          </cell>
          <cell r="EK84" t="str">
            <v>Pretax Income</v>
          </cell>
          <cell r="EL84">
            <v>0.26114649681528657</v>
          </cell>
          <cell r="EM84">
            <v>0.88095238095238093</v>
          </cell>
          <cell r="EN84">
            <v>3.5166666666666666</v>
          </cell>
          <cell r="EO84">
            <v>0.49649368863955123</v>
          </cell>
          <cell r="EP84">
            <v>0.83154121863799291</v>
          </cell>
          <cell r="ER84">
            <v>-1.595959595959596</v>
          </cell>
          <cell r="ES84">
            <v>0.29113924050632911</v>
          </cell>
          <cell r="ET84">
            <v>-0.94464944649446492</v>
          </cell>
          <cell r="EU84">
            <v>8.434864104967188E-2</v>
          </cell>
          <cell r="EV84">
            <v>-0.3272994129158513</v>
          </cell>
          <cell r="EX84">
            <v>-1.7033898305084745</v>
          </cell>
          <cell r="EY84">
            <v>-0.63071895424836599</v>
          </cell>
          <cell r="EZ84">
            <v>0.26666666666666661</v>
          </cell>
          <cell r="FA84">
            <v>-6.1365600691443367E-2</v>
          </cell>
          <cell r="FB84">
            <v>-4.0000000000000036E-2</v>
          </cell>
          <cell r="FD84">
            <v>-2.2771084337349397</v>
          </cell>
          <cell r="FE84">
            <v>7.079646017699126E-2</v>
          </cell>
          <cell r="FF84">
            <v>-2.9736842105263159</v>
          </cell>
          <cell r="FG84">
            <v>-0.53591160220994483</v>
          </cell>
          <cell r="FH84">
            <v>-0.66363636363636358</v>
          </cell>
          <cell r="FJ84">
            <v>1.4056603773584904</v>
          </cell>
          <cell r="FK84">
            <v>-9.9173553719008267E-2</v>
          </cell>
          <cell r="FL84">
            <v>9.3333333333333268E-2</v>
          </cell>
          <cell r="FM84">
            <v>0.45833333333333326</v>
          </cell>
          <cell r="FN84">
            <v>0.14189189189189189</v>
          </cell>
          <cell r="FP84">
            <v>-1.1607843137254903</v>
          </cell>
          <cell r="FQ84">
            <v>1.2018348623853212</v>
          </cell>
          <cell r="FR84">
            <v>-1.1585365853658536</v>
          </cell>
          <cell r="FS84">
            <v>0.39591836734693886</v>
          </cell>
          <cell r="FT84">
            <v>1.6035502958579881</v>
          </cell>
          <cell r="FV84">
            <v>4.2195121951219514</v>
          </cell>
          <cell r="FW84">
            <v>0.64583333333333326</v>
          </cell>
          <cell r="FX84">
            <v>13.076923076923077</v>
          </cell>
          <cell r="FY84">
            <v>0.14619883040935666</v>
          </cell>
          <cell r="FZ84">
            <v>0.49090909090909096</v>
          </cell>
          <cell r="GB84">
            <v>0.30373831775700944</v>
          </cell>
          <cell r="GC84">
            <v>0.13670886075949373</v>
          </cell>
          <cell r="GD84">
            <v>-4.5601122805202454E-2</v>
          </cell>
          <cell r="GE84">
            <v>0.13154672486944907</v>
          </cell>
          <cell r="GF84">
            <v>0.13483432061642264</v>
          </cell>
        </row>
        <row r="85">
          <cell r="A85" t="str">
            <v>Net Income, Reported</v>
          </cell>
          <cell r="C85" t="str">
            <v>--</v>
          </cell>
          <cell r="D85" t="str">
            <v>--</v>
          </cell>
          <cell r="E85" t="str">
            <v>--</v>
          </cell>
          <cell r="F85" t="str">
            <v>NM</v>
          </cell>
          <cell r="G85">
            <v>4.2697454632093716</v>
          </cell>
          <cell r="H85">
            <v>0.59022063477709041</v>
          </cell>
          <cell r="I85">
            <v>0.16972540099983413</v>
          </cell>
          <cell r="K85" t="str">
            <v xml:space="preserve">--  </v>
          </cell>
          <cell r="L85">
            <v>3.0486739791766411</v>
          </cell>
          <cell r="N85" t="str">
            <v>NA</v>
          </cell>
          <cell r="O85">
            <v>2.5466666666666669</v>
          </cell>
          <cell r="P85">
            <v>1.0150375939849625</v>
          </cell>
          <cell r="Q85">
            <v>0.2350746268656716</v>
          </cell>
          <cell r="R85">
            <v>0.20090634441087607</v>
          </cell>
          <cell r="S85">
            <v>-1.2314465408805031</v>
          </cell>
          <cell r="T85">
            <v>0.5</v>
          </cell>
          <cell r="U85">
            <v>-3.9637681159420288</v>
          </cell>
          <cell r="V85">
            <v>-0.15281173594132025</v>
          </cell>
          <cell r="W85">
            <v>-5.7720057720057616E-3</v>
          </cell>
          <cell r="X85">
            <v>1.0414969667227032</v>
          </cell>
          <cell r="Y85">
            <v>-0.29270505075164965</v>
          </cell>
          <cell r="Z85">
            <v>-0.10239979896971985</v>
          </cell>
          <cell r="AA85">
            <v>-6.3784994400895858</v>
          </cell>
          <cell r="AB85">
            <v>-1.0684988548823653</v>
          </cell>
          <cell r="AC85">
            <v>1.4486322188449847</v>
          </cell>
          <cell r="AD85">
            <v>0.55908639523336645</v>
          </cell>
          <cell r="AE85">
            <v>0.1213160701218674</v>
          </cell>
          <cell r="AF85">
            <v>4.6715019631404564E-2</v>
          </cell>
          <cell r="AG85">
            <v>9.8097064157964153E-2</v>
          </cell>
          <cell r="AH85">
            <v>1.3816344190469065E-2</v>
          </cell>
          <cell r="AI85">
            <v>2.5802460075930789E-2</v>
          </cell>
          <cell r="AJ85">
            <v>3.8381471630567709E-2</v>
          </cell>
          <cell r="AK85">
            <v>3.0505651064043793E-2</v>
          </cell>
          <cell r="AL85">
            <v>2.3967090203863339E-2</v>
          </cell>
          <cell r="AN85" t="str">
            <v>Net Income, Reported</v>
          </cell>
          <cell r="AU85" t="str">
            <v xml:space="preserve">NM  </v>
          </cell>
          <cell r="AV85" t="str">
            <v xml:space="preserve">NM  </v>
          </cell>
          <cell r="AW85" t="str">
            <v xml:space="preserve">NM  </v>
          </cell>
          <cell r="AX85" t="str">
            <v xml:space="preserve">NM  </v>
          </cell>
          <cell r="AY85" t="str">
            <v xml:space="preserve">NM  </v>
          </cell>
          <cell r="BA85" t="str">
            <v xml:space="preserve">NM  </v>
          </cell>
          <cell r="BB85" t="str">
            <v xml:space="preserve">NM  </v>
          </cell>
          <cell r="BC85" t="str">
            <v xml:space="preserve">NM  </v>
          </cell>
          <cell r="BD85" t="str">
            <v xml:space="preserve">NM  </v>
          </cell>
          <cell r="BE85" t="str">
            <v xml:space="preserve">NM  </v>
          </cell>
          <cell r="BG85">
            <v>0.83711479850996984</v>
          </cell>
          <cell r="BH85" t="str">
            <v xml:space="preserve">NM  </v>
          </cell>
          <cell r="BI85">
            <v>9.3154328414921661E-2</v>
          </cell>
          <cell r="BJ85">
            <v>0.38871392824181727</v>
          </cell>
          <cell r="BK85">
            <v>0.5902206347770973</v>
          </cell>
          <cell r="BM85">
            <v>0.48488479262673212</v>
          </cell>
          <cell r="BN85">
            <v>-0.57392974133063923</v>
          </cell>
          <cell r="BO85">
            <v>0.28441084462982458</v>
          </cell>
          <cell r="BP85">
            <v>0.14084873730799452</v>
          </cell>
          <cell r="BQ85">
            <v>0.16972540099983369</v>
          </cell>
          <cell r="BS85" t="str">
            <v xml:space="preserve"> --  </v>
          </cell>
          <cell r="BT85" t="str">
            <v xml:space="preserve"> --  </v>
          </cell>
          <cell r="BU85" t="str">
            <v xml:space="preserve"> --  </v>
          </cell>
          <cell r="BV85" t="str">
            <v xml:space="preserve"> --  </v>
          </cell>
          <cell r="BW85" t="str">
            <v xml:space="preserve"> --  </v>
          </cell>
          <cell r="BY85" t="str">
            <v xml:space="preserve">NM </v>
          </cell>
          <cell r="BZ85" t="str">
            <v xml:space="preserve">NM </v>
          </cell>
          <cell r="CA85" t="str">
            <v xml:space="preserve">NM </v>
          </cell>
          <cell r="CC85" t="str">
            <v xml:space="preserve">NM </v>
          </cell>
          <cell r="CD85">
            <v>0.37055020770788127</v>
          </cell>
          <cell r="CE85">
            <v>0.33441950883194549</v>
          </cell>
          <cell r="CF85">
            <v>3.0486739791766455</v>
          </cell>
          <cell r="CG85">
            <v>2.8686737346110953</v>
          </cell>
          <cell r="CH85">
            <v>1.0154646949248605</v>
          </cell>
          <cell r="CJ85" t="str">
            <v xml:space="preserve">NM </v>
          </cell>
          <cell r="CK85" t="str">
            <v xml:space="preserve">NM </v>
          </cell>
          <cell r="CL85" t="str">
            <v xml:space="preserve">NM </v>
          </cell>
          <cell r="CM85">
            <v>0.1821292076273795</v>
          </cell>
          <cell r="CN85">
            <v>2.5848804756704831</v>
          </cell>
          <cell r="CP85">
            <v>-1.6344171083511347</v>
          </cell>
          <cell r="CQ85">
            <v>-3.440701651160242</v>
          </cell>
          <cell r="CR85">
            <v>1.5146288366306782</v>
          </cell>
          <cell r="CS85">
            <v>0.31077931687886151</v>
          </cell>
          <cell r="CT85">
            <v>1.1611549267169936</v>
          </cell>
          <cell r="CV85">
            <v>1.5035953281516088</v>
          </cell>
          <cell r="CW85">
            <v>0.61217417507909366</v>
          </cell>
          <cell r="CX85">
            <v>4.6482866221435382E-2</v>
          </cell>
          <cell r="CY85">
            <v>7.6289965178854002E-2</v>
          </cell>
          <cell r="CZ85">
            <v>0.19249316508388858</v>
          </cell>
          <cell r="DB85">
            <v>0.44436696882159565</v>
          </cell>
          <cell r="DC85">
            <v>0.28037383177570097</v>
          </cell>
          <cell r="DD85">
            <v>0.11818181818181817</v>
          </cell>
          <cell r="DE85">
            <v>9.8039215686274606E-2</v>
          </cell>
          <cell r="DF85">
            <v>0.1601876147418253</v>
          </cell>
          <cell r="DH85">
            <v>2.2988505747126409E-2</v>
          </cell>
          <cell r="DI85">
            <v>-0.54014598540145986</v>
          </cell>
          <cell r="DJ85">
            <v>-6.4308943089430892</v>
          </cell>
          <cell r="DK85">
            <v>-0.2589285714285714</v>
          </cell>
          <cell r="DL85">
            <v>-1.2314465408805031</v>
          </cell>
          <cell r="DN85">
            <v>-0.348314606741573</v>
          </cell>
          <cell r="DO85">
            <v>0.74603174603174605</v>
          </cell>
          <cell r="DP85">
            <v>-1.0044910179640718</v>
          </cell>
          <cell r="DQ85">
            <v>-2.346385542168675</v>
          </cell>
          <cell r="DR85">
            <v>0.5</v>
          </cell>
          <cell r="DT85">
            <v>0.53448275862068972</v>
          </cell>
          <cell r="DU85">
            <v>1.5636363636363635</v>
          </cell>
          <cell r="DV85">
            <v>34.333333333333336</v>
          </cell>
          <cell r="DW85">
            <v>-1.7628635346756152</v>
          </cell>
          <cell r="DX85">
            <v>-3.9637681159420288</v>
          </cell>
          <cell r="DZ85">
            <v>-0.4831460674157303</v>
          </cell>
          <cell r="EA85">
            <v>-0.57446808510638303</v>
          </cell>
          <cell r="EB85">
            <v>-0.36792452830188682</v>
          </cell>
          <cell r="EC85">
            <v>0.34897360703812308</v>
          </cell>
          <cell r="ED85">
            <v>-0.15281173594132025</v>
          </cell>
          <cell r="EF85">
            <v>1.1086956521739131</v>
          </cell>
          <cell r="EG85">
            <v>-0.35</v>
          </cell>
          <cell r="EH85">
            <v>0.10447761194029859</v>
          </cell>
          <cell r="EI85">
            <v>-4.3478260869565188E-2</v>
          </cell>
          <cell r="EJ85">
            <v>-5.7720057720057616E-3</v>
          </cell>
          <cell r="EK85" t="str">
            <v>Net Income, Reported</v>
          </cell>
          <cell r="EL85">
            <v>0.2716907216494846</v>
          </cell>
          <cell r="EM85">
            <v>0.89743589743589736</v>
          </cell>
          <cell r="EN85">
            <v>4.895100136107331</v>
          </cell>
          <cell r="EO85">
            <v>0.58863636363636362</v>
          </cell>
          <cell r="EP85">
            <v>1.0414969667227032</v>
          </cell>
          <cell r="ER85">
            <v>-1.4215509833487361</v>
          </cell>
          <cell r="ES85">
            <v>1.1410472972972974</v>
          </cell>
          <cell r="ET85">
            <v>-1.006876989296964</v>
          </cell>
          <cell r="EU85">
            <v>4.8640915593705314E-2</v>
          </cell>
          <cell r="EV85">
            <v>-0.29270505075164965</v>
          </cell>
          <cell r="EX85">
            <v>-1.6923076923076923</v>
          </cell>
          <cell r="EY85">
            <v>-0.76646942800788953</v>
          </cell>
          <cell r="EZ85">
            <v>-12</v>
          </cell>
          <cell r="FA85">
            <v>2.3192360163710735E-2</v>
          </cell>
          <cell r="FB85">
            <v>-0.10239979896971985</v>
          </cell>
          <cell r="FD85">
            <v>-2.6388888888888888</v>
          </cell>
          <cell r="FE85">
            <v>-1.3513513513513487E-2</v>
          </cell>
          <cell r="FF85">
            <v>-2.333333333333333</v>
          </cell>
          <cell r="FG85">
            <v>-7.3639999999999999</v>
          </cell>
          <cell r="FH85">
            <v>-6.3784994400895858</v>
          </cell>
          <cell r="FJ85">
            <v>0.49152542372881358</v>
          </cell>
          <cell r="FK85">
            <v>-0.90410958904109595</v>
          </cell>
          <cell r="FL85">
            <v>-0.20454545454545459</v>
          </cell>
          <cell r="FM85">
            <v>-1.0932327676513722</v>
          </cell>
          <cell r="FN85">
            <v>-1.0684988548823653</v>
          </cell>
          <cell r="FP85">
            <v>-1.2613636363636362</v>
          </cell>
          <cell r="FQ85">
            <v>20</v>
          </cell>
          <cell r="FR85">
            <v>-1.2857142857142856</v>
          </cell>
          <cell r="FS85">
            <v>0.49887640449438209</v>
          </cell>
          <cell r="FT85">
            <v>1.5744680851063828</v>
          </cell>
          <cell r="FV85">
            <v>4.6956521739130439</v>
          </cell>
          <cell r="FW85">
            <v>0.63945578231292521</v>
          </cell>
          <cell r="FX85">
            <v>12.9</v>
          </cell>
          <cell r="FY85">
            <v>0.11694152923538237</v>
          </cell>
          <cell r="FZ85">
            <v>0.48288075560802834</v>
          </cell>
          <cell r="GB85">
            <v>0.38167938931297707</v>
          </cell>
          <cell r="GC85">
            <v>0.15767634854771795</v>
          </cell>
          <cell r="GD85">
            <v>-0.20839822624612792</v>
          </cell>
          <cell r="GE85">
            <v>0.12528904365272142</v>
          </cell>
          <cell r="GF85">
            <v>0.1213160701218674</v>
          </cell>
        </row>
        <row r="86">
          <cell r="A86" t="str">
            <v>EPS, Before All Extraordinary Items</v>
          </cell>
          <cell r="C86" t="str">
            <v>--</v>
          </cell>
          <cell r="D86" t="str">
            <v>--</v>
          </cell>
          <cell r="E86" t="str">
            <v>--</v>
          </cell>
          <cell r="F86" t="str">
            <v>NM</v>
          </cell>
          <cell r="G86">
            <v>4.2697454632093716</v>
          </cell>
          <cell r="H86">
            <v>0.49352714229736749</v>
          </cell>
          <cell r="I86">
            <v>0.16715720920010613</v>
          </cell>
          <cell r="K86" t="str">
            <v xml:space="preserve">--  </v>
          </cell>
          <cell r="L86">
            <v>1.2429413062163106</v>
          </cell>
          <cell r="N86" t="str">
            <v>NA</v>
          </cell>
          <cell r="O86">
            <v>2.0831760191846533</v>
          </cell>
          <cell r="P86">
            <v>1.1166002434653026</v>
          </cell>
          <cell r="Q86">
            <v>0.19781195988990907</v>
          </cell>
          <cell r="R86">
            <v>0.23893143472537992</v>
          </cell>
          <cell r="S86">
            <v>0.11804933673070495</v>
          </cell>
          <cell r="T86">
            <v>-0.23747100765953244</v>
          </cell>
          <cell r="U86">
            <v>6.7412153054829504E-2</v>
          </cell>
          <cell r="V86">
            <v>8.2618698493725606E-2</v>
          </cell>
          <cell r="W86">
            <v>0.19253228900861408</v>
          </cell>
          <cell r="X86">
            <v>0.13546350508465377</v>
          </cell>
          <cell r="Y86">
            <v>-0.17112431238754444</v>
          </cell>
          <cell r="Z86">
            <v>2.511156865799169E-2</v>
          </cell>
          <cell r="AA86">
            <v>-0.3926266519774968</v>
          </cell>
          <cell r="AB86">
            <v>5.4566031260215864E-2</v>
          </cell>
          <cell r="AC86">
            <v>0.54543966376654018</v>
          </cell>
          <cell r="AD86">
            <v>0.36638230546571982</v>
          </cell>
          <cell r="AE86">
            <v>0.18944449755233173</v>
          </cell>
          <cell r="AF86">
            <v>0.15178647079450802</v>
          </cell>
          <cell r="AG86">
            <v>0.21619225683545951</v>
          </cell>
          <cell r="AH86">
            <v>0.10368489317104679</v>
          </cell>
          <cell r="AI86">
            <v>7.5550799930256041E-2</v>
          </cell>
          <cell r="AJ86">
            <v>8.0391871180272023E-2</v>
          </cell>
          <cell r="AK86">
            <v>0.1050161104972096</v>
          </cell>
          <cell r="AL86">
            <v>0.11070075260190304</v>
          </cell>
          <cell r="AN86" t="str">
            <v>EPS, Before All Extraordinary Items</v>
          </cell>
          <cell r="AU86" t="str">
            <v xml:space="preserve">NM  </v>
          </cell>
          <cell r="AV86" t="str">
            <v xml:space="preserve">NM  </v>
          </cell>
          <cell r="AW86" t="str">
            <v xml:space="preserve">NM  </v>
          </cell>
          <cell r="AX86" t="str">
            <v xml:space="preserve">NM  </v>
          </cell>
          <cell r="AY86" t="str">
            <v xml:space="preserve">NM  </v>
          </cell>
          <cell r="BA86" t="str">
            <v xml:space="preserve">NM  </v>
          </cell>
          <cell r="BB86" t="str">
            <v xml:space="preserve">NM  </v>
          </cell>
          <cell r="BC86" t="str">
            <v xml:space="preserve">NM  </v>
          </cell>
          <cell r="BD86" t="str">
            <v xml:space="preserve">NM  </v>
          </cell>
          <cell r="BE86" t="str">
            <v xml:space="preserve">NM  </v>
          </cell>
          <cell r="BG86">
            <v>0.15093972231627273</v>
          </cell>
          <cell r="BH86" t="str">
            <v xml:space="preserve">NM  </v>
          </cell>
          <cell r="BI86">
            <v>7.7195871065800059E-2</v>
          </cell>
          <cell r="BJ86">
            <v>0.24705403271076887</v>
          </cell>
          <cell r="BK86">
            <v>0.30893389999095677</v>
          </cell>
          <cell r="BM86">
            <v>0.47058823529411753</v>
          </cell>
          <cell r="BN86">
            <v>1.2483031355031047</v>
          </cell>
          <cell r="BO86">
            <v>0.29629629629629606</v>
          </cell>
          <cell r="BP86">
            <v>0.25961538461538458</v>
          </cell>
          <cell r="BQ86">
            <v>0.33175630280524948</v>
          </cell>
          <cell r="BS86" t="str">
            <v xml:space="preserve"> --  </v>
          </cell>
          <cell r="BT86" t="str">
            <v xml:space="preserve"> --  </v>
          </cell>
          <cell r="BU86" t="str">
            <v xml:space="preserve"> --  </v>
          </cell>
          <cell r="BV86" t="str">
            <v xml:space="preserve"> --  </v>
          </cell>
          <cell r="BW86" t="str">
            <v xml:space="preserve"> --  </v>
          </cell>
          <cell r="BY86" t="str">
            <v xml:space="preserve">NM </v>
          </cell>
          <cell r="BZ86" t="str">
            <v xml:space="preserve">NM </v>
          </cell>
          <cell r="CA86" t="str">
            <v xml:space="preserve">NM </v>
          </cell>
          <cell r="CC86" t="str">
            <v xml:space="preserve">NM </v>
          </cell>
          <cell r="CD86">
            <v>0.25642012991861307</v>
          </cell>
          <cell r="CE86">
            <v>0.21559931910688945</v>
          </cell>
          <cell r="CF86">
            <v>1.242941306216311</v>
          </cell>
          <cell r="CG86">
            <v>1.273034974194021</v>
          </cell>
          <cell r="CH86">
            <v>0.80871126553133621</v>
          </cell>
          <cell r="CJ86" t="str">
            <v xml:space="preserve">NM </v>
          </cell>
          <cell r="CK86" t="str">
            <v xml:space="preserve">NM </v>
          </cell>
          <cell r="CL86" t="str">
            <v xml:space="preserve">NM </v>
          </cell>
          <cell r="CM86">
            <v>0.13358996848546845</v>
          </cell>
          <cell r="CN86">
            <v>0.5557153119638325</v>
          </cell>
          <cell r="CP86">
            <v>1.8847721822542178</v>
          </cell>
          <cell r="CQ86">
            <v>0.98095749761223572</v>
          </cell>
          <cell r="CR86">
            <v>0.5218694349129136</v>
          </cell>
          <cell r="CS86">
            <v>9.3307514801961533E-2</v>
          </cell>
          <cell r="CT86">
            <v>0.25831729550304816</v>
          </cell>
          <cell r="CV86">
            <v>1.5034529101088574</v>
          </cell>
          <cell r="CW86">
            <v>0.60059447200373395</v>
          </cell>
          <cell r="CX86">
            <v>-0.17311732873453067</v>
          </cell>
          <cell r="CY86">
            <v>7.9567640585938015E-2</v>
          </cell>
          <cell r="CZ86">
            <v>0.15234039797565679</v>
          </cell>
          <cell r="DB86">
            <v>-0.26911815031362007</v>
          </cell>
          <cell r="DC86">
            <v>-0.35868875191480443</v>
          </cell>
          <cell r="DD86">
            <v>-0.29612724531270496</v>
          </cell>
          <cell r="DE86">
            <v>-0.45822134788913216</v>
          </cell>
          <cell r="DF86">
            <v>-0.40232656840273939</v>
          </cell>
          <cell r="DH86">
            <v>0.3569488949468862</v>
          </cell>
          <cell r="DI86">
            <v>0.50706646361742713</v>
          </cell>
          <cell r="DJ86">
            <v>-3.0975973608567631E-2</v>
          </cell>
          <cell r="DK86">
            <v>9.1775708959831892E-2</v>
          </cell>
          <cell r="DL86">
            <v>0.16010779214312887</v>
          </cell>
          <cell r="DN86">
            <v>-0.20822262267582348</v>
          </cell>
          <cell r="DO86">
            <v>-0.43841864714537893</v>
          </cell>
          <cell r="DP86">
            <v>-0.59273991713233776</v>
          </cell>
          <cell r="DQ86">
            <v>-9.5511908313649863E-2</v>
          </cell>
          <cell r="DR86">
            <v>-0.23747100765953244</v>
          </cell>
          <cell r="DT86">
            <v>1.0022997402227452E-2</v>
          </cell>
          <cell r="DU86">
            <v>0.25077409537636819</v>
          </cell>
          <cell r="DV86">
            <v>0.73436521566609403</v>
          </cell>
          <cell r="DW86">
            <v>-8.1762364367958806E-3</v>
          </cell>
          <cell r="DX86">
            <v>6.7412153054829504E-2</v>
          </cell>
          <cell r="DZ86">
            <v>-0.38502923283127022</v>
          </cell>
          <cell r="EA86">
            <v>3.0104736134886956E-2</v>
          </cell>
          <cell r="EB86">
            <v>0.18641645511193183</v>
          </cell>
          <cell r="EC86">
            <v>0.16982420675683696</v>
          </cell>
          <cell r="ED86">
            <v>8.2618698493725606E-2</v>
          </cell>
          <cell r="EF86">
            <v>1.2002944973744478</v>
          </cell>
          <cell r="EG86">
            <v>9.1284054291573158E-2</v>
          </cell>
          <cell r="EH86">
            <v>0.21440795242992539</v>
          </cell>
          <cell r="EI86">
            <v>0.11331568332715758</v>
          </cell>
          <cell r="EJ86">
            <v>0.19253228900861408</v>
          </cell>
          <cell r="EK86" t="str">
            <v>EPS, Before All Extraordinary Items</v>
          </cell>
          <cell r="EL86">
            <v>0.20924520779639133</v>
          </cell>
          <cell r="EM86">
            <v>0.14652501106684346</v>
          </cell>
          <cell r="EN86">
            <v>-0.41739246783196837</v>
          </cell>
          <cell r="EO86">
            <v>2.6745738601636537E-2</v>
          </cell>
          <cell r="EP86">
            <v>0.13546350508465377</v>
          </cell>
          <cell r="ER86">
            <v>-0.96536392307397523</v>
          </cell>
          <cell r="ES86">
            <v>-0.22511768742991911</v>
          </cell>
          <cell r="ET86">
            <v>0.27056097610725471</v>
          </cell>
          <cell r="EU86">
            <v>0.19806697860755884</v>
          </cell>
          <cell r="EV86">
            <v>-0.17112431238754444</v>
          </cell>
          <cell r="EX86">
            <v>11.942309582309582</v>
          </cell>
          <cell r="EY86">
            <v>4.1797260273972681E-2</v>
          </cell>
          <cell r="EZ86">
            <v>-0.60815006068840372</v>
          </cell>
          <cell r="FA86">
            <v>4.4816334601294416E-2</v>
          </cell>
          <cell r="FB86">
            <v>2.511156865799169E-2</v>
          </cell>
          <cell r="FD86">
            <v>-0.9375</v>
          </cell>
          <cell r="FE86">
            <v>-0.14705882352941191</v>
          </cell>
          <cell r="FF86">
            <v>-2</v>
          </cell>
          <cell r="FG86">
            <v>-0.3652694610778443</v>
          </cell>
          <cell r="FH86">
            <v>-0.3926266519774968</v>
          </cell>
          <cell r="FJ86">
            <v>-17</v>
          </cell>
          <cell r="FK86">
            <v>-0.31034482758620685</v>
          </cell>
          <cell r="FL86">
            <v>-0.625</v>
          </cell>
          <cell r="FM86">
            <v>0.27358490566037741</v>
          </cell>
          <cell r="FN86">
            <v>5.4566031260215864E-2</v>
          </cell>
          <cell r="FP86">
            <v>-1.5865790708587517</v>
          </cell>
          <cell r="FQ86">
            <v>0.74999999999999978</v>
          </cell>
          <cell r="FR86">
            <v>-3.6816339257873398</v>
          </cell>
          <cell r="FS86">
            <v>0.17777777777777781</v>
          </cell>
          <cell r="FT86">
            <v>0.54543966376654018</v>
          </cell>
          <cell r="FV86">
            <v>2.2460581395348833</v>
          </cell>
          <cell r="FW86">
            <v>0.58437972519886916</v>
          </cell>
          <cell r="FX86">
            <v>3.0013949179745154</v>
          </cell>
          <cell r="FY86">
            <v>7.2258601986732174E-2</v>
          </cell>
          <cell r="FZ86">
            <v>0.36638230546571982</v>
          </cell>
          <cell r="GB86">
            <v>0.40222359547930187</v>
          </cell>
          <cell r="GC86">
            <v>0.20624824041917611</v>
          </cell>
          <cell r="GD86">
            <v>-0.15861801416910437</v>
          </cell>
          <cell r="GE86">
            <v>0.23691312416154275</v>
          </cell>
          <cell r="GF86">
            <v>0.1894444975523315</v>
          </cell>
        </row>
        <row r="87">
          <cell r="A87" t="str">
            <v>EPS Diluted, Reported</v>
          </cell>
          <cell r="N87" t="str">
            <v>NA</v>
          </cell>
          <cell r="O87">
            <v>2.2064682872901682</v>
          </cell>
          <cell r="P87">
            <v>0.93578477247880953</v>
          </cell>
          <cell r="Q87">
            <v>0.22992133264419734</v>
          </cell>
          <cell r="R87">
            <v>0.22243255164301989</v>
          </cell>
          <cell r="S87">
            <v>-1.2456829504645728</v>
          </cell>
          <cell r="T87">
            <v>0.55467184368737477</v>
          </cell>
          <cell r="U87">
            <v>-3.976817793141421</v>
          </cell>
          <cell r="V87">
            <v>-9.7762659297635945E-2</v>
          </cell>
          <cell r="W87">
            <v>4.0016904008823184E-2</v>
          </cell>
          <cell r="X87">
            <v>0.67589282323900779</v>
          </cell>
          <cell r="Y87">
            <v>-0.43876139320187513</v>
          </cell>
          <cell r="Z87">
            <v>6.3775441193242965E-2</v>
          </cell>
          <cell r="AA87">
            <v>-6.8981600687855193</v>
          </cell>
          <cell r="AB87">
            <v>-1.0683488337132727</v>
          </cell>
          <cell r="AC87">
            <v>1.5289650455927051</v>
          </cell>
          <cell r="AD87">
            <v>0.48223350253807107</v>
          </cell>
          <cell r="AE87">
            <v>0.17465753424657549</v>
          </cell>
          <cell r="AF87">
            <v>0.15026075561396901</v>
          </cell>
          <cell r="AG87">
            <v>0.21619225683545951</v>
          </cell>
          <cell r="AH87">
            <v>0.10368489317104679</v>
          </cell>
          <cell r="AI87">
            <v>7.5550799930256041E-2</v>
          </cell>
          <cell r="AJ87">
            <v>8.0391871180272023E-2</v>
          </cell>
          <cell r="AK87">
            <v>0.1050161104972096</v>
          </cell>
          <cell r="AL87">
            <v>0.11070075260190304</v>
          </cell>
          <cell r="AN87" t="str">
            <v>EPS Diluted, Reported</v>
          </cell>
          <cell r="CP87">
            <v>2.0499765917603208</v>
          </cell>
          <cell r="CQ87">
            <v>0.90901548672567323</v>
          </cell>
          <cell r="CR87">
            <v>0.44316340604453752</v>
          </cell>
          <cell r="CS87">
            <v>7.3039696864150017E-3</v>
          </cell>
          <cell r="CT87">
            <v>0.1820266466798135</v>
          </cell>
          <cell r="CV87">
            <v>1.1399977372987853</v>
          </cell>
          <cell r="CW87">
            <v>0.50736428049067683</v>
          </cell>
          <cell r="CX87">
            <v>-0.2015756294478438</v>
          </cell>
          <cell r="CY87">
            <v>0.13072202033902447</v>
          </cell>
          <cell r="CZ87">
            <v>0.13765736493310232</v>
          </cell>
          <cell r="DB87">
            <v>-0.22622031593063341</v>
          </cell>
          <cell r="DC87">
            <v>-0.32952032783985374</v>
          </cell>
          <cell r="DD87">
            <v>-0.26449326496369807</v>
          </cell>
          <cell r="DE87">
            <v>-0.45797109202935382</v>
          </cell>
          <cell r="DF87">
            <v>-0.38246866698014048</v>
          </cell>
          <cell r="DH87">
            <v>2.3345318412651306E-2</v>
          </cell>
          <cell r="DI87">
            <v>-0.51059181851599011</v>
          </cell>
          <cell r="DJ87">
            <v>-6.938605959903458</v>
          </cell>
          <cell r="DK87">
            <v>-0.1916586947278911</v>
          </cell>
          <cell r="DL87">
            <v>-1.2456549810940736</v>
          </cell>
          <cell r="DN87">
            <v>-0.30786393354904007</v>
          </cell>
          <cell r="DO87">
            <v>0.82388586697203925</v>
          </cell>
          <cell r="DP87">
            <v>-1.0046410262722243</v>
          </cell>
          <cell r="DQ87">
            <v>-2.356478387312368</v>
          </cell>
          <cell r="DR87">
            <v>0.55467184368737477</v>
          </cell>
          <cell r="DT87">
            <v>0.51052810137926508</v>
          </cell>
          <cell r="DU87">
            <v>1.5145052490507034</v>
          </cell>
          <cell r="DV87">
            <v>34.098859962565932</v>
          </cell>
          <cell r="DW87">
            <v>-1.7971226803581755</v>
          </cell>
          <cell r="DX87">
            <v>-3.976817793141421</v>
          </cell>
          <cell r="DZ87">
            <v>-0.43844927744028617</v>
          </cell>
          <cell r="EA87">
            <v>-0.53741589379887245</v>
          </cell>
          <cell r="EB87">
            <v>-0.33320632791782234</v>
          </cell>
          <cell r="EC87">
            <v>0.40472238035780639</v>
          </cell>
          <cell r="ED87">
            <v>-9.7762659297635945E-2</v>
          </cell>
          <cell r="EF87">
            <v>1.1693693055752252</v>
          </cell>
          <cell r="EG87">
            <v>-0.33142857142857152</v>
          </cell>
          <cell r="EH87">
            <v>0.17604066821854025</v>
          </cell>
          <cell r="EI87">
            <v>2.0326843538787331E-2</v>
          </cell>
          <cell r="EJ87">
            <v>4.0016904008823184E-2</v>
          </cell>
          <cell r="EK87" t="str">
            <v>EPS Diluted, Reported</v>
          </cell>
          <cell r="EL87">
            <v>0.35558698453608217</v>
          </cell>
          <cell r="EM87">
            <v>0.96547144754316094</v>
          </cell>
          <cell r="EN87">
            <v>3.2230661891029717</v>
          </cell>
          <cell r="EO87">
            <v>-1.1617072930678152E-2</v>
          </cell>
          <cell r="EP87">
            <v>0.67589282323900779</v>
          </cell>
          <cell r="ER87">
            <v>-1.2610896412998625</v>
          </cell>
          <cell r="ES87">
            <v>0.34542922079805116</v>
          </cell>
          <cell r="ET87">
            <v>-1.0060891181827454</v>
          </cell>
          <cell r="EU87">
            <v>0.10971318583546186</v>
          </cell>
          <cell r="EV87">
            <v>-0.43876139320187513</v>
          </cell>
          <cell r="EX87">
            <v>-1.810889362526642</v>
          </cell>
          <cell r="EY87">
            <v>-0.71474378362169477</v>
          </cell>
          <cell r="EZ87">
            <v>-14.807121661721066</v>
          </cell>
          <cell r="FA87">
            <v>0.27023895272896103</v>
          </cell>
          <cell r="FB87">
            <v>6.3775441193242965E-2</v>
          </cell>
          <cell r="FD87">
            <v>-2.8526666666666669</v>
          </cell>
          <cell r="FE87">
            <v>5.170270270270283E-2</v>
          </cell>
          <cell r="FF87">
            <v>-2.3275757575757576</v>
          </cell>
          <cell r="FG87">
            <v>-7.3726942536051361</v>
          </cell>
          <cell r="FH87">
            <v>-6.8981600687855193</v>
          </cell>
          <cell r="FJ87">
            <v>0.49999999999999978</v>
          </cell>
          <cell r="FK87">
            <v>-0.88235294117647056</v>
          </cell>
          <cell r="FL87">
            <v>-0.20000000000000007</v>
          </cell>
          <cell r="FM87">
            <v>-1.092674315975287</v>
          </cell>
          <cell r="FN87">
            <v>-1.0683488337132727</v>
          </cell>
          <cell r="FP87">
            <v>-1.2380952380952381</v>
          </cell>
          <cell r="FQ87">
            <v>16.23329425556858</v>
          </cell>
          <cell r="FR87">
            <v>-1.25</v>
          </cell>
          <cell r="FS87">
            <v>0.47619047619047628</v>
          </cell>
          <cell r="FT87">
            <v>1.5289650455927051</v>
          </cell>
          <cell r="FV87">
            <v>4.9999999999999991</v>
          </cell>
          <cell r="FW87">
            <v>0.60889988761266101</v>
          </cell>
          <cell r="FX87">
            <v>15</v>
          </cell>
          <cell r="FY87">
            <v>0.1225806451612903</v>
          </cell>
          <cell r="FZ87">
            <v>0.48223350253807107</v>
          </cell>
          <cell r="GB87">
            <v>0.43333333333333335</v>
          </cell>
          <cell r="GC87">
            <v>0.20822406639004165</v>
          </cell>
          <cell r="GD87">
            <v>-0.15625</v>
          </cell>
          <cell r="GE87">
            <v>0.21264367816091956</v>
          </cell>
          <cell r="GF87">
            <v>0.17465753424657549</v>
          </cell>
        </row>
        <row r="89">
          <cell r="AR89">
            <v>68.3</v>
          </cell>
          <cell r="AU89">
            <v>66.742000000000004</v>
          </cell>
          <cell r="AV89">
            <v>66.046999999999997</v>
          </cell>
          <cell r="AW89">
            <v>64.048000000000002</v>
          </cell>
          <cell r="AX89">
            <v>64.046999999999997</v>
          </cell>
          <cell r="AY89">
            <v>260.88400000000001</v>
          </cell>
          <cell r="BA89">
            <v>56.853999999999999</v>
          </cell>
          <cell r="BB89">
            <v>57.481000000000002</v>
          </cell>
          <cell r="BC89">
            <v>58.634</v>
          </cell>
          <cell r="BD89">
            <v>57.152999999999999</v>
          </cell>
          <cell r="BE89">
            <v>230.12199999999999</v>
          </cell>
          <cell r="BG89">
            <v>56.424999999999997</v>
          </cell>
          <cell r="BH89">
            <v>56.37</v>
          </cell>
          <cell r="BI89">
            <v>57.966999999999999</v>
          </cell>
          <cell r="BJ89">
            <v>59.017999999999986</v>
          </cell>
          <cell r="BK89">
            <v>229.77999999999997</v>
          </cell>
          <cell r="BM89">
            <v>59.893000000000001</v>
          </cell>
          <cell r="BN89">
            <v>61.381999999999998</v>
          </cell>
          <cell r="BO89">
            <v>62.862000000000002</v>
          </cell>
          <cell r="BP89">
            <v>67.269000000000005</v>
          </cell>
          <cell r="BQ89">
            <v>251.40600000000001</v>
          </cell>
          <cell r="BS89">
            <v>136.37</v>
          </cell>
          <cell r="BT89">
            <v>141.60000000000002</v>
          </cell>
          <cell r="BU89">
            <v>136</v>
          </cell>
          <cell r="BV89">
            <v>137.10000000000002</v>
          </cell>
          <cell r="BW89">
            <v>551.07000000000005</v>
          </cell>
          <cell r="BY89">
            <v>115.258</v>
          </cell>
          <cell r="BZ89">
            <v>121</v>
          </cell>
          <cell r="CA89">
            <v>122.6</v>
          </cell>
          <cell r="CB89">
            <v>134.25</v>
          </cell>
          <cell r="CC89">
            <v>134.25</v>
          </cell>
          <cell r="CD89">
            <v>121.56399999999999</v>
          </cell>
          <cell r="CE89">
            <v>131.88</v>
          </cell>
          <cell r="CF89">
            <v>474.94499999999999</v>
          </cell>
          <cell r="CG89">
            <v>496.911</v>
          </cell>
          <cell r="CH89">
            <v>496.911</v>
          </cell>
          <cell r="CJ89">
            <v>133.32499999999999</v>
          </cell>
          <cell r="CK89">
            <v>133.30000000000001</v>
          </cell>
          <cell r="CL89">
            <v>135.27600000000001</v>
          </cell>
          <cell r="CM89">
            <v>131.46199999999999</v>
          </cell>
          <cell r="CN89">
            <v>533.36300000000006</v>
          </cell>
          <cell r="CP89">
            <v>145.684</v>
          </cell>
          <cell r="CQ89">
            <v>145.39400000000001</v>
          </cell>
          <cell r="CR89">
            <v>147.756</v>
          </cell>
          <cell r="CS89">
            <v>151.453</v>
          </cell>
          <cell r="CT89">
            <v>590.28699999999992</v>
          </cell>
          <cell r="CV89">
            <v>155</v>
          </cell>
          <cell r="CW89">
            <v>156</v>
          </cell>
          <cell r="CX89">
            <v>157</v>
          </cell>
          <cell r="CY89">
            <v>156</v>
          </cell>
          <cell r="CZ89">
            <v>624</v>
          </cell>
          <cell r="DB89">
            <v>173</v>
          </cell>
          <cell r="DC89">
            <v>187</v>
          </cell>
          <cell r="DD89">
            <v>191</v>
          </cell>
          <cell r="DE89">
            <v>187</v>
          </cell>
          <cell r="DF89">
            <v>738</v>
          </cell>
        </row>
        <row r="90">
          <cell r="A90" t="str">
            <v>∆ Sales - ∆ Expenses</v>
          </cell>
          <cell r="AN90" t="str">
            <v>∆ Sales - ∆ Expenses</v>
          </cell>
          <cell r="AU90">
            <v>108.2620000000001</v>
          </cell>
          <cell r="AV90">
            <v>74.555999999999898</v>
          </cell>
          <cell r="AW90">
            <v>117.31500000000005</v>
          </cell>
          <cell r="AX90">
            <v>227.72300000000027</v>
          </cell>
          <cell r="AY90">
            <v>527.85600000000034</v>
          </cell>
          <cell r="BA90">
            <v>141.51500000000016</v>
          </cell>
          <cell r="BB90">
            <v>89.155999999999949</v>
          </cell>
          <cell r="BC90">
            <v>169.40199999999993</v>
          </cell>
          <cell r="BD90">
            <v>268.48300000000006</v>
          </cell>
          <cell r="BE90">
            <v>668.55600000000004</v>
          </cell>
          <cell r="BG90">
            <v>143.20600000000007</v>
          </cell>
          <cell r="BH90">
            <v>118.40499999999997</v>
          </cell>
          <cell r="BI90">
            <v>165.34899999999993</v>
          </cell>
          <cell r="BJ90">
            <v>313.46299999999979</v>
          </cell>
          <cell r="BK90">
            <v>740.42299999999909</v>
          </cell>
          <cell r="BM90">
            <v>168.50100000000018</v>
          </cell>
          <cell r="BN90">
            <v>147.95599999999985</v>
          </cell>
          <cell r="BO90">
            <v>195.559</v>
          </cell>
          <cell r="BP90">
            <v>380.49400000000003</v>
          </cell>
          <cell r="BQ90">
            <v>892.50999999999885</v>
          </cell>
          <cell r="BS90">
            <v>196.87099999999998</v>
          </cell>
          <cell r="BT90">
            <v>173.67600000000004</v>
          </cell>
          <cell r="BU90">
            <v>260.07500000000005</v>
          </cell>
          <cell r="BV90">
            <v>603.24900000000014</v>
          </cell>
          <cell r="BW90">
            <v>1233.8709999999996</v>
          </cell>
          <cell r="BY90">
            <v>211.1449999999997</v>
          </cell>
          <cell r="BZ90">
            <v>237.19800000000009</v>
          </cell>
          <cell r="CA90">
            <v>309.19699999999978</v>
          </cell>
          <cell r="CC90">
            <v>278.36199999999985</v>
          </cell>
          <cell r="CD90">
            <v>717.53299999999979</v>
          </cell>
          <cell r="CE90">
            <v>757.60399999999947</v>
          </cell>
          <cell r="CF90">
            <v>1469.5959999999989</v>
          </cell>
          <cell r="CG90">
            <v>1521.3169999999991</v>
          </cell>
          <cell r="CH90">
            <v>1478.7909999999974</v>
          </cell>
          <cell r="CJ90">
            <v>266.31199999999984</v>
          </cell>
          <cell r="CK90">
            <v>307.97100000000006</v>
          </cell>
          <cell r="CL90">
            <v>366.89200000000045</v>
          </cell>
          <cell r="CM90">
            <v>794.05299999999966</v>
          </cell>
          <cell r="CN90">
            <v>1735.2279999999998</v>
          </cell>
          <cell r="CP90">
            <v>293.74400000000014</v>
          </cell>
          <cell r="CQ90">
            <v>357.25400000000036</v>
          </cell>
          <cell r="CR90">
            <v>415.71699999999998</v>
          </cell>
          <cell r="CS90">
            <v>864.35699999999997</v>
          </cell>
          <cell r="CT90">
            <v>1931.0720000000006</v>
          </cell>
          <cell r="CV90">
            <v>336</v>
          </cell>
          <cell r="CW90">
            <v>423</v>
          </cell>
          <cell r="CX90">
            <v>414</v>
          </cell>
          <cell r="CY90">
            <v>906</v>
          </cell>
          <cell r="CZ90">
            <v>2079</v>
          </cell>
          <cell r="DB90">
            <v>398</v>
          </cell>
          <cell r="DC90">
            <v>505</v>
          </cell>
          <cell r="DD90">
            <v>493</v>
          </cell>
          <cell r="DE90">
            <v>1043</v>
          </cell>
          <cell r="DF90">
            <v>2439</v>
          </cell>
          <cell r="FJ90">
            <v>-3.4194680167579095E-2</v>
          </cell>
          <cell r="FK90">
            <v>-1.5971577237682277E-3</v>
          </cell>
          <cell r="FL90">
            <v>-5.7525143184197214E-3</v>
          </cell>
          <cell r="FM90">
            <v>9.2433677127078395E-3</v>
          </cell>
          <cell r="FN90">
            <v>-5.1748072838055936E-3</v>
          </cell>
          <cell r="FP90">
            <v>5.0054493420776947E-2</v>
          </cell>
          <cell r="FQ90">
            <v>1.2157198738702135E-2</v>
          </cell>
          <cell r="FR90">
            <v>3.7873885884193381E-2</v>
          </cell>
          <cell r="FS90">
            <v>3.7804361854073099E-2</v>
          </cell>
          <cell r="FT90">
            <v>3.4486647181381613E-2</v>
          </cell>
          <cell r="FV90">
            <v>6.654750183230107E-2</v>
          </cell>
          <cell r="FW90">
            <v>6.0825738612125813E-2</v>
          </cell>
          <cell r="FX90">
            <v>6.5553021505009412E-2</v>
          </cell>
          <cell r="FY90">
            <v>2.4289824797099513E-2</v>
          </cell>
          <cell r="FZ90">
            <v>5.3530898326099363E-2</v>
          </cell>
          <cell r="GB90">
            <v>3.1980729489817339E-2</v>
          </cell>
          <cell r="GC90">
            <v>1.343934930906876E-2</v>
          </cell>
          <cell r="GD90">
            <v>-1.4520704841329835E-2</v>
          </cell>
          <cell r="GE90">
            <v>2.4716111945240593E-2</v>
          </cell>
          <cell r="GF90">
            <v>1.6065747463878788E-2</v>
          </cell>
        </row>
        <row r="91">
          <cell r="A91" t="str">
            <v>E = MorFYn Stanley Research Estimates</v>
          </cell>
        </row>
        <row r="92">
          <cell r="A92" t="str">
            <v>Macy's Inc.</v>
          </cell>
          <cell r="AN92" t="str">
            <v>Macy's Inc.</v>
          </cell>
        </row>
        <row r="93">
          <cell r="A93" t="str">
            <v>Annual Store Model</v>
          </cell>
          <cell r="F93" t="str">
            <v>Federated (Post-Bankruptcy)</v>
          </cell>
          <cell r="AN93" t="str">
            <v>Quarterly Store Model</v>
          </cell>
        </row>
        <row r="94">
          <cell r="A94" t="str">
            <v>($ Millions)</v>
          </cell>
          <cell r="J94" t="str">
            <v>91P-94E</v>
          </cell>
          <cell r="K94" t="str">
            <v>PFMA</v>
          </cell>
          <cell r="AN94" t="str">
            <v>($ Millions)</v>
          </cell>
          <cell r="EX94">
            <v>39447</v>
          </cell>
          <cell r="FD94">
            <v>39813</v>
          </cell>
          <cell r="FJ94">
            <v>40178</v>
          </cell>
          <cell r="FP94">
            <v>40543</v>
          </cell>
          <cell r="FV94">
            <v>40908</v>
          </cell>
          <cell r="GB94">
            <v>41274</v>
          </cell>
          <cell r="GG94" t="str">
            <v xml:space="preserve"> </v>
          </cell>
        </row>
        <row r="95">
          <cell r="A95">
            <v>41396.636050578702</v>
          </cell>
          <cell r="B95">
            <v>1987</v>
          </cell>
          <cell r="C95">
            <v>1988</v>
          </cell>
          <cell r="D95">
            <v>1989</v>
          </cell>
          <cell r="E95">
            <v>1990</v>
          </cell>
          <cell r="F95">
            <v>1991</v>
          </cell>
          <cell r="G95" t="str">
            <v>1992</v>
          </cell>
          <cell r="H95">
            <v>1993</v>
          </cell>
          <cell r="I95">
            <v>1994</v>
          </cell>
          <cell r="J95" t="str">
            <v>CAGR</v>
          </cell>
          <cell r="K95">
            <v>1994</v>
          </cell>
          <cell r="M95">
            <v>1994</v>
          </cell>
          <cell r="N95">
            <v>1995</v>
          </cell>
          <cell r="O95">
            <v>1996</v>
          </cell>
          <cell r="P95">
            <v>1997</v>
          </cell>
          <cell r="Q95">
            <v>1998</v>
          </cell>
          <cell r="R95">
            <v>1999</v>
          </cell>
          <cell r="S95">
            <v>2000</v>
          </cell>
          <cell r="T95">
            <v>2001</v>
          </cell>
          <cell r="U95">
            <v>2002</v>
          </cell>
          <cell r="V95">
            <v>2003</v>
          </cell>
          <cell r="W95">
            <v>2004</v>
          </cell>
          <cell r="X95">
            <v>2005</v>
          </cell>
          <cell r="Y95">
            <v>2006</v>
          </cell>
          <cell r="Z95">
            <v>2007</v>
          </cell>
          <cell r="AA95">
            <v>2008</v>
          </cell>
          <cell r="AB95">
            <v>2009</v>
          </cell>
          <cell r="AC95">
            <v>2010</v>
          </cell>
          <cell r="AD95">
            <v>2011</v>
          </cell>
          <cell r="AE95" t="str">
            <v>2012E</v>
          </cell>
          <cell r="AF95" t="str">
            <v>2013E</v>
          </cell>
          <cell r="AG95" t="str">
            <v>2014E</v>
          </cell>
          <cell r="AH95" t="str">
            <v>2015E</v>
          </cell>
          <cell r="AI95" t="str">
            <v>2016E</v>
          </cell>
          <cell r="AJ95" t="str">
            <v>2017E</v>
          </cell>
          <cell r="AK95" t="str">
            <v>2017E</v>
          </cell>
          <cell r="AL95" t="str">
            <v>2017E</v>
          </cell>
          <cell r="AN95">
            <v>41396.636050578702</v>
          </cell>
          <cell r="BS95" t="str">
            <v>1994 (Pro forma for Macy's)</v>
          </cell>
          <cell r="BY95" t="str">
            <v>1995E</v>
          </cell>
          <cell r="CJ95" t="str">
            <v>1996A</v>
          </cell>
          <cell r="CP95" t="str">
            <v>1997A</v>
          </cell>
          <cell r="CX95">
            <v>1998</v>
          </cell>
          <cell r="DD95">
            <v>1999</v>
          </cell>
          <cell r="DJ95">
            <v>2000</v>
          </cell>
          <cell r="DP95">
            <v>2001</v>
          </cell>
          <cell r="DV95">
            <v>2002</v>
          </cell>
          <cell r="EB95">
            <v>2003</v>
          </cell>
          <cell r="EH95">
            <v>2004</v>
          </cell>
          <cell r="EN95">
            <v>2005</v>
          </cell>
          <cell r="ET95">
            <v>2006</v>
          </cell>
          <cell r="EX95">
            <v>1</v>
          </cell>
          <cell r="EY95">
            <v>2</v>
          </cell>
          <cell r="EZ95">
            <v>3</v>
          </cell>
          <cell r="FA95">
            <v>4</v>
          </cell>
          <cell r="FB95" t="str">
            <v>Year</v>
          </cell>
          <cell r="FD95">
            <v>1</v>
          </cell>
          <cell r="FE95">
            <v>2</v>
          </cell>
          <cell r="FF95">
            <v>3</v>
          </cell>
          <cell r="FG95">
            <v>4</v>
          </cell>
          <cell r="FH95" t="str">
            <v>Year</v>
          </cell>
          <cell r="FJ95">
            <v>1</v>
          </cell>
          <cell r="FK95">
            <v>2</v>
          </cell>
          <cell r="FL95">
            <v>3</v>
          </cell>
          <cell r="FM95">
            <v>4</v>
          </cell>
          <cell r="FN95" t="str">
            <v>Year</v>
          </cell>
          <cell r="FP95">
            <v>1</v>
          </cell>
          <cell r="FQ95">
            <v>2</v>
          </cell>
          <cell r="FR95">
            <v>3</v>
          </cell>
          <cell r="FS95">
            <v>4</v>
          </cell>
          <cell r="FT95" t="str">
            <v>Year</v>
          </cell>
          <cell r="FV95">
            <v>1</v>
          </cell>
          <cell r="FW95">
            <v>2</v>
          </cell>
          <cell r="FX95">
            <v>3</v>
          </cell>
          <cell r="FY95">
            <v>4</v>
          </cell>
          <cell r="FZ95" t="str">
            <v>Year</v>
          </cell>
          <cell r="GB95">
            <v>1</v>
          </cell>
          <cell r="GC95">
            <v>2</v>
          </cell>
          <cell r="GD95">
            <v>3</v>
          </cell>
          <cell r="GE95">
            <v>4</v>
          </cell>
          <cell r="GF95" t="str">
            <v>Year</v>
          </cell>
        </row>
        <row r="96">
          <cell r="A96" t="str">
            <v>TOTAL RETAIL COMPANY (A)</v>
          </cell>
          <cell r="AN96" t="str">
            <v>TOTAL RETAIL COMPANY (A)</v>
          </cell>
        </row>
        <row r="97">
          <cell r="A97" t="str">
            <v>Sales</v>
          </cell>
          <cell r="N97">
            <v>14614</v>
          </cell>
          <cell r="O97">
            <v>14833</v>
          </cell>
          <cell r="P97">
            <v>15220</v>
          </cell>
          <cell r="Q97">
            <v>15365</v>
          </cell>
          <cell r="R97">
            <v>16029</v>
          </cell>
          <cell r="S97">
            <v>16638</v>
          </cell>
          <cell r="T97">
            <v>15785</v>
          </cell>
          <cell r="U97">
            <v>15571</v>
          </cell>
          <cell r="V97">
            <v>15412</v>
          </cell>
          <cell r="W97">
            <v>15776</v>
          </cell>
          <cell r="X97">
            <v>22390</v>
          </cell>
          <cell r="Y97">
            <v>26970</v>
          </cell>
          <cell r="Z97">
            <v>26313</v>
          </cell>
          <cell r="AA97">
            <v>24892</v>
          </cell>
          <cell r="AB97">
            <v>23895</v>
          </cell>
          <cell r="AC97">
            <v>25003</v>
          </cell>
          <cell r="AD97">
            <v>26405</v>
          </cell>
          <cell r="AE97">
            <v>27697.820605365057</v>
          </cell>
          <cell r="AF97">
            <v>28358.892641397051</v>
          </cell>
          <cell r="AG97">
            <v>28905.408744504351</v>
          </cell>
          <cell r="AH97">
            <v>29204.897015558319</v>
          </cell>
          <cell r="AI97">
            <v>29496.945985713905</v>
          </cell>
          <cell r="AJ97">
            <v>29791.915445571045</v>
          </cell>
          <cell r="AK97">
            <v>30089.834600026756</v>
          </cell>
          <cell r="AL97">
            <v>30390.732946027023</v>
          </cell>
          <cell r="AN97" t="str">
            <v>Sales</v>
          </cell>
          <cell r="DB97">
            <v>3470</v>
          </cell>
          <cell r="DC97">
            <v>3609</v>
          </cell>
          <cell r="DD97">
            <v>3691</v>
          </cell>
          <cell r="DE97">
            <v>5259</v>
          </cell>
          <cell r="DF97">
            <v>16029</v>
          </cell>
          <cell r="DH97">
            <v>3573</v>
          </cell>
          <cell r="DI97">
            <v>3679</v>
          </cell>
          <cell r="DJ97">
            <v>3782</v>
          </cell>
          <cell r="DK97">
            <v>5604</v>
          </cell>
          <cell r="DL97">
            <v>16638</v>
          </cell>
          <cell r="DN97">
            <v>3556</v>
          </cell>
          <cell r="DO97">
            <v>3488</v>
          </cell>
          <cell r="DP97">
            <v>3475</v>
          </cell>
          <cell r="DQ97">
            <v>5132</v>
          </cell>
          <cell r="DR97">
            <v>15785</v>
          </cell>
          <cell r="DT97">
            <v>3453</v>
          </cell>
          <cell r="DU97">
            <v>3486</v>
          </cell>
          <cell r="DV97">
            <v>3479</v>
          </cell>
          <cell r="DW97">
            <v>5017</v>
          </cell>
          <cell r="DX97">
            <v>15571</v>
          </cell>
          <cell r="DZ97">
            <v>3291</v>
          </cell>
          <cell r="EA97">
            <v>3434</v>
          </cell>
          <cell r="EB97">
            <v>3486</v>
          </cell>
          <cell r="EC97">
            <v>5053</v>
          </cell>
          <cell r="ED97">
            <v>15412</v>
          </cell>
          <cell r="EF97">
            <v>3550</v>
          </cell>
          <cell r="EG97">
            <v>3581</v>
          </cell>
          <cell r="EH97">
            <v>3525</v>
          </cell>
          <cell r="EI97">
            <v>5120</v>
          </cell>
          <cell r="EJ97">
            <v>15776</v>
          </cell>
          <cell r="EL97">
            <v>3641</v>
          </cell>
          <cell r="EM97">
            <v>3623</v>
          </cell>
          <cell r="EN97">
            <v>5555</v>
          </cell>
          <cell r="EO97">
            <v>9571</v>
          </cell>
          <cell r="EP97">
            <v>22390</v>
          </cell>
          <cell r="ER97">
            <v>5930</v>
          </cell>
          <cell r="ES97">
            <v>5995</v>
          </cell>
          <cell r="ET97">
            <v>5886</v>
          </cell>
          <cell r="EU97">
            <v>9159</v>
          </cell>
          <cell r="EV97">
            <v>26970</v>
          </cell>
          <cell r="EX97">
            <v>5921</v>
          </cell>
          <cell r="EY97">
            <v>5892</v>
          </cell>
          <cell r="EZ97">
            <v>5906</v>
          </cell>
          <cell r="FA97">
            <v>8594</v>
          </cell>
          <cell r="FB97">
            <v>26313</v>
          </cell>
          <cell r="FD97">
            <v>5747</v>
          </cell>
          <cell r="FE97">
            <v>5718</v>
          </cell>
          <cell r="FF97">
            <v>5493</v>
          </cell>
          <cell r="FG97">
            <v>7934</v>
          </cell>
          <cell r="FH97">
            <v>24892</v>
          </cell>
          <cell r="FJ97">
            <v>5288</v>
          </cell>
          <cell r="FK97">
            <v>5285</v>
          </cell>
          <cell r="FL97">
            <v>5385</v>
          </cell>
          <cell r="FM97">
            <v>7937</v>
          </cell>
          <cell r="FN97">
            <v>23895</v>
          </cell>
          <cell r="FP97">
            <v>5574</v>
          </cell>
          <cell r="FQ97">
            <v>5537</v>
          </cell>
          <cell r="FR97">
            <v>5623</v>
          </cell>
          <cell r="FS97">
            <v>8269</v>
          </cell>
          <cell r="FT97">
            <v>25003</v>
          </cell>
          <cell r="FV97">
            <v>5889</v>
          </cell>
          <cell r="FW97">
            <v>5939</v>
          </cell>
          <cell r="FX97">
            <v>5853</v>
          </cell>
          <cell r="FY97">
            <v>8724</v>
          </cell>
          <cell r="FZ97">
            <v>26405</v>
          </cell>
          <cell r="GB97">
            <v>6143</v>
          </cell>
          <cell r="GC97">
            <v>6118</v>
          </cell>
          <cell r="GD97">
            <v>6069.6866469352608</v>
          </cell>
          <cell r="GE97">
            <v>9367.1339584297966</v>
          </cell>
          <cell r="GF97">
            <v>27697.820605365057</v>
          </cell>
        </row>
        <row r="98">
          <cell r="A98" t="str">
            <v>% Change</v>
          </cell>
          <cell r="N98" t="str">
            <v>NA</v>
          </cell>
          <cell r="O98">
            <v>1.4985630217599466E-2</v>
          </cell>
          <cell r="P98">
            <v>2.6090473943234604E-2</v>
          </cell>
          <cell r="Q98">
            <v>9.5269382391589552E-3</v>
          </cell>
          <cell r="R98">
            <v>4.3215099251545652E-2</v>
          </cell>
          <cell r="S98">
            <v>3.7993636533782515E-2</v>
          </cell>
          <cell r="T98">
            <v>-5.126818127178745E-2</v>
          </cell>
          <cell r="U98">
            <v>-1.3557174532784266E-2</v>
          </cell>
          <cell r="V98">
            <v>-1.0211290218996805E-2</v>
          </cell>
          <cell r="W98">
            <v>2.361796003114458E-2</v>
          </cell>
          <cell r="X98">
            <v>0.41924442190669375</v>
          </cell>
          <cell r="Y98">
            <v>0.20455560518088434</v>
          </cell>
          <cell r="Z98">
            <v>-2.4360400444938812E-2</v>
          </cell>
          <cell r="AA98">
            <v>-5.4003724394785846E-2</v>
          </cell>
          <cell r="AB98">
            <v>-4.0053029085650005E-2</v>
          </cell>
          <cell r="AC98">
            <v>4.6369533375183014E-2</v>
          </cell>
          <cell r="AD98">
            <v>5.60732712074552E-2</v>
          </cell>
          <cell r="AE98">
            <v>4.8961204520547419E-2</v>
          </cell>
          <cell r="AF98">
            <v>2.3867294306323394E-2</v>
          </cell>
          <cell r="AG98">
            <v>1.9271419022529823E-2</v>
          </cell>
          <cell r="AH98">
            <v>1.0360976857347159E-2</v>
          </cell>
          <cell r="AI98">
            <v>1.0000000000000009E-2</v>
          </cell>
          <cell r="AJ98">
            <v>1.0000000000000009E-2</v>
          </cell>
          <cell r="AK98">
            <v>1.0000000000000009E-2</v>
          </cell>
          <cell r="AL98">
            <v>1.0000000000000009E-2</v>
          </cell>
          <cell r="AN98" t="str">
            <v>% Change</v>
          </cell>
          <cell r="DH98">
            <v>2.9682997118155585E-2</v>
          </cell>
          <cell r="DI98">
            <v>1.9395954558049322E-2</v>
          </cell>
          <cell r="DJ98">
            <v>2.4654565158493735E-2</v>
          </cell>
          <cell r="DK98">
            <v>6.560182544209936E-2</v>
          </cell>
          <cell r="DL98">
            <v>3.7993636533782515E-2</v>
          </cell>
          <cell r="DN98">
            <v>-4.7579065211307281E-3</v>
          </cell>
          <cell r="DO98">
            <v>-5.191628159826045E-2</v>
          </cell>
          <cell r="DP98">
            <v>-8.1173982020095181E-2</v>
          </cell>
          <cell r="DQ98">
            <v>-8.4225553176302648E-2</v>
          </cell>
          <cell r="DR98">
            <v>-5.126818127178745E-2</v>
          </cell>
          <cell r="DT98">
            <v>-2.8965129358830111E-2</v>
          </cell>
          <cell r="DU98">
            <v>-5.7339449541282672E-4</v>
          </cell>
          <cell r="DV98">
            <v>1.1510791366906581E-3</v>
          </cell>
          <cell r="DW98">
            <v>-2.2408417770849565E-2</v>
          </cell>
          <cell r="DX98">
            <v>-1.3557174532784266E-2</v>
          </cell>
          <cell r="DZ98">
            <v>-4.6915725456125101E-2</v>
          </cell>
          <cell r="EA98">
            <v>-1.4916810097532984E-2</v>
          </cell>
          <cell r="EB98">
            <v>2.012072434607548E-3</v>
          </cell>
          <cell r="EC98">
            <v>7.1756029499701057E-3</v>
          </cell>
          <cell r="ED98">
            <v>-1.0211290218996805E-2</v>
          </cell>
          <cell r="EF98">
            <v>7.8699483439683915E-2</v>
          </cell>
          <cell r="EG98">
            <v>4.2807221898660375E-2</v>
          </cell>
          <cell r="EH98">
            <v>1.1187607573149849E-2</v>
          </cell>
          <cell r="EI98">
            <v>1.3259449831783066E-2</v>
          </cell>
          <cell r="EJ98">
            <v>2.361796003114458E-2</v>
          </cell>
          <cell r="EL98">
            <v>2.5633802816901419E-2</v>
          </cell>
          <cell r="EM98">
            <v>1.1728567439262871E-2</v>
          </cell>
          <cell r="EN98">
            <v>0.57588652482269498</v>
          </cell>
          <cell r="EO98">
            <v>0.86933593750000004</v>
          </cell>
          <cell r="EP98">
            <v>0.41924442190669375</v>
          </cell>
          <cell r="ER98">
            <v>0.62867344136226322</v>
          </cell>
          <cell r="ES98">
            <v>0.65470604471432514</v>
          </cell>
          <cell r="ET98">
            <v>5.9585958595859578E-2</v>
          </cell>
          <cell r="EU98">
            <v>-4.3046703583742518E-2</v>
          </cell>
          <cell r="EV98">
            <v>0.20455560518088434</v>
          </cell>
          <cell r="EX98">
            <v>-1.5177065767284503E-3</v>
          </cell>
          <cell r="EY98">
            <v>-1.7180984153461254E-2</v>
          </cell>
          <cell r="EZ98">
            <v>3.397893306150257E-3</v>
          </cell>
          <cell r="FA98">
            <v>-6.1687957200567745E-2</v>
          </cell>
          <cell r="FB98">
            <v>-2.4360400444938812E-2</v>
          </cell>
          <cell r="FD98">
            <v>-2.9386927883803371E-2</v>
          </cell>
          <cell r="FE98">
            <v>-2.9531568228105876E-2</v>
          </cell>
          <cell r="FF98">
            <v>-6.9928885878767333E-2</v>
          </cell>
          <cell r="FG98">
            <v>-7.6797765883174329E-2</v>
          </cell>
          <cell r="FH98">
            <v>-5.4003724394785846E-2</v>
          </cell>
          <cell r="FJ98">
            <v>-7.9867757090655966E-2</v>
          </cell>
          <cell r="FK98">
            <v>-7.5725778244141284E-2</v>
          </cell>
          <cell r="FL98">
            <v>-1.9661387220098359E-2</v>
          </cell>
          <cell r="FM98">
            <v>3.7811948575749987E-4</v>
          </cell>
          <cell r="FN98">
            <v>-4.0053029085650005E-2</v>
          </cell>
          <cell r="FP98">
            <v>5.4084720121028829E-2</v>
          </cell>
          <cell r="FQ98">
            <v>4.7682119205298079E-2</v>
          </cell>
          <cell r="FR98">
            <v>4.4196843082636939E-2</v>
          </cell>
          <cell r="FS98">
            <v>4.182940657679235E-2</v>
          </cell>
          <cell r="FT98">
            <v>4.6369533375183014E-2</v>
          </cell>
          <cell r="FV98">
            <v>5.6512378902045191E-2</v>
          </cell>
          <cell r="FW98">
            <v>7.2602492324363332E-2</v>
          </cell>
          <cell r="FX98">
            <v>4.0903432331495626E-2</v>
          </cell>
          <cell r="FY98">
            <v>5.5024791389527206E-2</v>
          </cell>
          <cell r="FZ98">
            <v>5.60732712074552E-2</v>
          </cell>
          <cell r="GB98">
            <v>4.313126167430803E-2</v>
          </cell>
          <cell r="GC98">
            <v>3.0139754167368249E-2</v>
          </cell>
          <cell r="GD98">
            <v>3.7021467099822347E-2</v>
          </cell>
          <cell r="GE98">
            <v>7.372007776590972E-2</v>
          </cell>
          <cell r="GF98">
            <v>4.8961204520547419E-2</v>
          </cell>
        </row>
        <row r="99">
          <cell r="A99" t="str">
            <v>Sales/Ave. Sq. Ft.</v>
          </cell>
          <cell r="N99">
            <v>185.41332301426695</v>
          </cell>
          <cell r="O99">
            <v>178.15063475096383</v>
          </cell>
          <cell r="P99">
            <v>185.57015271131161</v>
          </cell>
          <cell r="Q99">
            <v>188.14093733737411</v>
          </cell>
          <cell r="R99">
            <v>195.1982853628686</v>
          </cell>
          <cell r="S99">
            <v>201.28966693685953</v>
          </cell>
          <cell r="T99">
            <v>188.59020310633213</v>
          </cell>
          <cell r="U99">
            <v>185.92238805970149</v>
          </cell>
          <cell r="V99">
            <v>184.02388059701494</v>
          </cell>
          <cell r="W99">
            <v>188.59533771667662</v>
          </cell>
          <cell r="X99">
            <v>185.19437551695614</v>
          </cell>
          <cell r="Y99">
            <v>171.29247380120674</v>
          </cell>
          <cell r="Z99">
            <v>169.01924133080252</v>
          </cell>
          <cell r="AA99">
            <v>161.08616025782067</v>
          </cell>
          <cell r="AB99">
            <v>154.91537840650133</v>
          </cell>
          <cell r="AC99">
            <v>162.05355551450691</v>
          </cell>
          <cell r="AD99">
            <v>172.31421812545884</v>
          </cell>
          <cell r="AE99">
            <v>181.86236863425094</v>
          </cell>
          <cell r="AF99">
            <v>186.01972201820288</v>
          </cell>
          <cell r="AG99">
            <v>189.48961276294534</v>
          </cell>
          <cell r="AH99">
            <v>191.48711704856575</v>
          </cell>
          <cell r="AI99">
            <v>193.36743935804478</v>
          </cell>
          <cell r="AJ99">
            <v>195.30111375162525</v>
          </cell>
          <cell r="AK99">
            <v>197.25412488914151</v>
          </cell>
          <cell r="AL99">
            <v>199.22666613803293</v>
          </cell>
          <cell r="AN99" t="str">
            <v>Sales/Ave. Sq. Ft.</v>
          </cell>
          <cell r="DN99">
            <v>42.637889688249395</v>
          </cell>
          <cell r="DO99" t="str">
            <v>NA</v>
          </cell>
          <cell r="DP99" t="str">
            <v>NA</v>
          </cell>
          <cell r="DQ99">
            <v>61.095238095238095</v>
          </cell>
          <cell r="DR99">
            <v>188.59020310633213</v>
          </cell>
          <cell r="DT99">
            <v>40.928309062964026</v>
          </cell>
          <cell r="DU99">
            <v>41.051569071497894</v>
          </cell>
          <cell r="DV99">
            <v>40.531173985405189</v>
          </cell>
          <cell r="DW99">
            <v>58.999502465059471</v>
          </cell>
          <cell r="DX99">
            <v>185.92238805970149</v>
          </cell>
          <cell r="DZ99">
            <v>39.370030102818724</v>
          </cell>
          <cell r="EA99">
            <v>40.857109529919512</v>
          </cell>
          <cell r="EB99">
            <v>41.073351045396791</v>
          </cell>
          <cell r="EC99">
            <v>59.682254173501882</v>
          </cell>
          <cell r="ED99">
            <v>184.02388059701494</v>
          </cell>
          <cell r="EF99">
            <v>42.261904761904759</v>
          </cell>
          <cell r="EG99">
            <v>42.723255711192614</v>
          </cell>
          <cell r="EH99">
            <v>42.055145596747828</v>
          </cell>
          <cell r="EI99">
            <v>61.207411835026896</v>
          </cell>
          <cell r="EJ99">
            <v>188.59533771667662</v>
          </cell>
          <cell r="EL99">
            <v>43.709483793517407</v>
          </cell>
          <cell r="EM99">
            <v>43.445778155702293</v>
          </cell>
          <cell r="EN99">
            <v>43.791542109400297</v>
          </cell>
          <cell r="EO99">
            <v>58.232044198895025</v>
          </cell>
          <cell r="EP99">
            <v>185.19437551695614</v>
          </cell>
          <cell r="ER99">
            <v>37.564453920983773</v>
          </cell>
          <cell r="ES99">
            <v>38.241149916138319</v>
          </cell>
          <cell r="ET99">
            <v>37.633373672820916</v>
          </cell>
          <cell r="EU99">
            <v>58.543624876054047</v>
          </cell>
          <cell r="EV99">
            <v>171.29247380120674</v>
          </cell>
          <cell r="EX99">
            <v>37.779911755416386</v>
          </cell>
          <cell r="EY99">
            <v>37.537030548211384</v>
          </cell>
          <cell r="EZ99">
            <v>37.569496571290443</v>
          </cell>
          <cell r="FA99">
            <v>55.004768274652626</v>
          </cell>
          <cell r="FB99">
            <v>169.01924133080252</v>
          </cell>
          <cell r="FD99">
            <v>37.076342944882242</v>
          </cell>
          <cell r="FE99">
            <v>36.812659743637617</v>
          </cell>
          <cell r="FF99">
            <v>35.32180589404102</v>
          </cell>
          <cell r="FG99">
            <v>51.267967858977556</v>
          </cell>
          <cell r="FH99">
            <v>161.08616025782067</v>
          </cell>
          <cell r="FJ99">
            <v>34.278231896646723</v>
          </cell>
          <cell r="FK99">
            <v>34.219744501207565</v>
          </cell>
          <cell r="FL99">
            <v>34.76615964672159</v>
          </cell>
          <cell r="FM99">
            <v>51.249269551011977</v>
          </cell>
          <cell r="FN99">
            <v>154.91537840650133</v>
          </cell>
          <cell r="FP99">
            <v>36.112145899807253</v>
          </cell>
          <cell r="FQ99">
            <v>35.883477528271925</v>
          </cell>
          <cell r="FR99">
            <v>36.398238022338667</v>
          </cell>
          <cell r="FS99">
            <v>53.540615176423742</v>
          </cell>
          <cell r="FT99">
            <v>162.05355551450691</v>
          </cell>
          <cell r="FV99">
            <v>38.175188396402241</v>
          </cell>
          <cell r="FW99">
            <v>38.484218165795113</v>
          </cell>
          <cell r="FX99">
            <v>37.934811492569239</v>
          </cell>
          <cell r="FY99">
            <v>56.911364659373348</v>
          </cell>
          <cell r="FZ99">
            <v>172.31421812545884</v>
          </cell>
          <cell r="GB99">
            <v>40.344225186845712</v>
          </cell>
          <cell r="GC99">
            <v>40.196844961596831</v>
          </cell>
          <cell r="GD99">
            <v>39.865531591519826</v>
          </cell>
          <cell r="GE99">
            <v>61.502875554350474</v>
          </cell>
          <cell r="GF99">
            <v>181.86236863425094</v>
          </cell>
        </row>
        <row r="100">
          <cell r="A100" t="str">
            <v>% Change</v>
          </cell>
          <cell r="N100" t="str">
            <v>NA</v>
          </cell>
          <cell r="O100">
            <v>-3.9170261042914767E-2</v>
          </cell>
          <cell r="P100">
            <v>4.16474404973044E-2</v>
          </cell>
          <cell r="Q100">
            <v>1.3853438112226168E-2</v>
          </cell>
          <cell r="R100">
            <v>3.751096452144953E-2</v>
          </cell>
          <cell r="S100">
            <v>3.1206122342044118E-2</v>
          </cell>
          <cell r="T100">
            <v>-6.3090490554147394E-2</v>
          </cell>
          <cell r="U100">
            <v>-1.4146095622615373E-2</v>
          </cell>
          <cell r="V100">
            <v>-1.0211290218996805E-2</v>
          </cell>
          <cell r="W100">
            <v>2.4841651555389754E-2</v>
          </cell>
          <cell r="X100">
            <v>-1.8033119168776479E-2</v>
          </cell>
          <cell r="Y100">
            <v>-7.5066543878253844E-2</v>
          </cell>
          <cell r="Z100">
            <v>-1.3271058675014658E-2</v>
          </cell>
          <cell r="AA100">
            <v>-4.6935964275542585E-2</v>
          </cell>
          <cell r="AB100">
            <v>-3.8307337150770171E-2</v>
          </cell>
          <cell r="AC100">
            <v>4.607791157618224E-2</v>
          </cell>
          <cell r="AD100">
            <v>6.3316491750984083E-2</v>
          </cell>
          <cell r="AE100">
            <v>5.5411274894566542E-2</v>
          </cell>
          <cell r="AF100">
            <v>2.2859888030563047E-2</v>
          </cell>
          <cell r="AG100">
            <v>1.8653348726125563E-2</v>
          </cell>
          <cell r="AH100">
            <v>1.0541497533795186E-2</v>
          </cell>
          <cell r="AI100">
            <v>9.8195760553547728E-3</v>
          </cell>
          <cell r="AJ100">
            <v>1.0000000000000231E-2</v>
          </cell>
          <cell r="AK100">
            <v>1.0000000000000009E-2</v>
          </cell>
          <cell r="AL100">
            <v>1.0000000000000009E-2</v>
          </cell>
          <cell r="AN100" t="str">
            <v>% Change</v>
          </cell>
          <cell r="DN100" t="str">
            <v>NA</v>
          </cell>
          <cell r="DO100" t="str">
            <v>NA</v>
          </cell>
          <cell r="DP100" t="str">
            <v>NA</v>
          </cell>
          <cell r="DQ100" t="str">
            <v>NA</v>
          </cell>
          <cell r="DR100" t="str">
            <v>NA</v>
          </cell>
          <cell r="DT100">
            <v>-4.0095338624521859E-2</v>
          </cell>
          <cell r="DU100" t="str">
            <v>NA</v>
          </cell>
          <cell r="DV100" t="str">
            <v>NA</v>
          </cell>
          <cell r="DW100">
            <v>-3.430276557579981E-2</v>
          </cell>
          <cell r="DX100">
            <v>-1.4146095622615373E-2</v>
          </cell>
          <cell r="DZ100">
            <v>-3.8073377469566294E-2</v>
          </cell>
          <cell r="EA100">
            <v>-4.736957587167967E-3</v>
          </cell>
          <cell r="EB100">
            <v>1.3376791409664968E-2</v>
          </cell>
          <cell r="EC100">
            <v>1.1572160440619816E-2</v>
          </cell>
          <cell r="ED100">
            <v>-1.0211290218996805E-2</v>
          </cell>
          <cell r="EF100">
            <v>7.3453707084643272E-2</v>
          </cell>
          <cell r="EG100">
            <v>4.5674943791766065E-2</v>
          </cell>
          <cell r="EH100">
            <v>2.3903444115526362E-2</v>
          </cell>
          <cell r="EI100">
            <v>2.5554625619388371E-2</v>
          </cell>
          <cell r="EJ100">
            <v>2.4841651555389754E-2</v>
          </cell>
          <cell r="EL100">
            <v>3.4252574269144409E-2</v>
          </cell>
          <cell r="EM100">
            <v>1.6911689722194811E-2</v>
          </cell>
          <cell r="EN100">
            <v>4.1288562624468561E-2</v>
          </cell>
          <cell r="EO100">
            <v>-4.8611231008287348E-2</v>
          </cell>
          <cell r="EP100">
            <v>-1.8033119168776479E-2</v>
          </cell>
          <cell r="ER100">
            <v>-0.14058802207691612</v>
          </cell>
          <cell r="ES100">
            <v>-0.11979594935350146</v>
          </cell>
          <cell r="ET100">
            <v>-0.14062460785680952</v>
          </cell>
          <cell r="EU100">
            <v>5.3506738677213672E-3</v>
          </cell>
          <cell r="EV100">
            <v>-7.5066543878253844E-2</v>
          </cell>
          <cell r="EX100">
            <v>5.7356839230466861E-3</v>
          </cell>
          <cell r="EY100">
            <v>-1.8412609701095484E-2</v>
          </cell>
          <cell r="EZ100">
            <v>-1.6973525170985715E-3</v>
          </cell>
          <cell r="FA100">
            <v>-6.0448197543177873E-2</v>
          </cell>
          <cell r="FB100">
            <v>-1.3271058675014658E-2</v>
          </cell>
          <cell r="FD100">
            <v>-1.8622828319160289E-2</v>
          </cell>
          <cell r="FE100">
            <v>-1.9297498869640384E-2</v>
          </cell>
          <cell r="FF100">
            <v>-5.9827543150180129E-2</v>
          </cell>
          <cell r="FG100">
            <v>-6.7935935972246786E-2</v>
          </cell>
          <cell r="FH100">
            <v>-4.6935964275542585E-2</v>
          </cell>
          <cell r="FJ100">
            <v>-7.5468906207799336E-2</v>
          </cell>
          <cell r="FK100">
            <v>-7.0435422501037515E-2</v>
          </cell>
          <cell r="FL100">
            <v>-1.5730969390021166E-2</v>
          </cell>
          <cell r="FM100">
            <v>-3.6471716641883756E-4</v>
          </cell>
          <cell r="FN100">
            <v>-3.8307337150770171E-2</v>
          </cell>
          <cell r="FP100">
            <v>5.3500834252187213E-2</v>
          </cell>
          <cell r="FQ100">
            <v>4.8619095534323753E-2</v>
          </cell>
          <cell r="FR100">
            <v>4.6944453807999942E-2</v>
          </cell>
          <cell r="FS100">
            <v>4.4709820168871373E-2</v>
          </cell>
          <cell r="FT100">
            <v>4.607791157618224E-2</v>
          </cell>
          <cell r="FV100">
            <v>5.7128770533849682E-2</v>
          </cell>
          <cell r="FW100">
            <v>7.2477385601050326E-2</v>
          </cell>
          <cell r="FX100">
            <v>4.2215600361960703E-2</v>
          </cell>
          <cell r="FY100">
            <v>6.2956868759212359E-2</v>
          </cell>
          <cell r="FZ100">
            <v>6.3316491750984083E-2</v>
          </cell>
          <cell r="GB100">
            <v>5.681797213207429E-2</v>
          </cell>
          <cell r="GC100">
            <v>4.4502055061206969E-2</v>
          </cell>
          <cell r="GD100">
            <v>5.0895734629623268E-2</v>
          </cell>
          <cell r="GE100">
            <v>8.0678277923193376E-2</v>
          </cell>
          <cell r="GF100">
            <v>5.5411274894566542E-2</v>
          </cell>
        </row>
        <row r="102">
          <cell r="A102" t="str">
            <v>Number of Stores</v>
          </cell>
          <cell r="M102">
            <v>355</v>
          </cell>
          <cell r="N102">
            <v>412</v>
          </cell>
          <cell r="O102">
            <v>411</v>
          </cell>
          <cell r="P102">
            <v>400</v>
          </cell>
          <cell r="Q102">
            <v>401</v>
          </cell>
          <cell r="R102">
            <v>403</v>
          </cell>
          <cell r="S102">
            <v>440</v>
          </cell>
          <cell r="T102">
            <v>459</v>
          </cell>
          <cell r="U102">
            <v>455</v>
          </cell>
          <cell r="V102">
            <v>459</v>
          </cell>
          <cell r="W102">
            <v>459</v>
          </cell>
          <cell r="X102">
            <v>868</v>
          </cell>
          <cell r="Y102">
            <v>858</v>
          </cell>
          <cell r="Z102">
            <v>853</v>
          </cell>
          <cell r="AA102">
            <v>847</v>
          </cell>
          <cell r="AB102">
            <v>850</v>
          </cell>
          <cell r="AC102">
            <v>850</v>
          </cell>
          <cell r="AD102">
            <v>842</v>
          </cell>
          <cell r="AE102">
            <v>844</v>
          </cell>
          <cell r="AF102">
            <v>848</v>
          </cell>
          <cell r="AG102">
            <v>848</v>
          </cell>
          <cell r="AH102">
            <v>848</v>
          </cell>
          <cell r="AI102">
            <v>848</v>
          </cell>
          <cell r="AJ102">
            <v>848</v>
          </cell>
          <cell r="AK102">
            <v>848</v>
          </cell>
          <cell r="AL102">
            <v>848</v>
          </cell>
          <cell r="AN102" t="str">
            <v>Number of Stores</v>
          </cell>
          <cell r="DK102">
            <v>440</v>
          </cell>
          <cell r="DL102">
            <v>440</v>
          </cell>
          <cell r="DN102" t="str">
            <v>NA</v>
          </cell>
          <cell r="DO102" t="str">
            <v>NA</v>
          </cell>
          <cell r="DP102" t="str">
            <v>NA</v>
          </cell>
          <cell r="DQ102">
            <v>459</v>
          </cell>
          <cell r="DR102">
            <v>459</v>
          </cell>
          <cell r="DT102">
            <v>463</v>
          </cell>
          <cell r="DU102">
            <v>465</v>
          </cell>
          <cell r="DV102">
            <v>473</v>
          </cell>
          <cell r="DW102">
            <v>455</v>
          </cell>
          <cell r="DX102">
            <v>455</v>
          </cell>
          <cell r="DZ102">
            <v>456</v>
          </cell>
          <cell r="EA102">
            <v>460</v>
          </cell>
          <cell r="EB102">
            <v>465</v>
          </cell>
          <cell r="EC102">
            <v>459</v>
          </cell>
          <cell r="ED102">
            <v>459</v>
          </cell>
          <cell r="EF102">
            <v>459</v>
          </cell>
          <cell r="EG102">
            <v>457</v>
          </cell>
          <cell r="EH102">
            <v>459</v>
          </cell>
          <cell r="EI102">
            <v>459</v>
          </cell>
          <cell r="EJ102">
            <v>459</v>
          </cell>
          <cell r="EL102">
            <v>459</v>
          </cell>
          <cell r="EM102">
            <v>460</v>
          </cell>
          <cell r="EN102">
            <v>935</v>
          </cell>
          <cell r="EO102">
            <v>868</v>
          </cell>
          <cell r="EP102">
            <v>868</v>
          </cell>
          <cell r="ER102">
            <v>861</v>
          </cell>
          <cell r="ES102">
            <v>856</v>
          </cell>
          <cell r="ET102">
            <v>857</v>
          </cell>
          <cell r="EU102">
            <v>858</v>
          </cell>
          <cell r="EV102">
            <v>858</v>
          </cell>
          <cell r="EX102">
            <v>863</v>
          </cell>
          <cell r="EY102">
            <v>863</v>
          </cell>
          <cell r="EZ102">
            <v>866</v>
          </cell>
          <cell r="FA102">
            <v>852</v>
          </cell>
          <cell r="FB102">
            <v>852</v>
          </cell>
          <cell r="FD102">
            <v>851</v>
          </cell>
          <cell r="FE102">
            <v>855</v>
          </cell>
          <cell r="FF102">
            <v>856</v>
          </cell>
          <cell r="FG102">
            <v>847</v>
          </cell>
          <cell r="FH102">
            <v>847</v>
          </cell>
          <cell r="FJ102">
            <v>848</v>
          </cell>
          <cell r="FK102">
            <v>848</v>
          </cell>
          <cell r="FL102">
            <v>854</v>
          </cell>
          <cell r="FM102">
            <v>850</v>
          </cell>
          <cell r="FN102">
            <v>850</v>
          </cell>
          <cell r="FP102">
            <v>849</v>
          </cell>
          <cell r="FQ102">
            <v>849</v>
          </cell>
          <cell r="FR102">
            <v>854</v>
          </cell>
          <cell r="FS102">
            <v>850</v>
          </cell>
          <cell r="FT102">
            <v>850</v>
          </cell>
          <cell r="FV102">
            <v>850</v>
          </cell>
          <cell r="FW102">
            <v>849</v>
          </cell>
          <cell r="FX102">
            <v>850</v>
          </cell>
          <cell r="FY102">
            <v>842</v>
          </cell>
          <cell r="FZ102">
            <v>842</v>
          </cell>
          <cell r="GB102">
            <v>844</v>
          </cell>
          <cell r="GC102">
            <v>845</v>
          </cell>
          <cell r="GD102">
            <v>847</v>
          </cell>
          <cell r="GE102">
            <v>844</v>
          </cell>
          <cell r="GF102">
            <v>844</v>
          </cell>
          <cell r="GS102" t="str">
            <v>mstag:numberOfStores</v>
          </cell>
          <cell r="GT102">
            <v>0</v>
          </cell>
          <cell r="GU102" t="str">
            <v>ms_eqr_gcim_Decimal:ms_eqr_gcim_decimal</v>
          </cell>
          <cell r="GV102" t="b">
            <v>0</v>
          </cell>
          <cell r="GW102" t="b">
            <v>0</v>
          </cell>
        </row>
        <row r="103">
          <cell r="A103" t="str">
            <v>% Change</v>
          </cell>
          <cell r="N103">
            <v>0.16056338028169015</v>
          </cell>
          <cell r="O103">
            <v>-2.4271844660194164E-3</v>
          </cell>
          <cell r="P103">
            <v>-2.676399026763987E-2</v>
          </cell>
          <cell r="Q103">
            <v>2.4999999999999467E-3</v>
          </cell>
          <cell r="R103">
            <v>4.9875311720697368E-3</v>
          </cell>
          <cell r="S103">
            <v>9.1811414392059643E-2</v>
          </cell>
          <cell r="T103">
            <v>4.318181818181821E-2</v>
          </cell>
          <cell r="U103">
            <v>-8.7145969498910736E-3</v>
          </cell>
          <cell r="V103">
            <v>8.79120879120876E-3</v>
          </cell>
          <cell r="W103">
            <v>0</v>
          </cell>
          <cell r="X103">
            <v>0.89106753812636175</v>
          </cell>
          <cell r="Y103">
            <v>-1.1520737327188946E-2</v>
          </cell>
          <cell r="Z103">
            <v>-5.8275058275057967E-3</v>
          </cell>
          <cell r="AA103">
            <v>-7.0339976553340788E-3</v>
          </cell>
          <cell r="AB103">
            <v>3.5419126328217754E-3</v>
          </cell>
          <cell r="AC103">
            <v>0</v>
          </cell>
          <cell r="AD103">
            <v>-9.4117647058823417E-3</v>
          </cell>
          <cell r="AE103">
            <v>2.3752969121140222E-3</v>
          </cell>
          <cell r="AF103">
            <v>4.7393364928909332E-3</v>
          </cell>
          <cell r="AG103">
            <v>0</v>
          </cell>
          <cell r="AH103">
            <v>0</v>
          </cell>
          <cell r="AI103">
            <v>0</v>
          </cell>
          <cell r="AJ103">
            <v>0</v>
          </cell>
          <cell r="AK103">
            <v>0</v>
          </cell>
          <cell r="AL103">
            <v>0</v>
          </cell>
          <cell r="AN103" t="str">
            <v>% Change</v>
          </cell>
          <cell r="DL103">
            <v>9.1811414392059643E-2</v>
          </cell>
          <cell r="DN103" t="str">
            <v>NA</v>
          </cell>
          <cell r="DO103" t="str">
            <v>NA</v>
          </cell>
          <cell r="DP103" t="str">
            <v>NA</v>
          </cell>
          <cell r="DQ103">
            <v>4.318181818181821E-2</v>
          </cell>
          <cell r="DR103">
            <v>4.318181818181821E-2</v>
          </cell>
          <cell r="DT103" t="str">
            <v>NA</v>
          </cell>
          <cell r="DU103" t="str">
            <v>NA</v>
          </cell>
          <cell r="DV103" t="str">
            <v>NA</v>
          </cell>
          <cell r="DW103">
            <v>-8.7145969498910736E-3</v>
          </cell>
          <cell r="DX103">
            <v>-8.7145969498910736E-3</v>
          </cell>
          <cell r="DZ103">
            <v>-1.5118790496760237E-2</v>
          </cell>
          <cell r="EA103">
            <v>-1.0752688172043001E-2</v>
          </cell>
          <cell r="EB103">
            <v>-1.6913319238900604E-2</v>
          </cell>
          <cell r="EC103">
            <v>8.79120879120876E-3</v>
          </cell>
          <cell r="ED103">
            <v>8.79120879120876E-3</v>
          </cell>
          <cell r="EF103">
            <v>6.5789473684210176E-3</v>
          </cell>
          <cell r="EG103">
            <v>-6.521739130434745E-3</v>
          </cell>
          <cell r="EH103">
            <v>-1.2903225806451646E-2</v>
          </cell>
          <cell r="EI103">
            <v>0</v>
          </cell>
          <cell r="EJ103">
            <v>0</v>
          </cell>
          <cell r="EL103">
            <v>0</v>
          </cell>
          <cell r="EM103">
            <v>6.5645514223193757E-3</v>
          </cell>
          <cell r="EN103">
            <v>1.0370370370370372</v>
          </cell>
          <cell r="EO103">
            <v>0.89106753812636175</v>
          </cell>
          <cell r="EP103">
            <v>0.89106753812636175</v>
          </cell>
          <cell r="ER103">
            <v>0.87581699346405228</v>
          </cell>
          <cell r="ES103">
            <v>0.86086956521739122</v>
          </cell>
          <cell r="ET103">
            <v>-8.3422459893048084E-2</v>
          </cell>
          <cell r="EU103">
            <v>-1.1520737327188946E-2</v>
          </cell>
          <cell r="EV103">
            <v>-1.1520737327188946E-2</v>
          </cell>
          <cell r="EX103">
            <v>2.3228803716608404E-3</v>
          </cell>
          <cell r="EY103">
            <v>8.1775700934578754E-3</v>
          </cell>
          <cell r="EZ103">
            <v>1.0501750291715295E-2</v>
          </cell>
          <cell r="FA103">
            <v>-6.9930069930069783E-3</v>
          </cell>
          <cell r="FB103">
            <v>-6.9930069930069783E-3</v>
          </cell>
          <cell r="FD103">
            <v>-1.3904982618771711E-2</v>
          </cell>
          <cell r="FE103">
            <v>-9.2699884125144738E-3</v>
          </cell>
          <cell r="FF103">
            <v>-1.1547344110854452E-2</v>
          </cell>
          <cell r="FG103">
            <v>-5.8685446009389963E-3</v>
          </cell>
          <cell r="FH103">
            <v>-5.8685446009389963E-3</v>
          </cell>
          <cell r="FJ103">
            <v>-3.5252643948295859E-3</v>
          </cell>
          <cell r="FK103">
            <v>-8.1871345029239651E-3</v>
          </cell>
          <cell r="FL103">
            <v>-2.3364485981308691E-3</v>
          </cell>
          <cell r="FM103">
            <v>3.5419126328217754E-3</v>
          </cell>
          <cell r="FN103">
            <v>3.5419126328217754E-3</v>
          </cell>
          <cell r="FP103">
            <v>1.179245283018826E-3</v>
          </cell>
          <cell r="FQ103">
            <v>1.179245283018826E-3</v>
          </cell>
          <cell r="FR103">
            <v>0</v>
          </cell>
          <cell r="FS103">
            <v>0</v>
          </cell>
          <cell r="FT103">
            <v>0</v>
          </cell>
          <cell r="FV103">
            <v>1.1778563015312216E-3</v>
          </cell>
          <cell r="FW103">
            <v>0</v>
          </cell>
          <cell r="FX103">
            <v>-4.6838407494145251E-3</v>
          </cell>
          <cell r="FY103">
            <v>-9.4117647058823417E-3</v>
          </cell>
          <cell r="FZ103">
            <v>-9.4117647058823417E-3</v>
          </cell>
          <cell r="GB103">
            <v>-7.058823529411784E-3</v>
          </cell>
          <cell r="GC103">
            <v>-4.7114252061248862E-3</v>
          </cell>
          <cell r="GD103">
            <v>-3.529411764705892E-3</v>
          </cell>
          <cell r="GE103">
            <v>2.3752969121140222E-3</v>
          </cell>
          <cell r="GF103">
            <v>2.3752969121140222E-3</v>
          </cell>
        </row>
        <row r="104">
          <cell r="A104" t="str">
            <v>EOP Gross Square Feet (MM)</v>
          </cell>
          <cell r="M104">
            <v>74.134</v>
          </cell>
          <cell r="N104">
            <v>83.503</v>
          </cell>
          <cell r="O104">
            <v>83.018999999999991</v>
          </cell>
          <cell r="P104">
            <v>81.016000000000005</v>
          </cell>
          <cell r="Q104">
            <v>82.319000000000003</v>
          </cell>
          <cell r="R104">
            <v>81.914000000000001</v>
          </cell>
          <cell r="S104">
            <v>83.4</v>
          </cell>
          <cell r="T104">
            <v>84</v>
          </cell>
          <cell r="U104">
            <v>83.5</v>
          </cell>
          <cell r="V104">
            <v>84</v>
          </cell>
          <cell r="W104">
            <v>83.3</v>
          </cell>
          <cell r="X104">
            <v>158.5</v>
          </cell>
          <cell r="Y104">
            <v>156.4</v>
          </cell>
          <cell r="Z104">
            <v>154.96100000000001</v>
          </cell>
          <cell r="AA104">
            <v>154.09100000000001</v>
          </cell>
          <cell r="AB104">
            <v>154.4</v>
          </cell>
          <cell r="AC104">
            <v>154.17699999999999</v>
          </cell>
          <cell r="AD104">
            <v>152.298</v>
          </cell>
          <cell r="AE104">
            <v>152.30400000000003</v>
          </cell>
          <cell r="AF104">
            <v>152.59800000000001</v>
          </cell>
          <cell r="AG104">
            <v>152.489</v>
          </cell>
          <cell r="AH104">
            <v>152.54349999999999</v>
          </cell>
          <cell r="AI104">
            <v>152.54349999999999</v>
          </cell>
          <cell r="AJ104">
            <v>152.54349999999999</v>
          </cell>
          <cell r="AK104">
            <v>152.54349999999999</v>
          </cell>
          <cell r="AL104">
            <v>152.54349999999999</v>
          </cell>
          <cell r="AN104" t="str">
            <v>EOP Gross Square Feet (MM)</v>
          </cell>
          <cell r="DK104">
            <v>83.4</v>
          </cell>
          <cell r="DL104">
            <v>83.4</v>
          </cell>
          <cell r="DN104" t="str">
            <v>NA</v>
          </cell>
          <cell r="DO104" t="str">
            <v>NA</v>
          </cell>
          <cell r="DP104" t="str">
            <v>NA</v>
          </cell>
          <cell r="DQ104">
            <v>84</v>
          </cell>
          <cell r="DR104">
            <v>84</v>
          </cell>
          <cell r="DT104">
            <v>84.734065934065939</v>
          </cell>
          <cell r="DU104">
            <v>85.101098901098908</v>
          </cell>
          <cell r="DV104">
            <v>86.569230769230771</v>
          </cell>
          <cell r="DW104">
            <v>83.5</v>
          </cell>
          <cell r="DX104">
            <v>83.5</v>
          </cell>
          <cell r="DZ104">
            <v>83.683006535947712</v>
          </cell>
          <cell r="EA104">
            <v>84.415032679738559</v>
          </cell>
          <cell r="EB104">
            <v>85.330065359477118</v>
          </cell>
          <cell r="EC104">
            <v>84</v>
          </cell>
          <cell r="ED104">
            <v>84</v>
          </cell>
          <cell r="EF104">
            <v>84</v>
          </cell>
          <cell r="EG104">
            <v>83.637037037037032</v>
          </cell>
          <cell r="EH104">
            <v>84</v>
          </cell>
          <cell r="EI104">
            <v>83.3</v>
          </cell>
          <cell r="EJ104">
            <v>83.3</v>
          </cell>
          <cell r="EL104">
            <v>83.3</v>
          </cell>
          <cell r="EM104">
            <v>83.48260368663594</v>
          </cell>
          <cell r="EN104">
            <v>170.21935483870968</v>
          </cell>
          <cell r="EO104">
            <v>158.5</v>
          </cell>
          <cell r="EP104">
            <v>158.5</v>
          </cell>
          <cell r="ER104">
            <v>157.22400932400933</v>
          </cell>
          <cell r="ES104">
            <v>156.31258741258742</v>
          </cell>
          <cell r="ET104">
            <v>156.49487179487181</v>
          </cell>
          <cell r="EU104">
            <v>156.4</v>
          </cell>
          <cell r="EV104">
            <v>156.4</v>
          </cell>
          <cell r="EX104">
            <v>157.047</v>
          </cell>
          <cell r="EY104">
            <v>156.88300000000001</v>
          </cell>
          <cell r="EZ104">
            <v>157.52099999999999</v>
          </cell>
          <cell r="FA104">
            <v>154.96100000000001</v>
          </cell>
          <cell r="FB104">
            <v>154.96100000000001</v>
          </cell>
          <cell r="FD104">
            <v>155.048</v>
          </cell>
          <cell r="FE104">
            <v>155.60599999999999</v>
          </cell>
          <cell r="FF104">
            <v>155.41999999999999</v>
          </cell>
          <cell r="FG104">
            <v>154.09100000000001</v>
          </cell>
          <cell r="FH104">
            <v>154.09100000000001</v>
          </cell>
          <cell r="FJ104">
            <v>154.44300000000001</v>
          </cell>
          <cell r="FK104">
            <v>154.44300000000001</v>
          </cell>
          <cell r="FL104">
            <v>155.34100000000001</v>
          </cell>
          <cell r="FM104">
            <v>154.4</v>
          </cell>
          <cell r="FN104">
            <v>154.4</v>
          </cell>
          <cell r="FP104">
            <v>154.30500000000001</v>
          </cell>
          <cell r="FQ104">
            <v>154.30500000000001</v>
          </cell>
          <cell r="FR104">
            <v>154.666</v>
          </cell>
          <cell r="FS104">
            <v>154.221</v>
          </cell>
          <cell r="FT104">
            <v>154.17699999999999</v>
          </cell>
          <cell r="FV104">
            <v>154.34800000000001</v>
          </cell>
          <cell r="FW104">
            <v>154.298</v>
          </cell>
          <cell r="FX104">
            <v>154.28399999999999</v>
          </cell>
          <cell r="FY104">
            <v>152.298</v>
          </cell>
          <cell r="FZ104">
            <v>152.298</v>
          </cell>
          <cell r="GB104">
            <v>152.19800000000001</v>
          </cell>
          <cell r="GC104">
            <v>152.20400000000001</v>
          </cell>
          <cell r="GD104">
            <v>152.30400000000003</v>
          </cell>
          <cell r="GE104">
            <v>152.30400000000003</v>
          </cell>
          <cell r="GF104">
            <v>152.30400000000003</v>
          </cell>
          <cell r="GS104" t="str">
            <v>mstag:floorspace</v>
          </cell>
          <cell r="GT104">
            <v>6</v>
          </cell>
          <cell r="GU104" t="str">
            <v>area:squareFeet</v>
          </cell>
          <cell r="GV104" t="b">
            <v>0</v>
          </cell>
          <cell r="GW104" t="b">
            <v>0</v>
          </cell>
        </row>
        <row r="105">
          <cell r="A105" t="str">
            <v>% Change</v>
          </cell>
          <cell r="N105">
            <v>0.12637925917932402</v>
          </cell>
          <cell r="O105">
            <v>-5.7961989389603286E-3</v>
          </cell>
          <cell r="P105">
            <v>-2.4127007070670392E-2</v>
          </cell>
          <cell r="Q105">
            <v>1.6083242816233856E-2</v>
          </cell>
          <cell r="R105">
            <v>-4.9198848382512317E-3</v>
          </cell>
          <cell r="S105">
            <v>1.8140977122347968E-2</v>
          </cell>
          <cell r="T105">
            <v>7.194244604316502E-3</v>
          </cell>
          <cell r="U105">
            <v>-5.9523809523809312E-3</v>
          </cell>
          <cell r="V105">
            <v>5.9880239520957446E-3</v>
          </cell>
          <cell r="W105">
            <v>-8.3333333333334147E-3</v>
          </cell>
          <cell r="X105">
            <v>0.90276110444177671</v>
          </cell>
          <cell r="Y105">
            <v>-1.3249211356466839E-2</v>
          </cell>
          <cell r="Z105">
            <v>-9.200767263427112E-3</v>
          </cell>
          <cell r="AA105">
            <v>-5.614315860119623E-3</v>
          </cell>
          <cell r="AB105">
            <v>2.0053085514404323E-3</v>
          </cell>
          <cell r="AC105">
            <v>-1.4443005181348223E-3</v>
          </cell>
          <cell r="AD105">
            <v>-1.2187291230209341E-2</v>
          </cell>
          <cell r="AE105">
            <v>3.9396446440687072E-5</v>
          </cell>
          <cell r="AF105">
            <v>1.930349826662292E-3</v>
          </cell>
          <cell r="AG105">
            <v>-7.1429507595122121E-4</v>
          </cell>
          <cell r="AH105">
            <v>3.5740282905649678E-4</v>
          </cell>
          <cell r="AI105">
            <v>0</v>
          </cell>
          <cell r="AJ105">
            <v>0</v>
          </cell>
          <cell r="AK105">
            <v>0</v>
          </cell>
          <cell r="AL105">
            <v>0</v>
          </cell>
          <cell r="AN105" t="str">
            <v>% Change</v>
          </cell>
          <cell r="DL105">
            <v>1.8140977122347968E-2</v>
          </cell>
          <cell r="DN105" t="str">
            <v>NA</v>
          </cell>
          <cell r="DO105" t="str">
            <v>NA</v>
          </cell>
          <cell r="DP105" t="str">
            <v>NA</v>
          </cell>
          <cell r="DQ105">
            <v>7.194244604316502E-3</v>
          </cell>
          <cell r="DR105">
            <v>7.194244604316502E-3</v>
          </cell>
          <cell r="DT105" t="str">
            <v>NA</v>
          </cell>
          <cell r="DU105" t="str">
            <v>NA</v>
          </cell>
          <cell r="DV105" t="str">
            <v>NA</v>
          </cell>
          <cell r="DW105">
            <v>-5.9523809523809312E-3</v>
          </cell>
          <cell r="DX105">
            <v>-5.9523809523809312E-3</v>
          </cell>
          <cell r="DZ105">
            <v>-1.2404212951802496E-2</v>
          </cell>
          <cell r="EA105">
            <v>-8.0617786399875824E-3</v>
          </cell>
          <cell r="EB105">
            <v>-1.4314155257506234E-2</v>
          </cell>
          <cell r="EC105">
            <v>5.9880239520957446E-3</v>
          </cell>
          <cell r="ED105">
            <v>5.9880239520957446E-3</v>
          </cell>
          <cell r="EF105">
            <v>3.7880267114460686E-3</v>
          </cell>
          <cell r="EG105">
            <v>-9.2163163124411307E-3</v>
          </cell>
          <cell r="EH105">
            <v>-1.558730037149092E-2</v>
          </cell>
          <cell r="EI105">
            <v>-8.3333333333334147E-3</v>
          </cell>
          <cell r="EJ105">
            <v>-8.3333333333334147E-3</v>
          </cell>
          <cell r="EL105">
            <v>-8.3333333333334147E-3</v>
          </cell>
          <cell r="EM105">
            <v>-1.8464708444023703E-3</v>
          </cell>
          <cell r="EN105">
            <v>1.02642089093702</v>
          </cell>
          <cell r="EO105">
            <v>0.90276110444177671</v>
          </cell>
          <cell r="EP105">
            <v>0.90276110444177671</v>
          </cell>
          <cell r="ER105">
            <v>0.88744308912376146</v>
          </cell>
          <cell r="ES105">
            <v>0.87239712838053518</v>
          </cell>
          <cell r="ET105">
            <v>-8.0628216790284646E-2</v>
          </cell>
          <cell r="EU105">
            <v>-1.3249211356466839E-2</v>
          </cell>
          <cell r="EV105">
            <v>-1.3249211356466839E-2</v>
          </cell>
          <cell r="EX105">
            <v>-1.1258415605249761E-3</v>
          </cell>
          <cell r="EY105">
            <v>3.649178846403256E-3</v>
          </cell>
          <cell r="EZ105">
            <v>6.5569446037387902E-3</v>
          </cell>
          <cell r="FA105">
            <v>-9.200767263427112E-3</v>
          </cell>
          <cell r="FB105">
            <v>-9.200767263427112E-3</v>
          </cell>
          <cell r="FD105">
            <v>-1.272867358179397E-2</v>
          </cell>
          <cell r="FE105">
            <v>-8.13982394523316E-3</v>
          </cell>
          <cell r="FF105">
            <v>-1.3337904152462166E-2</v>
          </cell>
          <cell r="FG105">
            <v>-5.614315860119623E-3</v>
          </cell>
          <cell r="FH105">
            <v>-5.614315860119623E-3</v>
          </cell>
          <cell r="FJ105">
            <v>-3.9020174397604857E-3</v>
          </cell>
          <cell r="FK105">
            <v>-7.4740048584244212E-3</v>
          </cell>
          <cell r="FL105">
            <v>-5.0830009007840626E-4</v>
          </cell>
          <cell r="FM105">
            <v>2.0053085514404323E-3</v>
          </cell>
          <cell r="FN105">
            <v>2.0053085514404323E-3</v>
          </cell>
          <cell r="FP105">
            <v>-8.9353353664467505E-4</v>
          </cell>
          <cell r="FQ105">
            <v>-8.9353353664467505E-4</v>
          </cell>
          <cell r="FR105">
            <v>-4.3452790956670651E-3</v>
          </cell>
          <cell r="FS105">
            <v>-1.1593264248704882E-3</v>
          </cell>
          <cell r="FT105">
            <v>-1.4443005181348223E-3</v>
          </cell>
          <cell r="FV105">
            <v>2.7866887009508901E-4</v>
          </cell>
          <cell r="FW105">
            <v>-4.5364699782890483E-5</v>
          </cell>
          <cell r="FX105">
            <v>-2.4698382320613721E-3</v>
          </cell>
          <cell r="FY105">
            <v>-1.2469118991576988E-2</v>
          </cell>
          <cell r="FZ105">
            <v>-1.2187291230209341E-2</v>
          </cell>
          <cell r="GB105">
            <v>-1.3929561769507881E-2</v>
          </cell>
          <cell r="GC105">
            <v>-1.3571141557246369E-2</v>
          </cell>
          <cell r="GD105">
            <v>-1.2833475927510052E-2</v>
          </cell>
          <cell r="GE105">
            <v>3.9396446440687072E-5</v>
          </cell>
          <cell r="GF105">
            <v>3.9396446440687072E-5</v>
          </cell>
        </row>
        <row r="106">
          <cell r="A106" t="str">
            <v>Ave. Square Feet (MM)</v>
          </cell>
          <cell r="N106">
            <v>78.8185</v>
          </cell>
          <cell r="O106">
            <v>83.260999999999996</v>
          </cell>
          <cell r="P106">
            <v>82.017499999999998</v>
          </cell>
          <cell r="Q106">
            <v>81.667500000000004</v>
          </cell>
          <cell r="R106">
            <v>82.116500000000002</v>
          </cell>
          <cell r="S106">
            <v>82.657000000000011</v>
          </cell>
          <cell r="T106">
            <v>83.7</v>
          </cell>
          <cell r="U106">
            <v>83.75</v>
          </cell>
          <cell r="V106">
            <v>83.75</v>
          </cell>
          <cell r="W106">
            <v>83.65</v>
          </cell>
          <cell r="X106">
            <v>120.9</v>
          </cell>
          <cell r="Y106">
            <v>157.44999999999999</v>
          </cell>
          <cell r="Z106">
            <v>155.68049999999999</v>
          </cell>
          <cell r="AA106">
            <v>154.52600000000001</v>
          </cell>
          <cell r="AB106">
            <v>154.24549999999999</v>
          </cell>
          <cell r="AC106">
            <v>154.2885</v>
          </cell>
          <cell r="AD106">
            <v>153.23750000000001</v>
          </cell>
          <cell r="AE106">
            <v>152.30100000000002</v>
          </cell>
          <cell r="AF106">
            <v>152.45100000000002</v>
          </cell>
          <cell r="AG106">
            <v>152.54349999999999</v>
          </cell>
          <cell r="AH106">
            <v>152.51625000000001</v>
          </cell>
          <cell r="AI106">
            <v>152.54349999999999</v>
          </cell>
          <cell r="AJ106">
            <v>152.54349999999999</v>
          </cell>
          <cell r="AK106">
            <v>152.54349999999999</v>
          </cell>
          <cell r="AL106">
            <v>152.54349999999999</v>
          </cell>
          <cell r="AN106" t="str">
            <v>Ave. Square Feet (MM)</v>
          </cell>
          <cell r="DL106">
            <v>82.657000000000011</v>
          </cell>
          <cell r="DN106">
            <v>83.4</v>
          </cell>
          <cell r="DO106" t="str">
            <v>NA</v>
          </cell>
          <cell r="DP106" t="str">
            <v>NA</v>
          </cell>
          <cell r="DQ106">
            <v>84</v>
          </cell>
          <cell r="DR106">
            <v>83.7</v>
          </cell>
          <cell r="DT106">
            <v>84.367032967032969</v>
          </cell>
          <cell r="DU106">
            <v>84.917582417582423</v>
          </cell>
          <cell r="DV106">
            <v>85.835164835164846</v>
          </cell>
          <cell r="DW106">
            <v>85.034615384615392</v>
          </cell>
          <cell r="DX106">
            <v>83.75</v>
          </cell>
          <cell r="DZ106">
            <v>83.591503267973849</v>
          </cell>
          <cell r="EA106">
            <v>84.049019607843135</v>
          </cell>
          <cell r="EB106">
            <v>84.872549019607845</v>
          </cell>
          <cell r="EC106">
            <v>84.665032679738559</v>
          </cell>
          <cell r="ED106">
            <v>83.75</v>
          </cell>
          <cell r="EF106">
            <v>84</v>
          </cell>
          <cell r="EG106">
            <v>83.818518518518516</v>
          </cell>
          <cell r="EH106">
            <v>83.818518518518516</v>
          </cell>
          <cell r="EI106">
            <v>83.65</v>
          </cell>
          <cell r="EJ106">
            <v>83.65</v>
          </cell>
          <cell r="EL106">
            <v>83.3</v>
          </cell>
          <cell r="EM106">
            <v>83.391301843317962</v>
          </cell>
          <cell r="EN106">
            <v>126.85097926267281</v>
          </cell>
          <cell r="EO106">
            <v>164.35967741935485</v>
          </cell>
          <cell r="EP106">
            <v>120.9</v>
          </cell>
          <cell r="ER106">
            <v>157.86200466200467</v>
          </cell>
          <cell r="ES106">
            <v>156.76829836829836</v>
          </cell>
          <cell r="ET106">
            <v>156.40372960372963</v>
          </cell>
          <cell r="EU106">
            <v>156.44743589743592</v>
          </cell>
          <cell r="EV106">
            <v>157.44999999999999</v>
          </cell>
          <cell r="EX106">
            <v>156.7235</v>
          </cell>
          <cell r="EY106">
            <v>156.965</v>
          </cell>
          <cell r="EZ106">
            <v>157.202</v>
          </cell>
          <cell r="FA106">
            <v>156.24099999999999</v>
          </cell>
          <cell r="FB106">
            <v>155.68049999999999</v>
          </cell>
          <cell r="FD106">
            <v>155.00450000000001</v>
          </cell>
          <cell r="FE106">
            <v>155.327</v>
          </cell>
          <cell r="FF106">
            <v>155.51299999999998</v>
          </cell>
          <cell r="FG106">
            <v>154.75549999999998</v>
          </cell>
          <cell r="FH106">
            <v>154.52600000000001</v>
          </cell>
          <cell r="FJ106">
            <v>154.267</v>
          </cell>
          <cell r="FK106">
            <v>154.44300000000001</v>
          </cell>
          <cell r="FL106">
            <v>154.892</v>
          </cell>
          <cell r="FM106">
            <v>154.87049999999999</v>
          </cell>
          <cell r="FN106">
            <v>154.24549999999999</v>
          </cell>
          <cell r="FP106">
            <v>154.35250000000002</v>
          </cell>
          <cell r="FQ106">
            <v>154.30500000000001</v>
          </cell>
          <cell r="FR106">
            <v>154.4855</v>
          </cell>
          <cell r="FS106">
            <v>154.4435</v>
          </cell>
          <cell r="FT106">
            <v>154.2885</v>
          </cell>
          <cell r="FV106">
            <v>154.26249999999999</v>
          </cell>
          <cell r="FW106">
            <v>154.32300000000001</v>
          </cell>
          <cell r="FX106">
            <v>154.291</v>
          </cell>
          <cell r="FY106">
            <v>153.291</v>
          </cell>
          <cell r="FZ106">
            <v>153.23750000000001</v>
          </cell>
          <cell r="GB106">
            <v>152.24799999999999</v>
          </cell>
          <cell r="GC106">
            <v>152.20100000000002</v>
          </cell>
          <cell r="GD106">
            <v>152.25400000000002</v>
          </cell>
          <cell r="GE106">
            <v>152.30400000000003</v>
          </cell>
          <cell r="GF106">
            <v>152.30100000000002</v>
          </cell>
        </row>
        <row r="107">
          <cell r="A107" t="str">
            <v>% Change</v>
          </cell>
          <cell r="N107" t="str">
            <v>NA</v>
          </cell>
          <cell r="O107">
            <v>5.6363670965572821E-2</v>
          </cell>
          <cell r="P107">
            <v>-1.4934963548359992E-2</v>
          </cell>
          <cell r="Q107">
            <v>-4.2673819611667163E-3</v>
          </cell>
          <cell r="R107">
            <v>5.4979030826216579E-3</v>
          </cell>
          <cell r="S107">
            <v>6.5821119994156074E-3</v>
          </cell>
          <cell r="T107">
            <v>1.2618411023869625E-2</v>
          </cell>
          <cell r="U107">
            <v>5.9737156511352474E-4</v>
          </cell>
          <cell r="V107">
            <v>0</v>
          </cell>
          <cell r="W107">
            <v>-1.1940298507462366E-3</v>
          </cell>
          <cell r="X107">
            <v>0.44530783024506881</v>
          </cell>
          <cell r="Y107">
            <v>0.30231596360628599</v>
          </cell>
          <cell r="Z107">
            <v>-1.1238488409018643E-2</v>
          </cell>
          <cell r="AA107">
            <v>-7.4158292143202686E-3</v>
          </cell>
          <cell r="AB107">
            <v>-1.8152285052355221E-3</v>
          </cell>
          <cell r="AC107">
            <v>2.7877636624729085E-4</v>
          </cell>
          <cell r="AD107">
            <v>-6.8119140441444959E-3</v>
          </cell>
          <cell r="AE107">
            <v>-6.1114283383636447E-3</v>
          </cell>
          <cell r="AF107">
            <v>9.8489176039562309E-4</v>
          </cell>
          <cell r="AG107">
            <v>6.0675233353646441E-4</v>
          </cell>
          <cell r="AH107">
            <v>-1.7863756895564187E-4</v>
          </cell>
          <cell r="AI107">
            <v>1.7866948603817434E-4</v>
          </cell>
          <cell r="AJ107">
            <v>0</v>
          </cell>
          <cell r="AK107">
            <v>0</v>
          </cell>
          <cell r="AL107">
            <v>0</v>
          </cell>
          <cell r="AN107" t="str">
            <v>% Change</v>
          </cell>
          <cell r="DL107">
            <v>6.5821119994156074E-3</v>
          </cell>
          <cell r="DN107" t="str">
            <v>NA</v>
          </cell>
          <cell r="DO107" t="str">
            <v>NA</v>
          </cell>
          <cell r="DP107" t="str">
            <v>NA</v>
          </cell>
          <cell r="DQ107" t="str">
            <v>NA</v>
          </cell>
          <cell r="DR107">
            <v>1.2618411023869625E-2</v>
          </cell>
          <cell r="DT107">
            <v>1.1595119508788443E-2</v>
          </cell>
          <cell r="DU107" t="str">
            <v>NA</v>
          </cell>
          <cell r="DV107" t="str">
            <v>NA</v>
          </cell>
          <cell r="DW107">
            <v>1.2316849816849995E-2</v>
          </cell>
          <cell r="DX107">
            <v>5.9737156511352474E-4</v>
          </cell>
          <cell r="DZ107">
            <v>-9.1923310774976175E-3</v>
          </cell>
          <cell r="EA107">
            <v>-1.0228303550472329E-2</v>
          </cell>
          <cell r="EB107">
            <v>-1.1214702242438479E-2</v>
          </cell>
          <cell r="EC107">
            <v>-4.3462618511908024E-3</v>
          </cell>
          <cell r="ED107">
            <v>0</v>
          </cell>
          <cell r="EF107">
            <v>4.8868212205326333E-3</v>
          </cell>
          <cell r="EG107">
            <v>-2.7424601785969172E-3</v>
          </cell>
          <cell r="EH107">
            <v>-1.2418980144520253E-2</v>
          </cell>
          <cell r="EI107">
            <v>-1.1988806330213153E-2</v>
          </cell>
          <cell r="EJ107">
            <v>-1.1940298507462366E-3</v>
          </cell>
          <cell r="EL107">
            <v>-8.3333333333334147E-3</v>
          </cell>
          <cell r="EM107">
            <v>-5.096924674302894E-3</v>
          </cell>
          <cell r="EN107">
            <v>0.51340039772531743</v>
          </cell>
          <cell r="EO107">
            <v>0.9648497001716061</v>
          </cell>
          <cell r="EP107">
            <v>0.44530783024506881</v>
          </cell>
          <cell r="ER107">
            <v>0.8951020967827692</v>
          </cell>
          <cell r="ES107">
            <v>0.87991187213801725</v>
          </cell>
          <cell r="ET107">
            <v>0.23297218920053719</v>
          </cell>
          <cell r="EU107">
            <v>-4.8139797097138781E-2</v>
          </cell>
          <cell r="EV107">
            <v>0.30231596360628599</v>
          </cell>
          <cell r="EX107">
            <v>-7.2120246061887494E-3</v>
          </cell>
          <cell r="EY107">
            <v>1.2547283714181567E-3</v>
          </cell>
          <cell r="EZ107">
            <v>5.1039089559621331E-3</v>
          </cell>
          <cell r="FA107">
            <v>-1.3195224086079982E-3</v>
          </cell>
          <cell r="FB107">
            <v>-1.1238488409018643E-2</v>
          </cell>
          <cell r="FD107">
            <v>-1.0968361477378896E-2</v>
          </cell>
          <cell r="FE107">
            <v>-1.0435447392730945E-2</v>
          </cell>
          <cell r="FF107">
            <v>-1.0744138115291291E-2</v>
          </cell>
          <cell r="FG107">
            <v>-9.5077476462643862E-3</v>
          </cell>
          <cell r="FH107">
            <v>-7.4158292143202686E-3</v>
          </cell>
          <cell r="FJ107">
            <v>-4.7579263827824958E-3</v>
          </cell>
          <cell r="FK107">
            <v>-5.6912191698802461E-3</v>
          </cell>
          <cell r="FL107">
            <v>-3.9932352922262826E-3</v>
          </cell>
          <cell r="FM107">
            <v>7.4310767630225705E-4</v>
          </cell>
          <cell r="FN107">
            <v>-1.8152285052355221E-3</v>
          </cell>
          <cell r="FP107">
            <v>5.5423389318542959E-4</v>
          </cell>
          <cell r="FQ107">
            <v>-8.9353353664467505E-4</v>
          </cell>
          <cell r="FR107">
            <v>-2.6244092658109786E-3</v>
          </cell>
          <cell r="FS107">
            <v>-2.7571422575635163E-3</v>
          </cell>
          <cell r="FT107">
            <v>2.7877636624729085E-4</v>
          </cell>
          <cell r="FV107">
            <v>-5.8308093487335899E-4</v>
          </cell>
          <cell r="FW107">
            <v>1.1665208515609926E-4</v>
          </cell>
          <cell r="FX107">
            <v>-1.25901783662552E-3</v>
          </cell>
          <cell r="FY107">
            <v>-7.4622758484494955E-3</v>
          </cell>
          <cell r="FZ107">
            <v>-6.8119140441444959E-3</v>
          </cell>
          <cell r="GB107">
            <v>-1.3058909326634782E-2</v>
          </cell>
          <cell r="GC107">
            <v>-1.3750380695035647E-2</v>
          </cell>
          <cell r="GD107">
            <v>-1.320232547588629E-2</v>
          </cell>
          <cell r="GE107">
            <v>-6.4387341722603741E-3</v>
          </cell>
          <cell r="GF107">
            <v>-6.1114283383636447E-3</v>
          </cell>
        </row>
        <row r="108">
          <cell r="A108" t="str">
            <v>Ave. Square Feet Per Store (000's)</v>
          </cell>
          <cell r="N108">
            <v>205.52411994784876</v>
          </cell>
          <cell r="O108">
            <v>202.33535844471447</v>
          </cell>
          <cell r="P108">
            <v>202.26263871763254</v>
          </cell>
          <cell r="Q108">
            <v>203.91385767790263</v>
          </cell>
          <cell r="R108">
            <v>204.26990049751242</v>
          </cell>
          <cell r="S108">
            <v>196.10201660735473</v>
          </cell>
          <cell r="T108">
            <v>186.20689655172413</v>
          </cell>
          <cell r="U108">
            <v>183.26039387308535</v>
          </cell>
          <cell r="V108">
            <v>183.26039387308535</v>
          </cell>
          <cell r="W108">
            <v>182.24400871459696</v>
          </cell>
          <cell r="X108">
            <v>182.21552373775432</v>
          </cell>
          <cell r="Y108">
            <v>182.44495944380068</v>
          </cell>
          <cell r="Z108">
            <v>181.97603740502629</v>
          </cell>
          <cell r="AA108">
            <v>181.79529411764705</v>
          </cell>
          <cell r="AB108">
            <v>181.78609310548026</v>
          </cell>
          <cell r="AC108">
            <v>181.51588235294119</v>
          </cell>
          <cell r="AD108">
            <v>181.13179669030734</v>
          </cell>
          <cell r="AE108">
            <v>180.6654804270463</v>
          </cell>
          <cell r="AF108">
            <v>180.2021276595745</v>
          </cell>
          <cell r="AG108">
            <v>179.88620283018867</v>
          </cell>
          <cell r="AH108">
            <v>179.88620283018867</v>
          </cell>
          <cell r="AI108">
            <v>179.88620283018867</v>
          </cell>
          <cell r="AJ108">
            <v>179.88620283018867</v>
          </cell>
          <cell r="AK108">
            <v>179.88620283018867</v>
          </cell>
          <cell r="AL108">
            <v>179.88620283018867</v>
          </cell>
          <cell r="AN108" t="str">
            <v>Ave. Square Feet Per Store (000's)</v>
          </cell>
          <cell r="DL108">
            <v>196.10201660735473</v>
          </cell>
          <cell r="DN108">
            <v>189.54545454545453</v>
          </cell>
          <cell r="DO108" t="str">
            <v>NA</v>
          </cell>
          <cell r="DP108" t="str">
            <v>NA</v>
          </cell>
          <cell r="DQ108">
            <v>183.00653594771242</v>
          </cell>
          <cell r="DR108">
            <v>186.20689655172413</v>
          </cell>
          <cell r="DT108">
            <v>183.00874830158995</v>
          </cell>
          <cell r="DU108">
            <v>183.01203107237592</v>
          </cell>
          <cell r="DV108">
            <v>183.01740903020223</v>
          </cell>
          <cell r="DW108">
            <v>183.26425729442971</v>
          </cell>
          <cell r="DX108">
            <v>183.26039387308535</v>
          </cell>
          <cell r="DZ108">
            <v>183.51592374966816</v>
          </cell>
          <cell r="EA108">
            <v>183.5131432485658</v>
          </cell>
          <cell r="EB108">
            <v>183.50821409644939</v>
          </cell>
          <cell r="EC108">
            <v>183.25764649294061</v>
          </cell>
          <cell r="ED108">
            <v>183.26039387308535</v>
          </cell>
          <cell r="EF108">
            <v>183.00653594771242</v>
          </cell>
          <cell r="EG108">
            <v>183.00986576095744</v>
          </cell>
          <cell r="EH108">
            <v>183.00986576095744</v>
          </cell>
          <cell r="EI108">
            <v>182.24400871459696</v>
          </cell>
          <cell r="EJ108">
            <v>182.24400871459696</v>
          </cell>
          <cell r="EL108">
            <v>181.4814814814815</v>
          </cell>
          <cell r="EM108">
            <v>181.48270259699231</v>
          </cell>
          <cell r="EN108">
            <v>181.86520324397534</v>
          </cell>
          <cell r="EO108">
            <v>182.31800046517455</v>
          </cell>
          <cell r="EP108">
            <v>182.21552373775432</v>
          </cell>
          <cell r="ER108">
            <v>182.60497936611299</v>
          </cell>
          <cell r="ES108">
            <v>182.60721999801788</v>
          </cell>
          <cell r="ET108">
            <v>182.60797385140646</v>
          </cell>
          <cell r="EU108">
            <v>182.44598938476494</v>
          </cell>
          <cell r="EV108">
            <v>182.44495944380068</v>
          </cell>
          <cell r="EX108">
            <v>182.13073794305637</v>
          </cell>
          <cell r="EY108">
            <v>181.88296639629201</v>
          </cell>
          <cell r="EZ108">
            <v>181.84152689415848</v>
          </cell>
          <cell r="FA108">
            <v>181.88707799767172</v>
          </cell>
          <cell r="FB108">
            <v>181.97603740502629</v>
          </cell>
          <cell r="FD108">
            <v>182.03699354081033</v>
          </cell>
          <cell r="FE108">
            <v>182.09495896834702</v>
          </cell>
          <cell r="FF108">
            <v>181.78024547048506</v>
          </cell>
          <cell r="FG108">
            <v>181.74456840869053</v>
          </cell>
          <cell r="FH108">
            <v>181.79529411764705</v>
          </cell>
          <cell r="FJ108">
            <v>182.02595870206488</v>
          </cell>
          <cell r="FK108">
            <v>182.12617924528303</v>
          </cell>
          <cell r="FL108">
            <v>182.01175088131609</v>
          </cell>
          <cell r="FM108">
            <v>181.77288732394365</v>
          </cell>
          <cell r="FN108">
            <v>179.88620283018867</v>
          </cell>
          <cell r="FP108">
            <v>181.69805768098885</v>
          </cell>
          <cell r="FQ108">
            <v>181.74911660777386</v>
          </cell>
          <cell r="FR108">
            <v>181.42748091603053</v>
          </cell>
          <cell r="FS108">
            <v>181.27171361502349</v>
          </cell>
          <cell r="FT108">
            <v>0</v>
          </cell>
          <cell r="FV108">
            <v>181.48529411764707</v>
          </cell>
          <cell r="FW108">
            <v>181.66333137139495</v>
          </cell>
          <cell r="FX108">
            <v>181.62566215420836</v>
          </cell>
          <cell r="FY108">
            <v>181.1950354609929</v>
          </cell>
          <cell r="FZ108">
            <v>181.13179669030734</v>
          </cell>
          <cell r="GB108">
            <v>180.60260972716489</v>
          </cell>
          <cell r="GC108">
            <v>180.22616933096509</v>
          </cell>
          <cell r="GD108">
            <v>179.96926713947994</v>
          </cell>
          <cell r="GE108">
            <v>180.13483146067418</v>
          </cell>
          <cell r="GF108">
            <v>180.6654804270463</v>
          </cell>
        </row>
        <row r="109">
          <cell r="A109" t="str">
            <v>% Change</v>
          </cell>
          <cell r="N109" t="str">
            <v>NA</v>
          </cell>
          <cell r="O109">
            <v>-1.5515266548488005E-2</v>
          </cell>
          <cell r="P109">
            <v>-3.5940197324335621E-4</v>
          </cell>
          <cell r="Q109">
            <v>8.1637368657849763E-3</v>
          </cell>
          <cell r="R109">
            <v>1.7460452352981992E-3</v>
          </cell>
          <cell r="S109">
            <v>-3.9985743715859723E-2</v>
          </cell>
          <cell r="T109">
            <v>-5.045904283301228E-2</v>
          </cell>
          <cell r="U109">
            <v>-1.5823810681578676E-2</v>
          </cell>
          <cell r="V109">
            <v>0</v>
          </cell>
          <cell r="W109">
            <v>-5.5461255812441212E-3</v>
          </cell>
          <cell r="X109">
            <v>-1.5630130748078841E-4</v>
          </cell>
          <cell r="Y109">
            <v>1.2591446729675049E-3</v>
          </cell>
          <cell r="Z109">
            <v>-2.570210984200072E-3</v>
          </cell>
          <cell r="AA109">
            <v>-9.9322575629534615E-4</v>
          </cell>
          <cell r="AB109">
            <v>-5.0611938067213202E-5</v>
          </cell>
          <cell r="AC109">
            <v>-1.4864214743989246E-3</v>
          </cell>
          <cell r="AD109">
            <v>-2.1159892878521713E-3</v>
          </cell>
          <cell r="AE109">
            <v>-2.5744583324501802E-3</v>
          </cell>
          <cell r="AF109">
            <v>-2.5647000543577159E-3</v>
          </cell>
          <cell r="AG109">
            <v>-1.7531692521558506E-3</v>
          </cell>
          <cell r="AH109">
            <v>0</v>
          </cell>
          <cell r="AI109">
            <v>0</v>
          </cell>
          <cell r="AJ109">
            <v>0</v>
          </cell>
          <cell r="AK109">
            <v>0</v>
          </cell>
          <cell r="AL109">
            <v>0</v>
          </cell>
          <cell r="AN109" t="str">
            <v>% Change</v>
          </cell>
          <cell r="DL109">
            <v>-3.9985743715859723E-2</v>
          </cell>
          <cell r="DN109" t="str">
            <v>NA</v>
          </cell>
          <cell r="DO109" t="str">
            <v>NA</v>
          </cell>
          <cell r="DP109" t="str">
            <v>NA</v>
          </cell>
          <cell r="DQ109" t="str">
            <v>NA</v>
          </cell>
          <cell r="DR109">
            <v>-5.045904283301228E-2</v>
          </cell>
          <cell r="DT109">
            <v>-3.4486219991611722E-2</v>
          </cell>
          <cell r="DU109" t="str">
            <v>NA</v>
          </cell>
          <cell r="DV109" t="str">
            <v>NA</v>
          </cell>
          <cell r="DW109">
            <v>1.4082630731337975E-3</v>
          </cell>
          <cell r="DX109">
            <v>-1.5823810681578676E-2</v>
          </cell>
          <cell r="DZ109">
            <v>2.7713180532900061E-3</v>
          </cell>
          <cell r="EA109">
            <v>2.7381378877309182E-3</v>
          </cell>
          <cell r="EB109">
            <v>2.681739780100223E-3</v>
          </cell>
          <cell r="EC109">
            <v>-3.6072508555085037E-5</v>
          </cell>
          <cell r="ED109">
            <v>0</v>
          </cell>
          <cell r="EF109">
            <v>-2.7757144532623013E-3</v>
          </cell>
          <cell r="EG109">
            <v>-2.7424601785970282E-3</v>
          </cell>
          <cell r="EH109">
            <v>-2.7156731808747336E-3</v>
          </cell>
          <cell r="EI109">
            <v>-5.5312168291035135E-3</v>
          </cell>
          <cell r="EJ109">
            <v>-5.5461255812441212E-3</v>
          </cell>
          <cell r="EL109">
            <v>-8.3333333333333037E-3</v>
          </cell>
          <cell r="EM109">
            <v>-8.3447040279230889E-3</v>
          </cell>
          <cell r="EN109">
            <v>-6.2546492355620709E-3</v>
          </cell>
          <cell r="EO109">
            <v>4.0600374793919869E-4</v>
          </cell>
          <cell r="EP109">
            <v>-1.5630130748078841E-4</v>
          </cell>
          <cell r="ER109">
            <v>6.1907026296021961E-3</v>
          </cell>
          <cell r="ES109">
            <v>6.1962786807441272E-3</v>
          </cell>
          <cell r="ET109">
            <v>4.0841820985109134E-3</v>
          </cell>
          <cell r="EU109">
            <v>7.0200923257068837E-4</v>
          </cell>
          <cell r="EV109">
            <v>1.2591446729675049E-3</v>
          </cell>
          <cell r="EX109">
            <v>-2.5970892179548732E-3</v>
          </cell>
          <cell r="EY109">
            <v>-3.9661827266946892E-3</v>
          </cell>
          <cell r="EZ109">
            <v>-4.1972261182398052E-3</v>
          </cell>
          <cell r="FA109">
            <v>-3.0634347676150586E-3</v>
          </cell>
          <cell r="FB109">
            <v>-2.570210984200072E-3</v>
          </cell>
          <cell r="FD109">
            <v>-5.147093966937355E-4</v>
          </cell>
          <cell r="FE109">
            <v>1.1655438453379574E-3</v>
          </cell>
          <cell r="FF109">
            <v>-3.3700455952001551E-4</v>
          </cell>
          <cell r="FG109">
            <v>-7.8350584631980968E-4</v>
          </cell>
          <cell r="FH109">
            <v>-9.9322575629534615E-4</v>
          </cell>
          <cell r="FJ109">
            <v>-6.061866069528854E-5</v>
          </cell>
          <cell r="FK109">
            <v>1.7145052841049946E-4</v>
          </cell>
          <cell r="FL109">
            <v>1.2735454847243588E-3</v>
          </cell>
          <cell r="FM109">
            <v>1.5581712015433347E-4</v>
          </cell>
          <cell r="FN109">
            <v>-1.0501324012396784E-2</v>
          </cell>
          <cell r="FP109">
            <v>-1.8013970282817482E-3</v>
          </cell>
          <cell r="FQ109">
            <v>-2.070337384069032E-3</v>
          </cell>
          <cell r="FR109">
            <v>-3.2100672756373294E-3</v>
          </cell>
          <cell r="FS109">
            <v>-2.7571422575634053E-3</v>
          </cell>
          <cell r="FT109">
            <v>-1</v>
          </cell>
          <cell r="FV109">
            <v>-1.1709732402056527E-3</v>
          </cell>
          <cell r="FW109">
            <v>-4.7199809264575343E-4</v>
          </cell>
          <cell r="FX109">
            <v>1.0923440990151523E-3</v>
          </cell>
          <cell r="FY109">
            <v>-4.2300120907690086E-4</v>
          </cell>
          <cell r="FZ109" t="str">
            <v>NA</v>
          </cell>
          <cell r="GB109">
            <v>-4.8636689533091415E-3</v>
          </cell>
          <cell r="GC109">
            <v>-7.9111289525550799E-3</v>
          </cell>
          <cell r="GD109">
            <v>-9.1198291864839076E-3</v>
          </cell>
          <cell r="GE109">
            <v>-5.8511757655024255E-3</v>
          </cell>
          <cell r="GF109">
            <v>-2.5744583324501802E-3</v>
          </cell>
        </row>
        <row r="110">
          <cell r="A110" t="str">
            <v>Productivity Factor</v>
          </cell>
          <cell r="N110" t="str">
            <v>NA</v>
          </cell>
          <cell r="O110">
            <v>0.99020658295615083</v>
          </cell>
          <cell r="P110">
            <v>1.0238160014396207</v>
          </cell>
          <cell r="Q110">
            <v>0.97215995399387289</v>
          </cell>
          <cell r="R110">
            <v>1.0032277258841547</v>
          </cell>
          <cell r="S110">
            <v>0.99950875467894218</v>
          </cell>
          <cell r="T110">
            <v>0.99467282247112343</v>
          </cell>
          <cell r="U110">
            <v>1.0230408956015324</v>
          </cell>
          <cell r="V110">
            <v>0.99283260375178717</v>
          </cell>
          <cell r="W110">
            <v>1.0060621750760674</v>
          </cell>
          <cell r="X110">
            <v>0.73631472463543401</v>
          </cell>
          <cell r="Y110">
            <v>1.1692809442164345</v>
          </cell>
          <cell r="Z110">
            <v>0.99766929211669775</v>
          </cell>
          <cell r="AA110">
            <v>0.99616480017746767</v>
          </cell>
          <cell r="AB110">
            <v>1.011642907621854</v>
          </cell>
          <cell r="AC110">
            <v>1.0017002547102301</v>
          </cell>
          <cell r="AD110">
            <v>1.0152922484576603</v>
          </cell>
          <cell r="AE110">
            <v>1.0083583012001358</v>
          </cell>
          <cell r="AF110">
            <v>1</v>
          </cell>
          <cell r="AG110">
            <v>1</v>
          </cell>
          <cell r="AH110">
            <v>1</v>
          </cell>
          <cell r="AI110">
            <v>1</v>
          </cell>
          <cell r="AJ110">
            <v>1</v>
          </cell>
          <cell r="AK110">
            <v>1</v>
          </cell>
          <cell r="AL110">
            <v>1</v>
          </cell>
        </row>
        <row r="111">
          <cell r="BS111" t="str">
            <v>Q1P</v>
          </cell>
          <cell r="BT111" t="str">
            <v>Q2P</v>
          </cell>
          <cell r="BU111" t="str">
            <v>Q3P</v>
          </cell>
          <cell r="BV111" t="str">
            <v>Q4P</v>
          </cell>
          <cell r="BW111" t="str">
            <v>Year P</v>
          </cell>
          <cell r="BY111" t="str">
            <v>Q1E</v>
          </cell>
          <cell r="BZ111" t="str">
            <v>Q2E</v>
          </cell>
          <cell r="CA111" t="str">
            <v>Q3E</v>
          </cell>
          <cell r="CB111" t="str">
            <v>Q4E</v>
          </cell>
          <cell r="CF111" t="str">
            <v>Year</v>
          </cell>
          <cell r="CJ111" t="str">
            <v>Q1A</v>
          </cell>
          <cell r="CK111" t="str">
            <v>Q2A</v>
          </cell>
          <cell r="CL111" t="str">
            <v>Q3A</v>
          </cell>
          <cell r="CM111" t="str">
            <v>Q4A</v>
          </cell>
          <cell r="CN111" t="str">
            <v>Year</v>
          </cell>
          <cell r="CP111" t="str">
            <v>Q1A</v>
          </cell>
          <cell r="CQ111" t="str">
            <v>Q2A</v>
          </cell>
          <cell r="CR111" t="str">
            <v>Q3A</v>
          </cell>
          <cell r="CS111" t="str">
            <v>Q4A</v>
          </cell>
          <cell r="CT111" t="str">
            <v>Year</v>
          </cell>
          <cell r="CV111" t="str">
            <v>Q1</v>
          </cell>
          <cell r="CW111" t="str">
            <v>Q2</v>
          </cell>
          <cell r="CX111" t="str">
            <v>Q3</v>
          </cell>
          <cell r="CY111" t="str">
            <v>Q4</v>
          </cell>
          <cell r="CZ111" t="str">
            <v>Year</v>
          </cell>
          <cell r="DB111" t="str">
            <v>Q1</v>
          </cell>
          <cell r="DC111" t="str">
            <v>Q2</v>
          </cell>
          <cell r="DD111" t="str">
            <v>Q3</v>
          </cell>
          <cell r="DE111" t="str">
            <v>Q4</v>
          </cell>
          <cell r="DF111" t="str">
            <v>Year</v>
          </cell>
          <cell r="DH111" t="str">
            <v>Q1</v>
          </cell>
          <cell r="DI111" t="str">
            <v>Q2</v>
          </cell>
          <cell r="DJ111" t="str">
            <v>Q3</v>
          </cell>
          <cell r="DK111" t="str">
            <v>Q4</v>
          </cell>
          <cell r="DL111">
            <v>2000</v>
          </cell>
          <cell r="DN111" t="str">
            <v>Q1A</v>
          </cell>
          <cell r="DO111" t="str">
            <v>Q2A</v>
          </cell>
          <cell r="DP111" t="str">
            <v>Q3A</v>
          </cell>
          <cell r="DQ111" t="str">
            <v>Q4A</v>
          </cell>
          <cell r="DR111">
            <v>2001</v>
          </cell>
          <cell r="DT111" t="str">
            <v>Q1A</v>
          </cell>
          <cell r="DU111" t="str">
            <v>Q2A</v>
          </cell>
          <cell r="DV111" t="str">
            <v>Q3A</v>
          </cell>
          <cell r="DW111" t="str">
            <v>Q4A</v>
          </cell>
          <cell r="DX111">
            <v>2002</v>
          </cell>
          <cell r="DZ111" t="str">
            <v>Q1A</v>
          </cell>
          <cell r="EA111" t="str">
            <v>Q2A</v>
          </cell>
          <cell r="EB111" t="str">
            <v>Q3A</v>
          </cell>
          <cell r="EC111" t="str">
            <v>Q4A</v>
          </cell>
          <cell r="ED111">
            <v>2003</v>
          </cell>
          <cell r="EF111" t="str">
            <v>Q1A</v>
          </cell>
          <cell r="EG111" t="str">
            <v>Q2A</v>
          </cell>
          <cell r="EH111" t="str">
            <v>Q3A</v>
          </cell>
          <cell r="EI111" t="str">
            <v>Q4A</v>
          </cell>
          <cell r="EJ111">
            <v>2004</v>
          </cell>
          <cell r="EL111" t="str">
            <v>Q1A</v>
          </cell>
          <cell r="EM111" t="str">
            <v>Q2A</v>
          </cell>
          <cell r="EN111" t="str">
            <v>Q3A</v>
          </cell>
          <cell r="EO111" t="str">
            <v>Q4A</v>
          </cell>
          <cell r="EP111">
            <v>2005</v>
          </cell>
          <cell r="ER111" t="str">
            <v>Q1A</v>
          </cell>
          <cell r="ES111" t="str">
            <v>Q2A</v>
          </cell>
          <cell r="ET111" t="str">
            <v>Q3A</v>
          </cell>
          <cell r="EU111" t="str">
            <v>Q4A</v>
          </cell>
          <cell r="EV111">
            <v>2006</v>
          </cell>
          <cell r="EX111">
            <v>1</v>
          </cell>
          <cell r="EY111">
            <v>2</v>
          </cell>
          <cell r="EZ111">
            <v>3</v>
          </cell>
          <cell r="FA111">
            <v>4</v>
          </cell>
          <cell r="FB111" t="str">
            <v>Year</v>
          </cell>
          <cell r="FD111">
            <v>1</v>
          </cell>
          <cell r="FE111">
            <v>2</v>
          </cell>
          <cell r="FF111">
            <v>3</v>
          </cell>
          <cell r="FG111">
            <v>4</v>
          </cell>
          <cell r="FH111" t="str">
            <v>Year</v>
          </cell>
          <cell r="FJ111">
            <v>1</v>
          </cell>
          <cell r="FK111">
            <v>2</v>
          </cell>
          <cell r="FL111">
            <v>3</v>
          </cell>
          <cell r="FM111">
            <v>4</v>
          </cell>
          <cell r="FN111" t="str">
            <v>Year</v>
          </cell>
          <cell r="FP111">
            <v>1</v>
          </cell>
          <cell r="FQ111">
            <v>2</v>
          </cell>
          <cell r="FR111">
            <v>3</v>
          </cell>
          <cell r="FS111">
            <v>4</v>
          </cell>
          <cell r="FT111" t="str">
            <v>Year</v>
          </cell>
          <cell r="FV111">
            <v>1</v>
          </cell>
          <cell r="FW111">
            <v>2</v>
          </cell>
          <cell r="FX111">
            <v>3</v>
          </cell>
          <cell r="FY111">
            <v>4</v>
          </cell>
          <cell r="FZ111" t="str">
            <v>Year</v>
          </cell>
          <cell r="GB111">
            <v>1</v>
          </cell>
          <cell r="GC111">
            <v>2</v>
          </cell>
          <cell r="GD111">
            <v>3</v>
          </cell>
          <cell r="GE111">
            <v>4</v>
          </cell>
          <cell r="GF111" t="str">
            <v>Year</v>
          </cell>
        </row>
        <row r="112">
          <cell r="A112" t="str">
            <v>Consolidated Stores Monthly Sales ($)</v>
          </cell>
          <cell r="AN112" t="str">
            <v>Consolidated Stores Monthly Sales ($)</v>
          </cell>
          <cell r="EU112">
            <v>356</v>
          </cell>
        </row>
        <row r="113">
          <cell r="A113" t="str">
            <v>Month 1</v>
          </cell>
          <cell r="AN113" t="str">
            <v>Month 1</v>
          </cell>
          <cell r="BS113">
            <v>876.8</v>
          </cell>
          <cell r="BT113">
            <v>954.9</v>
          </cell>
          <cell r="BU113">
            <v>1050.0999999999999</v>
          </cell>
          <cell r="BV113">
            <v>1322.7</v>
          </cell>
          <cell r="BY113">
            <v>912</v>
          </cell>
          <cell r="BZ113">
            <v>1021.7430000000001</v>
          </cell>
          <cell r="CA113">
            <v>1059.5508999999997</v>
          </cell>
          <cell r="CB113">
            <v>1354.4448</v>
          </cell>
          <cell r="CJ113">
            <v>1033.0999999999999</v>
          </cell>
          <cell r="CK113">
            <v>1111.8</v>
          </cell>
          <cell r="CL113">
            <v>1121.3</v>
          </cell>
          <cell r="CM113">
            <v>1550.7</v>
          </cell>
          <cell r="CP113">
            <v>1058.4000000000001</v>
          </cell>
          <cell r="CQ113">
            <v>1147</v>
          </cell>
          <cell r="CR113">
            <v>1168.5</v>
          </cell>
          <cell r="CS113">
            <v>1563.5</v>
          </cell>
          <cell r="CV113">
            <v>1058.4000000000001</v>
          </cell>
          <cell r="CW113">
            <v>1155.5</v>
          </cell>
          <cell r="CX113">
            <v>1127.6025</v>
          </cell>
          <cell r="CY113">
            <v>1539</v>
          </cell>
          <cell r="DB113">
            <v>1025</v>
          </cell>
          <cell r="DC113">
            <v>1147</v>
          </cell>
          <cell r="DD113">
            <v>1119</v>
          </cell>
          <cell r="DE113">
            <v>1499</v>
          </cell>
          <cell r="DN113">
            <v>1081</v>
          </cell>
          <cell r="DO113">
            <v>1161</v>
          </cell>
          <cell r="DP113">
            <v>1130</v>
          </cell>
          <cell r="DQ113">
            <v>1565</v>
          </cell>
          <cell r="DT113">
            <v>1048</v>
          </cell>
          <cell r="DU113">
            <v>1150</v>
          </cell>
          <cell r="DV113">
            <v>1086</v>
          </cell>
          <cell r="DW113">
            <v>1473</v>
          </cell>
          <cell r="DZ113">
            <v>985</v>
          </cell>
          <cell r="EA113">
            <v>1137</v>
          </cell>
          <cell r="EB113">
            <v>1078</v>
          </cell>
          <cell r="EC113">
            <v>1460</v>
          </cell>
          <cell r="EF113">
            <v>1080</v>
          </cell>
          <cell r="EG113">
            <v>1182</v>
          </cell>
          <cell r="EH113">
            <v>1056</v>
          </cell>
          <cell r="EI113">
            <v>1446</v>
          </cell>
          <cell r="EL113">
            <v>1097</v>
          </cell>
          <cell r="EM113">
            <v>1189</v>
          </cell>
          <cell r="EN113">
            <v>1068</v>
          </cell>
          <cell r="EO113">
            <v>2617</v>
          </cell>
          <cell r="ER113">
            <v>1800</v>
          </cell>
          <cell r="ES113">
            <v>2026</v>
          </cell>
          <cell r="ET113">
            <v>1727</v>
          </cell>
          <cell r="EU113">
            <v>2385</v>
          </cell>
          <cell r="EX113">
            <v>1802</v>
          </cell>
          <cell r="EY113">
            <v>1976</v>
          </cell>
          <cell r="EZ113">
            <v>1788</v>
          </cell>
          <cell r="FA113">
            <v>2707</v>
          </cell>
          <cell r="FD113">
            <v>1737</v>
          </cell>
          <cell r="FE113">
            <v>1926</v>
          </cell>
          <cell r="FF113">
            <v>1686</v>
          </cell>
          <cell r="FG113">
            <v>2324</v>
          </cell>
          <cell r="FJ113">
            <v>1602.5975291456411</v>
          </cell>
          <cell r="FK113">
            <v>1783.7565582371458</v>
          </cell>
          <cell r="FL113">
            <v>1576.1490988530857</v>
          </cell>
          <cell r="FM113">
            <v>2202.7766574237457</v>
          </cell>
          <cell r="FP113">
            <v>1667</v>
          </cell>
          <cell r="FQ113">
            <v>1789</v>
          </cell>
          <cell r="FR113">
            <v>1638</v>
          </cell>
          <cell r="FS113">
            <v>2341</v>
          </cell>
          <cell r="FV113">
            <v>1763</v>
          </cell>
          <cell r="FW113">
            <v>1937</v>
          </cell>
          <cell r="FX113">
            <v>1714</v>
          </cell>
          <cell r="FY113">
            <v>2465</v>
          </cell>
          <cell r="GB113">
            <v>1860</v>
          </cell>
          <cell r="GC113">
            <v>2015</v>
          </cell>
          <cell r="GD113">
            <v>1812</v>
          </cell>
          <cell r="GE113">
            <v>2539.5720461726355</v>
          </cell>
        </row>
        <row r="114">
          <cell r="A114" t="str">
            <v>Month 2</v>
          </cell>
          <cell r="AN114" t="str">
            <v>Month 2</v>
          </cell>
          <cell r="BS114">
            <v>1162.8</v>
          </cell>
          <cell r="BT114">
            <v>1162.4000000000001</v>
          </cell>
          <cell r="BU114">
            <v>1281.9000000000001</v>
          </cell>
          <cell r="BV114">
            <v>2551.6999999999998</v>
          </cell>
          <cell r="BY114">
            <v>1133.73</v>
          </cell>
          <cell r="BZ114">
            <v>1218.1952000000001</v>
          </cell>
          <cell r="CA114">
            <v>1344.7130999999999</v>
          </cell>
          <cell r="CB114">
            <v>2584.8720999999996</v>
          </cell>
          <cell r="CJ114">
            <v>1277.0999999999999</v>
          </cell>
          <cell r="CK114">
            <v>1278.2</v>
          </cell>
          <cell r="CL114">
            <v>1397.4</v>
          </cell>
          <cell r="CM114">
            <v>2742.6</v>
          </cell>
          <cell r="CP114">
            <v>1289.2</v>
          </cell>
          <cell r="CQ114">
            <v>1328</v>
          </cell>
          <cell r="CR114">
            <v>1446.2</v>
          </cell>
          <cell r="CS114">
            <v>2748.7</v>
          </cell>
          <cell r="CV114">
            <v>1288</v>
          </cell>
          <cell r="CW114">
            <v>1358.5</v>
          </cell>
          <cell r="CX114">
            <v>1417.2760000000001</v>
          </cell>
          <cell r="CY114">
            <v>2869.0930599999992</v>
          </cell>
          <cell r="DB114">
            <v>1343</v>
          </cell>
          <cell r="DC114">
            <v>1407</v>
          </cell>
          <cell r="DD114">
            <v>1423</v>
          </cell>
          <cell r="DE114">
            <v>2916</v>
          </cell>
          <cell r="DN114">
            <v>1317</v>
          </cell>
          <cell r="DO114">
            <v>1326</v>
          </cell>
          <cell r="DP114">
            <v>1289</v>
          </cell>
          <cell r="DQ114">
            <v>2795</v>
          </cell>
          <cell r="DT114">
            <v>1311</v>
          </cell>
          <cell r="DU114">
            <v>1367</v>
          </cell>
          <cell r="DV114">
            <v>1315</v>
          </cell>
          <cell r="DW114">
            <v>2772</v>
          </cell>
          <cell r="DZ114">
            <v>1233</v>
          </cell>
          <cell r="EA114">
            <v>1337</v>
          </cell>
          <cell r="EB114">
            <v>1352</v>
          </cell>
          <cell r="EC114">
            <v>2782</v>
          </cell>
          <cell r="EF114">
            <v>1326</v>
          </cell>
          <cell r="EG114">
            <v>1394</v>
          </cell>
          <cell r="EH114">
            <v>1361</v>
          </cell>
          <cell r="EI114">
            <v>2856</v>
          </cell>
          <cell r="EL114">
            <v>1371</v>
          </cell>
          <cell r="EM114">
            <v>1436</v>
          </cell>
          <cell r="EN114">
            <v>2464</v>
          </cell>
          <cell r="EO114">
            <v>5459</v>
          </cell>
          <cell r="ER114">
            <v>2255</v>
          </cell>
          <cell r="ES114">
            <v>2367</v>
          </cell>
          <cell r="ET114">
            <v>2303</v>
          </cell>
          <cell r="EU114">
            <v>4997</v>
          </cell>
          <cell r="EX114">
            <v>2288</v>
          </cell>
          <cell r="EY114">
            <v>2321</v>
          </cell>
          <cell r="EZ114">
            <v>2274</v>
          </cell>
          <cell r="FA114">
            <v>4624</v>
          </cell>
          <cell r="FD114">
            <v>2142</v>
          </cell>
          <cell r="FE114">
            <v>2249</v>
          </cell>
          <cell r="FF114">
            <v>2093</v>
          </cell>
          <cell r="FG114">
            <v>4397</v>
          </cell>
          <cell r="FJ114">
            <v>1963.7990255785628</v>
          </cell>
          <cell r="FK114">
            <v>2092.5916404337181</v>
          </cell>
          <cell r="FL114">
            <v>2084.1512834516657</v>
          </cell>
          <cell r="FM114">
            <v>4474.7693471136881</v>
          </cell>
          <cell r="FP114">
            <v>2172</v>
          </cell>
          <cell r="FQ114">
            <v>2229</v>
          </cell>
          <cell r="FR114">
            <v>2181</v>
          </cell>
          <cell r="FS114">
            <v>4619</v>
          </cell>
          <cell r="FV114">
            <v>2206</v>
          </cell>
          <cell r="FW114">
            <v>2392</v>
          </cell>
          <cell r="FX114">
            <v>2298</v>
          </cell>
          <cell r="FY114">
            <v>4925</v>
          </cell>
          <cell r="GB114">
            <v>2358</v>
          </cell>
          <cell r="GC114">
            <v>2412</v>
          </cell>
          <cell r="GD114">
            <v>2339.3160690399509</v>
          </cell>
          <cell r="GE114">
            <v>5073.9928305883286</v>
          </cell>
        </row>
        <row r="115">
          <cell r="A115" t="str">
            <v>Month 3</v>
          </cell>
          <cell r="AN115" t="str">
            <v>Month 3</v>
          </cell>
          <cell r="BS115">
            <v>898.4</v>
          </cell>
          <cell r="BT115">
            <v>813.5</v>
          </cell>
          <cell r="BU115">
            <v>1020.6</v>
          </cell>
          <cell r="BV115">
            <v>605.70000000000005</v>
          </cell>
          <cell r="CJ115">
            <v>990.5</v>
          </cell>
          <cell r="CK115">
            <v>894.2</v>
          </cell>
          <cell r="CL115">
            <v>1090.4000000000001</v>
          </cell>
          <cell r="CM115">
            <v>742.1</v>
          </cell>
          <cell r="CP115">
            <v>1061</v>
          </cell>
          <cell r="CQ115">
            <v>977.8</v>
          </cell>
          <cell r="CR115">
            <v>1131.4000000000001</v>
          </cell>
          <cell r="CS115">
            <v>749.2</v>
          </cell>
          <cell r="CV115">
            <v>1111</v>
          </cell>
          <cell r="CW115">
            <v>1010.5</v>
          </cell>
          <cell r="CX115">
            <v>1101.0784800000001</v>
          </cell>
          <cell r="CY115">
            <v>800</v>
          </cell>
          <cell r="DB115">
            <v>1077</v>
          </cell>
          <cell r="DC115">
            <v>1015</v>
          </cell>
          <cell r="DD115">
            <v>1105</v>
          </cell>
          <cell r="DE115">
            <v>783</v>
          </cell>
          <cell r="DN115">
            <v>1162</v>
          </cell>
          <cell r="DO115">
            <v>1005</v>
          </cell>
          <cell r="DP115">
            <v>1058</v>
          </cell>
          <cell r="DQ115">
            <v>774</v>
          </cell>
          <cell r="DT115">
            <v>1097</v>
          </cell>
          <cell r="DU115">
            <v>970</v>
          </cell>
          <cell r="DV115">
            <v>1083</v>
          </cell>
          <cell r="DW115">
            <v>775</v>
          </cell>
          <cell r="DZ115">
            <v>1076</v>
          </cell>
          <cell r="EA115">
            <v>963</v>
          </cell>
          <cell r="EB115">
            <v>1058</v>
          </cell>
          <cell r="EC115">
            <v>814</v>
          </cell>
          <cell r="EF115">
            <v>1144</v>
          </cell>
          <cell r="EG115">
            <v>1005</v>
          </cell>
          <cell r="EH115">
            <v>1108</v>
          </cell>
          <cell r="EI115">
            <v>818</v>
          </cell>
          <cell r="EL115">
            <v>1173</v>
          </cell>
          <cell r="EM115">
            <v>998</v>
          </cell>
          <cell r="EN115">
            <v>2023</v>
          </cell>
          <cell r="EO115">
            <v>1495</v>
          </cell>
          <cell r="ER115">
            <v>1878</v>
          </cell>
          <cell r="ES115">
            <v>1608</v>
          </cell>
          <cell r="ET115">
            <v>1863</v>
          </cell>
          <cell r="EU115">
            <v>1780</v>
          </cell>
          <cell r="EX115">
            <v>1837</v>
          </cell>
          <cell r="EY115">
            <v>1602</v>
          </cell>
          <cell r="EZ115">
            <v>1849</v>
          </cell>
          <cell r="FA115">
            <v>1273</v>
          </cell>
          <cell r="FD115">
            <v>1868</v>
          </cell>
          <cell r="FE115">
            <v>1543</v>
          </cell>
          <cell r="FF115">
            <v>1714</v>
          </cell>
          <cell r="FG115">
            <v>1213</v>
          </cell>
          <cell r="FJ115">
            <v>1720.603445275796</v>
          </cell>
          <cell r="FK115">
            <v>1409.6518013291361</v>
          </cell>
          <cell r="FL115">
            <v>1725.6996176952484</v>
          </cell>
          <cell r="FM115">
            <v>1268.4539954625661</v>
          </cell>
          <cell r="FP115">
            <v>1739</v>
          </cell>
          <cell r="FQ115">
            <v>1528</v>
          </cell>
          <cell r="FR115">
            <v>1806</v>
          </cell>
          <cell r="FS115">
            <v>1310</v>
          </cell>
          <cell r="FV115">
            <v>1920</v>
          </cell>
          <cell r="FW115">
            <v>1612</v>
          </cell>
          <cell r="FX115">
            <v>1842</v>
          </cell>
          <cell r="FY115">
            <v>1336</v>
          </cell>
          <cell r="GB115">
            <v>1928</v>
          </cell>
          <cell r="GC115">
            <v>1693</v>
          </cell>
          <cell r="GD115">
            <v>1918.3705778953104</v>
          </cell>
          <cell r="GE115">
            <v>1753.5690816688336</v>
          </cell>
        </row>
        <row r="116">
          <cell r="A116" t="str">
            <v>Total</v>
          </cell>
          <cell r="AN116" t="str">
            <v>Total</v>
          </cell>
          <cell r="BS116">
            <v>2938</v>
          </cell>
          <cell r="BT116">
            <v>2930.8</v>
          </cell>
          <cell r="BU116">
            <v>3352.6</v>
          </cell>
          <cell r="BV116">
            <v>4480.0999999999995</v>
          </cell>
          <cell r="BW116">
            <v>13701.5</v>
          </cell>
          <cell r="CJ116">
            <v>3300.7</v>
          </cell>
          <cell r="CK116">
            <v>3284.2</v>
          </cell>
          <cell r="CL116">
            <v>3609.1</v>
          </cell>
          <cell r="CM116">
            <v>5035.4000000000005</v>
          </cell>
          <cell r="CN116">
            <v>15229.400000000001</v>
          </cell>
          <cell r="CP116">
            <v>3408.6000000000004</v>
          </cell>
          <cell r="CQ116">
            <v>3452.8</v>
          </cell>
          <cell r="CR116">
            <v>3746.1</v>
          </cell>
          <cell r="CS116">
            <v>5061.3999999999996</v>
          </cell>
          <cell r="CT116">
            <v>15668.9</v>
          </cell>
          <cell r="CV116">
            <v>3357</v>
          </cell>
          <cell r="CW116">
            <v>3524.5</v>
          </cell>
          <cell r="CX116">
            <v>3645.9569799999999</v>
          </cell>
          <cell r="CY116">
            <v>5208.0930599999992</v>
          </cell>
          <cell r="CZ116">
            <v>15735.550039999998</v>
          </cell>
          <cell r="DB116">
            <v>3470</v>
          </cell>
          <cell r="DC116">
            <v>3609</v>
          </cell>
          <cell r="DD116">
            <v>3691</v>
          </cell>
          <cell r="DE116">
            <v>5259</v>
          </cell>
          <cell r="DF116">
            <v>16029</v>
          </cell>
          <cell r="DH116">
            <v>3573</v>
          </cell>
          <cell r="DI116">
            <v>3679</v>
          </cell>
          <cell r="DJ116">
            <v>3782</v>
          </cell>
          <cell r="DK116">
            <v>5604</v>
          </cell>
          <cell r="DL116">
            <v>16638</v>
          </cell>
          <cell r="DN116">
            <v>3556</v>
          </cell>
          <cell r="DO116">
            <v>3488</v>
          </cell>
          <cell r="DP116">
            <v>3475</v>
          </cell>
          <cell r="DQ116">
            <v>5132</v>
          </cell>
          <cell r="DR116">
            <v>15785</v>
          </cell>
          <cell r="DT116">
            <v>3453</v>
          </cell>
          <cell r="DU116">
            <v>3486</v>
          </cell>
          <cell r="DV116">
            <v>3479</v>
          </cell>
          <cell r="DW116">
            <v>5017</v>
          </cell>
          <cell r="DX116">
            <v>15571</v>
          </cell>
          <cell r="DZ116">
            <v>3291</v>
          </cell>
          <cell r="EA116">
            <v>3434</v>
          </cell>
          <cell r="EB116">
            <v>3486</v>
          </cell>
          <cell r="EC116">
            <v>5053</v>
          </cell>
          <cell r="ED116">
            <v>15412</v>
          </cell>
          <cell r="EF116">
            <v>3550</v>
          </cell>
          <cell r="EG116">
            <v>3581</v>
          </cell>
          <cell r="EH116">
            <v>3525</v>
          </cell>
          <cell r="EI116">
            <v>5120</v>
          </cell>
          <cell r="EJ116">
            <v>15776</v>
          </cell>
          <cell r="EL116">
            <v>3641</v>
          </cell>
          <cell r="EM116">
            <v>3623</v>
          </cell>
          <cell r="EN116">
            <v>5555</v>
          </cell>
          <cell r="EO116">
            <v>9571</v>
          </cell>
          <cell r="EP116">
            <v>22390</v>
          </cell>
          <cell r="ER116">
            <v>5930</v>
          </cell>
          <cell r="ES116">
            <v>5995</v>
          </cell>
          <cell r="ET116">
            <v>5886</v>
          </cell>
          <cell r="EU116">
            <v>9159</v>
          </cell>
          <cell r="EV116">
            <v>26970</v>
          </cell>
          <cell r="EX116">
            <v>5921</v>
          </cell>
          <cell r="EY116">
            <v>5892</v>
          </cell>
          <cell r="EZ116">
            <v>5906</v>
          </cell>
          <cell r="FA116">
            <v>8594</v>
          </cell>
          <cell r="FB116">
            <v>26313</v>
          </cell>
          <cell r="FD116">
            <v>5747</v>
          </cell>
          <cell r="FE116">
            <v>5718</v>
          </cell>
          <cell r="FF116">
            <v>5493</v>
          </cell>
          <cell r="FG116">
            <v>7934</v>
          </cell>
          <cell r="FH116">
            <v>24892</v>
          </cell>
          <cell r="FJ116">
            <v>5288</v>
          </cell>
          <cell r="FK116">
            <v>5285</v>
          </cell>
          <cell r="FL116">
            <v>5385</v>
          </cell>
          <cell r="FM116">
            <v>7937</v>
          </cell>
          <cell r="FN116">
            <v>23895</v>
          </cell>
          <cell r="FP116">
            <v>5574</v>
          </cell>
          <cell r="FQ116">
            <v>5537</v>
          </cell>
          <cell r="FR116">
            <v>5623</v>
          </cell>
          <cell r="FS116">
            <v>8269</v>
          </cell>
          <cell r="FT116">
            <v>25003</v>
          </cell>
          <cell r="FV116">
            <v>5889</v>
          </cell>
          <cell r="FW116">
            <v>5939</v>
          </cell>
          <cell r="FX116">
            <v>5853</v>
          </cell>
          <cell r="FY116">
            <v>8724</v>
          </cell>
          <cell r="FZ116">
            <v>26405</v>
          </cell>
          <cell r="GB116">
            <v>6143</v>
          </cell>
          <cell r="GC116">
            <v>6118</v>
          </cell>
          <cell r="GD116">
            <v>6069.6866469352608</v>
          </cell>
          <cell r="GE116">
            <v>9367.1339584297966</v>
          </cell>
          <cell r="GF116">
            <v>27697.820605365057</v>
          </cell>
        </row>
        <row r="117">
          <cell r="FJ117">
            <v>1255</v>
          </cell>
          <cell r="FK117">
            <v>4426</v>
          </cell>
          <cell r="FL117">
            <v>2177</v>
          </cell>
          <cell r="FM117">
            <v>7849</v>
          </cell>
        </row>
        <row r="118">
          <cell r="A118" t="str">
            <v>Consolidated Monthly Comps</v>
          </cell>
          <cell r="AN118" t="str">
            <v>Consolidated Monthly Comps</v>
          </cell>
        </row>
        <row r="119">
          <cell r="A119" t="str">
            <v>Month 1</v>
          </cell>
          <cell r="AN119" t="str">
            <v>Month 1</v>
          </cell>
          <cell r="BS119">
            <v>3.9E-2</v>
          </cell>
          <cell r="BT119">
            <v>8.9999999999999993E-3</v>
          </cell>
          <cell r="BU119">
            <v>4.7E-2</v>
          </cell>
          <cell r="BV119">
            <v>4.2999999999999997E-2</v>
          </cell>
          <cell r="BY119">
            <v>3.1E-2</v>
          </cell>
          <cell r="BZ119">
            <v>7.0000000000000007E-2</v>
          </cell>
          <cell r="CA119">
            <v>8.9999999999999993E-3</v>
          </cell>
          <cell r="CB119">
            <v>2.4E-2</v>
          </cell>
          <cell r="CJ119">
            <v>0.09</v>
          </cell>
          <cell r="CK119">
            <v>2.1000000000000001E-2</v>
          </cell>
          <cell r="CL119">
            <v>2.5000000000000001E-2</v>
          </cell>
          <cell r="CM119">
            <v>9.6000000000000002E-2</v>
          </cell>
          <cell r="CP119">
            <v>2.1999999999999999E-2</v>
          </cell>
          <cell r="CQ119">
            <v>2.5000000000000001E-2</v>
          </cell>
          <cell r="CR119">
            <v>3.5000000000000003E-2</v>
          </cell>
          <cell r="CS119">
            <v>0.02</v>
          </cell>
          <cell r="CV119">
            <v>1.4999999999999999E-2</v>
          </cell>
          <cell r="CW119">
            <v>1.7999999999999999E-2</v>
          </cell>
          <cell r="CX119">
            <v>-1.2999999999999999E-2</v>
          </cell>
          <cell r="CY119">
            <v>-2E-3</v>
          </cell>
          <cell r="DB119">
            <v>0.01</v>
          </cell>
          <cell r="DC119">
            <v>4.1000000000000002E-2</v>
          </cell>
          <cell r="DD119">
            <v>2.9000000000000001E-2</v>
          </cell>
          <cell r="DE119">
            <v>1.0999999999999999E-2</v>
          </cell>
          <cell r="DH119">
            <v>5.2999999999999999E-2</v>
          </cell>
          <cell r="DI119">
            <v>4.2000000000000003E-2</v>
          </cell>
          <cell r="DJ119">
            <v>1.0999999999999999E-2</v>
          </cell>
          <cell r="DK119">
            <v>1.4E-2</v>
          </cell>
          <cell r="DN119">
            <v>-1.6E-2</v>
          </cell>
          <cell r="DO119">
            <v>-3.3000000000000002E-2</v>
          </cell>
          <cell r="DP119">
            <v>-2.5999999999999999E-2</v>
          </cell>
          <cell r="DQ119">
            <v>8.9999999999999993E-3</v>
          </cell>
          <cell r="DT119">
            <v>-2.8000000000000001E-2</v>
          </cell>
          <cell r="DU119">
            <v>-3.4000000000000002E-2</v>
          </cell>
          <cell r="DV119">
            <v>-5.8000000000000003E-2</v>
          </cell>
          <cell r="DW119">
            <v>-7.3999999999999996E-2</v>
          </cell>
          <cell r="DZ119">
            <v>-6.8000000000000005E-2</v>
          </cell>
          <cell r="EA119">
            <v>-8.0000000000000002E-3</v>
          </cell>
          <cell r="EB119">
            <v>-8.0000000000000002E-3</v>
          </cell>
          <cell r="EC119">
            <v>-1E-3</v>
          </cell>
          <cell r="EF119">
            <v>0.09</v>
          </cell>
          <cell r="EG119">
            <v>2.9000000000000001E-2</v>
          </cell>
          <cell r="EH119">
            <v>-2.4E-2</v>
          </cell>
          <cell r="EI119">
            <v>-1.4E-2</v>
          </cell>
          <cell r="EL119">
            <v>1.7999999999999999E-2</v>
          </cell>
          <cell r="EM119">
            <v>8.0000000000000002E-3</v>
          </cell>
          <cell r="EN119">
            <v>1.0999999999999999E-2</v>
          </cell>
          <cell r="EO119">
            <v>-3.4000000000000002E-2</v>
          </cell>
          <cell r="ER119">
            <v>0.01</v>
          </cell>
          <cell r="ES119">
            <v>9.1999999999999998E-2</v>
          </cell>
          <cell r="ET119">
            <v>3.7999999999999999E-2</v>
          </cell>
          <cell r="EU119">
            <v>8.5000000000000006E-2</v>
          </cell>
          <cell r="EX119">
            <v>1.2E-2</v>
          </cell>
          <cell r="EY119">
            <v>-3.3000000000000002E-2</v>
          </cell>
          <cell r="EZ119">
            <v>2.4E-2</v>
          </cell>
          <cell r="FA119">
            <v>0.13400000000000001</v>
          </cell>
          <cell r="FD119">
            <v>-3.5000000000000003E-2</v>
          </cell>
          <cell r="FE119">
            <v>-1.4999999999999999E-2</v>
          </cell>
          <cell r="FF119">
            <v>-4.8000000000000001E-2</v>
          </cell>
          <cell r="FG119">
            <v>-0.13300000000000001</v>
          </cell>
          <cell r="FJ119">
            <v>-8.5000000000000006E-2</v>
          </cell>
          <cell r="FK119">
            <v>-9.0999999999999998E-2</v>
          </cell>
          <cell r="FL119">
            <v>-8.1000000000000003E-2</v>
          </cell>
          <cell r="FM119">
            <v>-6.0999999999999999E-2</v>
          </cell>
          <cell r="FP119">
            <v>3.6999999999999998E-2</v>
          </cell>
          <cell r="FQ119">
            <v>1.4E-2</v>
          </cell>
          <cell r="FR119">
            <v>4.2999999999999997E-2</v>
          </cell>
          <cell r="FS119">
            <v>6.0999999999999999E-2</v>
          </cell>
          <cell r="FV119">
            <v>5.8000000000000003E-2</v>
          </cell>
          <cell r="FW119">
            <v>7.3999999999999996E-2</v>
          </cell>
          <cell r="FX119">
            <v>0.05</v>
          </cell>
          <cell r="FY119">
            <v>4.8000000000000001E-2</v>
          </cell>
          <cell r="GB119">
            <v>4.5999999999999999E-2</v>
          </cell>
          <cell r="GC119">
            <v>4.2000000000000003E-2</v>
          </cell>
          <cell r="GD119">
            <v>5.0999999999999997E-2</v>
          </cell>
          <cell r="GE119">
            <v>0.04</v>
          </cell>
        </row>
        <row r="120">
          <cell r="A120" t="str">
            <v>Month 2</v>
          </cell>
          <cell r="AN120" t="str">
            <v>Month 2</v>
          </cell>
          <cell r="BS120">
            <v>0.08</v>
          </cell>
          <cell r="BT120">
            <v>1.9E-2</v>
          </cell>
          <cell r="BU120">
            <v>3.7999999999999999E-2</v>
          </cell>
          <cell r="BV120">
            <v>2.1000000000000001E-2</v>
          </cell>
          <cell r="BY120">
            <v>-2.5000000000000001E-2</v>
          </cell>
          <cell r="BZ120">
            <v>4.8000000000000001E-2</v>
          </cell>
          <cell r="CA120">
            <v>4.9000000000000002E-2</v>
          </cell>
          <cell r="CB120">
            <v>1.2999999999999999E-2</v>
          </cell>
          <cell r="CJ120">
            <v>6.0999999999999999E-2</v>
          </cell>
          <cell r="CK120">
            <v>1.4999999999999999E-2</v>
          </cell>
          <cell r="CL120">
            <v>8.0000000000000002E-3</v>
          </cell>
          <cell r="CM120">
            <v>0</v>
          </cell>
          <cell r="CP120">
            <v>-2E-3</v>
          </cell>
          <cell r="CQ120">
            <v>3.2000000000000001E-2</v>
          </cell>
          <cell r="CR120">
            <v>2.7E-2</v>
          </cell>
          <cell r="CS120">
            <v>0.01</v>
          </cell>
          <cell r="CV120">
            <v>8.9999999999999993E-3</v>
          </cell>
          <cell r="CW120">
            <v>3.4000000000000002E-2</v>
          </cell>
          <cell r="CX120">
            <v>-7.0000000000000001E-3</v>
          </cell>
          <cell r="CY120">
            <v>5.7000000000000002E-2</v>
          </cell>
          <cell r="DB120">
            <v>0.09</v>
          </cell>
          <cell r="DC120">
            <v>8.4000000000000005E-2</v>
          </cell>
          <cell r="DD120">
            <v>3.6999999999999998E-2</v>
          </cell>
          <cell r="DE120">
            <v>6.4000000000000001E-2</v>
          </cell>
          <cell r="DH120">
            <v>-6.0000000000000001E-3</v>
          </cell>
          <cell r="DI120">
            <v>5.0000000000000001E-3</v>
          </cell>
          <cell r="DJ120">
            <v>2.9000000000000001E-2</v>
          </cell>
          <cell r="DK120">
            <v>1.2E-2</v>
          </cell>
          <cell r="DN120">
            <v>-3.2000000000000001E-2</v>
          </cell>
          <cell r="DO120">
            <v>-6.4000000000000001E-2</v>
          </cell>
          <cell r="DP120">
            <v>-0.129</v>
          </cell>
          <cell r="DQ120">
            <v>-8.6999999999999994E-2</v>
          </cell>
          <cell r="DT120">
            <v>-2E-3</v>
          </cell>
          <cell r="DU120">
            <v>-4.0000000000000001E-3</v>
          </cell>
          <cell r="DV120">
            <v>0</v>
          </cell>
          <cell r="DW120">
            <v>-2.5999999999999999E-2</v>
          </cell>
          <cell r="DZ120">
            <v>-6.5000000000000002E-2</v>
          </cell>
          <cell r="EA120">
            <v>-0.02</v>
          </cell>
          <cell r="EB120">
            <v>3.2000000000000001E-2</v>
          </cell>
          <cell r="EC120">
            <v>1.2E-2</v>
          </cell>
          <cell r="EF120">
            <v>6.8000000000000005E-2</v>
          </cell>
          <cell r="EG120">
            <v>3.4000000000000002E-2</v>
          </cell>
          <cell r="EH120">
            <v>1E-3</v>
          </cell>
          <cell r="EI120">
            <v>2.3E-2</v>
          </cell>
          <cell r="EL120">
            <v>3.4000000000000002E-2</v>
          </cell>
          <cell r="EM120">
            <v>2.9000000000000001E-2</v>
          </cell>
          <cell r="EN120">
            <v>1.2999999999999999E-2</v>
          </cell>
          <cell r="EO120">
            <v>3.4000000000000002E-2</v>
          </cell>
          <cell r="ER120">
            <v>0</v>
          </cell>
          <cell r="ES120">
            <v>1.7000000000000001E-2</v>
          </cell>
          <cell r="ET120">
            <v>6.5000000000000002E-2</v>
          </cell>
          <cell r="EU120">
            <v>4.3999999999999997E-2</v>
          </cell>
          <cell r="EX120">
            <v>2.3E-2</v>
          </cell>
          <cell r="EY120">
            <v>-2.7E-2</v>
          </cell>
          <cell r="EZ120">
            <v>-2.7E-2</v>
          </cell>
          <cell r="FA120">
            <v>-7.9000000000000001E-2</v>
          </cell>
          <cell r="FD120">
            <v>-6.2E-2</v>
          </cell>
          <cell r="FE120">
            <v>-2.1000000000000001E-2</v>
          </cell>
          <cell r="FF120">
            <v>-6.6000000000000003E-2</v>
          </cell>
          <cell r="FG120">
            <v>-0.04</v>
          </cell>
          <cell r="FJ120">
            <v>-9.1999999999999998E-2</v>
          </cell>
          <cell r="FK120">
            <v>-8.8999999999999996E-2</v>
          </cell>
          <cell r="FL120">
            <v>-2.3E-2</v>
          </cell>
          <cell r="FM120">
            <v>0.01</v>
          </cell>
          <cell r="FP120">
            <v>0.10800000000000001</v>
          </cell>
          <cell r="FQ120">
            <v>6.5000000000000002E-2</v>
          </cell>
          <cell r="FR120">
            <v>4.8000000000000001E-2</v>
          </cell>
          <cell r="FS120">
            <v>3.9E-2</v>
          </cell>
          <cell r="FV120">
            <v>8.9999999999999993E-3</v>
          </cell>
          <cell r="FW120">
            <v>6.7000000000000004E-2</v>
          </cell>
          <cell r="FX120">
            <v>4.9000000000000002E-2</v>
          </cell>
          <cell r="FY120">
            <v>6.2E-2</v>
          </cell>
          <cell r="GB120">
            <v>7.2999999999999995E-2</v>
          </cell>
          <cell r="GC120">
            <v>1.2E-2</v>
          </cell>
          <cell r="GD120">
            <v>0.03</v>
          </cell>
          <cell r="GE120">
            <v>0.04</v>
          </cell>
        </row>
        <row r="121">
          <cell r="A121" t="str">
            <v>Month 3</v>
          </cell>
          <cell r="AN121" t="str">
            <v>Month 3</v>
          </cell>
          <cell r="BS121">
            <v>-8.9999999999999993E-3</v>
          </cell>
          <cell r="BT121">
            <v>-8.0000000000000002E-3</v>
          </cell>
          <cell r="BU121">
            <v>2.5000000000000001E-2</v>
          </cell>
          <cell r="BV121">
            <v>8.8999999999999996E-2</v>
          </cell>
          <cell r="BY121">
            <v>4.1000000000000002E-2</v>
          </cell>
          <cell r="BZ121">
            <v>7.0999999999999994E-2</v>
          </cell>
          <cell r="CA121">
            <v>-1.7999999999999999E-2</v>
          </cell>
          <cell r="CB121">
            <v>5.0999999999999997E-2</v>
          </cell>
          <cell r="CJ121">
            <v>-1.0999999999999999E-2</v>
          </cell>
          <cell r="CK121">
            <v>-1.7000000000000001E-2</v>
          </cell>
          <cell r="CL121">
            <v>4.9000000000000002E-2</v>
          </cell>
          <cell r="CM121">
            <v>9.4E-2</v>
          </cell>
          <cell r="CP121">
            <v>6.2E-2</v>
          </cell>
          <cell r="CQ121">
            <v>8.5999999999999993E-2</v>
          </cell>
          <cell r="CR121">
            <v>0.03</v>
          </cell>
          <cell r="CS121">
            <v>1.4999999999999999E-2</v>
          </cell>
          <cell r="CV121">
            <v>0.05</v>
          </cell>
          <cell r="CW121">
            <v>3.9E-2</v>
          </cell>
          <cell r="CX121">
            <v>-1.9E-2</v>
          </cell>
          <cell r="CY121">
            <v>7.2999999999999995E-2</v>
          </cell>
          <cell r="DB121">
            <v>1.4999999999999999E-2</v>
          </cell>
          <cell r="DC121">
            <v>4.7E-2</v>
          </cell>
          <cell r="DD121">
            <v>4.4999999999999998E-2</v>
          </cell>
          <cell r="DE121">
            <v>4.2000000000000003E-2</v>
          </cell>
          <cell r="DH121">
            <v>5.1999999999999998E-2</v>
          </cell>
          <cell r="DI121">
            <v>1.6E-2</v>
          </cell>
          <cell r="DJ121">
            <v>1.6E-2</v>
          </cell>
          <cell r="DK121">
            <v>3.6999999999999998E-2</v>
          </cell>
          <cell r="DN121">
            <v>8.0000000000000002E-3</v>
          </cell>
          <cell r="DO121">
            <v>-4.2000000000000003E-2</v>
          </cell>
          <cell r="DP121">
            <v>-8.6999999999999994E-2</v>
          </cell>
          <cell r="DQ121">
            <v>-8.7999999999999995E-2</v>
          </cell>
          <cell r="DT121">
            <v>-5.8999999999999997E-2</v>
          </cell>
          <cell r="DU121">
            <v>-5.1999999999999998E-2</v>
          </cell>
          <cell r="DV121">
            <v>3.0000000000000001E-3</v>
          </cell>
          <cell r="DW121">
            <v>-1.2E-2</v>
          </cell>
          <cell r="DZ121">
            <v>-1.3999999999999999E-2</v>
          </cell>
          <cell r="EA121">
            <v>-4.0000000000000001E-3</v>
          </cell>
          <cell r="EB121">
            <v>-0.02</v>
          </cell>
          <cell r="EC121">
            <v>5.5E-2</v>
          </cell>
          <cell r="EF121">
            <v>5.3999999999999999E-2</v>
          </cell>
          <cell r="EG121">
            <v>3.6999999999999998E-2</v>
          </cell>
          <cell r="EH121">
            <v>0.04</v>
          </cell>
          <cell r="EI121">
            <v>-4.0000000000000001E-3</v>
          </cell>
          <cell r="EL121">
            <v>2.8000000000000001E-2</v>
          </cell>
          <cell r="EM121">
            <v>-8.9999999999999993E-3</v>
          </cell>
          <cell r="EN121">
            <v>-7.0000000000000001E-3</v>
          </cell>
          <cell r="EO121">
            <v>0.01</v>
          </cell>
          <cell r="ER121">
            <v>-8.0000000000000002E-3</v>
          </cell>
          <cell r="ES121">
            <v>3.3000000000000002E-2</v>
          </cell>
          <cell r="ET121">
            <v>7.6999999999999999E-2</v>
          </cell>
          <cell r="EU121">
            <v>8.5999999999999993E-2</v>
          </cell>
          <cell r="EX121">
            <v>-2.1999999999999999E-2</v>
          </cell>
          <cell r="EY121">
            <v>-1.4E-2</v>
          </cell>
          <cell r="EZ121">
            <v>-1.4999999999999999E-2</v>
          </cell>
          <cell r="FA121">
            <v>-7.0999999999999994E-2</v>
          </cell>
          <cell r="FD121">
            <v>0.03</v>
          </cell>
          <cell r="FE121">
            <v>-2.9000000000000001E-2</v>
          </cell>
          <cell r="FF121">
            <v>-6.3E-2</v>
          </cell>
          <cell r="FG121">
            <v>-4.4999999999999998E-2</v>
          </cell>
          <cell r="FJ121">
            <v>-9.0999999999999998E-2</v>
          </cell>
          <cell r="FK121">
            <v>-0.107</v>
          </cell>
          <cell r="FL121">
            <v>-8.0000000000000002E-3</v>
          </cell>
          <cell r="FM121">
            <v>3.4000000000000002E-2</v>
          </cell>
          <cell r="FP121">
            <v>1.0999999999999999E-2</v>
          </cell>
          <cell r="FQ121">
            <v>7.2999999999999995E-2</v>
          </cell>
          <cell r="FR121">
            <v>2.5000000000000001E-2</v>
          </cell>
          <cell r="FS121">
            <v>2.5999999999999999E-2</v>
          </cell>
          <cell r="FV121">
            <v>0.108</v>
          </cell>
          <cell r="FW121">
            <v>0.05</v>
          </cell>
          <cell r="FX121">
            <v>2.1999999999999999E-2</v>
          </cell>
          <cell r="FY121">
            <v>2.4E-2</v>
          </cell>
          <cell r="GB121">
            <v>1.2E-2</v>
          </cell>
          <cell r="GC121">
            <v>4.1000000000000002E-2</v>
          </cell>
          <cell r="GD121">
            <v>5.5E-2</v>
          </cell>
          <cell r="GE121">
            <v>0.05</v>
          </cell>
        </row>
        <row r="122">
          <cell r="A122" t="str">
            <v>Total</v>
          </cell>
          <cell r="AN122" t="str">
            <v>Total</v>
          </cell>
          <cell r="BS122">
            <v>3.9E-2</v>
          </cell>
          <cell r="BT122">
            <v>8.0000000000000002E-3</v>
          </cell>
          <cell r="BU122">
            <v>3.6999999999999998E-2</v>
          </cell>
          <cell r="BV122">
            <v>3.5999999999999997E-2</v>
          </cell>
          <cell r="BW122">
            <v>3.0898675327518881E-2</v>
          </cell>
          <cell r="CJ122">
            <v>4.8470506256248672E-2</v>
          </cell>
          <cell r="CK122">
            <v>8.3184337129285652E-3</v>
          </cell>
          <cell r="CL122">
            <v>8.9999999999999993E-3</v>
          </cell>
          <cell r="CM122">
            <v>4.3417523930571543E-2</v>
          </cell>
          <cell r="CN122">
            <v>3.0844572544785176E-2</v>
          </cell>
          <cell r="CP122">
            <v>2.5000000000000001E-2</v>
          </cell>
          <cell r="CQ122">
            <v>4.3999999999999997E-2</v>
          </cell>
          <cell r="CR122">
            <v>3.1E-2</v>
          </cell>
          <cell r="CS122">
            <v>1.4E-2</v>
          </cell>
          <cell r="CT122">
            <v>2.7069152758765591E-2</v>
          </cell>
          <cell r="CU122">
            <v>0</v>
          </cell>
          <cell r="CV122">
            <v>2.4E-2</v>
          </cell>
          <cell r="CW122">
            <v>3.0187969924812031E-2</v>
          </cell>
          <cell r="CX122">
            <v>-1.2479646871752174E-2</v>
          </cell>
          <cell r="CY122">
            <v>4.1000000000000002E-2</v>
          </cell>
          <cell r="CZ122">
            <v>4.4999999999999998E-2</v>
          </cell>
          <cell r="DB122">
            <v>0.04</v>
          </cell>
          <cell r="DC122">
            <v>5.8999999999999997E-2</v>
          </cell>
          <cell r="DD122">
            <v>3.9E-2</v>
          </cell>
          <cell r="DE122">
            <v>4.3999999999999997E-2</v>
          </cell>
          <cell r="DF122">
            <v>4.4999999999999998E-2</v>
          </cell>
          <cell r="DH122">
            <v>2.9000000000000001E-2</v>
          </cell>
          <cell r="DI122">
            <v>1.9E-2</v>
          </cell>
          <cell r="DJ122">
            <v>1.9E-2</v>
          </cell>
          <cell r="DK122">
            <v>1.6E-2</v>
          </cell>
          <cell r="DL122">
            <v>0.02</v>
          </cell>
          <cell r="DN122">
            <v>-1.4999999999999999E-2</v>
          </cell>
          <cell r="DO122">
            <v>-4.8000000000000001E-2</v>
          </cell>
          <cell r="DP122">
            <v>-8.5999999999999993E-2</v>
          </cell>
          <cell r="DQ122">
            <v>-0.06</v>
          </cell>
          <cell r="DR122">
            <v>-5.2999999999999999E-2</v>
          </cell>
          <cell r="DT122">
            <v>-2.9000000000000001E-2</v>
          </cell>
          <cell r="DU122">
            <v>-2.8000000000000001E-2</v>
          </cell>
          <cell r="DV122">
            <v>-0.02</v>
          </cell>
          <cell r="DW122">
            <v>-3.9E-2</v>
          </cell>
          <cell r="DX122">
            <v>-0.03</v>
          </cell>
          <cell r="DZ122">
            <v>-0.05</v>
          </cell>
          <cell r="EA122">
            <v>-1.2E-2</v>
          </cell>
          <cell r="EB122">
            <v>2E-3</v>
          </cell>
          <cell r="EC122">
            <v>1.3999999999999999E-2</v>
          </cell>
          <cell r="ED122">
            <v>-9.0000000000000011E-3</v>
          </cell>
          <cell r="EF122">
            <v>6.9000000000000006E-2</v>
          </cell>
          <cell r="EG122">
            <v>3.3000000000000002E-2</v>
          </cell>
          <cell r="EH122">
            <v>4.0000000000000001E-3</v>
          </cell>
          <cell r="EI122">
            <v>8.0000000000000002E-3</v>
          </cell>
          <cell r="EJ122">
            <v>2.5999999999999999E-2</v>
          </cell>
          <cell r="EL122">
            <v>2.5999999999999999E-2</v>
          </cell>
          <cell r="EM122">
            <v>1.0999999999999999E-2</v>
          </cell>
          <cell r="EN122">
            <v>6.0000000000000001E-3</v>
          </cell>
          <cell r="EO122">
            <v>1.0999999999999999E-2</v>
          </cell>
          <cell r="EP122">
            <v>1.2999999999999999E-2</v>
          </cell>
          <cell r="ER122">
            <v>0</v>
          </cell>
          <cell r="ES122">
            <v>4.5999999999999999E-2</v>
          </cell>
          <cell r="ET122">
            <v>5.8999999999999997E-2</v>
          </cell>
          <cell r="EU122">
            <v>6.0999999999999999E-2</v>
          </cell>
          <cell r="EV122">
            <v>4.3999999999999997E-2</v>
          </cell>
          <cell r="EX122">
            <v>6.0000000000000001E-3</v>
          </cell>
          <cell r="EY122">
            <v>-2.5999999999999999E-2</v>
          </cell>
          <cell r="EZ122">
            <v>-8.0000000000000002E-3</v>
          </cell>
          <cell r="FA122">
            <v>-0.02</v>
          </cell>
          <cell r="FB122">
            <v>-1.2999999999999999E-2</v>
          </cell>
          <cell r="FD122">
            <v>-2.5999999999999999E-2</v>
          </cell>
          <cell r="FE122">
            <v>-2.1000000000000001E-2</v>
          </cell>
          <cell r="FF122">
            <v>-0.06</v>
          </cell>
          <cell r="FG122">
            <v>-7.0000000000000007E-2</v>
          </cell>
          <cell r="FH122">
            <v>-4.4999999999999998E-2</v>
          </cell>
          <cell r="FJ122">
            <v>-0.09</v>
          </cell>
          <cell r="FK122">
            <v>-9.5000000000000001E-2</v>
          </cell>
          <cell r="FL122">
            <v>-3.5999999999999997E-2</v>
          </cell>
          <cell r="FM122">
            <v>-8.0000000000000002E-3</v>
          </cell>
          <cell r="FN122">
            <v>-5.2999999999999999E-2</v>
          </cell>
          <cell r="FP122">
            <v>5.5E-2</v>
          </cell>
          <cell r="FQ122">
            <v>4.9000000000000002E-2</v>
          </cell>
          <cell r="FR122">
            <v>3.9E-2</v>
          </cell>
          <cell r="FS122">
            <v>4.2999999999999997E-2</v>
          </cell>
          <cell r="FT122">
            <v>4.610434747830261E-2</v>
          </cell>
          <cell r="FV122">
            <v>5.3999999999999999E-2</v>
          </cell>
          <cell r="FW122">
            <v>6.4000000000000001E-2</v>
          </cell>
          <cell r="FX122">
            <v>0.04</v>
          </cell>
          <cell r="FY122">
            <v>5.1999999999999998E-2</v>
          </cell>
          <cell r="FZ122">
            <v>5.2999999999999999E-2</v>
          </cell>
          <cell r="GB122">
            <v>4.3999999999999997E-2</v>
          </cell>
          <cell r="GC122">
            <v>0.03</v>
          </cell>
          <cell r="GD122">
            <v>4.4170626829774157E-2</v>
          </cell>
          <cell r="GE122">
            <v>4.1872044415560798E-2</v>
          </cell>
          <cell r="GF122">
            <v>4.02253638971692E-2</v>
          </cell>
        </row>
        <row r="124">
          <cell r="A124" t="str">
            <v>Consolidated Productivity Factor</v>
          </cell>
          <cell r="AN124" t="str">
            <v>Consolidated Productivity Factor</v>
          </cell>
        </row>
        <row r="125">
          <cell r="A125" t="str">
            <v>Month 1</v>
          </cell>
          <cell r="AN125" t="str">
            <v>Month 1</v>
          </cell>
          <cell r="EF125">
            <v>1.0043063843845854</v>
          </cell>
          <cell r="EG125">
            <v>1.010810633855717</v>
          </cell>
          <cell r="EH125">
            <v>1.0130234439561103</v>
          </cell>
          <cell r="EI125">
            <v>1.0261552566722514</v>
          </cell>
          <cell r="EL125">
            <v>1.0039733185357242</v>
          </cell>
          <cell r="EM125">
            <v>0.99978472992257905</v>
          </cell>
          <cell r="EN125">
            <v>1.0012187282870586</v>
          </cell>
          <cell r="EO125">
            <v>0.91407567624195751</v>
          </cell>
          <cell r="ER125">
            <v>0.85379589916801657</v>
          </cell>
          <cell r="ES125">
            <v>0.82852877251430668</v>
          </cell>
          <cell r="ET125">
            <v>0.83475030563790842</v>
          </cell>
          <cell r="EU125">
            <v>0.91480422703367681</v>
          </cell>
          <cell r="EX125">
            <v>1.0042251017232908</v>
          </cell>
          <cell r="EY125">
            <v>1.0108075527611304</v>
          </cell>
          <cell r="EZ125">
            <v>1.0032705612197608</v>
          </cell>
          <cell r="FA125">
            <v>0.99617129302855612</v>
          </cell>
          <cell r="FD125">
            <v>1.0047260256693704</v>
          </cell>
          <cell r="FE125">
            <v>1.0011731147187122</v>
          </cell>
          <cell r="FF125">
            <v>1.0015681684828099</v>
          </cell>
          <cell r="FG125">
            <v>0.9980273685296247</v>
          </cell>
          <cell r="FJ125">
            <v>1.0146680194879518</v>
          </cell>
          <cell r="FK125">
            <v>1.0229325701507319</v>
          </cell>
          <cell r="FL125">
            <v>1.0237530410429481</v>
          </cell>
          <cell r="FM125">
            <v>1.0168796021749338</v>
          </cell>
          <cell r="FP125">
            <v>1.0016060228776302</v>
          </cell>
          <cell r="FQ125">
            <v>0.98881215735067063</v>
          </cell>
          <cell r="FR125">
            <v>1.0007452413933455</v>
          </cell>
          <cell r="FS125">
            <v>1.0028115913956974</v>
          </cell>
          <cell r="FV125">
            <v>1.0005096291516782</v>
          </cell>
          <cell r="FW125">
            <v>1.0081721608307339</v>
          </cell>
          <cell r="FX125">
            <v>0.99435769750356207</v>
          </cell>
          <cell r="FY125">
            <v>1.0114048185081832</v>
          </cell>
          <cell r="GB125">
            <v>1.0253009585429893</v>
          </cell>
          <cell r="GC125">
            <v>1.0133052611979987</v>
          </cell>
          <cell r="GD125">
            <v>1.018088666893139</v>
          </cell>
          <cell r="GE125">
            <v>1.0011764705882353</v>
          </cell>
        </row>
        <row r="126">
          <cell r="A126" t="str">
            <v>Month 2</v>
          </cell>
          <cell r="AN126" t="str">
            <v>Month 2</v>
          </cell>
          <cell r="EF126">
            <v>1.0053433076034095</v>
          </cell>
          <cell r="EG126">
            <v>1.0066663386950321</v>
          </cell>
          <cell r="EH126">
            <v>1.012796599849775</v>
          </cell>
          <cell r="EI126">
            <v>1.0251796947783753</v>
          </cell>
          <cell r="EL126">
            <v>1.0061447584995618</v>
          </cell>
          <cell r="EM126">
            <v>1.0029492195249803</v>
          </cell>
          <cell r="EN126">
            <v>0.88191400316768354</v>
          </cell>
          <cell r="EO126">
            <v>0.90286524641517052</v>
          </cell>
          <cell r="ER126">
            <v>0.87143545576033965</v>
          </cell>
          <cell r="ES126">
            <v>0.86259214604526391</v>
          </cell>
          <cell r="ET126">
            <v>0.95476655228407081</v>
          </cell>
          <cell r="EU126">
            <v>0.95390310394604827</v>
          </cell>
          <cell r="EX126">
            <v>0.99756383077735888</v>
          </cell>
          <cell r="EY126">
            <v>1.0076309712339664</v>
          </cell>
          <cell r="EZ126">
            <v>1.0058439901456568</v>
          </cell>
          <cell r="FA126">
            <v>1.0104925603418453</v>
          </cell>
          <cell r="FD126">
            <v>1.0038919718017412</v>
          </cell>
          <cell r="FE126">
            <v>1.0002262623646179</v>
          </cell>
          <cell r="FF126">
            <v>1.0022779610885877</v>
          </cell>
          <cell r="FG126">
            <v>0.98797059201406712</v>
          </cell>
          <cell r="FJ126">
            <v>1.0172356632303496</v>
          </cell>
          <cell r="FK126">
            <v>1.0266388149144143</v>
          </cell>
          <cell r="FL126">
            <v>1.0185440088098592</v>
          </cell>
          <cell r="FM126">
            <v>1.0150644106268683</v>
          </cell>
          <cell r="FP126">
            <v>0.9967530496300272</v>
          </cell>
          <cell r="FQ126">
            <v>0.99989171377441255</v>
          </cell>
          <cell r="FR126">
            <v>1.0028971230689774</v>
          </cell>
          <cell r="FS126">
            <v>0.9946391314592461</v>
          </cell>
          <cell r="FV126">
            <v>1.0074992903911262</v>
          </cell>
          <cell r="FW126">
            <v>1.0057878604073234</v>
          </cell>
          <cell r="FX126">
            <v>1.0057401642886414</v>
          </cell>
          <cell r="FY126">
            <v>1.0118477756232767</v>
          </cell>
          <cell r="GB126">
            <v>1.0102541230632647</v>
          </cell>
          <cell r="GC126">
            <v>1.011143062170935</v>
          </cell>
          <cell r="GD126">
            <v>1</v>
          </cell>
          <cell r="GE126">
            <v>1</v>
          </cell>
        </row>
        <row r="127">
          <cell r="A127" t="str">
            <v>Month 3</v>
          </cell>
          <cell r="AN127" t="str">
            <v>Month 3</v>
          </cell>
          <cell r="EF127">
            <v>1.0049191704800837</v>
          </cell>
          <cell r="EG127">
            <v>1.0157391039871562</v>
          </cell>
          <cell r="EH127">
            <v>1.0229244178565875</v>
          </cell>
          <cell r="EI127">
            <v>1.0174283739131365</v>
          </cell>
          <cell r="EL127">
            <v>1.0058035349864145</v>
          </cell>
          <cell r="EM127">
            <v>1.0039069906098907</v>
          </cell>
          <cell r="EN127">
            <v>0.90735496459885556</v>
          </cell>
          <cell r="EO127">
            <v>0.95100379512625965</v>
          </cell>
          <cell r="ER127">
            <v>0.85509041472763314</v>
          </cell>
          <cell r="ES127">
            <v>0.83302342705472399</v>
          </cell>
          <cell r="ET127">
            <v>0.9300581404093593</v>
          </cell>
          <cell r="EU127">
            <v>0.88885616548937241</v>
          </cell>
          <cell r="EX127">
            <v>1.0012993536198342</v>
          </cell>
          <cell r="EY127">
            <v>1.0067406823426219</v>
          </cell>
          <cell r="EZ127">
            <v>1.0010354929971583</v>
          </cell>
          <cell r="FA127">
            <v>0.77697496531497701</v>
          </cell>
          <cell r="FD127">
            <v>0.99998610863561077</v>
          </cell>
          <cell r="FE127">
            <v>1.0000776716315167</v>
          </cell>
          <cell r="FF127">
            <v>1.0026881239876493</v>
          </cell>
          <cell r="FG127">
            <v>1.0034001517037674</v>
          </cell>
          <cell r="FJ127">
            <v>1.017274065207098</v>
          </cell>
          <cell r="FK127">
            <v>1.0307481774152398</v>
          </cell>
          <cell r="FL127">
            <v>1.0154616377110075</v>
          </cell>
          <cell r="FM127">
            <v>1.009307170702717</v>
          </cell>
          <cell r="FP127">
            <v>1.0005893323256754</v>
          </cell>
          <cell r="FQ127">
            <v>1.0111137394005785</v>
          </cell>
          <cell r="FR127">
            <v>1.0254628236300125</v>
          </cell>
          <cell r="FS127">
            <v>1.00775043725629</v>
          </cell>
          <cell r="FV127">
            <v>0.99618702023241001</v>
          </cell>
          <cell r="FW127">
            <v>1.0047825549823146</v>
          </cell>
          <cell r="FX127">
            <v>1.0004489851343907</v>
          </cell>
          <cell r="FY127">
            <v>1.008520012530175</v>
          </cell>
          <cell r="GB127">
            <v>1.0062765433093959</v>
          </cell>
          <cell r="GC127">
            <v>1.0227639737625074</v>
          </cell>
          <cell r="GD127">
            <v>1</v>
          </cell>
          <cell r="GE127">
            <v>1.25</v>
          </cell>
        </row>
        <row r="128">
          <cell r="EX128">
            <v>0.99364581839822941</v>
          </cell>
          <cell r="EY128">
            <v>1.0053855991928882</v>
          </cell>
          <cell r="EZ128">
            <v>1.0049007333596589</v>
          </cell>
          <cell r="FA128">
            <v>0.96635245216954013</v>
          </cell>
          <cell r="FD128">
            <v>1.0093706103322386</v>
          </cell>
          <cell r="FE128">
            <v>0.99942053289687438</v>
          </cell>
          <cell r="FF128">
            <v>1.0028127761391281</v>
          </cell>
          <cell r="FG128">
            <v>0.99829531956488382</v>
          </cell>
          <cell r="FH128">
            <v>0.99616480017746767</v>
          </cell>
          <cell r="FJ128">
            <v>1.0150952522446879</v>
          </cell>
          <cell r="FK128">
            <v>1.028988144998136</v>
          </cell>
          <cell r="FL128">
            <v>1.0174659464761271</v>
          </cell>
          <cell r="FM128">
            <v>1.004258927748259</v>
          </cell>
          <cell r="FN128">
            <v>1.0094977226152135</v>
          </cell>
          <cell r="FP128">
            <v>1.0000259928958455</v>
          </cell>
          <cell r="FQ128">
            <v>0.99963688802128137</v>
          </cell>
          <cell r="FR128">
            <v>1.0093878458063197</v>
          </cell>
          <cell r="FS128">
            <v>1.0000370362620763</v>
          </cell>
          <cell r="FT128">
            <v>1.0017002547102301</v>
          </cell>
          <cell r="FV128">
            <v>1.0021044058948783</v>
          </cell>
          <cell r="FW128">
            <v>1.0081307827273334</v>
          </cell>
          <cell r="FX128">
            <v>1.0033467891940979</v>
          </cell>
          <cell r="FY128">
            <v>1.0155381429309334</v>
          </cell>
          <cell r="FZ128">
            <v>1.0152922484576603</v>
          </cell>
          <cell r="GB128">
            <v>1.0132824557239268</v>
          </cell>
          <cell r="GC128">
            <v>1.0138954016780533</v>
          </cell>
          <cell r="GD128">
            <v>1.0060645702976547</v>
          </cell>
          <cell r="GE128">
            <v>1.0305274860110949</v>
          </cell>
          <cell r="GF128">
            <v>1.0083583012001358</v>
          </cell>
        </row>
        <row r="129">
          <cell r="A129" t="str">
            <v>Consolidated Store Count</v>
          </cell>
          <cell r="AN129" t="str">
            <v>Consolidated Store Count</v>
          </cell>
        </row>
        <row r="130">
          <cell r="A130" t="str">
            <v>Month 1</v>
          </cell>
          <cell r="AN130" t="str">
            <v>Month 1</v>
          </cell>
          <cell r="DZ130">
            <v>456</v>
          </cell>
          <cell r="EA130">
            <v>456</v>
          </cell>
          <cell r="EB130">
            <v>460</v>
          </cell>
          <cell r="EC130">
            <v>465</v>
          </cell>
          <cell r="EF130">
            <v>458</v>
          </cell>
          <cell r="EG130">
            <v>457</v>
          </cell>
          <cell r="EH130">
            <v>457</v>
          </cell>
          <cell r="EI130">
            <v>459</v>
          </cell>
          <cell r="EL130">
            <v>459</v>
          </cell>
          <cell r="EM130">
            <v>460</v>
          </cell>
          <cell r="EN130">
            <v>459</v>
          </cell>
          <cell r="EO130">
            <v>935</v>
          </cell>
          <cell r="ER130">
            <v>868</v>
          </cell>
          <cell r="ES130">
            <v>861</v>
          </cell>
          <cell r="ET130">
            <v>854</v>
          </cell>
          <cell r="EU130">
            <v>860</v>
          </cell>
          <cell r="EX130">
            <v>858</v>
          </cell>
          <cell r="EY130">
            <v>863</v>
          </cell>
          <cell r="EZ130">
            <v>864</v>
          </cell>
          <cell r="FA130">
            <v>866</v>
          </cell>
          <cell r="FD130">
            <v>852</v>
          </cell>
          <cell r="FE130">
            <v>852</v>
          </cell>
          <cell r="FF130">
            <v>856</v>
          </cell>
          <cell r="FG130">
            <v>859</v>
          </cell>
          <cell r="FJ130">
            <v>847</v>
          </cell>
          <cell r="FK130">
            <v>848</v>
          </cell>
          <cell r="FL130">
            <v>849</v>
          </cell>
          <cell r="FM130">
            <v>854</v>
          </cell>
          <cell r="FP130">
            <v>850</v>
          </cell>
          <cell r="FQ130">
            <v>850</v>
          </cell>
          <cell r="FR130">
            <v>849</v>
          </cell>
          <cell r="FS130">
            <v>854</v>
          </cell>
          <cell r="FV130">
            <v>850</v>
          </cell>
          <cell r="FW130">
            <v>850</v>
          </cell>
          <cell r="FX130">
            <v>849</v>
          </cell>
          <cell r="FY130">
            <v>851</v>
          </cell>
          <cell r="GB130">
            <v>842</v>
          </cell>
          <cell r="GC130">
            <v>844</v>
          </cell>
          <cell r="GD130">
            <v>846</v>
          </cell>
          <cell r="GE130">
            <v>847</v>
          </cell>
        </row>
        <row r="131">
          <cell r="A131" t="str">
            <v>Month 2</v>
          </cell>
          <cell r="AN131" t="str">
            <v>Month 2</v>
          </cell>
          <cell r="DZ131">
            <v>456</v>
          </cell>
          <cell r="EA131">
            <v>455</v>
          </cell>
          <cell r="EB131">
            <v>460</v>
          </cell>
          <cell r="EC131">
            <v>465</v>
          </cell>
          <cell r="EF131">
            <v>458</v>
          </cell>
          <cell r="EG131">
            <v>457</v>
          </cell>
          <cell r="EH131">
            <v>458</v>
          </cell>
          <cell r="EI131">
            <v>459</v>
          </cell>
          <cell r="EL131">
            <v>459</v>
          </cell>
          <cell r="EM131">
            <v>460</v>
          </cell>
          <cell r="EN131">
            <v>933</v>
          </cell>
          <cell r="EO131">
            <v>934</v>
          </cell>
          <cell r="ER131">
            <v>861</v>
          </cell>
          <cell r="ES131">
            <v>859</v>
          </cell>
          <cell r="ET131">
            <v>855</v>
          </cell>
          <cell r="EU131">
            <v>860</v>
          </cell>
          <cell r="EX131">
            <v>859</v>
          </cell>
          <cell r="EY131">
            <v>863</v>
          </cell>
          <cell r="EZ131">
            <v>866</v>
          </cell>
          <cell r="FA131">
            <v>857</v>
          </cell>
          <cell r="FD131">
            <v>853</v>
          </cell>
          <cell r="FE131">
            <v>853</v>
          </cell>
          <cell r="FF131">
            <v>853</v>
          </cell>
          <cell r="FG131">
            <v>859</v>
          </cell>
          <cell r="FJ131">
            <v>847</v>
          </cell>
          <cell r="FK131">
            <v>848</v>
          </cell>
          <cell r="FL131">
            <v>852</v>
          </cell>
          <cell r="FM131">
            <v>854</v>
          </cell>
          <cell r="FP131">
            <v>850</v>
          </cell>
          <cell r="FQ131">
            <v>850</v>
          </cell>
          <cell r="FR131">
            <v>852</v>
          </cell>
          <cell r="FS131">
            <v>854</v>
          </cell>
          <cell r="FV131">
            <v>850</v>
          </cell>
          <cell r="FW131">
            <v>850</v>
          </cell>
          <cell r="FX131">
            <v>849</v>
          </cell>
          <cell r="FY131">
            <v>850</v>
          </cell>
          <cell r="GB131">
            <v>844</v>
          </cell>
          <cell r="GC131">
            <v>846</v>
          </cell>
          <cell r="GD131">
            <v>847</v>
          </cell>
          <cell r="GE131">
            <v>848</v>
          </cell>
        </row>
        <row r="132">
          <cell r="A132" t="str">
            <v>Month 3</v>
          </cell>
          <cell r="AN132" t="str">
            <v>Month 3</v>
          </cell>
          <cell r="DZ132">
            <v>456</v>
          </cell>
          <cell r="EA132">
            <v>460</v>
          </cell>
          <cell r="EB132">
            <v>465</v>
          </cell>
          <cell r="EC132">
            <v>459</v>
          </cell>
          <cell r="EF132">
            <v>459</v>
          </cell>
          <cell r="EG132">
            <v>457</v>
          </cell>
          <cell r="EH132">
            <v>459</v>
          </cell>
          <cell r="EI132">
            <v>459</v>
          </cell>
          <cell r="EL132">
            <v>459</v>
          </cell>
          <cell r="EM132">
            <v>460</v>
          </cell>
          <cell r="EN132">
            <v>935</v>
          </cell>
          <cell r="EO132">
            <v>868</v>
          </cell>
          <cell r="ER132">
            <v>861</v>
          </cell>
          <cell r="ES132">
            <v>856</v>
          </cell>
          <cell r="ET132">
            <v>857</v>
          </cell>
          <cell r="EU132">
            <v>858</v>
          </cell>
          <cell r="EX132">
            <v>863</v>
          </cell>
          <cell r="EY132">
            <v>863</v>
          </cell>
          <cell r="EZ132">
            <v>866</v>
          </cell>
          <cell r="FA132">
            <v>852</v>
          </cell>
          <cell r="FD132">
            <v>851</v>
          </cell>
          <cell r="FE132">
            <v>855</v>
          </cell>
          <cell r="FF132">
            <v>856</v>
          </cell>
          <cell r="FG132">
            <v>847</v>
          </cell>
          <cell r="FJ132">
            <v>848</v>
          </cell>
          <cell r="FK132">
            <v>848</v>
          </cell>
          <cell r="FL132">
            <v>854</v>
          </cell>
          <cell r="FM132">
            <v>850</v>
          </cell>
          <cell r="FP132">
            <v>849</v>
          </cell>
          <cell r="FQ132">
            <v>849</v>
          </cell>
          <cell r="FR132">
            <v>854</v>
          </cell>
          <cell r="FS132">
            <v>850</v>
          </cell>
          <cell r="FV132">
            <v>850</v>
          </cell>
          <cell r="FW132">
            <v>849</v>
          </cell>
          <cell r="FX132">
            <v>850</v>
          </cell>
          <cell r="FY132">
            <v>842</v>
          </cell>
          <cell r="GB132">
            <v>844</v>
          </cell>
          <cell r="GC132">
            <v>845</v>
          </cell>
          <cell r="GD132">
            <v>847</v>
          </cell>
          <cell r="GE132">
            <v>844</v>
          </cell>
        </row>
        <row r="133">
          <cell r="A133" t="str">
            <v>Total</v>
          </cell>
          <cell r="AN133" t="str">
            <v>Total</v>
          </cell>
          <cell r="DZ133">
            <v>456</v>
          </cell>
          <cell r="EA133">
            <v>460</v>
          </cell>
          <cell r="EB133">
            <v>465</v>
          </cell>
          <cell r="EC133">
            <v>459</v>
          </cell>
          <cell r="ED133">
            <v>459</v>
          </cell>
          <cell r="EF133">
            <v>459</v>
          </cell>
          <cell r="EG133">
            <v>457</v>
          </cell>
          <cell r="EH133">
            <v>459</v>
          </cell>
          <cell r="EI133">
            <v>459</v>
          </cell>
          <cell r="EJ133">
            <v>459</v>
          </cell>
          <cell r="EL133">
            <v>459</v>
          </cell>
          <cell r="EM133">
            <v>460</v>
          </cell>
          <cell r="EN133">
            <v>935</v>
          </cell>
          <cell r="EO133">
            <v>868</v>
          </cell>
          <cell r="EP133">
            <v>868</v>
          </cell>
          <cell r="ER133">
            <v>861</v>
          </cell>
          <cell r="ES133">
            <v>856</v>
          </cell>
          <cell r="ET133">
            <v>857</v>
          </cell>
          <cell r="EU133">
            <v>858</v>
          </cell>
          <cell r="EV133">
            <v>858</v>
          </cell>
          <cell r="EX133">
            <v>863</v>
          </cell>
          <cell r="EY133">
            <v>863</v>
          </cell>
          <cell r="EZ133">
            <v>866</v>
          </cell>
          <cell r="FA133">
            <v>852</v>
          </cell>
          <cell r="FB133">
            <v>852</v>
          </cell>
          <cell r="FD133">
            <v>851</v>
          </cell>
          <cell r="FE133">
            <v>855</v>
          </cell>
          <cell r="FF133">
            <v>856</v>
          </cell>
          <cell r="FG133">
            <v>847</v>
          </cell>
          <cell r="FH133">
            <v>847</v>
          </cell>
          <cell r="FJ133">
            <v>848</v>
          </cell>
          <cell r="FK133">
            <v>848</v>
          </cell>
          <cell r="FL133">
            <v>854</v>
          </cell>
          <cell r="FM133">
            <v>850</v>
          </cell>
          <cell r="FN133">
            <v>850</v>
          </cell>
          <cell r="FP133">
            <v>849</v>
          </cell>
          <cell r="FQ133">
            <v>849</v>
          </cell>
          <cell r="FR133">
            <v>854</v>
          </cell>
          <cell r="FS133">
            <v>850</v>
          </cell>
          <cell r="FT133">
            <v>850</v>
          </cell>
          <cell r="FV133">
            <v>850</v>
          </cell>
          <cell r="FW133">
            <v>849</v>
          </cell>
          <cell r="FX133">
            <v>850</v>
          </cell>
          <cell r="FY133">
            <v>842</v>
          </cell>
          <cell r="FZ133">
            <v>842</v>
          </cell>
          <cell r="GB133">
            <v>844</v>
          </cell>
          <cell r="GC133">
            <v>845</v>
          </cell>
          <cell r="GD133">
            <v>847</v>
          </cell>
          <cell r="GE133">
            <v>844</v>
          </cell>
          <cell r="GF133">
            <v>844</v>
          </cell>
        </row>
        <row r="134">
          <cell r="GB134">
            <v>2</v>
          </cell>
          <cell r="GC134">
            <v>1</v>
          </cell>
          <cell r="GD134">
            <v>2</v>
          </cell>
          <cell r="GE134">
            <v>-3</v>
          </cell>
        </row>
        <row r="135">
          <cell r="A135" t="str">
            <v>Consolidated EOP Sq. Ft. (Estimated)</v>
          </cell>
          <cell r="AN135" t="str">
            <v>Consolidated EOP Sq. Ft. (Estimated)</v>
          </cell>
        </row>
        <row r="136">
          <cell r="A136" t="str">
            <v>Month 1</v>
          </cell>
          <cell r="AN136" t="str">
            <v>Month 1</v>
          </cell>
          <cell r="DZ136">
            <v>83.683006535947712</v>
          </cell>
          <cell r="EA136">
            <v>83.680988917306053</v>
          </cell>
          <cell r="EB136">
            <v>84.412537774966609</v>
          </cell>
          <cell r="EC136">
            <v>85.098039215686271</v>
          </cell>
          <cell r="EF136">
            <v>83.816993464052288</v>
          </cell>
          <cell r="EG136">
            <v>83.637037037037032</v>
          </cell>
          <cell r="EH136">
            <v>83.633986928104576</v>
          </cell>
          <cell r="EI136">
            <v>83.3</v>
          </cell>
          <cell r="EL136">
            <v>83.3</v>
          </cell>
          <cell r="EM136">
            <v>83.48260368663594</v>
          </cell>
          <cell r="EN136">
            <v>83.562228739002933</v>
          </cell>
          <cell r="EO136">
            <v>170.73444700460828</v>
          </cell>
          <cell r="ER136">
            <v>158.50225330225331</v>
          </cell>
          <cell r="ES136">
            <v>157.2256282269133</v>
          </cell>
          <cell r="ET136">
            <v>155.94704843969723</v>
          </cell>
          <cell r="EU136">
            <v>156.76456876456876</v>
          </cell>
          <cell r="EX136">
            <v>156.13711008111241</v>
          </cell>
          <cell r="EY136">
            <v>156.88300000000001</v>
          </cell>
          <cell r="EZ136">
            <v>157.15721016166282</v>
          </cell>
          <cell r="FA136">
            <v>157.50730751173711</v>
          </cell>
          <cell r="FD136">
            <v>155.23019506462987</v>
          </cell>
          <cell r="FE136">
            <v>155.06001403508773</v>
          </cell>
          <cell r="FF136">
            <v>155.41999999999999</v>
          </cell>
          <cell r="FG136">
            <v>156.27410743801653</v>
          </cell>
          <cell r="FJ136">
            <v>154.26087382075474</v>
          </cell>
          <cell r="FK136">
            <v>154.44300000000001</v>
          </cell>
          <cell r="FL136">
            <v>154.43150936768151</v>
          </cell>
          <cell r="FM136">
            <v>155.12658823529412</v>
          </cell>
          <cell r="FP136">
            <v>154.48674911660777</v>
          </cell>
          <cell r="FQ136">
            <v>154.48674911660777</v>
          </cell>
          <cell r="FR136">
            <v>153.76046135831382</v>
          </cell>
          <cell r="FS136">
            <v>154.94674588235296</v>
          </cell>
          <cell r="FV136">
            <v>154.34800000000001</v>
          </cell>
          <cell r="FW136">
            <v>154.47974087161367</v>
          </cell>
          <cell r="FX136">
            <v>154.10248941176471</v>
          </cell>
          <cell r="FY136">
            <v>153.92588836104514</v>
          </cell>
          <cell r="GB136">
            <v>151.83734123222749</v>
          </cell>
          <cell r="GC136">
            <v>152.19800000000001</v>
          </cell>
          <cell r="GD136">
            <v>152.25400000000002</v>
          </cell>
          <cell r="GE136">
            <v>152.30400000000003</v>
          </cell>
        </row>
        <row r="137">
          <cell r="A137" t="str">
            <v>Month 2</v>
          </cell>
          <cell r="AN137" t="str">
            <v>Month 2</v>
          </cell>
          <cell r="DZ137">
            <v>83.683006535947712</v>
          </cell>
          <cell r="EA137">
            <v>83.497477976697922</v>
          </cell>
          <cell r="EB137">
            <v>84.412537774966609</v>
          </cell>
          <cell r="EC137">
            <v>85.098039215686271</v>
          </cell>
          <cell r="EF137">
            <v>83.816993464052288</v>
          </cell>
          <cell r="EG137">
            <v>83.637037037037032</v>
          </cell>
          <cell r="EH137">
            <v>83.816993464052288</v>
          </cell>
          <cell r="EI137">
            <v>83.3</v>
          </cell>
          <cell r="EL137">
            <v>83.3</v>
          </cell>
          <cell r="EM137">
            <v>83.48260368663594</v>
          </cell>
          <cell r="EN137">
            <v>169.85524926686216</v>
          </cell>
          <cell r="EO137">
            <v>170.55184331797236</v>
          </cell>
          <cell r="ER137">
            <v>157.22400932400933</v>
          </cell>
          <cell r="ES137">
            <v>156.86041190118294</v>
          </cell>
          <cell r="ET137">
            <v>156.12965622475542</v>
          </cell>
          <cell r="EU137">
            <v>156.76456876456876</v>
          </cell>
          <cell r="EX137">
            <v>156.31908806488991</v>
          </cell>
          <cell r="EY137">
            <v>156.88300000000001</v>
          </cell>
          <cell r="EZ137">
            <v>157.52099999999999</v>
          </cell>
          <cell r="FA137">
            <v>155.87039553990613</v>
          </cell>
          <cell r="FD137">
            <v>155.41239012925971</v>
          </cell>
          <cell r="FE137">
            <v>155.24200935672516</v>
          </cell>
          <cell r="FF137">
            <v>154.87530373831774</v>
          </cell>
          <cell r="FG137">
            <v>156.27410743801653</v>
          </cell>
          <cell r="FJ137">
            <v>154.26087382075474</v>
          </cell>
          <cell r="FK137">
            <v>154.44300000000001</v>
          </cell>
          <cell r="FL137">
            <v>154.97720374707259</v>
          </cell>
          <cell r="FM137">
            <v>155.12658823529412</v>
          </cell>
          <cell r="FP137">
            <v>154.48674911660777</v>
          </cell>
          <cell r="FQ137">
            <v>154.48674911660777</v>
          </cell>
          <cell r="FR137">
            <v>154.30378454332552</v>
          </cell>
          <cell r="FS137">
            <v>154.94674588235296</v>
          </cell>
          <cell r="FV137">
            <v>154.34800000000001</v>
          </cell>
          <cell r="FW137">
            <v>154.47974087161367</v>
          </cell>
          <cell r="FX137">
            <v>154.10248941176471</v>
          </cell>
          <cell r="FY137">
            <v>153.74501187648457</v>
          </cell>
          <cell r="GB137">
            <v>152.19800000000001</v>
          </cell>
          <cell r="GC137">
            <v>152.22800000000001</v>
          </cell>
          <cell r="GD137">
            <v>152.30400000000003</v>
          </cell>
          <cell r="GE137">
            <v>152.30400000000003</v>
          </cell>
        </row>
        <row r="138">
          <cell r="A138" t="str">
            <v>Month 3</v>
          </cell>
          <cell r="AN138" t="str">
            <v>Month 3</v>
          </cell>
          <cell r="DZ138">
            <v>83.683006535947712</v>
          </cell>
          <cell r="EA138">
            <v>84.415032679738559</v>
          </cell>
          <cell r="EB138">
            <v>85.330065359477118</v>
          </cell>
          <cell r="EC138">
            <v>84</v>
          </cell>
          <cell r="EF138">
            <v>84</v>
          </cell>
          <cell r="EG138">
            <v>83.637037037037032</v>
          </cell>
          <cell r="EH138">
            <v>84</v>
          </cell>
          <cell r="EI138">
            <v>83.3</v>
          </cell>
          <cell r="EL138">
            <v>83.3</v>
          </cell>
          <cell r="EM138">
            <v>83.48260368663594</v>
          </cell>
          <cell r="EN138">
            <v>170.21935483870968</v>
          </cell>
          <cell r="EO138">
            <v>158.5</v>
          </cell>
          <cell r="ER138">
            <v>157.22400932400933</v>
          </cell>
          <cell r="ES138">
            <v>156.31258741258742</v>
          </cell>
          <cell r="ET138">
            <v>156.49487179487181</v>
          </cell>
          <cell r="EU138">
            <v>156.4</v>
          </cell>
          <cell r="EX138">
            <v>157.047</v>
          </cell>
          <cell r="EY138">
            <v>156.88300000000001</v>
          </cell>
          <cell r="EZ138">
            <v>157.52099999999999</v>
          </cell>
          <cell r="FA138">
            <v>154.96100000000001</v>
          </cell>
          <cell r="FD138">
            <v>155.048</v>
          </cell>
          <cell r="FE138">
            <v>155.60599999999999</v>
          </cell>
          <cell r="FF138">
            <v>155.41999999999999</v>
          </cell>
          <cell r="FG138">
            <v>154.09100000000001</v>
          </cell>
          <cell r="FJ138">
            <v>154.44300000000001</v>
          </cell>
          <cell r="FK138">
            <v>154.44300000000001</v>
          </cell>
          <cell r="FL138">
            <v>155.34100000000001</v>
          </cell>
          <cell r="FM138">
            <v>154.4</v>
          </cell>
          <cell r="FP138">
            <v>154.30500000000001</v>
          </cell>
          <cell r="FQ138">
            <v>154.30500000000001</v>
          </cell>
          <cell r="FR138">
            <v>154.666</v>
          </cell>
          <cell r="FS138">
            <v>154.221</v>
          </cell>
          <cell r="FV138">
            <v>154.34800000000001</v>
          </cell>
          <cell r="FW138">
            <v>154.298</v>
          </cell>
          <cell r="FX138">
            <v>154.28399999999999</v>
          </cell>
          <cell r="FY138">
            <v>152.298</v>
          </cell>
          <cell r="GB138">
            <v>152.19800000000001</v>
          </cell>
          <cell r="GC138">
            <v>152.20400000000001</v>
          </cell>
          <cell r="GD138">
            <v>152.30400000000003</v>
          </cell>
          <cell r="GE138">
            <v>152.30400000000003</v>
          </cell>
        </row>
        <row r="139">
          <cell r="A139" t="str">
            <v>Total</v>
          </cell>
          <cell r="AN139" t="str">
            <v>Total</v>
          </cell>
          <cell r="DZ139">
            <v>83.683006535947712</v>
          </cell>
          <cell r="EA139">
            <v>84.415032679738559</v>
          </cell>
          <cell r="EB139">
            <v>85.330065359477118</v>
          </cell>
          <cell r="EC139">
            <v>84</v>
          </cell>
          <cell r="ED139">
            <v>84</v>
          </cell>
          <cell r="EF139">
            <v>84</v>
          </cell>
          <cell r="EG139">
            <v>83.637037037037032</v>
          </cell>
          <cell r="EH139">
            <v>84</v>
          </cell>
          <cell r="EI139">
            <v>83.3</v>
          </cell>
          <cell r="EJ139">
            <v>83.3</v>
          </cell>
          <cell r="EL139">
            <v>83.3</v>
          </cell>
          <cell r="EM139">
            <v>83.48260368663594</v>
          </cell>
          <cell r="EN139">
            <v>170.21935483870968</v>
          </cell>
          <cell r="EO139">
            <v>158.5</v>
          </cell>
          <cell r="EP139">
            <v>158.5</v>
          </cell>
          <cell r="ER139">
            <v>157.22400932400933</v>
          </cell>
          <cell r="ES139">
            <v>156.31258741258742</v>
          </cell>
          <cell r="ET139">
            <v>156.49487179487181</v>
          </cell>
          <cell r="EU139">
            <v>156.4</v>
          </cell>
          <cell r="EV139">
            <v>156.4</v>
          </cell>
          <cell r="EX139">
            <v>157.047</v>
          </cell>
          <cell r="EY139">
            <v>156.88300000000001</v>
          </cell>
          <cell r="EZ139">
            <v>157.52099999999999</v>
          </cell>
          <cell r="FA139">
            <v>154.96100000000001</v>
          </cell>
          <cell r="FB139">
            <v>154.96100000000001</v>
          </cell>
          <cell r="FD139">
            <v>155.048</v>
          </cell>
          <cell r="FE139">
            <v>155.60599999999999</v>
          </cell>
          <cell r="FF139">
            <v>155.41999999999999</v>
          </cell>
          <cell r="FG139">
            <v>154.09100000000001</v>
          </cell>
          <cell r="FH139">
            <v>154.09100000000001</v>
          </cell>
          <cell r="FJ139">
            <v>154.44300000000001</v>
          </cell>
          <cell r="FK139">
            <v>154.44300000000001</v>
          </cell>
          <cell r="FL139">
            <v>155.34100000000001</v>
          </cell>
          <cell r="FM139">
            <v>154.4</v>
          </cell>
          <cell r="FN139">
            <v>154.4</v>
          </cell>
          <cell r="FP139">
            <v>154.30500000000001</v>
          </cell>
          <cell r="FQ139">
            <v>154.30500000000001</v>
          </cell>
          <cell r="FR139">
            <v>154.666</v>
          </cell>
          <cell r="FS139">
            <v>154.221</v>
          </cell>
          <cell r="FT139">
            <v>154.221</v>
          </cell>
          <cell r="FV139">
            <v>154.34800000000001</v>
          </cell>
          <cell r="FW139">
            <v>154.298</v>
          </cell>
          <cell r="FX139">
            <v>154.28399999999999</v>
          </cell>
          <cell r="FY139">
            <v>152.298</v>
          </cell>
          <cell r="FZ139">
            <v>152.298</v>
          </cell>
          <cell r="GB139">
            <v>152.19800000000001</v>
          </cell>
          <cell r="GC139">
            <v>152.20400000000001</v>
          </cell>
          <cell r="GD139">
            <v>152.30400000000003</v>
          </cell>
          <cell r="GE139">
            <v>152.30400000000003</v>
          </cell>
          <cell r="GF139">
            <v>152.30400000000003</v>
          </cell>
        </row>
        <row r="141">
          <cell r="A141" t="str">
            <v>Dept. Stores Monthly Sales - % change</v>
          </cell>
          <cell r="AN141" t="str">
            <v>Dept. Stores Monthly Sales - % change</v>
          </cell>
        </row>
        <row r="142">
          <cell r="A142" t="str">
            <v>Month 1</v>
          </cell>
          <cell r="AN142" t="str">
            <v>Month 1</v>
          </cell>
          <cell r="BS142" t="str">
            <v xml:space="preserve"> --  </v>
          </cell>
          <cell r="BT142" t="str">
            <v xml:space="preserve"> --  </v>
          </cell>
          <cell r="BU142" t="str">
            <v xml:space="preserve"> --  </v>
          </cell>
          <cell r="BV142" t="str">
            <v xml:space="preserve"> --  </v>
          </cell>
          <cell r="BY142">
            <v>4.014598540145986E-2</v>
          </cell>
          <cell r="BZ142">
            <v>7.0000000000000062E-2</v>
          </cell>
          <cell r="CA142">
            <v>8.999999999999897E-3</v>
          </cell>
          <cell r="CB142">
            <v>2.4000000000000021E-2</v>
          </cell>
          <cell r="CP142">
            <v>2.4489400832446107E-2</v>
          </cell>
          <cell r="CQ142">
            <v>3.166037057024651E-2</v>
          </cell>
          <cell r="CR142">
            <v>4.2093998037991742E-2</v>
          </cell>
          <cell r="CS142">
            <v>8.2543367511445087E-3</v>
          </cell>
          <cell r="CV142">
            <v>0</v>
          </cell>
          <cell r="CW142">
            <v>7.4106364428945248E-3</v>
          </cell>
          <cell r="CX142">
            <v>-3.5000000000000031E-2</v>
          </cell>
          <cell r="CY142">
            <v>-1.5669971218420176E-2</v>
          </cell>
          <cell r="DB142">
            <v>-3.1557067271353101E-2</v>
          </cell>
          <cell r="DC142">
            <v>-7.3561228905235643E-3</v>
          </cell>
          <cell r="DD142">
            <v>-7.6290182045534172E-3</v>
          </cell>
          <cell r="DE142">
            <v>-2.5990903183885639E-2</v>
          </cell>
          <cell r="DH142">
            <v>-1</v>
          </cell>
          <cell r="DI142">
            <v>-1</v>
          </cell>
          <cell r="DJ142">
            <v>-1</v>
          </cell>
          <cell r="DK142">
            <v>-1</v>
          </cell>
          <cell r="DN142" t="str">
            <v>NA</v>
          </cell>
          <cell r="DO142" t="str">
            <v>NA</v>
          </cell>
          <cell r="DP142" t="str">
            <v>NA</v>
          </cell>
          <cell r="DQ142" t="str">
            <v>NA</v>
          </cell>
          <cell r="DT142">
            <v>-3.0527289546716019E-2</v>
          </cell>
          <cell r="DU142">
            <v>-9.4745908699397363E-3</v>
          </cell>
          <cell r="DV142">
            <v>-3.8938053097345104E-2</v>
          </cell>
          <cell r="DW142">
            <v>-5.8785942492012744E-2</v>
          </cell>
          <cell r="DZ142">
            <v>-6.0114503816793841E-2</v>
          </cell>
          <cell r="EA142">
            <v>-1.1304347826086913E-2</v>
          </cell>
          <cell r="EB142">
            <v>-7.3664825046040328E-3</v>
          </cell>
          <cell r="EC142">
            <v>-8.8255261371350535E-3</v>
          </cell>
          <cell r="EF142">
            <v>9.6446700507614169E-2</v>
          </cell>
          <cell r="EG142">
            <v>3.9577836411609502E-2</v>
          </cell>
          <cell r="EH142">
            <v>-2.0408163265306145E-2</v>
          </cell>
          <cell r="EI142">
            <v>-9.5890410958904271E-3</v>
          </cell>
          <cell r="EL142">
            <v>1.5740740740740833E-2</v>
          </cell>
          <cell r="EM142">
            <v>5.9221658206429773E-3</v>
          </cell>
          <cell r="EN142">
            <v>1.1363636363636465E-2</v>
          </cell>
          <cell r="EO142">
            <v>0.80982019363762103</v>
          </cell>
          <cell r="ER142">
            <v>0.64083865086599823</v>
          </cell>
          <cell r="ES142">
            <v>0.70395290159798152</v>
          </cell>
          <cell r="ET142">
            <v>0.61704119850187267</v>
          </cell>
          <cell r="EU142">
            <v>-8.8651127244936956E-2</v>
          </cell>
          <cell r="EX142">
            <v>1.1111111111110628E-3</v>
          </cell>
          <cell r="EY142">
            <v>-2.4679170779861814E-2</v>
          </cell>
          <cell r="EZ142">
            <v>3.5321366531557707E-2</v>
          </cell>
          <cell r="FA142">
            <v>0.13501048218029355</v>
          </cell>
          <cell r="FD142">
            <v>-3.6071032186459462E-2</v>
          </cell>
          <cell r="FE142">
            <v>-2.5303643724696401E-2</v>
          </cell>
          <cell r="FF142">
            <v>-5.7046979865771785E-2</v>
          </cell>
          <cell r="FG142">
            <v>-0.14148503878832652</v>
          </cell>
          <cell r="FJ142">
            <v>-7.7376206594334418E-2</v>
          </cell>
          <cell r="FK142">
            <v>-7.3854331133361484E-2</v>
          </cell>
          <cell r="FL142">
            <v>-6.5154745638739242E-2</v>
          </cell>
          <cell r="FM142">
            <v>-5.2161507132639562E-2</v>
          </cell>
          <cell r="FP142">
            <v>4.0186303599689444E-2</v>
          </cell>
          <cell r="FQ142">
            <v>2.9395500964750632E-3</v>
          </cell>
          <cell r="FR142">
            <v>3.9241783148511233E-2</v>
          </cell>
          <cell r="FS142">
            <v>6.2749594749162307E-2</v>
          </cell>
          <cell r="FV142">
            <v>5.7588482303539301E-2</v>
          </cell>
          <cell r="FW142">
            <v>8.2727780883175006E-2</v>
          </cell>
          <cell r="FX142">
            <v>4.6398046398046455E-2</v>
          </cell>
          <cell r="FY142">
            <v>5.2968816744980884E-2</v>
          </cell>
          <cell r="GB142">
            <v>5.5019852524106572E-2</v>
          </cell>
          <cell r="GC142">
            <v>4.0268456375838868E-2</v>
          </cell>
          <cell r="GD142">
            <v>5.7176196032672211E-2</v>
          </cell>
          <cell r="GE142">
            <v>3.0252351388493137E-2</v>
          </cell>
        </row>
        <row r="143">
          <cell r="A143" t="str">
            <v>Month 2</v>
          </cell>
          <cell r="AN143" t="str">
            <v>Month 2</v>
          </cell>
          <cell r="BS143" t="str">
            <v xml:space="preserve"> --  </v>
          </cell>
          <cell r="BT143" t="str">
            <v xml:space="preserve"> --  </v>
          </cell>
          <cell r="BU143" t="str">
            <v xml:space="preserve"> --  </v>
          </cell>
          <cell r="BV143" t="str">
            <v xml:space="preserve"> --  </v>
          </cell>
          <cell r="BY143">
            <v>-2.4999999999999911E-2</v>
          </cell>
          <cell r="BZ143">
            <v>4.8000000000000043E-2</v>
          </cell>
          <cell r="CA143">
            <v>4.8999999999999932E-2</v>
          </cell>
          <cell r="CB143">
            <v>1.2999999999999901E-2</v>
          </cell>
          <cell r="CP143">
            <v>9.4745908699398473E-3</v>
          </cell>
          <cell r="CQ143">
            <v>3.8961038961038863E-2</v>
          </cell>
          <cell r="CR143">
            <v>3.4921997996278709E-2</v>
          </cell>
          <cell r="CS143">
            <v>2.2241668489753064E-3</v>
          </cell>
          <cell r="CV143">
            <v>-9.3080980452997508E-4</v>
          </cell>
          <cell r="CW143">
            <v>2.2966867469879526E-2</v>
          </cell>
          <cell r="CX143">
            <v>-2.0000000000000018E-2</v>
          </cell>
          <cell r="CY143">
            <v>4.3799999999999839E-2</v>
          </cell>
          <cell r="DB143">
            <v>4.2701863354037251E-2</v>
          </cell>
          <cell r="DC143">
            <v>3.5701140964298883E-2</v>
          </cell>
          <cell r="DD143">
            <v>4.0387334577032252E-3</v>
          </cell>
          <cell r="DE143">
            <v>1.6349047946182971E-2</v>
          </cell>
          <cell r="DH143">
            <v>-1</v>
          </cell>
          <cell r="DI143">
            <v>-1</v>
          </cell>
          <cell r="DJ143">
            <v>-1</v>
          </cell>
          <cell r="DK143">
            <v>-1</v>
          </cell>
          <cell r="DN143" t="str">
            <v>NA</v>
          </cell>
          <cell r="DO143" t="str">
            <v>NA</v>
          </cell>
          <cell r="DP143" t="str">
            <v>NA</v>
          </cell>
          <cell r="DQ143" t="str">
            <v>NA</v>
          </cell>
          <cell r="DT143">
            <v>-4.5558086560364419E-3</v>
          </cell>
          <cell r="DU143">
            <v>3.0920060331824928E-2</v>
          </cell>
          <cell r="DV143">
            <v>2.0170674941815347E-2</v>
          </cell>
          <cell r="DW143">
            <v>-8.2289803220035873E-3</v>
          </cell>
          <cell r="DZ143">
            <v>-5.9496567505720854E-2</v>
          </cell>
          <cell r="EA143">
            <v>-2.1945866861741048E-2</v>
          </cell>
          <cell r="EB143">
            <v>2.8136882129277563E-2</v>
          </cell>
          <cell r="EC143">
            <v>3.6075036075036149E-3</v>
          </cell>
          <cell r="EF143">
            <v>7.5425790754257926E-2</v>
          </cell>
          <cell r="EG143">
            <v>4.2632759910246731E-2</v>
          </cell>
          <cell r="EH143">
            <v>6.6568047337278724E-3</v>
          </cell>
          <cell r="EI143">
            <v>2.6599568655643502E-2</v>
          </cell>
          <cell r="EL143">
            <v>3.3936651583710509E-2</v>
          </cell>
          <cell r="EM143">
            <v>3.0129124820659881E-2</v>
          </cell>
          <cell r="EN143">
            <v>0.81043350477590015</v>
          </cell>
          <cell r="EO143">
            <v>0.91141456582633062</v>
          </cell>
          <cell r="ER143">
            <v>0.64478482859226838</v>
          </cell>
          <cell r="ES143">
            <v>0.64832869080779942</v>
          </cell>
          <cell r="ET143">
            <v>-6.5340909090909061E-2</v>
          </cell>
          <cell r="EU143">
            <v>-8.4630884777431747E-2</v>
          </cell>
          <cell r="EX143">
            <v>1.4634146341463428E-2</v>
          </cell>
          <cell r="EY143">
            <v>-1.9433882551753268E-2</v>
          </cell>
          <cell r="EZ143">
            <v>-1.2592270950933515E-2</v>
          </cell>
          <cell r="FA143">
            <v>-7.4644786872123281E-2</v>
          </cell>
          <cell r="FD143">
            <v>-6.3811188811188857E-2</v>
          </cell>
          <cell r="FE143">
            <v>-3.1021111589832007E-2</v>
          </cell>
          <cell r="FF143">
            <v>-7.9595426561125726E-2</v>
          </cell>
          <cell r="FG143">
            <v>-4.9091695501730093E-2</v>
          </cell>
          <cell r="FJ143">
            <v>-8.3193732222893169E-2</v>
          </cell>
          <cell r="FK143">
            <v>-6.9545735689765187E-2</v>
          </cell>
          <cell r="FL143">
            <v>-4.2277671038386533E-3</v>
          </cell>
          <cell r="FM143">
            <v>1.7686910874161521E-2</v>
          </cell>
          <cell r="FP143">
            <v>0.10601949166366365</v>
          </cell>
          <cell r="FQ143">
            <v>6.5186325382629029E-2</v>
          </cell>
          <cell r="FR143">
            <v>4.6469139412921301E-2</v>
          </cell>
          <cell r="FS143">
            <v>3.2231974812141573E-2</v>
          </cell>
          <cell r="FV143">
            <v>1.5653775322283625E-2</v>
          </cell>
          <cell r="FW143">
            <v>7.3126962763571113E-2</v>
          </cell>
          <cell r="FX143">
            <v>5.3645116918844549E-2</v>
          </cell>
          <cell r="FY143">
            <v>6.6248105650573708E-2</v>
          </cell>
          <cell r="GB143">
            <v>6.8902991840435135E-2</v>
          </cell>
          <cell r="GC143">
            <v>8.3612040133780319E-3</v>
          </cell>
          <cell r="GD143">
            <v>1.7979142315035279E-2</v>
          </cell>
          <cell r="GE143">
            <v>3.0252351388493137E-2</v>
          </cell>
        </row>
        <row r="144">
          <cell r="A144" t="str">
            <v>Month 3</v>
          </cell>
          <cell r="AN144" t="str">
            <v>Month 3</v>
          </cell>
          <cell r="BS144" t="str">
            <v xml:space="preserve"> --  </v>
          </cell>
          <cell r="BT144" t="str">
            <v xml:space="preserve"> --  </v>
          </cell>
          <cell r="BU144" t="str">
            <v xml:space="preserve"> --  </v>
          </cell>
          <cell r="BV144" t="str">
            <v xml:space="preserve"> --  </v>
          </cell>
          <cell r="BY144">
            <v>-1</v>
          </cell>
          <cell r="BZ144">
            <v>-1</v>
          </cell>
          <cell r="CA144">
            <v>-1</v>
          </cell>
          <cell r="CB144">
            <v>-1</v>
          </cell>
          <cell r="CP144">
            <v>7.1176173649671881E-2</v>
          </cell>
          <cell r="CQ144">
            <v>9.3491388951017607E-2</v>
          </cell>
          <cell r="CR144">
            <v>3.7600880410858295E-2</v>
          </cell>
          <cell r="CS144">
            <v>9.5674437407358148E-3</v>
          </cell>
          <cell r="CV144">
            <v>4.7125353440150786E-2</v>
          </cell>
          <cell r="CW144">
            <v>3.3442421763141716E-2</v>
          </cell>
          <cell r="CX144">
            <v>-2.6799999999999935E-2</v>
          </cell>
          <cell r="CY144">
            <v>6.7805659369994498E-2</v>
          </cell>
          <cell r="DB144">
            <v>-3.0603060306030549E-2</v>
          </cell>
          <cell r="DC144">
            <v>4.4532409698170294E-3</v>
          </cell>
          <cell r="DD144">
            <v>5.2999999999999999E-2</v>
          </cell>
          <cell r="DE144">
            <v>-2.1249999999999991E-2</v>
          </cell>
          <cell r="DH144">
            <v>-1</v>
          </cell>
          <cell r="DI144">
            <v>-1</v>
          </cell>
          <cell r="DJ144">
            <v>-1</v>
          </cell>
          <cell r="DK144">
            <v>-1</v>
          </cell>
          <cell r="DN144" t="str">
            <v>NA</v>
          </cell>
          <cell r="DO144" t="str">
            <v>NA</v>
          </cell>
          <cell r="DP144" t="str">
            <v>NA</v>
          </cell>
          <cell r="DQ144" t="str">
            <v>NA</v>
          </cell>
          <cell r="DT144">
            <v>-5.5938037865748691E-2</v>
          </cell>
          <cell r="DU144">
            <v>-3.4825870646766122E-2</v>
          </cell>
          <cell r="DV144">
            <v>2.3629489603024467E-2</v>
          </cell>
          <cell r="DW144">
            <v>1.2919896640826156E-3</v>
          </cell>
          <cell r="DZ144">
            <v>-1.9143117593436676E-2</v>
          </cell>
          <cell r="EA144">
            <v>-7.2164948453607991E-3</v>
          </cell>
          <cell r="EB144">
            <v>-2.3084025854108958E-2</v>
          </cell>
          <cell r="EC144">
            <v>5.0322580645161263E-2</v>
          </cell>
          <cell r="EF144">
            <v>6.3197026022304925E-2</v>
          </cell>
          <cell r="EG144">
            <v>4.3613707165109039E-2</v>
          </cell>
          <cell r="EH144">
            <v>4.7258979206049156E-2</v>
          </cell>
          <cell r="EI144">
            <v>4.9140049140048436E-3</v>
          </cell>
          <cell r="EL144">
            <v>2.5349650349650421E-2</v>
          </cell>
          <cell r="EM144">
            <v>-6.9651741293532687E-3</v>
          </cell>
          <cell r="EN144">
            <v>0.82581227436823101</v>
          </cell>
          <cell r="EO144">
            <v>0.82762836185819078</v>
          </cell>
          <cell r="ER144">
            <v>0.60102301790281332</v>
          </cell>
          <cell r="ES144">
            <v>0.61122244488977961</v>
          </cell>
          <cell r="ET144">
            <v>-7.909045971329709E-2</v>
          </cell>
          <cell r="EU144">
            <v>0.19063545150501682</v>
          </cell>
          <cell r="EX144">
            <v>-2.183173588924392E-2</v>
          </cell>
          <cell r="EY144">
            <v>-3.7313432835820448E-3</v>
          </cell>
          <cell r="EZ144">
            <v>-7.5147611379495771E-3</v>
          </cell>
          <cell r="FA144">
            <v>-0.28483146067415732</v>
          </cell>
          <cell r="FD144">
            <v>1.6875340228633684E-2</v>
          </cell>
          <cell r="FE144">
            <v>-3.6828963795255909E-2</v>
          </cell>
          <cell r="FF144">
            <v>-7.3012439156300735E-2</v>
          </cell>
          <cell r="FG144">
            <v>-4.7132757266300063E-2</v>
          </cell>
          <cell r="FJ144">
            <v>-7.8906078546147729E-2</v>
          </cell>
          <cell r="FK144">
            <v>-8.6421386047222271E-2</v>
          </cell>
          <cell r="FL144">
            <v>6.8259146413351957E-3</v>
          </cell>
          <cell r="FM144">
            <v>4.5716401865264711E-2</v>
          </cell>
          <cell r="FP144">
            <v>1.0691920195042393E-2</v>
          </cell>
          <cell r="FQ144">
            <v>8.3955625466711314E-2</v>
          </cell>
          <cell r="FR144">
            <v>4.6532073995587009E-2</v>
          </cell>
          <cell r="FS144">
            <v>3.2753260808866314E-2</v>
          </cell>
          <cell r="FV144">
            <v>0.10408280621046573</v>
          </cell>
          <cell r="FW144">
            <v>5.4973821989528826E-2</v>
          </cell>
          <cell r="FX144">
            <v>1.9933554817275656E-2</v>
          </cell>
          <cell r="FY144">
            <v>1.984732824427482E-2</v>
          </cell>
          <cell r="GB144">
            <v>4.1666666666666519E-3</v>
          </cell>
          <cell r="GC144">
            <v>5.0248138957816435E-2</v>
          </cell>
          <cell r="GD144">
            <v>4.1460682896476753E-2</v>
          </cell>
          <cell r="GE144">
            <v>0.31255170783595321</v>
          </cell>
        </row>
        <row r="145">
          <cell r="A145" t="str">
            <v>Total</v>
          </cell>
          <cell r="AN145" t="str">
            <v>Total</v>
          </cell>
          <cell r="BS145" t="str">
            <v xml:space="preserve"> --  </v>
          </cell>
          <cell r="BT145" t="str">
            <v xml:space="preserve"> --  </v>
          </cell>
          <cell r="BU145" t="str">
            <v xml:space="preserve"> --  </v>
          </cell>
          <cell r="BV145" t="str">
            <v xml:space="preserve"> --  </v>
          </cell>
          <cell r="BW145" t="str">
            <v xml:space="preserve"> --  </v>
          </cell>
          <cell r="BY145">
            <v>-1</v>
          </cell>
          <cell r="BZ145">
            <v>-1</v>
          </cell>
          <cell r="CA145">
            <v>-1</v>
          </cell>
          <cell r="CB145">
            <v>-1</v>
          </cell>
          <cell r="CF145">
            <v>-1</v>
          </cell>
          <cell r="CP145">
            <v>3.2690035447026533E-2</v>
          </cell>
          <cell r="CQ145">
            <v>5.1336703002253348E-2</v>
          </cell>
          <cell r="CR145">
            <v>3.7959602116871327E-2</v>
          </cell>
          <cell r="CS145">
            <v>5.1634428248001907E-3</v>
          </cell>
          <cell r="CT145">
            <v>3.3414978803579842</v>
          </cell>
          <cell r="CV145">
            <v>-1.5138179897905446E-2</v>
          </cell>
          <cell r="CW145">
            <v>2.0765755329008373E-2</v>
          </cell>
          <cell r="CX145">
            <v>-2.6732607244868034E-2</v>
          </cell>
          <cell r="CY145">
            <v>2.8982704390089653E-2</v>
          </cell>
          <cell r="CZ145">
            <v>4.2536515007434161E-3</v>
          </cell>
          <cell r="DB145">
            <v>3.3661006851355424E-2</v>
          </cell>
          <cell r="DC145">
            <v>2.3975031919421186E-2</v>
          </cell>
          <cell r="DD145">
            <v>1.2354237926307077E-2</v>
          </cell>
          <cell r="DE145">
            <v>9.7745834057736403E-3</v>
          </cell>
          <cell r="DF145">
            <v>1.8648853027320111E-2</v>
          </cell>
          <cell r="DH145">
            <v>2.9682997118155585E-2</v>
          </cell>
          <cell r="DI145">
            <v>1.9395954558049322E-2</v>
          </cell>
          <cell r="DJ145">
            <v>2.4654565158493735E-2</v>
          </cell>
          <cell r="DK145">
            <v>6.560182544209936E-2</v>
          </cell>
          <cell r="DL145">
            <v>3.7993636533782515E-2</v>
          </cell>
          <cell r="DN145">
            <v>-4.7579065211307281E-3</v>
          </cell>
          <cell r="DO145">
            <v>-5.191628159826045E-2</v>
          </cell>
          <cell r="DP145">
            <v>-8.1173982020095181E-2</v>
          </cell>
          <cell r="DQ145">
            <v>-8.4225553176302648E-2</v>
          </cell>
          <cell r="DR145">
            <v>-5.126818127178745E-2</v>
          </cell>
          <cell r="DT145">
            <v>-2.8965129358830111E-2</v>
          </cell>
          <cell r="DU145">
            <v>-5.7339449541282672E-4</v>
          </cell>
          <cell r="DV145">
            <v>1.1510791366906581E-3</v>
          </cell>
          <cell r="DW145">
            <v>-2.2408417770849565E-2</v>
          </cell>
          <cell r="DX145">
            <v>-1.3557174532784266E-2</v>
          </cell>
          <cell r="DZ145">
            <v>-4.6915725456125101E-2</v>
          </cell>
          <cell r="EA145">
            <v>-1.4916810097532984E-2</v>
          </cell>
          <cell r="EB145">
            <v>2.012072434607548E-3</v>
          </cell>
          <cell r="EC145">
            <v>7.1756029499701057E-3</v>
          </cell>
          <cell r="ED145">
            <v>-1.0211290218996805E-2</v>
          </cell>
          <cell r="EF145">
            <v>7.8699483439683915E-2</v>
          </cell>
          <cell r="EG145">
            <v>4.2807221898660375E-2</v>
          </cell>
          <cell r="EH145">
            <v>1.1187607573149849E-2</v>
          </cell>
          <cell r="EI145">
            <v>1.3259449831783066E-2</v>
          </cell>
          <cell r="EJ145">
            <v>2.361796003114458E-2</v>
          </cell>
          <cell r="EL145">
            <v>2.5633802816901419E-2</v>
          </cell>
          <cell r="EM145">
            <v>1.1728567439262871E-2</v>
          </cell>
          <cell r="EN145">
            <v>0.57588652482269498</v>
          </cell>
          <cell r="EO145">
            <v>0.86933593750000004</v>
          </cell>
          <cell r="EP145">
            <v>0.41924442190669375</v>
          </cell>
          <cell r="ER145">
            <v>0.62867344136226322</v>
          </cell>
          <cell r="ES145">
            <v>0.65470604471432514</v>
          </cell>
          <cell r="ET145">
            <v>5.9585958595859578E-2</v>
          </cell>
          <cell r="EU145">
            <v>-4.3046703583742518E-2</v>
          </cell>
          <cell r="EV145">
            <v>0.20455560518088434</v>
          </cell>
          <cell r="EX145">
            <v>-1.5177065767284503E-3</v>
          </cell>
          <cell r="EY145">
            <v>-1.7180984153461254E-2</v>
          </cell>
          <cell r="EZ145">
            <v>3.397893306150257E-3</v>
          </cell>
          <cell r="FA145">
            <v>-6.1687957200567745E-2</v>
          </cell>
          <cell r="FB145">
            <v>-2.4360400444938812E-2</v>
          </cell>
          <cell r="FD145">
            <v>-2.9386927883803371E-2</v>
          </cell>
          <cell r="FE145">
            <v>-2.9531568228105876E-2</v>
          </cell>
          <cell r="FF145">
            <v>-6.9928885878767333E-2</v>
          </cell>
          <cell r="FG145">
            <v>-7.6797765883174329E-2</v>
          </cell>
          <cell r="FH145">
            <v>-5.4003724394785846E-2</v>
          </cell>
          <cell r="FJ145">
            <v>-7.9867757090655966E-2</v>
          </cell>
          <cell r="FK145">
            <v>-7.5725778244141284E-2</v>
          </cell>
          <cell r="FL145">
            <v>-1.9661387220098359E-2</v>
          </cell>
          <cell r="FM145">
            <v>3.7811948575749987E-4</v>
          </cell>
          <cell r="FN145">
            <v>-4.0053029085650005E-2</v>
          </cell>
          <cell r="FP145">
            <v>5.4084720121028829E-2</v>
          </cell>
          <cell r="FQ145">
            <v>4.7682119205298079E-2</v>
          </cell>
          <cell r="FR145">
            <v>4.4196843082636939E-2</v>
          </cell>
          <cell r="FS145">
            <v>4.182940657679235E-2</v>
          </cell>
          <cell r="FT145">
            <v>4.6369533375183014E-2</v>
          </cell>
          <cell r="FV145">
            <v>5.6512378902045191E-2</v>
          </cell>
          <cell r="FW145">
            <v>7.2602492324363332E-2</v>
          </cell>
          <cell r="FX145">
            <v>4.0903432331495626E-2</v>
          </cell>
          <cell r="FY145">
            <v>5.5024791389527206E-2</v>
          </cell>
          <cell r="FZ145">
            <v>5.60732712074552E-2</v>
          </cell>
          <cell r="GB145">
            <v>4.313126167430803E-2</v>
          </cell>
          <cell r="GC145">
            <v>3.0139754167368249E-2</v>
          </cell>
          <cell r="GD145">
            <v>3.7021467099822347E-2</v>
          </cell>
          <cell r="GE145">
            <v>7.372007776590972E-2</v>
          </cell>
          <cell r="GF145">
            <v>4.8961204520547419E-2</v>
          </cell>
        </row>
        <row r="147">
          <cell r="A147" t="str">
            <v>Dept. Stores Monthly Sales - % of Total Year</v>
          </cell>
          <cell r="AN147" t="str">
            <v>Dept. Stores Monthly Sales - % of Total Year</v>
          </cell>
        </row>
        <row r="148">
          <cell r="A148" t="str">
            <v>Month 1</v>
          </cell>
          <cell r="AN148" t="str">
            <v>Month 1</v>
          </cell>
          <cell r="BS148">
            <v>6.3992993467868478E-2</v>
          </cell>
          <cell r="BT148">
            <v>6.9693099295697544E-2</v>
          </cell>
          <cell r="BU148">
            <v>7.6641243659453337E-2</v>
          </cell>
          <cell r="BV148">
            <v>9.6536875524577598E-2</v>
          </cell>
          <cell r="CP148">
            <v>6.7547817651526273E-2</v>
          </cell>
          <cell r="CQ148">
            <v>7.3202330731576559E-2</v>
          </cell>
          <cell r="CR148">
            <v>7.4574475553484926E-2</v>
          </cell>
          <cell r="CS148">
            <v>9.9783647862964217E-2</v>
          </cell>
          <cell r="CV148">
            <v>6.7261709778783194E-2</v>
          </cell>
          <cell r="CW148">
            <v>7.3432450537966709E-2</v>
          </cell>
          <cell r="CX148">
            <v>7.1659554139106546E-2</v>
          </cell>
          <cell r="CY148">
            <v>9.7804016770169422E-2</v>
          </cell>
          <cell r="DB148">
            <v>6.3946596793312119E-2</v>
          </cell>
          <cell r="DC148">
            <v>7.1557801484808781E-2</v>
          </cell>
          <cell r="DD148">
            <v>6.9810967621186604E-2</v>
          </cell>
          <cell r="DE148">
            <v>9.3517998627487678E-2</v>
          </cell>
          <cell r="DH148">
            <v>0</v>
          </cell>
          <cell r="DI148">
            <v>0</v>
          </cell>
          <cell r="DJ148">
            <v>0</v>
          </cell>
          <cell r="DK148">
            <v>0</v>
          </cell>
          <cell r="DN148">
            <v>6.8482736775419703E-2</v>
          </cell>
          <cell r="DO148">
            <v>7.3550839404497942E-2</v>
          </cell>
          <cell r="DP148">
            <v>7.1586949635730118E-2</v>
          </cell>
          <cell r="DQ148">
            <v>9.9144757681343051E-2</v>
          </cell>
          <cell r="DT148">
            <v>6.7304604713891214E-2</v>
          </cell>
          <cell r="DU148">
            <v>7.3855243722304287E-2</v>
          </cell>
          <cell r="DV148">
            <v>6.9745038854280392E-2</v>
          </cell>
          <cell r="DW148">
            <v>9.459893391561236E-2</v>
          </cell>
          <cell r="DZ148">
            <v>6.3911237996366471E-2</v>
          </cell>
          <cell r="EA148">
            <v>7.3773682844536725E-2</v>
          </cell>
          <cell r="EB148">
            <v>6.9945497015312746E-2</v>
          </cell>
          <cell r="EC148">
            <v>9.4731378146898526E-2</v>
          </cell>
          <cell r="EF148">
            <v>6.8458417849898576E-2</v>
          </cell>
          <cell r="EG148">
            <v>7.4923935091277885E-2</v>
          </cell>
          <cell r="EH148">
            <v>6.6937119675456389E-2</v>
          </cell>
          <cell r="EI148">
            <v>9.1658215010141986E-2</v>
          </cell>
          <cell r="EL148">
            <v>4.899508709245199E-2</v>
          </cell>
          <cell r="EM148">
            <v>5.3104064314426082E-2</v>
          </cell>
          <cell r="EN148">
            <v>4.769986601161233E-2</v>
          </cell>
          <cell r="EO148">
            <v>0.11688253684680661</v>
          </cell>
          <cell r="ER148">
            <v>6.6740823136818686E-2</v>
          </cell>
          <cell r="ES148">
            <v>7.5120504263997037E-2</v>
          </cell>
          <cell r="ET148">
            <v>6.4034111976269931E-2</v>
          </cell>
          <cell r="EU148">
            <v>8.8431590656284767E-2</v>
          </cell>
          <cell r="EX148">
            <v>6.8483259225477905E-2</v>
          </cell>
          <cell r="EY148">
            <v>7.5095960171778206E-2</v>
          </cell>
          <cell r="EZ148">
            <v>6.795120282749971E-2</v>
          </cell>
          <cell r="FA148">
            <v>0.10287690495192491</v>
          </cell>
          <cell r="FD148">
            <v>6.9781455889442387E-2</v>
          </cell>
          <cell r="FE148">
            <v>7.7374256789329909E-2</v>
          </cell>
          <cell r="FF148">
            <v>6.7732604852964812E-2</v>
          </cell>
          <cell r="FG148">
            <v>9.3363329583802029E-2</v>
          </cell>
          <cell r="FJ148">
            <v>6.7068320951899615E-2</v>
          </cell>
          <cell r="FK148">
            <v>7.4649782725973876E-2</v>
          </cell>
          <cell r="FL148">
            <v>6.5961460508603714E-2</v>
          </cell>
          <cell r="FM148">
            <v>9.2185673045563743E-2</v>
          </cell>
          <cell r="FP148">
            <v>6.6671999360076797E-2</v>
          </cell>
          <cell r="FQ148">
            <v>7.155141383034036E-2</v>
          </cell>
          <cell r="FR148">
            <v>6.5512138543374801E-2</v>
          </cell>
          <cell r="FS148">
            <v>9.3628764548254209E-2</v>
          </cell>
          <cell r="FV148">
            <v>6.6767657640598374E-2</v>
          </cell>
          <cell r="FW148">
            <v>7.3357318689642112E-2</v>
          </cell>
          <cell r="FX148">
            <v>6.49119484946033E-2</v>
          </cell>
          <cell r="FY148">
            <v>9.3353531528119676E-2</v>
          </cell>
          <cell r="GB148">
            <v>6.7153297961635244E-2</v>
          </cell>
          <cell r="GC148">
            <v>7.2749406125104846E-2</v>
          </cell>
          <cell r="GD148">
            <v>6.5420309627141432E-2</v>
          </cell>
          <cell r="GE148">
            <v>9.1688515221328329E-2</v>
          </cell>
        </row>
        <row r="149">
          <cell r="A149" t="str">
            <v>Month 2</v>
          </cell>
          <cell r="AN149" t="str">
            <v>Month 2</v>
          </cell>
          <cell r="BS149">
            <v>8.4866620443017182E-2</v>
          </cell>
          <cell r="BT149">
            <v>8.483742655913587E-2</v>
          </cell>
          <cell r="BU149">
            <v>9.3559099368682272E-2</v>
          </cell>
          <cell r="BV149">
            <v>0.18623508374995437</v>
          </cell>
          <cell r="CP149">
            <v>8.2277632762989106E-2</v>
          </cell>
          <cell r="CQ149">
            <v>8.4753875511363277E-2</v>
          </cell>
          <cell r="CR149">
            <v>9.2297480997389741E-2</v>
          </cell>
          <cell r="CS149">
            <v>0.1754239289292803</v>
          </cell>
          <cell r="CV149">
            <v>8.1852874333968956E-2</v>
          </cell>
          <cell r="CW149">
            <v>8.6333175297124864E-2</v>
          </cell>
          <cell r="CX149">
            <v>9.0068411742663196E-2</v>
          </cell>
          <cell r="CY149">
            <v>0.18233192056882172</v>
          </cell>
          <cell r="DB149">
            <v>8.3785638530164075E-2</v>
          </cell>
          <cell r="DC149">
            <v>8.7778401647014781E-2</v>
          </cell>
          <cell r="DD149">
            <v>8.8776592426227457E-2</v>
          </cell>
          <cell r="DE149">
            <v>0.18192026951151039</v>
          </cell>
          <cell r="DH149">
            <v>0</v>
          </cell>
          <cell r="DI149">
            <v>0</v>
          </cell>
          <cell r="DJ149">
            <v>0</v>
          </cell>
          <cell r="DK149">
            <v>0</v>
          </cell>
          <cell r="DN149">
            <v>8.3433639531200504E-2</v>
          </cell>
          <cell r="DO149">
            <v>8.4003801076971807E-2</v>
          </cell>
          <cell r="DP149">
            <v>8.1659803611023124E-2</v>
          </cell>
          <cell r="DQ149">
            <v>0.17706683560342096</v>
          </cell>
          <cell r="DT149">
            <v>8.4194977843426888E-2</v>
          </cell>
          <cell r="DU149">
            <v>8.7791407102947791E-2</v>
          </cell>
          <cell r="DV149">
            <v>8.445186564767837E-2</v>
          </cell>
          <cell r="DW149">
            <v>0.17802324834628477</v>
          </cell>
          <cell r="DZ149">
            <v>8.0002595380223196E-2</v>
          </cell>
          <cell r="EA149">
            <v>8.6750583960550215E-2</v>
          </cell>
          <cell r="EB149">
            <v>8.7723851544251233E-2</v>
          </cell>
          <cell r="EC149">
            <v>0.18050869452374774</v>
          </cell>
          <cell r="EF149">
            <v>8.4051724137931036E-2</v>
          </cell>
          <cell r="EG149">
            <v>8.8362068965517238E-2</v>
          </cell>
          <cell r="EH149">
            <v>8.6270283975659223E-2</v>
          </cell>
          <cell r="EI149">
            <v>0.18103448275862069</v>
          </cell>
          <cell r="EL149">
            <v>6.1232693166592231E-2</v>
          </cell>
          <cell r="EM149">
            <v>6.413577489950871E-2</v>
          </cell>
          <cell r="EN149">
            <v>0.11004912907548013</v>
          </cell>
          <cell r="EO149">
            <v>0.24381420276909335</v>
          </cell>
          <cell r="ER149">
            <v>8.3611420096403405E-2</v>
          </cell>
          <cell r="ES149">
            <v>8.776418242491657E-2</v>
          </cell>
          <cell r="ET149">
            <v>8.5391175380051906E-2</v>
          </cell>
          <cell r="EU149">
            <v>0.18527994067482387</v>
          </cell>
          <cell r="EX149">
            <v>8.695321704100635E-2</v>
          </cell>
          <cell r="EY149">
            <v>8.8207349979097779E-2</v>
          </cell>
          <cell r="EZ149">
            <v>8.6421160643028155E-2</v>
          </cell>
          <cell r="FA149">
            <v>0.17573062744650933</v>
          </cell>
          <cell r="FD149">
            <v>8.6051743532058494E-2</v>
          </cell>
          <cell r="FE149">
            <v>9.0350313353687928E-2</v>
          </cell>
          <cell r="FF149">
            <v>8.4083239595050624E-2</v>
          </cell>
          <cell r="FG149">
            <v>0.17664309818415555</v>
          </cell>
          <cell r="FJ149">
            <v>8.2184516659492057E-2</v>
          </cell>
          <cell r="FK149">
            <v>8.7574456599025657E-2</v>
          </cell>
          <cell r="FL149">
            <v>8.7221229690381485E-2</v>
          </cell>
          <cell r="FM149">
            <v>0.18726802038559062</v>
          </cell>
          <cell r="FP149">
            <v>8.686957565092189E-2</v>
          </cell>
          <cell r="FQ149">
            <v>8.9149302083749951E-2</v>
          </cell>
          <cell r="FR149">
            <v>8.7229532456105263E-2</v>
          </cell>
          <cell r="FS149">
            <v>0.18473783146022477</v>
          </cell>
          <cell r="FV149">
            <v>8.3544783185002844E-2</v>
          </cell>
          <cell r="FW149">
            <v>9.0588903616739255E-2</v>
          </cell>
          <cell r="FX149">
            <v>8.7028971785646655E-2</v>
          </cell>
          <cell r="FY149">
            <v>0.18651770498011741</v>
          </cell>
          <cell r="GB149">
            <v>8.5133051932008555E-2</v>
          </cell>
          <cell r="GC149">
            <v>8.7082663808314087E-2</v>
          </cell>
          <cell r="GD149">
            <v>8.4458488715419958E-2</v>
          </cell>
          <cell r="GE149">
            <v>0.18319104968155864</v>
          </cell>
        </row>
        <row r="150">
          <cell r="A150" t="str">
            <v>Month 3</v>
          </cell>
          <cell r="AN150" t="str">
            <v>Month 3</v>
          </cell>
          <cell r="BS150">
            <v>6.5569463197460126E-2</v>
          </cell>
          <cell r="BT150">
            <v>5.9373061343648503E-2</v>
          </cell>
          <cell r="BU150">
            <v>7.4488194723205489E-2</v>
          </cell>
          <cell r="BV150">
            <v>4.4206838667299207E-2</v>
          </cell>
          <cell r="CP150">
            <v>6.7713751443943093E-2</v>
          </cell>
          <cell r="CQ150">
            <v>6.2403870086604675E-2</v>
          </cell>
          <cell r="CR150">
            <v>7.2206727977075613E-2</v>
          </cell>
          <cell r="CS150">
            <v>4.7814460491802234E-2</v>
          </cell>
          <cell r="CV150">
            <v>7.0604459149875398E-2</v>
          </cell>
          <cell r="CW150">
            <v>6.4217647138568035E-2</v>
          </cell>
          <cell r="CX150">
            <v>6.9973942900060218E-2</v>
          </cell>
          <cell r="CY150">
            <v>5.0840294617372023E-2</v>
          </cell>
          <cell r="DB150">
            <v>6.7190716825753324E-2</v>
          </cell>
          <cell r="DC150">
            <v>6.3322727556304192E-2</v>
          </cell>
          <cell r="DD150">
            <v>6.8937550689375501E-2</v>
          </cell>
          <cell r="DE150">
            <v>4.8848961257720383E-2</v>
          </cell>
          <cell r="DH150">
            <v>0</v>
          </cell>
          <cell r="DI150">
            <v>0</v>
          </cell>
          <cell r="DJ150">
            <v>0</v>
          </cell>
          <cell r="DK150">
            <v>0</v>
          </cell>
          <cell r="DN150">
            <v>7.3614190687361414E-2</v>
          </cell>
          <cell r="DO150">
            <v>6.366803927779538E-2</v>
          </cell>
          <cell r="DP150">
            <v>6.702565726955971E-2</v>
          </cell>
          <cell r="DQ150">
            <v>4.9033892936331959E-2</v>
          </cell>
          <cell r="DT150">
            <v>7.0451480315971995E-2</v>
          </cell>
          <cell r="DU150">
            <v>6.229529253098709E-2</v>
          </cell>
          <cell r="DV150">
            <v>6.9552373001091766E-2</v>
          </cell>
          <cell r="DW150">
            <v>4.97720120737268E-2</v>
          </cell>
          <cell r="DZ150">
            <v>6.9815728004152602E-2</v>
          </cell>
          <cell r="EA150">
            <v>6.2483778873604984E-2</v>
          </cell>
          <cell r="EB150">
            <v>6.8647806903711389E-2</v>
          </cell>
          <cell r="EC150">
            <v>5.2815987542174932E-2</v>
          </cell>
          <cell r="EF150">
            <v>7.2515212981744417E-2</v>
          </cell>
          <cell r="EG150">
            <v>6.3704361054766734E-2</v>
          </cell>
          <cell r="EH150">
            <v>7.0233265720081137E-2</v>
          </cell>
          <cell r="EI150">
            <v>5.1850912778904662E-2</v>
          </cell>
          <cell r="EL150">
            <v>5.2389459580169717E-2</v>
          </cell>
          <cell r="EM150">
            <v>4.4573470299240733E-2</v>
          </cell>
          <cell r="EN150">
            <v>9.0352836087539079E-2</v>
          </cell>
          <cell r="EO150">
            <v>6.6770879857079052E-2</v>
          </cell>
          <cell r="ER150">
            <v>6.9632925472747492E-2</v>
          </cell>
          <cell r="ES150">
            <v>5.9621802002224694E-2</v>
          </cell>
          <cell r="ET150">
            <v>6.907675194660734E-2</v>
          </cell>
          <cell r="EU150">
            <v>6.5999258435298483E-2</v>
          </cell>
          <cell r="EX150">
            <v>6.9813400220423372E-2</v>
          </cell>
          <cell r="EY150">
            <v>6.0882453540075245E-2</v>
          </cell>
          <cell r="EZ150">
            <v>7.0269448561547529E-2</v>
          </cell>
          <cell r="FA150">
            <v>4.8379128187587883E-2</v>
          </cell>
          <cell r="FD150">
            <v>7.5044190904708347E-2</v>
          </cell>
          <cell r="FE150">
            <v>6.1987787240880603E-2</v>
          </cell>
          <cell r="FF150">
            <v>6.8857464245540734E-2</v>
          </cell>
          <cell r="FG150">
            <v>4.8730515828378597E-2</v>
          </cell>
          <cell r="FJ150">
            <v>7.2006840145461229E-2</v>
          </cell>
          <cell r="FK150">
            <v>5.899358867248948E-2</v>
          </cell>
          <cell r="FL150">
            <v>7.2220113734892177E-2</v>
          </cell>
          <cell r="FM150">
            <v>5.3084494474265165E-2</v>
          </cell>
          <cell r="FP150">
            <v>6.9551653801543808E-2</v>
          </cell>
          <cell r="FQ150">
            <v>6.11126664800224E-2</v>
          </cell>
          <cell r="FR150">
            <v>7.2231332240131188E-2</v>
          </cell>
          <cell r="FS150">
            <v>5.2393712754469461E-2</v>
          </cell>
          <cell r="FV150">
            <v>7.2713501230827496E-2</v>
          </cell>
          <cell r="FW150">
            <v>6.1049043741715582E-2</v>
          </cell>
          <cell r="FX150">
            <v>6.9759515243325132E-2</v>
          </cell>
          <cell r="FY150">
            <v>5.0596477939784133E-2</v>
          </cell>
          <cell r="GB150">
            <v>6.9608364768834807E-2</v>
          </cell>
          <cell r="GC150">
            <v>6.112394271454219E-2</v>
          </cell>
          <cell r="GD150">
            <v>6.9260704848515153E-2</v>
          </cell>
          <cell r="GE150">
            <v>6.3310724213773262E-2</v>
          </cell>
        </row>
        <row r="151">
          <cell r="A151" t="str">
            <v>Total</v>
          </cell>
          <cell r="AN151" t="str">
            <v>Total</v>
          </cell>
          <cell r="BS151">
            <v>0.2144290771083458</v>
          </cell>
          <cell r="BT151">
            <v>0.21390358719848193</v>
          </cell>
          <cell r="BU151">
            <v>0.24468853775134108</v>
          </cell>
          <cell r="BV151">
            <v>0.32697879794183116</v>
          </cell>
          <cell r="BW151">
            <v>1</v>
          </cell>
          <cell r="CP151">
            <v>0.21753920185845851</v>
          </cell>
          <cell r="CQ151">
            <v>0.22036007632954452</v>
          </cell>
          <cell r="CR151">
            <v>0.23907868452795028</v>
          </cell>
          <cell r="CS151">
            <v>0.32302203728404671</v>
          </cell>
          <cell r="CT151">
            <v>1</v>
          </cell>
          <cell r="CV151">
            <v>0.21333858628814734</v>
          </cell>
          <cell r="CW151">
            <v>0.22398327297365961</v>
          </cell>
          <cell r="CX151">
            <v>0.23170190878182992</v>
          </cell>
          <cell r="CY151">
            <v>0.33097623195636316</v>
          </cell>
          <cell r="CZ151">
            <v>1</v>
          </cell>
          <cell r="DB151">
            <v>0.21648262524174933</v>
          </cell>
          <cell r="DC151">
            <v>0.22515440763615946</v>
          </cell>
          <cell r="DD151">
            <v>0.23027013537962443</v>
          </cell>
          <cell r="DE151">
            <v>0.32809283174246678</v>
          </cell>
          <cell r="DF151">
            <v>1</v>
          </cell>
          <cell r="DH151">
            <v>0.214749368914533</v>
          </cell>
          <cell r="DI151">
            <v>0.2211203269623753</v>
          </cell>
          <cell r="DJ151">
            <v>0.22731097487678809</v>
          </cell>
          <cell r="DK151">
            <v>0.33681932924630364</v>
          </cell>
          <cell r="DL151">
            <v>1</v>
          </cell>
          <cell r="DN151">
            <v>0.22527716186252772</v>
          </cell>
          <cell r="DO151">
            <v>0.22096927462781121</v>
          </cell>
          <cell r="DP151">
            <v>0.22014570795058599</v>
          </cell>
          <cell r="DQ151">
            <v>0.325118783655369</v>
          </cell>
          <cell r="DR151">
            <v>1</v>
          </cell>
          <cell r="DT151">
            <v>0.22175839702010147</v>
          </cell>
          <cell r="DU151">
            <v>0.22387772140517628</v>
          </cell>
          <cell r="DV151">
            <v>0.22342816774773619</v>
          </cell>
          <cell r="DW151">
            <v>0.32220152848243527</v>
          </cell>
          <cell r="DX151">
            <v>1</v>
          </cell>
          <cell r="DZ151">
            <v>0.21353490786400209</v>
          </cell>
          <cell r="EA151">
            <v>0.22281339216195173</v>
          </cell>
          <cell r="EB151">
            <v>0.22618738645211522</v>
          </cell>
          <cell r="EC151">
            <v>0.32786140669608099</v>
          </cell>
          <cell r="ED151">
            <v>1</v>
          </cell>
          <cell r="EF151">
            <v>0.22502535496957404</v>
          </cell>
          <cell r="EG151">
            <v>0.22699036511156187</v>
          </cell>
          <cell r="EH151">
            <v>0.22344066937119675</v>
          </cell>
          <cell r="EI151">
            <v>0.32454361054766734</v>
          </cell>
          <cell r="EJ151">
            <v>1</v>
          </cell>
          <cell r="EL151">
            <v>0.16261723983921395</v>
          </cell>
          <cell r="EM151">
            <v>0.16181330951317552</v>
          </cell>
          <cell r="EN151">
            <v>0.24810183117463153</v>
          </cell>
          <cell r="EO151">
            <v>0.42746761947297901</v>
          </cell>
          <cell r="EP151">
            <v>1</v>
          </cell>
          <cell r="ER151">
            <v>0.21987393400074157</v>
          </cell>
          <cell r="ES151">
            <v>0.22228401928068223</v>
          </cell>
          <cell r="ET151">
            <v>0.21824249165739712</v>
          </cell>
          <cell r="EU151">
            <v>0.33959955506117911</v>
          </cell>
          <cell r="EV151">
            <v>1</v>
          </cell>
          <cell r="EX151">
            <v>0.22502185231634553</v>
          </cell>
          <cell r="EY151">
            <v>0.22391973549196215</v>
          </cell>
          <cell r="EZ151">
            <v>0.22445179188994033</v>
          </cell>
          <cell r="FA151">
            <v>0.32660662030175197</v>
          </cell>
          <cell r="FB151">
            <v>1</v>
          </cell>
          <cell r="FD151">
            <v>0.23087739032620921</v>
          </cell>
          <cell r="FE151">
            <v>0.22971235738389845</v>
          </cell>
          <cell r="FF151">
            <v>0.22067330869355617</v>
          </cell>
          <cell r="FG151">
            <v>0.3187369435963362</v>
          </cell>
          <cell r="FH151">
            <v>1</v>
          </cell>
          <cell r="FJ151">
            <v>0.22130152751621679</v>
          </cell>
          <cell r="FK151">
            <v>0.22117597823812513</v>
          </cell>
          <cell r="FL151">
            <v>0.22536095417451349</v>
          </cell>
          <cell r="FM151">
            <v>0.33216154007114457</v>
          </cell>
          <cell r="FN151">
            <v>1</v>
          </cell>
          <cell r="FP151">
            <v>0.22293324801023878</v>
          </cell>
          <cell r="FQ151">
            <v>0.22145342558892933</v>
          </cell>
          <cell r="FR151">
            <v>0.22489301283845939</v>
          </cell>
          <cell r="FS151">
            <v>0.33072031356237253</v>
          </cell>
          <cell r="FT151">
            <v>1</v>
          </cell>
          <cell r="FV151">
            <v>0.2230259420564287</v>
          </cell>
          <cell r="FW151">
            <v>0.22491952281764818</v>
          </cell>
          <cell r="FX151">
            <v>0.22166256390835068</v>
          </cell>
          <cell r="FY151">
            <v>0.33039197121757241</v>
          </cell>
          <cell r="FZ151">
            <v>1</v>
          </cell>
          <cell r="GB151">
            <v>0.22178640289157275</v>
          </cell>
          <cell r="GC151">
            <v>0.22088380480069056</v>
          </cell>
          <cell r="GD151">
            <v>0.2191395031910765</v>
          </cell>
          <cell r="GE151">
            <v>0.33819028911666016</v>
          </cell>
          <cell r="GF151">
            <v>1</v>
          </cell>
        </row>
        <row r="153">
          <cell r="A153" t="str">
            <v>Original Federated Doors Monthly Sales</v>
          </cell>
          <cell r="AN153" t="str">
            <v>Original Federated Doors Monthly Sales</v>
          </cell>
        </row>
        <row r="154">
          <cell r="A154" t="str">
            <v>Month 1</v>
          </cell>
          <cell r="AN154" t="str">
            <v>Month 1</v>
          </cell>
          <cell r="DZ154">
            <v>985</v>
          </cell>
          <cell r="EA154">
            <v>1137</v>
          </cell>
          <cell r="EB154">
            <v>1078</v>
          </cell>
          <cell r="EC154">
            <v>1460</v>
          </cell>
          <cell r="EF154">
            <v>1080</v>
          </cell>
          <cell r="EG154">
            <v>1182</v>
          </cell>
          <cell r="EH154">
            <v>1056</v>
          </cell>
          <cell r="EI154">
            <v>1446</v>
          </cell>
          <cell r="EL154">
            <v>1097</v>
          </cell>
          <cell r="EM154">
            <v>1189</v>
          </cell>
          <cell r="EN154">
            <v>1068</v>
          </cell>
        </row>
        <row r="155">
          <cell r="A155" t="str">
            <v>Month 2</v>
          </cell>
          <cell r="AN155" t="str">
            <v>Month 2</v>
          </cell>
          <cell r="DZ155">
            <v>1233</v>
          </cell>
          <cell r="EA155">
            <v>1337</v>
          </cell>
          <cell r="EB155">
            <v>1352</v>
          </cell>
          <cell r="EC155">
            <v>2782</v>
          </cell>
          <cell r="EF155">
            <v>1326</v>
          </cell>
          <cell r="EG155">
            <v>1394</v>
          </cell>
          <cell r="EH155">
            <v>1361</v>
          </cell>
          <cell r="EI155">
            <v>2856</v>
          </cell>
          <cell r="EL155">
            <v>1371</v>
          </cell>
          <cell r="EM155">
            <v>1436</v>
          </cell>
        </row>
        <row r="156">
          <cell r="A156" t="str">
            <v>Month 3</v>
          </cell>
          <cell r="AN156" t="str">
            <v>Month 3</v>
          </cell>
          <cell r="DZ156">
            <v>1076</v>
          </cell>
          <cell r="EA156">
            <v>963</v>
          </cell>
          <cell r="EB156">
            <v>1058</v>
          </cell>
          <cell r="EC156">
            <v>814</v>
          </cell>
          <cell r="EF156">
            <v>1144</v>
          </cell>
          <cell r="EG156">
            <v>1005</v>
          </cell>
          <cell r="EH156">
            <v>1108</v>
          </cell>
          <cell r="EI156">
            <v>818</v>
          </cell>
          <cell r="EL156">
            <v>1173</v>
          </cell>
          <cell r="EM156">
            <v>998</v>
          </cell>
        </row>
        <row r="157">
          <cell r="A157" t="str">
            <v>Total</v>
          </cell>
          <cell r="AN157" t="str">
            <v>Total</v>
          </cell>
          <cell r="DZ157">
            <v>3291</v>
          </cell>
          <cell r="EA157">
            <v>3434</v>
          </cell>
          <cell r="EB157">
            <v>3486</v>
          </cell>
          <cell r="EC157">
            <v>5053</v>
          </cell>
          <cell r="ED157">
            <v>15412</v>
          </cell>
          <cell r="EF157">
            <v>3550</v>
          </cell>
          <cell r="EG157">
            <v>3581</v>
          </cell>
          <cell r="EH157">
            <v>3525</v>
          </cell>
          <cell r="EI157">
            <v>5120</v>
          </cell>
          <cell r="EJ157">
            <v>15776</v>
          </cell>
          <cell r="EL157">
            <v>3641</v>
          </cell>
          <cell r="EM157">
            <v>3623</v>
          </cell>
        </row>
        <row r="159">
          <cell r="A159" t="str">
            <v>Original Federated Doors Monthly Comps</v>
          </cell>
          <cell r="AN159" t="str">
            <v>Original Federated Doors Monthly Comps</v>
          </cell>
        </row>
        <row r="160">
          <cell r="A160" t="str">
            <v>Month 1</v>
          </cell>
          <cell r="AN160" t="str">
            <v>Month 1</v>
          </cell>
          <cell r="DH160">
            <v>5.2999999999999999E-2</v>
          </cell>
          <cell r="DI160">
            <v>4.2000000000000003E-2</v>
          </cell>
          <cell r="DJ160">
            <v>1.0999999999999999E-2</v>
          </cell>
          <cell r="DK160">
            <v>1.4E-2</v>
          </cell>
          <cell r="DN160">
            <v>-1.6E-2</v>
          </cell>
          <cell r="DO160">
            <v>-3.3000000000000002E-2</v>
          </cell>
          <cell r="DP160">
            <v>-2.5999999999999999E-2</v>
          </cell>
          <cell r="DQ160">
            <v>8.9999999999999993E-3</v>
          </cell>
          <cell r="DT160">
            <v>-2.8000000000000001E-2</v>
          </cell>
          <cell r="DU160">
            <v>-3.4000000000000002E-2</v>
          </cell>
          <cell r="DV160">
            <v>-5.8000000000000003E-2</v>
          </cell>
          <cell r="DW160">
            <v>-7.3999999999999996E-2</v>
          </cell>
          <cell r="DZ160">
            <v>-6.8000000000000005E-2</v>
          </cell>
          <cell r="EA160">
            <v>-8.0000000000000002E-3</v>
          </cell>
          <cell r="EB160">
            <v>-8.0000000000000002E-3</v>
          </cell>
          <cell r="EC160">
            <v>-1E-3</v>
          </cell>
          <cell r="EF160">
            <v>0.09</v>
          </cell>
          <cell r="EG160">
            <v>2.9000000000000001E-2</v>
          </cell>
          <cell r="EH160">
            <v>-2.4E-2</v>
          </cell>
          <cell r="EI160">
            <v>-1.4E-2</v>
          </cell>
          <cell r="EL160">
            <v>1.7999999999999999E-2</v>
          </cell>
          <cell r="EM160">
            <v>8.0000000000000002E-3</v>
          </cell>
          <cell r="EN160">
            <v>1.0999999999999999E-2</v>
          </cell>
          <cell r="EO160">
            <v>-3.4000000000000002E-2</v>
          </cell>
          <cell r="ER160">
            <v>0.01</v>
          </cell>
          <cell r="ES160">
            <v>9.1999999999999998E-2</v>
          </cell>
          <cell r="ET160">
            <v>3.7999999999999999E-2</v>
          </cell>
          <cell r="EU160">
            <v>8.5000000000000006E-2</v>
          </cell>
          <cell r="EX160">
            <v>1.2E-2</v>
          </cell>
          <cell r="EY160">
            <v>-3.3000000000000002E-2</v>
          </cell>
          <cell r="EZ160">
            <v>2.4E-2</v>
          </cell>
          <cell r="FA160">
            <v>0.13400000000000001</v>
          </cell>
          <cell r="FD160">
            <v>-3.5000000000000003E-2</v>
          </cell>
          <cell r="FE160">
            <v>-1.4999999999999999E-2</v>
          </cell>
          <cell r="FF160">
            <v>-4.8000000000000001E-2</v>
          </cell>
          <cell r="FG160">
            <v>-0.13300000000000001</v>
          </cell>
          <cell r="FJ160">
            <v>-8.5000000000000006E-2</v>
          </cell>
          <cell r="FK160">
            <v>-9.0999999999999998E-2</v>
          </cell>
          <cell r="FL160">
            <v>-8.1000000000000003E-2</v>
          </cell>
          <cell r="FM160">
            <v>-6.0999999999999999E-2</v>
          </cell>
          <cell r="FP160">
            <v>3.6999999999999998E-2</v>
          </cell>
          <cell r="FQ160">
            <v>1.4E-2</v>
          </cell>
          <cell r="FR160">
            <v>4.2999999999999997E-2</v>
          </cell>
          <cell r="FS160">
            <v>6.0999999999999999E-2</v>
          </cell>
          <cell r="FV160">
            <v>5.8000000000000003E-2</v>
          </cell>
          <cell r="FW160">
            <v>7.3999999999999996E-2</v>
          </cell>
          <cell r="FX160">
            <v>0.05</v>
          </cell>
          <cell r="FY160">
            <v>4.8000000000000001E-2</v>
          </cell>
          <cell r="GB160">
            <v>4.5999999999999999E-2</v>
          </cell>
          <cell r="GC160">
            <v>4.2000000000000003E-2</v>
          </cell>
          <cell r="GD160">
            <v>5.0999999999999997E-2</v>
          </cell>
          <cell r="GE160">
            <v>0.04</v>
          </cell>
        </row>
        <row r="161">
          <cell r="A161" t="str">
            <v>Month 2</v>
          </cell>
          <cell r="AN161" t="str">
            <v>Month 2</v>
          </cell>
          <cell r="DH161">
            <v>-6.0000000000000001E-3</v>
          </cell>
          <cell r="DI161">
            <v>5.0000000000000001E-3</v>
          </cell>
          <cell r="DJ161">
            <v>2.9000000000000001E-2</v>
          </cell>
          <cell r="DK161">
            <v>1.2E-2</v>
          </cell>
          <cell r="DN161">
            <v>-3.2000000000000001E-2</v>
          </cell>
          <cell r="DO161">
            <v>-6.4000000000000001E-2</v>
          </cell>
          <cell r="DP161">
            <v>-0.129</v>
          </cell>
          <cell r="DQ161">
            <v>-8.6999999999999994E-2</v>
          </cell>
          <cell r="DT161">
            <v>-2E-3</v>
          </cell>
          <cell r="DU161">
            <v>-4.0000000000000001E-3</v>
          </cell>
          <cell r="DV161">
            <v>0</v>
          </cell>
          <cell r="DW161">
            <v>-2.5999999999999999E-2</v>
          </cell>
          <cell r="DZ161">
            <v>-6.5000000000000002E-2</v>
          </cell>
          <cell r="EA161">
            <v>-0.02</v>
          </cell>
          <cell r="EB161">
            <v>3.2000000000000001E-2</v>
          </cell>
          <cell r="EC161">
            <v>1.2E-2</v>
          </cell>
          <cell r="EF161">
            <v>6.8000000000000005E-2</v>
          </cell>
          <cell r="EG161">
            <v>3.4000000000000002E-2</v>
          </cell>
          <cell r="EH161">
            <v>1E-3</v>
          </cell>
          <cell r="EI161">
            <v>2.3E-2</v>
          </cell>
          <cell r="EL161">
            <v>3.4000000000000002E-2</v>
          </cell>
          <cell r="EM161">
            <v>2.9000000000000001E-2</v>
          </cell>
          <cell r="EN161">
            <v>1.2999999999999999E-2</v>
          </cell>
          <cell r="EO161">
            <v>3.4000000000000002E-2</v>
          </cell>
          <cell r="ER161">
            <v>0</v>
          </cell>
          <cell r="ES161">
            <v>1.7000000000000001E-2</v>
          </cell>
          <cell r="ET161">
            <v>6.5000000000000002E-2</v>
          </cell>
          <cell r="EU161">
            <v>4.3999999999999997E-2</v>
          </cell>
          <cell r="EX161">
            <v>2.3E-2</v>
          </cell>
          <cell r="EY161">
            <v>-2.7E-2</v>
          </cell>
          <cell r="EZ161">
            <v>-2.7E-2</v>
          </cell>
          <cell r="FA161">
            <v>-7.9000000000000001E-2</v>
          </cell>
          <cell r="FD161">
            <v>-6.2E-2</v>
          </cell>
          <cell r="FE161">
            <v>-2.1000000000000001E-2</v>
          </cell>
          <cell r="FF161">
            <v>-6.6000000000000003E-2</v>
          </cell>
          <cell r="FG161">
            <v>-0.04</v>
          </cell>
          <cell r="FJ161">
            <v>-9.1999999999999998E-2</v>
          </cell>
          <cell r="FK161">
            <v>-8.8999999999999996E-2</v>
          </cell>
          <cell r="FL161">
            <v>-2.3E-2</v>
          </cell>
          <cell r="FM161">
            <v>0.01</v>
          </cell>
          <cell r="FP161">
            <v>0.10800000000000001</v>
          </cell>
          <cell r="FQ161">
            <v>6.5000000000000002E-2</v>
          </cell>
          <cell r="FR161">
            <v>4.8000000000000001E-2</v>
          </cell>
          <cell r="FS161">
            <v>3.9E-2</v>
          </cell>
          <cell r="FV161">
            <v>8.9999999999999993E-3</v>
          </cell>
          <cell r="FW161">
            <v>6.7000000000000004E-2</v>
          </cell>
          <cell r="FX161">
            <v>4.9000000000000002E-2</v>
          </cell>
          <cell r="FY161">
            <v>6.2E-2</v>
          </cell>
          <cell r="GB161">
            <v>7.2999999999999995E-2</v>
          </cell>
          <cell r="GC161">
            <v>1.2E-2</v>
          </cell>
          <cell r="GD161">
            <v>0.03</v>
          </cell>
          <cell r="GE161">
            <v>0.04</v>
          </cell>
        </row>
        <row r="162">
          <cell r="A162" t="str">
            <v>Month 3</v>
          </cell>
          <cell r="AN162" t="str">
            <v>Month 3</v>
          </cell>
          <cell r="DH162">
            <v>5.1999999999999998E-2</v>
          </cell>
          <cell r="DI162">
            <v>1.6E-2</v>
          </cell>
          <cell r="DJ162">
            <v>1.6E-2</v>
          </cell>
          <cell r="DK162">
            <v>3.6999999999999998E-2</v>
          </cell>
          <cell r="DN162">
            <v>8.0000000000000002E-3</v>
          </cell>
          <cell r="DO162">
            <v>-4.2000000000000003E-2</v>
          </cell>
          <cell r="DP162">
            <v>-8.6999999999999994E-2</v>
          </cell>
          <cell r="DQ162">
            <v>-8.7999999999999995E-2</v>
          </cell>
          <cell r="DT162">
            <v>-5.8999999999999997E-2</v>
          </cell>
          <cell r="DU162">
            <v>-5.1999999999999998E-2</v>
          </cell>
          <cell r="DV162">
            <v>3.0000000000000001E-3</v>
          </cell>
          <cell r="DW162">
            <v>-1.2E-2</v>
          </cell>
          <cell r="DZ162">
            <v>-1.3999999999999999E-2</v>
          </cell>
          <cell r="EA162">
            <v>-4.0000000000000001E-3</v>
          </cell>
          <cell r="EB162">
            <v>-0.02</v>
          </cell>
          <cell r="EC162">
            <v>5.5E-2</v>
          </cell>
          <cell r="EF162">
            <v>5.3999999999999999E-2</v>
          </cell>
          <cell r="EG162">
            <v>3.6999999999999998E-2</v>
          </cell>
          <cell r="EH162">
            <v>0.04</v>
          </cell>
          <cell r="EI162">
            <v>-4.0000000000000001E-3</v>
          </cell>
          <cell r="EL162">
            <v>2.8000000000000001E-2</v>
          </cell>
          <cell r="EM162">
            <v>-8.9999999999999993E-3</v>
          </cell>
          <cell r="EN162">
            <v>-7.0000000000000001E-3</v>
          </cell>
          <cell r="EO162">
            <v>0.01</v>
          </cell>
          <cell r="ER162">
            <v>-8.0000000000000002E-3</v>
          </cell>
          <cell r="ES162">
            <v>3.3000000000000002E-2</v>
          </cell>
          <cell r="ET162">
            <v>7.6999999999999999E-2</v>
          </cell>
          <cell r="EU162">
            <v>8.5999999999999993E-2</v>
          </cell>
          <cell r="EX162">
            <v>-2.1999999999999999E-2</v>
          </cell>
          <cell r="EY162">
            <v>-1.4E-2</v>
          </cell>
          <cell r="EZ162">
            <v>-1.4999999999999999E-2</v>
          </cell>
          <cell r="FA162">
            <v>-7.0999999999999994E-2</v>
          </cell>
          <cell r="FD162">
            <v>0.03</v>
          </cell>
          <cell r="FE162">
            <v>-2.9000000000000001E-2</v>
          </cell>
          <cell r="FF162">
            <v>-6.3E-2</v>
          </cell>
          <cell r="FG162">
            <v>-4.4999999999999998E-2</v>
          </cell>
          <cell r="FJ162">
            <v>-9.0999999999999998E-2</v>
          </cell>
          <cell r="FK162">
            <v>-0.107</v>
          </cell>
          <cell r="FL162">
            <v>-8.0000000000000002E-3</v>
          </cell>
          <cell r="FM162">
            <v>3.4000000000000002E-2</v>
          </cell>
          <cell r="FP162">
            <v>1.0999999999999999E-2</v>
          </cell>
          <cell r="FQ162">
            <v>7.2999999999999995E-2</v>
          </cell>
          <cell r="FR162">
            <v>2.5000000000000001E-2</v>
          </cell>
          <cell r="FS162">
            <v>2.5999999999999999E-2</v>
          </cell>
          <cell r="FV162">
            <v>0.108</v>
          </cell>
          <cell r="FW162">
            <v>0.05</v>
          </cell>
          <cell r="FX162">
            <v>2.1999999999999999E-2</v>
          </cell>
          <cell r="FY162">
            <v>2.4E-2</v>
          </cell>
          <cell r="GB162">
            <v>1.2E-2</v>
          </cell>
          <cell r="GC162">
            <v>4.1000000000000002E-2</v>
          </cell>
          <cell r="GD162">
            <v>5.5E-2</v>
          </cell>
          <cell r="GE162">
            <v>0.05</v>
          </cell>
        </row>
        <row r="163">
          <cell r="A163" t="str">
            <v>Total</v>
          </cell>
          <cell r="AN163" t="str">
            <v>Total</v>
          </cell>
          <cell r="DH163">
            <v>2.9000000000000001E-2</v>
          </cell>
          <cell r="DI163">
            <v>1.9E-2</v>
          </cell>
          <cell r="DJ163">
            <v>1.9E-2</v>
          </cell>
          <cell r="DK163">
            <v>1.6E-2</v>
          </cell>
          <cell r="DL163">
            <v>0.02</v>
          </cell>
          <cell r="DN163">
            <v>-1.4999999999999999E-2</v>
          </cell>
          <cell r="DO163">
            <v>-4.8000000000000001E-2</v>
          </cell>
          <cell r="DP163">
            <v>-8.5999999999999993E-2</v>
          </cell>
          <cell r="DQ163">
            <v>-0.06</v>
          </cell>
          <cell r="DR163">
            <v>-5.2999999999999999E-2</v>
          </cell>
          <cell r="DT163">
            <v>-2.9000000000000001E-2</v>
          </cell>
          <cell r="DU163">
            <v>-2.8000000000000001E-2</v>
          </cell>
          <cell r="DV163">
            <v>-0.02</v>
          </cell>
          <cell r="DW163">
            <v>-3.9E-2</v>
          </cell>
          <cell r="DX163">
            <v>-0.03</v>
          </cell>
          <cell r="DZ163">
            <v>-0.05</v>
          </cell>
          <cell r="EA163">
            <v>-1.2E-2</v>
          </cell>
          <cell r="EB163">
            <v>2E-3</v>
          </cell>
          <cell r="EC163">
            <v>1.3999999999999999E-2</v>
          </cell>
          <cell r="ED163">
            <v>-9.0000000000000011E-3</v>
          </cell>
          <cell r="EF163">
            <v>6.9000000000000006E-2</v>
          </cell>
          <cell r="EG163">
            <v>3.3000000000000002E-2</v>
          </cell>
          <cell r="EH163">
            <v>4.0000000000000001E-3</v>
          </cell>
          <cell r="EI163">
            <v>8.0000000000000002E-3</v>
          </cell>
          <cell r="EJ163">
            <v>2.5999999999999999E-2</v>
          </cell>
          <cell r="EL163">
            <v>2.5999999999999999E-2</v>
          </cell>
          <cell r="EM163">
            <v>1.0999999999999999E-2</v>
          </cell>
          <cell r="EN163">
            <v>6.0000000000000001E-3</v>
          </cell>
          <cell r="EO163">
            <v>1.0999999999999999E-2</v>
          </cell>
          <cell r="EP163">
            <v>1.2999999999999999E-2</v>
          </cell>
          <cell r="ER163">
            <v>0</v>
          </cell>
          <cell r="ES163">
            <v>4.5999999999999999E-2</v>
          </cell>
          <cell r="ET163">
            <v>5.8999999999999997E-2</v>
          </cell>
          <cell r="EU163">
            <v>6.0999999999999999E-2</v>
          </cell>
          <cell r="EV163">
            <v>4.3999999999999997E-2</v>
          </cell>
          <cell r="EX163">
            <v>6.0000000000000001E-3</v>
          </cell>
          <cell r="EY163">
            <v>-2.5999999999999999E-2</v>
          </cell>
          <cell r="EZ163">
            <v>-8.0000000000000002E-3</v>
          </cell>
          <cell r="FA163">
            <v>-0.02</v>
          </cell>
          <cell r="FB163">
            <v>-1.2999999999999999E-2</v>
          </cell>
          <cell r="FD163">
            <v>-2.5999999999999999E-2</v>
          </cell>
          <cell r="FE163">
            <v>-2.1000000000000001E-2</v>
          </cell>
          <cell r="FF163">
            <v>-0.06</v>
          </cell>
          <cell r="FG163">
            <v>-7.0000000000000007E-2</v>
          </cell>
          <cell r="FH163">
            <v>-4.4999999999999998E-2</v>
          </cell>
          <cell r="FJ163">
            <v>-0.09</v>
          </cell>
          <cell r="FK163">
            <v>-9.5000000000000001E-2</v>
          </cell>
          <cell r="FL163">
            <v>-3.5999999999999997E-2</v>
          </cell>
          <cell r="FM163">
            <v>-8.0000000000000002E-3</v>
          </cell>
          <cell r="FN163">
            <v>-5.2999999999999999E-2</v>
          </cell>
          <cell r="FP163">
            <v>5.5E-2</v>
          </cell>
          <cell r="FQ163">
            <v>4.9000000000000002E-2</v>
          </cell>
          <cell r="FR163">
            <v>3.9E-2</v>
          </cell>
          <cell r="FS163">
            <v>4.2999999999999997E-2</v>
          </cell>
          <cell r="FT163">
            <v>4.610434747830261E-2</v>
          </cell>
          <cell r="FV163">
            <v>5.3999999999999999E-2</v>
          </cell>
          <cell r="FW163">
            <v>6.4000000000000001E-2</v>
          </cell>
          <cell r="FX163">
            <v>0.04</v>
          </cell>
          <cell r="FY163">
            <v>5.1999999999999998E-2</v>
          </cell>
          <cell r="FZ163">
            <v>5.2999999999999999E-2</v>
          </cell>
          <cell r="GB163">
            <v>4.3999999999999997E-2</v>
          </cell>
          <cell r="GC163">
            <v>0.03</v>
          </cell>
          <cell r="GD163">
            <v>4.4170626829774157E-2</v>
          </cell>
          <cell r="GE163">
            <v>4.1872044415560798E-2</v>
          </cell>
          <cell r="GF163">
            <v>4.02253638971692E-2</v>
          </cell>
        </row>
        <row r="165">
          <cell r="A165" t="str">
            <v>Original Federated Doors Store Count (Estimated)</v>
          </cell>
          <cell r="AN165" t="str">
            <v>Original Federated Doors Store Count (Estimated)</v>
          </cell>
        </row>
        <row r="166">
          <cell r="A166" t="str">
            <v>Month 1</v>
          </cell>
          <cell r="AN166" t="str">
            <v>Month 1</v>
          </cell>
          <cell r="DZ166">
            <v>456</v>
          </cell>
          <cell r="EA166">
            <v>456</v>
          </cell>
          <cell r="EB166">
            <v>460</v>
          </cell>
          <cell r="EC166">
            <v>465</v>
          </cell>
          <cell r="EF166">
            <v>458</v>
          </cell>
          <cell r="EG166">
            <v>457</v>
          </cell>
          <cell r="EH166">
            <v>457</v>
          </cell>
          <cell r="EI166">
            <v>459</v>
          </cell>
          <cell r="EL166">
            <v>459</v>
          </cell>
          <cell r="EM166">
            <v>460</v>
          </cell>
          <cell r="EN166">
            <v>459</v>
          </cell>
          <cell r="EO166">
            <v>444</v>
          </cell>
          <cell r="ER166">
            <v>410</v>
          </cell>
          <cell r="ES166">
            <v>406</v>
          </cell>
          <cell r="ET166">
            <v>402</v>
          </cell>
          <cell r="EU166">
            <v>408</v>
          </cell>
          <cell r="EX166">
            <v>407</v>
          </cell>
          <cell r="EY166">
            <v>412</v>
          </cell>
          <cell r="EZ166">
            <v>413</v>
          </cell>
          <cell r="FA166">
            <v>415</v>
          </cell>
          <cell r="FD166">
            <v>415</v>
          </cell>
          <cell r="FE166">
            <v>415</v>
          </cell>
          <cell r="FF166">
            <v>419</v>
          </cell>
          <cell r="FG166">
            <v>422</v>
          </cell>
          <cell r="FJ166">
            <v>410</v>
          </cell>
          <cell r="FK166">
            <v>411</v>
          </cell>
          <cell r="FL166">
            <v>412</v>
          </cell>
          <cell r="FM166">
            <v>417</v>
          </cell>
          <cell r="FP166">
            <v>413</v>
          </cell>
          <cell r="FQ166">
            <v>413</v>
          </cell>
          <cell r="FR166">
            <v>412</v>
          </cell>
          <cell r="FS166">
            <v>417</v>
          </cell>
          <cell r="FV166">
            <v>413</v>
          </cell>
          <cell r="FW166">
            <v>413</v>
          </cell>
          <cell r="FX166">
            <v>412</v>
          </cell>
          <cell r="FY166">
            <v>414</v>
          </cell>
          <cell r="GB166">
            <v>405</v>
          </cell>
          <cell r="GC166">
            <v>407</v>
          </cell>
          <cell r="GD166">
            <v>409</v>
          </cell>
          <cell r="GE166">
            <v>410</v>
          </cell>
        </row>
        <row r="167">
          <cell r="A167" t="str">
            <v>Month 2</v>
          </cell>
          <cell r="AN167" t="str">
            <v>Month 2</v>
          </cell>
          <cell r="DZ167">
            <v>456</v>
          </cell>
          <cell r="EA167">
            <v>455</v>
          </cell>
          <cell r="EB167">
            <v>460</v>
          </cell>
          <cell r="EC167">
            <v>465</v>
          </cell>
          <cell r="EF167">
            <v>458</v>
          </cell>
          <cell r="EG167">
            <v>457</v>
          </cell>
          <cell r="EH167">
            <v>458</v>
          </cell>
          <cell r="EI167">
            <v>459</v>
          </cell>
          <cell r="EL167">
            <v>459</v>
          </cell>
          <cell r="EM167">
            <v>460</v>
          </cell>
          <cell r="EN167">
            <v>446</v>
          </cell>
          <cell r="EO167">
            <v>443</v>
          </cell>
          <cell r="ER167">
            <v>406</v>
          </cell>
          <cell r="ES167">
            <v>405</v>
          </cell>
          <cell r="ET167">
            <v>403</v>
          </cell>
          <cell r="EU167">
            <v>408</v>
          </cell>
          <cell r="EX167">
            <v>408</v>
          </cell>
          <cell r="EY167">
            <v>412</v>
          </cell>
          <cell r="EZ167">
            <v>415</v>
          </cell>
          <cell r="FA167">
            <v>415</v>
          </cell>
          <cell r="FD167">
            <v>416</v>
          </cell>
          <cell r="FE167">
            <v>416</v>
          </cell>
          <cell r="FF167">
            <v>416</v>
          </cell>
          <cell r="FG167">
            <v>422</v>
          </cell>
          <cell r="FJ167">
            <v>410</v>
          </cell>
          <cell r="FK167">
            <v>411</v>
          </cell>
          <cell r="FL167">
            <v>415</v>
          </cell>
          <cell r="FM167">
            <v>417</v>
          </cell>
          <cell r="FP167">
            <v>413</v>
          </cell>
          <cell r="FQ167">
            <v>413</v>
          </cell>
          <cell r="FR167">
            <v>415</v>
          </cell>
          <cell r="FS167">
            <v>417</v>
          </cell>
          <cell r="FV167">
            <v>413</v>
          </cell>
          <cell r="FW167">
            <v>413</v>
          </cell>
          <cell r="FX167">
            <v>412</v>
          </cell>
          <cell r="FY167">
            <v>413</v>
          </cell>
          <cell r="GB167">
            <v>407</v>
          </cell>
          <cell r="GC167">
            <v>409</v>
          </cell>
          <cell r="GD167">
            <v>410</v>
          </cell>
          <cell r="GE167">
            <v>411</v>
          </cell>
        </row>
        <row r="168">
          <cell r="A168" t="str">
            <v>Month 3</v>
          </cell>
          <cell r="AN168" t="str">
            <v>Month 3</v>
          </cell>
          <cell r="DZ168">
            <v>456</v>
          </cell>
          <cell r="EA168">
            <v>460</v>
          </cell>
          <cell r="EB168">
            <v>465</v>
          </cell>
          <cell r="EC168">
            <v>459</v>
          </cell>
          <cell r="EF168">
            <v>459</v>
          </cell>
          <cell r="EG168">
            <v>457</v>
          </cell>
          <cell r="EH168">
            <v>459</v>
          </cell>
          <cell r="EI168">
            <v>459</v>
          </cell>
          <cell r="EL168">
            <v>459</v>
          </cell>
          <cell r="EM168">
            <v>460</v>
          </cell>
          <cell r="EN168">
            <v>444</v>
          </cell>
          <cell r="EO168">
            <v>410</v>
          </cell>
          <cell r="ER168">
            <v>406</v>
          </cell>
          <cell r="ES168">
            <v>403</v>
          </cell>
          <cell r="ET168">
            <v>405</v>
          </cell>
          <cell r="EU168">
            <v>407</v>
          </cell>
          <cell r="EX168">
            <v>412</v>
          </cell>
          <cell r="EY168">
            <v>412</v>
          </cell>
          <cell r="EZ168">
            <v>415</v>
          </cell>
          <cell r="FA168">
            <v>415</v>
          </cell>
          <cell r="FD168">
            <v>414</v>
          </cell>
          <cell r="FE168">
            <v>418</v>
          </cell>
          <cell r="FF168">
            <v>419</v>
          </cell>
          <cell r="FG168">
            <v>410</v>
          </cell>
          <cell r="FJ168">
            <v>411</v>
          </cell>
          <cell r="FK168">
            <v>411</v>
          </cell>
          <cell r="FL168">
            <v>417</v>
          </cell>
          <cell r="FM168">
            <v>413</v>
          </cell>
          <cell r="FP168">
            <v>412</v>
          </cell>
          <cell r="FQ168">
            <v>412</v>
          </cell>
          <cell r="FR168">
            <v>417</v>
          </cell>
          <cell r="FS168">
            <v>413</v>
          </cell>
          <cell r="FV168">
            <v>413</v>
          </cell>
          <cell r="FW168">
            <v>412</v>
          </cell>
          <cell r="FX168">
            <v>413</v>
          </cell>
          <cell r="FY168">
            <v>405</v>
          </cell>
          <cell r="GB168">
            <v>407</v>
          </cell>
          <cell r="GC168">
            <v>408</v>
          </cell>
          <cell r="GD168">
            <v>410</v>
          </cell>
          <cell r="GE168">
            <v>407</v>
          </cell>
        </row>
        <row r="169">
          <cell r="A169" t="str">
            <v>Total</v>
          </cell>
          <cell r="AN169" t="str">
            <v>Total</v>
          </cell>
          <cell r="DZ169">
            <v>456</v>
          </cell>
          <cell r="EA169">
            <v>460</v>
          </cell>
          <cell r="EB169">
            <v>465</v>
          </cell>
          <cell r="EC169">
            <v>459</v>
          </cell>
          <cell r="ED169">
            <v>459</v>
          </cell>
          <cell r="EF169">
            <v>459</v>
          </cell>
          <cell r="EG169">
            <v>457</v>
          </cell>
          <cell r="EH169">
            <v>459</v>
          </cell>
          <cell r="EI169">
            <v>459</v>
          </cell>
          <cell r="EJ169">
            <v>459</v>
          </cell>
          <cell r="EL169">
            <v>459</v>
          </cell>
          <cell r="EM169">
            <v>460</v>
          </cell>
          <cell r="EN169">
            <v>444</v>
          </cell>
          <cell r="EO169">
            <v>410</v>
          </cell>
          <cell r="EP169">
            <v>410</v>
          </cell>
          <cell r="ER169">
            <v>406</v>
          </cell>
          <cell r="ES169">
            <v>403</v>
          </cell>
          <cell r="ET169">
            <v>405</v>
          </cell>
          <cell r="EU169">
            <v>407</v>
          </cell>
          <cell r="EV169">
            <v>407</v>
          </cell>
          <cell r="EX169">
            <v>412</v>
          </cell>
          <cell r="EY169">
            <v>412</v>
          </cell>
          <cell r="EZ169">
            <v>415</v>
          </cell>
          <cell r="FA169">
            <v>415</v>
          </cell>
          <cell r="FB169">
            <v>415</v>
          </cell>
          <cell r="FD169">
            <v>414</v>
          </cell>
          <cell r="FE169">
            <v>418</v>
          </cell>
          <cell r="FF169">
            <v>419</v>
          </cell>
          <cell r="FG169">
            <v>410</v>
          </cell>
          <cell r="FH169">
            <v>410</v>
          </cell>
          <cell r="FJ169">
            <v>411</v>
          </cell>
          <cell r="FK169">
            <v>411</v>
          </cell>
          <cell r="FL169">
            <v>417</v>
          </cell>
          <cell r="FM169">
            <v>413</v>
          </cell>
          <cell r="FN169">
            <v>413</v>
          </cell>
          <cell r="FP169">
            <v>412</v>
          </cell>
          <cell r="FQ169">
            <v>412</v>
          </cell>
          <cell r="FR169">
            <v>417</v>
          </cell>
          <cell r="FS169">
            <v>413</v>
          </cell>
          <cell r="FT169">
            <v>413</v>
          </cell>
          <cell r="FV169">
            <v>413</v>
          </cell>
          <cell r="FW169">
            <v>412</v>
          </cell>
          <cell r="FX169">
            <v>413</v>
          </cell>
          <cell r="FY169">
            <v>405</v>
          </cell>
          <cell r="FZ169">
            <v>405</v>
          </cell>
          <cell r="GB169">
            <v>407</v>
          </cell>
          <cell r="GC169">
            <v>408</v>
          </cell>
          <cell r="GD169">
            <v>410</v>
          </cell>
          <cell r="GE169">
            <v>407</v>
          </cell>
          <cell r="GF169">
            <v>407</v>
          </cell>
        </row>
        <row r="171">
          <cell r="A171" t="str">
            <v>May Co. Monthly Sales ($)</v>
          </cell>
          <cell r="AN171" t="str">
            <v>May Co. Monthly Sales ($)</v>
          </cell>
        </row>
        <row r="172">
          <cell r="A172" t="str">
            <v>Month 1</v>
          </cell>
          <cell r="AN172" t="str">
            <v>Month 1</v>
          </cell>
          <cell r="DZ172">
            <v>846</v>
          </cell>
          <cell r="EA172">
            <v>1005</v>
          </cell>
          <cell r="EB172">
            <v>953.8</v>
          </cell>
          <cell r="EC172">
            <v>1260.8</v>
          </cell>
          <cell r="EF172">
            <v>880.4</v>
          </cell>
          <cell r="EG172">
            <v>977.8</v>
          </cell>
          <cell r="EH172">
            <v>1053.9000000000001</v>
          </cell>
          <cell r="EI172">
            <v>1386.9</v>
          </cell>
          <cell r="EL172">
            <v>1007.8</v>
          </cell>
          <cell r="EM172">
            <v>1119.3</v>
          </cell>
          <cell r="EN172">
            <v>1027</v>
          </cell>
        </row>
        <row r="173">
          <cell r="A173" t="str">
            <v>Month 2</v>
          </cell>
          <cell r="AN173" t="str">
            <v>Month 2</v>
          </cell>
          <cell r="DZ173">
            <v>1060</v>
          </cell>
          <cell r="EA173">
            <v>1131.9000000000001</v>
          </cell>
          <cell r="EB173">
            <v>1135</v>
          </cell>
          <cell r="EC173">
            <v>2517</v>
          </cell>
          <cell r="EF173">
            <v>1161</v>
          </cell>
          <cell r="EG173">
            <v>1160</v>
          </cell>
          <cell r="EH173">
            <v>1339</v>
          </cell>
          <cell r="EI173">
            <v>2844.1</v>
          </cell>
          <cell r="EL173">
            <v>1280</v>
          </cell>
          <cell r="EM173">
            <v>1398.7</v>
          </cell>
        </row>
        <row r="174">
          <cell r="A174" t="str">
            <v>Month 3</v>
          </cell>
          <cell r="AN174" t="str">
            <v>Month 3</v>
          </cell>
          <cell r="DZ174">
            <v>967.4</v>
          </cell>
          <cell r="EA174">
            <v>863.4</v>
          </cell>
          <cell r="EB174">
            <v>887.2</v>
          </cell>
          <cell r="EC174">
            <v>715.4</v>
          </cell>
          <cell r="EF174">
            <v>901.5</v>
          </cell>
          <cell r="EG174">
            <v>817.9</v>
          </cell>
          <cell r="EH174">
            <v>1090.3</v>
          </cell>
          <cell r="EI174">
            <v>808</v>
          </cell>
          <cell r="EL174">
            <v>1080</v>
          </cell>
          <cell r="EM174">
            <v>927.4</v>
          </cell>
        </row>
        <row r="175">
          <cell r="A175" t="str">
            <v>Total</v>
          </cell>
          <cell r="AN175" t="str">
            <v>Total</v>
          </cell>
          <cell r="DZ175">
            <v>2873.4</v>
          </cell>
          <cell r="EA175">
            <v>3000.3</v>
          </cell>
          <cell r="EB175">
            <v>2976</v>
          </cell>
          <cell r="EC175">
            <v>4493.2</v>
          </cell>
          <cell r="ED175">
            <v>13342.900000000001</v>
          </cell>
          <cell r="EF175">
            <v>2963</v>
          </cell>
          <cell r="EG175">
            <v>2955.7</v>
          </cell>
          <cell r="EH175">
            <v>3483.2</v>
          </cell>
          <cell r="EI175">
            <v>5039</v>
          </cell>
          <cell r="EJ175">
            <v>14440.9</v>
          </cell>
          <cell r="EL175">
            <v>3369</v>
          </cell>
          <cell r="EM175">
            <v>3446</v>
          </cell>
        </row>
        <row r="177">
          <cell r="A177" t="str">
            <v>May Co. Monthly Comps</v>
          </cell>
          <cell r="AN177" t="str">
            <v>May Co. Monthly Comps</v>
          </cell>
        </row>
        <row r="178">
          <cell r="A178" t="str">
            <v>Month 1</v>
          </cell>
          <cell r="AN178" t="str">
            <v>Month 1</v>
          </cell>
          <cell r="DZ178">
            <v>-8.8999999999999996E-2</v>
          </cell>
          <cell r="EA178">
            <v>-3.9E-2</v>
          </cell>
          <cell r="EB178">
            <v>-3.2000000000000001E-2</v>
          </cell>
          <cell r="EC178">
            <v>-1.7000000000000001E-2</v>
          </cell>
          <cell r="EF178">
            <v>2.5999999999999999E-2</v>
          </cell>
          <cell r="EG178">
            <v>-3.7999999999999999E-2</v>
          </cell>
          <cell r="EH178">
            <v>-6.7000000000000004E-2</v>
          </cell>
          <cell r="EI178">
            <v>-7.9000000000000001E-2</v>
          </cell>
          <cell r="EL178">
            <v>-4.2000000000000003E-2</v>
          </cell>
          <cell r="EM178">
            <v>-2.9000000000000001E-2</v>
          </cell>
          <cell r="EN178">
            <v>-2.8000000000000001E-2</v>
          </cell>
        </row>
        <row r="179">
          <cell r="A179" t="str">
            <v>Month 2</v>
          </cell>
          <cell r="AN179" t="str">
            <v>Month 2</v>
          </cell>
          <cell r="DZ179">
            <v>-0.114</v>
          </cell>
          <cell r="EA179">
            <v>-5.8999999999999997E-2</v>
          </cell>
          <cell r="EB179">
            <v>-3.0000000000000001E-3</v>
          </cell>
          <cell r="EC179">
            <v>1.0999999999999999E-2</v>
          </cell>
          <cell r="EF179">
            <v>0.10100000000000001</v>
          </cell>
          <cell r="EG179">
            <v>1.9E-2</v>
          </cell>
          <cell r="EH179">
            <v>-1.4999999999999999E-2</v>
          </cell>
          <cell r="EI179">
            <v>-3.5000000000000003E-2</v>
          </cell>
          <cell r="EL179">
            <v>-0.108</v>
          </cell>
          <cell r="EM179">
            <v>7.0000000000000001E-3</v>
          </cell>
        </row>
        <row r="180">
          <cell r="A180" t="str">
            <v>Month 3</v>
          </cell>
          <cell r="AN180" t="str">
            <v>Month 3</v>
          </cell>
          <cell r="DZ180">
            <v>-5.6000000000000001E-2</v>
          </cell>
          <cell r="EA180">
            <v>1.7999999999999999E-2</v>
          </cell>
          <cell r="EB180">
            <v>-4.2000000000000003E-2</v>
          </cell>
          <cell r="EC180">
            <v>5.2999999999999999E-2</v>
          </cell>
          <cell r="EF180">
            <v>-8.1000000000000003E-2</v>
          </cell>
          <cell r="EG180">
            <v>-5.2999999999999999E-2</v>
          </cell>
          <cell r="EH180">
            <v>-2.3E-2</v>
          </cell>
          <cell r="EI180">
            <v>-7.1999999999999995E-2</v>
          </cell>
          <cell r="EL180">
            <v>1.4999999999999999E-2</v>
          </cell>
          <cell r="EM180">
            <v>-3.3000000000000002E-2</v>
          </cell>
        </row>
        <row r="181">
          <cell r="A181" t="str">
            <v>Total</v>
          </cell>
          <cell r="AN181" t="str">
            <v>Total</v>
          </cell>
          <cell r="DZ181">
            <v>-8.7999999999999995E-2</v>
          </cell>
          <cell r="EA181">
            <v>-3.1E-2</v>
          </cell>
          <cell r="EB181">
            <v>-2.3921034946236562E-2</v>
          </cell>
          <cell r="EC181">
            <v>8.0000000000000002E-3</v>
          </cell>
          <cell r="ED181">
            <v>-2.8562204901446453E-2</v>
          </cell>
          <cell r="EF181">
            <v>1.7000000000000001E-2</v>
          </cell>
          <cell r="EG181">
            <v>-2.1999999999999999E-2</v>
          </cell>
          <cell r="EH181">
            <v>-3.4000000000000002E-2</v>
          </cell>
          <cell r="EI181">
            <v>-5.1999999999999998E-2</v>
          </cell>
          <cell r="EJ181">
            <v>-2.4E-2</v>
          </cell>
          <cell r="EL181">
            <v>-5.0999999999999997E-2</v>
          </cell>
          <cell r="EM181">
            <v>-1.6E-2</v>
          </cell>
        </row>
        <row r="183">
          <cell r="A183" t="str">
            <v>May Co. Store Count (Estimated)</v>
          </cell>
          <cell r="AN183" t="str">
            <v>May Co. Store Count (Estimated)</v>
          </cell>
        </row>
        <row r="184">
          <cell r="A184" t="str">
            <v>Month 1</v>
          </cell>
          <cell r="AN184" t="str">
            <v>Month 1</v>
          </cell>
          <cell r="DZ184">
            <v>444</v>
          </cell>
          <cell r="EA184">
            <v>445</v>
          </cell>
          <cell r="EB184">
            <v>447</v>
          </cell>
          <cell r="EC184">
            <v>448</v>
          </cell>
          <cell r="EF184">
            <v>442</v>
          </cell>
          <cell r="EG184">
            <v>438</v>
          </cell>
          <cell r="EH184">
            <v>497</v>
          </cell>
          <cell r="EI184">
            <v>501</v>
          </cell>
          <cell r="EL184">
            <v>491</v>
          </cell>
          <cell r="EM184">
            <v>489</v>
          </cell>
          <cell r="EN184">
            <v>487</v>
          </cell>
          <cell r="EO184">
            <v>491</v>
          </cell>
          <cell r="ER184">
            <v>458</v>
          </cell>
          <cell r="ES184">
            <v>455</v>
          </cell>
          <cell r="ET184">
            <v>452</v>
          </cell>
          <cell r="EU184">
            <v>452</v>
          </cell>
          <cell r="EX184">
            <v>451</v>
          </cell>
          <cell r="EY184">
            <v>451</v>
          </cell>
          <cell r="EZ184">
            <v>451</v>
          </cell>
          <cell r="FA184">
            <v>451</v>
          </cell>
          <cell r="FD184">
            <v>437</v>
          </cell>
          <cell r="FE184">
            <v>437</v>
          </cell>
          <cell r="FF184">
            <v>437</v>
          </cell>
          <cell r="FG184">
            <v>437</v>
          </cell>
          <cell r="FJ184">
            <v>437</v>
          </cell>
          <cell r="FK184">
            <v>437</v>
          </cell>
          <cell r="FL184">
            <v>437</v>
          </cell>
          <cell r="FM184">
            <v>437</v>
          </cell>
          <cell r="FP184">
            <v>437</v>
          </cell>
          <cell r="FQ184">
            <v>437</v>
          </cell>
          <cell r="FR184">
            <v>437</v>
          </cell>
          <cell r="FS184">
            <v>437</v>
          </cell>
          <cell r="FV184">
            <v>437</v>
          </cell>
          <cell r="FW184">
            <v>437</v>
          </cell>
          <cell r="FX184">
            <v>437</v>
          </cell>
          <cell r="FY184">
            <v>437</v>
          </cell>
          <cell r="GB184">
            <v>437</v>
          </cell>
          <cell r="GC184">
            <v>437</v>
          </cell>
          <cell r="GD184">
            <v>437</v>
          </cell>
          <cell r="GE184">
            <v>437</v>
          </cell>
        </row>
        <row r="185">
          <cell r="A185" t="str">
            <v>Month 2</v>
          </cell>
          <cell r="AN185" t="str">
            <v>Month 2</v>
          </cell>
          <cell r="DZ185">
            <v>444</v>
          </cell>
          <cell r="EA185">
            <v>446</v>
          </cell>
          <cell r="EB185">
            <v>448</v>
          </cell>
          <cell r="EC185">
            <v>448</v>
          </cell>
          <cell r="EF185">
            <v>439</v>
          </cell>
          <cell r="EG185">
            <v>438</v>
          </cell>
          <cell r="EH185">
            <v>497</v>
          </cell>
          <cell r="EI185">
            <v>501</v>
          </cell>
          <cell r="EL185">
            <v>490</v>
          </cell>
          <cell r="EM185">
            <v>487</v>
          </cell>
          <cell r="EN185">
            <v>487</v>
          </cell>
          <cell r="EO185">
            <v>491</v>
          </cell>
          <cell r="ER185">
            <v>455</v>
          </cell>
          <cell r="ES185">
            <v>454</v>
          </cell>
          <cell r="ET185">
            <v>452</v>
          </cell>
          <cell r="EU185">
            <v>452</v>
          </cell>
          <cell r="EX185">
            <v>451</v>
          </cell>
          <cell r="EY185">
            <v>451</v>
          </cell>
          <cell r="EZ185">
            <v>451</v>
          </cell>
          <cell r="FA185">
            <v>442</v>
          </cell>
          <cell r="FD185">
            <v>437</v>
          </cell>
          <cell r="FE185">
            <v>437</v>
          </cell>
          <cell r="FF185">
            <v>437</v>
          </cell>
          <cell r="FG185">
            <v>437</v>
          </cell>
          <cell r="FJ185">
            <v>437</v>
          </cell>
          <cell r="FK185">
            <v>437</v>
          </cell>
          <cell r="FL185">
            <v>437</v>
          </cell>
          <cell r="FM185">
            <v>437</v>
          </cell>
          <cell r="FP185">
            <v>437</v>
          </cell>
          <cell r="FQ185">
            <v>437</v>
          </cell>
          <cell r="FR185">
            <v>437</v>
          </cell>
          <cell r="FS185">
            <v>437</v>
          </cell>
          <cell r="FV185">
            <v>437</v>
          </cell>
          <cell r="FW185">
            <v>437</v>
          </cell>
          <cell r="FX185">
            <v>437</v>
          </cell>
          <cell r="FY185">
            <v>437</v>
          </cell>
          <cell r="GB185">
            <v>437</v>
          </cell>
          <cell r="GC185">
            <v>437</v>
          </cell>
          <cell r="GD185">
            <v>437</v>
          </cell>
          <cell r="GE185">
            <v>437</v>
          </cell>
        </row>
        <row r="186">
          <cell r="A186" t="str">
            <v>Month 3</v>
          </cell>
          <cell r="AN186" t="str">
            <v>Month 3</v>
          </cell>
          <cell r="DZ186">
            <v>444</v>
          </cell>
          <cell r="EA186">
            <v>446</v>
          </cell>
          <cell r="EB186">
            <v>450</v>
          </cell>
          <cell r="EC186">
            <v>444</v>
          </cell>
          <cell r="EF186">
            <v>439</v>
          </cell>
          <cell r="EG186">
            <v>497</v>
          </cell>
          <cell r="EH186">
            <v>500</v>
          </cell>
          <cell r="EI186">
            <v>491</v>
          </cell>
          <cell r="EL186">
            <v>490</v>
          </cell>
          <cell r="EM186">
            <v>487</v>
          </cell>
          <cell r="EN186">
            <v>491</v>
          </cell>
          <cell r="EO186">
            <v>458</v>
          </cell>
          <cell r="ER186">
            <v>455</v>
          </cell>
          <cell r="ES186">
            <v>453</v>
          </cell>
          <cell r="ET186">
            <v>452</v>
          </cell>
          <cell r="EU186">
            <v>451</v>
          </cell>
          <cell r="EX186">
            <v>451</v>
          </cell>
          <cell r="EY186">
            <v>451</v>
          </cell>
          <cell r="EZ186">
            <v>451</v>
          </cell>
          <cell r="FA186">
            <v>437</v>
          </cell>
          <cell r="FD186">
            <v>437</v>
          </cell>
          <cell r="FE186">
            <v>437</v>
          </cell>
          <cell r="FF186">
            <v>437</v>
          </cell>
          <cell r="FG186">
            <v>437</v>
          </cell>
          <cell r="FJ186">
            <v>437</v>
          </cell>
          <cell r="FK186">
            <v>437</v>
          </cell>
          <cell r="FL186">
            <v>437</v>
          </cell>
          <cell r="FM186">
            <v>437</v>
          </cell>
          <cell r="FP186">
            <v>437</v>
          </cell>
          <cell r="FQ186">
            <v>437</v>
          </cell>
          <cell r="FR186">
            <v>437</v>
          </cell>
          <cell r="FS186">
            <v>437</v>
          </cell>
          <cell r="FV186">
            <v>437</v>
          </cell>
          <cell r="FW186">
            <v>437</v>
          </cell>
          <cell r="FX186">
            <v>437</v>
          </cell>
          <cell r="FY186">
            <v>437</v>
          </cell>
          <cell r="GB186">
            <v>437</v>
          </cell>
          <cell r="GC186">
            <v>437</v>
          </cell>
          <cell r="GD186">
            <v>437</v>
          </cell>
          <cell r="GE186">
            <v>437</v>
          </cell>
        </row>
        <row r="187">
          <cell r="A187" t="str">
            <v>Total</v>
          </cell>
          <cell r="AN187" t="str">
            <v>Total</v>
          </cell>
          <cell r="DZ187">
            <v>444</v>
          </cell>
          <cell r="EA187">
            <v>446</v>
          </cell>
          <cell r="EB187">
            <v>450</v>
          </cell>
          <cell r="EC187">
            <v>444</v>
          </cell>
          <cell r="ED187">
            <v>444</v>
          </cell>
          <cell r="EF187">
            <v>439</v>
          </cell>
          <cell r="EG187">
            <v>497</v>
          </cell>
          <cell r="EH187">
            <v>500</v>
          </cell>
          <cell r="EI187">
            <v>491</v>
          </cell>
          <cell r="EJ187">
            <v>491</v>
          </cell>
          <cell r="EL187">
            <v>490</v>
          </cell>
          <cell r="EM187">
            <v>487</v>
          </cell>
          <cell r="EN187">
            <v>491</v>
          </cell>
          <cell r="EO187">
            <v>458</v>
          </cell>
          <cell r="EP187">
            <v>458</v>
          </cell>
          <cell r="ER187">
            <v>455</v>
          </cell>
          <cell r="ES187">
            <v>453</v>
          </cell>
          <cell r="ET187">
            <v>452</v>
          </cell>
          <cell r="EU187">
            <v>451</v>
          </cell>
          <cell r="EV187">
            <v>451</v>
          </cell>
          <cell r="EX187">
            <v>451</v>
          </cell>
          <cell r="EY187">
            <v>451</v>
          </cell>
          <cell r="EZ187">
            <v>451</v>
          </cell>
          <cell r="FA187">
            <v>437</v>
          </cell>
          <cell r="FB187">
            <v>437</v>
          </cell>
          <cell r="FD187">
            <v>437</v>
          </cell>
          <cell r="FE187">
            <v>437</v>
          </cell>
          <cell r="FF187">
            <v>437</v>
          </cell>
          <cell r="FG187">
            <v>437</v>
          </cell>
          <cell r="FH187">
            <v>437</v>
          </cell>
          <cell r="FJ187">
            <v>437</v>
          </cell>
          <cell r="FK187">
            <v>437</v>
          </cell>
          <cell r="FL187">
            <v>437</v>
          </cell>
          <cell r="FM187">
            <v>437</v>
          </cell>
          <cell r="FN187">
            <v>437</v>
          </cell>
          <cell r="FP187">
            <v>437</v>
          </cell>
          <cell r="FQ187">
            <v>437</v>
          </cell>
          <cell r="FR187">
            <v>437</v>
          </cell>
          <cell r="FS187">
            <v>437</v>
          </cell>
          <cell r="FT187">
            <v>437</v>
          </cell>
          <cell r="FV187">
            <v>437</v>
          </cell>
          <cell r="FW187">
            <v>437</v>
          </cell>
          <cell r="FX187">
            <v>437</v>
          </cell>
          <cell r="FY187">
            <v>437</v>
          </cell>
          <cell r="FZ187">
            <v>437</v>
          </cell>
          <cell r="GB187">
            <v>437</v>
          </cell>
          <cell r="GC187">
            <v>437</v>
          </cell>
          <cell r="GD187">
            <v>437</v>
          </cell>
          <cell r="GE187">
            <v>437</v>
          </cell>
          <cell r="GF187">
            <v>437</v>
          </cell>
        </row>
        <row r="189">
          <cell r="AN189" t="str">
            <v>Direct-to-consumer Monthly Sales</v>
          </cell>
        </row>
        <row r="190">
          <cell r="AN190" t="str">
            <v>Month 1</v>
          </cell>
          <cell r="CV190" t="str">
            <v>--</v>
          </cell>
          <cell r="CW190" t="str">
            <v>--</v>
          </cell>
          <cell r="CX190" t="str">
            <v>--</v>
          </cell>
          <cell r="CY190" t="str">
            <v>--</v>
          </cell>
          <cell r="DB190">
            <v>8</v>
          </cell>
          <cell r="DC190">
            <v>141</v>
          </cell>
          <cell r="DD190">
            <v>131</v>
          </cell>
          <cell r="DE190">
            <v>209</v>
          </cell>
          <cell r="DH190">
            <v>137</v>
          </cell>
          <cell r="DI190">
            <v>142</v>
          </cell>
          <cell r="DJ190">
            <v>128</v>
          </cell>
          <cell r="DK190">
            <v>185</v>
          </cell>
          <cell r="DN190">
            <v>69</v>
          </cell>
          <cell r="DO190">
            <v>81</v>
          </cell>
          <cell r="DP190" t="str">
            <v xml:space="preserve"> </v>
          </cell>
        </row>
        <row r="201">
          <cell r="AN201" t="str">
            <v>NA = Not Applicable, NM = Not Meaningful</v>
          </cell>
        </row>
        <row r="202">
          <cell r="N202" t="str">
            <v>1995-FY</v>
          </cell>
          <cell r="O202" t="str">
            <v>1996-FY</v>
          </cell>
          <cell r="P202" t="str">
            <v>1997-FY</v>
          </cell>
          <cell r="Q202" t="str">
            <v>1998-FY</v>
          </cell>
          <cell r="R202" t="str">
            <v>1999-FY</v>
          </cell>
          <cell r="S202" t="str">
            <v>2000-FY</v>
          </cell>
          <cell r="T202" t="str">
            <v>2001-FY</v>
          </cell>
          <cell r="U202" t="str">
            <v>2002-FY</v>
          </cell>
          <cell r="V202" t="str">
            <v>2003-FY</v>
          </cell>
          <cell r="W202" t="str">
            <v>2004-FY</v>
          </cell>
          <cell r="X202" t="str">
            <v>2005-FY</v>
          </cell>
          <cell r="Y202" t="str">
            <v>2006-FY</v>
          </cell>
          <cell r="Z202" t="str">
            <v>2007-FY</v>
          </cell>
          <cell r="AA202" t="str">
            <v>2008-FY</v>
          </cell>
          <cell r="AB202" t="str">
            <v>2009-FY</v>
          </cell>
          <cell r="AC202" t="str">
            <v>2010-FY</v>
          </cell>
          <cell r="AD202" t="str">
            <v>2011-FY</v>
          </cell>
          <cell r="AE202" t="str">
            <v>2012-FY</v>
          </cell>
          <cell r="AF202" t="str">
            <v>2013-FY</v>
          </cell>
          <cell r="AG202" t="str">
            <v>2014-FY</v>
          </cell>
          <cell r="AH202" t="str">
            <v>2015-FY</v>
          </cell>
          <cell r="DH202" t="str">
            <v>2000-Q1</v>
          </cell>
          <cell r="DI202" t="str">
            <v>2000-Q2</v>
          </cell>
          <cell r="DJ202" t="str">
            <v>2000-Q3</v>
          </cell>
          <cell r="DK202" t="str">
            <v>2000-Q4</v>
          </cell>
          <cell r="DN202" t="str">
            <v>2001-Q1</v>
          </cell>
          <cell r="DO202" t="str">
            <v>2001-Q2</v>
          </cell>
          <cell r="DP202" t="str">
            <v>2001-Q3</v>
          </cell>
          <cell r="DQ202" t="str">
            <v>2001-Q4</v>
          </cell>
          <cell r="DT202" t="str">
            <v>2002-Q1</v>
          </cell>
          <cell r="DU202" t="str">
            <v>2002-Q2</v>
          </cell>
          <cell r="DV202" t="str">
            <v>2002-Q3</v>
          </cell>
          <cell r="DW202" t="str">
            <v>2002-Q4</v>
          </cell>
          <cell r="DZ202" t="str">
            <v>2003-Q1</v>
          </cell>
          <cell r="EA202" t="str">
            <v>2003-Q2</v>
          </cell>
          <cell r="EB202" t="str">
            <v>2003-Q3</v>
          </cell>
          <cell r="EC202" t="str">
            <v>2003-Q4</v>
          </cell>
          <cell r="EF202" t="str">
            <v>2004-Q1</v>
          </cell>
          <cell r="EG202" t="str">
            <v>2004-Q2</v>
          </cell>
          <cell r="EH202" t="str">
            <v>2004-Q3</v>
          </cell>
          <cell r="EI202" t="str">
            <v>2004-Q4</v>
          </cell>
          <cell r="EL202" t="str">
            <v>2005-Q1</v>
          </cell>
          <cell r="EM202" t="str">
            <v>2005-Q2</v>
          </cell>
          <cell r="EN202" t="str">
            <v>2005-Q3</v>
          </cell>
          <cell r="EO202" t="str">
            <v>2005-Q4</v>
          </cell>
          <cell r="ER202" t="str">
            <v>2006-Q1</v>
          </cell>
          <cell r="ES202" t="str">
            <v>2006-Q2</v>
          </cell>
          <cell r="ET202" t="str">
            <v>2006-Q3</v>
          </cell>
          <cell r="EU202" t="str">
            <v>2006-Q4</v>
          </cell>
          <cell r="EX202" t="str">
            <v>2007-Q1</v>
          </cell>
          <cell r="EY202" t="str">
            <v>2007-Q2</v>
          </cell>
          <cell r="EZ202" t="str">
            <v>2007-Q3</v>
          </cell>
          <cell r="FA202" t="str">
            <v>2007-Q4</v>
          </cell>
          <cell r="FD202" t="str">
            <v>2008-Q1</v>
          </cell>
          <cell r="FE202" t="str">
            <v>2008-Q2</v>
          </cell>
          <cell r="FF202" t="str">
            <v>2008-Q3</v>
          </cell>
          <cell r="FG202" t="str">
            <v>2008-Q4</v>
          </cell>
          <cell r="FJ202" t="str">
            <v>2009-Q1</v>
          </cell>
          <cell r="FK202" t="str">
            <v>2009-Q2</v>
          </cell>
          <cell r="FL202" t="str">
            <v>2009-Q3</v>
          </cell>
          <cell r="FM202" t="str">
            <v>2009-Q4</v>
          </cell>
          <cell r="FP202" t="str">
            <v>2010-Q1</v>
          </cell>
          <cell r="FQ202" t="str">
            <v>2010-Q2</v>
          </cell>
          <cell r="FR202" t="str">
            <v>2010-Q3</v>
          </cell>
          <cell r="FS202" t="str">
            <v>2010-Q4</v>
          </cell>
          <cell r="FV202" t="str">
            <v>2011-Q1</v>
          </cell>
          <cell r="FW202" t="str">
            <v>2011-Q2</v>
          </cell>
          <cell r="FX202" t="str">
            <v>2011-Q3</v>
          </cell>
          <cell r="FY202" t="str">
            <v>2011-Q4</v>
          </cell>
          <cell r="GB202" t="str">
            <v>2012-Q1</v>
          </cell>
          <cell r="GC202" t="str">
            <v>2012-Q2</v>
          </cell>
          <cell r="GD202" t="str">
            <v>2012-Q3</v>
          </cell>
          <cell r="GE202" t="str">
            <v>2012-Q4</v>
          </cell>
        </row>
        <row r="203">
          <cell r="AA203" t="str">
            <v>LINK OVER TO QUARTERLY BULL/BEAR</v>
          </cell>
        </row>
        <row r="204">
          <cell r="A204" t="str">
            <v>Base Case Assumptions</v>
          </cell>
          <cell r="N204">
            <v>1995</v>
          </cell>
          <cell r="O204">
            <v>1996</v>
          </cell>
          <cell r="P204">
            <v>1997</v>
          </cell>
          <cell r="Q204">
            <v>1998</v>
          </cell>
          <cell r="R204">
            <v>1999</v>
          </cell>
          <cell r="S204">
            <v>2000</v>
          </cell>
          <cell r="T204">
            <v>2001</v>
          </cell>
          <cell r="U204">
            <v>2002</v>
          </cell>
          <cell r="V204">
            <v>2003</v>
          </cell>
          <cell r="W204">
            <v>2004</v>
          </cell>
          <cell r="X204">
            <v>2005</v>
          </cell>
          <cell r="Y204">
            <v>2006</v>
          </cell>
          <cell r="Z204">
            <v>2007</v>
          </cell>
          <cell r="AA204">
            <v>2008</v>
          </cell>
          <cell r="AB204">
            <v>2009</v>
          </cell>
          <cell r="AC204">
            <v>2010</v>
          </cell>
          <cell r="AD204">
            <v>2011</v>
          </cell>
          <cell r="AE204" t="str">
            <v>2012E</v>
          </cell>
          <cell r="AF204" t="str">
            <v>2013E</v>
          </cell>
          <cell r="AG204" t="str">
            <v>2014E</v>
          </cell>
          <cell r="AH204" t="str">
            <v>2015E</v>
          </cell>
          <cell r="AI204" t="str">
            <v>2016E</v>
          </cell>
          <cell r="AJ204" t="str">
            <v>2017E</v>
          </cell>
          <cell r="AK204" t="str">
            <v>2018E</v>
          </cell>
          <cell r="AL204" t="str">
            <v>2019E</v>
          </cell>
          <cell r="AN204" t="str">
            <v>Base Case Assumptions</v>
          </cell>
          <cell r="EL204" t="str">
            <v>Base Case Assumptions</v>
          </cell>
        </row>
        <row r="205">
          <cell r="A205" t="str">
            <v>Revenue</v>
          </cell>
          <cell r="N205">
            <v>14614</v>
          </cell>
          <cell r="O205">
            <v>14833</v>
          </cell>
          <cell r="P205">
            <v>15220</v>
          </cell>
          <cell r="Q205">
            <v>15365</v>
          </cell>
          <cell r="R205">
            <v>16029</v>
          </cell>
          <cell r="S205">
            <v>16638</v>
          </cell>
          <cell r="T205">
            <v>15785</v>
          </cell>
          <cell r="U205">
            <v>15571</v>
          </cell>
          <cell r="V205">
            <v>15412</v>
          </cell>
          <cell r="W205">
            <v>15776</v>
          </cell>
          <cell r="X205">
            <v>22390</v>
          </cell>
          <cell r="Y205">
            <v>26970</v>
          </cell>
          <cell r="Z205">
            <v>26313</v>
          </cell>
          <cell r="AA205">
            <v>24892</v>
          </cell>
          <cell r="AB205">
            <v>23895</v>
          </cell>
          <cell r="AC205">
            <v>25003</v>
          </cell>
          <cell r="AD205">
            <v>26405</v>
          </cell>
          <cell r="AE205">
            <v>27697.820605365057</v>
          </cell>
          <cell r="AF205">
            <v>28358.892641397051</v>
          </cell>
          <cell r="AG205">
            <v>28905.408744504351</v>
          </cell>
          <cell r="AH205">
            <v>29204.897015558319</v>
          </cell>
          <cell r="AI205">
            <v>29496.945985713905</v>
          </cell>
          <cell r="AJ205">
            <v>29791.915445571045</v>
          </cell>
          <cell r="AK205">
            <v>30089.834600026756</v>
          </cell>
          <cell r="AL205">
            <v>30390.732946027023</v>
          </cell>
          <cell r="AN205" t="str">
            <v>Consolidated Stores Monthly Sales ($)</v>
          </cell>
          <cell r="EL205" t="str">
            <v>Consolidated Stores Monthly Sales ($)</v>
          </cell>
          <cell r="EU205">
            <v>356</v>
          </cell>
        </row>
        <row r="206">
          <cell r="A206" t="str">
            <v xml:space="preserve"> % Same-store</v>
          </cell>
          <cell r="N206">
            <v>2.7E-2</v>
          </cell>
          <cell r="O206">
            <v>3.1E-2</v>
          </cell>
          <cell r="P206">
            <v>2.7E-2</v>
          </cell>
          <cell r="Q206">
            <v>2.1999999999999999E-2</v>
          </cell>
          <cell r="R206">
            <v>4.4999999999999998E-2</v>
          </cell>
          <cell r="S206">
            <v>0.02</v>
          </cell>
          <cell r="T206">
            <v>-5.2999999999999999E-2</v>
          </cell>
          <cell r="U206">
            <v>-0.03</v>
          </cell>
          <cell r="V206">
            <v>-9.0000000000000011E-3</v>
          </cell>
          <cell r="W206">
            <v>2.5999999999999999E-2</v>
          </cell>
          <cell r="X206">
            <v>1.2999999999999999E-2</v>
          </cell>
          <cell r="Y206">
            <v>4.3999999999999997E-2</v>
          </cell>
          <cell r="Z206">
            <v>-1.2799528750047504E-2</v>
          </cell>
          <cell r="AA206">
            <v>-4.4999999999999998E-2</v>
          </cell>
          <cell r="AB206">
            <v>-5.0987622799162344E-2</v>
          </cell>
          <cell r="AC206">
            <v>4.610434747830261E-2</v>
          </cell>
          <cell r="AD206">
            <v>5.2999999999999999E-2</v>
          </cell>
          <cell r="AE206">
            <v>4.02253638971692E-2</v>
          </cell>
          <cell r="AF206">
            <v>3.5000000000000003E-2</v>
          </cell>
          <cell r="AG206">
            <v>0.02</v>
          </cell>
          <cell r="AH206">
            <v>0.01</v>
          </cell>
          <cell r="AI206">
            <v>0.01</v>
          </cell>
          <cell r="AJ206">
            <v>0.01</v>
          </cell>
          <cell r="AK206">
            <v>0.01</v>
          </cell>
          <cell r="AL206">
            <v>0.01</v>
          </cell>
          <cell r="AN206" t="str">
            <v>Month 1</v>
          </cell>
          <cell r="EL206" t="str">
            <v>Month 1</v>
          </cell>
          <cell r="ER206">
            <v>1800</v>
          </cell>
          <cell r="ES206">
            <v>2026</v>
          </cell>
          <cell r="ET206">
            <v>1727</v>
          </cell>
          <cell r="EU206">
            <v>2385</v>
          </cell>
          <cell r="EX206">
            <v>1802</v>
          </cell>
          <cell r="EY206">
            <v>1976</v>
          </cell>
          <cell r="EZ206">
            <v>1788</v>
          </cell>
          <cell r="FA206">
            <v>2707</v>
          </cell>
          <cell r="FD206">
            <v>1737</v>
          </cell>
          <cell r="FE206">
            <v>1926</v>
          </cell>
          <cell r="FF206">
            <v>1686</v>
          </cell>
          <cell r="FG206">
            <v>2324</v>
          </cell>
          <cell r="FJ206">
            <v>1602.5975291456411</v>
          </cell>
          <cell r="FK206">
            <v>1783.7565582371458</v>
          </cell>
          <cell r="FL206">
            <v>1576.1490988530857</v>
          </cell>
          <cell r="FM206">
            <v>2202.7766574237457</v>
          </cell>
          <cell r="FP206">
            <v>1667</v>
          </cell>
          <cell r="FQ206">
            <v>1789</v>
          </cell>
          <cell r="FR206">
            <v>1638</v>
          </cell>
          <cell r="FS206">
            <v>2341</v>
          </cell>
          <cell r="FV206">
            <v>1763</v>
          </cell>
          <cell r="FW206">
            <v>1937</v>
          </cell>
          <cell r="FX206">
            <v>1714</v>
          </cell>
          <cell r="FY206">
            <v>2465</v>
          </cell>
          <cell r="GB206">
            <v>1860</v>
          </cell>
          <cell r="GC206">
            <v>2015</v>
          </cell>
          <cell r="GD206">
            <v>1812</v>
          </cell>
          <cell r="GE206">
            <v>2539.5720461726355</v>
          </cell>
        </row>
        <row r="207">
          <cell r="A207" t="str">
            <v>CGS, OCC, Buying Costs</v>
          </cell>
          <cell r="N207">
            <v>9038</v>
          </cell>
          <cell r="O207">
            <v>9018</v>
          </cell>
          <cell r="P207">
            <v>9200</v>
          </cell>
          <cell r="Q207">
            <v>9218</v>
          </cell>
          <cell r="R207">
            <v>9576</v>
          </cell>
          <cell r="S207">
            <v>9955</v>
          </cell>
          <cell r="T207">
            <v>9603</v>
          </cell>
          <cell r="U207">
            <v>9324</v>
          </cell>
          <cell r="V207">
            <v>9175</v>
          </cell>
          <cell r="W207">
            <v>9346</v>
          </cell>
          <cell r="X207">
            <v>13272</v>
          </cell>
          <cell r="Y207">
            <v>16019</v>
          </cell>
          <cell r="Z207">
            <v>15774.299839502128</v>
          </cell>
          <cell r="AA207">
            <v>15009</v>
          </cell>
          <cell r="AB207">
            <v>14278</v>
          </cell>
          <cell r="AC207">
            <v>14824</v>
          </cell>
          <cell r="AD207">
            <v>15738</v>
          </cell>
          <cell r="AE207">
            <v>16473.116703251519</v>
          </cell>
          <cell r="AF207">
            <v>16781.208749826241</v>
          </cell>
          <cell r="AG207">
            <v>17061.248342231931</v>
          </cell>
          <cell r="AH207">
            <v>17267.224438478806</v>
          </cell>
          <cell r="AI207">
            <v>17498.890574835023</v>
          </cell>
          <cell r="AJ207">
            <v>17673.879480583375</v>
          </cell>
          <cell r="AK207">
            <v>17850.618275389206</v>
          </cell>
          <cell r="AL207">
            <v>18029.124458143102</v>
          </cell>
          <cell r="AN207" t="str">
            <v>Month 2</v>
          </cell>
          <cell r="EL207" t="str">
            <v>Month 2</v>
          </cell>
          <cell r="ER207">
            <v>2255</v>
          </cell>
          <cell r="ES207">
            <v>2367</v>
          </cell>
          <cell r="ET207">
            <v>2303</v>
          </cell>
          <cell r="EU207">
            <v>4997</v>
          </cell>
          <cell r="EX207">
            <v>2288</v>
          </cell>
          <cell r="EY207">
            <v>2321</v>
          </cell>
          <cell r="EZ207">
            <v>2274</v>
          </cell>
          <cell r="FA207">
            <v>4624</v>
          </cell>
          <cell r="FD207">
            <v>2142</v>
          </cell>
          <cell r="FE207">
            <v>2249</v>
          </cell>
          <cell r="FF207">
            <v>2093</v>
          </cell>
          <cell r="FG207">
            <v>4397</v>
          </cell>
          <cell r="FJ207">
            <v>1963.7990255785628</v>
          </cell>
          <cell r="FK207">
            <v>2092.5916404337181</v>
          </cell>
          <cell r="FL207">
            <v>2084.1512834516657</v>
          </cell>
          <cell r="FM207">
            <v>4474.7693471136881</v>
          </cell>
          <cell r="FP207">
            <v>2172</v>
          </cell>
          <cell r="FQ207">
            <v>2229</v>
          </cell>
          <cell r="FR207">
            <v>2181</v>
          </cell>
          <cell r="FS207">
            <v>4619</v>
          </cell>
          <cell r="FV207">
            <v>2206</v>
          </cell>
          <cell r="FW207">
            <v>2392</v>
          </cell>
          <cell r="FX207">
            <v>2298</v>
          </cell>
          <cell r="FY207">
            <v>4925</v>
          </cell>
          <cell r="GB207">
            <v>2358</v>
          </cell>
          <cell r="GC207">
            <v>2412</v>
          </cell>
          <cell r="GD207">
            <v>2339.3160690399509</v>
          </cell>
          <cell r="GE207">
            <v>5073.9928305883286</v>
          </cell>
        </row>
        <row r="208">
          <cell r="A208" t="str">
            <v>CGS, OCC, Buying Costs %</v>
          </cell>
          <cell r="N208">
            <v>0.61844806350075265</v>
          </cell>
          <cell r="O208">
            <v>0.60796871839816624</v>
          </cell>
          <cell r="P208">
            <v>0.60446780551905388</v>
          </cell>
          <cell r="Q208">
            <v>0.59993491701919943</v>
          </cell>
          <cell r="R208">
            <v>0.59741718135878719</v>
          </cell>
          <cell r="S208">
            <v>0.5983291260968866</v>
          </cell>
          <cell r="T208">
            <v>0.60836236933797905</v>
          </cell>
          <cell r="U208">
            <v>0.59880547171023057</v>
          </cell>
          <cell r="V208">
            <v>0.59531533869711917</v>
          </cell>
          <cell r="W208">
            <v>0.59241886409736311</v>
          </cell>
          <cell r="X208">
            <v>0.59276462706565436</v>
          </cell>
          <cell r="Y208">
            <v>0.59395624768261035</v>
          </cell>
          <cell r="Z208">
            <v>0.59948693951666965</v>
          </cell>
          <cell r="AA208">
            <v>0.60296480797043228</v>
          </cell>
          <cell r="AB208">
            <v>0.59753086419753088</v>
          </cell>
          <cell r="AC208">
            <v>0.59288885333759944</v>
          </cell>
          <cell r="AD208">
            <v>0.59602348040143915</v>
          </cell>
          <cell r="AE208">
            <v>0.59474414748937621</v>
          </cell>
          <cell r="AF208">
            <v>0.5917441474893762</v>
          </cell>
          <cell r="AG208">
            <v>0.59024414748937615</v>
          </cell>
          <cell r="AH208">
            <v>0.59124414748937626</v>
          </cell>
          <cell r="AI208">
            <v>0.59324414748937615</v>
          </cell>
          <cell r="AJ208">
            <v>0.59324414748937626</v>
          </cell>
          <cell r="AK208">
            <v>0.59324414748937615</v>
          </cell>
          <cell r="AL208">
            <v>0.59324414748937626</v>
          </cell>
          <cell r="AN208" t="str">
            <v>Month 3</v>
          </cell>
          <cell r="EL208" t="str">
            <v>Month 3</v>
          </cell>
          <cell r="ER208">
            <v>1878</v>
          </cell>
          <cell r="ES208">
            <v>1608</v>
          </cell>
          <cell r="ET208">
            <v>1863</v>
          </cell>
          <cell r="EU208">
            <v>1780</v>
          </cell>
          <cell r="EX208">
            <v>1837</v>
          </cell>
          <cell r="EY208">
            <v>1602</v>
          </cell>
          <cell r="EZ208">
            <v>1849</v>
          </cell>
          <cell r="FA208">
            <v>1273</v>
          </cell>
          <cell r="FD208">
            <v>1868</v>
          </cell>
          <cell r="FE208">
            <v>1543</v>
          </cell>
          <cell r="FF208">
            <v>1714</v>
          </cell>
          <cell r="FG208">
            <v>1213</v>
          </cell>
          <cell r="FJ208">
            <v>1720.603445275796</v>
          </cell>
          <cell r="FK208">
            <v>1409.6518013291361</v>
          </cell>
          <cell r="FL208">
            <v>1725.6996176952484</v>
          </cell>
          <cell r="FM208">
            <v>1268.4539954625661</v>
          </cell>
          <cell r="FP208">
            <v>1739</v>
          </cell>
          <cell r="FQ208">
            <v>1528</v>
          </cell>
          <cell r="FR208">
            <v>1806</v>
          </cell>
          <cell r="FS208">
            <v>1310</v>
          </cell>
          <cell r="FV208">
            <v>1920</v>
          </cell>
          <cell r="FW208">
            <v>1612</v>
          </cell>
          <cell r="FX208">
            <v>1842</v>
          </cell>
          <cell r="FY208">
            <v>1336</v>
          </cell>
          <cell r="GB208">
            <v>1928</v>
          </cell>
          <cell r="GC208">
            <v>1693</v>
          </cell>
          <cell r="GD208">
            <v>1918.3705778953104</v>
          </cell>
          <cell r="GE208">
            <v>1753.5690816688336</v>
          </cell>
        </row>
        <row r="209">
          <cell r="A209" t="str">
            <v>Y/Y ∆ CGS, OCC, Buying Costs % (bps)</v>
          </cell>
          <cell r="O209">
            <v>-104.79345102586413</v>
          </cell>
          <cell r="P209">
            <v>-35.009128791123615</v>
          </cell>
          <cell r="Q209">
            <v>-45.328884998544481</v>
          </cell>
          <cell r="R209">
            <v>-25.177356604122458</v>
          </cell>
          <cell r="S209">
            <v>9.1194473809941279</v>
          </cell>
          <cell r="T209">
            <v>100.33243241092448</v>
          </cell>
          <cell r="U209">
            <v>-95.568976277484722</v>
          </cell>
          <cell r="V209">
            <v>-34.901330131114072</v>
          </cell>
          <cell r="W209">
            <v>-28.964745997560605</v>
          </cell>
          <cell r="X209">
            <v>3.4576296829125219</v>
          </cell>
          <cell r="Y209">
            <v>11.916206169559906</v>
          </cell>
          <cell r="Z209">
            <v>55.306918340592979</v>
          </cell>
          <cell r="AA209">
            <v>34.778684537626333</v>
          </cell>
          <cell r="AB209">
            <v>-54.339437729014065</v>
          </cell>
          <cell r="AC209">
            <v>-46.420108599314332</v>
          </cell>
          <cell r="AD209">
            <v>31.346270638397122</v>
          </cell>
          <cell r="AE209">
            <v>-12.793329120629471</v>
          </cell>
          <cell r="AF209">
            <v>-30.000000000000028</v>
          </cell>
          <cell r="AG209">
            <v>-15.000000000000568</v>
          </cell>
          <cell r="AH209">
            <v>10.000000000001119</v>
          </cell>
          <cell r="AI209">
            <v>19.999999999998906</v>
          </cell>
          <cell r="AJ209">
            <v>1.1102230246251565E-12</v>
          </cell>
          <cell r="AK209">
            <v>-1.1102230246251565E-12</v>
          </cell>
          <cell r="AL209">
            <v>1.1102230246251565E-12</v>
          </cell>
          <cell r="AN209" t="str">
            <v>Total</v>
          </cell>
          <cell r="EL209" t="str">
            <v>Total</v>
          </cell>
          <cell r="ER209">
            <v>5930</v>
          </cell>
          <cell r="ES209">
            <v>5995</v>
          </cell>
          <cell r="ET209">
            <v>5886</v>
          </cell>
          <cell r="EU209">
            <v>9159</v>
          </cell>
          <cell r="EV209">
            <v>26970</v>
          </cell>
          <cell r="EX209">
            <v>5921</v>
          </cell>
          <cell r="EY209">
            <v>5892</v>
          </cell>
          <cell r="EZ209">
            <v>5906</v>
          </cell>
          <cell r="FA209">
            <v>8594</v>
          </cell>
          <cell r="FB209">
            <v>26313</v>
          </cell>
          <cell r="FD209">
            <v>5747</v>
          </cell>
          <cell r="FE209">
            <v>5718</v>
          </cell>
          <cell r="FF209">
            <v>5493</v>
          </cell>
          <cell r="FG209">
            <v>7934</v>
          </cell>
          <cell r="FH209">
            <v>24892</v>
          </cell>
          <cell r="FJ209">
            <v>5288</v>
          </cell>
          <cell r="FK209">
            <v>5285</v>
          </cell>
          <cell r="FL209">
            <v>5385</v>
          </cell>
          <cell r="FM209">
            <v>7937</v>
          </cell>
          <cell r="FN209">
            <v>23895</v>
          </cell>
          <cell r="FP209">
            <v>5574</v>
          </cell>
          <cell r="FQ209">
            <v>5537</v>
          </cell>
          <cell r="FR209">
            <v>5623</v>
          </cell>
          <cell r="FS209">
            <v>8269</v>
          </cell>
          <cell r="FT209">
            <v>25003</v>
          </cell>
          <cell r="FV209">
            <v>5889</v>
          </cell>
          <cell r="FW209">
            <v>5939</v>
          </cell>
          <cell r="FX209">
            <v>5853</v>
          </cell>
          <cell r="FY209">
            <v>8724</v>
          </cell>
          <cell r="FZ209">
            <v>26405</v>
          </cell>
          <cell r="GB209">
            <v>6143</v>
          </cell>
          <cell r="GC209">
            <v>6118</v>
          </cell>
          <cell r="GD209">
            <v>6069.6866469352608</v>
          </cell>
          <cell r="GE209">
            <v>9367.1339584297966</v>
          </cell>
          <cell r="GF209">
            <v>27697.820605365057</v>
          </cell>
        </row>
        <row r="210">
          <cell r="A210" t="str">
            <v>Gross Income</v>
          </cell>
          <cell r="N210">
            <v>5576</v>
          </cell>
          <cell r="O210">
            <v>5815</v>
          </cell>
          <cell r="P210">
            <v>6020</v>
          </cell>
          <cell r="Q210">
            <v>6147</v>
          </cell>
          <cell r="R210">
            <v>6453</v>
          </cell>
          <cell r="S210">
            <v>6683</v>
          </cell>
          <cell r="T210">
            <v>6182</v>
          </cell>
          <cell r="U210">
            <v>6247</v>
          </cell>
          <cell r="V210">
            <v>6237</v>
          </cell>
          <cell r="W210">
            <v>6430</v>
          </cell>
          <cell r="X210">
            <v>9118</v>
          </cell>
          <cell r="Y210">
            <v>10951</v>
          </cell>
          <cell r="Z210">
            <v>10538.700160497872</v>
          </cell>
          <cell r="AA210">
            <v>9883</v>
          </cell>
          <cell r="AB210">
            <v>9617</v>
          </cell>
          <cell r="AC210">
            <v>10179</v>
          </cell>
          <cell r="AD210">
            <v>10667</v>
          </cell>
          <cell r="AE210">
            <v>11224.703902113539</v>
          </cell>
          <cell r="AF210">
            <v>11577.683891570809</v>
          </cell>
          <cell r="AG210">
            <v>11844.16040227242</v>
          </cell>
          <cell r="AH210">
            <v>11937.672577079513</v>
          </cell>
          <cell r="AI210">
            <v>11998.055410878882</v>
          </cell>
          <cell r="AJ210">
            <v>12118.035964987672</v>
          </cell>
          <cell r="AK210">
            <v>12239.216324637548</v>
          </cell>
          <cell r="AL210">
            <v>12361.608487883923</v>
          </cell>
        </row>
        <row r="211">
          <cell r="A211" t="str">
            <v>Gross Margin</v>
          </cell>
          <cell r="N211">
            <v>0.38155193649924729</v>
          </cell>
          <cell r="O211">
            <v>0.39203128160183376</v>
          </cell>
          <cell r="P211">
            <v>0.39553219448094612</v>
          </cell>
          <cell r="Q211">
            <v>0.40006508298080051</v>
          </cell>
          <cell r="R211">
            <v>0.40258281864121281</v>
          </cell>
          <cell r="S211">
            <v>0.40167087390311335</v>
          </cell>
          <cell r="T211">
            <v>0.3916376306620209</v>
          </cell>
          <cell r="U211">
            <v>0.40119452828976943</v>
          </cell>
          <cell r="V211">
            <v>0.40468466130288089</v>
          </cell>
          <cell r="W211">
            <v>0.40758113590263689</v>
          </cell>
          <cell r="X211">
            <v>0.4072353729343457</v>
          </cell>
          <cell r="Y211">
            <v>0.40604375231738971</v>
          </cell>
          <cell r="Z211">
            <v>0.40051306048333035</v>
          </cell>
          <cell r="AA211">
            <v>0.39703519202956772</v>
          </cell>
          <cell r="AB211">
            <v>0.40246913580246912</v>
          </cell>
          <cell r="AC211">
            <v>0.4071111466624005</v>
          </cell>
          <cell r="AD211">
            <v>0.4039765195985609</v>
          </cell>
          <cell r="AE211">
            <v>0.40525585251062379</v>
          </cell>
          <cell r="AF211">
            <v>0.4082558525106238</v>
          </cell>
          <cell r="AG211">
            <v>0.4097558525106238</v>
          </cell>
          <cell r="AH211">
            <v>0.4087558525106238</v>
          </cell>
          <cell r="AI211">
            <v>0.40675585251062379</v>
          </cell>
          <cell r="AJ211">
            <v>0.40675585251062379</v>
          </cell>
          <cell r="AK211">
            <v>0.40675585251062379</v>
          </cell>
          <cell r="AL211">
            <v>0.40675585251062379</v>
          </cell>
          <cell r="AN211" t="str">
            <v xml:space="preserve">Consolidated Monthly Comps </v>
          </cell>
          <cell r="EL211" t="str">
            <v xml:space="preserve">Consolidated Monthly Comps </v>
          </cell>
          <cell r="EX211">
            <v>2.9599999999999991E-3</v>
          </cell>
          <cell r="FA211">
            <v>-1.5112275862068966E-2</v>
          </cell>
        </row>
        <row r="212">
          <cell r="A212" t="str">
            <v>Y/Y ∆ Gross Margin (bps)</v>
          </cell>
          <cell r="O212">
            <v>104.79345102586468</v>
          </cell>
          <cell r="P212">
            <v>35.009128791123615</v>
          </cell>
          <cell r="Q212">
            <v>45.328884998543927</v>
          </cell>
          <cell r="R212">
            <v>25.177356604123013</v>
          </cell>
          <cell r="S212">
            <v>-9.1194473809946821</v>
          </cell>
          <cell r="T212">
            <v>-100.33243241092448</v>
          </cell>
          <cell r="U212">
            <v>95.568976277485291</v>
          </cell>
          <cell r="V212">
            <v>34.901330131114626</v>
          </cell>
          <cell r="W212">
            <v>28.964745997560048</v>
          </cell>
          <cell r="X212">
            <v>-3.4576296829119668</v>
          </cell>
          <cell r="Y212">
            <v>-11.916206169559906</v>
          </cell>
          <cell r="Z212">
            <v>-55.306918340593533</v>
          </cell>
          <cell r="AA212">
            <v>-34.778684537626333</v>
          </cell>
          <cell r="AB212">
            <v>54.339437729014065</v>
          </cell>
          <cell r="AC212">
            <v>46.420108599313778</v>
          </cell>
          <cell r="AD212">
            <v>-31.346270638396014</v>
          </cell>
          <cell r="AE212">
            <v>12.793329120628915</v>
          </cell>
          <cell r="AF212">
            <v>30</v>
          </cell>
          <cell r="AG212">
            <v>15</v>
          </cell>
          <cell r="AH212">
            <v>-10</v>
          </cell>
          <cell r="AI212">
            <v>-20</v>
          </cell>
          <cell r="AJ212">
            <v>0</v>
          </cell>
          <cell r="AK212">
            <v>0</v>
          </cell>
          <cell r="AL212">
            <v>0</v>
          </cell>
          <cell r="AN212" t="str">
            <v>Month 1</v>
          </cell>
          <cell r="EL212" t="str">
            <v>Month 1</v>
          </cell>
          <cell r="ER212">
            <v>0.01</v>
          </cell>
          <cell r="ES212">
            <v>9.1999999999999998E-2</v>
          </cell>
          <cell r="ET212">
            <v>3.7999999999999999E-2</v>
          </cell>
          <cell r="EU212">
            <v>8.5000000000000006E-2</v>
          </cell>
          <cell r="EX212">
            <v>1.2E-2</v>
          </cell>
          <cell r="EY212">
            <v>-3.3000000000000002E-2</v>
          </cell>
          <cell r="EZ212">
            <v>2.4E-2</v>
          </cell>
          <cell r="FA212">
            <v>0.13400000000000001</v>
          </cell>
          <cell r="FD212">
            <v>-3.5000000000000003E-2</v>
          </cell>
          <cell r="FE212">
            <v>-1.4999999999999999E-2</v>
          </cell>
          <cell r="FF212">
            <v>-4.8000000000000001E-2</v>
          </cell>
          <cell r="FG212">
            <v>-0.13300000000000001</v>
          </cell>
          <cell r="FJ212">
            <v>-8.5000000000000006E-2</v>
          </cell>
          <cell r="FK212">
            <v>-9.0999999999999998E-2</v>
          </cell>
          <cell r="FL212">
            <v>-8.1000000000000003E-2</v>
          </cell>
          <cell r="FM212">
            <v>-6.0999999999999999E-2</v>
          </cell>
          <cell r="FP212">
            <v>3.6999999999999998E-2</v>
          </cell>
          <cell r="FQ212">
            <v>1.4E-2</v>
          </cell>
          <cell r="FR212">
            <v>4.2999999999999997E-2</v>
          </cell>
          <cell r="FS212">
            <v>6.0999999999999999E-2</v>
          </cell>
          <cell r="FV212">
            <v>5.8000000000000003E-2</v>
          </cell>
          <cell r="FW212">
            <v>7.3999999999999996E-2</v>
          </cell>
          <cell r="FX212">
            <v>0.05</v>
          </cell>
          <cell r="FY212">
            <v>4.8000000000000001E-2</v>
          </cell>
          <cell r="GB212">
            <v>4.5999999999999999E-2</v>
          </cell>
          <cell r="GC212">
            <v>4.2000000000000003E-2</v>
          </cell>
          <cell r="GD212">
            <v>5.0999999999999997E-2</v>
          </cell>
          <cell r="GE212">
            <v>0.04</v>
          </cell>
        </row>
        <row r="213">
          <cell r="A213" t="str">
            <v>SG&amp;A Expenses</v>
          </cell>
          <cell r="N213">
            <v>4913</v>
          </cell>
          <cell r="O213">
            <v>4922</v>
          </cell>
          <cell r="P213">
            <v>4679</v>
          </cell>
          <cell r="Q213">
            <v>4692</v>
          </cell>
          <cell r="R213">
            <v>4760</v>
          </cell>
          <cell r="S213">
            <v>4912</v>
          </cell>
          <cell r="T213">
            <v>4806</v>
          </cell>
          <cell r="U213">
            <v>4836</v>
          </cell>
          <cell r="V213">
            <v>4837</v>
          </cell>
          <cell r="W213">
            <v>4931</v>
          </cell>
          <cell r="X213">
            <v>6980</v>
          </cell>
          <cell r="Y213">
            <v>8678</v>
          </cell>
          <cell r="Z213">
            <v>8505.3177921820607</v>
          </cell>
          <cell r="AA213">
            <v>8458</v>
          </cell>
          <cell r="AB213">
            <v>8163</v>
          </cell>
          <cell r="AC213">
            <v>8260</v>
          </cell>
          <cell r="AD213">
            <v>8281</v>
          </cell>
          <cell r="AE213">
            <v>8553.4072798862726</v>
          </cell>
          <cell r="AF213">
            <v>8800.0923077192638</v>
          </cell>
          <cell r="AG213">
            <v>8940.7771652737574</v>
          </cell>
          <cell r="AH213">
            <v>9004.2074535542979</v>
          </cell>
          <cell r="AI213">
            <v>9064.7525821041272</v>
          </cell>
          <cell r="AJ213">
            <v>9125.6081924795981</v>
          </cell>
          <cell r="AK213">
            <v>9186.7744398043687</v>
          </cell>
          <cell r="AL213">
            <v>9248.2514512563848</v>
          </cell>
          <cell r="AN213" t="str">
            <v>Month 2</v>
          </cell>
          <cell r="EL213" t="str">
            <v>Month 2</v>
          </cell>
          <cell r="ER213">
            <v>0</v>
          </cell>
          <cell r="ES213">
            <v>1.7000000000000001E-2</v>
          </cell>
          <cell r="ET213">
            <v>6.5000000000000002E-2</v>
          </cell>
          <cell r="EU213">
            <v>4.3999999999999997E-2</v>
          </cell>
          <cell r="EX213">
            <v>2.3E-2</v>
          </cell>
          <cell r="EY213">
            <v>-2.7E-2</v>
          </cell>
          <cell r="EZ213">
            <v>-2.7E-2</v>
          </cell>
          <cell r="FA213">
            <v>-7.9000000000000001E-2</v>
          </cell>
          <cell r="FD213">
            <v>-6.2E-2</v>
          </cell>
          <cell r="FE213">
            <v>-2.1000000000000001E-2</v>
          </cell>
          <cell r="FF213">
            <v>-6.6000000000000003E-2</v>
          </cell>
          <cell r="FG213">
            <v>-0.04</v>
          </cell>
          <cell r="FJ213">
            <v>-9.1999999999999998E-2</v>
          </cell>
          <cell r="FK213">
            <v>-8.8999999999999996E-2</v>
          </cell>
          <cell r="FL213">
            <v>-2.3E-2</v>
          </cell>
          <cell r="FM213">
            <v>0.01</v>
          </cell>
          <cell r="FP213">
            <v>0.10800000000000001</v>
          </cell>
          <cell r="FQ213">
            <v>6.5000000000000002E-2</v>
          </cell>
          <cell r="FR213">
            <v>4.8000000000000001E-2</v>
          </cell>
          <cell r="FS213">
            <v>3.9E-2</v>
          </cell>
          <cell r="FV213">
            <v>8.9999999999999993E-3</v>
          </cell>
          <cell r="FW213">
            <v>6.7000000000000004E-2</v>
          </cell>
          <cell r="FX213">
            <v>4.9000000000000002E-2</v>
          </cell>
          <cell r="FY213">
            <v>6.2E-2</v>
          </cell>
          <cell r="GB213">
            <v>7.2999999999999995E-2</v>
          </cell>
          <cell r="GC213">
            <v>1.2E-2</v>
          </cell>
          <cell r="GD213">
            <v>0.03</v>
          </cell>
          <cell r="GE213">
            <v>0.04</v>
          </cell>
        </row>
        <row r="214">
          <cell r="A214" t="str">
            <v>SG&amp;A Ratio</v>
          </cell>
          <cell r="N214">
            <v>0.33618448063500755</v>
          </cell>
          <cell r="O214">
            <v>0.33182768152093306</v>
          </cell>
          <cell r="P214">
            <v>0.30742444152431014</v>
          </cell>
          <cell r="Q214">
            <v>0.30536934591604298</v>
          </cell>
          <cell r="R214">
            <v>0.29696175681577142</v>
          </cell>
          <cell r="S214">
            <v>0.29522779180189929</v>
          </cell>
          <cell r="T214">
            <v>0.30446626544187522</v>
          </cell>
          <cell r="U214">
            <v>0.31057735534005521</v>
          </cell>
          <cell r="V214">
            <v>0.31384635349078638</v>
          </cell>
          <cell r="W214">
            <v>0.31256338742393508</v>
          </cell>
          <cell r="X214">
            <v>0.311746315319339</v>
          </cell>
          <cell r="Y214">
            <v>0.32176492398961809</v>
          </cell>
          <cell r="Z214">
            <v>0.32323633915486871</v>
          </cell>
          <cell r="AA214">
            <v>0.33978788365739998</v>
          </cell>
          <cell r="AB214">
            <v>0.34161958568738232</v>
          </cell>
          <cell r="AC214">
            <v>0.33036035675718911</v>
          </cell>
          <cell r="AD214">
            <v>0.31361484567316794</v>
          </cell>
          <cell r="AE214">
            <v>0.30881156325452847</v>
          </cell>
          <cell r="AF214">
            <v>0.31031156325452847</v>
          </cell>
          <cell r="AG214">
            <v>0.30931156325452847</v>
          </cell>
          <cell r="AH214">
            <v>0.30831156325452846</v>
          </cell>
          <cell r="AI214">
            <v>0.30731156325452846</v>
          </cell>
          <cell r="AJ214">
            <v>0.30631156325452846</v>
          </cell>
          <cell r="AK214">
            <v>0.30531156325452846</v>
          </cell>
          <cell r="AL214">
            <v>0.30431156325452846</v>
          </cell>
          <cell r="AN214" t="str">
            <v>Month 3</v>
          </cell>
          <cell r="EL214" t="str">
            <v>Month 3</v>
          </cell>
          <cell r="ER214">
            <v>-8.0000000000000002E-3</v>
          </cell>
          <cell r="ES214">
            <v>3.3000000000000002E-2</v>
          </cell>
          <cell r="ET214">
            <v>7.6999999999999999E-2</v>
          </cell>
          <cell r="EU214">
            <v>8.5999999999999993E-2</v>
          </cell>
          <cell r="EX214">
            <v>-2.1999999999999999E-2</v>
          </cell>
          <cell r="EY214">
            <v>-1.4E-2</v>
          </cell>
          <cell r="EZ214">
            <v>-1.4999999999999999E-2</v>
          </cell>
          <cell r="FA214">
            <v>-7.0999999999999994E-2</v>
          </cell>
          <cell r="FD214">
            <v>0.03</v>
          </cell>
          <cell r="FE214">
            <v>-2.9000000000000001E-2</v>
          </cell>
          <cell r="FF214">
            <v>-6.3E-2</v>
          </cell>
          <cell r="FG214">
            <v>-4.4999999999999998E-2</v>
          </cell>
          <cell r="FJ214">
            <v>-9.0999999999999998E-2</v>
          </cell>
          <cell r="FK214">
            <v>-0.107</v>
          </cell>
          <cell r="FL214">
            <v>-8.0000000000000002E-3</v>
          </cell>
          <cell r="FM214">
            <v>3.4000000000000002E-2</v>
          </cell>
          <cell r="FP214">
            <v>1.0999999999999999E-2</v>
          </cell>
          <cell r="FQ214">
            <v>7.2999999999999995E-2</v>
          </cell>
          <cell r="FR214">
            <v>2.5000000000000001E-2</v>
          </cell>
          <cell r="FS214">
            <v>2.5999999999999999E-2</v>
          </cell>
          <cell r="FV214">
            <v>0.108</v>
          </cell>
          <cell r="FW214">
            <v>0.05</v>
          </cell>
          <cell r="FX214">
            <v>2.1999999999999999E-2</v>
          </cell>
          <cell r="FY214">
            <v>2.4E-2</v>
          </cell>
          <cell r="GB214">
            <v>1.2E-2</v>
          </cell>
          <cell r="GC214">
            <v>4.1000000000000002E-2</v>
          </cell>
          <cell r="GD214">
            <v>5.5E-2</v>
          </cell>
          <cell r="GE214">
            <v>0.05</v>
          </cell>
        </row>
        <row r="215">
          <cell r="A215" t="str">
            <v>Y/Y ∆ SG&amp;A Ratio (bps)</v>
          </cell>
          <cell r="O215">
            <v>-43.567991140744944</v>
          </cell>
          <cell r="P215">
            <v>-244.03239996622915</v>
          </cell>
          <cell r="Q215">
            <v>-20.550956082671657</v>
          </cell>
          <cell r="R215">
            <v>-84.075891002715622</v>
          </cell>
          <cell r="S215">
            <v>-17.339650138721296</v>
          </cell>
          <cell r="T215">
            <v>92.384736399759305</v>
          </cell>
          <cell r="U215">
            <v>61.110898981799892</v>
          </cell>
          <cell r="V215">
            <v>32.689981507311728</v>
          </cell>
          <cell r="W215">
            <v>-12.829660668512988</v>
          </cell>
          <cell r="X215">
            <v>-8.170721045960839</v>
          </cell>
          <cell r="Y215">
            <v>100.18608670279094</v>
          </cell>
          <cell r="Z215">
            <v>14.714151652506224</v>
          </cell>
          <cell r="AA215">
            <v>165.51544502531269</v>
          </cell>
          <cell r="AB215">
            <v>18.317020299823405</v>
          </cell>
          <cell r="AC215">
            <v>-112.5922893019321</v>
          </cell>
          <cell r="AD215">
            <v>-167.45511084021169</v>
          </cell>
          <cell r="AE215">
            <v>-48.032824186394762</v>
          </cell>
          <cell r="AF215">
            <v>15</v>
          </cell>
          <cell r="AG215">
            <v>-10</v>
          </cell>
          <cell r="AH215">
            <v>-10</v>
          </cell>
          <cell r="AI215">
            <v>-10</v>
          </cell>
          <cell r="AJ215">
            <v>-10</v>
          </cell>
          <cell r="AK215">
            <v>-10</v>
          </cell>
          <cell r="AL215">
            <v>-10</v>
          </cell>
          <cell r="AN215" t="str">
            <v>Total</v>
          </cell>
          <cell r="EL215" t="str">
            <v>Total</v>
          </cell>
          <cell r="ER215">
            <v>0</v>
          </cell>
          <cell r="ES215">
            <v>4.5999999999999999E-2</v>
          </cell>
          <cell r="ET215">
            <v>5.8999999999999997E-2</v>
          </cell>
          <cell r="EU215">
            <v>6.0999999999999999E-2</v>
          </cell>
          <cell r="EV215">
            <v>4.3999999999999997E-2</v>
          </cell>
          <cell r="EX215">
            <v>6.0000000000000001E-3</v>
          </cell>
          <cell r="EY215">
            <v>-2.5999999999999999E-2</v>
          </cell>
          <cell r="EZ215">
            <v>-8.0000000000000002E-3</v>
          </cell>
          <cell r="FA215">
            <v>-0.02</v>
          </cell>
          <cell r="FB215">
            <v>-1.2999999999999999E-2</v>
          </cell>
          <cell r="FD215">
            <v>-2.5999999999999999E-2</v>
          </cell>
          <cell r="FE215">
            <v>-2.1000000000000001E-2</v>
          </cell>
          <cell r="FF215">
            <v>-0.06</v>
          </cell>
          <cell r="FG215">
            <v>-7.0000000000000007E-2</v>
          </cell>
          <cell r="FH215">
            <v>-4.4999999999999998E-2</v>
          </cell>
          <cell r="FJ215">
            <v>-0.09</v>
          </cell>
          <cell r="FK215">
            <v>-9.5000000000000001E-2</v>
          </cell>
          <cell r="FL215">
            <v>-3.5999999999999997E-2</v>
          </cell>
          <cell r="FM215">
            <v>-5.8579119044959507E-3</v>
          </cell>
          <cell r="FN215">
            <v>-5.0987622799162344E-2</v>
          </cell>
          <cell r="FP215">
            <v>5.5E-2</v>
          </cell>
          <cell r="FQ215">
            <v>4.9000000000000002E-2</v>
          </cell>
          <cell r="FR215">
            <v>3.9E-2</v>
          </cell>
          <cell r="FS215">
            <v>4.2999999999999997E-2</v>
          </cell>
          <cell r="FT215">
            <v>4.610434747830261E-2</v>
          </cell>
          <cell r="FV215">
            <v>5.3999999999999999E-2</v>
          </cell>
          <cell r="FW215">
            <v>6.4000000000000001E-2</v>
          </cell>
          <cell r="FX215">
            <v>0.04</v>
          </cell>
          <cell r="FY215">
            <v>5.1999999999999998E-2</v>
          </cell>
          <cell r="FZ215">
            <v>5.2999999999999999E-2</v>
          </cell>
          <cell r="GB215">
            <v>4.3999999999999997E-2</v>
          </cell>
          <cell r="GC215">
            <v>0.03</v>
          </cell>
          <cell r="GD215">
            <v>4.4170626829774157E-2</v>
          </cell>
          <cell r="GE215">
            <v>4.1872044415560798E-2</v>
          </cell>
          <cell r="GF215">
            <v>4.02253638971692E-2</v>
          </cell>
        </row>
        <row r="216">
          <cell r="A216" t="str">
            <v>Operating Income</v>
          </cell>
          <cell r="N216">
            <v>663</v>
          </cell>
          <cell r="O216">
            <v>893</v>
          </cell>
          <cell r="P216">
            <v>1341</v>
          </cell>
          <cell r="Q216">
            <v>1455</v>
          </cell>
          <cell r="R216">
            <v>1693</v>
          </cell>
          <cell r="S216">
            <v>1771</v>
          </cell>
          <cell r="T216">
            <v>1376</v>
          </cell>
          <cell r="U216">
            <v>1411</v>
          </cell>
          <cell r="V216">
            <v>1400</v>
          </cell>
          <cell r="W216">
            <v>1499</v>
          </cell>
          <cell r="X216">
            <v>2138</v>
          </cell>
          <cell r="Y216">
            <v>2273</v>
          </cell>
          <cell r="Z216">
            <v>2033.3823683158116</v>
          </cell>
          <cell r="AA216">
            <v>1425</v>
          </cell>
          <cell r="AB216">
            <v>1454</v>
          </cell>
          <cell r="AC216">
            <v>1919</v>
          </cell>
          <cell r="AD216">
            <v>2386</v>
          </cell>
          <cell r="AE216">
            <v>2671.2966222272662</v>
          </cell>
          <cell r="AF216">
            <v>2777.5915838515448</v>
          </cell>
          <cell r="AG216">
            <v>2903.3832369986631</v>
          </cell>
          <cell r="AH216">
            <v>2933.4651235252149</v>
          </cell>
          <cell r="AI216">
            <v>2933.3028287747547</v>
          </cell>
          <cell r="AJ216">
            <v>2992.4277725080738</v>
          </cell>
          <cell r="AK216">
            <v>3052.4418848331788</v>
          </cell>
          <cell r="AL216">
            <v>3113.357036627538</v>
          </cell>
          <cell r="FV216">
            <v>5.45E-2</v>
          </cell>
          <cell r="FW216">
            <v>5.6500000000000002E-2</v>
          </cell>
          <cell r="FX216">
            <v>3.95E-2</v>
          </cell>
          <cell r="FY216">
            <v>4.7500000000000001E-2</v>
          </cell>
          <cell r="GB216">
            <v>4.9000000000000002E-2</v>
          </cell>
          <cell r="GC216">
            <v>4.7E-2</v>
          </cell>
          <cell r="GD216">
            <v>4.2085313414887082E-2</v>
          </cell>
          <cell r="GE216">
            <v>4.6936022207780398E-2</v>
          </cell>
          <cell r="GF216" t="str">
            <v>2-yr comp</v>
          </cell>
        </row>
        <row r="217">
          <cell r="A217" t="str">
            <v>Operating Margin</v>
          </cell>
          <cell r="N217">
            <v>4.5367455864239771E-2</v>
          </cell>
          <cell r="O217">
            <v>6.0203600080900692E-2</v>
          </cell>
          <cell r="P217">
            <v>8.8107752956636004E-2</v>
          </cell>
          <cell r="Q217">
            <v>9.4695737064757562E-2</v>
          </cell>
          <cell r="R217">
            <v>0.10562106182544138</v>
          </cell>
          <cell r="S217">
            <v>0.10644308210121409</v>
          </cell>
          <cell r="T217">
            <v>8.7171365220145708E-2</v>
          </cell>
          <cell r="U217">
            <v>9.0617172949714206E-2</v>
          </cell>
          <cell r="V217">
            <v>9.0838307812094468E-2</v>
          </cell>
          <cell r="W217">
            <v>9.5017748478701827E-2</v>
          </cell>
          <cell r="X217">
            <v>9.5489057615006701E-2</v>
          </cell>
          <cell r="Y217">
            <v>8.4278828327771602E-2</v>
          </cell>
          <cell r="Z217">
            <v>7.7276721328461653E-2</v>
          </cell>
          <cell r="AA217">
            <v>5.7247308372167766E-2</v>
          </cell>
          <cell r="AB217">
            <v>6.0849550115086838E-2</v>
          </cell>
          <cell r="AC217">
            <v>7.6750789905211378E-2</v>
          </cell>
          <cell r="AD217">
            <v>9.0361673925392919E-2</v>
          </cell>
          <cell r="AE217">
            <v>9.644428925609537E-2</v>
          </cell>
          <cell r="AF217">
            <v>9.7944289256095288E-2</v>
          </cell>
          <cell r="AG217">
            <v>0.10044428925609535</v>
          </cell>
          <cell r="AH217">
            <v>0.10044428925609533</v>
          </cell>
          <cell r="AI217">
            <v>9.9444289256095372E-2</v>
          </cell>
          <cell r="AJ217">
            <v>0.10044428925609539</v>
          </cell>
          <cell r="AK217">
            <v>0.1014442892560953</v>
          </cell>
          <cell r="AL217">
            <v>0.10244428925609532</v>
          </cell>
          <cell r="AN217" t="str">
            <v xml:space="preserve">Consolidated Productivity Factor </v>
          </cell>
          <cell r="EL217" t="str">
            <v xml:space="preserve">Consolidated Productivity Factor </v>
          </cell>
          <cell r="FP217">
            <v>-2.0333333333333332E-2</v>
          </cell>
          <cell r="FQ217">
            <v>-2.2333333333333334E-2</v>
          </cell>
          <cell r="FR217">
            <v>-1.9E-2</v>
          </cell>
          <cell r="FS217">
            <v>-1.0952637301498654E-2</v>
          </cell>
          <cell r="FV217">
            <v>6.333333333333334E-3</v>
          </cell>
          <cell r="FW217">
            <v>6.000000000000001E-3</v>
          </cell>
          <cell r="FX217">
            <v>1.4333333333333335E-2</v>
          </cell>
          <cell r="FY217">
            <v>2.971402936516802E-2</v>
          </cell>
        </row>
        <row r="218">
          <cell r="A218" t="str">
            <v>Y/Y ∆ Operating Margin (bps)</v>
          </cell>
          <cell r="O218">
            <v>148.36144216660921</v>
          </cell>
          <cell r="P218">
            <v>279.04152875735315</v>
          </cell>
          <cell r="Q218">
            <v>65.879841081215588</v>
          </cell>
          <cell r="R218">
            <v>109.25324760683822</v>
          </cell>
          <cell r="S218">
            <v>8.22020275772703</v>
          </cell>
          <cell r="T218">
            <v>-192.7171688106838</v>
          </cell>
          <cell r="U218">
            <v>34.45807729568498</v>
          </cell>
          <cell r="V218">
            <v>2.2113486238026225</v>
          </cell>
          <cell r="W218">
            <v>41.794406666073591</v>
          </cell>
          <cell r="X218">
            <v>4.7130913630487328</v>
          </cell>
          <cell r="Y218">
            <v>-112.10229287235099</v>
          </cell>
          <cell r="Z218">
            <v>-70.021069993099488</v>
          </cell>
          <cell r="AA218">
            <v>-200.29412956293888</v>
          </cell>
          <cell r="AB218">
            <v>36.022417429190725</v>
          </cell>
          <cell r="AC218">
            <v>159.01239790124541</v>
          </cell>
          <cell r="AD218">
            <v>136.10884020181541</v>
          </cell>
          <cell r="AE218">
            <v>60.826153307024512</v>
          </cell>
          <cell r="AF218">
            <v>14.999999999999181</v>
          </cell>
          <cell r="AG218">
            <v>25.000000000000576</v>
          </cell>
          <cell r="AH218">
            <v>-1.3877787807814457E-13</v>
          </cell>
          <cell r="AI218">
            <v>-9.9999999999995932</v>
          </cell>
          <cell r="AJ218">
            <v>10.000000000000147</v>
          </cell>
          <cell r="AK218">
            <v>9.9999999999991758</v>
          </cell>
          <cell r="AL218">
            <v>10.000000000000147</v>
          </cell>
          <cell r="AN218" t="str">
            <v>Month 1</v>
          </cell>
          <cell r="EL218" t="str">
            <v>Month 1</v>
          </cell>
          <cell r="ER218">
            <v>0.85379589916801657</v>
          </cell>
          <cell r="ES218">
            <v>0.82852877251430668</v>
          </cell>
          <cell r="ET218">
            <v>0.83475030563790842</v>
          </cell>
          <cell r="EU218">
            <v>0.91480422703367681</v>
          </cell>
          <cell r="EX218">
            <v>1.0042251017232908</v>
          </cell>
          <cell r="EY218">
            <v>1.0108075527611304</v>
          </cell>
          <cell r="EZ218">
            <v>1.0032705612197608</v>
          </cell>
          <cell r="FA218">
            <v>0.99617129302855612</v>
          </cell>
          <cell r="FD218">
            <v>1.0047260256693704</v>
          </cell>
          <cell r="FE218">
            <v>1.0011731147187122</v>
          </cell>
          <cell r="FF218">
            <v>1.0015681684828099</v>
          </cell>
          <cell r="FG218">
            <v>0.9980273685296247</v>
          </cell>
          <cell r="FJ218">
            <v>1.0146680194879518</v>
          </cell>
          <cell r="FK218">
            <v>1.0229325701507319</v>
          </cell>
          <cell r="FL218">
            <v>1.0237530410429481</v>
          </cell>
          <cell r="FM218">
            <v>1.0168796021749338</v>
          </cell>
          <cell r="FP218">
            <v>1.0016060228776302</v>
          </cell>
          <cell r="FQ218">
            <v>0.98881215735067063</v>
          </cell>
          <cell r="FR218">
            <v>1.0007452413933455</v>
          </cell>
          <cell r="FS218">
            <v>1.0028115913956974</v>
          </cell>
          <cell r="FV218">
            <v>1.0005096291516782</v>
          </cell>
          <cell r="FW218">
            <v>1.0081721608307339</v>
          </cell>
          <cell r="FX218">
            <v>0.99435769750356207</v>
          </cell>
          <cell r="FY218">
            <v>1.0114048185081832</v>
          </cell>
          <cell r="GB218">
            <v>1.0253009585429893</v>
          </cell>
          <cell r="GC218">
            <v>1.0133052611979987</v>
          </cell>
          <cell r="GD218">
            <v>1.018088666893139</v>
          </cell>
          <cell r="GE218">
            <v>1</v>
          </cell>
        </row>
        <row r="219">
          <cell r="AN219" t="str">
            <v>Month 2</v>
          </cell>
          <cell r="EL219" t="str">
            <v>Month 2</v>
          </cell>
          <cell r="ER219">
            <v>0.87143545576033965</v>
          </cell>
          <cell r="ES219">
            <v>0.86259214604526391</v>
          </cell>
          <cell r="ET219">
            <v>0.95476655228407081</v>
          </cell>
          <cell r="EU219">
            <v>0.95390310394604827</v>
          </cell>
          <cell r="EX219">
            <v>0.99756383077735888</v>
          </cell>
          <cell r="EY219">
            <v>1.0076309712339664</v>
          </cell>
          <cell r="EZ219">
            <v>1.0058439901456568</v>
          </cell>
          <cell r="FA219">
            <v>1.0104925603418453</v>
          </cell>
          <cell r="FD219">
            <v>1.0038919718017412</v>
          </cell>
          <cell r="FE219">
            <v>1.0002262623646179</v>
          </cell>
          <cell r="FF219">
            <v>1.0022779610885877</v>
          </cell>
          <cell r="FG219">
            <v>0.98797059201406712</v>
          </cell>
          <cell r="FJ219">
            <v>1.0172356632303496</v>
          </cell>
          <cell r="FK219">
            <v>1.0266388149144143</v>
          </cell>
          <cell r="FL219">
            <v>1.0185440088098592</v>
          </cell>
          <cell r="FM219">
            <v>1.0150644106268683</v>
          </cell>
          <cell r="FP219">
            <v>0.9967530496300272</v>
          </cell>
          <cell r="FQ219">
            <v>0.99989171377441255</v>
          </cell>
          <cell r="FR219">
            <v>1.0028971230689774</v>
          </cell>
          <cell r="FS219">
            <v>0.9946391314592461</v>
          </cell>
          <cell r="FV219">
            <v>1.0074992903911262</v>
          </cell>
          <cell r="FW219">
            <v>1.0057878604073234</v>
          </cell>
          <cell r="FX219">
            <v>1.0057401642886414</v>
          </cell>
          <cell r="FY219">
            <v>1.0118477756232767</v>
          </cell>
          <cell r="GB219">
            <v>1.0102541230632647</v>
          </cell>
          <cell r="GC219">
            <v>1.011143062170935</v>
          </cell>
          <cell r="GD219">
            <v>1</v>
          </cell>
          <cell r="GE219">
            <v>1</v>
          </cell>
          <cell r="GG219" t="str">
            <v>See cells GK224 and GK227 to forecast gross profit for 4Q</v>
          </cell>
          <cell r="GM219" t="str">
            <v>Calculation of Extra Week EPS Benefit</v>
          </cell>
        </row>
        <row r="220">
          <cell r="A220" t="str">
            <v>Bull Case Assumptions</v>
          </cell>
          <cell r="N220">
            <v>1995</v>
          </cell>
          <cell r="O220">
            <v>1996</v>
          </cell>
          <cell r="P220">
            <v>1997</v>
          </cell>
          <cell r="Q220">
            <v>1998</v>
          </cell>
          <cell r="R220">
            <v>1999</v>
          </cell>
          <cell r="S220">
            <v>2000</v>
          </cell>
          <cell r="T220">
            <v>2001</v>
          </cell>
          <cell r="U220">
            <v>2002</v>
          </cell>
          <cell r="V220">
            <v>2003</v>
          </cell>
          <cell r="W220">
            <v>2004</v>
          </cell>
          <cell r="X220">
            <v>2005</v>
          </cell>
          <cell r="Y220">
            <v>2006</v>
          </cell>
          <cell r="Z220">
            <v>2007</v>
          </cell>
          <cell r="AA220">
            <v>2008</v>
          </cell>
          <cell r="AB220">
            <v>2009</v>
          </cell>
          <cell r="AC220">
            <v>2010</v>
          </cell>
          <cell r="AD220">
            <v>2011</v>
          </cell>
          <cell r="AE220" t="str">
            <v>2012E</v>
          </cell>
          <cell r="AF220" t="str">
            <v>2013E</v>
          </cell>
          <cell r="AG220" t="str">
            <v>2014E</v>
          </cell>
          <cell r="AH220" t="str">
            <v>2015E</v>
          </cell>
          <cell r="AI220" t="str">
            <v>2016E</v>
          </cell>
          <cell r="AJ220" t="str">
            <v>2017E</v>
          </cell>
          <cell r="AK220" t="str">
            <v>2018E</v>
          </cell>
          <cell r="AL220" t="str">
            <v>2019E</v>
          </cell>
          <cell r="AN220" t="str">
            <v>Month 3</v>
          </cell>
          <cell r="EL220" t="str">
            <v>Month 3</v>
          </cell>
          <cell r="ER220">
            <v>0.85509041472763314</v>
          </cell>
          <cell r="ES220">
            <v>0.83302342705472399</v>
          </cell>
          <cell r="ET220">
            <v>0.9300581404093593</v>
          </cell>
          <cell r="EU220">
            <v>0.88885616548937241</v>
          </cell>
          <cell r="EX220">
            <v>1.0012993536198342</v>
          </cell>
          <cell r="EY220">
            <v>1.0067406823426219</v>
          </cell>
          <cell r="EZ220">
            <v>1.0010354929971583</v>
          </cell>
          <cell r="FA220">
            <v>0.77697496531497701</v>
          </cell>
          <cell r="FD220">
            <v>0.99998610863561077</v>
          </cell>
          <cell r="FE220">
            <v>1.0000776716315167</v>
          </cell>
          <cell r="FF220">
            <v>1.0026881239876493</v>
          </cell>
          <cell r="FG220">
            <v>1.0034001517037674</v>
          </cell>
          <cell r="FJ220">
            <v>1.017274065207098</v>
          </cell>
          <cell r="FK220">
            <v>1.0307481774152398</v>
          </cell>
          <cell r="FL220">
            <v>1.0154616377110075</v>
          </cell>
          <cell r="FM220">
            <v>1.009307170702717</v>
          </cell>
          <cell r="FP220">
            <v>1.0005893323256754</v>
          </cell>
          <cell r="FQ220">
            <v>1.0111137394005785</v>
          </cell>
          <cell r="FR220">
            <v>1.0254628236300125</v>
          </cell>
          <cell r="FS220">
            <v>1.00775043725629</v>
          </cell>
          <cell r="FV220">
            <v>0.99618702023241001</v>
          </cell>
          <cell r="FW220">
            <v>1.0047825549823146</v>
          </cell>
          <cell r="FX220">
            <v>1.0004489851343907</v>
          </cell>
          <cell r="FY220">
            <v>1.008520012530175</v>
          </cell>
          <cell r="GB220">
            <v>1.0062765433093959</v>
          </cell>
          <cell r="GC220">
            <v>1.0227639737625074</v>
          </cell>
          <cell r="GD220">
            <v>1</v>
          </cell>
          <cell r="GE220">
            <v>1</v>
          </cell>
          <cell r="GG220" t="str">
            <v>See cells GK230 and GK232 to forecast SG&amp;A for 4Q</v>
          </cell>
          <cell r="GM220" t="str">
            <v>Extra week (on = 1, off = 0)</v>
          </cell>
          <cell r="GO220">
            <v>1</v>
          </cell>
        </row>
        <row r="221">
          <cell r="A221" t="str">
            <v>Revenue</v>
          </cell>
          <cell r="N221">
            <v>14614</v>
          </cell>
          <cell r="O221">
            <v>14833</v>
          </cell>
          <cell r="P221">
            <v>15220</v>
          </cell>
          <cell r="Q221">
            <v>15365</v>
          </cell>
          <cell r="R221">
            <v>16029</v>
          </cell>
          <cell r="S221">
            <v>16638</v>
          </cell>
          <cell r="T221">
            <v>15785</v>
          </cell>
          <cell r="U221">
            <v>15571</v>
          </cell>
          <cell r="V221">
            <v>15412</v>
          </cell>
          <cell r="W221">
            <v>15776</v>
          </cell>
          <cell r="X221">
            <v>22390</v>
          </cell>
          <cell r="Y221">
            <v>26970</v>
          </cell>
          <cell r="Z221">
            <v>26313</v>
          </cell>
          <cell r="AA221">
            <v>24892</v>
          </cell>
          <cell r="AB221">
            <v>23904</v>
          </cell>
          <cell r="AC221">
            <v>25003</v>
          </cell>
          <cell r="AD221">
            <v>26405</v>
          </cell>
          <cell r="AE221">
            <v>27959.427458112747</v>
          </cell>
          <cell r="AF221">
            <v>29729.463580880543</v>
          </cell>
          <cell r="AG221">
            <v>30302.392530862733</v>
          </cell>
          <cell r="AH221">
            <v>30616.354918597252</v>
          </cell>
          <cell r="AI221">
            <v>30922.518467783226</v>
          </cell>
          <cell r="AJ221">
            <v>31231.743652461057</v>
          </cell>
          <cell r="AK221">
            <v>31544.061088985669</v>
          </cell>
          <cell r="AL221">
            <v>31859.501699875527</v>
          </cell>
          <cell r="AN221" t="str">
            <v>Total</v>
          </cell>
          <cell r="EL221" t="str">
            <v>Total</v>
          </cell>
          <cell r="EX221">
            <v>0.99364581839822941</v>
          </cell>
          <cell r="EY221">
            <v>1.0053855991928882</v>
          </cell>
          <cell r="EZ221">
            <v>1.0049007333596589</v>
          </cell>
          <cell r="FA221">
            <v>0.96635245216954013</v>
          </cell>
          <cell r="FD221">
            <v>1.0093706103322386</v>
          </cell>
          <cell r="FE221">
            <v>0.99942053289687438</v>
          </cell>
          <cell r="FF221">
            <v>1.0028127761391281</v>
          </cell>
          <cell r="FG221">
            <v>0.99829531956488382</v>
          </cell>
          <cell r="FH221">
            <v>0.99616480017746767</v>
          </cell>
          <cell r="FJ221">
            <v>1.0150952522446879</v>
          </cell>
          <cell r="FK221">
            <v>1.028988144998136</v>
          </cell>
          <cell r="FL221">
            <v>1.0174659464761271</v>
          </cell>
          <cell r="FM221">
            <v>1.004258927748259</v>
          </cell>
          <cell r="FN221">
            <v>1.0094977226152135</v>
          </cell>
          <cell r="FP221">
            <v>1.0000259928958455</v>
          </cell>
          <cell r="FQ221">
            <v>0.99963688802128137</v>
          </cell>
          <cell r="FR221">
            <v>1.0093878458063197</v>
          </cell>
          <cell r="FS221">
            <v>1.0000370362620763</v>
          </cell>
          <cell r="FT221">
            <v>1.0017002547102301</v>
          </cell>
          <cell r="FV221">
            <v>1.0021044058948783</v>
          </cell>
          <cell r="FW221">
            <v>1.0081307827273334</v>
          </cell>
          <cell r="FX221">
            <v>1.0033467891940979</v>
          </cell>
          <cell r="FY221">
            <v>1.0155381429309334</v>
          </cell>
          <cell r="FZ221">
            <v>1.0152922484576603</v>
          </cell>
          <cell r="GB221">
            <v>1.0132824557239268</v>
          </cell>
          <cell r="GC221">
            <v>1.0138954016780533</v>
          </cell>
          <cell r="GD221">
            <v>1.0060645702976547</v>
          </cell>
          <cell r="GE221">
            <v>1.0305274860110949</v>
          </cell>
          <cell r="GF221">
            <v>1.0083583012001358</v>
          </cell>
          <cell r="GG221" t="str">
            <v>53rd Week Adjustments for 4Q12e</v>
          </cell>
          <cell r="GM221" t="str">
            <v>Revenues from extra week</v>
          </cell>
          <cell r="GO221">
            <v>350.71381633376672</v>
          </cell>
        </row>
        <row r="222">
          <cell r="A222" t="str">
            <v xml:space="preserve"> % Same-store</v>
          </cell>
          <cell r="N222">
            <v>2.7E-2</v>
          </cell>
          <cell r="O222">
            <v>3.1E-2</v>
          </cell>
          <cell r="P222">
            <v>2.7E-2</v>
          </cell>
          <cell r="Q222">
            <v>2.1999999999999999E-2</v>
          </cell>
          <cell r="R222">
            <v>4.4999999999999998E-2</v>
          </cell>
          <cell r="S222">
            <v>0.02</v>
          </cell>
          <cell r="T222">
            <v>-5.2999999999999999E-2</v>
          </cell>
          <cell r="U222">
            <v>-0.03</v>
          </cell>
          <cell r="V222">
            <v>-9.0000000000000011E-3</v>
          </cell>
          <cell r="W222">
            <v>2.5999999999999999E-2</v>
          </cell>
          <cell r="X222">
            <v>1.2999999999999999E-2</v>
          </cell>
          <cell r="Y222">
            <v>4.3999999999999997E-2</v>
          </cell>
          <cell r="Z222">
            <v>-1.2799528750047504E-2</v>
          </cell>
          <cell r="AA222">
            <v>-4.4999999999999998E-2</v>
          </cell>
          <cell r="AB222">
            <v>-5.0968425652024113E-2</v>
          </cell>
          <cell r="AC222">
            <v>4.610434747830261E-2</v>
          </cell>
          <cell r="AD222">
            <v>5.2999999999999999E-2</v>
          </cell>
          <cell r="AE222">
            <v>5.0171736300135057E-2</v>
          </cell>
          <cell r="AF222">
            <v>7.5000000000000011E-2</v>
          </cell>
          <cell r="AG222">
            <v>0.02</v>
          </cell>
          <cell r="AH222">
            <v>0.01</v>
          </cell>
          <cell r="AI222">
            <v>0.01</v>
          </cell>
          <cell r="AJ222">
            <v>0.01</v>
          </cell>
          <cell r="AK222">
            <v>0.01</v>
          </cell>
          <cell r="AL222">
            <v>0.01</v>
          </cell>
          <cell r="GJ222" t="str">
            <v>4Q Gross Profit $ (ex 53rd week)</v>
          </cell>
          <cell r="GK222">
            <v>3728.8292256978107</v>
          </cell>
          <cell r="GM222" t="str">
            <v>EBIT from extra week</v>
          </cell>
          <cell r="GO222">
            <v>81.440379311760893</v>
          </cell>
        </row>
        <row r="223">
          <cell r="A223" t="str">
            <v>CGS, OCC, Buying Costs</v>
          </cell>
          <cell r="N223">
            <v>9038</v>
          </cell>
          <cell r="O223">
            <v>9018</v>
          </cell>
          <cell r="P223">
            <v>9200</v>
          </cell>
          <cell r="Q223">
            <v>9218</v>
          </cell>
          <cell r="R223">
            <v>9576</v>
          </cell>
          <cell r="S223">
            <v>9955</v>
          </cell>
          <cell r="T223">
            <v>9603</v>
          </cell>
          <cell r="U223">
            <v>9324</v>
          </cell>
          <cell r="V223">
            <v>9175</v>
          </cell>
          <cell r="W223">
            <v>9346</v>
          </cell>
          <cell r="X223">
            <v>13272</v>
          </cell>
          <cell r="Y223">
            <v>16019</v>
          </cell>
          <cell r="Z223">
            <v>15765.705839502129</v>
          </cell>
          <cell r="AA223">
            <v>15009</v>
          </cell>
          <cell r="AB223">
            <v>14287</v>
          </cell>
          <cell r="AC223">
            <v>14824</v>
          </cell>
          <cell r="AD223">
            <v>15738</v>
          </cell>
          <cell r="AE223">
            <v>16573.058987628334</v>
          </cell>
          <cell r="AF223">
            <v>17384.419050847919</v>
          </cell>
          <cell r="AG223">
            <v>17673.987886043768</v>
          </cell>
          <cell r="AH223">
            <v>17887.724020426696</v>
          </cell>
          <cell r="AI223">
            <v>18128.44629756653</v>
          </cell>
          <cell r="AJ223">
            <v>18309.730760542196</v>
          </cell>
          <cell r="AK223">
            <v>18492.828068147617</v>
          </cell>
          <cell r="AL223">
            <v>18677.756348829098</v>
          </cell>
          <cell r="AN223" t="str">
            <v>Cost of Goods Sold</v>
          </cell>
          <cell r="EL223" t="str">
            <v>Cost of Goods Sold</v>
          </cell>
          <cell r="ER223">
            <v>3627</v>
          </cell>
          <cell r="ES223">
            <v>3470</v>
          </cell>
          <cell r="ET223">
            <v>3513</v>
          </cell>
          <cell r="EU223">
            <v>5409</v>
          </cell>
          <cell r="EV223">
            <v>16019</v>
          </cell>
          <cell r="EX223">
            <v>3564</v>
          </cell>
          <cell r="EY223">
            <v>3507</v>
          </cell>
          <cell r="EZ223">
            <v>3585</v>
          </cell>
          <cell r="FA223">
            <v>5021</v>
          </cell>
          <cell r="FB223">
            <v>15677</v>
          </cell>
          <cell r="FD223">
            <v>3527</v>
          </cell>
          <cell r="FE223">
            <v>3346</v>
          </cell>
          <cell r="FF223">
            <v>3324</v>
          </cell>
          <cell r="FG223">
            <v>4812</v>
          </cell>
          <cell r="FH223">
            <v>15009</v>
          </cell>
          <cell r="FJ223">
            <v>3279</v>
          </cell>
          <cell r="FK223">
            <v>3117</v>
          </cell>
          <cell r="FL223">
            <v>3241</v>
          </cell>
          <cell r="FM223">
            <v>4641</v>
          </cell>
          <cell r="FN223">
            <v>14278</v>
          </cell>
          <cell r="FP223">
            <v>3378</v>
          </cell>
          <cell r="FQ223">
            <v>3214</v>
          </cell>
          <cell r="FR223">
            <v>3377</v>
          </cell>
          <cell r="FS223">
            <v>4855</v>
          </cell>
          <cell r="FT223">
            <v>14824</v>
          </cell>
          <cell r="FV223">
            <v>3586</v>
          </cell>
          <cell r="FW223">
            <v>3457</v>
          </cell>
          <cell r="FX223">
            <v>3544</v>
          </cell>
          <cell r="FY223">
            <v>5151</v>
          </cell>
          <cell r="FZ223">
            <v>15738</v>
          </cell>
          <cell r="GB223">
            <v>3757</v>
          </cell>
          <cell r="GC223">
            <v>3555</v>
          </cell>
          <cell r="GD223">
            <v>3666.0995494313679</v>
          </cell>
          <cell r="GE223">
            <v>5495.0171538201503</v>
          </cell>
          <cell r="GF223">
            <v>16473.116703251519</v>
          </cell>
          <cell r="GJ223" t="str">
            <v>4Q Gross Margin % (ex 53rd week)</v>
          </cell>
          <cell r="GK223">
            <v>0.41355983493810178</v>
          </cell>
          <cell r="GM223" t="str">
            <v>4Q tax rate</v>
          </cell>
          <cell r="GO223">
            <v>0.37</v>
          </cell>
        </row>
        <row r="224">
          <cell r="A224" t="str">
            <v>CGS, OCC, Buying Costs %</v>
          </cell>
          <cell r="N224">
            <v>0.61844806350075265</v>
          </cell>
          <cell r="O224">
            <v>0.60796871839816624</v>
          </cell>
          <cell r="P224">
            <v>0.60446780551905388</v>
          </cell>
          <cell r="Q224">
            <v>0.59993491701919943</v>
          </cell>
          <cell r="R224">
            <v>0.59741718135878719</v>
          </cell>
          <cell r="S224">
            <v>0.5983291260968866</v>
          </cell>
          <cell r="T224">
            <v>0.60836236933797905</v>
          </cell>
          <cell r="U224">
            <v>0.59880547171023057</v>
          </cell>
          <cell r="V224">
            <v>0.59531533869711917</v>
          </cell>
          <cell r="W224">
            <v>0.59241886409736311</v>
          </cell>
          <cell r="X224">
            <v>0.59276462706565436</v>
          </cell>
          <cell r="Y224">
            <v>0.59395624768261035</v>
          </cell>
          <cell r="Z224">
            <v>0.59916033289636794</v>
          </cell>
          <cell r="AA224">
            <v>0.60296480797043228</v>
          </cell>
          <cell r="AB224">
            <v>0.59768239625167341</v>
          </cell>
          <cell r="AC224">
            <v>0.59288885333759944</v>
          </cell>
          <cell r="AD224">
            <v>0.59602348040143915</v>
          </cell>
          <cell r="AE224">
            <v>0.59275387568136595</v>
          </cell>
          <cell r="AF224">
            <v>0.58475387568136594</v>
          </cell>
          <cell r="AG224">
            <v>0.583253875681366</v>
          </cell>
          <cell r="AH224">
            <v>0.584253875681366</v>
          </cell>
          <cell r="AI224">
            <v>0.586253875681366</v>
          </cell>
          <cell r="AJ224">
            <v>0.586253875681366</v>
          </cell>
          <cell r="AK224">
            <v>0.586253875681366</v>
          </cell>
          <cell r="AL224">
            <v>0.58625387568136611</v>
          </cell>
          <cell r="AN224" t="str">
            <v>CGS, OCC, Buying Costs %</v>
          </cell>
          <cell r="EL224" t="str">
            <v>CGS, OCC, Buying Costs %</v>
          </cell>
          <cell r="ER224">
            <v>0.61163575042158513</v>
          </cell>
          <cell r="ES224">
            <v>0.57881567973311088</v>
          </cell>
          <cell r="ET224">
            <v>0.59683995922528033</v>
          </cell>
          <cell r="EU224">
            <v>0.59056665574844414</v>
          </cell>
          <cell r="EV224">
            <v>0.59395624768261035</v>
          </cell>
          <cell r="EX224">
            <v>0.60192535044755957</v>
          </cell>
          <cell r="EY224">
            <v>0.59521384928716903</v>
          </cell>
          <cell r="EZ224">
            <v>0.60700982052150354</v>
          </cell>
          <cell r="FA224">
            <v>0.58424482196881544</v>
          </cell>
          <cell r="FB224">
            <v>0.59578915365028695</v>
          </cell>
          <cell r="FD224">
            <v>0.61371150165303634</v>
          </cell>
          <cell r="FE224">
            <v>0.5851696397341728</v>
          </cell>
          <cell r="FF224">
            <v>0.60513380666302563</v>
          </cell>
          <cell r="FG224">
            <v>0.60650365515502902</v>
          </cell>
          <cell r="FH224">
            <v>0.60296480797043228</v>
          </cell>
          <cell r="FJ224">
            <v>0.62008320726172461</v>
          </cell>
          <cell r="FK224">
            <v>0.58978240302743612</v>
          </cell>
          <cell r="FL224">
            <v>0.6018570102135562</v>
          </cell>
          <cell r="FM224">
            <v>0.58472974675570111</v>
          </cell>
          <cell r="FN224">
            <v>0.59753086419753088</v>
          </cell>
          <cell r="FP224">
            <v>0.60602798708288486</v>
          </cell>
          <cell r="FQ224">
            <v>0.58045873216543253</v>
          </cell>
          <cell r="FR224">
            <v>0.60056909123243818</v>
          </cell>
          <cell r="FS224">
            <v>0.58713266416737209</v>
          </cell>
          <cell r="FT224">
            <v>0.59288885333759944</v>
          </cell>
          <cell r="FV224">
            <v>0.60893190694515198</v>
          </cell>
          <cell r="FW224">
            <v>0.58208452601448057</v>
          </cell>
          <cell r="FX224">
            <v>0.60550145224671104</v>
          </cell>
          <cell r="FY224">
            <v>0.59044016506189823</v>
          </cell>
          <cell r="FZ224">
            <v>0.59602348040143915</v>
          </cell>
          <cell r="GB224">
            <v>0.61159042812957842</v>
          </cell>
          <cell r="GC224">
            <v>0.58107224583197126</v>
          </cell>
          <cell r="GD224">
            <v>0.60400145224671109</v>
          </cell>
          <cell r="GE224">
            <v>0.58662736950345429</v>
          </cell>
          <cell r="GF224">
            <v>0.59474414748937621</v>
          </cell>
          <cell r="GJ224" t="str">
            <v>MS 4Q Core Gross Margin ∆ (ex 53rd week)</v>
          </cell>
          <cell r="GK224">
            <v>40</v>
          </cell>
          <cell r="GM224" t="str">
            <v>Net inc. benefit from extra wk</v>
          </cell>
          <cell r="GO224">
            <v>51.307438966409364</v>
          </cell>
        </row>
        <row r="225">
          <cell r="A225" t="str">
            <v>Y/Y ∆ CGS, OCC, Buying Costs % (bps)</v>
          </cell>
          <cell r="O225">
            <v>-104.79345102586413</v>
          </cell>
          <cell r="P225">
            <v>-35.009128791123615</v>
          </cell>
          <cell r="Q225">
            <v>-45.328884998544481</v>
          </cell>
          <cell r="R225">
            <v>-25.177356604122458</v>
          </cell>
          <cell r="S225">
            <v>9.1194473809941279</v>
          </cell>
          <cell r="T225">
            <v>100.33243241092448</v>
          </cell>
          <cell r="U225">
            <v>-95.568976277484722</v>
          </cell>
          <cell r="V225">
            <v>-34.901330131114072</v>
          </cell>
          <cell r="W225">
            <v>-28.964745997560605</v>
          </cell>
          <cell r="X225">
            <v>3.4576296829125219</v>
          </cell>
          <cell r="Y225">
            <v>11.916206169559906</v>
          </cell>
          <cell r="Z225">
            <v>52.040852137575925</v>
          </cell>
          <cell r="AA225">
            <v>38.044750740643394</v>
          </cell>
          <cell r="AB225">
            <v>-52.824117187588726</v>
          </cell>
          <cell r="AC225">
            <v>-47.935429140739672</v>
          </cell>
          <cell r="AD225">
            <v>31.346270638397122</v>
          </cell>
          <cell r="AE225">
            <v>-32.696047200732046</v>
          </cell>
          <cell r="AF225">
            <v>-80.000000000000071</v>
          </cell>
          <cell r="AG225">
            <v>-14.999999999999458</v>
          </cell>
          <cell r="AH225">
            <v>10.000000000000009</v>
          </cell>
          <cell r="AI225">
            <v>20.000000000000018</v>
          </cell>
          <cell r="AJ225">
            <v>0</v>
          </cell>
          <cell r="AK225">
            <v>0</v>
          </cell>
          <cell r="AL225">
            <v>1.1102230246251565E-12</v>
          </cell>
          <cell r="AN225" t="str">
            <v>BPS Change</v>
          </cell>
          <cell r="EL225" t="str">
            <v>BPS Change</v>
          </cell>
          <cell r="ER225">
            <v>139.97738886292632</v>
          </cell>
          <cell r="ES225">
            <v>-79.90834205613973</v>
          </cell>
          <cell r="ET225">
            <v>6.2033726308408088</v>
          </cell>
          <cell r="EU225">
            <v>-5.9414249625333593</v>
          </cell>
          <cell r="EV225">
            <v>11.916206169559906</v>
          </cell>
          <cell r="EX225">
            <v>-97.103999740255631</v>
          </cell>
          <cell r="EY225">
            <v>163.98169554058151</v>
          </cell>
          <cell r="EZ225">
            <v>101.69861296223215</v>
          </cell>
          <cell r="FA225">
            <v>-63.218337796286939</v>
          </cell>
          <cell r="FB225">
            <v>18.329059676766015</v>
          </cell>
          <cell r="FD225">
            <v>117.86151205476769</v>
          </cell>
          <cell r="FE225">
            <v>-100.4420955299623</v>
          </cell>
          <cell r="FF225">
            <v>-18.760138584779096</v>
          </cell>
          <cell r="FG225">
            <v>222.58833186213579</v>
          </cell>
          <cell r="FH225">
            <v>71.756543201453297</v>
          </cell>
          <cell r="FJ225">
            <v>63.717056086882721</v>
          </cell>
          <cell r="FK225">
            <v>46.127632932633219</v>
          </cell>
          <cell r="FL225">
            <v>-32.767964494694326</v>
          </cell>
          <cell r="FM225">
            <v>-217.73908399327914</v>
          </cell>
          <cell r="FN225">
            <v>-54.339437729014065</v>
          </cell>
          <cell r="FP225">
            <v>-140.55220178839755</v>
          </cell>
          <cell r="FQ225">
            <v>-93.236708620035856</v>
          </cell>
          <cell r="FR225">
            <v>-12.879189811180192</v>
          </cell>
          <cell r="FS225">
            <v>24.029174116709797</v>
          </cell>
          <cell r="FT225">
            <v>-46.420108599314332</v>
          </cell>
          <cell r="FV225">
            <v>29.039198622671236</v>
          </cell>
          <cell r="FW225">
            <v>16.257938490480406</v>
          </cell>
          <cell r="FX225">
            <v>49.323610142728569</v>
          </cell>
          <cell r="FY225">
            <v>33.075008945261388</v>
          </cell>
          <cell r="FZ225">
            <v>31.346270638397122</v>
          </cell>
          <cell r="GB225">
            <v>26.585211844264435</v>
          </cell>
          <cell r="GC225">
            <v>-10.122801825093175</v>
          </cell>
          <cell r="GD225">
            <v>-14.999999999999458</v>
          </cell>
          <cell r="GE225">
            <v>-38.127955584439377</v>
          </cell>
          <cell r="GF225">
            <v>-12.793329120629471</v>
          </cell>
          <cell r="GJ225" t="str">
            <v>Extra Week Gross Profit $ (incremental)</v>
          </cell>
          <cell r="GK225">
            <v>143.28757891183548</v>
          </cell>
          <cell r="GM225" t="str">
            <v>4Q diluted shares</v>
          </cell>
          <cell r="GO225">
            <v>397.54335839599003</v>
          </cell>
        </row>
        <row r="226">
          <cell r="A226" t="str">
            <v>Gross Income</v>
          </cell>
          <cell r="N226">
            <v>5576</v>
          </cell>
          <cell r="O226">
            <v>5815</v>
          </cell>
          <cell r="P226">
            <v>6020</v>
          </cell>
          <cell r="Q226">
            <v>6147</v>
          </cell>
          <cell r="R226">
            <v>6453</v>
          </cell>
          <cell r="S226">
            <v>6683</v>
          </cell>
          <cell r="T226">
            <v>6182</v>
          </cell>
          <cell r="U226">
            <v>6247</v>
          </cell>
          <cell r="V226">
            <v>6237</v>
          </cell>
          <cell r="W226">
            <v>6430</v>
          </cell>
          <cell r="X226">
            <v>9118</v>
          </cell>
          <cell r="Y226">
            <v>10951</v>
          </cell>
          <cell r="Z226">
            <v>10547.294160497871</v>
          </cell>
          <cell r="AA226">
            <v>9883</v>
          </cell>
          <cell r="AB226">
            <v>9617</v>
          </cell>
          <cell r="AC226">
            <v>10179</v>
          </cell>
          <cell r="AD226">
            <v>10667</v>
          </cell>
          <cell r="AE226">
            <v>11386.368470484413</v>
          </cell>
          <cell r="AF226">
            <v>12345.044530032625</v>
          </cell>
          <cell r="AG226">
            <v>12628.404644818967</v>
          </cell>
          <cell r="AH226">
            <v>12728.630898170555</v>
          </cell>
          <cell r="AI226">
            <v>12794.072170216694</v>
          </cell>
          <cell r="AJ226">
            <v>12922.012891918861</v>
          </cell>
          <cell r="AK226">
            <v>13051.23302083805</v>
          </cell>
          <cell r="AL226">
            <v>13181.745351046431</v>
          </cell>
          <cell r="GJ226" t="str">
            <v>Extra Week Gross Margin % (incremental)</v>
          </cell>
          <cell r="GK226">
            <v>0.40855983493810177</v>
          </cell>
          <cell r="GM226" t="str">
            <v>4Q EPS benefit from extra wk</v>
          </cell>
          <cell r="GO226">
            <v>0.12906124044789702</v>
          </cell>
        </row>
        <row r="227">
          <cell r="A227" t="str">
            <v>Gross Margin</v>
          </cell>
          <cell r="N227">
            <v>0.38155193649924729</v>
          </cell>
          <cell r="O227">
            <v>0.39203128160183376</v>
          </cell>
          <cell r="P227">
            <v>0.39553219448094612</v>
          </cell>
          <cell r="Q227">
            <v>0.40006508298080051</v>
          </cell>
          <cell r="R227">
            <v>0.40258281864121281</v>
          </cell>
          <cell r="S227">
            <v>0.40167087390311335</v>
          </cell>
          <cell r="T227">
            <v>0.3916376306620209</v>
          </cell>
          <cell r="U227">
            <v>0.40119452828976943</v>
          </cell>
          <cell r="V227">
            <v>0.40468466130288089</v>
          </cell>
          <cell r="W227">
            <v>0.40758113590263689</v>
          </cell>
          <cell r="X227">
            <v>0.4072353729343457</v>
          </cell>
          <cell r="Y227">
            <v>0.40604375231738971</v>
          </cell>
          <cell r="Z227">
            <v>0.40083966710363211</v>
          </cell>
          <cell r="AA227">
            <v>0.39703519202956772</v>
          </cell>
          <cell r="AB227">
            <v>0.40231760374832665</v>
          </cell>
          <cell r="AC227">
            <v>0.4071111466624005</v>
          </cell>
          <cell r="AD227">
            <v>0.4039765195985609</v>
          </cell>
          <cell r="AE227">
            <v>0.407246124318634</v>
          </cell>
          <cell r="AF227">
            <v>0.415246124318634</v>
          </cell>
          <cell r="AG227">
            <v>0.416746124318634</v>
          </cell>
          <cell r="AH227">
            <v>0.415746124318634</v>
          </cell>
          <cell r="AI227">
            <v>0.413746124318634</v>
          </cell>
          <cell r="AJ227">
            <v>0.413746124318634</v>
          </cell>
          <cell r="AK227">
            <v>0.413746124318634</v>
          </cell>
          <cell r="AL227">
            <v>0.413746124318634</v>
          </cell>
          <cell r="AN227" t="str">
            <v>Gross Income</v>
          </cell>
          <cell r="EL227" t="str">
            <v>Gross Income</v>
          </cell>
          <cell r="ER227">
            <v>2303</v>
          </cell>
          <cell r="ES227">
            <v>2525</v>
          </cell>
          <cell r="ET227">
            <v>2373</v>
          </cell>
          <cell r="EU227">
            <v>3750</v>
          </cell>
          <cell r="EV227">
            <v>10951</v>
          </cell>
          <cell r="EX227">
            <v>2357</v>
          </cell>
          <cell r="EY227">
            <v>2385</v>
          </cell>
          <cell r="EZ227">
            <v>2321</v>
          </cell>
          <cell r="FA227">
            <v>3573</v>
          </cell>
          <cell r="FB227">
            <v>10636</v>
          </cell>
          <cell r="FD227">
            <v>2220</v>
          </cell>
          <cell r="FE227">
            <v>2372</v>
          </cell>
          <cell r="FF227">
            <v>2169</v>
          </cell>
          <cell r="FG227">
            <v>3122</v>
          </cell>
          <cell r="FH227">
            <v>9883</v>
          </cell>
          <cell r="FJ227">
            <v>2009</v>
          </cell>
          <cell r="FK227">
            <v>2168</v>
          </cell>
          <cell r="FL227">
            <v>2144</v>
          </cell>
          <cell r="FM227">
            <v>3296</v>
          </cell>
          <cell r="FN227">
            <v>9617</v>
          </cell>
          <cell r="FP227">
            <v>2196</v>
          </cell>
          <cell r="FQ227">
            <v>2323</v>
          </cell>
          <cell r="FR227">
            <v>2246</v>
          </cell>
          <cell r="FS227">
            <v>3414</v>
          </cell>
          <cell r="FT227">
            <v>10179</v>
          </cell>
          <cell r="FU227" t="str">
            <v>2H</v>
          </cell>
          <cell r="FV227">
            <v>2303</v>
          </cell>
          <cell r="FW227">
            <v>2482</v>
          </cell>
          <cell r="FX227">
            <v>2309</v>
          </cell>
          <cell r="FY227">
            <v>3573</v>
          </cell>
          <cell r="FZ227">
            <v>10667</v>
          </cell>
          <cell r="GB227">
            <v>2386</v>
          </cell>
          <cell r="GC227">
            <v>2563</v>
          </cell>
          <cell r="GD227">
            <v>2403.5870975038929</v>
          </cell>
          <cell r="GE227">
            <v>3872.1168046096464</v>
          </cell>
          <cell r="GF227">
            <v>11224.703902113539</v>
          </cell>
          <cell r="GJ227" t="str">
            <v>Extra Week Gross Margin ∆ bps (incremental vs 4Q)</v>
          </cell>
          <cell r="GK227">
            <v>-50</v>
          </cell>
          <cell r="GM227" t="str">
            <v>FY12 diluted shares</v>
          </cell>
          <cell r="GO227">
            <v>411.14899749373433</v>
          </cell>
        </row>
        <row r="228">
          <cell r="A228" t="str">
            <v>Y/Y ∆ Gross Margin (bps)</v>
          </cell>
          <cell r="O228">
            <v>104.79345102586468</v>
          </cell>
          <cell r="P228">
            <v>35.009128791123615</v>
          </cell>
          <cell r="Q228">
            <v>45.328884998543927</v>
          </cell>
          <cell r="R228">
            <v>25.177356604123013</v>
          </cell>
          <cell r="S228">
            <v>-9.1194473809946821</v>
          </cell>
          <cell r="T228">
            <v>-100.33243241092448</v>
          </cell>
          <cell r="U228">
            <v>95.568976277485291</v>
          </cell>
          <cell r="V228">
            <v>34.901330131114626</v>
          </cell>
          <cell r="W228">
            <v>28.964745997560048</v>
          </cell>
          <cell r="X228">
            <v>-3.4576296829119668</v>
          </cell>
          <cell r="Y228">
            <v>-11.916206169559906</v>
          </cell>
          <cell r="Z228">
            <v>-52.040852137575925</v>
          </cell>
          <cell r="AA228">
            <v>-38.044750740643948</v>
          </cell>
          <cell r="AB228">
            <v>52.82411718758928</v>
          </cell>
          <cell r="AC228">
            <v>47.935429140738563</v>
          </cell>
          <cell r="AD228">
            <v>-31.346270638396014</v>
          </cell>
          <cell r="AE228">
            <v>32.696047200730938</v>
          </cell>
          <cell r="AF228">
            <v>80</v>
          </cell>
          <cell r="AG228">
            <v>15</v>
          </cell>
          <cell r="AH228">
            <v>-10</v>
          </cell>
          <cell r="AI228">
            <v>-20</v>
          </cell>
          <cell r="AJ228">
            <v>0</v>
          </cell>
          <cell r="AK228">
            <v>0</v>
          </cell>
          <cell r="AL228">
            <v>0</v>
          </cell>
          <cell r="AN228" t="str">
            <v>Gross Margin</v>
          </cell>
          <cell r="EL228" t="str">
            <v>Gross Margin</v>
          </cell>
          <cell r="ER228">
            <v>0.38836424957841487</v>
          </cell>
          <cell r="ES228">
            <v>0.42118432026688907</v>
          </cell>
          <cell r="ET228">
            <v>0.40316004077471967</v>
          </cell>
          <cell r="EU228">
            <v>0.40943334425155586</v>
          </cell>
          <cell r="EV228">
            <v>0.40604375231738971</v>
          </cell>
          <cell r="EX228">
            <v>0.39807464955244048</v>
          </cell>
          <cell r="EY228">
            <v>0.40478615071283097</v>
          </cell>
          <cell r="EZ228">
            <v>0.39299017947849646</v>
          </cell>
          <cell r="FA228">
            <v>0.41575517803118456</v>
          </cell>
          <cell r="FB228">
            <v>0.40421084634971305</v>
          </cell>
          <cell r="FD228">
            <v>0.38628849834696366</v>
          </cell>
          <cell r="FE228">
            <v>0.4148303602658272</v>
          </cell>
          <cell r="FF228">
            <v>0.39486619333697431</v>
          </cell>
          <cell r="FG228">
            <v>0.39349634484497104</v>
          </cell>
          <cell r="FH228">
            <v>0.39703519202956772</v>
          </cell>
          <cell r="FJ228">
            <v>0.37991679273827533</v>
          </cell>
          <cell r="FK228">
            <v>0.41021759697256388</v>
          </cell>
          <cell r="FL228">
            <v>0.3981429897864438</v>
          </cell>
          <cell r="FM228">
            <v>0.41527025324429884</v>
          </cell>
          <cell r="FN228">
            <v>0.40246913580246912</v>
          </cell>
          <cell r="FP228">
            <v>0.3939720129171152</v>
          </cell>
          <cell r="FQ228">
            <v>0.41954126783456747</v>
          </cell>
          <cell r="FR228">
            <v>0.39943090876756182</v>
          </cell>
          <cell r="FS228">
            <v>0.41286733583262791</v>
          </cell>
          <cell r="FT228">
            <v>0.4071111466624005</v>
          </cell>
          <cell r="FU228">
            <v>0.40742873596314427</v>
          </cell>
          <cell r="FV228">
            <v>0.39106809305484802</v>
          </cell>
          <cell r="FW228">
            <v>0.41791547398551943</v>
          </cell>
          <cell r="FX228">
            <v>0.39449854775328891</v>
          </cell>
          <cell r="FY228">
            <v>0.40955983493810177</v>
          </cell>
          <cell r="FZ228">
            <v>0.4039765195985609</v>
          </cell>
          <cell r="GB228">
            <v>0.38840957187042163</v>
          </cell>
          <cell r="GC228">
            <v>0.41892775416802874</v>
          </cell>
          <cell r="GD228">
            <v>0.39599854775328891</v>
          </cell>
          <cell r="GE228">
            <v>0.41337263049654577</v>
          </cell>
          <cell r="GF228">
            <v>0.40525585251062379</v>
          </cell>
          <cell r="GM228" t="str">
            <v>FY12 EPS benefit</v>
          </cell>
          <cell r="GO228">
            <v>0.12479037837661579</v>
          </cell>
        </row>
        <row r="229">
          <cell r="A229" t="str">
            <v>SG&amp;A Expenses</v>
          </cell>
          <cell r="N229">
            <v>4913</v>
          </cell>
          <cell r="O229">
            <v>4922</v>
          </cell>
          <cell r="P229">
            <v>4679</v>
          </cell>
          <cell r="Q229">
            <v>4692</v>
          </cell>
          <cell r="R229">
            <v>4760</v>
          </cell>
          <cell r="S229">
            <v>4912</v>
          </cell>
          <cell r="T229">
            <v>4806</v>
          </cell>
          <cell r="U229">
            <v>4836</v>
          </cell>
          <cell r="V229">
            <v>4837</v>
          </cell>
          <cell r="W229">
            <v>4931</v>
          </cell>
          <cell r="X229">
            <v>6980</v>
          </cell>
          <cell r="Y229">
            <v>8678</v>
          </cell>
          <cell r="Z229">
            <v>8486.7237921820597</v>
          </cell>
          <cell r="AA229">
            <v>8458</v>
          </cell>
          <cell r="AB229">
            <v>8163</v>
          </cell>
          <cell r="AC229">
            <v>8260</v>
          </cell>
          <cell r="AD229">
            <v>8281</v>
          </cell>
          <cell r="AE229">
            <v>8590.9232459556424</v>
          </cell>
          <cell r="AF229">
            <v>9075.3325541519971</v>
          </cell>
          <cell r="AG229">
            <v>9219.9246980410044</v>
          </cell>
          <cell r="AH229">
            <v>9284.8357695452942</v>
          </cell>
          <cell r="AI229">
            <v>9346.7616087729639</v>
          </cell>
          <cell r="AJ229">
            <v>9408.997481208231</v>
          </cell>
          <cell r="AK229">
            <v>9471.5433949313283</v>
          </cell>
          <cell r="AL229">
            <v>9534.3993271807667</v>
          </cell>
          <cell r="AN229" t="str">
            <v>BPS Change</v>
          </cell>
          <cell r="EL229" t="str">
            <v>BPS Change</v>
          </cell>
          <cell r="ER229">
            <v>-139.97738886292632</v>
          </cell>
          <cell r="ES229">
            <v>79.908342056138622</v>
          </cell>
          <cell r="ET229">
            <v>-6.2033726308408088</v>
          </cell>
          <cell r="EU229">
            <v>5.9414249625339144</v>
          </cell>
          <cell r="EV229">
            <v>-11.916206169559906</v>
          </cell>
          <cell r="EX229">
            <v>97.103999740256185</v>
          </cell>
          <cell r="EY229">
            <v>-163.98169554058094</v>
          </cell>
          <cell r="EZ229">
            <v>-101.69861296223215</v>
          </cell>
          <cell r="FA229">
            <v>63.218337796286939</v>
          </cell>
          <cell r="FB229">
            <v>-18.329059676766569</v>
          </cell>
          <cell r="FD229">
            <v>-117.86151205476824</v>
          </cell>
          <cell r="FE229">
            <v>100.4420955299623</v>
          </cell>
          <cell r="FF229">
            <v>18.760138584778542</v>
          </cell>
          <cell r="FG229">
            <v>-222.58833186213522</v>
          </cell>
          <cell r="FH229">
            <v>-71.756543201453297</v>
          </cell>
          <cell r="FJ229">
            <v>-63.717056086883275</v>
          </cell>
          <cell r="FK229">
            <v>-46.127632932633219</v>
          </cell>
          <cell r="FL229">
            <v>32.76796449469488</v>
          </cell>
          <cell r="FM229">
            <v>217.73908399327803</v>
          </cell>
          <cell r="FN229">
            <v>54.339437729014065</v>
          </cell>
          <cell r="FP229">
            <v>140.55220178839866</v>
          </cell>
          <cell r="FQ229">
            <v>93.236708620035856</v>
          </cell>
          <cell r="FR229">
            <v>12.879189811180192</v>
          </cell>
          <cell r="FS229">
            <v>-24.029174116709239</v>
          </cell>
          <cell r="FT229">
            <v>46.420108599313778</v>
          </cell>
          <cell r="FU229">
            <v>0.40834709503077615</v>
          </cell>
          <cell r="FV229">
            <v>-29.03919862267179</v>
          </cell>
          <cell r="FW229">
            <v>-16.257938490480406</v>
          </cell>
          <cell r="FX229">
            <v>-49.323610142729123</v>
          </cell>
          <cell r="FY229">
            <v>-33.075008945261388</v>
          </cell>
          <cell r="FZ229">
            <v>-31.346270638396014</v>
          </cell>
          <cell r="GB229">
            <v>-26.585211844263878</v>
          </cell>
          <cell r="GC229">
            <v>10.122801825093175</v>
          </cell>
          <cell r="GD229">
            <v>15</v>
          </cell>
          <cell r="GE229">
            <v>38.127955584439931</v>
          </cell>
          <cell r="GF229">
            <v>12.793329120628915</v>
          </cell>
          <cell r="GG229" t="str">
            <v>SEE CREDIT INCOME TAB FOR SG&amp;A EXPENSE CALCS</v>
          </cell>
        </row>
        <row r="230">
          <cell r="A230" t="str">
            <v>SG&amp;A Ratio</v>
          </cell>
          <cell r="N230">
            <v>0.33618448063500755</v>
          </cell>
          <cell r="O230">
            <v>0.33182768152093306</v>
          </cell>
          <cell r="P230">
            <v>0.30742444152431014</v>
          </cell>
          <cell r="Q230">
            <v>0.30536934591604298</v>
          </cell>
          <cell r="R230">
            <v>0.29696175681577142</v>
          </cell>
          <cell r="S230">
            <v>0.29522779180189929</v>
          </cell>
          <cell r="T230">
            <v>0.30446626544187522</v>
          </cell>
          <cell r="U230">
            <v>0.31057735534005521</v>
          </cell>
          <cell r="V230">
            <v>0.31384635349078638</v>
          </cell>
          <cell r="W230">
            <v>0.31256338742393508</v>
          </cell>
          <cell r="X230">
            <v>0.311746315319339</v>
          </cell>
          <cell r="Y230">
            <v>0.32176492398961809</v>
          </cell>
          <cell r="Z230">
            <v>0.32252969225029682</v>
          </cell>
          <cell r="AA230">
            <v>0.33978788365739998</v>
          </cell>
          <cell r="AB230">
            <v>0.34149096385542171</v>
          </cell>
          <cell r="AC230">
            <v>0.33036035675718911</v>
          </cell>
          <cell r="AD230">
            <v>0.31361484567316794</v>
          </cell>
          <cell r="AE230">
            <v>0.30726391872029868</v>
          </cell>
          <cell r="AF230">
            <v>0.30526391872029868</v>
          </cell>
          <cell r="AG230">
            <v>0.30426391872029868</v>
          </cell>
          <cell r="AH230">
            <v>0.30326391872029868</v>
          </cell>
          <cell r="AI230">
            <v>0.30226391872029867</v>
          </cell>
          <cell r="AJ230">
            <v>0.30126391872029867</v>
          </cell>
          <cell r="AK230">
            <v>0.30026391872029867</v>
          </cell>
          <cell r="AL230">
            <v>0.29926391872029867</v>
          </cell>
          <cell r="GB230" t="str">
            <v>SEE CREDIT INCOME TAB FOR SG&amp;A FORECASTS</v>
          </cell>
          <cell r="GJ230" t="str">
            <v>Extra Week SG&amp;A $ (incremental)</v>
          </cell>
          <cell r="GK230">
            <v>61.847199600074589</v>
          </cell>
        </row>
        <row r="231">
          <cell r="A231" t="str">
            <v>Y/Y ∆ SG&amp;A Ratio (bps)</v>
          </cell>
          <cell r="O231">
            <v>-43.567991140744944</v>
          </cell>
          <cell r="P231">
            <v>-244.03239996622915</v>
          </cell>
          <cell r="Q231">
            <v>-20.550956082671657</v>
          </cell>
          <cell r="R231">
            <v>-84.075891002715622</v>
          </cell>
          <cell r="S231">
            <v>-17.339650138721296</v>
          </cell>
          <cell r="T231">
            <v>92.384736399759305</v>
          </cell>
          <cell r="U231">
            <v>61.110898981799892</v>
          </cell>
          <cell r="V231">
            <v>32.689981507311728</v>
          </cell>
          <cell r="W231">
            <v>-12.829660668512988</v>
          </cell>
          <cell r="X231">
            <v>-8.170721045960839</v>
          </cell>
          <cell r="Y231">
            <v>100.18608670279094</v>
          </cell>
          <cell r="Z231">
            <v>7.6476826067872761</v>
          </cell>
          <cell r="AA231">
            <v>172.58191407103163</v>
          </cell>
          <cell r="AB231">
            <v>17.030801980217337</v>
          </cell>
          <cell r="AC231">
            <v>-111.30607098232603</v>
          </cell>
          <cell r="AD231">
            <v>-167.45511084021169</v>
          </cell>
          <cell r="AE231">
            <v>-63.509269528692627</v>
          </cell>
          <cell r="AF231">
            <v>-20</v>
          </cell>
          <cell r="AG231">
            <v>-10</v>
          </cell>
          <cell r="AH231">
            <v>-10</v>
          </cell>
          <cell r="AI231">
            <v>-10</v>
          </cell>
          <cell r="AJ231">
            <v>-10</v>
          </cell>
          <cell r="AK231">
            <v>-10</v>
          </cell>
          <cell r="AL231">
            <v>-10</v>
          </cell>
          <cell r="AN231" t="str">
            <v>SG&amp;A Expenses (Total)</v>
          </cell>
          <cell r="EL231" t="str">
            <v>SG&amp;A Expenses (Total)</v>
          </cell>
          <cell r="ER231">
            <v>2154</v>
          </cell>
          <cell r="ES231">
            <v>2117</v>
          </cell>
          <cell r="ET231">
            <v>2094</v>
          </cell>
          <cell r="EU231">
            <v>2313</v>
          </cell>
          <cell r="EV231">
            <v>8678</v>
          </cell>
          <cell r="EX231">
            <v>2113</v>
          </cell>
          <cell r="EY231">
            <v>2038</v>
          </cell>
          <cell r="EZ231">
            <v>2121</v>
          </cell>
          <cell r="FA231">
            <v>2282</v>
          </cell>
          <cell r="FB231">
            <v>8554</v>
          </cell>
          <cell r="FD231">
            <v>2080</v>
          </cell>
          <cell r="FE231">
            <v>2037</v>
          </cell>
          <cell r="FF231">
            <v>2085</v>
          </cell>
          <cell r="FG231">
            <v>2256</v>
          </cell>
          <cell r="FH231">
            <v>8458</v>
          </cell>
          <cell r="FJ231">
            <v>1985</v>
          </cell>
          <cell r="FK231">
            <v>1886</v>
          </cell>
          <cell r="FL231">
            <v>2056</v>
          </cell>
          <cell r="FM231">
            <v>2236</v>
          </cell>
          <cell r="FN231">
            <v>8163</v>
          </cell>
          <cell r="FP231">
            <v>1993</v>
          </cell>
          <cell r="FQ231">
            <v>1953</v>
          </cell>
          <cell r="FR231">
            <v>2069</v>
          </cell>
          <cell r="FS231">
            <v>2245</v>
          </cell>
          <cell r="FT231">
            <v>8260</v>
          </cell>
          <cell r="FU231">
            <v>4314</v>
          </cell>
          <cell r="FV231">
            <v>1973</v>
          </cell>
          <cell r="FW231">
            <v>1976</v>
          </cell>
          <cell r="FX231">
            <v>2018</v>
          </cell>
          <cell r="FY231">
            <v>2314</v>
          </cell>
          <cell r="FZ231">
            <v>8281</v>
          </cell>
          <cell r="GB231">
            <v>1995</v>
          </cell>
          <cell r="GC231">
            <v>2009</v>
          </cell>
          <cell r="GD231">
            <v>2122.0121029772449</v>
          </cell>
          <cell r="GE231">
            <v>2427.3951769090281</v>
          </cell>
          <cell r="GF231">
            <v>8553.4072798862726</v>
          </cell>
          <cell r="GM231" t="str">
            <v>Bull Retail Revenues from extra week</v>
          </cell>
          <cell r="GO231">
            <v>357.39407950202894</v>
          </cell>
        </row>
        <row r="232">
          <cell r="A232" t="str">
            <v>Operating Income</v>
          </cell>
          <cell r="N232">
            <v>663</v>
          </cell>
          <cell r="O232">
            <v>893</v>
          </cell>
          <cell r="P232">
            <v>1341</v>
          </cell>
          <cell r="Q232">
            <v>1455</v>
          </cell>
          <cell r="R232">
            <v>1693</v>
          </cell>
          <cell r="S232">
            <v>1771</v>
          </cell>
          <cell r="T232">
            <v>1376</v>
          </cell>
          <cell r="U232">
            <v>1411</v>
          </cell>
          <cell r="V232">
            <v>1400</v>
          </cell>
          <cell r="W232">
            <v>1499</v>
          </cell>
          <cell r="X232">
            <v>2138</v>
          </cell>
          <cell r="Y232">
            <v>2273</v>
          </cell>
          <cell r="Z232">
            <v>2060.5703683158117</v>
          </cell>
          <cell r="AA232">
            <v>1425</v>
          </cell>
          <cell r="AB232">
            <v>1454</v>
          </cell>
          <cell r="AC232">
            <v>1919</v>
          </cell>
          <cell r="AD232">
            <v>2386</v>
          </cell>
          <cell r="AE232">
            <v>2795.4452245287703</v>
          </cell>
          <cell r="AF232">
            <v>3269.7119758806275</v>
          </cell>
          <cell r="AG232">
            <v>3408.4799467779631</v>
          </cell>
          <cell r="AH232">
            <v>3443.795128625261</v>
          </cell>
          <cell r="AI232">
            <v>3447.31056144373</v>
          </cell>
          <cell r="AJ232">
            <v>3513.01541071063</v>
          </cell>
          <cell r="AK232">
            <v>3579.6896259067216</v>
          </cell>
          <cell r="AL232">
            <v>3647.3460238656644</v>
          </cell>
          <cell r="AN232" t="str">
            <v>SG&amp;A Expense (Ex Pension, Incl. Credit)</v>
          </cell>
          <cell r="EL232" t="str">
            <v>SG&amp;A Expense (Core Operations)</v>
          </cell>
          <cell r="ER232">
            <v>0.36323777403035412</v>
          </cell>
          <cell r="ES232">
            <v>0.35312760633861551</v>
          </cell>
          <cell r="ET232">
            <v>0.35575942915392456</v>
          </cell>
          <cell r="EU232">
            <v>0.25253848673435964</v>
          </cell>
          <cell r="EV232">
            <v>0.32176492398961809</v>
          </cell>
          <cell r="EX232">
            <v>2078</v>
          </cell>
          <cell r="EY232">
            <v>1998</v>
          </cell>
          <cell r="EZ232">
            <v>2082</v>
          </cell>
          <cell r="FA232">
            <v>2243</v>
          </cell>
          <cell r="FB232">
            <v>8401</v>
          </cell>
          <cell r="FD232">
            <v>2033</v>
          </cell>
          <cell r="FE232">
            <v>1976</v>
          </cell>
          <cell r="FF232">
            <v>2023</v>
          </cell>
          <cell r="FG232">
            <v>2215</v>
          </cell>
          <cell r="FH232">
            <v>11928</v>
          </cell>
          <cell r="FJ232">
            <v>1876</v>
          </cell>
          <cell r="FK232">
            <v>1731</v>
          </cell>
          <cell r="FL232">
            <v>1946</v>
          </cell>
          <cell r="FM232">
            <v>2171</v>
          </cell>
          <cell r="FN232">
            <v>7724</v>
          </cell>
          <cell r="FP232">
            <v>1838.25</v>
          </cell>
          <cell r="FQ232">
            <v>1828.25</v>
          </cell>
          <cell r="FR232">
            <v>1944.25</v>
          </cell>
          <cell r="FS232">
            <v>2210.25</v>
          </cell>
          <cell r="FT232">
            <v>7821</v>
          </cell>
          <cell r="FU232">
            <v>1.6254416961130724E-2</v>
          </cell>
          <cell r="FV232">
            <v>1938.25</v>
          </cell>
          <cell r="FW232">
            <v>1938</v>
          </cell>
          <cell r="FX232">
            <v>1980</v>
          </cell>
          <cell r="FY232">
            <v>2275</v>
          </cell>
          <cell r="FZ232">
            <v>8131.25</v>
          </cell>
          <cell r="GB232">
            <v>1944.25</v>
          </cell>
          <cell r="GC232">
            <v>1952</v>
          </cell>
          <cell r="GD232">
            <v>2066.0121029772449</v>
          </cell>
          <cell r="GE232">
            <v>2370.3951769090281</v>
          </cell>
          <cell r="GF232">
            <v>8332.6572798862726</v>
          </cell>
          <cell r="GM232" t="str">
            <v>Bear Retail Revenues from extra week</v>
          </cell>
          <cell r="GO232">
            <v>344.03355316550449</v>
          </cell>
        </row>
        <row r="233">
          <cell r="A233" t="str">
            <v>Operating Margin</v>
          </cell>
          <cell r="N233">
            <v>4.5367455864239771E-2</v>
          </cell>
          <cell r="O233">
            <v>6.0203600080900692E-2</v>
          </cell>
          <cell r="P233">
            <v>8.8107752956636004E-2</v>
          </cell>
          <cell r="Q233">
            <v>9.4695737064757562E-2</v>
          </cell>
          <cell r="R233">
            <v>0.10562106182544138</v>
          </cell>
          <cell r="S233">
            <v>0.10644308210121409</v>
          </cell>
          <cell r="T233">
            <v>8.7171365220145708E-2</v>
          </cell>
          <cell r="U233">
            <v>9.0617172949714206E-2</v>
          </cell>
          <cell r="V233">
            <v>9.0838307812094468E-2</v>
          </cell>
          <cell r="W233">
            <v>9.5017748478701827E-2</v>
          </cell>
          <cell r="X233">
            <v>9.5489057615006701E-2</v>
          </cell>
          <cell r="Y233">
            <v>8.4278828327771602E-2</v>
          </cell>
          <cell r="Z233">
            <v>7.8309974853335296E-2</v>
          </cell>
          <cell r="AA233">
            <v>5.7247308372167766E-2</v>
          </cell>
          <cell r="AB233">
            <v>6.0826639892904953E-2</v>
          </cell>
          <cell r="AC233">
            <v>7.6750789905211378E-2</v>
          </cell>
          <cell r="AD233">
            <v>9.0361673925392919E-2</v>
          </cell>
          <cell r="AE233">
            <v>9.9982205598335316E-2</v>
          </cell>
          <cell r="AF233">
            <v>0.10998220559833537</v>
          </cell>
          <cell r="AG233">
            <v>0.11248220559833534</v>
          </cell>
          <cell r="AH233">
            <v>0.11248220559833533</v>
          </cell>
          <cell r="AI233">
            <v>0.1114822055983353</v>
          </cell>
          <cell r="AJ233">
            <v>0.11248220559833537</v>
          </cell>
          <cell r="AK233">
            <v>0.11348220559833534</v>
          </cell>
          <cell r="AL233">
            <v>0.11448220559833534</v>
          </cell>
          <cell r="AN233" t="str">
            <v>Pension Expense (Benefit)</v>
          </cell>
          <cell r="EL233" t="str">
            <v>Pension Expense (Benefit)</v>
          </cell>
          <cell r="ER233">
            <v>300.87540578005888</v>
          </cell>
          <cell r="ES233">
            <v>202.54296926526084</v>
          </cell>
          <cell r="ET233">
            <v>5.8391160216936244</v>
          </cell>
          <cell r="EU233">
            <v>-178.61680437304796</v>
          </cell>
          <cell r="EV233">
            <v>100.18608670279094</v>
          </cell>
          <cell r="EX233">
            <v>35</v>
          </cell>
          <cell r="EY233">
            <v>40</v>
          </cell>
          <cell r="EZ233">
            <v>39</v>
          </cell>
          <cell r="FA233">
            <v>39</v>
          </cell>
          <cell r="FB233">
            <v>153</v>
          </cell>
          <cell r="FD233">
            <v>38</v>
          </cell>
          <cell r="FE233">
            <v>37</v>
          </cell>
          <cell r="FF233">
            <v>38</v>
          </cell>
          <cell r="FG233">
            <v>17</v>
          </cell>
          <cell r="FH233">
            <v>130</v>
          </cell>
          <cell r="FJ233">
            <v>34</v>
          </cell>
          <cell r="FK233">
            <v>35</v>
          </cell>
          <cell r="FL233">
            <v>35</v>
          </cell>
          <cell r="FM233">
            <v>35</v>
          </cell>
          <cell r="FN233">
            <v>139</v>
          </cell>
          <cell r="FP233">
            <v>34.75</v>
          </cell>
          <cell r="FQ233">
            <v>34.75</v>
          </cell>
          <cell r="FR233">
            <v>34.75</v>
          </cell>
          <cell r="FS233">
            <v>34.75</v>
          </cell>
          <cell r="FT233">
            <v>139</v>
          </cell>
          <cell r="FV233">
            <v>34.75</v>
          </cell>
          <cell r="FW233">
            <v>38</v>
          </cell>
          <cell r="FX233">
            <v>38</v>
          </cell>
          <cell r="FY233">
            <v>39</v>
          </cell>
          <cell r="FZ233">
            <v>149.75</v>
          </cell>
          <cell r="GB233">
            <v>50.75</v>
          </cell>
          <cell r="GC233">
            <v>57</v>
          </cell>
          <cell r="GD233">
            <v>56</v>
          </cell>
          <cell r="GE233">
            <v>57</v>
          </cell>
          <cell r="GF233">
            <v>220.75</v>
          </cell>
        </row>
        <row r="234">
          <cell r="A234" t="str">
            <v>Y/Y ∆ Operating Margin (bps)</v>
          </cell>
          <cell r="O234">
            <v>148.36144216660921</v>
          </cell>
          <cell r="P234">
            <v>279.04152875735315</v>
          </cell>
          <cell r="Q234">
            <v>65.879841081215588</v>
          </cell>
          <cell r="R234">
            <v>109.25324760683822</v>
          </cell>
          <cell r="S234">
            <v>8.22020275772703</v>
          </cell>
          <cell r="T234">
            <v>-192.7171688106838</v>
          </cell>
          <cell r="U234">
            <v>34.45807729568498</v>
          </cell>
          <cell r="V234">
            <v>2.2113486238026225</v>
          </cell>
          <cell r="W234">
            <v>41.794406666073591</v>
          </cell>
          <cell r="X234">
            <v>4.7130913630487328</v>
          </cell>
          <cell r="Y234">
            <v>-112.10229287235099</v>
          </cell>
          <cell r="Z234">
            <v>-59.688534744363061</v>
          </cell>
          <cell r="AA234">
            <v>-210.62666481167531</v>
          </cell>
          <cell r="AB234">
            <v>35.793315207371876</v>
          </cell>
          <cell r="AC234">
            <v>159.24150012306424</v>
          </cell>
          <cell r="AD234">
            <v>136.10884020181541</v>
          </cell>
          <cell r="AE234">
            <v>96.205316729423984</v>
          </cell>
          <cell r="AF234">
            <v>100.00000000000051</v>
          </cell>
          <cell r="AG234">
            <v>24.999999999999744</v>
          </cell>
          <cell r="AH234">
            <v>-1.3877787807814457E-13</v>
          </cell>
          <cell r="AI234">
            <v>-10.000000000000286</v>
          </cell>
          <cell r="AJ234">
            <v>10.000000000000703</v>
          </cell>
          <cell r="AK234">
            <v>9.9999999999997318</v>
          </cell>
          <cell r="AL234">
            <v>10.000000000000009</v>
          </cell>
          <cell r="AN234" t="str">
            <v>SG&amp;A Ratio (Ex Pension, Incl. Credit)</v>
          </cell>
          <cell r="EL234" t="str">
            <v>SG&amp;A Ratio (Core Operations)</v>
          </cell>
          <cell r="EX234">
            <v>0.35095423070427295</v>
          </cell>
          <cell r="EY234">
            <v>0.33910386965376782</v>
          </cell>
          <cell r="EZ234">
            <v>0.35252285811039619</v>
          </cell>
          <cell r="FA234">
            <v>0.26099604375145452</v>
          </cell>
          <cell r="FB234">
            <v>0.31927184281533844</v>
          </cell>
          <cell r="FD234">
            <v>0.35374978249521488</v>
          </cell>
          <cell r="FE234">
            <v>0.34557537600559635</v>
          </cell>
          <cell r="FF234">
            <v>0.3682869106135081</v>
          </cell>
          <cell r="FG234">
            <v>0.27917822031762035</v>
          </cell>
          <cell r="FH234">
            <v>0.47919010123734535</v>
          </cell>
          <cell r="FJ234">
            <v>0.35476550680786689</v>
          </cell>
          <cell r="FK234">
            <v>0.32753074739829707</v>
          </cell>
          <cell r="FL234">
            <v>0.36137418755803158</v>
          </cell>
          <cell r="FM234">
            <v>0.27352904119944565</v>
          </cell>
          <cell r="FN234">
            <v>0.32324754132663736</v>
          </cell>
          <cell r="FP234">
            <v>0.32979009687836386</v>
          </cell>
          <cell r="FQ234">
            <v>0.33018782734332669</v>
          </cell>
          <cell r="FR234">
            <v>0.3457673839587409</v>
          </cell>
          <cell r="FS234">
            <v>0.26729350586527995</v>
          </cell>
          <cell r="FT234">
            <v>0.31280246370435549</v>
          </cell>
          <cell r="FV234">
            <v>0.32913058244184074</v>
          </cell>
          <cell r="FW234">
            <v>0.32631756187910421</v>
          </cell>
          <cell r="FX234">
            <v>0.33828805740645823</v>
          </cell>
          <cell r="FY234">
            <v>0.26077487391104998</v>
          </cell>
          <cell r="FZ234">
            <v>0.30794357129331568</v>
          </cell>
          <cell r="GB234">
            <v>0.31649845352433664</v>
          </cell>
          <cell r="GC234">
            <v>0.31905851585485451</v>
          </cell>
          <cell r="GD234">
            <v>0.34038200374321254</v>
          </cell>
          <cell r="GE234">
            <v>0.25305447615338417</v>
          </cell>
          <cell r="GF234">
            <v>0.30084162211203869</v>
          </cell>
        </row>
        <row r="235">
          <cell r="AN235" t="str">
            <v>Y/Y ∆ SG&amp;A Ratio (bps)</v>
          </cell>
          <cell r="EL235" t="str">
            <v>Y/Y ∆ SG&amp;A Ratio (bps)</v>
          </cell>
          <cell r="FD235">
            <v>27.955517909419303</v>
          </cell>
          <cell r="FE235">
            <v>64.715063518285262</v>
          </cell>
          <cell r="FF235">
            <v>157.64052503111913</v>
          </cell>
          <cell r="FG235">
            <v>181.8217656616583</v>
          </cell>
          <cell r="FH235">
            <v>1599.1825842200692</v>
          </cell>
          <cell r="FJ235">
            <v>10.157243126520111</v>
          </cell>
          <cell r="FK235">
            <v>-180.44628607299273</v>
          </cell>
          <cell r="FL235">
            <v>-69.127230554765219</v>
          </cell>
          <cell r="FM235">
            <v>-56.491791181746962</v>
          </cell>
          <cell r="FN235">
            <v>-1559.42559910708</v>
          </cell>
          <cell r="FP235">
            <v>-249.75409929503033</v>
          </cell>
          <cell r="FQ235">
            <v>26.570799450296168</v>
          </cell>
          <cell r="FR235">
            <v>-156.06803599290674</v>
          </cell>
          <cell r="FS235">
            <v>-62.355353341657093</v>
          </cell>
          <cell r="FT235">
            <v>-104.45077622281862</v>
          </cell>
          <cell r="FV235">
            <v>-6.5951443652312314</v>
          </cell>
          <cell r="FW235">
            <v>-38.702654642224779</v>
          </cell>
          <cell r="FX235">
            <v>-74.793265522826729</v>
          </cell>
          <cell r="FY235">
            <v>-65.186319542299699</v>
          </cell>
          <cell r="FZ235">
            <v>-48.588924110398167</v>
          </cell>
          <cell r="GB235">
            <v>-126.32128917504093</v>
          </cell>
          <cell r="GC235">
            <v>-72.590460242497045</v>
          </cell>
          <cell r="GD235">
            <v>20.939463367543041</v>
          </cell>
          <cell r="GE235">
            <v>-77.20397757665809</v>
          </cell>
          <cell r="GF235">
            <v>-71.0194918127699</v>
          </cell>
        </row>
        <row r="236">
          <cell r="AN236" t="str">
            <v>SG&amp;A Ratio (Including Pension Impact)</v>
          </cell>
          <cell r="EL236" t="str">
            <v>SG&amp;A Ratio (Including Pension Impact)</v>
          </cell>
          <cell r="EX236">
            <v>0.35686539435906095</v>
          </cell>
          <cell r="EY236">
            <v>0.34589273591310249</v>
          </cell>
          <cell r="EZ236">
            <v>0.35912631222485608</v>
          </cell>
          <cell r="FA236">
            <v>0.2655340935536421</v>
          </cell>
          <cell r="FB236">
            <v>0.32508645916467144</v>
          </cell>
          <cell r="FD236">
            <v>0.36192796241517311</v>
          </cell>
          <cell r="FE236">
            <v>0.35624344176285416</v>
          </cell>
          <cell r="FF236">
            <v>0.37957400327689789</v>
          </cell>
          <cell r="FG236">
            <v>0.28434585328963952</v>
          </cell>
          <cell r="FH236">
            <v>0.33978788365739998</v>
          </cell>
          <cell r="FJ236">
            <v>0.37537821482602118</v>
          </cell>
          <cell r="FK236">
            <v>0.35685903500473037</v>
          </cell>
          <cell r="FL236">
            <v>0.38180129990714951</v>
          </cell>
          <cell r="FM236">
            <v>0.28171853345092607</v>
          </cell>
          <cell r="FN236">
            <v>0.34161958568738232</v>
          </cell>
          <cell r="FP236">
            <v>0.35755292429135271</v>
          </cell>
          <cell r="FQ236">
            <v>0.3527180783817952</v>
          </cell>
          <cell r="FR236">
            <v>0.36795304997332384</v>
          </cell>
          <cell r="FS236">
            <v>0.27149594872415045</v>
          </cell>
          <cell r="FT236">
            <v>0.33036035675718911</v>
          </cell>
          <cell r="FU236">
            <v>0.31053843938957676</v>
          </cell>
          <cell r="FV236">
            <v>0.33503141450161317</v>
          </cell>
          <cell r="FW236">
            <v>0.33271594544536115</v>
          </cell>
          <cell r="FX236">
            <v>0.34478045446779432</v>
          </cell>
          <cell r="FY236">
            <v>0.26524530032095367</v>
          </cell>
          <cell r="FZ236">
            <v>0.31361484567316794</v>
          </cell>
          <cell r="GB236">
            <v>0.32475988930489991</v>
          </cell>
          <cell r="GC236">
            <v>0.32837528604118993</v>
          </cell>
          <cell r="GD236">
            <v>0.34960818019307516</v>
          </cell>
          <cell r="GE236">
            <v>0.25913958182743124</v>
          </cell>
          <cell r="GF236">
            <v>0.30881156325452847</v>
          </cell>
          <cell r="GG236" t="str">
            <v>Implied 2012e Margins (ex Extra Week)</v>
          </cell>
          <cell r="GM236" t="str">
            <v>'12 Spring SG&amp;A</v>
          </cell>
          <cell r="GN236">
            <v>4004</v>
          </cell>
        </row>
        <row r="237">
          <cell r="AN237" t="str">
            <v>Y/Y ∆ SG&amp;A Ratio (bps)</v>
          </cell>
          <cell r="EL237" t="str">
            <v>Y/Y ∆ SG&amp;A Ratio (bps)</v>
          </cell>
          <cell r="EX237">
            <v>-63.723796712931716</v>
          </cell>
          <cell r="EY237">
            <v>-72.348704255130187</v>
          </cell>
          <cell r="EZ237">
            <v>33.668830709315259</v>
          </cell>
          <cell r="FA237">
            <v>129.95606819282469</v>
          </cell>
          <cell r="FB237">
            <v>33.215351750533472</v>
          </cell>
          <cell r="FD237">
            <v>50.625680561121598</v>
          </cell>
          <cell r="FE237">
            <v>103.50705849751674</v>
          </cell>
          <cell r="FF237">
            <v>204.47691052041804</v>
          </cell>
          <cell r="FG237">
            <v>188.11759735997413</v>
          </cell>
          <cell r="FH237">
            <v>147.01424492728543</v>
          </cell>
          <cell r="FJ237">
            <v>134.50252410848074</v>
          </cell>
          <cell r="FK237">
            <v>6.1559324187621112</v>
          </cell>
          <cell r="FL237">
            <v>22.272966302516185</v>
          </cell>
          <cell r="FM237">
            <v>-26.273198387134489</v>
          </cell>
          <cell r="FN237">
            <v>18.317020299823405</v>
          </cell>
          <cell r="FP237">
            <v>-178.25290534668468</v>
          </cell>
          <cell r="FQ237">
            <v>-41.409566229351768</v>
          </cell>
          <cell r="FR237">
            <v>-138.48249933825662</v>
          </cell>
          <cell r="FS237">
            <v>-102.22584726775619</v>
          </cell>
          <cell r="FT237">
            <v>-112.5922893019321</v>
          </cell>
          <cell r="FU237">
            <v>0.32217384777060504</v>
          </cell>
          <cell r="FV237">
            <v>-225.21509789739548</v>
          </cell>
          <cell r="FW237">
            <v>-200.02132936434046</v>
          </cell>
          <cell r="FX237">
            <v>-231.72595505529526</v>
          </cell>
          <cell r="FY237">
            <v>-62.506484031967787</v>
          </cell>
          <cell r="FZ237">
            <v>-167.45511084021169</v>
          </cell>
          <cell r="GB237">
            <v>-102.7152519671326</v>
          </cell>
          <cell r="GC237">
            <v>-43.406594041712211</v>
          </cell>
          <cell r="GD237">
            <v>48.277257252808404</v>
          </cell>
          <cell r="GE237">
            <v>-61.057184935224271</v>
          </cell>
          <cell r="GF237">
            <v>-48.032824186394762</v>
          </cell>
          <cell r="GJ237" t="str">
            <v>FY12e Gross Margin (%) (ex extra week)</v>
          </cell>
          <cell r="GK237">
            <v>0.40521348048585426</v>
          </cell>
          <cell r="GM237" t="str">
            <v>'12 Fall SG&amp;A</v>
          </cell>
          <cell r="GN237">
            <v>4549.4072798862726</v>
          </cell>
        </row>
        <row r="238">
          <cell r="FP238">
            <v>-120</v>
          </cell>
          <cell r="FQ238">
            <v>-90</v>
          </cell>
          <cell r="FR238">
            <v>-90</v>
          </cell>
          <cell r="FS238">
            <v>0</v>
          </cell>
          <cell r="GJ238" t="str">
            <v>FY12e Gross Margin ∆ (bps) (ex extra week)</v>
          </cell>
          <cell r="GK238">
            <v>12.36960887293359</v>
          </cell>
          <cell r="GM238" t="str">
            <v>% Change 2H vs. 1H</v>
          </cell>
          <cell r="GN238">
            <v>0.13621560436720093</v>
          </cell>
        </row>
        <row r="239">
          <cell r="AN239" t="str">
            <v>% Breakout of credit deterioration</v>
          </cell>
          <cell r="FD239">
            <v>0.15</v>
          </cell>
          <cell r="FE239">
            <v>0.2</v>
          </cell>
          <cell r="FF239">
            <v>0.3</v>
          </cell>
          <cell r="FG239">
            <v>0.35000000000000009</v>
          </cell>
          <cell r="FH239">
            <v>50</v>
          </cell>
          <cell r="FK239">
            <v>-120</v>
          </cell>
          <cell r="GJ239" t="str">
            <v>Impact from Extra Wk on FY12e Gross Mgn ∆ (bps)</v>
          </cell>
          <cell r="GK239">
            <v>-0.42372024769532501</v>
          </cell>
          <cell r="GM239" t="str">
            <v>'11 Spring SG&amp;A</v>
          </cell>
          <cell r="GN239">
            <v>3949</v>
          </cell>
        </row>
        <row r="240">
          <cell r="A240" t="str">
            <v>Bear Case Assumptions</v>
          </cell>
          <cell r="N240">
            <v>1995</v>
          </cell>
          <cell r="O240">
            <v>1996</v>
          </cell>
          <cell r="P240">
            <v>1997</v>
          </cell>
          <cell r="Q240">
            <v>1998</v>
          </cell>
          <cell r="R240">
            <v>1999</v>
          </cell>
          <cell r="S240">
            <v>2000</v>
          </cell>
          <cell r="T240">
            <v>2001</v>
          </cell>
          <cell r="U240">
            <v>2002</v>
          </cell>
          <cell r="V240">
            <v>2003</v>
          </cell>
          <cell r="W240">
            <v>2004</v>
          </cell>
          <cell r="X240">
            <v>2005</v>
          </cell>
          <cell r="Y240">
            <v>2006</v>
          </cell>
          <cell r="Z240">
            <v>2007</v>
          </cell>
          <cell r="AA240">
            <v>2008</v>
          </cell>
          <cell r="AB240">
            <v>2009</v>
          </cell>
          <cell r="AC240">
            <v>2010</v>
          </cell>
          <cell r="AD240">
            <v>2011</v>
          </cell>
          <cell r="AE240" t="str">
            <v>2012E</v>
          </cell>
          <cell r="AF240" t="str">
            <v>2013E</v>
          </cell>
          <cell r="AG240" t="str">
            <v>2014E</v>
          </cell>
          <cell r="AH240" t="str">
            <v>2015E</v>
          </cell>
          <cell r="AI240" t="str">
            <v>2016E</v>
          </cell>
          <cell r="AJ240" t="str">
            <v>2017E</v>
          </cell>
          <cell r="AK240" t="str">
            <v>2018E</v>
          </cell>
          <cell r="AL240" t="str">
            <v>2019E</v>
          </cell>
          <cell r="AN240" t="str">
            <v>% Breakout of consolidation SG&amp;A saves</v>
          </cell>
          <cell r="FD240">
            <v>0.05</v>
          </cell>
          <cell r="FE240">
            <v>0.15</v>
          </cell>
          <cell r="FF240">
            <v>0.4</v>
          </cell>
          <cell r="FG240">
            <v>0.39999999999999991</v>
          </cell>
          <cell r="FH240">
            <v>-60</v>
          </cell>
          <cell r="FJ240">
            <v>0.25</v>
          </cell>
          <cell r="FK240">
            <v>0.4</v>
          </cell>
          <cell r="FL240">
            <v>0.25</v>
          </cell>
          <cell r="FM240">
            <v>9.9999999999999978E-2</v>
          </cell>
          <cell r="FN240">
            <v>-300</v>
          </cell>
          <cell r="FP240">
            <v>0.4</v>
          </cell>
          <cell r="FQ240">
            <v>0.3</v>
          </cell>
          <cell r="FR240">
            <v>0.3</v>
          </cell>
          <cell r="FS240">
            <v>0</v>
          </cell>
          <cell r="FT240">
            <v>-140</v>
          </cell>
          <cell r="GJ240" t="str">
            <v>FY12e SG&amp;A Ratio Incl. Pension (%) (ex extra week)</v>
          </cell>
          <cell r="GK240">
            <v>0.31051036388580949</v>
          </cell>
          <cell r="GM240" t="str">
            <v>'11 Fall SG&amp;A</v>
          </cell>
          <cell r="GN240">
            <v>4332</v>
          </cell>
        </row>
        <row r="241">
          <cell r="A241" t="str">
            <v>Revenue</v>
          </cell>
          <cell r="N241">
            <v>14614</v>
          </cell>
          <cell r="O241">
            <v>14833</v>
          </cell>
          <cell r="P241">
            <v>15220</v>
          </cell>
          <cell r="Q241">
            <v>15365</v>
          </cell>
          <cell r="R241">
            <v>16029</v>
          </cell>
          <cell r="S241">
            <v>16638</v>
          </cell>
          <cell r="T241">
            <v>15785</v>
          </cell>
          <cell r="U241">
            <v>15571</v>
          </cell>
          <cell r="V241">
            <v>15412</v>
          </cell>
          <cell r="W241">
            <v>15776</v>
          </cell>
          <cell r="X241">
            <v>22390</v>
          </cell>
          <cell r="Y241">
            <v>26970</v>
          </cell>
          <cell r="Z241">
            <v>26313</v>
          </cell>
          <cell r="AA241">
            <v>24892</v>
          </cell>
          <cell r="AB241">
            <v>23904</v>
          </cell>
          <cell r="AC241">
            <v>25003</v>
          </cell>
          <cell r="AD241">
            <v>26405</v>
          </cell>
          <cell r="AE241">
            <v>27436.213752617372</v>
          </cell>
          <cell r="AF241">
            <v>27415.922360651821</v>
          </cell>
          <cell r="AG241">
            <v>27944.266088353088</v>
          </cell>
          <cell r="AH241">
            <v>28233.795982590062</v>
          </cell>
          <cell r="AI241">
            <v>28516.133942415963</v>
          </cell>
          <cell r="AJ241">
            <v>28801.295281840125</v>
          </cell>
          <cell r="AK241">
            <v>29089.308234658525</v>
          </cell>
          <cell r="AL241">
            <v>29380.20131700511</v>
          </cell>
          <cell r="AN241" t="str">
            <v>% Breakout of pre-tax charges assoc. with consolidation</v>
          </cell>
          <cell r="FD241">
            <v>0.57999999999999996</v>
          </cell>
          <cell r="FE241">
            <v>0.17333333333333334</v>
          </cell>
          <cell r="FF241">
            <v>0.10666666666666667</v>
          </cell>
          <cell r="FG241">
            <v>0.14000000000000001</v>
          </cell>
          <cell r="FH241">
            <v>150</v>
          </cell>
          <cell r="FJ241">
            <v>0.34499999999999997</v>
          </cell>
          <cell r="FK241">
            <v>8.5000000000000006E-2</v>
          </cell>
          <cell r="FL241">
            <v>8.2500000000000004E-2</v>
          </cell>
          <cell r="FM241">
            <v>0.48750000000000004</v>
          </cell>
          <cell r="FN241">
            <v>400</v>
          </cell>
          <cell r="FP241">
            <v>0</v>
          </cell>
          <cell r="FQ241">
            <v>0</v>
          </cell>
          <cell r="FR241">
            <v>0</v>
          </cell>
          <cell r="FS241">
            <v>1</v>
          </cell>
          <cell r="FT241">
            <v>0</v>
          </cell>
          <cell r="GF241" t="str">
            <v xml:space="preserve"> </v>
          </cell>
          <cell r="GJ241" t="str">
            <v>FY12e SG&amp;A Ratio Incl. Pension ∆ (bps) (ex extra wk)</v>
          </cell>
          <cell r="GK241">
            <v>-31.044817873584485</v>
          </cell>
          <cell r="GM241" t="str">
            <v>Y/Y $ Change</v>
          </cell>
          <cell r="GN241">
            <v>159</v>
          </cell>
        </row>
        <row r="242">
          <cell r="A242" t="str">
            <v xml:space="preserve"> % Same-store</v>
          </cell>
          <cell r="N242">
            <v>2.7E-2</v>
          </cell>
          <cell r="O242">
            <v>3.1E-2</v>
          </cell>
          <cell r="P242">
            <v>2.7E-2</v>
          </cell>
          <cell r="Q242">
            <v>2.1999999999999999E-2</v>
          </cell>
          <cell r="R242">
            <v>4.4999999999999998E-2</v>
          </cell>
          <cell r="S242">
            <v>0.02</v>
          </cell>
          <cell r="T242">
            <v>-5.2999999999999999E-2</v>
          </cell>
          <cell r="U242">
            <v>-0.03</v>
          </cell>
          <cell r="V242">
            <v>-9.0000000000000011E-3</v>
          </cell>
          <cell r="W242">
            <v>2.5999999999999999E-2</v>
          </cell>
          <cell r="X242">
            <v>1.2999999999999999E-2</v>
          </cell>
          <cell r="Y242">
            <v>4.3999999999999997E-2</v>
          </cell>
          <cell r="Z242">
            <v>-1.2799528750047504E-2</v>
          </cell>
          <cell r="AA242">
            <v>-4.4999999999999998E-2</v>
          </cell>
          <cell r="AB242">
            <v>-5.0968425652024113E-2</v>
          </cell>
          <cell r="AC242">
            <v>4.610434747830261E-2</v>
          </cell>
          <cell r="AD242">
            <v>5.2999999999999999E-2</v>
          </cell>
          <cell r="AE242">
            <v>3.0470716044687752E-2</v>
          </cell>
          <cell r="AF242">
            <v>1.0000000000000002E-2</v>
          </cell>
          <cell r="AG242">
            <v>0.02</v>
          </cell>
          <cell r="AH242">
            <v>0.01</v>
          </cell>
          <cell r="AI242">
            <v>0.01</v>
          </cell>
          <cell r="AJ242">
            <v>0.01</v>
          </cell>
          <cell r="AK242">
            <v>0.01</v>
          </cell>
          <cell r="AL242">
            <v>0.01</v>
          </cell>
          <cell r="GJ242" t="str">
            <v>Impact from Extra Wk on FY12e SG&amp;A Ratio ∆ (bps)</v>
          </cell>
          <cell r="GK242">
            <v>-16.988006312810278</v>
          </cell>
          <cell r="GN242">
            <v>217.40727988627259</v>
          </cell>
        </row>
        <row r="243">
          <cell r="A243" t="str">
            <v>CGS, OCC, Buying Costs</v>
          </cell>
          <cell r="N243">
            <v>9038</v>
          </cell>
          <cell r="O243">
            <v>9018</v>
          </cell>
          <cell r="P243">
            <v>9200</v>
          </cell>
          <cell r="Q243">
            <v>9218</v>
          </cell>
          <cell r="R243">
            <v>9576</v>
          </cell>
          <cell r="S243">
            <v>9955</v>
          </cell>
          <cell r="T243">
            <v>9603</v>
          </cell>
          <cell r="U243">
            <v>9324</v>
          </cell>
          <cell r="V243">
            <v>9175</v>
          </cell>
          <cell r="W243">
            <v>9346</v>
          </cell>
          <cell r="X243">
            <v>13272</v>
          </cell>
          <cell r="Y243">
            <v>16019</v>
          </cell>
          <cell r="Z243">
            <v>15782.893839502129</v>
          </cell>
          <cell r="AA243">
            <v>15009</v>
          </cell>
          <cell r="AB243">
            <v>14278</v>
          </cell>
          <cell r="AC243">
            <v>14824</v>
          </cell>
          <cell r="AD243">
            <v>15738</v>
          </cell>
          <cell r="AE243">
            <v>16371.343170905468</v>
          </cell>
          <cell r="AF243">
            <v>16386.651105470184</v>
          </cell>
          <cell r="AG243">
            <v>16660.528726167173</v>
          </cell>
          <cell r="AH243">
            <v>16861.381874712744</v>
          </cell>
          <cell r="AI243">
            <v>17087.027961344706</v>
          </cell>
          <cell r="AJ243">
            <v>17257.898240958151</v>
          </cell>
          <cell r="AK243">
            <v>17430.477223367736</v>
          </cell>
          <cell r="AL243">
            <v>17604.781995601414</v>
          </cell>
        </row>
        <row r="244">
          <cell r="A244" t="str">
            <v>CGS, OCC, Buying Costs %</v>
          </cell>
          <cell r="N244">
            <v>0.61844806350075265</v>
          </cell>
          <cell r="O244">
            <v>0.60796871839816624</v>
          </cell>
          <cell r="P244">
            <v>0.60446780551905388</v>
          </cell>
          <cell r="Q244">
            <v>0.59993491701919943</v>
          </cell>
          <cell r="R244">
            <v>0.59741718135878719</v>
          </cell>
          <cell r="S244">
            <v>0.5983291260968866</v>
          </cell>
          <cell r="T244">
            <v>0.60836236933797905</v>
          </cell>
          <cell r="U244">
            <v>0.59880547171023057</v>
          </cell>
          <cell r="V244">
            <v>0.59531533869711917</v>
          </cell>
          <cell r="W244">
            <v>0.59241886409736311</v>
          </cell>
          <cell r="X244">
            <v>0.59276462706565436</v>
          </cell>
          <cell r="Y244">
            <v>0.59395624768261035</v>
          </cell>
          <cell r="Z244">
            <v>0.59981354613697135</v>
          </cell>
          <cell r="AA244">
            <v>0.60296480797043228</v>
          </cell>
          <cell r="AB244">
            <v>0.59730589022757696</v>
          </cell>
          <cell r="AC244">
            <v>0.59288885333759944</v>
          </cell>
          <cell r="AD244">
            <v>0.59602348040143915</v>
          </cell>
          <cell r="AE244">
            <v>0.59670562849962006</v>
          </cell>
          <cell r="AF244">
            <v>0.59770562849962006</v>
          </cell>
          <cell r="AG244">
            <v>0.59620562849962011</v>
          </cell>
          <cell r="AH244">
            <v>0.59720562849962</v>
          </cell>
          <cell r="AI244">
            <v>0.59920562849962</v>
          </cell>
          <cell r="AJ244">
            <v>0.59920562849962</v>
          </cell>
          <cell r="AK244">
            <v>0.59920562849962011</v>
          </cell>
          <cell r="AL244">
            <v>0.59920562849962011</v>
          </cell>
          <cell r="AN244" t="str">
            <v>Operating Margin</v>
          </cell>
          <cell r="EL244" t="str">
            <v>Operating Margin</v>
          </cell>
          <cell r="ER244">
            <v>149</v>
          </cell>
          <cell r="ES244">
            <v>408</v>
          </cell>
          <cell r="ET244">
            <v>279</v>
          </cell>
          <cell r="EU244">
            <v>1437</v>
          </cell>
          <cell r="EV244">
            <v>2273</v>
          </cell>
          <cell r="EX244">
            <v>244</v>
          </cell>
          <cell r="EY244">
            <v>347</v>
          </cell>
          <cell r="EZ244">
            <v>200</v>
          </cell>
          <cell r="FA244">
            <v>1291</v>
          </cell>
          <cell r="FB244">
            <v>2082</v>
          </cell>
          <cell r="FD244">
            <v>140</v>
          </cell>
          <cell r="FE244">
            <v>335</v>
          </cell>
          <cell r="FF244">
            <v>84</v>
          </cell>
          <cell r="FG244">
            <v>866</v>
          </cell>
          <cell r="FH244">
            <v>1425</v>
          </cell>
          <cell r="FJ244">
            <v>24</v>
          </cell>
          <cell r="FK244">
            <v>282</v>
          </cell>
          <cell r="FL244">
            <v>88</v>
          </cell>
          <cell r="FM244">
            <v>1060</v>
          </cell>
          <cell r="FN244">
            <v>1454</v>
          </cell>
          <cell r="FP244">
            <v>203</v>
          </cell>
          <cell r="FQ244">
            <v>370</v>
          </cell>
          <cell r="FR244">
            <v>177</v>
          </cell>
          <cell r="FS244">
            <v>1169</v>
          </cell>
          <cell r="FT244">
            <v>1919</v>
          </cell>
          <cell r="FV244">
            <v>330</v>
          </cell>
          <cell r="FW244">
            <v>506</v>
          </cell>
          <cell r="FX244">
            <v>291</v>
          </cell>
          <cell r="FY244">
            <v>1259</v>
          </cell>
          <cell r="FZ244">
            <v>2386</v>
          </cell>
          <cell r="GB244">
            <v>391</v>
          </cell>
          <cell r="GC244">
            <v>554</v>
          </cell>
          <cell r="GD244">
            <v>281.57499452664797</v>
          </cell>
          <cell r="GE244">
            <v>1444.7216277006182</v>
          </cell>
          <cell r="GF244">
            <v>2671.2966222272662</v>
          </cell>
        </row>
        <row r="245">
          <cell r="A245" t="str">
            <v>Y/Y ∆ CGS, OCC, Buying Costs % (bps)</v>
          </cell>
          <cell r="O245">
            <v>-104.79345102586413</v>
          </cell>
          <cell r="P245">
            <v>-35.009128791123615</v>
          </cell>
          <cell r="Q245">
            <v>-45.328884998544481</v>
          </cell>
          <cell r="R245">
            <v>-25.177356604122458</v>
          </cell>
          <cell r="S245">
            <v>9.1194473809941279</v>
          </cell>
          <cell r="T245">
            <v>100.33243241092448</v>
          </cell>
          <cell r="U245">
            <v>-95.568976277484722</v>
          </cell>
          <cell r="V245">
            <v>-34.901330131114072</v>
          </cell>
          <cell r="W245">
            <v>-28.964745997560605</v>
          </cell>
          <cell r="X245">
            <v>3.4576296829125219</v>
          </cell>
          <cell r="Y245">
            <v>11.916206169559906</v>
          </cell>
          <cell r="Z245">
            <v>58.57298454361004</v>
          </cell>
          <cell r="AA245">
            <v>31.512618334609279</v>
          </cell>
          <cell r="AB245">
            <v>-56.589177428553185</v>
          </cell>
          <cell r="AC245">
            <v>-44.170368899775212</v>
          </cell>
          <cell r="AD245">
            <v>31.346270638397122</v>
          </cell>
          <cell r="AE245">
            <v>6.8214809818090139</v>
          </cell>
          <cell r="AF245">
            <v>10.000000000000009</v>
          </cell>
          <cell r="AG245">
            <v>-14.999999999999458</v>
          </cell>
          <cell r="AH245">
            <v>9.9999999999988987</v>
          </cell>
          <cell r="AI245">
            <v>20.000000000000018</v>
          </cell>
          <cell r="AJ245">
            <v>0</v>
          </cell>
          <cell r="AK245">
            <v>1.1102230246251565E-12</v>
          </cell>
          <cell r="AL245">
            <v>0</v>
          </cell>
          <cell r="AN245" t="str">
            <v>BPS Change</v>
          </cell>
          <cell r="EL245" t="str">
            <v>BPS Change</v>
          </cell>
          <cell r="ER245">
            <v>2.5126475548060707E-2</v>
          </cell>
          <cell r="ES245">
            <v>6.805671392827356E-2</v>
          </cell>
          <cell r="ET245">
            <v>4.7400611620795105E-2</v>
          </cell>
          <cell r="EU245">
            <v>0.1568948575171962</v>
          </cell>
          <cell r="EV245">
            <v>8.4278828327771602E-2</v>
          </cell>
          <cell r="EX245">
            <v>4.12092551933795E-2</v>
          </cell>
          <cell r="EY245">
            <v>5.8893414799728448E-2</v>
          </cell>
          <cell r="EZ245">
            <v>3.3863867253640365E-2</v>
          </cell>
          <cell r="FA245">
            <v>0.15022108447754248</v>
          </cell>
          <cell r="FB245">
            <v>7.9124387185041611E-2</v>
          </cell>
          <cell r="FD245">
            <v>2.4360535931790498E-2</v>
          </cell>
          <cell r="FE245">
            <v>5.8586918502973068E-2</v>
          </cell>
          <cell r="FF245">
            <v>1.5292190060076462E-2</v>
          </cell>
          <cell r="FG245">
            <v>0.10915049155533149</v>
          </cell>
          <cell r="FH245">
            <v>5.7247308372167766E-2</v>
          </cell>
          <cell r="FJ245">
            <v>4.5385779122541605E-3</v>
          </cell>
          <cell r="FK245">
            <v>5.3358561967833493E-2</v>
          </cell>
          <cell r="FL245">
            <v>1.6341689879294335E-2</v>
          </cell>
          <cell r="FM245">
            <v>0.1335517197933728</v>
          </cell>
          <cell r="FN245">
            <v>6.0849550115086838E-2</v>
          </cell>
          <cell r="FP245">
            <v>3.6419088625762472E-2</v>
          </cell>
          <cell r="FQ245">
            <v>6.6823189452772255E-2</v>
          </cell>
          <cell r="FR245">
            <v>3.1477858794237951E-2</v>
          </cell>
          <cell r="FS245">
            <v>0.14137138710847744</v>
          </cell>
          <cell r="FT245">
            <v>7.6750789905211378E-2</v>
          </cell>
          <cell r="FV245">
            <v>5.6036678553234846E-2</v>
          </cell>
          <cell r="FW245">
            <v>8.5199528540158276E-2</v>
          </cell>
          <cell r="FX245">
            <v>4.9718093285494619E-2</v>
          </cell>
          <cell r="FY245">
            <v>0.1443145346171481</v>
          </cell>
          <cell r="FZ245">
            <v>9.0361673925392919E-2</v>
          </cell>
          <cell r="GB245">
            <v>6.3649682565521726E-2</v>
          </cell>
          <cell r="GC245">
            <v>9.0552468126838842E-2</v>
          </cell>
          <cell r="GD245">
            <v>4.6390367560213731E-2</v>
          </cell>
          <cell r="GE245">
            <v>0.15423304866911453</v>
          </cell>
          <cell r="GF245">
            <v>9.644428925609537E-2</v>
          </cell>
        </row>
        <row r="246">
          <cell r="A246" t="str">
            <v>Gross Income</v>
          </cell>
          <cell r="N246">
            <v>5576</v>
          </cell>
          <cell r="O246">
            <v>5815</v>
          </cell>
          <cell r="P246">
            <v>6020</v>
          </cell>
          <cell r="Q246">
            <v>6147</v>
          </cell>
          <cell r="R246">
            <v>6453</v>
          </cell>
          <cell r="S246">
            <v>6683</v>
          </cell>
          <cell r="T246">
            <v>6182</v>
          </cell>
          <cell r="U246">
            <v>6247</v>
          </cell>
          <cell r="V246">
            <v>6237</v>
          </cell>
          <cell r="W246">
            <v>6430</v>
          </cell>
          <cell r="X246">
            <v>9118</v>
          </cell>
          <cell r="Y246">
            <v>10951</v>
          </cell>
          <cell r="Z246">
            <v>10530.106160497871</v>
          </cell>
          <cell r="AA246">
            <v>9883</v>
          </cell>
          <cell r="AB246">
            <v>9626</v>
          </cell>
          <cell r="AC246">
            <v>10179</v>
          </cell>
          <cell r="AD246">
            <v>10667</v>
          </cell>
          <cell r="AE246">
            <v>11064.870581711904</v>
          </cell>
          <cell r="AF246">
            <v>11029.271255181637</v>
          </cell>
          <cell r="AG246">
            <v>11283.737362185915</v>
          </cell>
          <cell r="AH246">
            <v>11372.414107877315</v>
          </cell>
          <cell r="AI246">
            <v>11429.105981071258</v>
          </cell>
          <cell r="AJ246">
            <v>11543.397040881971</v>
          </cell>
          <cell r="AK246">
            <v>11658.831011290791</v>
          </cell>
          <cell r="AL246">
            <v>11775.419321403699</v>
          </cell>
        </row>
        <row r="247">
          <cell r="A247" t="str">
            <v>Gross Margin</v>
          </cell>
          <cell r="N247">
            <v>0.38155193649924729</v>
          </cell>
          <cell r="O247">
            <v>0.39203128160183376</v>
          </cell>
          <cell r="P247">
            <v>0.39553219448094612</v>
          </cell>
          <cell r="Q247">
            <v>0.40006508298080051</v>
          </cell>
          <cell r="R247">
            <v>0.40258281864121281</v>
          </cell>
          <cell r="S247">
            <v>0.40167087390311335</v>
          </cell>
          <cell r="T247">
            <v>0.3916376306620209</v>
          </cell>
          <cell r="U247">
            <v>0.40119452828976943</v>
          </cell>
          <cell r="V247">
            <v>0.40468466130288089</v>
          </cell>
          <cell r="W247">
            <v>0.40758113590263689</v>
          </cell>
          <cell r="X247">
            <v>0.4072353729343457</v>
          </cell>
          <cell r="Y247">
            <v>0.40604375231738971</v>
          </cell>
          <cell r="Z247">
            <v>0.40018645386302859</v>
          </cell>
          <cell r="AA247">
            <v>0.39703519202956772</v>
          </cell>
          <cell r="AB247">
            <v>0.40269410977242304</v>
          </cell>
          <cell r="AC247">
            <v>0.4071111466624005</v>
          </cell>
          <cell r="AD247">
            <v>0.4039765195985609</v>
          </cell>
          <cell r="AE247">
            <v>0.40329437150037994</v>
          </cell>
          <cell r="AF247">
            <v>0.40229437150037994</v>
          </cell>
          <cell r="AG247">
            <v>0.40379437150037994</v>
          </cell>
          <cell r="AH247">
            <v>0.40279437150037994</v>
          </cell>
          <cell r="AI247">
            <v>0.40079437150037994</v>
          </cell>
          <cell r="AJ247">
            <v>0.40079437150037994</v>
          </cell>
          <cell r="AK247">
            <v>0.40079437150037994</v>
          </cell>
          <cell r="AL247">
            <v>0.40079437150037994</v>
          </cell>
        </row>
        <row r="248">
          <cell r="A248" t="str">
            <v>Y/Y ∆ Gross Margin (bps)</v>
          </cell>
          <cell r="O248">
            <v>104.79345102586468</v>
          </cell>
          <cell r="P248">
            <v>35.009128791123615</v>
          </cell>
          <cell r="Q248">
            <v>45.328884998543927</v>
          </cell>
          <cell r="R248">
            <v>25.177356604123013</v>
          </cell>
          <cell r="S248">
            <v>-9.1194473809946821</v>
          </cell>
          <cell r="T248">
            <v>-100.33243241092448</v>
          </cell>
          <cell r="U248">
            <v>95.568976277485291</v>
          </cell>
          <cell r="V248">
            <v>34.901330131114626</v>
          </cell>
          <cell r="W248">
            <v>28.964745997560048</v>
          </cell>
          <cell r="X248">
            <v>-3.4576296829119668</v>
          </cell>
          <cell r="Y248">
            <v>-11.916206169559906</v>
          </cell>
          <cell r="Z248">
            <v>-58.572984543611149</v>
          </cell>
          <cell r="AA248">
            <v>-31.512618334608721</v>
          </cell>
          <cell r="AB248">
            <v>56.589177428553185</v>
          </cell>
          <cell r="AC248">
            <v>44.170368899774658</v>
          </cell>
          <cell r="AD248">
            <v>-31.346270638396014</v>
          </cell>
          <cell r="AE248">
            <v>-6.821480981809569</v>
          </cell>
          <cell r="AF248">
            <v>-10</v>
          </cell>
          <cell r="AG248">
            <v>15</v>
          </cell>
          <cell r="AH248">
            <v>-10</v>
          </cell>
          <cell r="AI248">
            <v>-20</v>
          </cell>
          <cell r="AJ248">
            <v>0</v>
          </cell>
          <cell r="AK248">
            <v>0</v>
          </cell>
          <cell r="AL248">
            <v>0</v>
          </cell>
          <cell r="AN248" t="str">
            <v>Bull Case Assumptions</v>
          </cell>
          <cell r="EL248" t="str">
            <v>Bull Case Assumptions</v>
          </cell>
        </row>
        <row r="249">
          <cell r="A249" t="str">
            <v>SG&amp;A Expenses</v>
          </cell>
          <cell r="N249">
            <v>4913</v>
          </cell>
          <cell r="O249">
            <v>4922</v>
          </cell>
          <cell r="P249">
            <v>4679</v>
          </cell>
          <cell r="Q249">
            <v>4692</v>
          </cell>
          <cell r="R249">
            <v>4760</v>
          </cell>
          <cell r="S249">
            <v>4912</v>
          </cell>
          <cell r="T249">
            <v>4806</v>
          </cell>
          <cell r="U249">
            <v>4836</v>
          </cell>
          <cell r="V249">
            <v>4837</v>
          </cell>
          <cell r="W249">
            <v>4931</v>
          </cell>
          <cell r="X249">
            <v>6980</v>
          </cell>
          <cell r="Y249">
            <v>8678</v>
          </cell>
          <cell r="Z249">
            <v>8523.9117921820616</v>
          </cell>
          <cell r="AA249">
            <v>8458</v>
          </cell>
          <cell r="AB249">
            <v>8163</v>
          </cell>
          <cell r="AC249">
            <v>8260</v>
          </cell>
          <cell r="AD249">
            <v>8281</v>
          </cell>
          <cell r="AE249">
            <v>8516.1531222989761</v>
          </cell>
          <cell r="AF249">
            <v>8646.9343212599488</v>
          </cell>
          <cell r="AG249">
            <v>8785.6287497368903</v>
          </cell>
          <cell r="AH249">
            <v>8848.4226499075667</v>
          </cell>
          <cell r="AI249">
            <v>8908.3907424642257</v>
          </cell>
          <cell r="AJ249">
            <v>8968.67335460703</v>
          </cell>
          <cell r="AK249">
            <v>9029.2707799184409</v>
          </cell>
          <cell r="AL249">
            <v>9090.1832864006192</v>
          </cell>
          <cell r="AN249" t="str">
            <v>Consolidated Stores Monthly Sales ($)</v>
          </cell>
          <cell r="EL249" t="str">
            <v>Consolidated Stores Monthly Sales ($)</v>
          </cell>
          <cell r="EU249">
            <v>356</v>
          </cell>
        </row>
        <row r="250">
          <cell r="A250" t="str">
            <v>SG&amp;A Ratio</v>
          </cell>
          <cell r="N250">
            <v>0.33618448063500755</v>
          </cell>
          <cell r="O250">
            <v>0.33182768152093306</v>
          </cell>
          <cell r="P250">
            <v>0.30742444152431014</v>
          </cell>
          <cell r="Q250">
            <v>0.30536934591604298</v>
          </cell>
          <cell r="R250">
            <v>0.29696175681577142</v>
          </cell>
          <cell r="S250">
            <v>0.29522779180189929</v>
          </cell>
          <cell r="T250">
            <v>0.30446626544187522</v>
          </cell>
          <cell r="U250">
            <v>0.31057735534005521</v>
          </cell>
          <cell r="V250">
            <v>0.31384635349078638</v>
          </cell>
          <cell r="W250">
            <v>0.31256338742393508</v>
          </cell>
          <cell r="X250">
            <v>0.311746315319339</v>
          </cell>
          <cell r="Y250">
            <v>0.32176492398961809</v>
          </cell>
          <cell r="Z250">
            <v>0.32394298605944066</v>
          </cell>
          <cell r="AA250">
            <v>0.33978788365739998</v>
          </cell>
          <cell r="AB250">
            <v>0.34149096385542171</v>
          </cell>
          <cell r="AC250">
            <v>0.33036035675718911</v>
          </cell>
          <cell r="AD250">
            <v>0.31361484567316794</v>
          </cell>
          <cell r="AE250">
            <v>0.31039826410036436</v>
          </cell>
          <cell r="AF250">
            <v>0.31539826410036437</v>
          </cell>
          <cell r="AG250">
            <v>0.31439826410036437</v>
          </cell>
          <cell r="AH250">
            <v>0.31339826410036437</v>
          </cell>
          <cell r="AI250">
            <v>0.31239826410036436</v>
          </cell>
          <cell r="AJ250">
            <v>0.31139826410036436</v>
          </cell>
          <cell r="AK250">
            <v>0.31039826410036436</v>
          </cell>
          <cell r="AL250">
            <v>0.30939826410036436</v>
          </cell>
          <cell r="AN250" t="str">
            <v>Month 1</v>
          </cell>
          <cell r="EL250" t="str">
            <v>Month 1</v>
          </cell>
          <cell r="ER250">
            <v>1800</v>
          </cell>
          <cell r="ES250">
            <v>2026</v>
          </cell>
          <cell r="ET250">
            <v>1727</v>
          </cell>
          <cell r="EU250">
            <v>2385</v>
          </cell>
          <cell r="EX250">
            <v>1802</v>
          </cell>
          <cell r="EY250">
            <v>1976</v>
          </cell>
          <cell r="EZ250">
            <v>1788</v>
          </cell>
          <cell r="FA250">
            <v>2707</v>
          </cell>
          <cell r="FD250">
            <v>1737</v>
          </cell>
          <cell r="FE250">
            <v>1926</v>
          </cell>
          <cell r="FF250">
            <v>1686</v>
          </cell>
          <cell r="FG250">
            <v>2324</v>
          </cell>
          <cell r="FJ250">
            <v>1602.5975291456411</v>
          </cell>
          <cell r="FK250">
            <v>1783.7565582371458</v>
          </cell>
          <cell r="FL250">
            <v>1576.1490988530857</v>
          </cell>
          <cell r="FM250">
            <v>2202.7766574237457</v>
          </cell>
          <cell r="FP250">
            <v>1667</v>
          </cell>
          <cell r="FQ250">
            <v>1789</v>
          </cell>
          <cell r="FR250">
            <v>1638</v>
          </cell>
          <cell r="FS250">
            <v>2341</v>
          </cell>
          <cell r="FV250">
            <v>1763</v>
          </cell>
          <cell r="FW250">
            <v>1937</v>
          </cell>
          <cell r="FX250">
            <v>1714</v>
          </cell>
          <cell r="FY250">
            <v>2465</v>
          </cell>
          <cell r="GB250">
            <v>1860</v>
          </cell>
          <cell r="GC250">
            <v>2015</v>
          </cell>
          <cell r="GD250">
            <v>1812</v>
          </cell>
          <cell r="GE250">
            <v>2588.4099701374939</v>
          </cell>
        </row>
        <row r="251">
          <cell r="A251" t="str">
            <v>Y/Y ∆ SG&amp;A Ratio (bps)</v>
          </cell>
          <cell r="O251">
            <v>-43.567991140744944</v>
          </cell>
          <cell r="P251">
            <v>-244.03239996622915</v>
          </cell>
          <cell r="Q251">
            <v>-20.550956082671657</v>
          </cell>
          <cell r="R251">
            <v>-84.075891002715622</v>
          </cell>
          <cell r="S251">
            <v>-17.339650138721296</v>
          </cell>
          <cell r="T251">
            <v>92.384736399759305</v>
          </cell>
          <cell r="U251">
            <v>61.110898981799892</v>
          </cell>
          <cell r="V251">
            <v>32.689981507311728</v>
          </cell>
          <cell r="W251">
            <v>-12.829660668512988</v>
          </cell>
          <cell r="X251">
            <v>-8.170721045960839</v>
          </cell>
          <cell r="Y251">
            <v>100.18608670279094</v>
          </cell>
          <cell r="Z251">
            <v>21.780620698225729</v>
          </cell>
          <cell r="AA251">
            <v>158.44897597959317</v>
          </cell>
          <cell r="AB251">
            <v>17.030801980217337</v>
          </cell>
          <cell r="AC251">
            <v>-111.30607098232603</v>
          </cell>
          <cell r="AD251">
            <v>-167.45511084021169</v>
          </cell>
          <cell r="AE251">
            <v>-32.165815728035781</v>
          </cell>
          <cell r="AF251">
            <v>50</v>
          </cell>
          <cell r="AG251">
            <v>-10</v>
          </cell>
          <cell r="AH251">
            <v>-10</v>
          </cell>
          <cell r="AI251">
            <v>-10</v>
          </cell>
          <cell r="AJ251">
            <v>-10</v>
          </cell>
          <cell r="AK251">
            <v>-10</v>
          </cell>
          <cell r="AL251">
            <v>-10</v>
          </cell>
          <cell r="AN251" t="str">
            <v>Month 2</v>
          </cell>
          <cell r="EL251" t="str">
            <v>Month 2</v>
          </cell>
          <cell r="ER251">
            <v>2255</v>
          </cell>
          <cell r="ES251">
            <v>2367</v>
          </cell>
          <cell r="ET251">
            <v>2303</v>
          </cell>
          <cell r="EU251">
            <v>4997</v>
          </cell>
          <cell r="EX251">
            <v>2288</v>
          </cell>
          <cell r="EY251">
            <v>2321</v>
          </cell>
          <cell r="EZ251">
            <v>2274</v>
          </cell>
          <cell r="FA251">
            <v>4624</v>
          </cell>
          <cell r="FD251">
            <v>2142</v>
          </cell>
          <cell r="FE251">
            <v>2249</v>
          </cell>
          <cell r="FF251">
            <v>2093</v>
          </cell>
          <cell r="FG251">
            <v>4397</v>
          </cell>
          <cell r="FJ251">
            <v>1963.7990255785628</v>
          </cell>
          <cell r="FK251">
            <v>2092.5916404337181</v>
          </cell>
          <cell r="FL251">
            <v>2084.1512834516657</v>
          </cell>
          <cell r="FM251">
            <v>4474.7693471136881</v>
          </cell>
          <cell r="FP251">
            <v>2172</v>
          </cell>
          <cell r="FQ251">
            <v>2229</v>
          </cell>
          <cell r="FR251">
            <v>2181</v>
          </cell>
          <cell r="FS251">
            <v>4619</v>
          </cell>
          <cell r="FV251">
            <v>2206</v>
          </cell>
          <cell r="FW251">
            <v>2392</v>
          </cell>
          <cell r="FX251">
            <v>2298</v>
          </cell>
          <cell r="FY251">
            <v>4925</v>
          </cell>
          <cell r="GB251">
            <v>2358</v>
          </cell>
          <cell r="GC251">
            <v>2412</v>
          </cell>
          <cell r="GD251">
            <v>2384.7396820310178</v>
          </cell>
          <cell r="GE251">
            <v>5171.5696157919501</v>
          </cell>
        </row>
        <row r="252">
          <cell r="A252" t="str">
            <v>Operating Income</v>
          </cell>
          <cell r="N252">
            <v>663</v>
          </cell>
          <cell r="O252">
            <v>893</v>
          </cell>
          <cell r="P252">
            <v>1341</v>
          </cell>
          <cell r="Q252">
            <v>1455</v>
          </cell>
          <cell r="R252">
            <v>1693</v>
          </cell>
          <cell r="S252">
            <v>1771</v>
          </cell>
          <cell r="T252">
            <v>1376</v>
          </cell>
          <cell r="U252">
            <v>1411</v>
          </cell>
          <cell r="V252">
            <v>1400</v>
          </cell>
          <cell r="W252">
            <v>1499</v>
          </cell>
          <cell r="X252">
            <v>2138</v>
          </cell>
          <cell r="Y252">
            <v>2273</v>
          </cell>
          <cell r="Z252">
            <v>2006.1943683158097</v>
          </cell>
          <cell r="AA252">
            <v>1425</v>
          </cell>
          <cell r="AB252">
            <v>1463</v>
          </cell>
          <cell r="AC252">
            <v>1919</v>
          </cell>
          <cell r="AD252">
            <v>2386</v>
          </cell>
          <cell r="AE252">
            <v>2548.7174594129283</v>
          </cell>
          <cell r="AF252">
            <v>2382.3369339216879</v>
          </cell>
          <cell r="AG252">
            <v>2498.1086124490248</v>
          </cell>
          <cell r="AH252">
            <v>2523.9914579697488</v>
          </cell>
          <cell r="AI252">
            <v>2520.715238607032</v>
          </cell>
          <cell r="AJ252">
            <v>2574.7236862749414</v>
          </cell>
          <cell r="AK252">
            <v>2629.5602313723502</v>
          </cell>
          <cell r="AL252">
            <v>2685.2360350030795</v>
          </cell>
          <cell r="AN252" t="str">
            <v>Month 3</v>
          </cell>
          <cell r="EL252" t="str">
            <v>Month 3</v>
          </cell>
          <cell r="ER252">
            <v>1878</v>
          </cell>
          <cell r="ES252">
            <v>1608</v>
          </cell>
          <cell r="ET252">
            <v>1863</v>
          </cell>
          <cell r="EU252">
            <v>1780</v>
          </cell>
          <cell r="EX252">
            <v>1837</v>
          </cell>
          <cell r="EY252">
            <v>1602</v>
          </cell>
          <cell r="EZ252">
            <v>1849</v>
          </cell>
          <cell r="FA252">
            <v>1273</v>
          </cell>
          <cell r="FD252">
            <v>1868</v>
          </cell>
          <cell r="FE252">
            <v>1543</v>
          </cell>
          <cell r="FF252">
            <v>1714</v>
          </cell>
          <cell r="FG252">
            <v>1213</v>
          </cell>
          <cell r="FJ252">
            <v>1720.603445275796</v>
          </cell>
          <cell r="FK252">
            <v>1409.6518013291361</v>
          </cell>
          <cell r="FL252">
            <v>1725.6996176952484</v>
          </cell>
          <cell r="FM252">
            <v>1268.4539954625661</v>
          </cell>
          <cell r="FP252">
            <v>1739</v>
          </cell>
          <cell r="FQ252">
            <v>1528</v>
          </cell>
          <cell r="FR252">
            <v>1806</v>
          </cell>
          <cell r="FS252">
            <v>1310</v>
          </cell>
          <cell r="FV252">
            <v>1920</v>
          </cell>
          <cell r="FW252">
            <v>1612</v>
          </cell>
          <cell r="FX252">
            <v>1842</v>
          </cell>
          <cell r="FY252">
            <v>1336</v>
          </cell>
          <cell r="GB252">
            <v>1928</v>
          </cell>
          <cell r="GC252">
            <v>1693</v>
          </cell>
          <cell r="GD252">
            <v>1954.7377926421409</v>
          </cell>
          <cell r="GE252">
            <v>1786.9703975101447</v>
          </cell>
        </row>
        <row r="253">
          <cell r="A253" t="str">
            <v>Operating Margin</v>
          </cell>
          <cell r="N253">
            <v>4.5367455864239771E-2</v>
          </cell>
          <cell r="O253">
            <v>6.0203600080900692E-2</v>
          </cell>
          <cell r="P253">
            <v>8.8107752956636004E-2</v>
          </cell>
          <cell r="Q253">
            <v>9.4695737064757562E-2</v>
          </cell>
          <cell r="R253">
            <v>0.10562106182544138</v>
          </cell>
          <cell r="S253">
            <v>0.10644308210121409</v>
          </cell>
          <cell r="T253">
            <v>8.7171365220145708E-2</v>
          </cell>
          <cell r="U253">
            <v>9.0617172949714206E-2</v>
          </cell>
          <cell r="V253">
            <v>9.0838307812094468E-2</v>
          </cell>
          <cell r="W253">
            <v>9.5017748478701827E-2</v>
          </cell>
          <cell r="X253">
            <v>9.5489057615006701E-2</v>
          </cell>
          <cell r="Y253">
            <v>8.4278828327771602E-2</v>
          </cell>
          <cell r="Z253">
            <v>7.6243467803587955E-2</v>
          </cell>
          <cell r="AA253">
            <v>5.7247308372167766E-2</v>
          </cell>
          <cell r="AB253">
            <v>6.1203145917001336E-2</v>
          </cell>
          <cell r="AC253">
            <v>7.6750789905211378E-2</v>
          </cell>
          <cell r="AD253">
            <v>9.0361673925392919E-2</v>
          </cell>
          <cell r="AE253">
            <v>9.2896107400015596E-2</v>
          </cell>
          <cell r="AF253">
            <v>8.6896107400015535E-2</v>
          </cell>
          <cell r="AG253">
            <v>8.9396107400015537E-2</v>
          </cell>
          <cell r="AH253">
            <v>8.9396107400015551E-2</v>
          </cell>
          <cell r="AI253">
            <v>8.8396107400015606E-2</v>
          </cell>
          <cell r="AJ253">
            <v>8.9396107400015565E-2</v>
          </cell>
          <cell r="AK253">
            <v>9.0396107400015593E-2</v>
          </cell>
          <cell r="AL253">
            <v>9.1396107400015622E-2</v>
          </cell>
          <cell r="AN253" t="str">
            <v>Total</v>
          </cell>
          <cell r="EL253" t="str">
            <v>Total</v>
          </cell>
          <cell r="ER253">
            <v>5930</v>
          </cell>
          <cell r="ES253">
            <v>5995</v>
          </cell>
          <cell r="ET253">
            <v>5886</v>
          </cell>
          <cell r="EU253">
            <v>9159</v>
          </cell>
          <cell r="EV253">
            <v>26970</v>
          </cell>
          <cell r="EX253">
            <v>5921</v>
          </cell>
          <cell r="EY253">
            <v>5892</v>
          </cell>
          <cell r="EZ253">
            <v>5906</v>
          </cell>
          <cell r="FA253">
            <v>8594</v>
          </cell>
          <cell r="FB253">
            <v>26313</v>
          </cell>
          <cell r="FD253">
            <v>5747</v>
          </cell>
          <cell r="FE253">
            <v>5718</v>
          </cell>
          <cell r="FF253">
            <v>5493</v>
          </cell>
          <cell r="FG253">
            <v>7934</v>
          </cell>
          <cell r="FH253">
            <v>24892</v>
          </cell>
          <cell r="FJ253">
            <v>5288</v>
          </cell>
          <cell r="FK253">
            <v>5285</v>
          </cell>
          <cell r="FL253">
            <v>5385</v>
          </cell>
          <cell r="FM253">
            <v>7946</v>
          </cell>
          <cell r="FN253">
            <v>23904</v>
          </cell>
          <cell r="FP253">
            <v>5574</v>
          </cell>
          <cell r="FQ253">
            <v>5537</v>
          </cell>
          <cell r="FR253">
            <v>5623</v>
          </cell>
          <cell r="FS253">
            <v>8269</v>
          </cell>
          <cell r="FT253">
            <v>25003</v>
          </cell>
          <cell r="FV253">
            <v>5889</v>
          </cell>
          <cell r="FW253">
            <v>5939</v>
          </cell>
          <cell r="FX253">
            <v>5853</v>
          </cell>
          <cell r="FY253">
            <v>8724</v>
          </cell>
          <cell r="FZ253">
            <v>26405</v>
          </cell>
          <cell r="GB253">
            <v>6143</v>
          </cell>
          <cell r="GC253">
            <v>6118</v>
          </cell>
          <cell r="GD253">
            <v>6151.4774746731582</v>
          </cell>
          <cell r="GE253">
            <v>9546.9499834395901</v>
          </cell>
          <cell r="GF253">
            <v>27959.427458112747</v>
          </cell>
        </row>
        <row r="254">
          <cell r="A254" t="str">
            <v>Y/Y ∆ Operating Margin (bps)</v>
          </cell>
          <cell r="O254">
            <v>148.36144216660921</v>
          </cell>
          <cell r="P254">
            <v>279.04152875735315</v>
          </cell>
          <cell r="Q254">
            <v>65.879841081215588</v>
          </cell>
          <cell r="R254">
            <v>109.25324760683822</v>
          </cell>
          <cell r="S254">
            <v>8.22020275772703</v>
          </cell>
          <cell r="T254">
            <v>-192.7171688106838</v>
          </cell>
          <cell r="U254">
            <v>34.45807729568498</v>
          </cell>
          <cell r="V254">
            <v>2.2113486238026225</v>
          </cell>
          <cell r="W254">
            <v>41.794406666073591</v>
          </cell>
          <cell r="X254">
            <v>4.7130913630487328</v>
          </cell>
          <cell r="Y254">
            <v>-112.10229287235099</v>
          </cell>
          <cell r="Z254">
            <v>-80.353605241836462</v>
          </cell>
          <cell r="AA254">
            <v>-189.9615943142019</v>
          </cell>
          <cell r="AB254">
            <v>39.55837544833571</v>
          </cell>
          <cell r="AC254">
            <v>155.47643988210041</v>
          </cell>
          <cell r="AD254">
            <v>136.10884020181541</v>
          </cell>
          <cell r="AE254">
            <v>25.344334746226771</v>
          </cell>
          <cell r="AF254">
            <v>-60.000000000000611</v>
          </cell>
          <cell r="AG254">
            <v>25.000000000000021</v>
          </cell>
          <cell r="AH254">
            <v>1.3877787807814457E-13</v>
          </cell>
          <cell r="AI254">
            <v>-9.9999999999994529</v>
          </cell>
          <cell r="AJ254">
            <v>9.9999999999995932</v>
          </cell>
          <cell r="AK254">
            <v>10.000000000000286</v>
          </cell>
          <cell r="AL254">
            <v>10.000000000000286</v>
          </cell>
        </row>
        <row r="255">
          <cell r="AN255" t="str">
            <v xml:space="preserve">Consolidated Monthly Comps </v>
          </cell>
          <cell r="EL255" t="str">
            <v xml:space="preserve">Consolidated Monthly Comps </v>
          </cell>
        </row>
        <row r="256">
          <cell r="A256" t="str">
            <v>Assumptions Spreads</v>
          </cell>
          <cell r="N256">
            <v>1995</v>
          </cell>
          <cell r="O256">
            <v>1996</v>
          </cell>
          <cell r="P256">
            <v>1997</v>
          </cell>
          <cell r="Q256">
            <v>1998</v>
          </cell>
          <cell r="R256">
            <v>1999</v>
          </cell>
          <cell r="S256">
            <v>2000</v>
          </cell>
          <cell r="T256">
            <v>2001</v>
          </cell>
          <cell r="U256">
            <v>2002</v>
          </cell>
          <cell r="V256">
            <v>2003</v>
          </cell>
          <cell r="W256">
            <v>2004</v>
          </cell>
          <cell r="X256">
            <v>2005</v>
          </cell>
          <cell r="Y256">
            <v>2006</v>
          </cell>
          <cell r="Z256">
            <v>2007</v>
          </cell>
          <cell r="AA256">
            <v>2008</v>
          </cell>
          <cell r="AB256">
            <v>2009</v>
          </cell>
          <cell r="AC256">
            <v>2010</v>
          </cell>
          <cell r="AD256">
            <v>2011</v>
          </cell>
          <cell r="AE256" t="str">
            <v>2012E</v>
          </cell>
          <cell r="AF256" t="str">
            <v>2013E</v>
          </cell>
          <cell r="AG256" t="str">
            <v>2014E</v>
          </cell>
          <cell r="AH256" t="str">
            <v>2015E</v>
          </cell>
          <cell r="AI256" t="str">
            <v>2016E</v>
          </cell>
          <cell r="AJ256" t="str">
            <v>2017E</v>
          </cell>
          <cell r="AK256" t="str">
            <v>2018E</v>
          </cell>
          <cell r="AL256" t="str">
            <v>2019E</v>
          </cell>
          <cell r="AN256" t="str">
            <v>Month 1</v>
          </cell>
          <cell r="EL256" t="str">
            <v>Month 1</v>
          </cell>
          <cell r="ER256">
            <v>0.01</v>
          </cell>
          <cell r="ES256">
            <v>9.1999999999999998E-2</v>
          </cell>
          <cell r="ET256">
            <v>3.7999999999999999E-2</v>
          </cell>
          <cell r="EU256">
            <v>8.5000000000000006E-2</v>
          </cell>
          <cell r="EX256">
            <v>1.2E-2</v>
          </cell>
          <cell r="EY256">
            <v>-3.3000000000000002E-2</v>
          </cell>
          <cell r="EZ256">
            <v>2.4E-2</v>
          </cell>
          <cell r="FA256">
            <v>0.13400000000000001</v>
          </cell>
          <cell r="FD256">
            <v>-3.5000000000000003E-2</v>
          </cell>
          <cell r="FE256">
            <v>-1.4999999999999999E-2</v>
          </cell>
          <cell r="FF256">
            <v>-4.8000000000000001E-2</v>
          </cell>
          <cell r="FG256">
            <v>-0.13300000000000001</v>
          </cell>
          <cell r="FJ256">
            <v>-8.5000000000000006E-2</v>
          </cell>
          <cell r="FK256">
            <v>-9.0999999999999998E-2</v>
          </cell>
          <cell r="FL256">
            <v>-8.1000000000000003E-2</v>
          </cell>
          <cell r="FM256">
            <v>-6.0999999999999999E-2</v>
          </cell>
          <cell r="FP256">
            <v>3.6999999999999998E-2</v>
          </cell>
          <cell r="FQ256">
            <v>1.4E-2</v>
          </cell>
          <cell r="FR256">
            <v>4.2999999999999997E-2</v>
          </cell>
          <cell r="FS256">
            <v>6.0999999999999999E-2</v>
          </cell>
          <cell r="FV256">
            <v>5.8000000000000003E-2</v>
          </cell>
          <cell r="FW256">
            <v>7.3999999999999996E-2</v>
          </cell>
          <cell r="FX256">
            <v>0.05</v>
          </cell>
          <cell r="FY256">
            <v>4.8000000000000001E-2</v>
          </cell>
          <cell r="GB256">
            <v>4.5999999999999999E-2</v>
          </cell>
          <cell r="GC256">
            <v>4.2000000000000003E-2</v>
          </cell>
          <cell r="GD256">
            <v>5.0999999999999997E-2</v>
          </cell>
          <cell r="GE256">
            <v>0.06</v>
          </cell>
        </row>
        <row r="257">
          <cell r="A257" t="str">
            <v>Bull Case Assumptions</v>
          </cell>
          <cell r="AN257" t="str">
            <v>Month 2</v>
          </cell>
          <cell r="EL257" t="str">
            <v>Month 2</v>
          </cell>
          <cell r="ER257">
            <v>0</v>
          </cell>
          <cell r="ES257">
            <v>1.7000000000000001E-2</v>
          </cell>
          <cell r="ET257">
            <v>6.5000000000000002E-2</v>
          </cell>
          <cell r="EU257">
            <v>4.3999999999999997E-2</v>
          </cell>
          <cell r="EX257">
            <v>2.3E-2</v>
          </cell>
          <cell r="EY257">
            <v>-2.7E-2</v>
          </cell>
          <cell r="EZ257">
            <v>-2.7E-2</v>
          </cell>
          <cell r="FA257">
            <v>-7.9000000000000001E-2</v>
          </cell>
          <cell r="FD257">
            <v>-6.2E-2</v>
          </cell>
          <cell r="FE257">
            <v>-2.1000000000000001E-2</v>
          </cell>
          <cell r="FF257">
            <v>-6.6000000000000003E-2</v>
          </cell>
          <cell r="FG257">
            <v>-0.04</v>
          </cell>
          <cell r="FJ257">
            <v>-9.1999999999999998E-2</v>
          </cell>
          <cell r="FK257">
            <v>-8.8999999999999996E-2</v>
          </cell>
          <cell r="FL257">
            <v>-2.3E-2</v>
          </cell>
          <cell r="FM257">
            <v>0.01</v>
          </cell>
          <cell r="FP257">
            <v>0.10800000000000001</v>
          </cell>
          <cell r="FQ257">
            <v>6.5000000000000002E-2</v>
          </cell>
          <cell r="FR257">
            <v>4.8000000000000001E-2</v>
          </cell>
          <cell r="FS257">
            <v>3.9E-2</v>
          </cell>
          <cell r="FV257">
            <v>8.9999999999999993E-3</v>
          </cell>
          <cell r="FW257">
            <v>6.7000000000000004E-2</v>
          </cell>
          <cell r="FX257">
            <v>4.9000000000000002E-2</v>
          </cell>
          <cell r="FY257">
            <v>6.2E-2</v>
          </cell>
          <cell r="GB257">
            <v>7.2999999999999995E-2</v>
          </cell>
          <cell r="GC257">
            <v>1.2E-2</v>
          </cell>
          <cell r="GD257">
            <v>0.05</v>
          </cell>
          <cell r="GE257">
            <v>0.06</v>
          </cell>
        </row>
        <row r="258">
          <cell r="A258" t="str">
            <v>Same Store</v>
          </cell>
          <cell r="AF258">
            <v>0.04</v>
          </cell>
          <cell r="AN258" t="str">
            <v>Month 3</v>
          </cell>
          <cell r="EL258" t="str">
            <v>Month 3</v>
          </cell>
          <cell r="ER258">
            <v>-8.0000000000000002E-3</v>
          </cell>
          <cell r="ES258">
            <v>3.3000000000000002E-2</v>
          </cell>
          <cell r="ET258">
            <v>7.6999999999999999E-2</v>
          </cell>
          <cell r="EU258">
            <v>8.5999999999999993E-2</v>
          </cell>
          <cell r="EX258">
            <v>-2.1999999999999999E-2</v>
          </cell>
          <cell r="EY258">
            <v>-1.4E-2</v>
          </cell>
          <cell r="EZ258">
            <v>-1.4999999999999999E-2</v>
          </cell>
          <cell r="FA258">
            <v>-7.0999999999999994E-2</v>
          </cell>
          <cell r="FD258">
            <v>0.03</v>
          </cell>
          <cell r="FE258">
            <v>-2.9000000000000001E-2</v>
          </cell>
          <cell r="FF258">
            <v>-6.3E-2</v>
          </cell>
          <cell r="FG258">
            <v>-4.4999999999999998E-2</v>
          </cell>
          <cell r="FJ258">
            <v>-9.0999999999999998E-2</v>
          </cell>
          <cell r="FK258">
            <v>-0.107</v>
          </cell>
          <cell r="FL258">
            <v>-8.0000000000000002E-3</v>
          </cell>
          <cell r="FM258">
            <v>3.4000000000000002E-2</v>
          </cell>
          <cell r="FP258">
            <v>1.0999999999999999E-2</v>
          </cell>
          <cell r="FQ258">
            <v>7.2999999999999995E-2</v>
          </cell>
          <cell r="FR258">
            <v>2.5000000000000001E-2</v>
          </cell>
          <cell r="FS258">
            <v>2.5999999999999999E-2</v>
          </cell>
          <cell r="FV258">
            <v>0.108</v>
          </cell>
          <cell r="FW258">
            <v>0.05</v>
          </cell>
          <cell r="FX258">
            <v>2.1999999999999999E-2</v>
          </cell>
          <cell r="FY258">
            <v>2.4E-2</v>
          </cell>
          <cell r="GB258">
            <v>1.2E-2</v>
          </cell>
          <cell r="GC258">
            <v>4.1000000000000002E-2</v>
          </cell>
          <cell r="GD258">
            <v>7.4999999999999997E-2</v>
          </cell>
          <cell r="GE258">
            <v>7.0000000000000007E-2</v>
          </cell>
        </row>
        <row r="259">
          <cell r="A259" t="str">
            <v>Y/Y ∆ Gross Margin (bps)</v>
          </cell>
          <cell r="AF259">
            <v>50</v>
          </cell>
          <cell r="AN259" t="str">
            <v>Total</v>
          </cell>
          <cell r="EL259" t="str">
            <v>Total</v>
          </cell>
          <cell r="ER259">
            <v>0</v>
          </cell>
          <cell r="ES259">
            <v>4.5999999999999999E-2</v>
          </cell>
          <cell r="ET259">
            <v>5.8999999999999997E-2</v>
          </cell>
          <cell r="EU259">
            <v>6.0999999999999999E-2</v>
          </cell>
          <cell r="EV259">
            <v>4.3999999999999997E-2</v>
          </cell>
          <cell r="EX259">
            <v>6.0000000000000001E-3</v>
          </cell>
          <cell r="EY259">
            <v>-2.5999999999999999E-2</v>
          </cell>
          <cell r="EZ259">
            <v>-8.0000000000000002E-3</v>
          </cell>
          <cell r="FA259">
            <v>-0.02</v>
          </cell>
          <cell r="FB259">
            <v>-1.2999999999999999E-2</v>
          </cell>
          <cell r="FD259">
            <v>-2.5999999999999999E-2</v>
          </cell>
          <cell r="FE259">
            <v>-2.1000000000000001E-2</v>
          </cell>
          <cell r="FF259">
            <v>-0.06</v>
          </cell>
          <cell r="FG259">
            <v>-7.0000000000000007E-2</v>
          </cell>
          <cell r="FH259">
            <v>-4.4999999999999998E-2</v>
          </cell>
          <cell r="FJ259">
            <v>-0.09</v>
          </cell>
          <cell r="FK259">
            <v>-9.5000000000000001E-2</v>
          </cell>
          <cell r="FL259">
            <v>-3.5999999999999997E-2</v>
          </cell>
          <cell r="FM259">
            <v>-5.8512769677805648E-3</v>
          </cell>
          <cell r="FN259">
            <v>-5.0968425652024113E-2</v>
          </cell>
          <cell r="FP259">
            <v>5.5E-2</v>
          </cell>
          <cell r="FQ259">
            <v>4.9000000000000002E-2</v>
          </cell>
          <cell r="FR259">
            <v>3.9E-2</v>
          </cell>
          <cell r="FS259">
            <v>4.2999999999999997E-2</v>
          </cell>
          <cell r="FT259">
            <v>4.610434747830261E-2</v>
          </cell>
          <cell r="FV259">
            <v>5.3999999999999999E-2</v>
          </cell>
          <cell r="FW259">
            <v>6.4000000000000001E-2</v>
          </cell>
          <cell r="FX259">
            <v>0.04</v>
          </cell>
          <cell r="FY259">
            <v>5.1999999999999998E-2</v>
          </cell>
          <cell r="FZ259">
            <v>5.2999999999999999E-2</v>
          </cell>
          <cell r="GB259">
            <v>4.3999999999999997E-2</v>
          </cell>
          <cell r="GC259">
            <v>0.03</v>
          </cell>
          <cell r="GD259">
            <v>5.8238743460366213E-2</v>
          </cell>
          <cell r="GE259">
            <v>6.1871770985089329E-2</v>
          </cell>
          <cell r="GF259">
            <v>5.0171736300135057E-2</v>
          </cell>
        </row>
        <row r="260">
          <cell r="A260" t="str">
            <v>Y/Y ∆ SG&amp;A Ratio (bps)</v>
          </cell>
          <cell r="AF260">
            <v>-35</v>
          </cell>
        </row>
        <row r="261">
          <cell r="A261" t="str">
            <v>Bear Case Assumptions</v>
          </cell>
          <cell r="AN261" t="str">
            <v xml:space="preserve">Consolidated Productivity Factor </v>
          </cell>
          <cell r="EL261" t="str">
            <v xml:space="preserve">Consolidated Productivity Factor </v>
          </cell>
        </row>
        <row r="262">
          <cell r="A262" t="str">
            <v>Same Store</v>
          </cell>
          <cell r="AF262">
            <v>-2.5000000000000001E-2</v>
          </cell>
          <cell r="AN262" t="str">
            <v>Month 1</v>
          </cell>
          <cell r="EL262" t="str">
            <v>Month 1</v>
          </cell>
          <cell r="ER262">
            <v>0.85379589916801657</v>
          </cell>
          <cell r="ES262">
            <v>0.82852877251430668</v>
          </cell>
          <cell r="ET262">
            <v>0.83475030563790842</v>
          </cell>
          <cell r="EU262">
            <v>0.91480422703367681</v>
          </cell>
          <cell r="EX262">
            <v>1.0042251017232908</v>
          </cell>
          <cell r="EY262">
            <v>1.0108075527611304</v>
          </cell>
          <cell r="EZ262">
            <v>1.0032705612197608</v>
          </cell>
          <cell r="FA262">
            <v>0.99617129302855612</v>
          </cell>
          <cell r="FD262">
            <v>1.0047260256693704</v>
          </cell>
          <cell r="FE262">
            <v>1.0011731147187122</v>
          </cell>
          <cell r="FF262">
            <v>1.0015681684828099</v>
          </cell>
          <cell r="FG262">
            <v>0.9980273685296247</v>
          </cell>
          <cell r="FJ262">
            <v>1.0146680194879518</v>
          </cell>
          <cell r="FK262">
            <v>1.0229325701507319</v>
          </cell>
          <cell r="FL262">
            <v>1.0237530410429481</v>
          </cell>
          <cell r="FM262">
            <v>1.0168796021749338</v>
          </cell>
          <cell r="FP262">
            <v>1.0016060228776302</v>
          </cell>
          <cell r="FQ262">
            <v>0.98881215735067063</v>
          </cell>
          <cell r="FR262">
            <v>1.0007452413933455</v>
          </cell>
          <cell r="FS262">
            <v>1.0028115913956974</v>
          </cell>
          <cell r="FV262">
            <v>1.0005096291516782</v>
          </cell>
          <cell r="FW262">
            <v>1.0081721608307339</v>
          </cell>
          <cell r="FX262">
            <v>0.99435769750356207</v>
          </cell>
          <cell r="FY262">
            <v>1.0114048185081832</v>
          </cell>
          <cell r="GB262">
            <v>1.0253009585429893</v>
          </cell>
          <cell r="GC262">
            <v>1.0133052611979987</v>
          </cell>
          <cell r="GD262">
            <v>1.018088666893139</v>
          </cell>
          <cell r="GE262">
            <v>1</v>
          </cell>
        </row>
        <row r="263">
          <cell r="A263" t="str">
            <v>Y/Y ∆ Gross Margin (bps)</v>
          </cell>
          <cell r="AF263">
            <v>-40</v>
          </cell>
          <cell r="AN263" t="str">
            <v>Month 2</v>
          </cell>
          <cell r="EL263" t="str">
            <v>Month 2</v>
          </cell>
          <cell r="ER263">
            <v>0.87143545576033965</v>
          </cell>
          <cell r="ES263">
            <v>0.86259214604526391</v>
          </cell>
          <cell r="ET263">
            <v>0.95476655228407081</v>
          </cell>
          <cell r="EU263">
            <v>0.95390310394604827</v>
          </cell>
          <cell r="EX263">
            <v>0.99756383077735888</v>
          </cell>
          <cell r="EY263">
            <v>1.0076309712339664</v>
          </cell>
          <cell r="EZ263">
            <v>1.0058439901456568</v>
          </cell>
          <cell r="FA263">
            <v>1.0104925603418453</v>
          </cell>
          <cell r="FD263">
            <v>1.0038919718017412</v>
          </cell>
          <cell r="FE263">
            <v>1.0002262623646179</v>
          </cell>
          <cell r="FF263">
            <v>1.0022779610885877</v>
          </cell>
          <cell r="FG263">
            <v>0.98797059201406712</v>
          </cell>
          <cell r="FJ263">
            <v>1.0172356632303496</v>
          </cell>
          <cell r="FK263">
            <v>1.0266388149144143</v>
          </cell>
          <cell r="FL263">
            <v>1.0185440088098592</v>
          </cell>
          <cell r="FM263">
            <v>1.0150644106268683</v>
          </cell>
          <cell r="FP263">
            <v>0.9967530496300272</v>
          </cell>
          <cell r="FQ263">
            <v>0.99989171377441255</v>
          </cell>
          <cell r="FR263">
            <v>1.0028971230689774</v>
          </cell>
          <cell r="FS263">
            <v>0.9946391314592461</v>
          </cell>
          <cell r="FV263">
            <v>1.0074992903911262</v>
          </cell>
          <cell r="FW263">
            <v>1.0057878604073234</v>
          </cell>
          <cell r="FX263">
            <v>1.0057401642886414</v>
          </cell>
          <cell r="FY263">
            <v>1.0118477756232767</v>
          </cell>
          <cell r="GB263">
            <v>1.0102541230632647</v>
          </cell>
          <cell r="GC263">
            <v>1.011143062170935</v>
          </cell>
          <cell r="GD263">
            <v>1</v>
          </cell>
          <cell r="GE263">
            <v>1</v>
          </cell>
        </row>
        <row r="264">
          <cell r="A264" t="str">
            <v>Y/Y ∆ SG&amp;A Ratio (bps)</v>
          </cell>
          <cell r="AF264">
            <v>35</v>
          </cell>
          <cell r="AN264" t="str">
            <v>Month 3</v>
          </cell>
          <cell r="EL264" t="str">
            <v>Month 3</v>
          </cell>
          <cell r="ER264">
            <v>0.85509041472763314</v>
          </cell>
          <cell r="ES264">
            <v>0.83302342705472399</v>
          </cell>
          <cell r="ET264">
            <v>0.9300581404093593</v>
          </cell>
          <cell r="EU264">
            <v>0.88885616548937241</v>
          </cell>
          <cell r="EX264">
            <v>1.0012993536198342</v>
          </cell>
          <cell r="EY264">
            <v>1.0067406823426219</v>
          </cell>
          <cell r="EZ264">
            <v>1.0010354929971583</v>
          </cell>
          <cell r="FA264">
            <v>0.77697496531497701</v>
          </cell>
          <cell r="FD264">
            <v>0.99998610863561077</v>
          </cell>
          <cell r="FE264">
            <v>1.0000776716315167</v>
          </cell>
          <cell r="FF264">
            <v>1.0026881239876493</v>
          </cell>
          <cell r="FG264">
            <v>1.0034001517037674</v>
          </cell>
          <cell r="FJ264">
            <v>1.017274065207098</v>
          </cell>
          <cell r="FK264">
            <v>1.0307481774152398</v>
          </cell>
          <cell r="FL264">
            <v>1.0154616377110075</v>
          </cell>
          <cell r="FM264">
            <v>1.009307170702717</v>
          </cell>
          <cell r="FP264">
            <v>1.0005893323256754</v>
          </cell>
          <cell r="FQ264">
            <v>1.0111137394005785</v>
          </cell>
          <cell r="FR264">
            <v>1.0254628236300125</v>
          </cell>
          <cell r="FS264">
            <v>1.00775043725629</v>
          </cell>
          <cell r="FV264">
            <v>0.99618702023241001</v>
          </cell>
          <cell r="FW264">
            <v>1.0047825549823146</v>
          </cell>
          <cell r="FX264">
            <v>1.0004489851343907</v>
          </cell>
          <cell r="FY264">
            <v>1.008520012530175</v>
          </cell>
          <cell r="GB264">
            <v>1.0062765433093959</v>
          </cell>
          <cell r="GC264">
            <v>1.0227639737625074</v>
          </cell>
          <cell r="GD264">
            <v>1</v>
          </cell>
          <cell r="GE264">
            <v>1</v>
          </cell>
        </row>
        <row r="265">
          <cell r="AN265" t="str">
            <v>Total</v>
          </cell>
          <cell r="EL265" t="str">
            <v>Total</v>
          </cell>
        </row>
        <row r="267">
          <cell r="AN267" t="str">
            <v>Cost of Goods Sold</v>
          </cell>
          <cell r="EL267" t="str">
            <v>Cost of Goods Sold</v>
          </cell>
          <cell r="ER267">
            <v>3627</v>
          </cell>
          <cell r="ES267">
            <v>3470</v>
          </cell>
          <cell r="ET267">
            <v>3513</v>
          </cell>
          <cell r="EU267">
            <v>5409</v>
          </cell>
          <cell r="EV267">
            <v>16019</v>
          </cell>
          <cell r="EX267">
            <v>3564</v>
          </cell>
          <cell r="EY267">
            <v>3507</v>
          </cell>
          <cell r="EZ267">
            <v>3585</v>
          </cell>
          <cell r="FA267">
            <v>5021</v>
          </cell>
          <cell r="FB267">
            <v>15677</v>
          </cell>
          <cell r="FD267">
            <v>3527</v>
          </cell>
          <cell r="FE267">
            <v>3346</v>
          </cell>
          <cell r="FF267">
            <v>3324</v>
          </cell>
          <cell r="FG267">
            <v>4812</v>
          </cell>
          <cell r="FH267">
            <v>15009</v>
          </cell>
          <cell r="FJ267">
            <v>3279</v>
          </cell>
          <cell r="FK267">
            <v>3117</v>
          </cell>
          <cell r="FL267">
            <v>3241</v>
          </cell>
          <cell r="FM267">
            <v>4650</v>
          </cell>
          <cell r="FN267">
            <v>14287</v>
          </cell>
          <cell r="FP267">
            <v>3378</v>
          </cell>
          <cell r="FQ267">
            <v>3214</v>
          </cell>
          <cell r="FR267">
            <v>3377</v>
          </cell>
          <cell r="FS267">
            <v>4855</v>
          </cell>
          <cell r="FT267">
            <v>14824</v>
          </cell>
          <cell r="FV267">
            <v>3586</v>
          </cell>
          <cell r="FW267">
            <v>3457</v>
          </cell>
          <cell r="FX267">
            <v>3544</v>
          </cell>
          <cell r="FY267">
            <v>5151</v>
          </cell>
          <cell r="FZ267">
            <v>15738</v>
          </cell>
          <cell r="GB267">
            <v>3757</v>
          </cell>
          <cell r="GC267">
            <v>3555</v>
          </cell>
          <cell r="GD267">
            <v>3693.9711570041623</v>
          </cell>
          <cell r="GE267">
            <v>5567.0878306241739</v>
          </cell>
          <cell r="GF267">
            <v>16573.058987628334</v>
          </cell>
        </row>
        <row r="268">
          <cell r="AN268" t="str">
            <v>CGS, OCC, Buying Costs %</v>
          </cell>
          <cell r="EL268" t="str">
            <v>CGS, OCC, Buying Costs %</v>
          </cell>
          <cell r="ER268">
            <v>0.61163575042158513</v>
          </cell>
          <cell r="ES268">
            <v>0.57881567973311088</v>
          </cell>
          <cell r="ET268">
            <v>0.59683995922528033</v>
          </cell>
          <cell r="EU268">
            <v>0.59056665574844414</v>
          </cell>
          <cell r="EV268">
            <v>0.59395624768261035</v>
          </cell>
          <cell r="EX268">
            <v>0.60192535044755957</v>
          </cell>
          <cell r="EY268">
            <v>0.59521384928716903</v>
          </cell>
          <cell r="EZ268">
            <v>0.60700982052150354</v>
          </cell>
          <cell r="FA268">
            <v>0.58424482196881544</v>
          </cell>
          <cell r="FB268">
            <v>0.59578915365028695</v>
          </cell>
          <cell r="FD268">
            <v>0.61371150165303634</v>
          </cell>
          <cell r="FE268">
            <v>0.5851696397341728</v>
          </cell>
          <cell r="FF268">
            <v>0.60513380666302563</v>
          </cell>
          <cell r="FG268">
            <v>0.60650365515502902</v>
          </cell>
          <cell r="FH268">
            <v>0.60296480797043228</v>
          </cell>
          <cell r="FJ268">
            <v>0.62008320726172461</v>
          </cell>
          <cell r="FK268">
            <v>0.58978240302743612</v>
          </cell>
          <cell r="FL268">
            <v>0.6018570102135562</v>
          </cell>
          <cell r="FM268">
            <v>0.58520010067958717</v>
          </cell>
          <cell r="FN268">
            <v>0.59768239625167341</v>
          </cell>
          <cell r="FP268">
            <v>0.60602798708288486</v>
          </cell>
          <cell r="FQ268">
            <v>0.58045873216543253</v>
          </cell>
          <cell r="FR268">
            <v>0.60056909123243818</v>
          </cell>
          <cell r="FS268">
            <v>0.58713266416737209</v>
          </cell>
          <cell r="FT268">
            <v>0.59288885333759944</v>
          </cell>
          <cell r="FV268">
            <v>0.60893190694515198</v>
          </cell>
          <cell r="FW268">
            <v>0.58208452601448057</v>
          </cell>
          <cell r="FX268">
            <v>0.60550145224671104</v>
          </cell>
          <cell r="FY268">
            <v>0.59044016506189823</v>
          </cell>
          <cell r="FZ268">
            <v>0.59602348040143915</v>
          </cell>
          <cell r="GB268">
            <v>0.61159042812957842</v>
          </cell>
          <cell r="GC268">
            <v>0.58107224583197126</v>
          </cell>
          <cell r="GD268">
            <v>0.60050145224671103</v>
          </cell>
          <cell r="GE268">
            <v>0.58312736950345423</v>
          </cell>
          <cell r="GF268">
            <v>0.59275387568136595</v>
          </cell>
        </row>
        <row r="269">
          <cell r="AN269" t="str">
            <v>BPS Change</v>
          </cell>
          <cell r="EL269" t="str">
            <v>BPS Change</v>
          </cell>
          <cell r="ER269">
            <v>139.97738886292632</v>
          </cell>
          <cell r="ES269">
            <v>-79.90834205613973</v>
          </cell>
          <cell r="ET269">
            <v>6.2033726308408088</v>
          </cell>
          <cell r="EU269">
            <v>-5.9414249625333593</v>
          </cell>
          <cell r="EV269">
            <v>11.916206169559906</v>
          </cell>
          <cell r="EX269">
            <v>-97.103999740255631</v>
          </cell>
          <cell r="EY269">
            <v>163.98169554058151</v>
          </cell>
          <cell r="EZ269">
            <v>101.69861296223215</v>
          </cell>
          <cell r="FA269">
            <v>-63.218337796286939</v>
          </cell>
          <cell r="FB269">
            <v>18.329059676766015</v>
          </cell>
          <cell r="FD269">
            <v>117.86151205476769</v>
          </cell>
          <cell r="FE269">
            <v>-100.4420955299623</v>
          </cell>
          <cell r="FF269">
            <v>-18.760138584779096</v>
          </cell>
          <cell r="FG269">
            <v>222.58833186213579</v>
          </cell>
          <cell r="FH269">
            <v>71.756543201453297</v>
          </cell>
          <cell r="FJ269">
            <v>63.717056086882721</v>
          </cell>
          <cell r="FK269">
            <v>46.127632932633219</v>
          </cell>
          <cell r="FL269">
            <v>-32.767964494694326</v>
          </cell>
          <cell r="FM269">
            <v>-213.03554475441854</v>
          </cell>
          <cell r="FN269">
            <v>-52.824117187588726</v>
          </cell>
          <cell r="FP269">
            <v>-140.55220178839755</v>
          </cell>
          <cell r="FQ269">
            <v>-93.236708620035856</v>
          </cell>
          <cell r="FR269">
            <v>-12.879189811180192</v>
          </cell>
          <cell r="FS269">
            <v>19.325634877849218</v>
          </cell>
          <cell r="FT269">
            <v>-47.935429140739672</v>
          </cell>
          <cell r="FV269">
            <v>29.039198622671236</v>
          </cell>
          <cell r="FW269">
            <v>16.257938490480406</v>
          </cell>
          <cell r="FX269">
            <v>49.323610142728569</v>
          </cell>
          <cell r="FY269">
            <v>33.075008945261388</v>
          </cell>
          <cell r="FZ269">
            <v>31.346270638397122</v>
          </cell>
          <cell r="GB269">
            <v>26.585211844264435</v>
          </cell>
          <cell r="GC269">
            <v>-10.122801825093175</v>
          </cell>
          <cell r="GD269">
            <v>-50.000000000000043</v>
          </cell>
          <cell r="GE269">
            <v>-73.12795558443996</v>
          </cell>
          <cell r="GF269">
            <v>-32.696047200732046</v>
          </cell>
        </row>
        <row r="271">
          <cell r="AN271" t="str">
            <v>Gross Income</v>
          </cell>
          <cell r="EL271" t="str">
            <v>Gross Income</v>
          </cell>
          <cell r="ER271">
            <v>2303</v>
          </cell>
          <cell r="ES271">
            <v>2525</v>
          </cell>
          <cell r="ET271">
            <v>2373</v>
          </cell>
          <cell r="EU271">
            <v>3750</v>
          </cell>
          <cell r="EV271">
            <v>10951</v>
          </cell>
          <cell r="EX271">
            <v>2357</v>
          </cell>
          <cell r="EY271">
            <v>2385</v>
          </cell>
          <cell r="EZ271">
            <v>2321</v>
          </cell>
          <cell r="FA271">
            <v>3573</v>
          </cell>
          <cell r="FB271">
            <v>10636</v>
          </cell>
          <cell r="FD271">
            <v>2220</v>
          </cell>
          <cell r="FE271">
            <v>2372</v>
          </cell>
          <cell r="FF271">
            <v>2169</v>
          </cell>
          <cell r="FG271">
            <v>3122</v>
          </cell>
          <cell r="FH271">
            <v>9883</v>
          </cell>
          <cell r="FJ271">
            <v>2009</v>
          </cell>
          <cell r="FK271">
            <v>2168</v>
          </cell>
          <cell r="FL271">
            <v>2144</v>
          </cell>
          <cell r="FM271">
            <v>3296</v>
          </cell>
          <cell r="FN271">
            <v>9617</v>
          </cell>
          <cell r="FP271">
            <v>2196</v>
          </cell>
          <cell r="FQ271">
            <v>2323</v>
          </cell>
          <cell r="FR271">
            <v>2246</v>
          </cell>
          <cell r="FS271">
            <v>3414</v>
          </cell>
          <cell r="FT271">
            <v>10179</v>
          </cell>
          <cell r="FV271">
            <v>2303</v>
          </cell>
          <cell r="FW271">
            <v>2482</v>
          </cell>
          <cell r="FX271">
            <v>2309</v>
          </cell>
          <cell r="FY271">
            <v>3573</v>
          </cell>
          <cell r="FZ271">
            <v>10667</v>
          </cell>
          <cell r="GB271">
            <v>2386</v>
          </cell>
          <cell r="GC271">
            <v>2563</v>
          </cell>
          <cell r="GD271">
            <v>2457.506317668996</v>
          </cell>
          <cell r="GE271">
            <v>3979.8621528154158</v>
          </cell>
          <cell r="GF271">
            <v>11386.368470484413</v>
          </cell>
        </row>
        <row r="272">
          <cell r="AN272" t="str">
            <v>Gross Margin</v>
          </cell>
          <cell r="EL272" t="str">
            <v>Gross Margin</v>
          </cell>
          <cell r="ER272">
            <v>0.38836424957841487</v>
          </cell>
          <cell r="ES272">
            <v>0.42118432026688907</v>
          </cell>
          <cell r="ET272">
            <v>0.40316004077471967</v>
          </cell>
          <cell r="EU272">
            <v>0.40943334425155586</v>
          </cell>
          <cell r="EV272">
            <v>0.40604375231738971</v>
          </cell>
          <cell r="EX272">
            <v>0.39807464955244048</v>
          </cell>
          <cell r="EY272">
            <v>0.40478615071283097</v>
          </cell>
          <cell r="EZ272">
            <v>0.39299017947849646</v>
          </cell>
          <cell r="FA272">
            <v>0.41575517803118456</v>
          </cell>
          <cell r="FB272">
            <v>0.40421084634971305</v>
          </cell>
          <cell r="FD272">
            <v>0.38628849834696366</v>
          </cell>
          <cell r="FE272">
            <v>0.4148303602658272</v>
          </cell>
          <cell r="FF272">
            <v>0.39486619333697431</v>
          </cell>
          <cell r="FG272">
            <v>0.39349634484497104</v>
          </cell>
          <cell r="FH272">
            <v>0.39703519202956772</v>
          </cell>
          <cell r="FJ272">
            <v>0.37991679273827533</v>
          </cell>
          <cell r="FK272">
            <v>0.41021759697256388</v>
          </cell>
          <cell r="FL272">
            <v>0.3981429897864438</v>
          </cell>
          <cell r="FM272">
            <v>0.41479989932041278</v>
          </cell>
          <cell r="FN272">
            <v>0.40231760374832665</v>
          </cell>
          <cell r="FP272">
            <v>0.3939720129171152</v>
          </cell>
          <cell r="FQ272">
            <v>0.41954126783456747</v>
          </cell>
          <cell r="FR272">
            <v>0.39943090876756182</v>
          </cell>
          <cell r="FS272">
            <v>0.41286733583262791</v>
          </cell>
          <cell r="FT272">
            <v>0.4071111466624005</v>
          </cell>
          <cell r="FV272">
            <v>0.39106809305484802</v>
          </cell>
          <cell r="FW272">
            <v>0.41791547398551943</v>
          </cell>
          <cell r="FX272">
            <v>0.39449854775328891</v>
          </cell>
          <cell r="FY272">
            <v>0.40955983493810177</v>
          </cell>
          <cell r="FZ272">
            <v>0.4039765195985609</v>
          </cell>
          <cell r="GB272">
            <v>0.38840957187042163</v>
          </cell>
          <cell r="GC272">
            <v>0.41892775416802874</v>
          </cell>
          <cell r="GD272">
            <v>0.39949854775328891</v>
          </cell>
          <cell r="GE272">
            <v>0.41687263049654577</v>
          </cell>
          <cell r="GF272">
            <v>0.407246124318634</v>
          </cell>
        </row>
        <row r="273">
          <cell r="AN273" t="str">
            <v>BPS Change</v>
          </cell>
          <cell r="EL273" t="str">
            <v>BPS Change</v>
          </cell>
          <cell r="ER273">
            <v>-139.97738886292632</v>
          </cell>
          <cell r="ES273">
            <v>79.908342056138622</v>
          </cell>
          <cell r="ET273">
            <v>-6.2033726308408088</v>
          </cell>
          <cell r="EU273">
            <v>5.9414249625339144</v>
          </cell>
          <cell r="EV273">
            <v>-11.916206169559906</v>
          </cell>
          <cell r="EX273">
            <v>97.103999740256185</v>
          </cell>
          <cell r="EY273">
            <v>-163.98169554058094</v>
          </cell>
          <cell r="EZ273">
            <v>-101.69861296223215</v>
          </cell>
          <cell r="FA273">
            <v>63.218337796286939</v>
          </cell>
          <cell r="FB273">
            <v>-18.329059676766569</v>
          </cell>
          <cell r="FD273">
            <v>-117.86151205476824</v>
          </cell>
          <cell r="FE273">
            <v>100.4420955299623</v>
          </cell>
          <cell r="FF273">
            <v>18.760138584778542</v>
          </cell>
          <cell r="FG273">
            <v>-222.58833186213522</v>
          </cell>
          <cell r="FH273">
            <v>-71.756543201453297</v>
          </cell>
          <cell r="FJ273">
            <v>-63.717056086883275</v>
          </cell>
          <cell r="FK273">
            <v>-46.127632932633219</v>
          </cell>
          <cell r="FL273">
            <v>32.76796449469488</v>
          </cell>
          <cell r="FM273">
            <v>213.03554475441743</v>
          </cell>
          <cell r="FN273">
            <v>52.82411718758928</v>
          </cell>
          <cell r="FP273">
            <v>140.55220178839866</v>
          </cell>
          <cell r="FQ273">
            <v>93.236708620035856</v>
          </cell>
          <cell r="FR273">
            <v>12.879189811180192</v>
          </cell>
          <cell r="FS273">
            <v>-19.325634877848664</v>
          </cell>
          <cell r="FT273">
            <v>47.935429140738563</v>
          </cell>
          <cell r="FV273">
            <v>-29.03919862267179</v>
          </cell>
          <cell r="FW273">
            <v>-16.257938490480406</v>
          </cell>
          <cell r="FX273">
            <v>-49.323610142729123</v>
          </cell>
          <cell r="FY273">
            <v>-33.075008945261388</v>
          </cell>
          <cell r="FZ273">
            <v>-31.346270638396014</v>
          </cell>
          <cell r="GB273">
            <v>-26.585211844263878</v>
          </cell>
          <cell r="GC273">
            <v>10.122801825093175</v>
          </cell>
          <cell r="GD273">
            <v>50</v>
          </cell>
          <cell r="GE273">
            <v>73.127955584439931</v>
          </cell>
          <cell r="GF273">
            <v>32.696047200730938</v>
          </cell>
        </row>
        <row r="275">
          <cell r="AN275" t="str">
            <v>SG&amp;A</v>
          </cell>
          <cell r="EL275" t="str">
            <v>SG&amp;A</v>
          </cell>
          <cell r="ER275">
            <v>2154</v>
          </cell>
          <cell r="ES275">
            <v>2117</v>
          </cell>
          <cell r="ET275">
            <v>2094</v>
          </cell>
          <cell r="EU275">
            <v>2313</v>
          </cell>
          <cell r="EV275">
            <v>8678</v>
          </cell>
          <cell r="EX275">
            <v>2113</v>
          </cell>
          <cell r="EY275">
            <v>2038</v>
          </cell>
          <cell r="EZ275">
            <v>2121</v>
          </cell>
          <cell r="FA275">
            <v>2282</v>
          </cell>
          <cell r="FB275">
            <v>8554</v>
          </cell>
          <cell r="FD275">
            <v>2080</v>
          </cell>
          <cell r="FE275">
            <v>2037</v>
          </cell>
          <cell r="FF275">
            <v>2085</v>
          </cell>
          <cell r="FG275">
            <v>2256</v>
          </cell>
          <cell r="FH275">
            <v>8458</v>
          </cell>
          <cell r="FJ275">
            <v>1985</v>
          </cell>
          <cell r="FK275">
            <v>1886</v>
          </cell>
          <cell r="FL275">
            <v>2056</v>
          </cell>
          <cell r="FM275">
            <v>2236</v>
          </cell>
          <cell r="FN275">
            <v>8163</v>
          </cell>
          <cell r="FP275">
            <v>1993</v>
          </cell>
          <cell r="FQ275">
            <v>1953</v>
          </cell>
          <cell r="FR275">
            <v>2069</v>
          </cell>
          <cell r="FS275">
            <v>2245</v>
          </cell>
          <cell r="FT275">
            <v>8260</v>
          </cell>
          <cell r="FV275">
            <v>1973</v>
          </cell>
          <cell r="FW275">
            <v>1976</v>
          </cell>
          <cell r="FX275">
            <v>2018</v>
          </cell>
          <cell r="FY275">
            <v>2314</v>
          </cell>
          <cell r="FZ275">
            <v>8281</v>
          </cell>
          <cell r="GB275">
            <v>1995</v>
          </cell>
          <cell r="GC275">
            <v>2009</v>
          </cell>
          <cell r="GD275">
            <v>2135.8432994799609</v>
          </cell>
          <cell r="GE275">
            <v>2451.0799464756819</v>
          </cell>
          <cell r="GF275">
            <v>8590.9232459556424</v>
          </cell>
        </row>
        <row r="276">
          <cell r="AN276" t="str">
            <v>SG&amp;A Ratio</v>
          </cell>
          <cell r="EL276" t="str">
            <v>SG&amp;A Ratio</v>
          </cell>
          <cell r="ER276">
            <v>0.36323777403035412</v>
          </cell>
          <cell r="ES276">
            <v>0.35312760633861551</v>
          </cell>
          <cell r="ET276">
            <v>0.35575942915392456</v>
          </cell>
          <cell r="EU276">
            <v>0.25253848673435964</v>
          </cell>
          <cell r="EV276">
            <v>0.32176492398961809</v>
          </cell>
          <cell r="EX276">
            <v>0.35686539435906095</v>
          </cell>
          <cell r="EY276">
            <v>0.34589273591310249</v>
          </cell>
          <cell r="EZ276">
            <v>0.35912631222485608</v>
          </cell>
          <cell r="FA276">
            <v>0.2655340935536421</v>
          </cell>
          <cell r="FB276">
            <v>0.32508645916467144</v>
          </cell>
          <cell r="FD276">
            <v>0.36192796241517311</v>
          </cell>
          <cell r="FE276">
            <v>0.35624344176285416</v>
          </cell>
          <cell r="FF276">
            <v>0.37957400327689789</v>
          </cell>
          <cell r="FG276">
            <v>0.28434585328963952</v>
          </cell>
          <cell r="FH276">
            <v>0.33978788365739998</v>
          </cell>
          <cell r="FJ276">
            <v>0.37537821482602118</v>
          </cell>
          <cell r="FK276">
            <v>0.35685903500473037</v>
          </cell>
          <cell r="FL276">
            <v>0.38180129990714951</v>
          </cell>
          <cell r="FM276">
            <v>0.28139944626227031</v>
          </cell>
          <cell r="FN276">
            <v>0.34149096385542171</v>
          </cell>
          <cell r="FP276">
            <v>0.35755292429135271</v>
          </cell>
          <cell r="FQ276">
            <v>0.3527180783817952</v>
          </cell>
          <cell r="FR276">
            <v>0.36795304997332384</v>
          </cell>
          <cell r="FS276">
            <v>0.27149594872415045</v>
          </cell>
          <cell r="FT276">
            <v>0.33036035675718911</v>
          </cell>
          <cell r="FV276">
            <v>0.33503141450161317</v>
          </cell>
          <cell r="FW276">
            <v>0.33271594544536115</v>
          </cell>
          <cell r="FX276">
            <v>0.34478045446779432</v>
          </cell>
          <cell r="FY276">
            <v>0.26524530032095367</v>
          </cell>
          <cell r="FZ276">
            <v>0.31361484567316794</v>
          </cell>
          <cell r="GB276">
            <v>0.32475988930489991</v>
          </cell>
          <cell r="GC276">
            <v>0.32837528604118993</v>
          </cell>
          <cell r="GD276">
            <v>0.34720818019307514</v>
          </cell>
          <cell r="GE276">
            <v>0.25673958182743123</v>
          </cell>
          <cell r="GF276">
            <v>0.30726391872029868</v>
          </cell>
        </row>
        <row r="277">
          <cell r="AN277" t="str">
            <v>BPS Change</v>
          </cell>
          <cell r="EL277" t="str">
            <v>BPS Change</v>
          </cell>
          <cell r="ER277">
            <v>300.87540578005888</v>
          </cell>
          <cell r="ES277">
            <v>202.54296926526084</v>
          </cell>
          <cell r="ET277">
            <v>5.8391160216936244</v>
          </cell>
          <cell r="EU277">
            <v>-178.61680437304796</v>
          </cell>
          <cell r="EV277">
            <v>100.18608670279094</v>
          </cell>
          <cell r="EX277">
            <v>-63.723796712931716</v>
          </cell>
          <cell r="EY277">
            <v>-72.348704255130187</v>
          </cell>
          <cell r="EZ277">
            <v>33.668830709315259</v>
          </cell>
          <cell r="FA277">
            <v>129.95606819282469</v>
          </cell>
          <cell r="FB277">
            <v>33.215351750533472</v>
          </cell>
          <cell r="FD277">
            <v>50.625680561121598</v>
          </cell>
          <cell r="FE277">
            <v>103.50705849751674</v>
          </cell>
          <cell r="FF277">
            <v>204.47691052041804</v>
          </cell>
          <cell r="FG277">
            <v>188.11759735997413</v>
          </cell>
          <cell r="FH277">
            <v>147.01424492728543</v>
          </cell>
          <cell r="FJ277">
            <v>134.50252410848074</v>
          </cell>
          <cell r="FK277">
            <v>6.1559324187621112</v>
          </cell>
          <cell r="FL277">
            <v>22.272966302516185</v>
          </cell>
          <cell r="FM277">
            <v>-29.464070273692023</v>
          </cell>
          <cell r="FN277">
            <v>17.030801980217337</v>
          </cell>
          <cell r="FP277">
            <v>-178.25290534668468</v>
          </cell>
          <cell r="FQ277">
            <v>-41.409566229351768</v>
          </cell>
          <cell r="FR277">
            <v>-138.48249933825662</v>
          </cell>
          <cell r="FS277">
            <v>-99.034975381198649</v>
          </cell>
          <cell r="FT277">
            <v>-111.30607098232603</v>
          </cell>
          <cell r="FV277">
            <v>-225.21509789739548</v>
          </cell>
          <cell r="FW277">
            <v>-200.02132936434046</v>
          </cell>
          <cell r="FX277">
            <v>-231.72595505529526</v>
          </cell>
          <cell r="FY277">
            <v>-62.506484031967787</v>
          </cell>
          <cell r="FZ277">
            <v>-167.45511084021169</v>
          </cell>
          <cell r="GB277">
            <v>-102.7152519671326</v>
          </cell>
          <cell r="GC277">
            <v>-43.406594041712211</v>
          </cell>
          <cell r="GD277">
            <v>24.277257252808404</v>
          </cell>
          <cell r="GE277">
            <v>-85.057184935224271</v>
          </cell>
          <cell r="GF277">
            <v>-63.509269528692627</v>
          </cell>
        </row>
        <row r="279">
          <cell r="AN279" t="str">
            <v>Operating Income</v>
          </cell>
          <cell r="EL279" t="str">
            <v>Operating Income</v>
          </cell>
          <cell r="ER279">
            <v>149</v>
          </cell>
          <cell r="ES279">
            <v>408</v>
          </cell>
          <cell r="ET279">
            <v>279</v>
          </cell>
          <cell r="EU279">
            <v>1437</v>
          </cell>
          <cell r="EV279">
            <v>2273</v>
          </cell>
          <cell r="EX279">
            <v>244</v>
          </cell>
          <cell r="EY279">
            <v>347</v>
          </cell>
          <cell r="EZ279">
            <v>200</v>
          </cell>
          <cell r="FA279">
            <v>1291</v>
          </cell>
          <cell r="FB279">
            <v>2082</v>
          </cell>
          <cell r="FD279">
            <v>140</v>
          </cell>
          <cell r="FE279">
            <v>335</v>
          </cell>
          <cell r="FF279">
            <v>84</v>
          </cell>
          <cell r="FG279">
            <v>866</v>
          </cell>
          <cell r="FH279">
            <v>1425</v>
          </cell>
          <cell r="FJ279">
            <v>24</v>
          </cell>
          <cell r="FK279">
            <v>282</v>
          </cell>
          <cell r="FL279">
            <v>88</v>
          </cell>
          <cell r="FM279">
            <v>1060</v>
          </cell>
          <cell r="FN279">
            <v>1454</v>
          </cell>
          <cell r="FP279">
            <v>203</v>
          </cell>
          <cell r="FQ279">
            <v>370</v>
          </cell>
          <cell r="FR279">
            <v>177</v>
          </cell>
          <cell r="FS279">
            <v>1169</v>
          </cell>
          <cell r="FT279">
            <v>1919</v>
          </cell>
          <cell r="FV279">
            <v>330</v>
          </cell>
          <cell r="FW279">
            <v>506</v>
          </cell>
          <cell r="FX279">
            <v>291</v>
          </cell>
          <cell r="FY279">
            <v>1259</v>
          </cell>
          <cell r="FZ279">
            <v>2386</v>
          </cell>
          <cell r="GB279">
            <v>391</v>
          </cell>
          <cell r="GC279">
            <v>554</v>
          </cell>
          <cell r="GD279">
            <v>321.66301818903503</v>
          </cell>
          <cell r="GE279">
            <v>1528.7822063397339</v>
          </cell>
          <cell r="GF279">
            <v>2795.4452245287689</v>
          </cell>
        </row>
        <row r="280">
          <cell r="AN280" t="str">
            <v>Operating Margin</v>
          </cell>
          <cell r="EL280" t="str">
            <v>Operating Margin</v>
          </cell>
          <cell r="ER280">
            <v>2.5126475548060707E-2</v>
          </cell>
          <cell r="ES280">
            <v>6.805671392827356E-2</v>
          </cell>
          <cell r="ET280">
            <v>4.7400611620795105E-2</v>
          </cell>
          <cell r="EU280">
            <v>0.1568948575171962</v>
          </cell>
          <cell r="EV280">
            <v>8.4278828327771602E-2</v>
          </cell>
          <cell r="EX280">
            <v>4.12092551933795E-2</v>
          </cell>
          <cell r="EY280">
            <v>5.8893414799728448E-2</v>
          </cell>
          <cell r="EZ280">
            <v>3.3863867253640365E-2</v>
          </cell>
          <cell r="FA280">
            <v>0.15022108447754248</v>
          </cell>
          <cell r="FB280">
            <v>7.9124387185041611E-2</v>
          </cell>
          <cell r="FD280">
            <v>2.4360535931790498E-2</v>
          </cell>
          <cell r="FE280">
            <v>5.8586918502973068E-2</v>
          </cell>
          <cell r="FF280">
            <v>1.5292190060076462E-2</v>
          </cell>
          <cell r="FG280">
            <v>0.10915049155533149</v>
          </cell>
          <cell r="FH280">
            <v>5.7247308372167766E-2</v>
          </cell>
          <cell r="FJ280">
            <v>4.5385779122541605E-3</v>
          </cell>
          <cell r="FK280">
            <v>5.3358561967833493E-2</v>
          </cell>
          <cell r="FL280">
            <v>1.6341689879294335E-2</v>
          </cell>
          <cell r="FM280">
            <v>0.13340045305814247</v>
          </cell>
          <cell r="FN280">
            <v>6.0826639892904953E-2</v>
          </cell>
          <cell r="FP280">
            <v>3.6419088625762472E-2</v>
          </cell>
          <cell r="FQ280">
            <v>6.6823189452772255E-2</v>
          </cell>
          <cell r="FR280">
            <v>3.1477858794237951E-2</v>
          </cell>
          <cell r="FS280">
            <v>0.14137138710847744</v>
          </cell>
          <cell r="FT280">
            <v>7.6750789905211378E-2</v>
          </cell>
          <cell r="FV280">
            <v>5.6036678553234846E-2</v>
          </cell>
          <cell r="FW280">
            <v>8.5199528540158276E-2</v>
          </cell>
          <cell r="FX280">
            <v>4.9718093285494619E-2</v>
          </cell>
          <cell r="FY280">
            <v>0.1443145346171481</v>
          </cell>
          <cell r="FZ280">
            <v>9.0361673925392919E-2</v>
          </cell>
          <cell r="GB280">
            <v>6.3649682565521726E-2</v>
          </cell>
          <cell r="GC280">
            <v>9.0552468126838842E-2</v>
          </cell>
          <cell r="GD280">
            <v>5.2290367560213769E-2</v>
          </cell>
          <cell r="GE280">
            <v>0.16013304866911451</v>
          </cell>
          <cell r="GF280">
            <v>9.9982205598335261E-2</v>
          </cell>
        </row>
        <row r="281">
          <cell r="AN281" t="str">
            <v>BPS Change</v>
          </cell>
          <cell r="EL281" t="str">
            <v>BPS Change</v>
          </cell>
        </row>
        <row r="283">
          <cell r="AN283" t="str">
            <v>Bear Case Assumptions</v>
          </cell>
          <cell r="EL283" t="str">
            <v>Bear Case Assumptions</v>
          </cell>
        </row>
        <row r="284">
          <cell r="AN284" t="str">
            <v>Consolidated Stores Monthly Sales ($)</v>
          </cell>
          <cell r="EL284" t="str">
            <v>Consolidated Stores Monthly Sales ($)</v>
          </cell>
          <cell r="EU284">
            <v>356</v>
          </cell>
        </row>
        <row r="285">
          <cell r="AN285" t="str">
            <v>Month 1</v>
          </cell>
          <cell r="EL285" t="str">
            <v>Month 1</v>
          </cell>
          <cell r="ER285">
            <v>1800</v>
          </cell>
          <cell r="ES285">
            <v>2026</v>
          </cell>
          <cell r="ET285">
            <v>1727</v>
          </cell>
          <cell r="EU285">
            <v>2385</v>
          </cell>
          <cell r="EX285">
            <v>1802</v>
          </cell>
          <cell r="EY285">
            <v>1976</v>
          </cell>
          <cell r="EZ285">
            <v>1788</v>
          </cell>
          <cell r="FA285">
            <v>2707</v>
          </cell>
          <cell r="FD285">
            <v>1737</v>
          </cell>
          <cell r="FE285">
            <v>1926</v>
          </cell>
          <cell r="FF285">
            <v>1686</v>
          </cell>
          <cell r="FG285">
            <v>2324</v>
          </cell>
          <cell r="FJ285">
            <v>1602.5975291456411</v>
          </cell>
          <cell r="FK285">
            <v>1783.7565582371458</v>
          </cell>
          <cell r="FL285">
            <v>1576.1490988530857</v>
          </cell>
          <cell r="FM285">
            <v>2202.7766574237457</v>
          </cell>
          <cell r="FP285">
            <v>1667</v>
          </cell>
          <cell r="FQ285">
            <v>1789</v>
          </cell>
          <cell r="FR285">
            <v>1638</v>
          </cell>
          <cell r="FS285">
            <v>2341</v>
          </cell>
          <cell r="FV285">
            <v>1763</v>
          </cell>
          <cell r="FW285">
            <v>1937</v>
          </cell>
          <cell r="FX285">
            <v>1714</v>
          </cell>
          <cell r="FY285">
            <v>2465</v>
          </cell>
          <cell r="GB285">
            <v>1860</v>
          </cell>
          <cell r="GC285">
            <v>2015</v>
          </cell>
          <cell r="GD285">
            <v>1812</v>
          </cell>
          <cell r="GE285">
            <v>2490.7341222077775</v>
          </cell>
        </row>
        <row r="286">
          <cell r="AN286" t="str">
            <v>Month 2</v>
          </cell>
          <cell r="EL286" t="str">
            <v>Month 2</v>
          </cell>
          <cell r="ER286">
            <v>2255</v>
          </cell>
          <cell r="ES286">
            <v>2367</v>
          </cell>
          <cell r="ET286">
            <v>2303</v>
          </cell>
          <cell r="EU286">
            <v>4997</v>
          </cell>
          <cell r="EX286">
            <v>2288</v>
          </cell>
          <cell r="EY286">
            <v>2321</v>
          </cell>
          <cell r="EZ286">
            <v>2274</v>
          </cell>
          <cell r="FA286">
            <v>4624</v>
          </cell>
          <cell r="FD286">
            <v>2142</v>
          </cell>
          <cell r="FE286">
            <v>2249</v>
          </cell>
          <cell r="FF286">
            <v>2093</v>
          </cell>
          <cell r="FG286">
            <v>4397</v>
          </cell>
          <cell r="FJ286">
            <v>1963.7990255785628</v>
          </cell>
          <cell r="FK286">
            <v>2092.5916404337181</v>
          </cell>
          <cell r="FL286">
            <v>2084.1512834516657</v>
          </cell>
          <cell r="FM286">
            <v>4474.7693471136881</v>
          </cell>
          <cell r="FP286">
            <v>2172</v>
          </cell>
          <cell r="FQ286">
            <v>2229</v>
          </cell>
          <cell r="FR286">
            <v>2181</v>
          </cell>
          <cell r="FS286">
            <v>4619</v>
          </cell>
          <cell r="FV286">
            <v>2206</v>
          </cell>
          <cell r="FW286">
            <v>2392</v>
          </cell>
          <cell r="FX286">
            <v>2298</v>
          </cell>
          <cell r="FY286">
            <v>4925</v>
          </cell>
          <cell r="GB286">
            <v>2358</v>
          </cell>
          <cell r="GC286">
            <v>2412</v>
          </cell>
          <cell r="GD286">
            <v>2293.892456048884</v>
          </cell>
          <cell r="GE286">
            <v>4976.4160453847071</v>
          </cell>
        </row>
        <row r="287">
          <cell r="AN287" t="str">
            <v>Month 3</v>
          </cell>
          <cell r="EL287" t="str">
            <v>Month 3</v>
          </cell>
          <cell r="ER287">
            <v>1878</v>
          </cell>
          <cell r="ES287">
            <v>1608</v>
          </cell>
          <cell r="ET287">
            <v>1863</v>
          </cell>
          <cell r="EU287">
            <v>1780</v>
          </cell>
          <cell r="EX287">
            <v>1837</v>
          </cell>
          <cell r="EY287">
            <v>1602</v>
          </cell>
          <cell r="EZ287">
            <v>1849</v>
          </cell>
          <cell r="FA287">
            <v>1273</v>
          </cell>
          <cell r="FD287">
            <v>1868</v>
          </cell>
          <cell r="FE287">
            <v>1543</v>
          </cell>
          <cell r="FF287">
            <v>1714</v>
          </cell>
          <cell r="FG287">
            <v>1213</v>
          </cell>
          <cell r="FJ287">
            <v>1720.603445275796</v>
          </cell>
          <cell r="FK287">
            <v>1409.6518013291361</v>
          </cell>
          <cell r="FL287">
            <v>1725.6996176952484</v>
          </cell>
          <cell r="FM287">
            <v>1268.4539954625661</v>
          </cell>
          <cell r="FP287">
            <v>1739</v>
          </cell>
          <cell r="FQ287">
            <v>1528</v>
          </cell>
          <cell r="FR287">
            <v>1806</v>
          </cell>
          <cell r="FS287">
            <v>1310</v>
          </cell>
          <cell r="FV287">
            <v>1920</v>
          </cell>
          <cell r="FW287">
            <v>1612</v>
          </cell>
          <cell r="FX287">
            <v>1842</v>
          </cell>
          <cell r="FY287">
            <v>1336</v>
          </cell>
          <cell r="GB287">
            <v>1928</v>
          </cell>
          <cell r="GC287">
            <v>1693</v>
          </cell>
          <cell r="GD287">
            <v>1882.0033631484798</v>
          </cell>
          <cell r="GE287">
            <v>1720.1677658275225</v>
          </cell>
        </row>
        <row r="288">
          <cell r="AN288" t="str">
            <v>Total</v>
          </cell>
          <cell r="EL288" t="str">
            <v>Total</v>
          </cell>
          <cell r="ER288">
            <v>5930</v>
          </cell>
          <cell r="ES288">
            <v>5995</v>
          </cell>
          <cell r="ET288">
            <v>5886</v>
          </cell>
          <cell r="EU288">
            <v>9159</v>
          </cell>
          <cell r="EV288">
            <v>26970</v>
          </cell>
          <cell r="EX288">
            <v>5921</v>
          </cell>
          <cell r="EY288">
            <v>5892</v>
          </cell>
          <cell r="EZ288">
            <v>5906</v>
          </cell>
          <cell r="FA288">
            <v>8594</v>
          </cell>
          <cell r="FB288">
            <v>26313</v>
          </cell>
          <cell r="FD288">
            <v>5747</v>
          </cell>
          <cell r="FE288">
            <v>5718</v>
          </cell>
          <cell r="FF288">
            <v>5493</v>
          </cell>
          <cell r="FG288">
            <v>7934</v>
          </cell>
          <cell r="FH288">
            <v>24892</v>
          </cell>
          <cell r="FJ288">
            <v>5288</v>
          </cell>
          <cell r="FK288">
            <v>5285</v>
          </cell>
          <cell r="FL288">
            <v>5385</v>
          </cell>
          <cell r="FM288">
            <v>7946</v>
          </cell>
          <cell r="FN288">
            <v>23904</v>
          </cell>
          <cell r="FP288">
            <v>5574</v>
          </cell>
          <cell r="FQ288">
            <v>5537</v>
          </cell>
          <cell r="FR288">
            <v>5623</v>
          </cell>
          <cell r="FS288">
            <v>8269</v>
          </cell>
          <cell r="FT288">
            <v>25003</v>
          </cell>
          <cell r="FV288">
            <v>5889</v>
          </cell>
          <cell r="FW288">
            <v>5939</v>
          </cell>
          <cell r="FX288">
            <v>5853</v>
          </cell>
          <cell r="FY288">
            <v>8724</v>
          </cell>
          <cell r="FZ288">
            <v>26405</v>
          </cell>
          <cell r="GB288">
            <v>6143</v>
          </cell>
          <cell r="GC288">
            <v>6118</v>
          </cell>
          <cell r="GD288">
            <v>5987.8958191973634</v>
          </cell>
          <cell r="GE288">
            <v>9187.3179334200067</v>
          </cell>
          <cell r="GF288">
            <v>27436.213752617372</v>
          </cell>
        </row>
        <row r="290">
          <cell r="AN290" t="str">
            <v xml:space="preserve">Consolidated Monthly Comps </v>
          </cell>
          <cell r="EL290" t="str">
            <v xml:space="preserve">Consolidated Monthly Comps </v>
          </cell>
        </row>
        <row r="291">
          <cell r="AN291" t="str">
            <v>Month 1</v>
          </cell>
          <cell r="EL291" t="str">
            <v>Month 1</v>
          </cell>
          <cell r="ER291">
            <v>0.01</v>
          </cell>
          <cell r="ES291">
            <v>9.1999999999999998E-2</v>
          </cell>
          <cell r="ET291">
            <v>3.7999999999999999E-2</v>
          </cell>
          <cell r="EU291">
            <v>8.5000000000000006E-2</v>
          </cell>
          <cell r="EX291">
            <v>1.2E-2</v>
          </cell>
          <cell r="EY291">
            <v>-3.3000000000000002E-2</v>
          </cell>
          <cell r="EZ291">
            <v>2.4E-2</v>
          </cell>
          <cell r="FA291">
            <v>0.13400000000000001</v>
          </cell>
          <cell r="FD291">
            <v>-3.5000000000000003E-2</v>
          </cell>
          <cell r="FE291">
            <v>-1.4999999999999999E-2</v>
          </cell>
          <cell r="FF291">
            <v>-4.8000000000000001E-2</v>
          </cell>
          <cell r="FG291">
            <v>-0.13300000000000001</v>
          </cell>
          <cell r="FJ291">
            <v>-8.5000000000000006E-2</v>
          </cell>
          <cell r="FK291">
            <v>-9.0999999999999998E-2</v>
          </cell>
          <cell r="FL291">
            <v>-8.1000000000000003E-2</v>
          </cell>
          <cell r="FM291">
            <v>-6.0999999999999999E-2</v>
          </cell>
          <cell r="FP291">
            <v>3.6999999999999998E-2</v>
          </cell>
          <cell r="FQ291">
            <v>1.4E-2</v>
          </cell>
          <cell r="FR291">
            <v>4.2999999999999997E-2</v>
          </cell>
          <cell r="FS291">
            <v>6.0999999999999999E-2</v>
          </cell>
          <cell r="FV291">
            <v>5.8000000000000003E-2</v>
          </cell>
          <cell r="FW291">
            <v>7.3999999999999996E-2</v>
          </cell>
          <cell r="FX291">
            <v>0.05</v>
          </cell>
          <cell r="FY291">
            <v>4.8000000000000001E-2</v>
          </cell>
          <cell r="GB291">
            <v>4.5999999999999999E-2</v>
          </cell>
          <cell r="GC291">
            <v>4.2000000000000003E-2</v>
          </cell>
          <cell r="GD291">
            <v>5.0999999999999997E-2</v>
          </cell>
          <cell r="GE291">
            <v>0.02</v>
          </cell>
        </row>
        <row r="292">
          <cell r="AN292" t="str">
            <v>Month 2</v>
          </cell>
          <cell r="EL292" t="str">
            <v>Month 2</v>
          </cell>
          <cell r="ER292">
            <v>0</v>
          </cell>
          <cell r="ES292">
            <v>1.7000000000000001E-2</v>
          </cell>
          <cell r="ET292">
            <v>6.5000000000000002E-2</v>
          </cell>
          <cell r="EU292">
            <v>4.3999999999999997E-2</v>
          </cell>
          <cell r="EX292">
            <v>2.3E-2</v>
          </cell>
          <cell r="EY292">
            <v>-2.7E-2</v>
          </cell>
          <cell r="EZ292">
            <v>-2.7E-2</v>
          </cell>
          <cell r="FA292">
            <v>-7.9000000000000001E-2</v>
          </cell>
          <cell r="FD292">
            <v>-6.2E-2</v>
          </cell>
          <cell r="FE292">
            <v>-2.1000000000000001E-2</v>
          </cell>
          <cell r="FF292">
            <v>-6.6000000000000003E-2</v>
          </cell>
          <cell r="FG292">
            <v>-0.04</v>
          </cell>
          <cell r="FJ292">
            <v>-9.1999999999999998E-2</v>
          </cell>
          <cell r="FK292">
            <v>-8.8999999999999996E-2</v>
          </cell>
          <cell r="FL292">
            <v>-2.3E-2</v>
          </cell>
          <cell r="FM292">
            <v>0.01</v>
          </cell>
          <cell r="FP292">
            <v>0.10800000000000001</v>
          </cell>
          <cell r="FQ292">
            <v>6.5000000000000002E-2</v>
          </cell>
          <cell r="FR292">
            <v>4.8000000000000001E-2</v>
          </cell>
          <cell r="FS292">
            <v>3.9E-2</v>
          </cell>
          <cell r="FV292">
            <v>8.9999999999999993E-3</v>
          </cell>
          <cell r="FW292">
            <v>6.7000000000000004E-2</v>
          </cell>
          <cell r="FX292">
            <v>4.9000000000000002E-2</v>
          </cell>
          <cell r="FY292">
            <v>6.2E-2</v>
          </cell>
          <cell r="GB292">
            <v>7.2999999999999995E-2</v>
          </cell>
          <cell r="GC292">
            <v>1.2E-2</v>
          </cell>
          <cell r="GD292">
            <v>9.9999999999999985E-3</v>
          </cell>
          <cell r="GE292">
            <v>0.02</v>
          </cell>
        </row>
        <row r="293">
          <cell r="AN293" t="str">
            <v>Month 3</v>
          </cell>
          <cell r="EL293" t="str">
            <v>Month 3</v>
          </cell>
          <cell r="ER293">
            <v>-8.0000000000000002E-3</v>
          </cell>
          <cell r="ES293">
            <v>3.3000000000000002E-2</v>
          </cell>
          <cell r="ET293">
            <v>7.6999999999999999E-2</v>
          </cell>
          <cell r="EU293">
            <v>8.5999999999999993E-2</v>
          </cell>
          <cell r="EX293">
            <v>-2.1999999999999999E-2</v>
          </cell>
          <cell r="EY293">
            <v>-1.4E-2</v>
          </cell>
          <cell r="EZ293">
            <v>-1.4999999999999999E-2</v>
          </cell>
          <cell r="FA293">
            <v>-7.0999999999999994E-2</v>
          </cell>
          <cell r="FD293">
            <v>0.03</v>
          </cell>
          <cell r="FE293">
            <v>-2.9000000000000001E-2</v>
          </cell>
          <cell r="FF293">
            <v>-6.3E-2</v>
          </cell>
          <cell r="FG293">
            <v>-4.4999999999999998E-2</v>
          </cell>
          <cell r="FJ293">
            <v>-9.0999999999999998E-2</v>
          </cell>
          <cell r="FK293">
            <v>-0.107</v>
          </cell>
          <cell r="FL293">
            <v>-8.0000000000000002E-3</v>
          </cell>
          <cell r="FM293">
            <v>3.4000000000000002E-2</v>
          </cell>
          <cell r="FP293">
            <v>1.0999999999999999E-2</v>
          </cell>
          <cell r="FQ293">
            <v>7.2999999999999995E-2</v>
          </cell>
          <cell r="FR293">
            <v>2.5000000000000001E-2</v>
          </cell>
          <cell r="FS293">
            <v>2.5999999999999999E-2</v>
          </cell>
          <cell r="FV293">
            <v>0.108</v>
          </cell>
          <cell r="FW293">
            <v>0.05</v>
          </cell>
          <cell r="FX293">
            <v>2.1999999999999999E-2</v>
          </cell>
          <cell r="FY293">
            <v>2.4E-2</v>
          </cell>
          <cell r="GB293">
            <v>1.2E-2</v>
          </cell>
          <cell r="GC293">
            <v>4.1000000000000002E-2</v>
          </cell>
          <cell r="GD293">
            <v>3.5000000000000003E-2</v>
          </cell>
          <cell r="GE293">
            <v>3.0000000000000002E-2</v>
          </cell>
        </row>
        <row r="294">
          <cell r="AN294" t="str">
            <v>Total</v>
          </cell>
          <cell r="EL294" t="str">
            <v>Total</v>
          </cell>
          <cell r="ER294">
            <v>0</v>
          </cell>
          <cell r="ES294">
            <v>4.5999999999999999E-2</v>
          </cell>
          <cell r="ET294">
            <v>5.8999999999999997E-2</v>
          </cell>
          <cell r="EU294">
            <v>6.0999999999999999E-2</v>
          </cell>
          <cell r="EV294">
            <v>4.3999999999999997E-2</v>
          </cell>
          <cell r="EX294">
            <v>6.0000000000000001E-3</v>
          </cell>
          <cell r="EY294">
            <v>-2.5999999999999999E-2</v>
          </cell>
          <cell r="EZ294">
            <v>-8.0000000000000002E-3</v>
          </cell>
          <cell r="FA294">
            <v>-0.02</v>
          </cell>
          <cell r="FB294">
            <v>-1.2999999999999999E-2</v>
          </cell>
          <cell r="FD294">
            <v>-2.5999999999999999E-2</v>
          </cell>
          <cell r="FE294">
            <v>-2.1000000000000001E-2</v>
          </cell>
          <cell r="FF294">
            <v>-0.06</v>
          </cell>
          <cell r="FG294">
            <v>-7.0000000000000007E-2</v>
          </cell>
          <cell r="FH294">
            <v>-4.4999999999999998E-2</v>
          </cell>
          <cell r="FJ294">
            <v>-0.09</v>
          </cell>
          <cell r="FK294">
            <v>-9.5000000000000001E-2</v>
          </cell>
          <cell r="FL294">
            <v>-3.5999999999999997E-2</v>
          </cell>
          <cell r="FM294">
            <v>-5.8512769677805648E-3</v>
          </cell>
          <cell r="FN294">
            <v>-5.0968425652024113E-2</v>
          </cell>
          <cell r="FP294">
            <v>5.5E-2</v>
          </cell>
          <cell r="FQ294">
            <v>4.9000000000000002E-2</v>
          </cell>
          <cell r="FR294">
            <v>3.9E-2</v>
          </cell>
          <cell r="FS294">
            <v>4.2999999999999997E-2</v>
          </cell>
          <cell r="FT294">
            <v>4.610434747830261E-2</v>
          </cell>
          <cell r="FV294">
            <v>5.3999999999999999E-2</v>
          </cell>
          <cell r="FW294">
            <v>6.4000000000000001E-2</v>
          </cell>
          <cell r="FX294">
            <v>0.04</v>
          </cell>
          <cell r="FY294">
            <v>5.1999999999999998E-2</v>
          </cell>
          <cell r="FZ294">
            <v>5.2999999999999999E-2</v>
          </cell>
          <cell r="GB294">
            <v>4.3999999999999997E-2</v>
          </cell>
          <cell r="GC294">
            <v>0.03</v>
          </cell>
          <cell r="GD294">
            <v>3.0264561666167575E-2</v>
          </cell>
          <cell r="GE294">
            <v>2.1872328549304036E-2</v>
          </cell>
          <cell r="GF294">
            <v>3.0470716044687752E-2</v>
          </cell>
        </row>
        <row r="296">
          <cell r="AN296" t="str">
            <v xml:space="preserve">Consolidated Productivity Factor </v>
          </cell>
          <cell r="EL296" t="str">
            <v xml:space="preserve">Consolidated Productivity Factor </v>
          </cell>
        </row>
        <row r="297">
          <cell r="AN297" t="str">
            <v>Month 1</v>
          </cell>
          <cell r="EL297" t="str">
            <v>Month 1</v>
          </cell>
          <cell r="ER297">
            <v>0.85379589916801657</v>
          </cell>
          <cell r="ES297">
            <v>0.82852877251430668</v>
          </cell>
          <cell r="ET297">
            <v>0.83475030563790842</v>
          </cell>
          <cell r="EU297">
            <v>0.91480422703367681</v>
          </cell>
          <cell r="EX297">
            <v>1.0042251017232908</v>
          </cell>
          <cell r="EY297">
            <v>1.0108075527611304</v>
          </cell>
          <cell r="EZ297">
            <v>1.0032705612197608</v>
          </cell>
          <cell r="FA297">
            <v>0.99617129302855612</v>
          </cell>
          <cell r="FD297">
            <v>1.0047260256693704</v>
          </cell>
          <cell r="FE297">
            <v>1.0011731147187122</v>
          </cell>
          <cell r="FF297">
            <v>1.0015681684828099</v>
          </cell>
          <cell r="FG297">
            <v>0.9980273685296247</v>
          </cell>
          <cell r="FJ297">
            <v>1.0146680194879518</v>
          </cell>
          <cell r="FK297">
            <v>1.0229325701507319</v>
          </cell>
          <cell r="FL297">
            <v>1.0237530410429481</v>
          </cell>
          <cell r="FM297">
            <v>1.0168796021749338</v>
          </cell>
          <cell r="FP297">
            <v>1.0016060228776302</v>
          </cell>
          <cell r="FQ297">
            <v>0.98881215735067063</v>
          </cell>
          <cell r="FR297">
            <v>1.0007452413933455</v>
          </cell>
          <cell r="FS297">
            <v>1.0028115913956974</v>
          </cell>
          <cell r="FV297">
            <v>1.0005096291516782</v>
          </cell>
          <cell r="FW297">
            <v>1.0081721608307339</v>
          </cell>
          <cell r="FX297">
            <v>0.99435769750356207</v>
          </cell>
          <cell r="FY297">
            <v>1.0114048185081832</v>
          </cell>
          <cell r="GB297">
            <v>1.0253009585429893</v>
          </cell>
          <cell r="GC297">
            <v>1.0133052611979987</v>
          </cell>
          <cell r="GD297">
            <v>1.018088666893139</v>
          </cell>
          <cell r="GE297">
            <v>1</v>
          </cell>
        </row>
        <row r="298">
          <cell r="AN298" t="str">
            <v>Month 2</v>
          </cell>
          <cell r="EL298" t="str">
            <v>Month 2</v>
          </cell>
          <cell r="ER298">
            <v>0.87143545576033965</v>
          </cell>
          <cell r="ES298">
            <v>0.86259214604526391</v>
          </cell>
          <cell r="ET298">
            <v>0.95476655228407081</v>
          </cell>
          <cell r="EU298">
            <v>0.95390310394604827</v>
          </cell>
          <cell r="EX298">
            <v>0.99756383077735888</v>
          </cell>
          <cell r="EY298">
            <v>1.0076309712339664</v>
          </cell>
          <cell r="EZ298">
            <v>1.0058439901456568</v>
          </cell>
          <cell r="FA298">
            <v>1.0104925603418453</v>
          </cell>
          <cell r="FD298">
            <v>1.0038919718017412</v>
          </cell>
          <cell r="FE298">
            <v>1.0002262623646179</v>
          </cell>
          <cell r="FF298">
            <v>1.0022779610885877</v>
          </cell>
          <cell r="FG298">
            <v>0.98797059201406712</v>
          </cell>
          <cell r="FJ298">
            <v>1.0172356632303496</v>
          </cell>
          <cell r="FK298">
            <v>1.0266388149144143</v>
          </cell>
          <cell r="FL298">
            <v>1.0185440088098592</v>
          </cell>
          <cell r="FM298">
            <v>1.0150644106268683</v>
          </cell>
          <cell r="FP298">
            <v>0.9967530496300272</v>
          </cell>
          <cell r="FQ298">
            <v>0.99989171377441255</v>
          </cell>
          <cell r="FR298">
            <v>1.0028971230689774</v>
          </cell>
          <cell r="FS298">
            <v>0.9946391314592461</v>
          </cell>
          <cell r="FV298">
            <v>1.0074992903911262</v>
          </cell>
          <cell r="FW298">
            <v>1.0057878604073234</v>
          </cell>
          <cell r="FX298">
            <v>1.0057401642886414</v>
          </cell>
          <cell r="FY298">
            <v>1.0118477756232767</v>
          </cell>
          <cell r="GB298">
            <v>1.0102541230632647</v>
          </cell>
          <cell r="GC298">
            <v>1.011143062170935</v>
          </cell>
          <cell r="GD298">
            <v>1</v>
          </cell>
          <cell r="GE298">
            <v>1</v>
          </cell>
        </row>
        <row r="299">
          <cell r="AN299" t="str">
            <v>Month 3</v>
          </cell>
          <cell r="EL299" t="str">
            <v>Month 3</v>
          </cell>
          <cell r="ER299">
            <v>0.85509041472763314</v>
          </cell>
          <cell r="ES299">
            <v>0.83302342705472399</v>
          </cell>
          <cell r="ET299">
            <v>0.9300581404093593</v>
          </cell>
          <cell r="EU299">
            <v>0.88885616548937241</v>
          </cell>
          <cell r="EX299">
            <v>1.0012993536198342</v>
          </cell>
          <cell r="EY299">
            <v>1.0067406823426219</v>
          </cell>
          <cell r="EZ299">
            <v>1.0010354929971583</v>
          </cell>
          <cell r="FA299">
            <v>0.77697496531497701</v>
          </cell>
          <cell r="FD299">
            <v>0.99998610863561077</v>
          </cell>
          <cell r="FE299">
            <v>1.0000776716315167</v>
          </cell>
          <cell r="FF299">
            <v>1.0026881239876493</v>
          </cell>
          <cell r="FG299">
            <v>1.0034001517037674</v>
          </cell>
          <cell r="FJ299">
            <v>1.017274065207098</v>
          </cell>
          <cell r="FK299">
            <v>1.0307481774152398</v>
          </cell>
          <cell r="FL299">
            <v>1.0154616377110075</v>
          </cell>
          <cell r="FM299">
            <v>1.009307170702717</v>
          </cell>
          <cell r="FP299">
            <v>1.0005893323256754</v>
          </cell>
          <cell r="FQ299">
            <v>1.0111137394005785</v>
          </cell>
          <cell r="FR299">
            <v>1.0254628236300125</v>
          </cell>
          <cell r="FS299">
            <v>1.00775043725629</v>
          </cell>
          <cell r="FV299">
            <v>0.99618702023241001</v>
          </cell>
          <cell r="FW299">
            <v>1.0047825549823146</v>
          </cell>
          <cell r="FX299">
            <v>1.0004489851343907</v>
          </cell>
          <cell r="FY299">
            <v>1.008520012530175</v>
          </cell>
          <cell r="GB299">
            <v>1.0062765433093959</v>
          </cell>
          <cell r="GC299">
            <v>1.0227639737625074</v>
          </cell>
          <cell r="GD299">
            <v>1</v>
          </cell>
          <cell r="GE299">
            <v>1</v>
          </cell>
        </row>
        <row r="300">
          <cell r="AN300" t="str">
            <v>Total</v>
          </cell>
          <cell r="EL300" t="str">
            <v>Total</v>
          </cell>
        </row>
        <row r="302">
          <cell r="AN302" t="str">
            <v>Cost of Goods Sold</v>
          </cell>
          <cell r="EL302" t="str">
            <v>Cost of Goods Sold</v>
          </cell>
          <cell r="ER302">
            <v>3627</v>
          </cell>
          <cell r="ES302">
            <v>3470</v>
          </cell>
          <cell r="ET302">
            <v>3513</v>
          </cell>
          <cell r="EU302">
            <v>5409</v>
          </cell>
          <cell r="EV302">
            <v>16019</v>
          </cell>
          <cell r="EX302">
            <v>3564</v>
          </cell>
          <cell r="EY302">
            <v>3507</v>
          </cell>
          <cell r="EZ302">
            <v>3585</v>
          </cell>
          <cell r="FA302">
            <v>5021</v>
          </cell>
          <cell r="FB302">
            <v>15677</v>
          </cell>
          <cell r="FD302">
            <v>3527</v>
          </cell>
          <cell r="FE302">
            <v>3346</v>
          </cell>
          <cell r="FF302">
            <v>3324</v>
          </cell>
          <cell r="FG302">
            <v>4812</v>
          </cell>
          <cell r="FH302">
            <v>15009</v>
          </cell>
          <cell r="FJ302">
            <v>3279</v>
          </cell>
          <cell r="FK302">
            <v>3117</v>
          </cell>
          <cell r="FL302">
            <v>3241</v>
          </cell>
          <cell r="FM302">
            <v>4641</v>
          </cell>
          <cell r="FN302">
            <v>14278</v>
          </cell>
          <cell r="FP302">
            <v>3378</v>
          </cell>
          <cell r="FQ302">
            <v>3214</v>
          </cell>
          <cell r="FR302">
            <v>3377</v>
          </cell>
          <cell r="FS302">
            <v>4855</v>
          </cell>
          <cell r="FT302">
            <v>14824</v>
          </cell>
          <cell r="FV302">
            <v>3586</v>
          </cell>
          <cell r="FW302">
            <v>3457</v>
          </cell>
          <cell r="FX302">
            <v>3544</v>
          </cell>
          <cell r="FY302">
            <v>5151</v>
          </cell>
          <cell r="FZ302">
            <v>15738</v>
          </cell>
          <cell r="GB302">
            <v>3757</v>
          </cell>
          <cell r="GC302">
            <v>3555</v>
          </cell>
          <cell r="GD302">
            <v>3637.655406064408</v>
          </cell>
          <cell r="GE302">
            <v>5421.68776484106</v>
          </cell>
          <cell r="GF302">
            <v>16371.343170905468</v>
          </cell>
        </row>
        <row r="303">
          <cell r="AN303" t="str">
            <v>% of Sales</v>
          </cell>
          <cell r="EL303" t="str">
            <v>% of Sales</v>
          </cell>
          <cell r="ER303">
            <v>0.61163575042158513</v>
          </cell>
          <cell r="ES303">
            <v>0.57881567973311088</v>
          </cell>
          <cell r="ET303">
            <v>0.59683995922528033</v>
          </cell>
          <cell r="EU303">
            <v>0.59056665574844414</v>
          </cell>
          <cell r="EV303">
            <v>0.59395624768261035</v>
          </cell>
          <cell r="EX303">
            <v>0.60192535044755957</v>
          </cell>
          <cell r="EY303">
            <v>0.59521384928716903</v>
          </cell>
          <cell r="EZ303">
            <v>0.60700982052150354</v>
          </cell>
          <cell r="FA303">
            <v>0.58424482196881544</v>
          </cell>
          <cell r="FB303">
            <v>0.59578915365028695</v>
          </cell>
          <cell r="FD303">
            <v>0.61371150165303634</v>
          </cell>
          <cell r="FE303">
            <v>0.5851696397341728</v>
          </cell>
          <cell r="FF303">
            <v>0.60513380666302563</v>
          </cell>
          <cell r="FG303">
            <v>0.60650365515502902</v>
          </cell>
          <cell r="FH303">
            <v>0.60296480797043228</v>
          </cell>
          <cell r="FJ303">
            <v>0.62008320726172461</v>
          </cell>
          <cell r="FK303">
            <v>0.58978240302743612</v>
          </cell>
          <cell r="FL303">
            <v>0.6018570102135562</v>
          </cell>
          <cell r="FM303">
            <v>0.58406745532343318</v>
          </cell>
          <cell r="FN303">
            <v>0.59730589022757696</v>
          </cell>
          <cell r="FP303">
            <v>0.60602798708288486</v>
          </cell>
          <cell r="FQ303">
            <v>0.58045873216543253</v>
          </cell>
          <cell r="FR303">
            <v>0.60056909123243818</v>
          </cell>
          <cell r="FS303">
            <v>0.58713266416737209</v>
          </cell>
          <cell r="FT303">
            <v>0.59288885333759944</v>
          </cell>
          <cell r="FV303">
            <v>0.60893190694515198</v>
          </cell>
          <cell r="FW303">
            <v>0.58208452601448057</v>
          </cell>
          <cell r="FX303">
            <v>0.60550145224671104</v>
          </cell>
          <cell r="FY303">
            <v>0.59044016506189823</v>
          </cell>
          <cell r="FZ303">
            <v>0.59602348040143915</v>
          </cell>
          <cell r="GB303">
            <v>0.61159042812957842</v>
          </cell>
          <cell r="GC303">
            <v>0.58107224583197126</v>
          </cell>
          <cell r="GD303">
            <v>0.60750145224671104</v>
          </cell>
          <cell r="GE303">
            <v>0.59012736950345424</v>
          </cell>
          <cell r="GF303">
            <v>0.59670562849962006</v>
          </cell>
        </row>
        <row r="304">
          <cell r="AN304" t="str">
            <v>BPS Change</v>
          </cell>
          <cell r="EL304" t="str">
            <v>BPS Change</v>
          </cell>
          <cell r="ER304">
            <v>139.97738886292632</v>
          </cell>
          <cell r="ES304">
            <v>-79.90834205613973</v>
          </cell>
          <cell r="ET304">
            <v>6.2033726308408088</v>
          </cell>
          <cell r="EU304">
            <v>-5.9414249625333593</v>
          </cell>
          <cell r="EV304">
            <v>11.916206169559906</v>
          </cell>
          <cell r="EX304">
            <v>-97.103999740255631</v>
          </cell>
          <cell r="EY304">
            <v>163.98169554058151</v>
          </cell>
          <cell r="EZ304">
            <v>101.69861296223215</v>
          </cell>
          <cell r="FA304">
            <v>-63.218337796286939</v>
          </cell>
          <cell r="FB304">
            <v>18.329059676766015</v>
          </cell>
          <cell r="FD304">
            <v>117.86151205476769</v>
          </cell>
          <cell r="FE304">
            <v>-100.4420955299623</v>
          </cell>
          <cell r="FF304">
            <v>-18.760138584779096</v>
          </cell>
          <cell r="FG304">
            <v>222.58833186213579</v>
          </cell>
          <cell r="FH304">
            <v>71.756543201453297</v>
          </cell>
          <cell r="FJ304">
            <v>63.717056086882721</v>
          </cell>
          <cell r="FK304">
            <v>46.127632932633219</v>
          </cell>
          <cell r="FL304">
            <v>-32.767964494694326</v>
          </cell>
          <cell r="FM304">
            <v>-224.36199831595837</v>
          </cell>
          <cell r="FN304">
            <v>-56.589177428553185</v>
          </cell>
          <cell r="FP304">
            <v>-140.55220178839755</v>
          </cell>
          <cell r="FQ304">
            <v>-93.236708620035856</v>
          </cell>
          <cell r="FR304">
            <v>-12.879189811180192</v>
          </cell>
          <cell r="FS304">
            <v>30.652088439389047</v>
          </cell>
          <cell r="FT304">
            <v>-44.170368899775212</v>
          </cell>
          <cell r="FV304">
            <v>29.039198622671236</v>
          </cell>
          <cell r="FW304">
            <v>16.257938490480406</v>
          </cell>
          <cell r="FX304">
            <v>49.323610142728569</v>
          </cell>
          <cell r="FY304">
            <v>33.075008945261388</v>
          </cell>
          <cell r="FZ304">
            <v>31.346270638397122</v>
          </cell>
          <cell r="GB304">
            <v>26.585211844264435</v>
          </cell>
          <cell r="GC304">
            <v>-10.122801825093175</v>
          </cell>
          <cell r="GD304">
            <v>20.000000000000018</v>
          </cell>
          <cell r="GE304">
            <v>-3.127955584439901</v>
          </cell>
          <cell r="GF304">
            <v>6.8214809818090139</v>
          </cell>
        </row>
        <row r="306">
          <cell r="AN306" t="str">
            <v>Gross Income</v>
          </cell>
          <cell r="EL306" t="str">
            <v>Gross Income</v>
          </cell>
          <cell r="ER306">
            <v>2303</v>
          </cell>
          <cell r="ES306">
            <v>2525</v>
          </cell>
          <cell r="ET306">
            <v>2373</v>
          </cell>
          <cell r="EU306">
            <v>3750</v>
          </cell>
          <cell r="EV306">
            <v>10951</v>
          </cell>
          <cell r="EX306">
            <v>2357</v>
          </cell>
          <cell r="EY306">
            <v>2385</v>
          </cell>
          <cell r="EZ306">
            <v>2321</v>
          </cell>
          <cell r="FA306">
            <v>3573</v>
          </cell>
          <cell r="FB306">
            <v>10636</v>
          </cell>
          <cell r="FD306">
            <v>2220</v>
          </cell>
          <cell r="FE306">
            <v>2372</v>
          </cell>
          <cell r="FF306">
            <v>2169</v>
          </cell>
          <cell r="FG306">
            <v>3122</v>
          </cell>
          <cell r="FH306">
            <v>9883</v>
          </cell>
          <cell r="FJ306">
            <v>2009</v>
          </cell>
          <cell r="FK306">
            <v>2168</v>
          </cell>
          <cell r="FL306">
            <v>2144</v>
          </cell>
          <cell r="FM306">
            <v>3296</v>
          </cell>
          <cell r="FN306">
            <v>9617</v>
          </cell>
          <cell r="FP306">
            <v>2196</v>
          </cell>
          <cell r="FQ306">
            <v>2323</v>
          </cell>
          <cell r="FR306">
            <v>2246</v>
          </cell>
          <cell r="FS306">
            <v>3414</v>
          </cell>
          <cell r="FT306">
            <v>10179</v>
          </cell>
          <cell r="FV306">
            <v>2303</v>
          </cell>
          <cell r="FW306">
            <v>2482</v>
          </cell>
          <cell r="FX306">
            <v>2309</v>
          </cell>
          <cell r="FY306">
            <v>3573</v>
          </cell>
          <cell r="FZ306">
            <v>10667</v>
          </cell>
          <cell r="GB306">
            <v>2386</v>
          </cell>
          <cell r="GC306">
            <v>2563</v>
          </cell>
          <cell r="GD306">
            <v>2350.2404131329554</v>
          </cell>
          <cell r="GE306">
            <v>3765.6301685789467</v>
          </cell>
          <cell r="GF306">
            <v>11064.870581711901</v>
          </cell>
        </row>
        <row r="307">
          <cell r="AN307" t="str">
            <v>Gross Margin</v>
          </cell>
          <cell r="EL307" t="str">
            <v>Gross Margin</v>
          </cell>
          <cell r="ER307">
            <v>0.38836424957841487</v>
          </cell>
          <cell r="ES307">
            <v>0.42118432026688907</v>
          </cell>
          <cell r="ET307">
            <v>0.40316004077471967</v>
          </cell>
          <cell r="EU307">
            <v>0.40943334425155586</v>
          </cell>
          <cell r="EV307">
            <v>0.40604375231738971</v>
          </cell>
          <cell r="EX307">
            <v>0.39807464955244048</v>
          </cell>
          <cell r="EY307">
            <v>0.40478615071283097</v>
          </cell>
          <cell r="EZ307">
            <v>0.39299017947849646</v>
          </cell>
          <cell r="FA307">
            <v>0.41575517803118456</v>
          </cell>
          <cell r="FB307">
            <v>0.40421084634971305</v>
          </cell>
          <cell r="FD307">
            <v>0.38628849834696366</v>
          </cell>
          <cell r="FE307">
            <v>0.4148303602658272</v>
          </cell>
          <cell r="FF307">
            <v>0.39486619333697431</v>
          </cell>
          <cell r="FG307">
            <v>0.39349634484497104</v>
          </cell>
          <cell r="FH307">
            <v>0.39703519202956772</v>
          </cell>
          <cell r="FJ307">
            <v>0.37991679273827533</v>
          </cell>
          <cell r="FK307">
            <v>0.41021759697256388</v>
          </cell>
          <cell r="FL307">
            <v>0.3981429897864438</v>
          </cell>
          <cell r="FM307">
            <v>0.41479989932041278</v>
          </cell>
          <cell r="FN307">
            <v>0.40231760374832665</v>
          </cell>
          <cell r="FP307">
            <v>0.3939720129171152</v>
          </cell>
          <cell r="FQ307">
            <v>0.41954126783456747</v>
          </cell>
          <cell r="FR307">
            <v>0.39943090876756182</v>
          </cell>
          <cell r="FS307">
            <v>0.41286733583262791</v>
          </cell>
          <cell r="FT307">
            <v>0.4071111466624005</v>
          </cell>
          <cell r="FV307">
            <v>0.39106809305484802</v>
          </cell>
          <cell r="FW307">
            <v>0.41791547398551943</v>
          </cell>
          <cell r="FX307">
            <v>0.39449854775328891</v>
          </cell>
          <cell r="FY307">
            <v>0.40955983493810177</v>
          </cell>
          <cell r="FZ307">
            <v>0.4039765195985609</v>
          </cell>
          <cell r="GB307">
            <v>0.38840957187042163</v>
          </cell>
          <cell r="GC307">
            <v>0.41892775416802874</v>
          </cell>
          <cell r="GD307">
            <v>0.39249854775328891</v>
          </cell>
          <cell r="GE307">
            <v>0.40987263049654576</v>
          </cell>
          <cell r="GF307">
            <v>0.40329437150037983</v>
          </cell>
        </row>
        <row r="308">
          <cell r="AN308" t="str">
            <v>BPS Change</v>
          </cell>
          <cell r="EL308" t="str">
            <v>BPS Change</v>
          </cell>
          <cell r="ER308">
            <v>-139.97738886292632</v>
          </cell>
          <cell r="ES308">
            <v>79.908342056138622</v>
          </cell>
          <cell r="ET308">
            <v>-6.2033726308408088</v>
          </cell>
          <cell r="EU308">
            <v>5.9414249625339144</v>
          </cell>
          <cell r="EV308">
            <v>-11.916206169559906</v>
          </cell>
          <cell r="EX308">
            <v>97.103999740256185</v>
          </cell>
          <cell r="EY308">
            <v>-163.98169554058094</v>
          </cell>
          <cell r="EZ308">
            <v>-101.69861296223215</v>
          </cell>
          <cell r="FA308">
            <v>63.218337796286939</v>
          </cell>
          <cell r="FB308">
            <v>-18.329059676766569</v>
          </cell>
          <cell r="FD308">
            <v>-117.86151205476824</v>
          </cell>
          <cell r="FE308">
            <v>100.4420955299623</v>
          </cell>
          <cell r="FF308">
            <v>18.760138584778542</v>
          </cell>
          <cell r="FG308">
            <v>-222.58833186213522</v>
          </cell>
          <cell r="FH308">
            <v>-71.756543201453297</v>
          </cell>
          <cell r="FJ308">
            <v>-63.717056086883275</v>
          </cell>
          <cell r="FK308">
            <v>-46.127632932633219</v>
          </cell>
          <cell r="FL308">
            <v>32.76796449469488</v>
          </cell>
          <cell r="FM308">
            <v>213.03554475441743</v>
          </cell>
          <cell r="FN308">
            <v>52.82411718758928</v>
          </cell>
          <cell r="FP308">
            <v>140.55220178839866</v>
          </cell>
          <cell r="FQ308">
            <v>93.236708620035856</v>
          </cell>
          <cell r="FR308">
            <v>12.879189811180192</v>
          </cell>
          <cell r="FS308">
            <v>-19.325634877848664</v>
          </cell>
          <cell r="FT308">
            <v>47.935429140738563</v>
          </cell>
          <cell r="FV308">
            <v>-29.03919862267179</v>
          </cell>
          <cell r="FW308">
            <v>-16.257938490480406</v>
          </cell>
          <cell r="FX308">
            <v>-49.323610142729123</v>
          </cell>
          <cell r="FY308">
            <v>-33.075008945261388</v>
          </cell>
          <cell r="FZ308">
            <v>-31.346270638396014</v>
          </cell>
          <cell r="GB308">
            <v>-26.585211844263878</v>
          </cell>
          <cell r="GC308">
            <v>10.122801825093175</v>
          </cell>
          <cell r="GD308">
            <v>-20</v>
          </cell>
          <cell r="GE308">
            <v>3.1279555844399312</v>
          </cell>
          <cell r="GF308">
            <v>-6.8214809818106792</v>
          </cell>
        </row>
        <row r="310">
          <cell r="AN310" t="str">
            <v>Total SG&amp;A</v>
          </cell>
          <cell r="EL310" t="str">
            <v>Total SG&amp;A</v>
          </cell>
          <cell r="ER310">
            <v>2154</v>
          </cell>
          <cell r="ES310">
            <v>2117</v>
          </cell>
          <cell r="ET310">
            <v>2094</v>
          </cell>
          <cell r="EU310">
            <v>2313</v>
          </cell>
          <cell r="EV310">
            <v>8678</v>
          </cell>
          <cell r="EX310">
            <v>2113</v>
          </cell>
          <cell r="EY310">
            <v>2038</v>
          </cell>
          <cell r="EZ310">
            <v>2121</v>
          </cell>
          <cell r="FA310">
            <v>2282</v>
          </cell>
          <cell r="FB310">
            <v>8554</v>
          </cell>
          <cell r="FD310">
            <v>2080</v>
          </cell>
          <cell r="FE310">
            <v>2037</v>
          </cell>
          <cell r="FF310">
            <v>2085</v>
          </cell>
          <cell r="FG310">
            <v>2256</v>
          </cell>
          <cell r="FH310">
            <v>8458</v>
          </cell>
          <cell r="FJ310">
            <v>1985</v>
          </cell>
          <cell r="FK310">
            <v>1886</v>
          </cell>
          <cell r="FL310">
            <v>2056</v>
          </cell>
          <cell r="FM310">
            <v>2236</v>
          </cell>
          <cell r="FN310">
            <v>8163</v>
          </cell>
          <cell r="FP310">
            <v>1993</v>
          </cell>
          <cell r="FQ310">
            <v>1953</v>
          </cell>
          <cell r="FR310">
            <v>2069</v>
          </cell>
          <cell r="FS310">
            <v>2245</v>
          </cell>
          <cell r="FT310">
            <v>8260</v>
          </cell>
          <cell r="FV310">
            <v>1973</v>
          </cell>
          <cell r="FW310">
            <v>1976</v>
          </cell>
          <cell r="FX310">
            <v>2018</v>
          </cell>
          <cell r="FY310">
            <v>2314</v>
          </cell>
          <cell r="FZ310">
            <v>8281</v>
          </cell>
          <cell r="GB310">
            <v>1995</v>
          </cell>
          <cell r="GC310">
            <v>2009</v>
          </cell>
          <cell r="GD310">
            <v>2108.3871000833064</v>
          </cell>
          <cell r="GE310">
            <v>2403.7660222156705</v>
          </cell>
          <cell r="GF310">
            <v>8516.1531222989761</v>
          </cell>
        </row>
        <row r="311">
          <cell r="AN311" t="str">
            <v>SG&amp;A Ratio</v>
          </cell>
          <cell r="EL311" t="str">
            <v>SG&amp;A Ratio</v>
          </cell>
          <cell r="ER311">
            <v>0.36323777403035412</v>
          </cell>
          <cell r="ES311">
            <v>0.35312760633861551</v>
          </cell>
          <cell r="ET311">
            <v>0.35575942915392456</v>
          </cell>
          <cell r="EU311">
            <v>0.25253848673435964</v>
          </cell>
          <cell r="EV311">
            <v>0.32176492398961809</v>
          </cell>
          <cell r="EX311">
            <v>0.35686539435906095</v>
          </cell>
          <cell r="EY311">
            <v>0.34589273591310249</v>
          </cell>
          <cell r="EZ311">
            <v>0.35912631222485608</v>
          </cell>
          <cell r="FA311">
            <v>0.2655340935536421</v>
          </cell>
          <cell r="FB311">
            <v>0.32508645916467144</v>
          </cell>
          <cell r="FD311">
            <v>0.36192796241517311</v>
          </cell>
          <cell r="FE311">
            <v>0.35624344176285416</v>
          </cell>
          <cell r="FF311">
            <v>0.37957400327689789</v>
          </cell>
          <cell r="FG311">
            <v>0.28434585328963952</v>
          </cell>
          <cell r="FH311">
            <v>0.33978788365739998</v>
          </cell>
          <cell r="FJ311">
            <v>0.37537821482602118</v>
          </cell>
          <cell r="FK311">
            <v>0.35685903500473037</v>
          </cell>
          <cell r="FL311">
            <v>0.38180129990714951</v>
          </cell>
          <cell r="FM311">
            <v>0.28139944626227031</v>
          </cell>
          <cell r="FN311">
            <v>0.34149096385542171</v>
          </cell>
          <cell r="FP311">
            <v>0.35755292429135271</v>
          </cell>
          <cell r="FQ311">
            <v>0.3527180783817952</v>
          </cell>
          <cell r="FR311">
            <v>0.36795304997332384</v>
          </cell>
          <cell r="FS311">
            <v>0.27149594872415045</v>
          </cell>
          <cell r="FT311">
            <v>0.33036035675718911</v>
          </cell>
          <cell r="FV311">
            <v>0.33503141450161317</v>
          </cell>
          <cell r="FW311">
            <v>0.33271594544536115</v>
          </cell>
          <cell r="FX311">
            <v>0.34478045446779432</v>
          </cell>
          <cell r="FY311">
            <v>0.26524530032095367</v>
          </cell>
          <cell r="FZ311">
            <v>0.31361484567316794</v>
          </cell>
          <cell r="GB311">
            <v>0.32475988930489991</v>
          </cell>
          <cell r="GC311">
            <v>0.32837528604118993</v>
          </cell>
          <cell r="GD311">
            <v>0.35210818019307516</v>
          </cell>
          <cell r="GE311">
            <v>0.26163958182743124</v>
          </cell>
          <cell r="GF311">
            <v>0.31039826410036436</v>
          </cell>
        </row>
        <row r="312">
          <cell r="AN312" t="str">
            <v>BPS Change</v>
          </cell>
          <cell r="EL312" t="str">
            <v>BPS Change</v>
          </cell>
          <cell r="ER312">
            <v>300.87540578005888</v>
          </cell>
          <cell r="ES312">
            <v>202.54296926526084</v>
          </cell>
          <cell r="ET312">
            <v>5.8391160216936244</v>
          </cell>
          <cell r="EU312">
            <v>-178.61680437304796</v>
          </cell>
          <cell r="EV312">
            <v>100.18608670279094</v>
          </cell>
          <cell r="EX312">
            <v>-63.723796712931716</v>
          </cell>
          <cell r="EY312">
            <v>-72.348704255130187</v>
          </cell>
          <cell r="EZ312">
            <v>33.668830709315259</v>
          </cell>
          <cell r="FA312">
            <v>129.95606819282469</v>
          </cell>
          <cell r="FB312">
            <v>33.215351750533472</v>
          </cell>
          <cell r="FD312">
            <v>50.625680561121598</v>
          </cell>
          <cell r="FE312">
            <v>103.50705849751674</v>
          </cell>
          <cell r="FF312">
            <v>204.47691052041804</v>
          </cell>
          <cell r="FG312">
            <v>188.11759735997413</v>
          </cell>
          <cell r="FH312">
            <v>147.01424492728543</v>
          </cell>
          <cell r="FJ312">
            <v>134.50252410848074</v>
          </cell>
          <cell r="FK312">
            <v>6.1559324187621112</v>
          </cell>
          <cell r="FL312">
            <v>22.272966302516185</v>
          </cell>
          <cell r="FM312">
            <v>-29.464070273692023</v>
          </cell>
          <cell r="FN312">
            <v>17.030801980217337</v>
          </cell>
          <cell r="FP312">
            <v>-178.25290534668468</v>
          </cell>
          <cell r="FQ312">
            <v>-41.409566229351768</v>
          </cell>
          <cell r="FR312">
            <v>-138.48249933825662</v>
          </cell>
          <cell r="FS312">
            <v>-99.034975381198649</v>
          </cell>
          <cell r="FT312">
            <v>-111.30607098232603</v>
          </cell>
          <cell r="FV312">
            <v>-225.21509789739548</v>
          </cell>
          <cell r="FW312">
            <v>-200.02132936434046</v>
          </cell>
          <cell r="FX312">
            <v>-231.72595505529526</v>
          </cell>
          <cell r="FY312">
            <v>-62.506484031967787</v>
          </cell>
          <cell r="FZ312">
            <v>-167.45511084021169</v>
          </cell>
          <cell r="GB312">
            <v>-102.7152519671326</v>
          </cell>
          <cell r="GC312">
            <v>-43.406594041712211</v>
          </cell>
          <cell r="GD312">
            <v>73.277257252808397</v>
          </cell>
          <cell r="GE312">
            <v>-36.057184935224271</v>
          </cell>
          <cell r="GF312">
            <v>-32.165815728035781</v>
          </cell>
        </row>
        <row r="314">
          <cell r="AN314" t="str">
            <v>Operating Income</v>
          </cell>
          <cell r="EL314" t="str">
            <v>Operating Income</v>
          </cell>
          <cell r="ER314">
            <v>149</v>
          </cell>
          <cell r="ES314">
            <v>408</v>
          </cell>
          <cell r="ET314">
            <v>279</v>
          </cell>
          <cell r="EU314">
            <v>1437</v>
          </cell>
          <cell r="EV314">
            <v>2273</v>
          </cell>
          <cell r="EX314">
            <v>244</v>
          </cell>
          <cell r="EY314">
            <v>347</v>
          </cell>
          <cell r="EZ314">
            <v>200</v>
          </cell>
          <cell r="FA314">
            <v>1291</v>
          </cell>
          <cell r="FB314">
            <v>2082</v>
          </cell>
          <cell r="FD314">
            <v>140</v>
          </cell>
          <cell r="FE314">
            <v>335</v>
          </cell>
          <cell r="FF314">
            <v>84</v>
          </cell>
          <cell r="FG314">
            <v>866</v>
          </cell>
          <cell r="FH314">
            <v>1425</v>
          </cell>
          <cell r="FJ314">
            <v>24</v>
          </cell>
          <cell r="FK314">
            <v>282</v>
          </cell>
          <cell r="FL314">
            <v>88</v>
          </cell>
          <cell r="FM314">
            <v>1060</v>
          </cell>
          <cell r="FN314">
            <v>1454</v>
          </cell>
          <cell r="FP314">
            <v>203</v>
          </cell>
          <cell r="FQ314">
            <v>370</v>
          </cell>
          <cell r="FR314">
            <v>177</v>
          </cell>
          <cell r="FS314">
            <v>1169</v>
          </cell>
          <cell r="FT314">
            <v>1919</v>
          </cell>
          <cell r="FV314">
            <v>330</v>
          </cell>
          <cell r="FW314">
            <v>506</v>
          </cell>
          <cell r="FX314">
            <v>291</v>
          </cell>
          <cell r="FY314">
            <v>1259</v>
          </cell>
          <cell r="FZ314">
            <v>2386</v>
          </cell>
          <cell r="GB314">
            <v>391</v>
          </cell>
          <cell r="GC314">
            <v>554</v>
          </cell>
          <cell r="GD314">
            <v>241.85331304964893</v>
          </cell>
          <cell r="GE314">
            <v>1361.8641463632762</v>
          </cell>
          <cell r="GF314">
            <v>2548.7174594129251</v>
          </cell>
        </row>
        <row r="315">
          <cell r="AN315" t="str">
            <v>Operating Margin</v>
          </cell>
          <cell r="EL315" t="str">
            <v>Operating Margin</v>
          </cell>
          <cell r="ER315">
            <v>2.5126475548060707E-2</v>
          </cell>
          <cell r="ES315">
            <v>6.805671392827356E-2</v>
          </cell>
          <cell r="ET315">
            <v>4.7400611620795105E-2</v>
          </cell>
          <cell r="EU315">
            <v>0.1568948575171962</v>
          </cell>
          <cell r="EV315">
            <v>8.4278828327771602E-2</v>
          </cell>
          <cell r="EX315">
            <v>4.12092551933795E-2</v>
          </cell>
          <cell r="EY315">
            <v>5.8893414799728448E-2</v>
          </cell>
          <cell r="EZ315">
            <v>3.3863867253640365E-2</v>
          </cell>
          <cell r="FA315">
            <v>0.15022108447754248</v>
          </cell>
          <cell r="FB315">
            <v>7.9124387185041611E-2</v>
          </cell>
          <cell r="FD315">
            <v>2.4360535931790498E-2</v>
          </cell>
          <cell r="FE315">
            <v>5.8586918502973068E-2</v>
          </cell>
          <cell r="FF315">
            <v>1.5292190060076462E-2</v>
          </cell>
          <cell r="FG315">
            <v>0.10915049155533149</v>
          </cell>
          <cell r="FH315">
            <v>5.7247308372167766E-2</v>
          </cell>
          <cell r="FJ315">
            <v>4.5385779122541605E-3</v>
          </cell>
          <cell r="FK315">
            <v>5.3358561967833493E-2</v>
          </cell>
          <cell r="FL315">
            <v>1.6341689879294335E-2</v>
          </cell>
          <cell r="FM315">
            <v>0.13340045305814247</v>
          </cell>
          <cell r="FN315">
            <v>6.0826639892904953E-2</v>
          </cell>
          <cell r="FP315">
            <v>3.6419088625762472E-2</v>
          </cell>
          <cell r="FQ315">
            <v>6.6823189452772255E-2</v>
          </cell>
          <cell r="FR315">
            <v>3.1477858794237951E-2</v>
          </cell>
          <cell r="FS315">
            <v>0.14137138710847744</v>
          </cell>
          <cell r="FT315">
            <v>7.6750789905211378E-2</v>
          </cell>
          <cell r="FV315">
            <v>5.6036678553234846E-2</v>
          </cell>
          <cell r="FW315">
            <v>8.5199528540158276E-2</v>
          </cell>
          <cell r="FX315">
            <v>4.9718093285494619E-2</v>
          </cell>
          <cell r="FY315">
            <v>0.1443145346171481</v>
          </cell>
          <cell r="FZ315">
            <v>9.0361673925392919E-2</v>
          </cell>
          <cell r="GB315">
            <v>6.3649682565521726E-2</v>
          </cell>
          <cell r="GC315">
            <v>9.0552468126838842E-2</v>
          </cell>
          <cell r="GD315">
            <v>4.0390367560213782E-2</v>
          </cell>
          <cell r="GE315">
            <v>0.14823304866911449</v>
          </cell>
          <cell r="GF315">
            <v>9.2896107400015485E-2</v>
          </cell>
        </row>
        <row r="316">
          <cell r="AN316" t="str">
            <v>BPS Change</v>
          </cell>
          <cell r="EL316" t="str">
            <v>BPS Change</v>
          </cell>
          <cell r="ER316">
            <v>-440.85279464298537</v>
          </cell>
          <cell r="ES316">
            <v>-122.63462720912194</v>
          </cell>
          <cell r="ET316">
            <v>-12.042488652534988</v>
          </cell>
          <cell r="EU316">
            <v>184.5582293355813</v>
          </cell>
          <cell r="EV316">
            <v>-112.10229287235099</v>
          </cell>
          <cell r="EX316">
            <v>160.82779645318794</v>
          </cell>
          <cell r="EY316">
            <v>-91.632991285451112</v>
          </cell>
          <cell r="EZ316">
            <v>-135.36744367154739</v>
          </cell>
          <cell r="FA316">
            <v>-66.737730396537188</v>
          </cell>
          <cell r="FB316">
            <v>-51.544411427299899</v>
          </cell>
          <cell r="FD316">
            <v>-168.48719261589002</v>
          </cell>
          <cell r="FE316">
            <v>-3.0649629675538055</v>
          </cell>
          <cell r="FF316">
            <v>-185.71677193563903</v>
          </cell>
          <cell r="FG316">
            <v>-410.70592922210989</v>
          </cell>
          <cell r="FJ316">
            <v>-198.21958019536339</v>
          </cell>
          <cell r="FK316">
            <v>-52.283565351395751</v>
          </cell>
          <cell r="FL316">
            <v>10.494998192178731</v>
          </cell>
          <cell r="FM316">
            <v>242.49961502810973</v>
          </cell>
          <cell r="FP316">
            <v>318.80510713508306</v>
          </cell>
          <cell r="FQ316">
            <v>134.64627484938762</v>
          </cell>
          <cell r="FR316">
            <v>151.36168914943616</v>
          </cell>
          <cell r="FS316">
            <v>78.196673151046397</v>
          </cell>
          <cell r="FV316">
            <v>196.17589927472375</v>
          </cell>
          <cell r="FW316">
            <v>183.7633908738602</v>
          </cell>
          <cell r="FX316">
            <v>182.40234491256669</v>
          </cell>
          <cell r="FY316">
            <v>29.431475086706683</v>
          </cell>
          <cell r="GB316">
            <v>76.130040122868792</v>
          </cell>
          <cell r="GC316">
            <v>53.529395866805665</v>
          </cell>
          <cell r="GD316">
            <v>-93.277257252808369</v>
          </cell>
          <cell r="GE316">
            <v>39.185140519663875</v>
          </cell>
        </row>
        <row r="318">
          <cell r="AN318" t="str">
            <v>Assumptions Spreads</v>
          </cell>
        </row>
        <row r="319">
          <cell r="AN319" t="str">
            <v>Bull Case Assumptions</v>
          </cell>
        </row>
        <row r="320">
          <cell r="AN320" t="str">
            <v>Monthly Comps</v>
          </cell>
        </row>
        <row r="321">
          <cell r="AN321" t="str">
            <v>Month 1</v>
          </cell>
          <cell r="GE321">
            <v>0.02</v>
          </cell>
        </row>
        <row r="322">
          <cell r="AN322" t="str">
            <v>Month 2</v>
          </cell>
          <cell r="GD322">
            <v>0.02</v>
          </cell>
          <cell r="GE322">
            <v>0.02</v>
          </cell>
        </row>
        <row r="323">
          <cell r="AN323" t="str">
            <v>Month 3</v>
          </cell>
          <cell r="GD323">
            <v>0.02</v>
          </cell>
          <cell r="GE323">
            <v>0.02</v>
          </cell>
        </row>
        <row r="324">
          <cell r="AN324" t="str">
            <v xml:space="preserve">  Total</v>
          </cell>
        </row>
        <row r="325">
          <cell r="AN325" t="str">
            <v>Y/Y ∆ Gross Margin (bps)</v>
          </cell>
          <cell r="GD325">
            <v>35</v>
          </cell>
          <cell r="GE325">
            <v>35</v>
          </cell>
        </row>
        <row r="326">
          <cell r="AN326" t="str">
            <v>Y/Y ∆ SG&amp;A Ratio (bps)</v>
          </cell>
          <cell r="GD326">
            <v>-24</v>
          </cell>
          <cell r="GE326">
            <v>-24</v>
          </cell>
        </row>
        <row r="328">
          <cell r="AN328" t="str">
            <v>Bear Case Assumptions</v>
          </cell>
        </row>
        <row r="329">
          <cell r="AN329" t="str">
            <v>Monthly Comps</v>
          </cell>
        </row>
        <row r="330">
          <cell r="AN330" t="str">
            <v>Month 1</v>
          </cell>
          <cell r="GE330">
            <v>-0.02</v>
          </cell>
        </row>
        <row r="331">
          <cell r="AN331" t="str">
            <v>Month 2</v>
          </cell>
          <cell r="GD331">
            <v>-0.02</v>
          </cell>
          <cell r="GE331">
            <v>-0.02</v>
          </cell>
        </row>
        <row r="332">
          <cell r="AN332" t="str">
            <v>Month 3</v>
          </cell>
          <cell r="GD332">
            <v>-0.02</v>
          </cell>
          <cell r="GE332">
            <v>-0.02</v>
          </cell>
        </row>
        <row r="333">
          <cell r="AN333" t="str">
            <v xml:space="preserve">  Total</v>
          </cell>
        </row>
        <row r="334">
          <cell r="AN334" t="str">
            <v>Y/Y ∆ Gross Margin (bps)</v>
          </cell>
          <cell r="GD334">
            <v>-35</v>
          </cell>
          <cell r="GE334">
            <v>-35</v>
          </cell>
        </row>
        <row r="335">
          <cell r="AN335" t="str">
            <v>Y/Y ∆ SG&amp;A Ratio (bps)</v>
          </cell>
          <cell r="GD335">
            <v>25</v>
          </cell>
          <cell r="GE335">
            <v>25</v>
          </cell>
        </row>
        <row r="338">
          <cell r="AN338" t="str">
            <v>Pension Expense (Benefit)</v>
          </cell>
          <cell r="EX338">
            <v>35</v>
          </cell>
          <cell r="EY338">
            <v>40</v>
          </cell>
          <cell r="EZ338">
            <v>39</v>
          </cell>
          <cell r="FA338">
            <v>39</v>
          </cell>
          <cell r="FB338">
            <v>153</v>
          </cell>
          <cell r="FD338">
            <v>38</v>
          </cell>
          <cell r="FE338">
            <v>37</v>
          </cell>
          <cell r="FF338">
            <v>38</v>
          </cell>
          <cell r="FG338">
            <v>17</v>
          </cell>
          <cell r="FH338">
            <v>130</v>
          </cell>
          <cell r="FJ338">
            <v>34</v>
          </cell>
          <cell r="FK338">
            <v>35</v>
          </cell>
          <cell r="FL338">
            <v>35</v>
          </cell>
          <cell r="FM338">
            <v>35</v>
          </cell>
          <cell r="FN338">
            <v>139</v>
          </cell>
          <cell r="FP338">
            <v>34.75</v>
          </cell>
          <cell r="FQ338">
            <v>34.75</v>
          </cell>
          <cell r="FR338">
            <v>34.75</v>
          </cell>
          <cell r="FS338">
            <v>34.75</v>
          </cell>
          <cell r="FT338">
            <v>139</v>
          </cell>
          <cell r="FV338">
            <v>34.75</v>
          </cell>
          <cell r="FW338">
            <v>38</v>
          </cell>
          <cell r="FX338">
            <v>38</v>
          </cell>
          <cell r="FY338">
            <v>39</v>
          </cell>
          <cell r="FZ338">
            <v>149.75</v>
          </cell>
          <cell r="GB338">
            <v>50.75</v>
          </cell>
          <cell r="GC338">
            <v>57</v>
          </cell>
          <cell r="GD338">
            <v>56</v>
          </cell>
          <cell r="GE338">
            <v>57</v>
          </cell>
          <cell r="GF338">
            <v>220.75</v>
          </cell>
        </row>
        <row r="339">
          <cell r="GB339">
            <v>16</v>
          </cell>
          <cell r="GC339">
            <v>19</v>
          </cell>
          <cell r="GD339">
            <v>18</v>
          </cell>
          <cell r="GE339">
            <v>18</v>
          </cell>
          <cell r="GF339">
            <v>71</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CF"/>
      <sheetName val="NTM PE (2)"/>
      <sheetName val="PT Sensitivity"/>
      <sheetName val="Consensus"/>
      <sheetName val="Stock Price"/>
      <sheetName val="NTM EVEBITDA"/>
      <sheetName val="Buybacks+Repo"/>
      <sheetName val="Sheet7"/>
      <sheetName val="NTM PE_kss"/>
      <sheetName val="Operating Profit"/>
      <sheetName val="Sheet3"/>
      <sheetName val="Sheet5"/>
      <sheetName val="Sheet4"/>
      <sheetName val="Group NTM"/>
      <sheetName val="Sheet1"/>
      <sheetName val="Sheet6"/>
      <sheetName val="Sheet8"/>
      <sheetName val="KSS_PT_Update_922_15"/>
    </sheetNames>
    <definedNames>
      <definedName name="ExpandModel" refersTo="#REF!"/>
      <definedName name="ExpandOutputs" refersTo="#REF!"/>
      <definedName name="ExpandVPeriods" refersTo="#REF!"/>
      <definedName name="ExportFile" refersTo="#REF!"/>
      <definedName name="ImportFile" refersTo="#REF!"/>
      <definedName name="ProImportExport.ImportFile" refersTo="#REF!"/>
      <definedName name="ProImportExport.SaveNewFile" refersTo="#REF!"/>
      <definedName name="SaveNewFile" refersTo="#REF!"/>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
      <sheetName val="Sheet1"/>
      <sheetName val="Scenario"/>
      <sheetName val="ImportantDisclosures"/>
      <sheetName val="IndexInformation"/>
      <sheetName val="Income"/>
      <sheetName val="GWP"/>
      <sheetName val="Euro vs. PM"/>
      <sheetName val="Ruble"/>
      <sheetName val="Income Statement"/>
      <sheetName val="Margins"/>
      <sheetName val="MS_IRI_Methodology"/>
      <sheetName val="MARKET_SHARE ($)_RAW_DATA"/>
      <sheetName val="NEXXUS_RAW_DATA"/>
      <sheetName val="HAIR_CARE_MARKET SHARE ROLL-UP"/>
      <sheetName val="TOTAL_ACV_DOLLAR_SALES"/>
      <sheetName val="Comps"/>
      <sheetName val="Switches"/>
      <sheetName val="SSB Nielsen Sales"/>
      <sheetName val="TimeSeries"/>
      <sheetName val="Valuation Analyzer"/>
      <sheetName val="EBITDA"/>
      <sheetName val="GWP-WLine"/>
      <sheetName val="TS_Stnd_Dev_Band"/>
      <sheetName val="Print "/>
      <sheetName val="Lookup"/>
      <sheetName val="Input"/>
      <sheetName val="99 cons YTD"/>
      <sheetName val="KP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ning"/>
      <sheetName val="Insurance"/>
      <sheetName val="Banks"/>
      <sheetName val="Oils"/>
      <sheetName val="General Europe"/>
      <sheetName val="General UK"/>
      <sheetName val="Latest_Chart"/>
      <sheetName val="Add4Sheet"/>
      <sheetName val="Module2"/>
      <sheetName val="Module1"/>
      <sheetName val="LINKTAB"/>
      <sheetName val="Model"/>
      <sheetName val="Market_Share"/>
      <sheetName val="Assumptions"/>
      <sheetName val="P"/>
      <sheetName val="Summary"/>
      <sheetName val="Consol_Income"/>
      <sheetName val="Rate Case"/>
      <sheetName val="Balance Sheet"/>
      <sheetName val="Sheet9"/>
      <sheetName val="Leases"/>
      <sheetName val="Graph"/>
      <sheetName val="Income"/>
      <sheetName val="Financial Summary"/>
      <sheetName val="Cash flow"/>
      <sheetName val="Profit &amp; Loss"/>
      <sheetName val="Inputs, sensitivity &amp; val"/>
      <sheetName val="Exclusion List"/>
      <sheetName val="CFOld"/>
      <sheetName val="PLOld"/>
      <sheetName val="Headline"/>
      <sheetName val="MTT old"/>
      <sheetName val="BizJet Deliveries"/>
      <sheetName val="DOMNETREV1002B"/>
      <sheetName val="c1"/>
      <sheetName val="Monthly figures"/>
      <sheetName val="Consolidated"/>
      <sheetName val="CENMODEL"/>
      <sheetName val="Customize Your Statement"/>
      <sheetName val="Sainsbury"/>
      <sheetName val="KQ"/>
    </sheetNames>
    <definedNames>
      <definedName name="Download_series"/>
      <definedName name="Update_This"/>
    </definedNames>
    <sheetDataSet>
      <sheetData sheetId="0"/>
      <sheetData sheetId="1"/>
      <sheetData sheetId="2"/>
      <sheetData sheetId="3"/>
      <sheetData sheetId="4"/>
      <sheetData sheetId="5"/>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S"/>
      <sheetName val="Analysis"/>
      <sheetName val="Print Macro"/>
      <sheetName val="P"/>
      <sheetName val="Deferred tax analysis4"/>
      <sheetName val="Assumpt"/>
      <sheetName val="Switches"/>
      <sheetName val="Income Statement"/>
      <sheetName val="Old BKS"/>
      <sheetName val="QuarterlyData"/>
      <sheetName val="Report Summary"/>
      <sheetName val="NA_ANNUAL"/>
      <sheetName val="XOM"/>
      <sheetName val="NKEBALST"/>
      <sheetName val="NKEQTRIN"/>
      <sheetName val="Fixed Line Mkt"/>
      <sheetName val="Bal Sheet &amp; Cash Flow"/>
      <sheetName val="LT"/>
    </sheetNames>
    <sheetDataSet>
      <sheetData sheetId="0" refreshError="1">
        <row r="4">
          <cell r="C4">
            <v>3</v>
          </cell>
        </row>
        <row r="5">
          <cell r="C5">
            <v>5</v>
          </cell>
        </row>
        <row r="6">
          <cell r="C6">
            <v>7</v>
          </cell>
        </row>
        <row r="7">
          <cell r="C7">
            <v>10</v>
          </cell>
        </row>
        <row r="8">
          <cell r="C8">
            <v>15</v>
          </cell>
        </row>
      </sheetData>
      <sheetData sheetId="1" refreshError="1">
        <row r="2">
          <cell r="C2">
            <v>3</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ultipleSecurities"/>
      <sheetName val="Model_Template"/>
      <sheetName val="Q&amp;A"/>
      <sheetName val="mwareDates"/>
      <sheetName val="mwareSettings"/>
      <sheetName val="INPUT"/>
      <sheetName val="Val"/>
      <sheetName val="PRINT SHEET"/>
      <sheetName val="Key Metrics"/>
      <sheetName val="Profile"/>
      <sheetName val="STA GRAPHS"/>
      <sheetName val="RESIDUAL INCOME"/>
      <sheetName val="Employee"/>
      <sheetName val="Individual"/>
      <sheetName val="Assumptions"/>
      <sheetName val="BS"/>
      <sheetName val="UPS-GAS"/>
      <sheetName val="Quarterly"/>
      <sheetName val="Combo Box"/>
      <sheetName val="MMD"/>
      <sheetName val="Model"/>
      <sheetName val="MATQTRS"/>
      <sheetName val="UNIV-EBS DATA"/>
      <sheetName val="Ratios"/>
      <sheetName val="MATINC"/>
      <sheetName val="MATBAL"/>
      <sheetName val="Macro1"/>
      <sheetName val="Macro2"/>
      <sheetName val="Valuation"/>
      <sheetName val="Analysis"/>
      <sheetName val="MACRS"/>
      <sheetName val="FutureAcq"/>
      <sheetName val="Credit Output"/>
      <sheetName val="CalcsMO"/>
      <sheetName val=" Capital"/>
      <sheetName val="New Business"/>
      <sheetName val="LXK"/>
      <sheetName val="yearly"/>
      <sheetName val="OnAir"/>
      <sheetName val="RELPE"/>
      <sheetName val="SALESCAT"/>
      <sheetName val="MATCASH"/>
      <sheetName val="FinSum"/>
      <sheetName val="Scenario"/>
      <sheetName val="Aladdin Macro1"/>
      <sheetName val="DATA"/>
      <sheetName val="Gas"/>
      <sheetName val="Off Peak"/>
      <sheetName val="Peak"/>
      <sheetName val="WY"/>
      <sheetName val="changes in EST"/>
      <sheetName val="US peers EBIT Margins"/>
      <sheetName val="Sheet7"/>
      <sheetName val="Sheet1"/>
      <sheetName val="main"/>
      <sheetName val="Model (Euro)"/>
      <sheetName val="Monthly Spot"/>
      <sheetName val="NKEBALST"/>
      <sheetName val="NKEQTRIN"/>
      <sheetName val="DMK"/>
      <sheetName val="Cashflow Mode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
    </sheetNames>
    <sheetDataSet>
      <sheetData sheetId="0"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IT Screen"/>
      <sheetName val="Exclusion List"/>
      <sheetName val="MVT Demo"/>
      <sheetName val="OIT Screening"/>
      <sheetName val="BALANCE SHEET"/>
      <sheetName val="Traffic"/>
      <sheetName val="Financial Summary"/>
    </sheetNames>
    <sheetDataSet>
      <sheetData sheetId="0" refreshError="1"/>
      <sheetData sheetId="1" refreshError="1">
        <row r="1">
          <cell r="A1" t="str">
            <v>ticker</v>
          </cell>
        </row>
        <row r="2">
          <cell r="A2" t="str">
            <v>ABP.L</v>
          </cell>
        </row>
        <row r="3">
          <cell r="A3" t="str">
            <v>AGG.L</v>
          </cell>
        </row>
        <row r="4">
          <cell r="A4" t="str">
            <v>AHLN.AS</v>
          </cell>
        </row>
        <row r="5">
          <cell r="A5" t="str">
            <v>AHo.N</v>
          </cell>
        </row>
        <row r="6">
          <cell r="A6" t="str">
            <v>AIRF.PA</v>
          </cell>
        </row>
        <row r="7">
          <cell r="A7" t="str">
            <v>AKH.N</v>
          </cell>
        </row>
        <row r="8">
          <cell r="A8" t="str">
            <v>AIB.N</v>
          </cell>
        </row>
        <row r="9">
          <cell r="A9" t="str">
            <v>ALBK.I</v>
          </cell>
        </row>
        <row r="10">
          <cell r="A10" t="str">
            <v>ALO.N</v>
          </cell>
        </row>
        <row r="11">
          <cell r="A11" t="str">
            <v>AHC.N</v>
          </cell>
        </row>
        <row r="12">
          <cell r="A12" t="str">
            <v>AMGN.O</v>
          </cell>
        </row>
        <row r="13">
          <cell r="A13" t="str">
            <v>AAL.L</v>
          </cell>
        </row>
        <row r="14">
          <cell r="A14" t="str">
            <v>ANGL.I</v>
          </cell>
        </row>
        <row r="15">
          <cell r="A15" t="str">
            <v>A3TV.MC</v>
          </cell>
        </row>
        <row r="16">
          <cell r="A16" t="str">
            <v>5201.T</v>
          </cell>
        </row>
        <row r="17">
          <cell r="A17" t="str">
            <v>ASGLY.PK</v>
          </cell>
        </row>
        <row r="18">
          <cell r="A18" t="str">
            <v>020560.KQ</v>
          </cell>
        </row>
        <row r="19">
          <cell r="A19" t="str">
            <v>ASSAb.ST</v>
          </cell>
        </row>
        <row r="20">
          <cell r="A20" t="str">
            <v>AZN.L</v>
          </cell>
        </row>
        <row r="21">
          <cell r="A21" t="str">
            <v>AZN.N</v>
          </cell>
        </row>
        <row r="22">
          <cell r="A22" t="str">
            <v>AZN.ST</v>
          </cell>
        </row>
        <row r="23">
          <cell r="A23" t="str">
            <v>ATML.O</v>
          </cell>
        </row>
        <row r="24">
          <cell r="A24" t="str">
            <v>AMS.S</v>
          </cell>
        </row>
        <row r="25">
          <cell r="A25" t="str">
            <v>AWG.L</v>
          </cell>
        </row>
        <row r="26">
          <cell r="A26" t="str">
            <v>BBY.L</v>
          </cell>
        </row>
        <row r="27">
          <cell r="A27" t="str">
            <v>BRL.N</v>
          </cell>
        </row>
        <row r="28">
          <cell r="A28" t="str">
            <v>BCOM.BR</v>
          </cell>
        </row>
        <row r="29">
          <cell r="A29" t="str">
            <v>BKG_u.L</v>
          </cell>
        </row>
        <row r="30">
          <cell r="A30" t="str">
            <v>BEZQ.TA</v>
          </cell>
        </row>
        <row r="31">
          <cell r="A31" t="str">
            <v>1114.HK</v>
          </cell>
        </row>
        <row r="32">
          <cell r="A32" t="str">
            <v>CBA.N</v>
          </cell>
        </row>
        <row r="33">
          <cell r="A33" t="str">
            <v>BAB.N</v>
          </cell>
        </row>
        <row r="34">
          <cell r="A34" t="str">
            <v>BAY.L</v>
          </cell>
        </row>
        <row r="35">
          <cell r="A35" t="str">
            <v>BGY.L</v>
          </cell>
        </row>
        <row r="36">
          <cell r="A36" t="str">
            <v>BGY.N</v>
          </cell>
        </row>
        <row r="37">
          <cell r="A37" t="str">
            <v>BSY.L</v>
          </cell>
        </row>
        <row r="38">
          <cell r="A38" t="str">
            <v>BSY.N</v>
          </cell>
        </row>
        <row r="39">
          <cell r="A39" t="str">
            <v>BLGSY.OTC</v>
          </cell>
        </row>
        <row r="40">
          <cell r="A40" t="str">
            <v>BULG.MI</v>
          </cell>
        </row>
        <row r="41">
          <cell r="A41" t="str">
            <v>BNI.N</v>
          </cell>
        </row>
        <row r="42">
          <cell r="A42" t="str">
            <v>CW.L</v>
          </cell>
        </row>
        <row r="43">
          <cell r="A43" t="str">
            <v>CWP.N</v>
          </cell>
        </row>
        <row r="44">
          <cell r="A44" t="str">
            <v>CECO.O</v>
          </cell>
        </row>
        <row r="45">
          <cell r="A45" t="str">
            <v>CASP.PA</v>
          </cell>
        </row>
        <row r="46">
          <cell r="A46" t="str">
            <v>CASP_p.PA</v>
          </cell>
        </row>
        <row r="47">
          <cell r="A47" t="str">
            <v>6952.T</v>
          </cell>
        </row>
        <row r="48">
          <cell r="A48" t="str">
            <v>CSIOY.PK</v>
          </cell>
        </row>
        <row r="49">
          <cell r="A49" t="str">
            <v>0293.HK</v>
          </cell>
        </row>
        <row r="50">
          <cell r="A50" t="str">
            <v>CE.N</v>
          </cell>
        </row>
        <row r="51">
          <cell r="A51" t="str">
            <v>CZ.N</v>
          </cell>
        </row>
        <row r="52">
          <cell r="A52" t="str">
            <v>CNA.L</v>
          </cell>
        </row>
        <row r="53">
          <cell r="A53" t="str">
            <v>CVX.N</v>
          </cell>
        </row>
        <row r="54">
          <cell r="A54" t="str">
            <v>2002.TW</v>
          </cell>
        </row>
        <row r="55">
          <cell r="A55" t="str">
            <v>2002q.L</v>
          </cell>
        </row>
        <row r="56">
          <cell r="A56" t="str">
            <v>2891.TW</v>
          </cell>
        </row>
        <row r="57">
          <cell r="A57" t="str">
            <v>1110.HK</v>
          </cell>
        </row>
        <row r="58">
          <cell r="A58" t="str">
            <v>CBKG.DE</v>
          </cell>
        </row>
        <row r="59">
          <cell r="A59" t="str">
            <v>CRZBY.OTC</v>
          </cell>
        </row>
        <row r="60">
          <cell r="A60" t="str">
            <v>CAL.N</v>
          </cell>
        </row>
        <row r="61">
          <cell r="A61" t="str">
            <v>CHRN.S</v>
          </cell>
        </row>
        <row r="62">
          <cell r="A62" t="str">
            <v>CRBK.BO</v>
          </cell>
        </row>
        <row r="63">
          <cell r="A63" t="str">
            <v>COSr.AT</v>
          </cell>
        </row>
        <row r="64">
          <cell r="A64" t="str">
            <v>CSGKY.OTC</v>
          </cell>
        </row>
        <row r="65">
          <cell r="A65" t="str">
            <v>CSGN.VX</v>
          </cell>
        </row>
        <row r="66">
          <cell r="A66" t="str">
            <v>8601.T</v>
          </cell>
        </row>
        <row r="67">
          <cell r="A67" t="str">
            <v>DSECY.PK</v>
          </cell>
        </row>
        <row r="68">
          <cell r="A68" t="str">
            <v>DES.N</v>
          </cell>
        </row>
        <row r="69">
          <cell r="A69" t="str">
            <v>DESCB.MX</v>
          </cell>
        </row>
        <row r="70">
          <cell r="A70" t="str">
            <v>DT.N</v>
          </cell>
        </row>
        <row r="71">
          <cell r="A71" t="str">
            <v>DTEGn.DE</v>
          </cell>
        </row>
        <row r="72">
          <cell r="A72" t="str">
            <v>DEO.N</v>
          </cell>
        </row>
        <row r="73">
          <cell r="A73" t="str">
            <v>DGE.L</v>
          </cell>
        </row>
        <row r="74">
          <cell r="A74" t="str">
            <v>2884.TW</v>
          </cell>
        </row>
        <row r="75">
          <cell r="A75" t="str">
            <v>ELN.N</v>
          </cell>
        </row>
        <row r="76">
          <cell r="A76" t="str">
            <v>AKD_pb.SN</v>
          </cell>
        </row>
        <row r="77">
          <cell r="A77" t="str">
            <v>AKOa.N</v>
          </cell>
        </row>
        <row r="78">
          <cell r="A78" t="str">
            <v>AKOb.N</v>
          </cell>
        </row>
        <row r="79">
          <cell r="A79" t="str">
            <v>AND_pa.SN</v>
          </cell>
        </row>
        <row r="80">
          <cell r="A80" t="str">
            <v>END.SN</v>
          </cell>
        </row>
        <row r="81">
          <cell r="A81" t="str">
            <v>EOC.N</v>
          </cell>
        </row>
        <row r="82">
          <cell r="A82" t="str">
            <v>ENE.SN</v>
          </cell>
        </row>
        <row r="83">
          <cell r="A83" t="str">
            <v>ENI.N</v>
          </cell>
        </row>
        <row r="84">
          <cell r="A84" t="str">
            <v>2618.TW</v>
          </cell>
        </row>
        <row r="85">
          <cell r="A85" t="str">
            <v>XJT.N</v>
          </cell>
        </row>
        <row r="86">
          <cell r="A86" t="str">
            <v>XOM.N</v>
          </cell>
        </row>
        <row r="87">
          <cell r="A87" t="str">
            <v>FAMVY.OTC</v>
          </cell>
        </row>
        <row r="88">
          <cell r="A88" t="str">
            <v>FOR.AS</v>
          </cell>
        </row>
        <row r="89">
          <cell r="A89" t="str">
            <v>FOR.BR</v>
          </cell>
        </row>
        <row r="90">
          <cell r="A90" t="str">
            <v>FRNT.O</v>
          </cell>
        </row>
        <row r="91">
          <cell r="A91" t="str">
            <v>2817.TW</v>
          </cell>
        </row>
        <row r="92">
          <cell r="A92" t="str">
            <v>2881.TW</v>
          </cell>
        </row>
        <row r="93">
          <cell r="A93" t="str">
            <v>2881q.L</v>
          </cell>
        </row>
        <row r="94">
          <cell r="A94" t="str">
            <v>GAZPq.L</v>
          </cell>
        </row>
        <row r="95">
          <cell r="A95" t="str">
            <v>RADGYP.OTC</v>
          </cell>
        </row>
        <row r="96">
          <cell r="A96" t="str">
            <v>GFCP.PA</v>
          </cell>
        </row>
        <row r="97">
          <cell r="A97" t="str">
            <v>GD.N</v>
          </cell>
        </row>
        <row r="98">
          <cell r="A98" t="str">
            <v>GASI.MI</v>
          </cell>
        </row>
        <row r="99">
          <cell r="A99" t="str">
            <v>GNW.N</v>
          </cell>
        </row>
        <row r="100">
          <cell r="A100" t="str">
            <v>TL5.MC</v>
          </cell>
        </row>
        <row r="101">
          <cell r="A101" t="str">
            <v>GRAS.BO</v>
          </cell>
        </row>
        <row r="102">
          <cell r="A102" t="str">
            <v>GFS.L</v>
          </cell>
        </row>
        <row r="103">
          <cell r="A103" t="str">
            <v>ASR.N</v>
          </cell>
        </row>
        <row r="104">
          <cell r="A104" t="str">
            <v>ASUR.MX</v>
          </cell>
        </row>
        <row r="105">
          <cell r="A105" t="str">
            <v>GCARSOA1.MX</v>
          </cell>
        </row>
        <row r="106">
          <cell r="A106" t="str">
            <v>GPOOY.O</v>
          </cell>
        </row>
        <row r="107">
          <cell r="A107" t="str">
            <v>PRS.MC</v>
          </cell>
        </row>
        <row r="108">
          <cell r="A108" t="str">
            <v>HAN.N</v>
          </cell>
        </row>
        <row r="109">
          <cell r="A109" t="str">
            <v>HNS.L</v>
          </cell>
        </row>
        <row r="110">
          <cell r="A110" t="str">
            <v>HAS.L</v>
          </cell>
        </row>
        <row r="111">
          <cell r="A111" t="str">
            <v>HRMS.PA</v>
          </cell>
        </row>
        <row r="112">
          <cell r="A112" t="str">
            <v>HLT.N</v>
          </cell>
        </row>
        <row r="113">
          <cell r="A113" t="str">
            <v>HOLMb.ST</v>
          </cell>
        </row>
        <row r="114">
          <cell r="A114" t="str">
            <v>011170.KS</v>
          </cell>
        </row>
        <row r="115">
          <cell r="A115" t="str">
            <v>HMT.N</v>
          </cell>
        </row>
        <row r="116">
          <cell r="A116" t="str">
            <v>HVMG.DE</v>
          </cell>
        </row>
        <row r="117">
          <cell r="A117" t="str">
            <v>HVMGY.OTC</v>
          </cell>
        </row>
        <row r="118">
          <cell r="A118" t="str">
            <v>012330.KS</v>
          </cell>
        </row>
        <row r="119">
          <cell r="A119" t="str">
            <v>IBE.MC</v>
          </cell>
        </row>
        <row r="120">
          <cell r="A120" t="str">
            <v>IBLA.MC</v>
          </cell>
        </row>
        <row r="121">
          <cell r="A121" t="str">
            <v>ITX.MC</v>
          </cell>
        </row>
        <row r="122">
          <cell r="A122" t="str">
            <v>ING.AS</v>
          </cell>
        </row>
        <row r="123">
          <cell r="A123" t="str">
            <v>ING.N</v>
          </cell>
        </row>
        <row r="124">
          <cell r="A124" t="str">
            <v>IPR.L</v>
          </cell>
        </row>
        <row r="125">
          <cell r="A125" t="str">
            <v>IPR.N</v>
          </cell>
        </row>
        <row r="126">
          <cell r="A126" t="str">
            <v>ITRK.L</v>
          </cell>
        </row>
        <row r="127">
          <cell r="A127" t="str">
            <v>JCDX.PA</v>
          </cell>
        </row>
        <row r="128">
          <cell r="A128" t="str">
            <v>KEL.L</v>
          </cell>
        </row>
        <row r="129">
          <cell r="A129" t="str">
            <v>KPN.AS</v>
          </cell>
        </row>
        <row r="130">
          <cell r="A130" t="str">
            <v>KPN.N</v>
          </cell>
        </row>
        <row r="131">
          <cell r="A131" t="str">
            <v>LQI.N</v>
          </cell>
        </row>
        <row r="132">
          <cell r="A132" t="str">
            <v>LH.N</v>
          </cell>
        </row>
        <row r="133">
          <cell r="A133" t="str">
            <v>0992.HK</v>
          </cell>
        </row>
        <row r="134">
          <cell r="A134" t="str">
            <v>LGHLY.O</v>
          </cell>
        </row>
        <row r="135">
          <cell r="A135" t="str">
            <v>LING.DE</v>
          </cell>
        </row>
        <row r="136">
          <cell r="A136" t="str">
            <v>LAD.N</v>
          </cell>
        </row>
        <row r="137">
          <cell r="A137" t="str">
            <v>LOG.L</v>
          </cell>
        </row>
        <row r="138">
          <cell r="A138" t="str">
            <v>LMI.L</v>
          </cell>
        </row>
        <row r="139">
          <cell r="A139" t="str">
            <v>LKOH.RTS</v>
          </cell>
        </row>
        <row r="140">
          <cell r="A140" t="str">
            <v>LUKOY.OTC</v>
          </cell>
        </row>
        <row r="141">
          <cell r="A141" t="str">
            <v>LUN.CO</v>
          </cell>
        </row>
        <row r="142">
          <cell r="A142" t="str">
            <v>LYO.N</v>
          </cell>
        </row>
        <row r="143">
          <cell r="A143" t="str">
            <v>MANG.DE</v>
          </cell>
        </row>
        <row r="144">
          <cell r="A144" t="str">
            <v>MANG_p.DE</v>
          </cell>
        </row>
        <row r="145">
          <cell r="A145" t="str">
            <v>MOLB.BU</v>
          </cell>
        </row>
        <row r="146">
          <cell r="A146" t="str">
            <v>MOLBq.L</v>
          </cell>
        </row>
        <row r="147">
          <cell r="A147" t="str">
            <v>MRLAV.HE</v>
          </cell>
        </row>
        <row r="148">
          <cell r="A148" t="str">
            <v>MRLBV.HE</v>
          </cell>
        </row>
        <row r="149">
          <cell r="A149" t="str">
            <v>NGT.L</v>
          </cell>
        </row>
        <row r="150">
          <cell r="A150" t="str">
            <v>NGT.N</v>
          </cell>
        </row>
        <row r="151">
          <cell r="A151" t="str">
            <v>NXT.L</v>
          </cell>
        </row>
        <row r="152">
          <cell r="A152" t="str">
            <v>NHH.MC</v>
          </cell>
        </row>
        <row r="153">
          <cell r="A153" t="str">
            <v>8603.T</v>
          </cell>
        </row>
        <row r="154">
          <cell r="A154" t="str">
            <v>NIKOY.PK</v>
          </cell>
        </row>
        <row r="155">
          <cell r="A155" t="str">
            <v>NSG.OL</v>
          </cell>
        </row>
        <row r="156">
          <cell r="A156" t="str">
            <v>NSG.OTC</v>
          </cell>
        </row>
        <row r="157">
          <cell r="A157" t="str">
            <v>NSGB.OL</v>
          </cell>
        </row>
        <row r="158">
          <cell r="A158" t="str">
            <v>NOC.N</v>
          </cell>
        </row>
        <row r="159">
          <cell r="A159" t="str">
            <v>NVDA.O</v>
          </cell>
        </row>
        <row r="160">
          <cell r="A160" t="str">
            <v>OMVKY.OTC</v>
          </cell>
        </row>
        <row r="161">
          <cell r="A161" t="str">
            <v>OMVV.VI</v>
          </cell>
        </row>
        <row r="162">
          <cell r="A162" t="str">
            <v>ORBC.BO</v>
          </cell>
        </row>
        <row r="163">
          <cell r="A163" t="str">
            <v>0008.HK</v>
          </cell>
        </row>
        <row r="164">
          <cell r="A164" t="str">
            <v>PCW.N</v>
          </cell>
        </row>
        <row r="165">
          <cell r="A165" t="str">
            <v>PNN.L</v>
          </cell>
        </row>
        <row r="166">
          <cell r="A166" t="str">
            <v>PDRDY.OTC</v>
          </cell>
        </row>
        <row r="167">
          <cell r="A167" t="str">
            <v>PERP.PA</v>
          </cell>
        </row>
        <row r="168">
          <cell r="A168" t="str">
            <v>PER.BA</v>
          </cell>
        </row>
        <row r="169">
          <cell r="A169" t="str">
            <v>PZE.N</v>
          </cell>
        </row>
        <row r="170">
          <cell r="A170" t="str">
            <v>PNCL.O</v>
          </cell>
        </row>
        <row r="171">
          <cell r="A171" t="str">
            <v>PT.N</v>
          </cell>
        </row>
        <row r="172">
          <cell r="A172" t="str">
            <v>PTCO.IN</v>
          </cell>
        </row>
        <row r="173">
          <cell r="A173" t="str">
            <v>PPS.N</v>
          </cell>
        </row>
        <row r="174">
          <cell r="A174" t="str">
            <v>DPBGn.DE</v>
          </cell>
        </row>
        <row r="175">
          <cell r="A175" t="str">
            <v>PCO.N</v>
          </cell>
        </row>
        <row r="176">
          <cell r="A176" t="str">
            <v>PFG.N</v>
          </cell>
        </row>
        <row r="177">
          <cell r="A177" t="str">
            <v>PSMG_p.DE</v>
          </cell>
        </row>
        <row r="178">
          <cell r="A178" t="str">
            <v>PEUGY.OTC</v>
          </cell>
        </row>
        <row r="179">
          <cell r="A179" t="str">
            <v>PEUP.PA</v>
          </cell>
        </row>
        <row r="180">
          <cell r="A180" t="str">
            <v>PUBP.PA</v>
          </cell>
        </row>
        <row r="181">
          <cell r="A181" t="str">
            <v>PUMG.DE</v>
          </cell>
        </row>
        <row r="182">
          <cell r="A182" t="str">
            <v>PUMG.OTC</v>
          </cell>
        </row>
        <row r="183">
          <cell r="A183" t="str">
            <v>RANB.BO</v>
          </cell>
        </row>
        <row r="184">
          <cell r="A184" t="str">
            <v>RANBq.L</v>
          </cell>
        </row>
        <row r="185">
          <cell r="A185" t="str">
            <v>RTN.N</v>
          </cell>
        </row>
        <row r="186">
          <cell r="A186" t="str">
            <v>RTNa.N</v>
          </cell>
        </row>
        <row r="187">
          <cell r="A187" t="str">
            <v>RCOP.PA</v>
          </cell>
        </row>
        <row r="188">
          <cell r="A188" t="str">
            <v>RENA.PA</v>
          </cell>
        </row>
        <row r="189">
          <cell r="A189" t="str">
            <v>RSA.L</v>
          </cell>
        </row>
        <row r="190">
          <cell r="A190" t="str">
            <v>SBS.N</v>
          </cell>
        </row>
        <row r="191">
          <cell r="A191" t="str">
            <v>SBSP3.SA</v>
          </cell>
        </row>
        <row r="192">
          <cell r="A192" t="str">
            <v>005930.KS</v>
          </cell>
        </row>
        <row r="193">
          <cell r="A193" t="str">
            <v>0593q.L</v>
          </cell>
        </row>
        <row r="194">
          <cell r="A194" t="str">
            <v>SANM.O</v>
          </cell>
        </row>
        <row r="195">
          <cell r="A195" t="str">
            <v>SASY.PA</v>
          </cell>
        </row>
        <row r="196">
          <cell r="A196" t="str">
            <v>SNY.N</v>
          </cell>
        </row>
        <row r="197">
          <cell r="A197" t="str">
            <v>SAPJ.J</v>
          </cell>
        </row>
        <row r="198">
          <cell r="A198" t="str">
            <v>SPP.N</v>
          </cell>
        </row>
        <row r="199">
          <cell r="A199" t="str">
            <v>SAS.ST</v>
          </cell>
        </row>
        <row r="200">
          <cell r="A200" t="str">
            <v>SCAb.ST</v>
          </cell>
        </row>
        <row r="201">
          <cell r="A201" t="str">
            <v>SVCBY.OTC</v>
          </cell>
        </row>
        <row r="202">
          <cell r="A202" t="str">
            <v>SCHG.DE</v>
          </cell>
        </row>
        <row r="203">
          <cell r="A203" t="str">
            <v>SCO.N</v>
          </cell>
        </row>
        <row r="204">
          <cell r="A204" t="str">
            <v>SCOR.PA</v>
          </cell>
        </row>
        <row r="205">
          <cell r="A205" t="str">
            <v>SPI.N</v>
          </cell>
        </row>
        <row r="206">
          <cell r="A206" t="str">
            <v>SPW.L</v>
          </cell>
        </row>
        <row r="207">
          <cell r="A207" t="str">
            <v>SVT.L</v>
          </cell>
        </row>
        <row r="208">
          <cell r="A208" t="str">
            <v>8184.T</v>
          </cell>
        </row>
        <row r="209">
          <cell r="A209" t="str">
            <v>SHI.L</v>
          </cell>
        </row>
        <row r="210">
          <cell r="A210" t="str">
            <v>2890.TW</v>
          </cell>
        </row>
        <row r="211">
          <cell r="A211" t="str">
            <v>SKFa.ST</v>
          </cell>
        </row>
        <row r="212">
          <cell r="A212" t="str">
            <v>SKFb.ST</v>
          </cell>
        </row>
        <row r="213">
          <cell r="A213" t="str">
            <v>SKFR.O</v>
          </cell>
        </row>
        <row r="214">
          <cell r="A214" t="str">
            <v>SCGLY.OTC</v>
          </cell>
        </row>
        <row r="215">
          <cell r="A215" t="str">
            <v>SOGN.PA</v>
          </cell>
        </row>
        <row r="216">
          <cell r="A216" t="str">
            <v>6758.T</v>
          </cell>
        </row>
        <row r="217">
          <cell r="A217" t="str">
            <v>SNE.N</v>
          </cell>
        </row>
        <row r="218">
          <cell r="A218" t="str">
            <v>SGC.L</v>
          </cell>
        </row>
        <row r="219">
          <cell r="A219" t="str">
            <v>SEO.N</v>
          </cell>
        </row>
        <row r="220">
          <cell r="A220" t="str">
            <v>STERV.HE</v>
          </cell>
        </row>
        <row r="221">
          <cell r="A221" t="str">
            <v>LYOE.PA</v>
          </cell>
        </row>
        <row r="222">
          <cell r="A222" t="str">
            <v>5713.T</v>
          </cell>
        </row>
        <row r="223">
          <cell r="A223" t="str">
            <v>SLF.TO</v>
          </cell>
        </row>
        <row r="224">
          <cell r="A224" t="str">
            <v>SHO.N</v>
          </cell>
        </row>
        <row r="225">
          <cell r="A225" t="str">
            <v>SNGS.RTS</v>
          </cell>
        </row>
        <row r="226">
          <cell r="A226" t="str">
            <v>SNGSyq.L</v>
          </cell>
        </row>
        <row r="227">
          <cell r="A227" t="str">
            <v>SCM.N</v>
          </cell>
        </row>
        <row r="228">
          <cell r="A228" t="str">
            <v>SCMN.VX</v>
          </cell>
        </row>
        <row r="229">
          <cell r="A229" t="str">
            <v>2887.TW</v>
          </cell>
        </row>
        <row r="230">
          <cell r="A230" t="str">
            <v>1310.TW</v>
          </cell>
        </row>
        <row r="231">
          <cell r="A231" t="str">
            <v>TELA.VI</v>
          </cell>
        </row>
        <row r="232">
          <cell r="A232" t="str">
            <v>TKA.US</v>
          </cell>
        </row>
        <row r="233">
          <cell r="A233" t="str">
            <v>TMB.N</v>
          </cell>
        </row>
        <row r="234">
          <cell r="A234" t="str">
            <v>TMCP4.SA</v>
          </cell>
        </row>
        <row r="235">
          <cell r="A235" t="str">
            <v>TLSN.ST</v>
          </cell>
        </row>
        <row r="236">
          <cell r="A236" t="str">
            <v>TKGJ.J</v>
          </cell>
        </row>
        <row r="237">
          <cell r="A237" t="str">
            <v>THAI.BK</v>
          </cell>
        </row>
        <row r="238">
          <cell r="A238" t="str">
            <v>UU.L</v>
          </cell>
        </row>
        <row r="239">
          <cell r="A239" t="str">
            <v>UU.N</v>
          </cell>
        </row>
        <row r="240">
          <cell r="A240" t="str">
            <v>UNM.N</v>
          </cell>
        </row>
        <row r="241">
          <cell r="A241" t="str">
            <v>UPM.N</v>
          </cell>
        </row>
        <row r="242">
          <cell r="A242" t="str">
            <v>UPM1V.HE</v>
          </cell>
        </row>
        <row r="243">
          <cell r="A243" t="str">
            <v>VLO.N</v>
          </cell>
        </row>
        <row r="244">
          <cell r="A244" t="str">
            <v>VDOR.AS</v>
          </cell>
        </row>
        <row r="245">
          <cell r="A245" t="str">
            <v>2388.TW</v>
          </cell>
        </row>
        <row r="246">
          <cell r="A246" t="str">
            <v>VIA.N</v>
          </cell>
        </row>
        <row r="247">
          <cell r="A247" t="str">
            <v>6792.T</v>
          </cell>
        </row>
        <row r="248">
          <cell r="A248" t="str">
            <v>VJAPY.PK</v>
          </cell>
        </row>
        <row r="249">
          <cell r="A249" t="str">
            <v>VMOB.L</v>
          </cell>
        </row>
        <row r="250">
          <cell r="A250" t="str">
            <v>VLKAY.OTC</v>
          </cell>
        </row>
        <row r="251">
          <cell r="A251" t="str">
            <v>VOWG.DE</v>
          </cell>
        </row>
        <row r="252">
          <cell r="A252" t="str">
            <v>VOWG_p.F</v>
          </cell>
        </row>
        <row r="253">
          <cell r="A253" t="str">
            <v>WLTHYP.O</v>
          </cell>
        </row>
        <row r="254">
          <cell r="A254" t="str">
            <v>WOW.AX</v>
          </cell>
        </row>
        <row r="255">
          <cell r="A255" t="str">
            <v>XTA.L</v>
          </cell>
        </row>
      </sheetData>
      <sheetData sheetId="2" refreshError="1"/>
      <sheetData sheetId="3" refreshError="1"/>
      <sheetData sheetId="4" refreshError="1"/>
      <sheetData sheetId="5" refreshError="1"/>
      <sheetData sheetId="6"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A RR"/>
      <sheetName val="BullBaseBear"/>
      <sheetName val="Earnings"/>
      <sheetName val="Guidance"/>
      <sheetName val="sumry"/>
      <sheetName val="qtrP&amp;L"/>
      <sheetName val="qtrSales"/>
      <sheetName val="stores"/>
      <sheetName val="segmentsales"/>
      <sheetName val="Segment Sales_New"/>
      <sheetName val="yrSales"/>
      <sheetName val="Sheet2"/>
      <sheetName val="CF Analysis"/>
      <sheetName val="yrP&amp;L"/>
      <sheetName val="qtrSales-seg"/>
      <sheetName val="flow"/>
      <sheetName val="bal"/>
      <sheetName val="FY13 Guidance"/>
      <sheetName val="qtrP&amp;L-seg"/>
      <sheetName val="wc"/>
      <sheetName val="turn"/>
      <sheetName val="dtc"/>
      <sheetName val="Debt"/>
      <sheetName val="E-comm chart"/>
      <sheetName val="qtlycomp"/>
      <sheetName val="Changes"/>
      <sheetName val="Adj Debt. EBITDAR"/>
      <sheetName val="JWN ROIC"/>
      <sheetName val="LEASES NEW"/>
      <sheetName val="mwareDates_42465_4269113"/>
      <sheetName val="MW Valuation"/>
      <sheetName val="Flow-through"/>
      <sheetName val="Variance-1Q13A"/>
      <sheetName val="mwareSettings"/>
      <sheetName val="MW-Cache"/>
      <sheetName val="Sheet1"/>
      <sheetName val="mwareDates"/>
      <sheetName val="Old_New"/>
      <sheetName val="Variance-3Q12"/>
      <sheetName val="mthSales-Total"/>
      <sheetName val="MWA ROE"/>
      <sheetName val="BBB"/>
      <sheetName val="FY12 Guidance"/>
      <sheetName val="Variance-4Q12A"/>
      <sheetName val="Reclassify"/>
      <sheetName val="Old_New (2)"/>
      <sheetName val="Sheet3"/>
      <sheetName val="DCF (2)"/>
    </sheetNames>
    <sheetDataSet>
      <sheetData sheetId="0"/>
      <sheetData sheetId="1"/>
      <sheetData sheetId="2"/>
      <sheetData sheetId="3"/>
      <sheetData sheetId="4" refreshError="1"/>
      <sheetData sheetId="5">
        <row r="10">
          <cell r="CV10">
            <v>2837</v>
          </cell>
        </row>
      </sheetData>
      <sheetData sheetId="6">
        <row r="12">
          <cell r="R12">
            <v>953.74699999999996</v>
          </cell>
        </row>
      </sheetData>
      <sheetData sheetId="7">
        <row r="210">
          <cell r="E210">
            <v>2.5625504587155952</v>
          </cell>
        </row>
      </sheetData>
      <sheetData sheetId="8">
        <row r="99">
          <cell r="HP99">
            <v>0.8</v>
          </cell>
        </row>
      </sheetData>
      <sheetData sheetId="9">
        <row r="6">
          <cell r="U6">
            <v>-1.7</v>
          </cell>
        </row>
      </sheetData>
      <sheetData sheetId="10">
        <row r="7">
          <cell r="AB7">
            <v>7790</v>
          </cell>
        </row>
      </sheetData>
      <sheetData sheetId="11"/>
      <sheetData sheetId="12"/>
      <sheetData sheetId="13" refreshError="1"/>
      <sheetData sheetId="14"/>
      <sheetData sheetId="15">
        <row r="8">
          <cell r="AD8">
            <v>402.31699999999995</v>
          </cell>
        </row>
      </sheetData>
      <sheetData sheetId="16" refreshError="1"/>
      <sheetData sheetId="17"/>
      <sheetData sheetId="18"/>
      <sheetData sheetId="19" refreshError="1"/>
      <sheetData sheetId="20">
        <row r="56">
          <cell r="R56">
            <v>4.0004578979990688</v>
          </cell>
        </row>
      </sheetData>
      <sheetData sheetId="21">
        <row r="29">
          <cell r="T29">
            <v>2238</v>
          </cell>
        </row>
      </sheetData>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 sheetId="39" refreshError="1"/>
      <sheetData sheetId="40" refreshError="1"/>
      <sheetData sheetId="41" refreshError="1"/>
      <sheetData sheetId="42" refreshError="1"/>
      <sheetData sheetId="43" refreshError="1"/>
      <sheetData sheetId="44" refreshError="1"/>
      <sheetData sheetId="45"/>
      <sheetData sheetId="46"/>
      <sheetData sheetId="47"/>
    </sheetDataSet>
  </externalBook>
</externalLink>
</file>

<file path=xl/theme/theme1.xml><?xml version="1.0" encoding="utf-8"?>
<a:theme xmlns:a="http://schemas.openxmlformats.org/drawingml/2006/main" name="Office Theme">
  <a:themeElements>
    <a:clrScheme name="Research">
      <a:dk1>
        <a:sysClr val="windowText" lastClr="000000"/>
      </a:dk1>
      <a:lt1>
        <a:sysClr val="window" lastClr="FFFFFF"/>
      </a:lt1>
      <a:dk2>
        <a:srgbClr val="003366"/>
      </a:dk2>
      <a:lt2>
        <a:srgbClr val="C6D9E2"/>
      </a:lt2>
      <a:accent1>
        <a:srgbClr val="137CB1"/>
      </a:accent1>
      <a:accent2>
        <a:srgbClr val="EACC80"/>
      </a:accent2>
      <a:accent3>
        <a:srgbClr val="4AAC6B"/>
      </a:accent3>
      <a:accent4>
        <a:srgbClr val="A8D7E2"/>
      </a:accent4>
      <a:accent5>
        <a:srgbClr val="E58061"/>
      </a:accent5>
      <a:accent6>
        <a:srgbClr val="BCE3A1"/>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6.vml" Type="http://schemas.openxmlformats.org/officeDocument/2006/relationships/vmlDrawing"/>
<Relationship Id="rId3" Target="../comments6.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7.vml" Type="http://schemas.openxmlformats.org/officeDocument/2006/relationships/vmlDrawing"/>
<Relationship Id="rId3" Target="../comments7.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vmlDrawing8.vml" Type="http://schemas.openxmlformats.org/officeDocument/2006/relationships/vmlDrawing"/>
<Relationship Id="rId3" Target="../comments8.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vmlDrawing9.vml" Type="http://schemas.openxmlformats.org/officeDocument/2006/relationships/vmlDrawing"/>
<Relationship Id="rId3" Target="../comments9.xml" Type="http://schemas.openxmlformats.org/officeDocument/2006/relationships/comments"/>
</Relationships>

</file>

<file path=xl/worksheets/_rels/sheet12.xml.rels><?xml version="1.0" encoding="UTF-8" standalone="yes"?>
<Relationships xmlns="http://schemas.openxmlformats.org/package/2006/relationships">
<Relationship Id="rId1" Target="../printerSettings/printerSettings12.bin" Type="http://schemas.openxmlformats.org/officeDocument/2006/relationships/printerSettings"/>
<Relationship Id="rId2" Target="../drawings/vmlDrawing10.vml" Type="http://schemas.openxmlformats.org/officeDocument/2006/relationships/vmlDrawing"/>
<Relationship Id="rId3" Target="../comments10.xml" Type="http://schemas.openxmlformats.org/officeDocument/2006/relationships/comments"/>
</Relationships>

</file>

<file path=xl/worksheets/_rels/sheet13.xml.rels><?xml version="1.0" encoding="UTF-8" standalone="yes"?>
<Relationships xmlns="http://schemas.openxmlformats.org/package/2006/relationships">
<Relationship Id="rId1" Target="../printerSettings/printerSettings13.bin" Type="http://schemas.openxmlformats.org/officeDocument/2006/relationships/printerSettings"/>
<Relationship Id="rId2" Target="../drawings/vmlDrawing11.vml" Type="http://schemas.openxmlformats.org/officeDocument/2006/relationships/vmlDrawing"/>
<Relationship Id="rId3" Target="../comments11.xml" Type="http://schemas.openxmlformats.org/officeDocument/2006/relationships/comments"/>
</Relationships>

</file>

<file path=xl/worksheets/_rels/sheet14.xml.rels><?xml version="1.0" encoding="UTF-8" standalone="yes"?>
<Relationships xmlns="http://schemas.openxmlformats.org/package/2006/relationships">
<Relationship Id="rId1" Target="../printerSettings/printerSettings14.bin" Type="http://schemas.openxmlformats.org/officeDocument/2006/relationships/printerSettings"/>
<Relationship Id="rId2" Target="../drawings/vmlDrawing12.vml" Type="http://schemas.openxmlformats.org/officeDocument/2006/relationships/vmlDrawing"/>
<Relationship Id="rId3" Target="../comments12.xml" Type="http://schemas.openxmlformats.org/officeDocument/2006/relationships/comments"/>
</Relationships>

</file>

<file path=xl/worksheets/_rels/sheet15.xml.rels><?xml version="1.0" encoding="UTF-8" standalone="yes"?>
<Relationships xmlns="http://schemas.openxmlformats.org/package/2006/relationships">
<Relationship Id="rId1" Target="../printerSettings/printerSettings15.bin" Type="http://schemas.openxmlformats.org/officeDocument/2006/relationships/printerSettings"/>
<Relationship Id="rId2" Target="../drawings/vmlDrawing13.vml" Type="http://schemas.openxmlformats.org/officeDocument/2006/relationships/vmlDrawing"/>
<Relationship Id="rId3" Target="../comments13.xml" Type="http://schemas.openxmlformats.org/officeDocument/2006/relationships/comments"/>
</Relationships>

</file>

<file path=xl/worksheets/_rels/sheet16.xml.rels><?xml version="1.0" encoding="UTF-8" standalone="yes"?>
<Relationships xmlns="http://schemas.openxmlformats.org/package/2006/relationships">
<Relationship Id="rId1" Target="../printerSettings/printerSettings16.bin" Type="http://schemas.openxmlformats.org/officeDocument/2006/relationships/printerSettings"/>
<Relationship Id="rId2" Target="../drawings/vmlDrawing14.vml" Type="http://schemas.openxmlformats.org/officeDocument/2006/relationships/vmlDrawing"/>
<Relationship Id="rId3" Target="../comments14.xml" Type="http://schemas.openxmlformats.org/officeDocument/2006/relationships/comments"/>
</Relationships>

</file>

<file path=xl/worksheets/_rels/sheet17.xml.rels><?xml version="1.0" encoding="UTF-8" standalone="yes"?>
<Relationships xmlns="http://schemas.openxmlformats.org/package/2006/relationships">
<Relationship Id="rId1" Target="../printerSettings/printerSettings17.bin" Type="http://schemas.openxmlformats.org/officeDocument/2006/relationships/printerSettings"/>
</Relationships>

</file>

<file path=xl/worksheets/_rels/sheet18.xml.rels><?xml version="1.0" encoding="UTF-8" standalone="yes"?>
<Relationships xmlns="http://schemas.openxmlformats.org/package/2006/relationships">
<Relationship Id="rId1" Target="../printerSettings/printerSettings18.bin" Type="http://schemas.openxmlformats.org/officeDocument/2006/relationships/printerSettings"/>
<Relationship Id="rId2" Target="../drawings/vmlDrawing15.vml" Type="http://schemas.openxmlformats.org/officeDocument/2006/relationships/vmlDrawing"/>
<Relationship Id="rId3" Target="../comments15.xml" Type="http://schemas.openxmlformats.org/officeDocument/2006/relationships/comments"/>
</Relationships>

</file>

<file path=xl/worksheets/_rels/sheet19.xml.rels><?xml version="1.0" encoding="UTF-8" standalone="yes"?>
<Relationships xmlns="http://schemas.openxmlformats.org/package/2006/relationships">
<Relationship Id="rId1" Target="../printerSettings/printerSettings19.bin" Type="http://schemas.openxmlformats.org/officeDocument/2006/relationships/printerSettings"/>
<Relationship Id="rId2" Target="../drawings/drawing2.xml" Type="http://schemas.openxmlformats.org/officeDocument/2006/relationships/drawing"/>
<Relationship Id="rId3" Target="../drawings/vmlDrawing16.vml" Type="http://schemas.openxmlformats.org/officeDocument/2006/relationships/vmlDrawing"/>
<Relationship Id="rId4" Target="../comments16.xml" Type="http://schemas.openxmlformats.org/officeDocument/2006/relationships/comments"/>
</Relationships>

</file>

<file path=xl/worksheets/_rels/sheet20.xml.rels><?xml version="1.0" encoding="UTF-8" standalone="yes"?>
<Relationships xmlns="http://schemas.openxmlformats.org/package/2006/relationships">
<Relationship Id="rId1" Target="../printerSettings/printerSettings20.bin" Type="http://schemas.openxmlformats.org/officeDocument/2006/relationships/printerSettings"/>
</Relationships>

</file>

<file path=xl/worksheets/_rels/sheet21.xml.rels><?xml version="1.0" encoding="UTF-8" standalone="yes"?>
<Relationships xmlns="http://schemas.openxmlformats.org/package/2006/relationships">
<Relationship Id="rId1" Target="../printerSettings/printerSettings21.bin" Type="http://schemas.openxmlformats.org/officeDocument/2006/relationships/printerSettings"/>
<Relationship Id="rId2" Target="../drawings/drawing3.xml" Type="http://schemas.openxmlformats.org/officeDocument/2006/relationships/drawing"/>
</Relationships>

</file>

<file path=xl/worksheets/_rels/sheet22.xml.rels><?xml version="1.0" encoding="UTF-8" standalone="yes"?>
<Relationships xmlns="http://schemas.openxmlformats.org/package/2006/relationships">
<Relationship Id="rId1" Target="../printerSettings/printerSettings22.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88"/>
  <sheetViews>
    <sheetView showGridLines="0" tabSelected="1" workbookViewId="0">
      <selection activeCell="Z1" sqref="Z1"/>
    </sheetView>
  </sheetViews>
  <sheetFormatPr defaultRowHeight="12.75"/>
  <cols>
    <col min="1" max="1" width="25.7109375" style="2126" customWidth="1"/>
    <col min="2" max="5" width="9.140625" style="2126"/>
    <col min="6" max="6" width="18.7109375" style="2126" customWidth="1"/>
    <col min="7" max="256" width="9.140625" style="2126"/>
    <col min="257" max="257" width="100.7109375" style="2126" customWidth="1"/>
    <col min="258" max="512" width="9.140625" style="2126"/>
    <col min="513" max="513" width="100.7109375" style="2126" customWidth="1"/>
    <col min="514" max="768" width="9.140625" style="2126"/>
    <col min="769" max="769" width="100.7109375" style="2126" customWidth="1"/>
    <col min="770" max="1024" width="9.140625" style="2126"/>
    <col min="1025" max="1025" width="100.7109375" style="2126" customWidth="1"/>
    <col min="1026" max="1280" width="9.140625" style="2126"/>
    <col min="1281" max="1281" width="100.7109375" style="2126" customWidth="1"/>
    <col min="1282" max="1536" width="9.140625" style="2126"/>
    <col min="1537" max="1537" width="100.7109375" style="2126" customWidth="1"/>
    <col min="1538" max="1792" width="9.140625" style="2126"/>
    <col min="1793" max="1793" width="100.7109375" style="2126" customWidth="1"/>
    <col min="1794" max="2048" width="9.140625" style="2126"/>
    <col min="2049" max="2049" width="100.7109375" style="2126" customWidth="1"/>
    <col min="2050" max="2304" width="9.140625" style="2126"/>
    <col min="2305" max="2305" width="100.7109375" style="2126" customWidth="1"/>
    <col min="2306" max="2560" width="9.140625" style="2126"/>
    <col min="2561" max="2561" width="100.7109375" style="2126" customWidth="1"/>
    <col min="2562" max="2816" width="9.140625" style="2126"/>
    <col min="2817" max="2817" width="100.7109375" style="2126" customWidth="1"/>
    <col min="2818" max="3072" width="9.140625" style="2126"/>
    <col min="3073" max="3073" width="100.7109375" style="2126" customWidth="1"/>
    <col min="3074" max="3328" width="9.140625" style="2126"/>
    <col min="3329" max="3329" width="100.7109375" style="2126" customWidth="1"/>
    <col min="3330" max="3584" width="9.140625" style="2126"/>
    <col min="3585" max="3585" width="100.7109375" style="2126" customWidth="1"/>
    <col min="3586" max="3840" width="9.140625" style="2126"/>
    <col min="3841" max="3841" width="100.7109375" style="2126" customWidth="1"/>
    <col min="3842" max="4096" width="9.140625" style="2126"/>
    <col min="4097" max="4097" width="100.7109375" style="2126" customWidth="1"/>
    <col min="4098" max="4352" width="9.140625" style="2126"/>
    <col min="4353" max="4353" width="100.7109375" style="2126" customWidth="1"/>
    <col min="4354" max="4608" width="9.140625" style="2126"/>
    <col min="4609" max="4609" width="100.7109375" style="2126" customWidth="1"/>
    <col min="4610" max="4864" width="9.140625" style="2126"/>
    <col min="4865" max="4865" width="100.7109375" style="2126" customWidth="1"/>
    <col min="4866" max="5120" width="9.140625" style="2126"/>
    <col min="5121" max="5121" width="100.7109375" style="2126" customWidth="1"/>
    <col min="5122" max="5376" width="9.140625" style="2126"/>
    <col min="5377" max="5377" width="100.7109375" style="2126" customWidth="1"/>
    <col min="5378" max="5632" width="9.140625" style="2126"/>
    <col min="5633" max="5633" width="100.7109375" style="2126" customWidth="1"/>
    <col min="5634" max="5888" width="9.140625" style="2126"/>
    <col min="5889" max="5889" width="100.7109375" style="2126" customWidth="1"/>
    <col min="5890" max="6144" width="9.140625" style="2126"/>
    <col min="6145" max="6145" width="100.7109375" style="2126" customWidth="1"/>
    <col min="6146" max="6400" width="9.140625" style="2126"/>
    <col min="6401" max="6401" width="100.7109375" style="2126" customWidth="1"/>
    <col min="6402" max="6656" width="9.140625" style="2126"/>
    <col min="6657" max="6657" width="100.7109375" style="2126" customWidth="1"/>
    <col min="6658" max="6912" width="9.140625" style="2126"/>
    <col min="6913" max="6913" width="100.7109375" style="2126" customWidth="1"/>
    <col min="6914" max="7168" width="9.140625" style="2126"/>
    <col min="7169" max="7169" width="100.7109375" style="2126" customWidth="1"/>
    <col min="7170" max="7424" width="9.140625" style="2126"/>
    <col min="7425" max="7425" width="100.7109375" style="2126" customWidth="1"/>
    <col min="7426" max="7680" width="9.140625" style="2126"/>
    <col min="7681" max="7681" width="100.7109375" style="2126" customWidth="1"/>
    <col min="7682" max="7936" width="9.140625" style="2126"/>
    <col min="7937" max="7937" width="100.7109375" style="2126" customWidth="1"/>
    <col min="7938" max="8192" width="9.140625" style="2126"/>
    <col min="8193" max="8193" width="100.7109375" style="2126" customWidth="1"/>
    <col min="8194" max="8448" width="9.140625" style="2126"/>
    <col min="8449" max="8449" width="100.7109375" style="2126" customWidth="1"/>
    <col min="8450" max="8704" width="9.140625" style="2126"/>
    <col min="8705" max="8705" width="100.7109375" style="2126" customWidth="1"/>
    <col min="8706" max="8960" width="9.140625" style="2126"/>
    <col min="8961" max="8961" width="100.7109375" style="2126" customWidth="1"/>
    <col min="8962" max="9216" width="9.140625" style="2126"/>
    <col min="9217" max="9217" width="100.7109375" style="2126" customWidth="1"/>
    <col min="9218" max="9472" width="9.140625" style="2126"/>
    <col min="9473" max="9473" width="100.7109375" style="2126" customWidth="1"/>
    <col min="9474" max="9728" width="9.140625" style="2126"/>
    <col min="9729" max="9729" width="100.7109375" style="2126" customWidth="1"/>
    <col min="9730" max="9984" width="9.140625" style="2126"/>
    <col min="9985" max="9985" width="100.7109375" style="2126" customWidth="1"/>
    <col min="9986" max="10240" width="9.140625" style="2126"/>
    <col min="10241" max="10241" width="100.7109375" style="2126" customWidth="1"/>
    <col min="10242" max="10496" width="9.140625" style="2126"/>
    <col min="10497" max="10497" width="100.7109375" style="2126" customWidth="1"/>
    <col min="10498" max="10752" width="9.140625" style="2126"/>
    <col min="10753" max="10753" width="100.7109375" style="2126" customWidth="1"/>
    <col min="10754" max="11008" width="9.140625" style="2126"/>
    <col min="11009" max="11009" width="100.7109375" style="2126" customWidth="1"/>
    <col min="11010" max="11264" width="9.140625" style="2126"/>
    <col min="11265" max="11265" width="100.7109375" style="2126" customWidth="1"/>
    <col min="11266" max="11520" width="9.140625" style="2126"/>
    <col min="11521" max="11521" width="100.7109375" style="2126" customWidth="1"/>
    <col min="11522" max="11776" width="9.140625" style="2126"/>
    <col min="11777" max="11777" width="100.7109375" style="2126" customWidth="1"/>
    <col min="11778" max="12032" width="9.140625" style="2126"/>
    <col min="12033" max="12033" width="100.7109375" style="2126" customWidth="1"/>
    <col min="12034" max="12288" width="9.140625" style="2126"/>
    <col min="12289" max="12289" width="100.7109375" style="2126" customWidth="1"/>
    <col min="12290" max="12544" width="9.140625" style="2126"/>
    <col min="12545" max="12545" width="100.7109375" style="2126" customWidth="1"/>
    <col min="12546" max="12800" width="9.140625" style="2126"/>
    <col min="12801" max="12801" width="100.7109375" style="2126" customWidth="1"/>
    <col min="12802" max="13056" width="9.140625" style="2126"/>
    <col min="13057" max="13057" width="100.7109375" style="2126" customWidth="1"/>
    <col min="13058" max="13312" width="9.140625" style="2126"/>
    <col min="13313" max="13313" width="100.7109375" style="2126" customWidth="1"/>
    <col min="13314" max="13568" width="9.140625" style="2126"/>
    <col min="13569" max="13569" width="100.7109375" style="2126" customWidth="1"/>
    <col min="13570" max="13824" width="9.140625" style="2126"/>
    <col min="13825" max="13825" width="100.7109375" style="2126" customWidth="1"/>
    <col min="13826" max="14080" width="9.140625" style="2126"/>
    <col min="14081" max="14081" width="100.7109375" style="2126" customWidth="1"/>
    <col min="14082" max="14336" width="9.140625" style="2126"/>
    <col min="14337" max="14337" width="100.7109375" style="2126" customWidth="1"/>
    <col min="14338" max="14592" width="9.140625" style="2126"/>
    <col min="14593" max="14593" width="100.7109375" style="2126" customWidth="1"/>
    <col min="14594" max="14848" width="9.140625" style="2126"/>
    <col min="14849" max="14849" width="100.7109375" style="2126" customWidth="1"/>
    <col min="14850" max="15104" width="9.140625" style="2126"/>
    <col min="15105" max="15105" width="100.7109375" style="2126" customWidth="1"/>
    <col min="15106" max="15360" width="9.140625" style="2126"/>
    <col min="15361" max="15361" width="100.7109375" style="2126" customWidth="1"/>
    <col min="15362" max="15616" width="9.140625" style="2126"/>
    <col min="15617" max="15617" width="100.7109375" style="2126" customWidth="1"/>
    <col min="15618" max="15872" width="9.140625" style="2126"/>
    <col min="15873" max="15873" width="100.7109375" style="2126" customWidth="1"/>
    <col min="15874" max="16128" width="9.140625" style="2126"/>
    <col min="16129" max="16129" width="100.7109375" style="2126" customWidth="1"/>
    <col min="16130" max="16384" width="9.140625" style="2126"/>
  </cols>
  <sheetData>
    <row r="1" spans="1:8" ht="30" customHeight="1">
      <c r="A1" s="2124"/>
      <c r="B1" s="2125"/>
      <c r="C1" s="2125"/>
      <c r="D1" s="2125"/>
      <c r="E1" s="2125"/>
      <c r="F1" s="2125"/>
      <c r="G1" s="2125"/>
      <c r="H1" s="2125"/>
    </row>
    <row r="2" spans="1:8" ht="14.25">
      <c r="A2" s="2127" t="s">
        <v>870</v>
      </c>
      <c r="B2" s="2125"/>
      <c r="C2" s="2125"/>
      <c r="D2" s="2125"/>
      <c r="E2" s="2125"/>
      <c r="F2" s="2125"/>
      <c r="G2" s="2125"/>
      <c r="H2" s="2125"/>
    </row>
    <row r="3" spans="1:8" ht="14.25">
      <c r="A3" s="2127" t="s">
        <v>871</v>
      </c>
      <c r="B3" s="2125"/>
      <c r="C3" s="2125"/>
      <c r="D3" s="2125"/>
      <c r="E3" s="2125"/>
      <c r="F3" s="2125"/>
      <c r="G3" s="2125"/>
      <c r="H3" s="2125"/>
    </row>
    <row r="4" spans="1:8" ht="14.25">
      <c r="A4" s="2127" t="s">
        <v>872</v>
      </c>
      <c r="B4" s="2125"/>
      <c r="C4" s="2125"/>
      <c r="D4" s="2125"/>
      <c r="E4" s="2125"/>
      <c r="F4" s="2125"/>
      <c r="G4" s="2125"/>
      <c r="H4" s="2125"/>
    </row>
    <row r="5" spans="1:8" ht="14.25">
      <c r="A5" s="2127" t="s">
        <v>873</v>
      </c>
      <c r="B5" s="2125"/>
      <c r="C5" s="2125"/>
      <c r="D5" s="2125"/>
      <c r="E5" s="2125"/>
      <c r="F5" s="2125"/>
      <c r="G5" s="2125"/>
      <c r="H5" s="2125"/>
    </row>
    <row r="6" spans="1:8" ht="14.25">
      <c r="A6" s="2127"/>
      <c r="B6" s="2125"/>
      <c r="C6" s="2125"/>
      <c r="D6" s="2125"/>
      <c r="E6" s="2125"/>
      <c r="F6" s="2125"/>
      <c r="G6" s="2125"/>
      <c r="H6" s="2125"/>
    </row>
    <row r="7" spans="1:8">
      <c r="A7" s="2124" t="s">
        <v>874</v>
      </c>
      <c r="B7" s="2125"/>
      <c r="C7" s="2125"/>
      <c r="D7" s="2125"/>
      <c r="E7" s="2125"/>
      <c r="F7" s="2125"/>
      <c r="G7" s="2125"/>
      <c r="H7" s="2125"/>
    </row>
    <row r="8" spans="1:8">
      <c r="A8" s="2124" t="s">
        <v>875</v>
      </c>
      <c r="B8" s="2125"/>
      <c r="C8" s="2125"/>
      <c r="D8" s="2125"/>
      <c r="E8" s="2125"/>
      <c r="F8" s="2125"/>
      <c r="G8" s="2125"/>
      <c r="H8" s="2125"/>
    </row>
    <row r="9" spans="1:8">
      <c r="A9" s="2124"/>
      <c r="B9" s="2125"/>
      <c r="C9" s="2125"/>
      <c r="D9" s="2125"/>
      <c r="E9" s="2125"/>
      <c r="F9" s="2125"/>
      <c r="G9" s="2125"/>
      <c r="H9" s="2125"/>
    </row>
    <row r="10" spans="1:8">
      <c r="A10" s="2128" t="s">
        <v>876</v>
      </c>
      <c r="B10" s="2125"/>
      <c r="C10" s="2125"/>
      <c r="D10" s="2125"/>
      <c r="E10" s="2125"/>
      <c r="F10" s="2125"/>
      <c r="G10" s="2125"/>
      <c r="H10" s="2125"/>
    </row>
    <row r="11" spans="1:8">
      <c r="A11" s="2128" t="s">
        <v>877</v>
      </c>
      <c r="B11" s="2125"/>
      <c r="C11" s="2125"/>
      <c r="D11" s="2125"/>
      <c r="E11" s="2125"/>
      <c r="F11" s="2125"/>
      <c r="G11" s="2125"/>
      <c r="H11" s="2125"/>
    </row>
    <row r="12" spans="1:8">
      <c r="A12" s="2128" t="s">
        <v>878</v>
      </c>
      <c r="B12" s="2125"/>
      <c r="C12" s="2125"/>
      <c r="D12" s="2125"/>
      <c r="E12" s="2125"/>
      <c r="F12" s="2125"/>
      <c r="G12" s="2125"/>
      <c r="H12" s="2125"/>
    </row>
    <row r="13" spans="1:8">
      <c r="A13" s="2128" t="s">
        <v>879</v>
      </c>
      <c r="B13" s="2125"/>
      <c r="C13" s="2125"/>
      <c r="D13" s="2125"/>
      <c r="E13" s="2125"/>
      <c r="F13" s="2125"/>
      <c r="G13" s="2125"/>
      <c r="H13" s="2125"/>
    </row>
    <row r="14" spans="1:8">
      <c r="A14" s="2128" t="s">
        <v>880</v>
      </c>
      <c r="B14" s="2125"/>
      <c r="C14" s="2125"/>
      <c r="D14" s="2125"/>
      <c r="E14" s="2125"/>
      <c r="F14" s="2125"/>
      <c r="G14" s="2125"/>
      <c r="H14" s="2125"/>
    </row>
    <row r="15" spans="1:8">
      <c r="A15" s="2128" t="s">
        <v>881</v>
      </c>
      <c r="B15" s="2125"/>
      <c r="C15" s="2125"/>
      <c r="D15" s="2125"/>
      <c r="E15" s="2125"/>
      <c r="F15" s="2125"/>
      <c r="G15" s="2125"/>
      <c r="H15" s="2125"/>
    </row>
    <row r="16" spans="1:8">
      <c r="A16" s="2128"/>
      <c r="B16" s="2125"/>
      <c r="C16" s="2125"/>
      <c r="D16" s="2125"/>
      <c r="E16" s="2125"/>
      <c r="F16" s="2125"/>
      <c r="G16" s="2125"/>
      <c r="H16" s="2125"/>
    </row>
    <row r="17" spans="1:8">
      <c r="A17" s="2128" t="s">
        <v>867</v>
      </c>
      <c r="B17" s="2125"/>
      <c r="C17" s="2125"/>
      <c r="D17" s="2125"/>
      <c r="E17" s="2125"/>
      <c r="F17" s="2125"/>
      <c r="G17" s="2125"/>
      <c r="H17" s="2125"/>
    </row>
    <row r="18" spans="1:8">
      <c r="A18" s="2128"/>
      <c r="B18" s="2125"/>
      <c r="C18" s="2125"/>
      <c r="D18" s="2125"/>
      <c r="E18" s="2125"/>
      <c r="F18" s="2125"/>
      <c r="G18" s="2125"/>
      <c r="H18" s="2125"/>
    </row>
    <row r="19" spans="1:8">
      <c r="A19" s="2128" t="s">
        <v>868</v>
      </c>
      <c r="B19" s="2125"/>
      <c r="C19" s="2125"/>
      <c r="D19" s="2125"/>
      <c r="E19" s="2125"/>
      <c r="F19" s="2125"/>
      <c r="G19" s="2125"/>
      <c r="H19" s="2125"/>
    </row>
    <row r="20" spans="1:8">
      <c r="A20" s="2124"/>
      <c r="B20" s="2125"/>
      <c r="C20" s="2125"/>
      <c r="D20" s="2125"/>
      <c r="E20" s="2125"/>
      <c r="F20" s="2125"/>
      <c r="G20" s="2125"/>
      <c r="H20" s="2125"/>
    </row>
    <row r="21" spans="1:8">
      <c r="A21" s="2129" t="s">
        <v>869</v>
      </c>
      <c r="B21" s="2125"/>
      <c r="C21" s="2125"/>
      <c r="D21" s="2125"/>
      <c r="E21" s="2125"/>
      <c r="F21" s="2125"/>
      <c r="G21" s="2125"/>
      <c r="H21" s="2125"/>
    </row>
    <row r="22" spans="1:8">
      <c r="A22" s="2130"/>
      <c r="B22" s="2130"/>
      <c r="C22" s="2130"/>
      <c r="D22" s="2130"/>
      <c r="E22" s="2130"/>
      <c r="F22" s="2130"/>
      <c r="G22" s="2130"/>
      <c r="H22" s="2130"/>
    </row>
    <row r="23" spans="1:8">
      <c r="A23" s="2131" t="s">
        <v>1156</v>
      </c>
      <c r="B23" s="2130"/>
      <c r="C23" s="2130"/>
      <c r="D23" s="2130"/>
      <c r="E23" s="2130"/>
      <c r="F23" s="2130"/>
      <c r="G23" s="2130"/>
      <c r="H23" s="2130"/>
    </row>
    <row r="24" spans="1:8">
      <c r="A24" s="2131" t="s">
        <v>1157</v>
      </c>
      <c r="B24" s="2130"/>
      <c r="C24" s="2130"/>
      <c r="D24" s="2130"/>
      <c r="E24" s="2130"/>
      <c r="F24" s="2130"/>
      <c r="G24" s="2130"/>
      <c r="H24" s="2130"/>
    </row>
    <row r="25" spans="1:8">
      <c r="A25" s="2131" t="s">
        <v>1158</v>
      </c>
      <c r="B25" s="2130"/>
      <c r="C25" s="2130"/>
      <c r="D25" s="2130"/>
      <c r="E25" s="2130"/>
      <c r="F25" s="2130"/>
      <c r="G25" s="2130"/>
      <c r="H25" s="2130"/>
    </row>
    <row r="26" spans="1:8">
      <c r="A26" s="2131" t="s">
        <v>1159</v>
      </c>
      <c r="B26" s="2130"/>
      <c r="C26" s="2130"/>
      <c r="D26" s="2130"/>
      <c r="E26" s="2130"/>
      <c r="F26" s="2130"/>
      <c r="G26" s="2130"/>
      <c r="H26" s="2130"/>
    </row>
    <row r="27" spans="1:8">
      <c r="A27" s="2130"/>
      <c r="B27" s="2130"/>
      <c r="C27" s="2130"/>
      <c r="D27" s="2130"/>
      <c r="E27" s="2130"/>
      <c r="F27" s="2130"/>
      <c r="G27" s="2130"/>
      <c r="H27" s="2130"/>
    </row>
    <row r="28" spans="1:8">
      <c r="A28" s="2130"/>
      <c r="B28" s="2130"/>
      <c r="C28" s="2130"/>
      <c r="D28" s="2130"/>
      <c r="E28" s="2130"/>
      <c r="F28" s="2130"/>
      <c r="G28" s="2130"/>
      <c r="H28" s="2130"/>
    </row>
    <row r="29" spans="1:8">
      <c r="A29" s="2131" t="s">
        <v>1151</v>
      </c>
      <c r="B29" s="2130"/>
      <c r="C29" s="2130"/>
      <c r="D29" s="2130"/>
      <c r="E29" s="2130"/>
      <c r="F29" s="2130"/>
      <c r="G29" s="2130"/>
      <c r="H29" s="2130"/>
    </row>
    <row r="30" spans="1:8">
      <c r="A30" s="2131" t="s">
        <v>1152</v>
      </c>
      <c r="B30" s="2130"/>
      <c r="C30" s="2130"/>
      <c r="D30" s="2130"/>
      <c r="E30" s="2130"/>
      <c r="F30" s="2130"/>
      <c r="G30" s="2130"/>
      <c r="H30" s="2130"/>
    </row>
    <row r="31" spans="1:8">
      <c r="A31" s="2131" t="s">
        <v>1153</v>
      </c>
      <c r="B31" s="2130"/>
      <c r="C31" s="2130"/>
      <c r="D31" s="2130"/>
      <c r="E31" s="2130"/>
      <c r="F31" s="2130"/>
      <c r="G31" s="2130"/>
      <c r="H31" s="2130"/>
    </row>
    <row r="32" spans="1:8">
      <c r="A32" s="2131" t="s">
        <v>1154</v>
      </c>
      <c r="B32" s="2130"/>
      <c r="C32" s="2130"/>
      <c r="D32" s="2130"/>
      <c r="E32" s="2130"/>
      <c r="F32" s="2130"/>
      <c r="G32" s="2130"/>
      <c r="H32" s="2130"/>
    </row>
    <row r="33" spans="1:8">
      <c r="A33" s="2131" t="s">
        <v>1155</v>
      </c>
      <c r="B33" s="2130"/>
      <c r="C33" s="2130"/>
      <c r="D33" s="2130"/>
      <c r="E33" s="2130"/>
      <c r="F33" s="2130"/>
      <c r="G33" s="2130"/>
      <c r="H33" s="2130"/>
    </row>
    <row r="34" spans="1:8">
      <c r="A34" s="2130"/>
      <c r="B34" s="2130"/>
      <c r="C34" s="2130"/>
      <c r="D34" s="2130"/>
      <c r="E34" s="2130"/>
      <c r="F34" s="2130"/>
      <c r="G34" s="2130"/>
      <c r="H34" s="2130"/>
    </row>
    <row r="35" spans="1:8">
      <c r="A35" s="2131" t="s">
        <v>1147</v>
      </c>
      <c r="B35" s="2130"/>
      <c r="C35" s="2130"/>
      <c r="D35" s="2130"/>
      <c r="E35" s="2130"/>
      <c r="F35" s="2130"/>
      <c r="G35" s="2130"/>
      <c r="H35" s="2130"/>
    </row>
    <row r="36" spans="1:8">
      <c r="A36" s="2131" t="s">
        <v>1148</v>
      </c>
      <c r="B36" s="2130"/>
      <c r="C36" s="2130"/>
      <c r="D36" s="2130"/>
      <c r="E36" s="2130"/>
      <c r="F36" s="2130"/>
      <c r="G36" s="2130"/>
      <c r="H36" s="2130"/>
    </row>
    <row r="37" spans="1:8">
      <c r="A37" s="2131" t="s">
        <v>1149</v>
      </c>
      <c r="B37" s="2130"/>
      <c r="C37" s="2130"/>
      <c r="D37" s="2130"/>
      <c r="E37" s="2130"/>
      <c r="F37" s="2130"/>
      <c r="G37" s="2130"/>
      <c r="H37" s="2130"/>
    </row>
    <row r="38" spans="1:8">
      <c r="A38" s="2131" t="s">
        <v>1150</v>
      </c>
      <c r="B38" s="2130"/>
      <c r="C38" s="2130"/>
      <c r="D38" s="2130"/>
      <c r="E38" s="2130"/>
      <c r="F38" s="2130"/>
      <c r="G38" s="2130"/>
      <c r="H38" s="2130"/>
    </row>
    <row r="39" spans="1:8">
      <c r="A39" s="2130"/>
      <c r="B39" s="2130"/>
      <c r="C39" s="2130"/>
      <c r="D39" s="2130"/>
      <c r="E39" s="2130"/>
      <c r="F39" s="2130"/>
      <c r="G39" s="2130"/>
      <c r="H39" s="2130"/>
    </row>
    <row r="40" spans="1:8">
      <c r="A40" s="2131" t="s">
        <v>1141</v>
      </c>
      <c r="B40" s="2130"/>
      <c r="C40" s="2130"/>
      <c r="D40" s="2130"/>
      <c r="E40" s="2130"/>
      <c r="F40" s="2130"/>
      <c r="G40" s="2130"/>
      <c r="H40" s="2130"/>
    </row>
    <row r="41" spans="1:8">
      <c r="A41" s="2131" t="s">
        <v>1142</v>
      </c>
      <c r="B41" s="2130"/>
      <c r="C41" s="2130"/>
      <c r="D41" s="2130"/>
      <c r="E41" s="2130"/>
      <c r="F41" s="2130"/>
      <c r="G41" s="2130"/>
      <c r="H41" s="2130"/>
    </row>
    <row r="42" spans="1:8">
      <c r="A42" s="2131" t="s">
        <v>1143</v>
      </c>
      <c r="B42" s="2130"/>
      <c r="C42" s="2130"/>
      <c r="D42" s="2130"/>
      <c r="E42" s="2130"/>
      <c r="F42" s="2130"/>
      <c r="G42" s="2130"/>
      <c r="H42" s="2130"/>
    </row>
    <row r="43" spans="1:8">
      <c r="A43" s="2131" t="s">
        <v>1144</v>
      </c>
      <c r="B43" s="2130"/>
      <c r="C43" s="2130"/>
      <c r="D43" s="2130"/>
      <c r="E43" s="2130"/>
      <c r="F43" s="2130"/>
      <c r="G43" s="2130"/>
      <c r="H43" s="2130"/>
    </row>
    <row r="44" spans="1:8">
      <c r="A44" s="2131" t="s">
        <v>1145</v>
      </c>
      <c r="B44" s="2130"/>
      <c r="C44" s="2130"/>
      <c r="D44" s="2130"/>
      <c r="E44" s="2130"/>
      <c r="F44" s="2130"/>
      <c r="G44" s="2130"/>
      <c r="H44" s="2130"/>
    </row>
    <row r="45" spans="1:8">
      <c r="A45" s="2131" t="s">
        <v>1146</v>
      </c>
      <c r="B45" s="2130"/>
      <c r="C45" s="2130"/>
      <c r="D45" s="2130"/>
      <c r="E45" s="2130"/>
      <c r="F45" s="2130"/>
      <c r="G45" s="2130"/>
      <c r="H45" s="2130"/>
    </row>
    <row r="46" spans="1:8">
      <c r="A46" s="2130"/>
      <c r="B46" s="2130"/>
      <c r="C46" s="2130"/>
      <c r="D46" s="2130"/>
      <c r="E46" s="2130"/>
      <c r="F46" s="2130"/>
      <c r="G46" s="2130"/>
      <c r="H46" s="2130"/>
    </row>
    <row r="47" spans="1:8" ht="15.75">
      <c r="A47" s="2132" t="s">
        <v>882</v>
      </c>
      <c r="B47" s="2130"/>
      <c r="C47" s="2130"/>
      <c r="D47" s="2130"/>
      <c r="E47" s="2130"/>
      <c r="F47" s="2130"/>
      <c r="G47" s="2130"/>
      <c r="H47" s="2130"/>
    </row>
    <row r="48" spans="1:8">
      <c r="A48" s="2130"/>
      <c r="B48" s="2130"/>
      <c r="C48" s="2130"/>
      <c r="D48" s="2130"/>
      <c r="E48" s="2130"/>
      <c r="F48" s="2130"/>
      <c r="G48" s="2130"/>
      <c r="H48" s="2130"/>
    </row>
    <row r="49" spans="1:8">
      <c r="A49" s="2131" t="s">
        <v>1137</v>
      </c>
      <c r="B49" s="2130"/>
      <c r="C49" s="2130"/>
      <c r="D49" s="2130"/>
      <c r="E49" s="2130"/>
      <c r="F49" s="2130"/>
      <c r="G49" s="2130"/>
      <c r="H49" s="2130"/>
    </row>
    <row r="50" spans="1:8">
      <c r="A50" s="2131" t="s">
        <v>1138</v>
      </c>
      <c r="B50" s="2130"/>
      <c r="C50" s="2130"/>
      <c r="D50" s="2130"/>
      <c r="E50" s="2130"/>
      <c r="F50" s="2130"/>
      <c r="G50" s="2130"/>
      <c r="H50" s="2130"/>
    </row>
    <row r="51" spans="1:8">
      <c r="A51" s="2131" t="s">
        <v>1139</v>
      </c>
      <c r="B51" s="2130"/>
      <c r="C51" s="2130"/>
      <c r="D51" s="2130"/>
      <c r="E51" s="2130"/>
      <c r="F51" s="2130"/>
      <c r="G51" s="2130"/>
      <c r="H51" s="2130"/>
    </row>
    <row r="52" spans="1:8">
      <c r="A52" s="2131" t="s">
        <v>1140</v>
      </c>
      <c r="B52" s="2130"/>
      <c r="C52" s="2130"/>
      <c r="D52" s="2130"/>
      <c r="E52" s="2130"/>
      <c r="F52" s="2130"/>
      <c r="G52" s="2130"/>
      <c r="H52" s="2130"/>
    </row>
    <row r="53" spans="1:8">
      <c r="A53" s="2130"/>
      <c r="B53" s="2130"/>
      <c r="C53" s="2130"/>
      <c r="D53" s="2130"/>
      <c r="E53" s="2130"/>
      <c r="F53" s="2130"/>
      <c r="G53" s="2130"/>
      <c r="H53" s="2130"/>
    </row>
    <row r="54" spans="1:8">
      <c r="A54" s="2131" t="s">
        <v>883</v>
      </c>
      <c r="B54" s="2130"/>
      <c r="C54" s="2130"/>
      <c r="D54" s="2130"/>
      <c r="E54" s="2130"/>
      <c r="F54" s="2130"/>
      <c r="G54" s="2130"/>
      <c r="H54" s="2130"/>
    </row>
    <row r="55" spans="1:8">
      <c r="A55" s="2130"/>
      <c r="B55" s="2130"/>
      <c r="C55" s="2130"/>
      <c r="D55" s="2130"/>
      <c r="E55" s="2130"/>
      <c r="F55" s="2130"/>
      <c r="G55" s="2130"/>
      <c r="H55" s="2130"/>
    </row>
    <row r="56" spans="1:8" ht="15.75">
      <c r="A56" s="2132" t="s">
        <v>884</v>
      </c>
      <c r="B56" s="2130"/>
      <c r="C56" s="2130"/>
      <c r="D56" s="2130"/>
      <c r="E56" s="2130"/>
      <c r="F56" s="2130"/>
      <c r="G56" s="2130"/>
      <c r="H56" s="2130"/>
    </row>
    <row r="57" spans="1:8">
      <c r="A57" s="2130"/>
      <c r="B57" s="2130"/>
      <c r="C57" s="2130"/>
      <c r="D57" s="2130"/>
      <c r="E57" s="2130"/>
      <c r="F57" s="2130"/>
      <c r="G57" s="2130"/>
      <c r="H57" s="2130"/>
    </row>
    <row r="58" spans="1:8">
      <c r="A58" s="2131" t="s">
        <v>1135</v>
      </c>
      <c r="B58" s="2130"/>
      <c r="C58" s="2130"/>
      <c r="D58" s="2130"/>
      <c r="E58" s="2130"/>
      <c r="F58" s="2130"/>
      <c r="G58" s="2130"/>
      <c r="H58" s="2130"/>
    </row>
    <row r="59" spans="1:8">
      <c r="A59" s="2131" t="s">
        <v>1136</v>
      </c>
      <c r="B59" s="2130"/>
      <c r="C59" s="2130"/>
      <c r="D59" s="2130"/>
      <c r="E59" s="2130"/>
      <c r="F59" s="2130"/>
      <c r="G59" s="2130"/>
      <c r="H59" s="2130"/>
    </row>
    <row r="60" spans="1:8">
      <c r="A60" s="2130"/>
      <c r="B60" s="2130"/>
      <c r="C60" s="2130"/>
      <c r="D60" s="2130"/>
      <c r="E60" s="2130"/>
      <c r="F60" s="2130"/>
      <c r="G60" s="2130"/>
      <c r="H60" s="2130"/>
    </row>
    <row r="61" spans="1:8" ht="15.75">
      <c r="A61" s="2132" t="s">
        <v>885</v>
      </c>
      <c r="B61" s="2130"/>
      <c r="C61" s="2130"/>
      <c r="D61" s="2130"/>
      <c r="E61" s="2130"/>
      <c r="F61" s="2130"/>
      <c r="G61" s="2130"/>
      <c r="H61" s="2130"/>
    </row>
    <row r="62" spans="1:8">
      <c r="A62" s="2130"/>
      <c r="B62" s="2130"/>
      <c r="C62" s="2130"/>
      <c r="D62" s="2130"/>
      <c r="E62" s="2130"/>
      <c r="F62" s="2130"/>
      <c r="G62" s="2130"/>
      <c r="H62" s="2130"/>
    </row>
    <row r="63" spans="1:8">
      <c r="A63" s="2131" t="s">
        <v>1133</v>
      </c>
      <c r="B63" s="2130"/>
      <c r="C63" s="2130"/>
      <c r="D63" s="2130"/>
      <c r="E63" s="2130"/>
      <c r="F63" s="2130"/>
      <c r="G63" s="2130"/>
      <c r="H63" s="2130"/>
    </row>
    <row r="64" spans="1:8">
      <c r="A64" s="2131" t="s">
        <v>1134</v>
      </c>
      <c r="B64" s="2130"/>
      <c r="C64" s="2130"/>
      <c r="D64" s="2130"/>
      <c r="E64" s="2130"/>
      <c r="F64" s="2130"/>
      <c r="G64" s="2130"/>
      <c r="H64" s="2130"/>
    </row>
    <row r="65" spans="1:8">
      <c r="A65" s="2130"/>
      <c r="B65" s="2130"/>
      <c r="C65" s="2130"/>
      <c r="D65" s="2130"/>
      <c r="E65" s="2130"/>
      <c r="F65" s="2130"/>
      <c r="G65" s="2130"/>
      <c r="H65" s="2130"/>
    </row>
    <row r="66" spans="1:8">
      <c r="A66" s="2131" t="s">
        <v>1131</v>
      </c>
      <c r="B66" s="2130"/>
      <c r="C66" s="2130"/>
      <c r="D66" s="2130"/>
      <c r="E66" s="2130"/>
      <c r="F66" s="2130"/>
      <c r="G66" s="2130"/>
      <c r="H66" s="2130"/>
    </row>
    <row r="67" spans="1:8">
      <c r="A67" s="2131" t="s">
        <v>1132</v>
      </c>
      <c r="B67" s="2130"/>
      <c r="C67" s="2130"/>
      <c r="D67" s="2130"/>
      <c r="E67" s="2130"/>
      <c r="F67" s="2130"/>
      <c r="G67" s="2130"/>
      <c r="H67" s="2130"/>
    </row>
    <row r="68" spans="1:8">
      <c r="A68" s="2130"/>
      <c r="B68" s="2130"/>
      <c r="C68" s="2130"/>
      <c r="D68" s="2130"/>
      <c r="E68" s="2130"/>
      <c r="F68" s="2130"/>
      <c r="G68" s="2130"/>
      <c r="H68" s="2130"/>
    </row>
    <row r="69" spans="1:8">
      <c r="A69" s="2131" t="s">
        <v>1128</v>
      </c>
      <c r="B69" s="2130"/>
      <c r="C69" s="2130"/>
      <c r="D69" s="2130"/>
      <c r="E69" s="2130"/>
      <c r="F69" s="2130"/>
      <c r="G69" s="2130"/>
      <c r="H69" s="2130"/>
    </row>
    <row r="70" spans="1:8">
      <c r="A70" s="2131" t="s">
        <v>1129</v>
      </c>
      <c r="B70" s="2130"/>
      <c r="C70" s="2130"/>
      <c r="D70" s="2130"/>
      <c r="E70" s="2130"/>
      <c r="F70" s="2130"/>
      <c r="G70" s="2130"/>
      <c r="H70" s="2130"/>
    </row>
    <row r="71" spans="1:8">
      <c r="A71" s="2131" t="s">
        <v>1130</v>
      </c>
      <c r="B71" s="2130"/>
      <c r="C71" s="2130"/>
      <c r="D71" s="2130"/>
      <c r="E71" s="2130"/>
      <c r="F71" s="2130"/>
      <c r="G71" s="2130"/>
      <c r="H71" s="2130"/>
    </row>
    <row r="72" spans="1:8">
      <c r="A72" s="2130"/>
      <c r="B72" s="2130"/>
      <c r="C72" s="2130"/>
      <c r="D72" s="2130"/>
      <c r="E72" s="2130"/>
      <c r="F72" s="2130"/>
      <c r="G72" s="2130"/>
      <c r="H72" s="2130"/>
    </row>
    <row r="73" spans="1:8">
      <c r="A73" s="2131" t="s">
        <v>886</v>
      </c>
      <c r="B73" s="2130"/>
      <c r="C73" s="2130"/>
      <c r="D73" s="2130"/>
      <c r="E73" s="2130"/>
      <c r="F73" s="2130"/>
      <c r="G73" s="2130"/>
      <c r="H73" s="2130"/>
    </row>
    <row r="74" spans="1:8">
      <c r="A74" s="2130"/>
      <c r="B74" s="2130"/>
      <c r="C74" s="2130"/>
      <c r="D74" s="2130"/>
      <c r="E74" s="2130"/>
      <c r="F74" s="2130"/>
      <c r="G74" s="2130"/>
      <c r="H74" s="2130"/>
    </row>
    <row r="75" spans="1:8">
      <c r="A75" s="2131" t="s">
        <v>1123</v>
      </c>
      <c r="B75" s="2130"/>
      <c r="C75" s="2130"/>
      <c r="D75" s="2130"/>
      <c r="E75" s="2130"/>
      <c r="F75" s="2130"/>
      <c r="G75" s="2130"/>
      <c r="H75" s="2130"/>
    </row>
    <row r="76" spans="1:8">
      <c r="A76" s="2131" t="s">
        <v>1124</v>
      </c>
      <c r="B76" s="2130"/>
      <c r="C76" s="2130"/>
      <c r="D76" s="2130"/>
      <c r="E76" s="2130"/>
      <c r="F76" s="2130"/>
      <c r="G76" s="2130"/>
      <c r="H76" s="2130"/>
    </row>
    <row r="77" spans="1:8">
      <c r="A77" s="2131" t="s">
        <v>1125</v>
      </c>
      <c r="B77" s="2130"/>
      <c r="C77" s="2130"/>
      <c r="D77" s="2130"/>
      <c r="E77" s="2130"/>
      <c r="F77" s="2130"/>
      <c r="G77" s="2130"/>
      <c r="H77" s="2130"/>
    </row>
    <row r="78" spans="1:8">
      <c r="A78" s="2131" t="s">
        <v>1126</v>
      </c>
      <c r="B78" s="2130"/>
      <c r="C78" s="2130"/>
      <c r="D78" s="2130"/>
      <c r="E78" s="2130"/>
      <c r="F78" s="2130"/>
      <c r="G78" s="2130"/>
      <c r="H78" s="2130"/>
    </row>
    <row r="79" spans="1:8">
      <c r="A79" s="2131" t="s">
        <v>1127</v>
      </c>
      <c r="B79" s="2130"/>
      <c r="C79" s="2130"/>
      <c r="D79" s="2130"/>
      <c r="E79" s="2130"/>
      <c r="F79" s="2130"/>
      <c r="G79" s="2130"/>
      <c r="H79" s="2130"/>
    </row>
    <row r="80" spans="1:8">
      <c r="A80" s="2131" t="s">
        <v>1010</v>
      </c>
      <c r="B80" s="2130"/>
      <c r="C80" s="2130"/>
      <c r="D80" s="2130"/>
      <c r="E80" s="2130"/>
      <c r="F80" s="2130"/>
      <c r="G80" s="2130"/>
      <c r="H80" s="2130"/>
    </row>
    <row r="81" spans="1:8">
      <c r="A81" s="2130"/>
      <c r="B81" s="2130"/>
      <c r="C81" s="2130"/>
      <c r="D81" s="2130"/>
      <c r="E81" s="2130"/>
      <c r="F81" s="2130"/>
      <c r="G81" s="2130"/>
      <c r="H81" s="2130"/>
    </row>
    <row r="82" spans="1:8">
      <c r="A82" s="2131" t="s">
        <v>1116</v>
      </c>
      <c r="B82" s="2130"/>
      <c r="C82" s="2130"/>
      <c r="D82" s="2130"/>
      <c r="E82" s="2130"/>
      <c r="F82" s="2130"/>
      <c r="G82" s="2130"/>
      <c r="H82" s="2130"/>
    </row>
    <row r="83" spans="1:8">
      <c r="A83" s="2131" t="s">
        <v>1117</v>
      </c>
      <c r="B83" s="2130"/>
      <c r="C83" s="2130"/>
      <c r="D83" s="2130"/>
      <c r="E83" s="2130"/>
      <c r="F83" s="2130"/>
      <c r="G83" s="2130"/>
      <c r="H83" s="2130"/>
    </row>
    <row r="84" spans="1:8">
      <c r="A84" s="2131" t="s">
        <v>1118</v>
      </c>
      <c r="B84" s="2130"/>
      <c r="C84" s="2130"/>
      <c r="D84" s="2130"/>
      <c r="E84" s="2130"/>
      <c r="F84" s="2130"/>
      <c r="G84" s="2130"/>
      <c r="H84" s="2130"/>
    </row>
    <row r="85" spans="1:8">
      <c r="A85" s="2131" t="s">
        <v>1119</v>
      </c>
      <c r="B85" s="2130"/>
      <c r="C85" s="2130"/>
      <c r="D85" s="2130"/>
      <c r="E85" s="2130"/>
      <c r="F85" s="2130"/>
      <c r="G85" s="2130"/>
      <c r="H85" s="2130"/>
    </row>
    <row r="86" spans="1:8">
      <c r="A86" s="2131" t="s">
        <v>1120</v>
      </c>
      <c r="B86" s="2130"/>
      <c r="C86" s="2130"/>
      <c r="D86" s="2130"/>
      <c r="E86" s="2130"/>
      <c r="F86" s="2130"/>
      <c r="G86" s="2130"/>
      <c r="H86" s="2130"/>
    </row>
    <row r="87" spans="1:8">
      <c r="A87" s="2131" t="s">
        <v>1121</v>
      </c>
      <c r="B87" s="2130"/>
      <c r="C87" s="2130"/>
      <c r="D87" s="2130"/>
      <c r="E87" s="2130"/>
      <c r="F87" s="2130"/>
      <c r="G87" s="2130"/>
      <c r="H87" s="2130"/>
    </row>
    <row r="88" spans="1:8">
      <c r="A88" s="2131" t="s">
        <v>1122</v>
      </c>
      <c r="B88" s="2130"/>
      <c r="C88" s="2130"/>
      <c r="D88" s="2130"/>
      <c r="E88" s="2130"/>
      <c r="F88" s="2130"/>
      <c r="G88" s="2130"/>
      <c r="H88" s="2130"/>
    </row>
    <row r="89" spans="1:8">
      <c r="A89" s="2130"/>
      <c r="B89" s="2130"/>
      <c r="C89" s="2130"/>
      <c r="D89" s="2130"/>
      <c r="E89" s="2130"/>
      <c r="F89" s="2130"/>
      <c r="G89" s="2130"/>
      <c r="H89" s="2130"/>
    </row>
    <row r="90" spans="1:8">
      <c r="A90" s="2131" t="s">
        <v>1114</v>
      </c>
      <c r="B90" s="2130"/>
      <c r="C90" s="2130"/>
      <c r="D90" s="2130"/>
      <c r="E90" s="2130"/>
      <c r="F90" s="2130"/>
      <c r="G90" s="2130"/>
      <c r="H90" s="2130"/>
    </row>
    <row r="91" spans="1:8">
      <c r="A91" s="2131" t="s">
        <v>1115</v>
      </c>
      <c r="B91" s="2130"/>
      <c r="C91" s="2130"/>
      <c r="D91" s="2130"/>
      <c r="E91" s="2130"/>
      <c r="F91" s="2130"/>
      <c r="G91" s="2130"/>
      <c r="H91" s="2130"/>
    </row>
    <row r="92" spans="1:8">
      <c r="A92" s="2130"/>
      <c r="B92" s="2130"/>
      <c r="C92" s="2130"/>
      <c r="D92" s="2130"/>
      <c r="E92" s="2130"/>
      <c r="F92" s="2130"/>
      <c r="G92" s="2130"/>
      <c r="H92" s="2130"/>
    </row>
    <row r="93" spans="1:8" ht="15.75">
      <c r="A93" s="2132" t="s">
        <v>887</v>
      </c>
      <c r="B93" s="2130"/>
      <c r="C93" s="2130"/>
      <c r="D93" s="2130"/>
      <c r="E93" s="2130"/>
      <c r="F93" s="2130"/>
      <c r="G93" s="2130"/>
      <c r="H93" s="2130"/>
    </row>
    <row r="94" spans="1:8">
      <c r="A94" s="2130"/>
      <c r="B94" s="2130"/>
      <c r="C94" s="2130"/>
      <c r="D94" s="2130"/>
      <c r="E94" s="2130"/>
      <c r="F94" s="2130"/>
      <c r="G94" s="2130"/>
      <c r="H94" s="2130"/>
    </row>
    <row r="95" spans="1:8">
      <c r="A95" s="2131" t="s">
        <v>1105</v>
      </c>
      <c r="B95" s="2130"/>
      <c r="C95" s="2130"/>
      <c r="D95" s="2130"/>
      <c r="E95" s="2130"/>
      <c r="F95" s="2130"/>
      <c r="G95" s="2130"/>
      <c r="H95" s="2130"/>
    </row>
    <row r="96" spans="1:8">
      <c r="A96" s="2131" t="s">
        <v>1106</v>
      </c>
      <c r="B96" s="2130"/>
      <c r="C96" s="2130"/>
      <c r="D96" s="2130"/>
      <c r="E96" s="2130"/>
      <c r="F96" s="2130"/>
      <c r="G96" s="2130"/>
      <c r="H96" s="2130"/>
    </row>
    <row r="97" spans="1:8">
      <c r="A97" s="2131" t="s">
        <v>1107</v>
      </c>
      <c r="B97" s="2130"/>
      <c r="C97" s="2130"/>
      <c r="D97" s="2130"/>
      <c r="E97" s="2130"/>
      <c r="F97" s="2130"/>
      <c r="G97" s="2130"/>
      <c r="H97" s="2130"/>
    </row>
    <row r="98" spans="1:8">
      <c r="A98" s="2131" t="s">
        <v>1108</v>
      </c>
      <c r="B98" s="2130"/>
      <c r="C98" s="2130"/>
      <c r="D98" s="2130"/>
      <c r="E98" s="2130"/>
      <c r="F98" s="2130"/>
      <c r="G98" s="2130"/>
      <c r="H98" s="2130"/>
    </row>
    <row r="99" spans="1:8">
      <c r="A99" s="2131" t="s">
        <v>1109</v>
      </c>
      <c r="B99" s="2130"/>
      <c r="C99" s="2130"/>
      <c r="D99" s="2130"/>
      <c r="E99" s="2130"/>
      <c r="F99" s="2130"/>
      <c r="G99" s="2130"/>
      <c r="H99" s="2130"/>
    </row>
    <row r="100" spans="1:8">
      <c r="A100" s="2131" t="s">
        <v>1110</v>
      </c>
      <c r="B100" s="2130"/>
      <c r="C100" s="2130"/>
      <c r="D100" s="2130"/>
      <c r="E100" s="2130"/>
      <c r="F100" s="2130"/>
      <c r="G100" s="2130"/>
      <c r="H100" s="2130"/>
    </row>
    <row r="101" spans="1:8">
      <c r="A101" s="2131" t="s">
        <v>1111</v>
      </c>
      <c r="B101" s="2130"/>
      <c r="C101" s="2130"/>
      <c r="D101" s="2130"/>
      <c r="E101" s="2130"/>
      <c r="F101" s="2130"/>
      <c r="G101" s="2130"/>
      <c r="H101" s="2130"/>
    </row>
    <row r="102" spans="1:8">
      <c r="A102" s="2131" t="s">
        <v>1112</v>
      </c>
      <c r="B102" s="2130"/>
      <c r="C102" s="2130"/>
      <c r="D102" s="2130"/>
      <c r="E102" s="2130"/>
      <c r="F102" s="2130"/>
      <c r="G102" s="2130"/>
      <c r="H102" s="2130"/>
    </row>
    <row r="103" spans="1:8">
      <c r="A103" s="2131" t="s">
        <v>1113</v>
      </c>
      <c r="B103" s="2130"/>
      <c r="C103" s="2130"/>
      <c r="D103" s="2130"/>
      <c r="E103" s="2130"/>
      <c r="F103" s="2130"/>
      <c r="G103" s="2130"/>
      <c r="H103" s="2130"/>
    </row>
    <row r="104" spans="1:8">
      <c r="A104" s="2130"/>
      <c r="B104" s="2130"/>
      <c r="C104" s="2130"/>
      <c r="D104" s="2130"/>
      <c r="E104" s="2130"/>
      <c r="F104" s="2130"/>
      <c r="G104" s="2130"/>
      <c r="H104" s="2130"/>
    </row>
    <row r="105" spans="1:8" ht="15.75">
      <c r="A105" s="2133" t="s">
        <v>888</v>
      </c>
      <c r="B105" s="2133"/>
      <c r="C105" s="2133"/>
      <c r="D105" s="2133"/>
      <c r="E105" s="2133"/>
      <c r="F105" s="2133"/>
      <c r="G105" s="2133"/>
      <c r="H105" s="2133"/>
    </row>
    <row r="106" spans="1:8">
      <c r="A106" s="2134" t="s">
        <v>889</v>
      </c>
      <c r="B106" s="2134"/>
      <c r="C106" s="2134"/>
      <c r="D106" s="2134"/>
      <c r="E106" s="2134"/>
      <c r="F106" s="2134"/>
      <c r="G106" s="2134"/>
      <c r="H106" s="2134"/>
    </row>
    <row r="107" spans="1:8">
      <c r="A107" s="2135"/>
      <c r="B107" s="2135"/>
      <c r="C107" s="2135"/>
      <c r="D107" s="2135"/>
      <c r="E107" s="2135"/>
      <c r="F107" s="2135"/>
      <c r="G107" s="2135"/>
      <c r="H107" s="2135"/>
    </row>
    <row r="108" spans="1:8">
      <c r="A108" s="2134" t="s">
        <v>1103</v>
      </c>
      <c r="B108" s="2134"/>
      <c r="C108" s="2134"/>
      <c r="D108" s="2134"/>
      <c r="E108" s="2134"/>
      <c r="F108" s="2134"/>
      <c r="G108" s="2134"/>
      <c r="H108" s="2134"/>
    </row>
    <row r="109" spans="1:8">
      <c r="A109" s="2131" t="s">
        <v>1104</v>
      </c>
      <c r="B109" s="2131"/>
      <c r="C109" s="2131"/>
      <c r="D109" s="2131"/>
      <c r="E109" s="2131"/>
      <c r="F109" s="2131"/>
      <c r="G109" s="2131"/>
      <c r="H109" s="2131"/>
    </row>
    <row r="110" spans="1:8">
      <c r="A110" s="2135"/>
      <c r="B110" s="2135"/>
      <c r="C110" s="2135"/>
      <c r="D110" s="2135"/>
      <c r="E110" s="2135"/>
      <c r="F110" s="2135"/>
      <c r="G110" s="2135"/>
      <c r="H110" s="2135"/>
    </row>
    <row r="111" spans="1:8">
      <c r="A111" s="2134" t="s">
        <v>1096</v>
      </c>
      <c r="B111" s="2134"/>
      <c r="C111" s="2134"/>
      <c r="D111" s="2134"/>
      <c r="E111" s="2134"/>
      <c r="F111" s="2134"/>
      <c r="G111" s="2134"/>
      <c r="H111" s="2134"/>
    </row>
    <row r="112" spans="1:8">
      <c r="A112" s="2131" t="s">
        <v>1097</v>
      </c>
      <c r="B112" s="2131"/>
      <c r="C112" s="2131"/>
      <c r="D112" s="2131"/>
      <c r="E112" s="2131"/>
      <c r="F112" s="2131"/>
      <c r="G112" s="2131"/>
      <c r="H112" s="2131"/>
    </row>
    <row r="113" spans="1:8">
      <c r="A113" s="2131" t="s">
        <v>1098</v>
      </c>
      <c r="B113" s="2131"/>
      <c r="C113" s="2131"/>
      <c r="D113" s="2131"/>
      <c r="E113" s="2131"/>
      <c r="F113" s="2131"/>
      <c r="G113" s="2131"/>
      <c r="H113" s="2131"/>
    </row>
    <row r="114" spans="1:8">
      <c r="A114" s="2131" t="s">
        <v>1099</v>
      </c>
      <c r="B114" s="2131"/>
      <c r="C114" s="2131"/>
      <c r="D114" s="2131"/>
      <c r="E114" s="2131"/>
      <c r="F114" s="2131"/>
      <c r="G114" s="2131"/>
      <c r="H114" s="2131"/>
    </row>
    <row r="115" spans="1:8">
      <c r="A115" s="2131" t="s">
        <v>1100</v>
      </c>
      <c r="B115" s="2131"/>
      <c r="C115" s="2131"/>
      <c r="D115" s="2131"/>
      <c r="E115" s="2131"/>
      <c r="F115" s="2131"/>
      <c r="G115" s="2131"/>
      <c r="H115" s="2131"/>
    </row>
    <row r="116" spans="1:8">
      <c r="A116" s="2131" t="s">
        <v>1101</v>
      </c>
      <c r="B116" s="2131"/>
      <c r="C116" s="2131"/>
      <c r="D116" s="2131"/>
      <c r="E116" s="2131"/>
      <c r="F116" s="2131"/>
      <c r="G116" s="2131"/>
      <c r="H116" s="2131"/>
    </row>
    <row r="117" spans="1:8">
      <c r="A117" s="2131" t="s">
        <v>1102</v>
      </c>
      <c r="B117" s="2131"/>
      <c r="C117" s="2131"/>
      <c r="D117" s="2131"/>
      <c r="E117" s="2131"/>
      <c r="F117" s="2131"/>
      <c r="G117" s="2131"/>
      <c r="H117" s="2131"/>
    </row>
    <row r="118" spans="1:8">
      <c r="A118" s="2136"/>
      <c r="B118" s="2136"/>
      <c r="C118" s="2136"/>
      <c r="D118" s="2136"/>
      <c r="E118" s="2136"/>
      <c r="F118" s="2136"/>
      <c r="G118" s="2136"/>
      <c r="H118" s="2136"/>
    </row>
    <row r="119" spans="1:8">
      <c r="A119" s="2137"/>
      <c r="B119" s="2138" t="s">
        <v>890</v>
      </c>
      <c r="C119" s="2139"/>
      <c r="D119" s="2138" t="s">
        <v>891</v>
      </c>
      <c r="E119" s="2140"/>
      <c r="F119" s="2139"/>
      <c r="G119" s="2138" t="s">
        <v>892</v>
      </c>
      <c r="H119" s="2139"/>
    </row>
    <row r="120" spans="1:8">
      <c r="A120" s="2137" t="s">
        <v>893</v>
      </c>
      <c r="B120" s="2137" t="s">
        <v>763</v>
      </c>
      <c r="C120" s="2137" t="s">
        <v>643</v>
      </c>
      <c r="D120" s="2137" t="s">
        <v>763</v>
      </c>
      <c r="E120" s="2137" t="s">
        <v>894</v>
      </c>
      <c r="F120" s="2137" t="s">
        <v>895</v>
      </c>
      <c r="G120" s="2137" t="s">
        <v>763</v>
      </c>
      <c r="H120" s="2137" t="s">
        <v>896</v>
      </c>
    </row>
    <row r="121" spans="1:8">
      <c r="A121" s="2137" t="s">
        <v>897</v>
      </c>
      <c r="B121" s="2137">
        <v>1175</v>
      </c>
      <c r="C121" s="2141">
        <v>0.37</v>
      </c>
      <c r="D121" s="2137">
        <v>315</v>
      </c>
      <c r="E121" s="2141">
        <v>0.41</v>
      </c>
      <c r="F121" s="2141">
        <v>0.27</v>
      </c>
      <c r="G121" s="2137">
        <v>555</v>
      </c>
      <c r="H121" s="2141">
        <v>0.39</v>
      </c>
    </row>
    <row r="122" spans="1:8">
      <c r="A122" s="2137" t="s">
        <v>898</v>
      </c>
      <c r="B122" s="2137">
        <v>1369</v>
      </c>
      <c r="C122" s="2141">
        <v>0.43</v>
      </c>
      <c r="D122" s="2137">
        <v>357</v>
      </c>
      <c r="E122" s="2141">
        <v>0.47</v>
      </c>
      <c r="F122" s="2141">
        <v>0.26</v>
      </c>
      <c r="G122" s="2137">
        <v>643</v>
      </c>
      <c r="H122" s="2141">
        <v>0.45</v>
      </c>
    </row>
    <row r="123" spans="1:8">
      <c r="A123" s="2137" t="s">
        <v>899</v>
      </c>
      <c r="B123" s="2137">
        <v>53</v>
      </c>
      <c r="C123" s="2141">
        <v>0.02</v>
      </c>
      <c r="D123" s="2137">
        <v>5</v>
      </c>
      <c r="E123" s="2141">
        <v>0.01</v>
      </c>
      <c r="F123" s="2141">
        <v>0.09</v>
      </c>
      <c r="G123" s="2137">
        <v>7</v>
      </c>
      <c r="H123" s="2141">
        <v>0</v>
      </c>
    </row>
    <row r="124" spans="1:8">
      <c r="A124" s="2137" t="s">
        <v>900</v>
      </c>
      <c r="B124" s="2137">
        <v>552</v>
      </c>
      <c r="C124" s="2141">
        <v>0.18</v>
      </c>
      <c r="D124" s="2137">
        <v>87</v>
      </c>
      <c r="E124" s="2141">
        <v>0.11</v>
      </c>
      <c r="F124" s="2141">
        <v>0.16</v>
      </c>
      <c r="G124" s="2137">
        <v>222</v>
      </c>
      <c r="H124" s="2141">
        <v>0.16</v>
      </c>
    </row>
    <row r="125" spans="1:8">
      <c r="A125" s="2137" t="s">
        <v>610</v>
      </c>
      <c r="B125" s="2142">
        <v>3149</v>
      </c>
      <c r="C125" s="2137"/>
      <c r="D125" s="2137">
        <v>764</v>
      </c>
      <c r="E125" s="2137"/>
      <c r="F125" s="2137"/>
      <c r="G125" s="2137">
        <v>1427</v>
      </c>
      <c r="H125" s="2137"/>
    </row>
    <row r="126" spans="1:8">
      <c r="A126" s="2143"/>
      <c r="B126" s="2143"/>
      <c r="C126" s="2143"/>
      <c r="D126" s="2143"/>
      <c r="E126" s="2143"/>
      <c r="F126" s="2143"/>
      <c r="G126" s="2143"/>
      <c r="H126" s="2143"/>
    </row>
    <row r="127" spans="1:8">
      <c r="A127" s="2134" t="s">
        <v>1092</v>
      </c>
      <c r="B127" s="2134"/>
      <c r="C127" s="2134"/>
      <c r="D127" s="2134"/>
      <c r="E127" s="2134"/>
      <c r="F127" s="2134"/>
      <c r="G127" s="2134"/>
      <c r="H127" s="2134"/>
    </row>
    <row r="128" spans="1:8">
      <c r="A128" s="2131" t="s">
        <v>1093</v>
      </c>
      <c r="B128" s="2131"/>
      <c r="C128" s="2131"/>
      <c r="D128" s="2131"/>
      <c r="E128" s="2131"/>
      <c r="F128" s="2131"/>
      <c r="G128" s="2131"/>
      <c r="H128" s="2131"/>
    </row>
    <row r="129" spans="1:8">
      <c r="A129" s="2131" t="s">
        <v>1094</v>
      </c>
      <c r="B129" s="2131"/>
      <c r="C129" s="2131"/>
      <c r="D129" s="2131"/>
      <c r="E129" s="2131"/>
      <c r="F129" s="2131"/>
      <c r="G129" s="2131"/>
      <c r="H129" s="2131"/>
    </row>
    <row r="130" spans="1:8">
      <c r="A130" s="2131" t="s">
        <v>1095</v>
      </c>
      <c r="B130" s="2131"/>
      <c r="C130" s="2131"/>
      <c r="D130" s="2131"/>
      <c r="E130" s="2131"/>
      <c r="F130" s="2131"/>
      <c r="G130" s="2131"/>
      <c r="H130" s="2131"/>
    </row>
    <row r="131" spans="1:8">
      <c r="A131" s="2130"/>
      <c r="B131" s="2130"/>
      <c r="C131" s="2130"/>
      <c r="D131" s="2130"/>
      <c r="E131" s="2130"/>
      <c r="F131" s="2130"/>
      <c r="G131" s="2130"/>
      <c r="H131" s="2130"/>
    </row>
    <row r="132" spans="1:8" ht="15.75">
      <c r="A132" s="2132" t="s">
        <v>901</v>
      </c>
      <c r="B132" s="2130"/>
      <c r="C132" s="2130"/>
      <c r="D132" s="2130"/>
      <c r="E132" s="2130"/>
      <c r="F132" s="2130"/>
      <c r="G132" s="2130"/>
      <c r="H132" s="2130"/>
    </row>
    <row r="133" spans="1:8">
      <c r="A133" s="2130"/>
      <c r="B133" s="2130"/>
      <c r="C133" s="2130"/>
      <c r="D133" s="2130"/>
      <c r="E133" s="2130"/>
      <c r="F133" s="2130"/>
      <c r="G133" s="2130"/>
      <c r="H133" s="2130"/>
    </row>
    <row r="134" spans="1:8">
      <c r="A134" s="2131" t="s">
        <v>1090</v>
      </c>
      <c r="B134" s="2130"/>
      <c r="C134" s="2130"/>
      <c r="D134" s="2130"/>
      <c r="E134" s="2130"/>
      <c r="F134" s="2130"/>
      <c r="G134" s="2130"/>
      <c r="H134" s="2130"/>
    </row>
    <row r="135" spans="1:8">
      <c r="A135" s="2131" t="s">
        <v>1091</v>
      </c>
      <c r="B135" s="2130"/>
      <c r="C135" s="2130"/>
      <c r="D135" s="2130"/>
      <c r="E135" s="2130"/>
      <c r="F135" s="2130"/>
      <c r="G135" s="2130"/>
      <c r="H135" s="2130"/>
    </row>
    <row r="136" spans="1:8">
      <c r="A136" s="2130"/>
      <c r="B136" s="2130"/>
      <c r="C136" s="2130"/>
      <c r="D136" s="2130"/>
      <c r="E136" s="2130"/>
      <c r="F136" s="2130"/>
      <c r="G136" s="2130"/>
      <c r="H136" s="2130"/>
    </row>
    <row r="137" spans="1:8">
      <c r="A137" s="2131" t="s">
        <v>1087</v>
      </c>
      <c r="B137" s="2130"/>
      <c r="C137" s="2130"/>
      <c r="D137" s="2130"/>
      <c r="E137" s="2130"/>
      <c r="F137" s="2130"/>
      <c r="G137" s="2130"/>
      <c r="H137" s="2130"/>
    </row>
    <row r="138" spans="1:8">
      <c r="A138" s="2131" t="s">
        <v>1088</v>
      </c>
      <c r="B138" s="2130"/>
      <c r="C138" s="2130"/>
      <c r="D138" s="2130"/>
      <c r="E138" s="2130"/>
      <c r="F138" s="2130"/>
      <c r="G138" s="2130"/>
      <c r="H138" s="2130"/>
    </row>
    <row r="139" spans="1:8">
      <c r="A139" s="2131" t="s">
        <v>1089</v>
      </c>
      <c r="B139" s="2130"/>
      <c r="C139" s="2130"/>
      <c r="D139" s="2130"/>
      <c r="E139" s="2130"/>
      <c r="F139" s="2130"/>
      <c r="G139" s="2130"/>
      <c r="H139" s="2130"/>
    </row>
    <row r="140" spans="1:8">
      <c r="A140" s="2130"/>
      <c r="B140" s="2130"/>
      <c r="C140" s="2130"/>
      <c r="D140" s="2130"/>
      <c r="E140" s="2130"/>
      <c r="F140" s="2130"/>
      <c r="G140" s="2130"/>
      <c r="H140" s="2130"/>
    </row>
    <row r="141" spans="1:8">
      <c r="A141" s="2131" t="s">
        <v>1084</v>
      </c>
      <c r="B141" s="2130"/>
      <c r="C141" s="2130"/>
      <c r="D141" s="2130"/>
      <c r="E141" s="2130"/>
      <c r="F141" s="2130"/>
      <c r="G141" s="2130"/>
      <c r="H141" s="2130"/>
    </row>
    <row r="142" spans="1:8">
      <c r="A142" s="2131" t="s">
        <v>1085</v>
      </c>
      <c r="B142" s="2130"/>
      <c r="C142" s="2130"/>
      <c r="D142" s="2130"/>
      <c r="E142" s="2130"/>
      <c r="F142" s="2130"/>
      <c r="G142" s="2130"/>
      <c r="H142" s="2130"/>
    </row>
    <row r="143" spans="1:8">
      <c r="A143" s="2131" t="s">
        <v>1086</v>
      </c>
      <c r="B143" s="2130"/>
      <c r="C143" s="2130"/>
      <c r="D143" s="2130"/>
      <c r="E143" s="2130"/>
      <c r="F143" s="2130"/>
      <c r="G143" s="2130"/>
      <c r="H143" s="2130"/>
    </row>
    <row r="144" spans="1:8">
      <c r="A144" s="2130"/>
      <c r="B144" s="2130"/>
      <c r="C144" s="2130"/>
      <c r="D144" s="2130"/>
      <c r="E144" s="2130"/>
      <c r="F144" s="2130"/>
      <c r="G144" s="2130"/>
      <c r="H144" s="2130"/>
    </row>
    <row r="145" spans="1:8">
      <c r="A145" s="2131" t="s">
        <v>1081</v>
      </c>
      <c r="B145" s="2130"/>
      <c r="C145" s="2130"/>
      <c r="D145" s="2130"/>
      <c r="E145" s="2130"/>
      <c r="F145" s="2130"/>
      <c r="G145" s="2130"/>
      <c r="H145" s="2130"/>
    </row>
    <row r="146" spans="1:8">
      <c r="A146" s="2131" t="s">
        <v>1082</v>
      </c>
      <c r="B146" s="2130"/>
      <c r="C146" s="2130"/>
      <c r="D146" s="2130"/>
      <c r="E146" s="2130"/>
      <c r="F146" s="2130"/>
      <c r="G146" s="2130"/>
      <c r="H146" s="2130"/>
    </row>
    <row r="147" spans="1:8">
      <c r="A147" s="2131" t="s">
        <v>1083</v>
      </c>
      <c r="B147" s="2130"/>
      <c r="C147" s="2130"/>
      <c r="D147" s="2130"/>
      <c r="E147" s="2130"/>
      <c r="F147" s="2130"/>
      <c r="G147" s="2130"/>
      <c r="H147" s="2130"/>
    </row>
    <row r="148" spans="1:8">
      <c r="A148" s="2130"/>
      <c r="B148" s="2130"/>
      <c r="C148" s="2130"/>
      <c r="D148" s="2130"/>
      <c r="E148" s="2130"/>
      <c r="F148" s="2130"/>
      <c r="G148" s="2130"/>
      <c r="H148" s="2130"/>
    </row>
    <row r="149" spans="1:8">
      <c r="A149" s="2131" t="s">
        <v>1079</v>
      </c>
      <c r="B149" s="2130"/>
      <c r="C149" s="2130"/>
      <c r="D149" s="2130"/>
      <c r="E149" s="2130"/>
      <c r="F149" s="2130"/>
      <c r="G149" s="2130"/>
      <c r="H149" s="2130"/>
    </row>
    <row r="150" spans="1:8">
      <c r="A150" s="2131" t="s">
        <v>1080</v>
      </c>
      <c r="B150" s="2130"/>
      <c r="C150" s="2130"/>
      <c r="D150" s="2130"/>
      <c r="E150" s="2130"/>
      <c r="F150" s="2130"/>
      <c r="G150" s="2130"/>
      <c r="H150" s="2130"/>
    </row>
    <row r="151" spans="1:8">
      <c r="A151" s="2130"/>
      <c r="B151" s="2130"/>
      <c r="C151" s="2130"/>
      <c r="D151" s="2130"/>
      <c r="E151" s="2130"/>
      <c r="F151" s="2130"/>
      <c r="G151" s="2130"/>
      <c r="H151" s="2130"/>
    </row>
    <row r="152" spans="1:8" ht="15.75">
      <c r="A152" s="2132" t="s">
        <v>902</v>
      </c>
      <c r="B152" s="2130"/>
      <c r="C152" s="2130"/>
      <c r="D152" s="2130"/>
      <c r="E152" s="2130"/>
      <c r="F152" s="2130"/>
      <c r="G152" s="2130"/>
      <c r="H152" s="2130"/>
    </row>
    <row r="153" spans="1:8">
      <c r="A153" s="2130"/>
      <c r="B153" s="2130"/>
      <c r="C153" s="2130"/>
      <c r="D153" s="2130"/>
      <c r="E153" s="2130"/>
      <c r="F153" s="2130"/>
      <c r="G153" s="2130"/>
      <c r="H153" s="2130"/>
    </row>
    <row r="154" spans="1:8">
      <c r="A154" s="2131" t="s">
        <v>1077</v>
      </c>
      <c r="B154" s="2130"/>
      <c r="C154" s="2130"/>
      <c r="D154" s="2130"/>
      <c r="E154" s="2130"/>
      <c r="F154" s="2130"/>
      <c r="G154" s="2130"/>
      <c r="H154" s="2130"/>
    </row>
    <row r="155" spans="1:8">
      <c r="A155" s="2131" t="s">
        <v>1078</v>
      </c>
      <c r="B155" s="2130"/>
      <c r="C155" s="2130"/>
      <c r="D155" s="2130"/>
      <c r="E155" s="2130"/>
      <c r="F155" s="2130"/>
      <c r="G155" s="2130"/>
      <c r="H155" s="2130"/>
    </row>
    <row r="156" spans="1:8">
      <c r="A156" s="2130"/>
      <c r="B156" s="2130"/>
      <c r="C156" s="2130"/>
      <c r="D156" s="2130"/>
      <c r="E156" s="2130"/>
      <c r="F156" s="2130"/>
      <c r="G156" s="2130"/>
      <c r="H156" s="2130"/>
    </row>
    <row r="157" spans="1:8">
      <c r="A157" s="2131" t="s">
        <v>1075</v>
      </c>
      <c r="B157" s="2130"/>
      <c r="C157" s="2130"/>
      <c r="D157" s="2130"/>
      <c r="E157" s="2130"/>
      <c r="F157" s="2130"/>
      <c r="G157" s="2130"/>
      <c r="H157" s="2130"/>
    </row>
    <row r="158" spans="1:8">
      <c r="A158" s="2131" t="s">
        <v>1076</v>
      </c>
      <c r="B158" s="2130"/>
      <c r="C158" s="2130"/>
      <c r="D158" s="2130"/>
      <c r="E158" s="2130"/>
      <c r="F158" s="2130"/>
      <c r="G158" s="2130"/>
      <c r="H158" s="2130"/>
    </row>
    <row r="159" spans="1:8">
      <c r="A159" s="2130"/>
      <c r="B159" s="2130"/>
      <c r="C159" s="2130"/>
      <c r="D159" s="2130"/>
      <c r="E159" s="2130"/>
      <c r="F159" s="2130"/>
      <c r="G159" s="2130"/>
      <c r="H159" s="2130"/>
    </row>
    <row r="160" spans="1:8">
      <c r="A160" s="2131" t="s">
        <v>1073</v>
      </c>
      <c r="B160" s="2130"/>
      <c r="C160" s="2130"/>
      <c r="D160" s="2130"/>
      <c r="E160" s="2130"/>
      <c r="F160" s="2130"/>
      <c r="G160" s="2130"/>
      <c r="H160" s="2130"/>
    </row>
    <row r="161" spans="1:8">
      <c r="A161" s="2131" t="s">
        <v>1074</v>
      </c>
      <c r="B161" s="2130"/>
      <c r="C161" s="2130"/>
      <c r="D161" s="2130"/>
      <c r="E161" s="2130"/>
      <c r="F161" s="2130"/>
      <c r="G161" s="2130"/>
      <c r="H161" s="2130"/>
    </row>
    <row r="162" spans="1:8">
      <c r="A162" s="2130"/>
      <c r="B162" s="2130"/>
      <c r="C162" s="2130"/>
      <c r="D162" s="2130"/>
      <c r="E162" s="2130"/>
      <c r="F162" s="2130"/>
      <c r="G162" s="2130"/>
      <c r="H162" s="2130"/>
    </row>
    <row r="163" spans="1:8">
      <c r="A163" s="2131" t="s">
        <v>1070</v>
      </c>
      <c r="B163" s="2130"/>
      <c r="C163" s="2130"/>
      <c r="D163" s="2130"/>
      <c r="E163" s="2130"/>
      <c r="F163" s="2130"/>
      <c r="G163" s="2130"/>
      <c r="H163" s="2130"/>
    </row>
    <row r="164" spans="1:8">
      <c r="A164" s="2131" t="s">
        <v>1071</v>
      </c>
      <c r="B164" s="2130"/>
      <c r="C164" s="2130"/>
      <c r="D164" s="2130"/>
      <c r="E164" s="2130"/>
      <c r="F164" s="2130"/>
      <c r="G164" s="2130"/>
      <c r="H164" s="2130"/>
    </row>
    <row r="165" spans="1:8">
      <c r="A165" s="2131" t="s">
        <v>1072</v>
      </c>
      <c r="B165" s="2130"/>
      <c r="C165" s="2130"/>
      <c r="D165" s="2130"/>
      <c r="E165" s="2130"/>
      <c r="F165" s="2130"/>
      <c r="G165" s="2130"/>
      <c r="H165" s="2130"/>
    </row>
    <row r="166" spans="1:8">
      <c r="A166" s="2130"/>
      <c r="B166" s="2130"/>
      <c r="C166" s="2130"/>
      <c r="D166" s="2130"/>
      <c r="E166" s="2130"/>
      <c r="F166" s="2130"/>
      <c r="G166" s="2130"/>
      <c r="H166" s="2130"/>
    </row>
    <row r="167" spans="1:8">
      <c r="A167" s="2130"/>
      <c r="B167" s="2130"/>
      <c r="C167" s="2130"/>
      <c r="D167" s="2130"/>
      <c r="E167" s="2130"/>
      <c r="F167" s="2130"/>
      <c r="G167" s="2130"/>
      <c r="H167" s="2130"/>
    </row>
    <row r="168" spans="1:8">
      <c r="A168" s="2131" t="s">
        <v>798</v>
      </c>
      <c r="B168" s="2130"/>
      <c r="C168" s="2130"/>
      <c r="D168" s="2130"/>
      <c r="E168" s="2130"/>
      <c r="F168" s="2130"/>
      <c r="G168" s="2130"/>
      <c r="H168" s="2130"/>
    </row>
    <row r="169" spans="1:8">
      <c r="A169" s="2130"/>
      <c r="B169" s="2130"/>
      <c r="C169" s="2130"/>
      <c r="D169" s="2130"/>
      <c r="E169" s="2130"/>
      <c r="F169" s="2130"/>
      <c r="G169" s="2130"/>
      <c r="H169" s="2130"/>
    </row>
    <row r="170" spans="1:8" ht="15.75">
      <c r="A170" s="2132" t="s">
        <v>903</v>
      </c>
      <c r="B170" s="2130"/>
      <c r="C170" s="2130"/>
      <c r="D170" s="2130"/>
      <c r="E170" s="2130"/>
      <c r="F170" s="2130"/>
      <c r="G170" s="2130"/>
      <c r="H170" s="2130"/>
    </row>
    <row r="171" spans="1:8">
      <c r="A171" s="2130"/>
      <c r="B171" s="2130"/>
      <c r="C171" s="2130"/>
      <c r="D171" s="2130"/>
      <c r="E171" s="2130"/>
      <c r="F171" s="2130"/>
      <c r="G171" s="2130"/>
      <c r="H171" s="2130"/>
    </row>
    <row r="172" spans="1:8">
      <c r="A172" s="2130"/>
      <c r="B172" s="2130"/>
      <c r="C172" s="2130"/>
      <c r="D172" s="2130"/>
      <c r="E172" s="2130"/>
      <c r="F172" s="2130"/>
      <c r="G172" s="2130"/>
      <c r="H172" s="2130"/>
    </row>
    <row r="173" spans="1:8">
      <c r="A173" s="2130"/>
      <c r="B173" s="2130"/>
      <c r="C173" s="2130"/>
      <c r="D173" s="2130"/>
      <c r="E173" s="2130"/>
      <c r="F173" s="2130"/>
      <c r="G173" s="2130"/>
      <c r="H173" s="2130"/>
    </row>
    <row r="174" spans="1:8">
      <c r="A174" s="2130"/>
      <c r="B174" s="2130"/>
      <c r="C174" s="2130"/>
      <c r="D174" s="2130"/>
      <c r="E174" s="2130"/>
      <c r="F174" s="2130"/>
      <c r="G174" s="2130"/>
      <c r="H174" s="2130"/>
    </row>
    <row r="175" spans="1:8">
      <c r="A175" s="2130"/>
      <c r="B175" s="2130"/>
      <c r="C175" s="2130"/>
      <c r="D175" s="2130"/>
      <c r="E175" s="2130"/>
      <c r="F175" s="2130"/>
      <c r="G175" s="2130"/>
      <c r="H175" s="2130"/>
    </row>
    <row r="176" spans="1:8">
      <c r="A176" s="2130"/>
      <c r="B176" s="2130"/>
      <c r="C176" s="2130"/>
      <c r="D176" s="2130"/>
      <c r="E176" s="2130"/>
      <c r="F176" s="2130"/>
      <c r="G176" s="2130"/>
      <c r="H176" s="2130"/>
    </row>
    <row r="177" spans="1:8">
      <c r="A177" s="2130"/>
      <c r="B177" s="2130"/>
      <c r="C177" s="2130"/>
      <c r="D177" s="2130"/>
      <c r="E177" s="2130"/>
      <c r="F177" s="2130"/>
      <c r="G177" s="2130"/>
      <c r="H177" s="2130"/>
    </row>
    <row r="178" spans="1:8">
      <c r="A178" s="2130"/>
      <c r="B178" s="2130"/>
      <c r="C178" s="2130"/>
      <c r="D178" s="2130"/>
      <c r="E178" s="2130"/>
      <c r="F178" s="2130"/>
      <c r="G178" s="2130"/>
      <c r="H178" s="2130"/>
    </row>
    <row r="179" spans="1:8">
      <c r="A179" s="2130"/>
      <c r="B179" s="2130"/>
      <c r="C179" s="2130"/>
      <c r="D179" s="2130"/>
      <c r="E179" s="2130"/>
      <c r="F179" s="2130"/>
      <c r="G179" s="2130"/>
      <c r="H179" s="2130"/>
    </row>
    <row r="180" spans="1:8">
      <c r="A180" s="2130"/>
      <c r="B180" s="2130"/>
      <c r="C180" s="2130"/>
      <c r="D180" s="2130"/>
      <c r="E180" s="2130"/>
      <c r="F180" s="2130"/>
      <c r="G180" s="2130"/>
      <c r="H180" s="2130"/>
    </row>
    <row r="181" spans="1:8">
      <c r="A181" s="2130"/>
      <c r="B181" s="2130"/>
      <c r="C181" s="2130"/>
      <c r="D181" s="2130"/>
      <c r="E181" s="2130"/>
      <c r="F181" s="2130"/>
      <c r="G181" s="2130"/>
      <c r="H181" s="2130"/>
    </row>
    <row r="182" spans="1:8">
      <c r="A182" s="2130"/>
      <c r="B182" s="2130"/>
      <c r="C182" s="2130"/>
      <c r="D182" s="2130"/>
      <c r="E182" s="2130"/>
      <c r="F182" s="2130"/>
      <c r="G182" s="2130"/>
      <c r="H182" s="2130"/>
    </row>
    <row r="183" spans="1:8">
      <c r="A183" s="2130"/>
      <c r="B183" s="2130"/>
      <c r="C183" s="2130"/>
      <c r="D183" s="2130"/>
      <c r="E183" s="2130"/>
      <c r="F183" s="2130"/>
      <c r="G183" s="2130"/>
      <c r="H183" s="2130"/>
    </row>
    <row r="184" spans="1:8">
      <c r="A184" s="2130"/>
      <c r="B184" s="2130"/>
      <c r="C184" s="2130"/>
      <c r="D184" s="2130"/>
      <c r="E184" s="2130"/>
      <c r="F184" s="2130"/>
      <c r="G184" s="2130"/>
      <c r="H184" s="2130"/>
    </row>
    <row r="185" spans="1:8">
      <c r="A185" s="2130"/>
      <c r="B185" s="2130"/>
      <c r="C185" s="2130"/>
      <c r="D185" s="2130"/>
      <c r="E185" s="2130"/>
      <c r="F185" s="2130"/>
      <c r="G185" s="2130"/>
      <c r="H185" s="2130"/>
    </row>
    <row r="186" spans="1:8">
      <c r="A186" s="2130"/>
      <c r="B186" s="2130"/>
      <c r="C186" s="2130"/>
      <c r="D186" s="2130"/>
      <c r="E186" s="2130"/>
      <c r="F186" s="2130"/>
      <c r="G186" s="2130"/>
      <c r="H186" s="2130"/>
    </row>
    <row r="187" spans="1:8">
      <c r="A187" s="2130"/>
      <c r="B187" s="2130"/>
      <c r="C187" s="2130"/>
      <c r="D187" s="2130"/>
      <c r="E187" s="2130"/>
      <c r="F187" s="2130"/>
      <c r="G187" s="2130"/>
      <c r="H187" s="2130"/>
    </row>
    <row r="188" spans="1:8">
      <c r="A188" s="2130"/>
      <c r="B188" s="2130"/>
      <c r="C188" s="2130"/>
      <c r="D188" s="2130"/>
      <c r="E188" s="2130"/>
      <c r="F188" s="2130"/>
      <c r="G188" s="2130"/>
      <c r="H188" s="2130"/>
    </row>
    <row r="189" spans="1:8">
      <c r="A189" s="2130"/>
      <c r="B189" s="2130"/>
      <c r="C189" s="2130"/>
      <c r="D189" s="2130"/>
      <c r="E189" s="2130"/>
      <c r="F189" s="2130"/>
      <c r="G189" s="2130"/>
      <c r="H189" s="2130"/>
    </row>
    <row r="190" spans="1:8">
      <c r="A190" s="2130"/>
      <c r="B190" s="2130"/>
      <c r="C190" s="2130"/>
      <c r="D190" s="2130"/>
      <c r="E190" s="2130"/>
      <c r="F190" s="2130"/>
      <c r="G190" s="2130"/>
      <c r="H190" s="2130"/>
    </row>
    <row r="191" spans="1:8">
      <c r="A191" s="2130"/>
      <c r="B191" s="2130"/>
      <c r="C191" s="2130"/>
      <c r="D191" s="2130"/>
      <c r="E191" s="2130"/>
      <c r="F191" s="2130"/>
      <c r="G191" s="2130"/>
      <c r="H191" s="2130"/>
    </row>
    <row r="192" spans="1:8">
      <c r="A192" s="2130"/>
      <c r="B192" s="2130"/>
      <c r="C192" s="2130"/>
      <c r="D192" s="2130"/>
      <c r="E192" s="2130"/>
      <c r="F192" s="2130"/>
      <c r="G192" s="2130"/>
      <c r="H192" s="2130"/>
    </row>
    <row r="193" spans="1:8">
      <c r="A193" s="2130"/>
      <c r="B193" s="2130"/>
      <c r="C193" s="2130"/>
      <c r="D193" s="2130"/>
      <c r="E193" s="2130"/>
      <c r="F193" s="2130"/>
      <c r="G193" s="2130"/>
      <c r="H193" s="2130"/>
    </row>
    <row r="194" spans="1:8">
      <c r="A194" s="2130"/>
      <c r="B194" s="2130"/>
      <c r="C194" s="2130"/>
      <c r="D194" s="2130"/>
      <c r="E194" s="2130"/>
      <c r="F194" s="2130"/>
      <c r="G194" s="2130"/>
      <c r="H194" s="2130"/>
    </row>
    <row r="195" spans="1:8">
      <c r="A195" s="2130"/>
      <c r="B195" s="2130"/>
      <c r="C195" s="2130"/>
      <c r="D195" s="2130"/>
      <c r="E195" s="2130"/>
      <c r="F195" s="2130"/>
      <c r="G195" s="2130"/>
      <c r="H195" s="2130"/>
    </row>
    <row r="196" spans="1:8">
      <c r="A196" s="2130"/>
      <c r="B196" s="2130"/>
      <c r="C196" s="2130"/>
      <c r="D196" s="2130"/>
      <c r="E196" s="2130"/>
      <c r="F196" s="2130"/>
      <c r="G196" s="2130"/>
      <c r="H196" s="2130"/>
    </row>
    <row r="197" spans="1:8" ht="15.75">
      <c r="A197" s="2132" t="s">
        <v>904</v>
      </c>
      <c r="B197" s="2130"/>
      <c r="C197" s="2130"/>
      <c r="D197" s="2130"/>
      <c r="E197" s="2130"/>
      <c r="F197" s="2130"/>
      <c r="G197" s="2130"/>
      <c r="H197" s="2130"/>
    </row>
    <row r="198" spans="1:8">
      <c r="A198" s="2130"/>
      <c r="B198" s="2130"/>
      <c r="C198" s="2130"/>
      <c r="D198" s="2130"/>
      <c r="E198" s="2130"/>
      <c r="F198" s="2130"/>
      <c r="G198" s="2130"/>
      <c r="H198" s="2130"/>
    </row>
    <row r="199" spans="1:8">
      <c r="A199" s="2131" t="s">
        <v>1065</v>
      </c>
      <c r="B199" s="2130"/>
      <c r="C199" s="2130"/>
      <c r="D199" s="2130"/>
      <c r="E199" s="2130"/>
      <c r="F199" s="2130"/>
      <c r="G199" s="2130"/>
      <c r="H199" s="2130"/>
    </row>
    <row r="200" spans="1:8">
      <c r="A200" s="2131" t="s">
        <v>1066</v>
      </c>
      <c r="B200" s="2130"/>
      <c r="C200" s="2130"/>
      <c r="D200" s="2130"/>
      <c r="E200" s="2130"/>
      <c r="F200" s="2130"/>
      <c r="G200" s="2130"/>
      <c r="H200" s="2130"/>
    </row>
    <row r="201" spans="1:8">
      <c r="A201" s="2131" t="s">
        <v>1067</v>
      </c>
      <c r="B201" s="2130"/>
      <c r="C201" s="2130"/>
      <c r="D201" s="2130"/>
      <c r="E201" s="2130"/>
      <c r="F201" s="2130"/>
      <c r="G201" s="2130"/>
      <c r="H201" s="2130"/>
    </row>
    <row r="202" spans="1:8">
      <c r="A202" s="2131" t="s">
        <v>1068</v>
      </c>
      <c r="B202" s="2130"/>
      <c r="C202" s="2130"/>
      <c r="D202" s="2130"/>
      <c r="E202" s="2130"/>
      <c r="F202" s="2130"/>
      <c r="G202" s="2130"/>
      <c r="H202" s="2130"/>
    </row>
    <row r="203" spans="1:8">
      <c r="A203" s="2131" t="s">
        <v>1069</v>
      </c>
      <c r="B203" s="2130"/>
      <c r="C203" s="2130"/>
      <c r="D203" s="2130"/>
      <c r="E203" s="2130"/>
      <c r="F203" s="2130"/>
      <c r="G203" s="2130"/>
      <c r="H203" s="2130"/>
    </row>
    <row r="204" spans="1:8">
      <c r="A204" s="2130"/>
      <c r="B204" s="2130"/>
      <c r="C204" s="2130"/>
      <c r="D204" s="2130"/>
      <c r="E204" s="2130"/>
      <c r="F204" s="2130"/>
      <c r="G204" s="2130"/>
      <c r="H204" s="2130"/>
    </row>
    <row r="205" spans="1:8">
      <c r="A205" s="2131" t="s">
        <v>1062</v>
      </c>
      <c r="B205" s="2130"/>
      <c r="C205" s="2130"/>
      <c r="D205" s="2130"/>
      <c r="E205" s="2130"/>
      <c r="F205" s="2130"/>
      <c r="G205" s="2130"/>
      <c r="H205" s="2130"/>
    </row>
    <row r="206" spans="1:8">
      <c r="A206" s="2131" t="s">
        <v>1063</v>
      </c>
      <c r="B206" s="2130"/>
      <c r="C206" s="2130"/>
      <c r="D206" s="2130"/>
      <c r="E206" s="2130"/>
      <c r="F206" s="2130"/>
      <c r="G206" s="2130"/>
      <c r="H206" s="2130"/>
    </row>
    <row r="207" spans="1:8">
      <c r="A207" s="2131" t="s">
        <v>1064</v>
      </c>
      <c r="B207" s="2130"/>
      <c r="C207" s="2130"/>
      <c r="D207" s="2130"/>
      <c r="E207" s="2130"/>
      <c r="F207" s="2130"/>
      <c r="G207" s="2130"/>
      <c r="H207" s="2130"/>
    </row>
    <row r="208" spans="1:8" ht="15.75">
      <c r="A208" s="2132" t="s">
        <v>905</v>
      </c>
      <c r="B208" s="2130"/>
      <c r="C208" s="2130"/>
      <c r="D208" s="2130"/>
      <c r="E208" s="2130"/>
      <c r="F208" s="2130"/>
      <c r="G208" s="2130"/>
      <c r="H208" s="2130"/>
    </row>
    <row r="209" spans="1:8">
      <c r="A209" s="2130"/>
      <c r="B209" s="2130"/>
      <c r="C209" s="2130"/>
      <c r="D209" s="2130"/>
      <c r="E209" s="2130"/>
      <c r="F209" s="2130"/>
      <c r="G209" s="2130"/>
      <c r="H209" s="2130"/>
    </row>
    <row r="210" spans="1:8">
      <c r="A210" s="2131" t="s">
        <v>1060</v>
      </c>
      <c r="B210" s="2130"/>
      <c r="C210" s="2130"/>
      <c r="D210" s="2130"/>
      <c r="E210" s="2130"/>
      <c r="F210" s="2130"/>
      <c r="G210" s="2130"/>
      <c r="H210" s="2130"/>
    </row>
    <row r="211" spans="1:8">
      <c r="A211" s="2131" t="s">
        <v>1061</v>
      </c>
      <c r="B211" s="2130"/>
      <c r="C211" s="2130"/>
      <c r="D211" s="2130"/>
      <c r="E211" s="2130"/>
      <c r="F211" s="2130"/>
      <c r="G211" s="2130"/>
      <c r="H211" s="2130"/>
    </row>
    <row r="212" spans="1:8">
      <c r="A212" s="2130"/>
      <c r="B212" s="2130"/>
      <c r="C212" s="2130"/>
      <c r="D212" s="2130"/>
      <c r="E212" s="2130"/>
      <c r="F212" s="2130"/>
      <c r="G212" s="2130"/>
      <c r="H212" s="2130"/>
    </row>
    <row r="213" spans="1:8">
      <c r="A213" s="2131" t="s">
        <v>1053</v>
      </c>
      <c r="B213" s="2130"/>
      <c r="C213" s="2130"/>
      <c r="D213" s="2130"/>
      <c r="E213" s="2130"/>
      <c r="F213" s="2130"/>
      <c r="G213" s="2130"/>
      <c r="H213" s="2130"/>
    </row>
    <row r="214" spans="1:8">
      <c r="A214" s="2131" t="s">
        <v>1054</v>
      </c>
      <c r="B214" s="2130"/>
      <c r="C214" s="2130"/>
      <c r="D214" s="2130"/>
      <c r="E214" s="2130"/>
      <c r="F214" s="2130"/>
      <c r="G214" s="2130"/>
      <c r="H214" s="2130"/>
    </row>
    <row r="215" spans="1:8">
      <c r="A215" s="2131" t="s">
        <v>1055</v>
      </c>
      <c r="B215" s="2130"/>
      <c r="C215" s="2130"/>
      <c r="D215" s="2130"/>
      <c r="E215" s="2130"/>
      <c r="F215" s="2130"/>
      <c r="G215" s="2130"/>
      <c r="H215" s="2130"/>
    </row>
    <row r="216" spans="1:8">
      <c r="A216" s="2131" t="s">
        <v>1056</v>
      </c>
      <c r="B216" s="2130"/>
      <c r="C216" s="2130"/>
      <c r="D216" s="2130"/>
      <c r="E216" s="2130"/>
      <c r="F216" s="2130"/>
      <c r="G216" s="2130"/>
      <c r="H216" s="2130"/>
    </row>
    <row r="217" spans="1:8">
      <c r="A217" s="2131" t="s">
        <v>1057</v>
      </c>
      <c r="B217" s="2130"/>
      <c r="C217" s="2130"/>
      <c r="D217" s="2130"/>
      <c r="E217" s="2130"/>
      <c r="F217" s="2130"/>
      <c r="G217" s="2130"/>
      <c r="H217" s="2130"/>
    </row>
    <row r="218" spans="1:8">
      <c r="A218" s="2131" t="s">
        <v>1058</v>
      </c>
      <c r="B218" s="2130"/>
      <c r="C218" s="2130"/>
      <c r="D218" s="2130"/>
      <c r="E218" s="2130"/>
      <c r="F218" s="2130"/>
      <c r="G218" s="2130"/>
      <c r="H218" s="2130"/>
    </row>
    <row r="219" spans="1:8">
      <c r="A219" s="2131" t="s">
        <v>1059</v>
      </c>
      <c r="B219" s="2130"/>
      <c r="C219" s="2130"/>
      <c r="D219" s="2130"/>
      <c r="E219" s="2130"/>
      <c r="F219" s="2130"/>
      <c r="G219" s="2130"/>
      <c r="H219" s="2130"/>
    </row>
    <row r="220" spans="1:8">
      <c r="A220" s="2130"/>
      <c r="B220" s="2130"/>
      <c r="C220" s="2130"/>
      <c r="D220" s="2130"/>
      <c r="E220" s="2130"/>
      <c r="F220" s="2130"/>
      <c r="G220" s="2130"/>
      <c r="H220" s="2130"/>
    </row>
    <row r="221" spans="1:8">
      <c r="A221" s="2131" t="s">
        <v>1050</v>
      </c>
      <c r="B221" s="2130"/>
      <c r="C221" s="2130"/>
      <c r="D221" s="2130"/>
      <c r="E221" s="2130"/>
      <c r="F221" s="2130"/>
      <c r="G221" s="2130"/>
      <c r="H221" s="2130"/>
    </row>
    <row r="222" spans="1:8">
      <c r="A222" s="2131" t="s">
        <v>1051</v>
      </c>
      <c r="B222" s="2130"/>
      <c r="C222" s="2130"/>
      <c r="D222" s="2130"/>
      <c r="E222" s="2130"/>
      <c r="F222" s="2130"/>
      <c r="G222" s="2130"/>
      <c r="H222" s="2130"/>
    </row>
    <row r="223" spans="1:8">
      <c r="A223" s="2131" t="s">
        <v>1052</v>
      </c>
      <c r="B223" s="2130"/>
      <c r="C223" s="2130"/>
      <c r="D223" s="2130"/>
      <c r="E223" s="2130"/>
      <c r="F223" s="2130"/>
      <c r="G223" s="2130"/>
      <c r="H223" s="2130"/>
    </row>
    <row r="224" spans="1:8">
      <c r="A224" s="2130"/>
      <c r="B224" s="2130"/>
      <c r="C224" s="2130"/>
      <c r="D224" s="2130"/>
      <c r="E224" s="2130"/>
      <c r="F224" s="2130"/>
      <c r="G224" s="2130"/>
      <c r="H224" s="2130"/>
    </row>
    <row r="225" spans="1:8">
      <c r="A225" s="2131" t="s">
        <v>1045</v>
      </c>
      <c r="B225" s="2130"/>
      <c r="C225" s="2130"/>
      <c r="D225" s="2130"/>
      <c r="E225" s="2130"/>
      <c r="F225" s="2130"/>
      <c r="G225" s="2130"/>
      <c r="H225" s="2130"/>
    </row>
    <row r="226" spans="1:8">
      <c r="A226" s="2131" t="s">
        <v>1046</v>
      </c>
      <c r="B226" s="2130"/>
      <c r="C226" s="2130"/>
      <c r="D226" s="2130"/>
      <c r="E226" s="2130"/>
      <c r="F226" s="2130"/>
      <c r="G226" s="2130"/>
      <c r="H226" s="2130"/>
    </row>
    <row r="227" spans="1:8">
      <c r="A227" s="2131" t="s">
        <v>1047</v>
      </c>
      <c r="B227" s="2130"/>
      <c r="C227" s="2130"/>
      <c r="D227" s="2130"/>
      <c r="E227" s="2130"/>
      <c r="F227" s="2130"/>
      <c r="G227" s="2130"/>
      <c r="H227" s="2130"/>
    </row>
    <row r="228" spans="1:8">
      <c r="A228" s="2131" t="s">
        <v>1048</v>
      </c>
      <c r="B228" s="2130"/>
      <c r="C228" s="2130"/>
      <c r="D228" s="2130"/>
      <c r="E228" s="2130"/>
      <c r="F228" s="2130"/>
      <c r="G228" s="2130"/>
      <c r="H228" s="2130"/>
    </row>
    <row r="229" spans="1:8">
      <c r="A229" s="2131" t="s">
        <v>1049</v>
      </c>
      <c r="B229" s="2130"/>
      <c r="C229" s="2130"/>
      <c r="D229" s="2130"/>
      <c r="E229" s="2130"/>
      <c r="F229" s="2130"/>
      <c r="G229" s="2130"/>
      <c r="H229" s="2130"/>
    </row>
    <row r="230" spans="1:8">
      <c r="A230" s="2130"/>
      <c r="B230" s="2130"/>
      <c r="C230" s="2130"/>
      <c r="D230" s="2130"/>
      <c r="E230" s="2130"/>
      <c r="F230" s="2130"/>
      <c r="G230" s="2130"/>
      <c r="H230" s="2130"/>
    </row>
    <row r="231" spans="1:8">
      <c r="A231" s="2131" t="s">
        <v>1039</v>
      </c>
      <c r="B231" s="2130"/>
      <c r="C231" s="2130"/>
      <c r="D231" s="2130"/>
      <c r="E231" s="2130"/>
      <c r="F231" s="2130"/>
      <c r="G231" s="2130"/>
      <c r="H231" s="2130"/>
    </row>
    <row r="232" spans="1:8">
      <c r="A232" s="2131" t="s">
        <v>1040</v>
      </c>
      <c r="B232" s="2130"/>
      <c r="C232" s="2130"/>
      <c r="D232" s="2130"/>
      <c r="E232" s="2130"/>
      <c r="F232" s="2130"/>
      <c r="G232" s="2130"/>
      <c r="H232" s="2130"/>
    </row>
    <row r="233" spans="1:8">
      <c r="A233" s="2131" t="s">
        <v>1041</v>
      </c>
      <c r="B233" s="2130"/>
      <c r="C233" s="2130"/>
      <c r="D233" s="2130"/>
      <c r="E233" s="2130"/>
      <c r="F233" s="2130"/>
      <c r="G233" s="2130"/>
      <c r="H233" s="2130"/>
    </row>
    <row r="234" spans="1:8">
      <c r="A234" s="2131" t="s">
        <v>1042</v>
      </c>
      <c r="B234" s="2130"/>
      <c r="C234" s="2130"/>
      <c r="D234" s="2130"/>
      <c r="E234" s="2130"/>
      <c r="F234" s="2130"/>
      <c r="G234" s="2130"/>
      <c r="H234" s="2130"/>
    </row>
    <row r="235" spans="1:8">
      <c r="A235" s="2131" t="s">
        <v>1043</v>
      </c>
      <c r="B235" s="2130"/>
      <c r="C235" s="2130"/>
      <c r="D235" s="2130"/>
      <c r="E235" s="2130"/>
      <c r="F235" s="2130"/>
      <c r="G235" s="2130"/>
      <c r="H235" s="2130"/>
    </row>
    <row r="236" spans="1:8">
      <c r="A236" s="2131" t="s">
        <v>1044</v>
      </c>
      <c r="B236" s="2130"/>
      <c r="C236" s="2130"/>
      <c r="D236" s="2130"/>
      <c r="E236" s="2130"/>
      <c r="F236" s="2130"/>
      <c r="G236" s="2130"/>
      <c r="H236" s="2130"/>
    </row>
    <row r="237" spans="1:8">
      <c r="A237" s="2130"/>
      <c r="B237" s="2130"/>
      <c r="C237" s="2130"/>
      <c r="D237" s="2130"/>
      <c r="E237" s="2130"/>
      <c r="F237" s="2130"/>
      <c r="G237" s="2130"/>
      <c r="H237" s="2130"/>
    </row>
    <row r="238" spans="1:8">
      <c r="A238" s="2131" t="s">
        <v>1029</v>
      </c>
      <c r="B238" s="2130"/>
      <c r="C238" s="2130"/>
      <c r="D238" s="2130"/>
      <c r="E238" s="2130"/>
      <c r="F238" s="2130"/>
      <c r="G238" s="2130"/>
      <c r="H238" s="2130"/>
    </row>
    <row r="239" spans="1:8">
      <c r="A239" s="2131" t="s">
        <v>1030</v>
      </c>
      <c r="B239" s="2130"/>
      <c r="C239" s="2130"/>
      <c r="D239" s="2130"/>
      <c r="E239" s="2130"/>
      <c r="F239" s="2130"/>
      <c r="G239" s="2130"/>
      <c r="H239" s="2130"/>
    </row>
    <row r="240" spans="1:8">
      <c r="A240" s="2131" t="s">
        <v>1031</v>
      </c>
      <c r="B240" s="2130"/>
      <c r="C240" s="2130"/>
      <c r="D240" s="2130"/>
      <c r="E240" s="2130"/>
      <c r="F240" s="2130"/>
      <c r="G240" s="2130"/>
      <c r="H240" s="2130"/>
    </row>
    <row r="241" spans="1:8">
      <c r="A241" s="2131" t="s">
        <v>1032</v>
      </c>
      <c r="B241" s="2130"/>
      <c r="C241" s="2130"/>
      <c r="D241" s="2130"/>
      <c r="E241" s="2130"/>
      <c r="F241" s="2130"/>
      <c r="G241" s="2130"/>
      <c r="H241" s="2130"/>
    </row>
    <row r="242" spans="1:8">
      <c r="A242" s="2131" t="s">
        <v>1033</v>
      </c>
      <c r="B242" s="2130"/>
      <c r="C242" s="2130"/>
      <c r="D242" s="2130"/>
      <c r="E242" s="2130"/>
      <c r="F242" s="2130"/>
      <c r="G242" s="2130"/>
      <c r="H242" s="2130"/>
    </row>
    <row r="243" spans="1:8">
      <c r="A243" s="2131" t="s">
        <v>1034</v>
      </c>
      <c r="B243" s="2130"/>
      <c r="C243" s="2130"/>
      <c r="D243" s="2130"/>
      <c r="E243" s="2130"/>
      <c r="F243" s="2130"/>
      <c r="G243" s="2130"/>
      <c r="H243" s="2130"/>
    </row>
    <row r="244" spans="1:8">
      <c r="A244" s="2131" t="s">
        <v>1035</v>
      </c>
      <c r="B244" s="2130"/>
      <c r="C244" s="2130"/>
      <c r="D244" s="2130"/>
      <c r="E244" s="2130"/>
      <c r="F244" s="2130"/>
      <c r="G244" s="2130"/>
      <c r="H244" s="2130"/>
    </row>
    <row r="245" spans="1:8">
      <c r="A245" s="2131" t="s">
        <v>1036</v>
      </c>
      <c r="B245" s="2130"/>
      <c r="C245" s="2130"/>
      <c r="D245" s="2130"/>
      <c r="E245" s="2130"/>
      <c r="F245" s="2130"/>
      <c r="G245" s="2130"/>
      <c r="H245" s="2130"/>
    </row>
    <row r="246" spans="1:8">
      <c r="A246" s="2131" t="s">
        <v>1037</v>
      </c>
      <c r="B246" s="2130"/>
      <c r="C246" s="2130"/>
      <c r="D246" s="2130"/>
      <c r="E246" s="2130"/>
      <c r="F246" s="2130"/>
      <c r="G246" s="2130"/>
      <c r="H246" s="2130"/>
    </row>
    <row r="247" spans="1:8">
      <c r="A247" s="2131" t="s">
        <v>1038</v>
      </c>
      <c r="B247" s="2130"/>
      <c r="C247" s="2130"/>
      <c r="D247" s="2130"/>
      <c r="E247" s="2130"/>
      <c r="F247" s="2130"/>
      <c r="G247" s="2130"/>
      <c r="H247" s="2130"/>
    </row>
    <row r="248" spans="1:8">
      <c r="A248" s="2130"/>
      <c r="B248" s="2130"/>
      <c r="C248" s="2130"/>
      <c r="D248" s="2130"/>
      <c r="E248" s="2130"/>
      <c r="F248" s="2130"/>
      <c r="G248" s="2130"/>
      <c r="H248" s="2130"/>
    </row>
    <row r="249" spans="1:8">
      <c r="A249" s="2131" t="s">
        <v>1027</v>
      </c>
      <c r="B249" s="2130"/>
      <c r="C249" s="2130"/>
      <c r="D249" s="2130"/>
      <c r="E249" s="2130"/>
      <c r="F249" s="2130"/>
      <c r="G249" s="2130"/>
      <c r="H249" s="2130"/>
    </row>
    <row r="250" spans="1:8">
      <c r="A250" s="2131" t="s">
        <v>1028</v>
      </c>
      <c r="B250" s="2130"/>
      <c r="C250" s="2130"/>
      <c r="D250" s="2130"/>
      <c r="E250" s="2130"/>
      <c r="F250" s="2130"/>
      <c r="G250" s="2130"/>
      <c r="H250" s="2130"/>
    </row>
    <row r="251" spans="1:8">
      <c r="A251" s="2130"/>
      <c r="B251" s="2130"/>
      <c r="C251" s="2130"/>
      <c r="D251" s="2130"/>
      <c r="E251" s="2130"/>
      <c r="F251" s="2130"/>
      <c r="G251" s="2130"/>
      <c r="H251" s="2130"/>
    </row>
    <row r="252" spans="1:8">
      <c r="A252" s="2131" t="s">
        <v>1011</v>
      </c>
      <c r="B252" s="2130"/>
      <c r="C252" s="2130"/>
      <c r="D252" s="2130"/>
      <c r="E252" s="2130"/>
      <c r="F252" s="2130"/>
      <c r="G252" s="2130"/>
      <c r="H252" s="2130"/>
    </row>
    <row r="253" spans="1:8">
      <c r="A253" s="2131" t="s">
        <v>1012</v>
      </c>
      <c r="B253" s="2130"/>
      <c r="C253" s="2130"/>
      <c r="D253" s="2130"/>
      <c r="E253" s="2130"/>
      <c r="F253" s="2130"/>
      <c r="G253" s="2130"/>
      <c r="H253" s="2130"/>
    </row>
    <row r="254" spans="1:8">
      <c r="A254" s="2131" t="s">
        <v>1013</v>
      </c>
      <c r="B254" s="2130"/>
      <c r="C254" s="2130"/>
      <c r="D254" s="2130"/>
      <c r="E254" s="2130"/>
      <c r="F254" s="2130"/>
      <c r="G254" s="2130"/>
      <c r="H254" s="2130"/>
    </row>
    <row r="255" spans="1:8">
      <c r="A255" s="2131" t="s">
        <v>1014</v>
      </c>
      <c r="B255" s="2130"/>
      <c r="C255" s="2130"/>
      <c r="D255" s="2130"/>
      <c r="E255" s="2130"/>
      <c r="F255" s="2130"/>
      <c r="G255" s="2130"/>
      <c r="H255" s="2130"/>
    </row>
    <row r="256" spans="1:8">
      <c r="A256" s="2131" t="s">
        <v>1015</v>
      </c>
      <c r="B256" s="2130"/>
      <c r="C256" s="2130"/>
      <c r="D256" s="2130"/>
      <c r="E256" s="2130"/>
      <c r="F256" s="2130"/>
      <c r="G256" s="2130"/>
      <c r="H256" s="2130"/>
    </row>
    <row r="257" spans="1:8">
      <c r="A257" s="2131" t="s">
        <v>1016</v>
      </c>
      <c r="B257" s="2130"/>
      <c r="C257" s="2130"/>
      <c r="D257" s="2130"/>
      <c r="E257" s="2130"/>
      <c r="F257" s="2130"/>
      <c r="G257" s="2130"/>
      <c r="H257" s="2130"/>
    </row>
    <row r="258" spans="1:8">
      <c r="A258" s="2131" t="s">
        <v>1017</v>
      </c>
      <c r="B258" s="2130"/>
      <c r="C258" s="2130"/>
      <c r="D258" s="2130"/>
      <c r="E258" s="2130"/>
      <c r="F258" s="2130"/>
      <c r="G258" s="2130"/>
      <c r="H258" s="2130"/>
    </row>
    <row r="259" spans="1:8">
      <c r="A259" s="2131" t="s">
        <v>1018</v>
      </c>
      <c r="B259" s="2130"/>
      <c r="C259" s="2130"/>
      <c r="D259" s="2130"/>
      <c r="E259" s="2130"/>
      <c r="F259" s="2130"/>
      <c r="G259" s="2130"/>
      <c r="H259" s="2130"/>
    </row>
    <row r="260" spans="1:8">
      <c r="A260" s="2131" t="s">
        <v>1019</v>
      </c>
      <c r="B260" s="2130"/>
      <c r="C260" s="2130"/>
      <c r="D260" s="2130"/>
      <c r="E260" s="2130"/>
      <c r="F260" s="2130"/>
      <c r="G260" s="2130"/>
      <c r="H260" s="2130"/>
    </row>
    <row r="261" spans="1:8">
      <c r="A261" s="2131" t="s">
        <v>1020</v>
      </c>
      <c r="B261" s="2130"/>
      <c r="C261" s="2130"/>
      <c r="D261" s="2130"/>
      <c r="E261" s="2130"/>
      <c r="F261" s="2130"/>
      <c r="G261" s="2130"/>
      <c r="H261" s="2130"/>
    </row>
    <row r="262" spans="1:8">
      <c r="A262" s="2131" t="s">
        <v>1021</v>
      </c>
      <c r="B262" s="2130"/>
      <c r="C262" s="2130"/>
      <c r="D262" s="2130"/>
      <c r="E262" s="2130"/>
      <c r="F262" s="2130"/>
      <c r="G262" s="2130"/>
      <c r="H262" s="2130"/>
    </row>
    <row r="263" spans="1:8">
      <c r="A263" s="2131" t="s">
        <v>1022</v>
      </c>
      <c r="B263" s="2130"/>
      <c r="C263" s="2130"/>
      <c r="D263" s="2130"/>
      <c r="E263" s="2130"/>
      <c r="F263" s="2130"/>
      <c r="G263" s="2130"/>
      <c r="H263" s="2130"/>
    </row>
    <row r="264" spans="1:8">
      <c r="A264" s="2131" t="s">
        <v>1023</v>
      </c>
      <c r="B264" s="2130"/>
      <c r="C264" s="2130"/>
      <c r="D264" s="2130"/>
      <c r="E264" s="2130"/>
      <c r="F264" s="2130"/>
      <c r="G264" s="2130"/>
      <c r="H264" s="2130"/>
    </row>
    <row r="265" spans="1:8">
      <c r="A265" s="2131" t="s">
        <v>1024</v>
      </c>
      <c r="B265" s="2130"/>
      <c r="C265" s="2130"/>
      <c r="D265" s="2130"/>
      <c r="E265" s="2130"/>
      <c r="F265" s="2130"/>
      <c r="G265" s="2130"/>
      <c r="H265" s="2130"/>
    </row>
    <row r="266" spans="1:8">
      <c r="A266" s="2131" t="s">
        <v>1025</v>
      </c>
      <c r="B266" s="2130"/>
      <c r="C266" s="2130"/>
      <c r="D266" s="2130"/>
      <c r="E266" s="2130"/>
      <c r="F266" s="2130"/>
      <c r="G266" s="2130"/>
      <c r="H266" s="2130"/>
    </row>
    <row r="267" spans="1:8">
      <c r="A267" s="2131" t="s">
        <v>1026</v>
      </c>
      <c r="B267" s="2130"/>
      <c r="C267" s="2130"/>
      <c r="D267" s="2130"/>
      <c r="E267" s="2130"/>
      <c r="F267" s="2130"/>
      <c r="G267" s="2130"/>
      <c r="H267" s="2130"/>
    </row>
    <row r="268" spans="1:8">
      <c r="A268" s="2130"/>
      <c r="B268" s="2130"/>
      <c r="C268" s="2130"/>
      <c r="D268" s="2130"/>
      <c r="E268" s="2130"/>
      <c r="F268" s="2130"/>
      <c r="G268" s="2130"/>
      <c r="H268" s="2130"/>
    </row>
    <row r="269" spans="1:8">
      <c r="A269" s="2131" t="s">
        <v>1004</v>
      </c>
      <c r="B269" s="2130"/>
      <c r="C269" s="2130"/>
      <c r="D269" s="2130"/>
      <c r="E269" s="2130"/>
      <c r="F269" s="2130"/>
      <c r="G269" s="2130"/>
      <c r="H269" s="2130"/>
    </row>
    <row r="270" spans="1:8">
      <c r="A270" s="2131" t="s">
        <v>1005</v>
      </c>
      <c r="B270" s="2130"/>
      <c r="C270" s="2130"/>
      <c r="D270" s="2130"/>
      <c r="E270" s="2130"/>
      <c r="F270" s="2130"/>
      <c r="G270" s="2130"/>
      <c r="H270" s="2130"/>
    </row>
    <row r="271" spans="1:8">
      <c r="A271" s="2131" t="s">
        <v>1006</v>
      </c>
      <c r="B271" s="2130"/>
      <c r="C271" s="2130"/>
      <c r="D271" s="2130"/>
      <c r="E271" s="2130"/>
      <c r="F271" s="2130"/>
      <c r="G271" s="2130"/>
      <c r="H271" s="2130"/>
    </row>
    <row r="272" spans="1:8">
      <c r="A272" s="2131" t="s">
        <v>1007</v>
      </c>
      <c r="B272" s="2130"/>
      <c r="C272" s="2130"/>
      <c r="D272" s="2130"/>
      <c r="E272" s="2130"/>
      <c r="F272" s="2130"/>
      <c r="G272" s="2130"/>
      <c r="H272" s="2130"/>
    </row>
    <row r="273" spans="1:8">
      <c r="A273" s="2131" t="s">
        <v>1008</v>
      </c>
      <c r="B273" s="2130"/>
      <c r="C273" s="2130"/>
      <c r="D273" s="2130"/>
      <c r="E273" s="2130"/>
      <c r="F273" s="2130"/>
      <c r="G273" s="2130"/>
      <c r="H273" s="2130"/>
    </row>
    <row r="274" spans="1:8">
      <c r="A274" s="2131" t="s">
        <v>1009</v>
      </c>
      <c r="B274" s="2130"/>
      <c r="C274" s="2130"/>
      <c r="D274" s="2130"/>
      <c r="E274" s="2130"/>
      <c r="F274" s="2130"/>
      <c r="G274" s="2130"/>
      <c r="H274" s="2130"/>
    </row>
    <row r="275" spans="1:8">
      <c r="A275" s="2131" t="s">
        <v>1010</v>
      </c>
      <c r="B275" s="2130"/>
      <c r="C275" s="2130"/>
      <c r="D275" s="2130"/>
      <c r="E275" s="2130"/>
      <c r="F275" s="2130"/>
      <c r="G275" s="2130"/>
      <c r="H275" s="2130"/>
    </row>
    <row r="276" spans="1:8">
      <c r="A276" s="2130"/>
      <c r="B276" s="2130"/>
      <c r="C276" s="2130"/>
      <c r="D276" s="2130"/>
      <c r="E276" s="2130"/>
      <c r="F276" s="2130"/>
      <c r="G276" s="2130"/>
      <c r="H276" s="2130"/>
    </row>
    <row r="277" spans="1:8">
      <c r="A277" s="2131" t="s">
        <v>995</v>
      </c>
      <c r="B277" s="2130"/>
      <c r="C277" s="2130"/>
      <c r="D277" s="2130"/>
      <c r="E277" s="2130"/>
      <c r="F277" s="2130"/>
      <c r="G277" s="2130"/>
      <c r="H277" s="2130"/>
    </row>
    <row r="278" spans="1:8">
      <c r="A278" s="2131" t="s">
        <v>996</v>
      </c>
      <c r="B278" s="2130"/>
      <c r="C278" s="2130"/>
      <c r="D278" s="2130"/>
      <c r="E278" s="2130"/>
      <c r="F278" s="2130"/>
      <c r="G278" s="2130"/>
      <c r="H278" s="2130"/>
    </row>
    <row r="279" spans="1:8">
      <c r="A279" s="2131" t="s">
        <v>997</v>
      </c>
      <c r="B279" s="2130"/>
      <c r="C279" s="2130"/>
      <c r="D279" s="2130"/>
      <c r="E279" s="2130"/>
      <c r="F279" s="2130"/>
      <c r="G279" s="2130"/>
      <c r="H279" s="2130"/>
    </row>
    <row r="280" spans="1:8">
      <c r="A280" s="2131" t="s">
        <v>998</v>
      </c>
      <c r="B280" s="2130"/>
      <c r="C280" s="2130"/>
      <c r="D280" s="2130"/>
      <c r="E280" s="2130"/>
      <c r="F280" s="2130"/>
      <c r="G280" s="2130"/>
      <c r="H280" s="2130"/>
    </row>
    <row r="281" spans="1:8">
      <c r="A281" s="2131" t="s">
        <v>999</v>
      </c>
      <c r="B281" s="2130"/>
      <c r="C281" s="2130"/>
      <c r="D281" s="2130"/>
      <c r="E281" s="2130"/>
      <c r="F281" s="2130"/>
      <c r="G281" s="2130"/>
      <c r="H281" s="2130"/>
    </row>
    <row r="282" spans="1:8">
      <c r="A282" s="2131" t="s">
        <v>1000</v>
      </c>
      <c r="B282" s="2130"/>
      <c r="C282" s="2130"/>
      <c r="D282" s="2130"/>
      <c r="E282" s="2130"/>
      <c r="F282" s="2130"/>
      <c r="G282" s="2130"/>
      <c r="H282" s="2130"/>
    </row>
    <row r="283" spans="1:8">
      <c r="A283" s="2131" t="s">
        <v>1001</v>
      </c>
      <c r="B283" s="2130"/>
      <c r="C283" s="2130"/>
      <c r="D283" s="2130"/>
      <c r="E283" s="2130"/>
      <c r="F283" s="2130"/>
      <c r="G283" s="2130"/>
      <c r="H283" s="2130"/>
    </row>
    <row r="284" spans="1:8">
      <c r="A284" s="2131" t="s">
        <v>1002</v>
      </c>
      <c r="B284" s="2130"/>
      <c r="C284" s="2130"/>
      <c r="D284" s="2130"/>
      <c r="E284" s="2130"/>
      <c r="F284" s="2130"/>
      <c r="G284" s="2130"/>
      <c r="H284" s="2130"/>
    </row>
    <row r="285" spans="1:8">
      <c r="A285" s="2131" t="s">
        <v>1003</v>
      </c>
      <c r="B285" s="2130"/>
      <c r="C285" s="2130"/>
      <c r="D285" s="2130"/>
      <c r="E285" s="2130"/>
      <c r="F285" s="2130"/>
      <c r="G285" s="2130"/>
      <c r="H285" s="2130"/>
    </row>
    <row r="286" spans="1:8">
      <c r="A286" s="2130"/>
      <c r="B286" s="2130"/>
      <c r="C286" s="2130"/>
      <c r="D286" s="2130"/>
      <c r="E286" s="2130"/>
      <c r="F286" s="2130"/>
      <c r="G286" s="2130"/>
      <c r="H286" s="2130"/>
    </row>
    <row r="287" spans="1:8">
      <c r="A287" s="2131" t="s">
        <v>988</v>
      </c>
      <c r="B287" s="2130"/>
      <c r="C287" s="2130"/>
      <c r="D287" s="2130"/>
      <c r="E287" s="2130"/>
      <c r="F287" s="2130"/>
      <c r="G287" s="2130"/>
      <c r="H287" s="2130"/>
    </row>
    <row r="288" spans="1:8">
      <c r="A288" s="2131" t="s">
        <v>989</v>
      </c>
      <c r="B288" s="2130"/>
      <c r="C288" s="2130"/>
      <c r="D288" s="2130"/>
      <c r="E288" s="2130"/>
      <c r="F288" s="2130"/>
      <c r="G288" s="2130"/>
      <c r="H288" s="2130"/>
    </row>
    <row r="289" spans="1:8">
      <c r="A289" s="2131" t="s">
        <v>990</v>
      </c>
      <c r="B289" s="2130"/>
      <c r="C289" s="2130"/>
      <c r="D289" s="2130"/>
      <c r="E289" s="2130"/>
      <c r="F289" s="2130"/>
      <c r="G289" s="2130"/>
      <c r="H289" s="2130"/>
    </row>
    <row r="290" spans="1:8">
      <c r="A290" s="2131" t="s">
        <v>991</v>
      </c>
      <c r="B290" s="2130"/>
      <c r="C290" s="2130"/>
      <c r="D290" s="2130"/>
      <c r="E290" s="2130"/>
      <c r="F290" s="2130"/>
      <c r="G290" s="2130"/>
      <c r="H290" s="2130"/>
    </row>
    <row r="291" spans="1:8">
      <c r="A291" s="2131" t="s">
        <v>992</v>
      </c>
      <c r="B291" s="2130"/>
      <c r="C291" s="2130"/>
      <c r="D291" s="2130"/>
      <c r="E291" s="2130"/>
      <c r="F291" s="2130"/>
      <c r="G291" s="2130"/>
      <c r="H291" s="2130"/>
    </row>
    <row r="292" spans="1:8">
      <c r="A292" s="2131" t="s">
        <v>993</v>
      </c>
      <c r="B292" s="2130"/>
      <c r="C292" s="2130"/>
      <c r="D292" s="2130"/>
      <c r="E292" s="2130"/>
      <c r="F292" s="2130"/>
      <c r="G292" s="2130"/>
      <c r="H292" s="2130"/>
    </row>
    <row r="293" spans="1:8">
      <c r="A293" s="2131" t="s">
        <v>994</v>
      </c>
      <c r="B293" s="2130"/>
      <c r="C293" s="2130"/>
      <c r="D293" s="2130"/>
      <c r="E293" s="2130"/>
      <c r="F293" s="2130"/>
      <c r="G293" s="2130"/>
      <c r="H293" s="2130"/>
    </row>
    <row r="294" spans="1:8">
      <c r="A294" s="2130"/>
      <c r="B294" s="2130"/>
      <c r="C294" s="2130"/>
      <c r="D294" s="2130"/>
      <c r="E294" s="2130"/>
      <c r="F294" s="2130"/>
      <c r="G294" s="2130"/>
      <c r="H294" s="2130"/>
    </row>
    <row r="295" spans="1:8">
      <c r="A295" s="2131" t="s">
        <v>985</v>
      </c>
      <c r="B295" s="2130"/>
      <c r="C295" s="2130"/>
      <c r="D295" s="2130"/>
      <c r="E295" s="2130"/>
      <c r="F295" s="2130"/>
      <c r="G295" s="2130"/>
      <c r="H295" s="2130"/>
    </row>
    <row r="296" spans="1:8">
      <c r="A296" s="2131" t="s">
        <v>986</v>
      </c>
      <c r="B296" s="2130"/>
      <c r="C296" s="2130"/>
      <c r="D296" s="2130"/>
      <c r="E296" s="2130"/>
      <c r="F296" s="2130"/>
      <c r="G296" s="2130"/>
      <c r="H296" s="2130"/>
    </row>
    <row r="297" spans="1:8">
      <c r="A297" s="2131" t="s">
        <v>987</v>
      </c>
      <c r="B297" s="2130"/>
      <c r="C297" s="2130"/>
      <c r="D297" s="2130"/>
      <c r="E297" s="2130"/>
      <c r="F297" s="2130"/>
      <c r="G297" s="2130"/>
      <c r="H297" s="2130"/>
    </row>
    <row r="298" spans="1:8">
      <c r="A298" s="2130"/>
      <c r="B298" s="2130"/>
      <c r="C298" s="2130"/>
      <c r="D298" s="2130"/>
      <c r="E298" s="2130"/>
      <c r="F298" s="2130"/>
      <c r="G298" s="2130"/>
      <c r="H298" s="2130"/>
    </row>
    <row r="299" spans="1:8">
      <c r="A299" s="2131" t="s">
        <v>983</v>
      </c>
      <c r="B299" s="2130"/>
      <c r="C299" s="2130"/>
      <c r="D299" s="2130"/>
      <c r="E299" s="2130"/>
      <c r="F299" s="2130"/>
      <c r="G299" s="2130"/>
      <c r="H299" s="2130"/>
    </row>
    <row r="300" spans="1:8">
      <c r="A300" s="2131" t="s">
        <v>984</v>
      </c>
      <c r="B300" s="2130"/>
      <c r="C300" s="2130"/>
      <c r="D300" s="2130"/>
      <c r="E300" s="2130"/>
      <c r="F300" s="2130"/>
      <c r="G300" s="2130"/>
      <c r="H300" s="2130"/>
    </row>
    <row r="301" spans="1:8">
      <c r="A301" s="2130"/>
      <c r="B301" s="2130"/>
      <c r="C301" s="2130"/>
      <c r="D301" s="2130"/>
      <c r="E301" s="2130"/>
      <c r="F301" s="2130"/>
      <c r="G301" s="2130"/>
      <c r="H301" s="2130"/>
    </row>
    <row r="302" spans="1:8">
      <c r="A302" s="2131" t="s">
        <v>970</v>
      </c>
      <c r="B302" s="2130"/>
      <c r="C302" s="2130"/>
      <c r="D302" s="2130"/>
      <c r="E302" s="2130"/>
      <c r="F302" s="2130"/>
      <c r="G302" s="2130"/>
      <c r="H302" s="2130"/>
    </row>
    <row r="303" spans="1:8">
      <c r="A303" s="2131" t="s">
        <v>971</v>
      </c>
      <c r="B303" s="2130"/>
      <c r="C303" s="2130"/>
      <c r="D303" s="2130"/>
      <c r="E303" s="2130"/>
      <c r="F303" s="2130"/>
      <c r="G303" s="2130"/>
      <c r="H303" s="2130"/>
    </row>
    <row r="304" spans="1:8">
      <c r="A304" s="2131" t="s">
        <v>972</v>
      </c>
      <c r="B304" s="2130"/>
      <c r="C304" s="2130"/>
      <c r="D304" s="2130"/>
      <c r="E304" s="2130"/>
      <c r="F304" s="2130"/>
      <c r="G304" s="2130"/>
      <c r="H304" s="2130"/>
    </row>
    <row r="305" spans="1:8">
      <c r="A305" s="2131" t="s">
        <v>973</v>
      </c>
      <c r="B305" s="2130"/>
      <c r="C305" s="2130"/>
      <c r="D305" s="2130"/>
      <c r="E305" s="2130"/>
      <c r="F305" s="2130"/>
      <c r="G305" s="2130"/>
      <c r="H305" s="2130"/>
    </row>
    <row r="306" spans="1:8">
      <c r="A306" s="2131" t="s">
        <v>974</v>
      </c>
      <c r="B306" s="2130"/>
      <c r="C306" s="2130"/>
      <c r="D306" s="2130"/>
      <c r="E306" s="2130"/>
      <c r="F306" s="2130"/>
      <c r="G306" s="2130"/>
      <c r="H306" s="2130"/>
    </row>
    <row r="307" spans="1:8">
      <c r="A307" s="2131" t="s">
        <v>975</v>
      </c>
      <c r="B307" s="2130"/>
      <c r="C307" s="2130"/>
      <c r="D307" s="2130"/>
      <c r="E307" s="2130"/>
      <c r="F307" s="2130"/>
      <c r="G307" s="2130"/>
      <c r="H307" s="2130"/>
    </row>
    <row r="308" spans="1:8">
      <c r="A308" s="2131" t="s">
        <v>976</v>
      </c>
      <c r="B308" s="2130"/>
      <c r="C308" s="2130"/>
      <c r="D308" s="2130"/>
      <c r="E308" s="2130"/>
      <c r="F308" s="2130"/>
      <c r="G308" s="2130"/>
      <c r="H308" s="2130"/>
    </row>
    <row r="309" spans="1:8">
      <c r="A309" s="2131" t="s">
        <v>977</v>
      </c>
      <c r="B309" s="2130"/>
      <c r="C309" s="2130"/>
      <c r="D309" s="2130"/>
      <c r="E309" s="2130"/>
      <c r="F309" s="2130"/>
      <c r="G309" s="2130"/>
      <c r="H309" s="2130"/>
    </row>
    <row r="310" spans="1:8">
      <c r="A310" s="2131" t="s">
        <v>978</v>
      </c>
      <c r="B310" s="2130"/>
      <c r="C310" s="2130"/>
      <c r="D310" s="2130"/>
      <c r="E310" s="2130"/>
      <c r="F310" s="2130"/>
      <c r="G310" s="2130"/>
      <c r="H310" s="2130"/>
    </row>
    <row r="311" spans="1:8">
      <c r="A311" s="2131" t="s">
        <v>979</v>
      </c>
      <c r="B311" s="2130"/>
      <c r="C311" s="2130"/>
      <c r="D311" s="2130"/>
      <c r="E311" s="2130"/>
      <c r="F311" s="2130"/>
      <c r="G311" s="2130"/>
      <c r="H311" s="2130"/>
    </row>
    <row r="312" spans="1:8">
      <c r="A312" s="2131" t="s">
        <v>980</v>
      </c>
      <c r="B312" s="2130"/>
      <c r="C312" s="2130"/>
      <c r="D312" s="2130"/>
      <c r="E312" s="2130"/>
      <c r="F312" s="2130"/>
      <c r="G312" s="2130"/>
      <c r="H312" s="2130"/>
    </row>
    <row r="313" spans="1:8">
      <c r="A313" s="2131" t="s">
        <v>981</v>
      </c>
      <c r="B313" s="2130"/>
      <c r="C313" s="2130"/>
      <c r="D313" s="2130"/>
      <c r="E313" s="2130"/>
      <c r="F313" s="2130"/>
      <c r="G313" s="2130"/>
      <c r="H313" s="2130"/>
    </row>
    <row r="314" spans="1:8">
      <c r="A314" s="2131" t="s">
        <v>982</v>
      </c>
      <c r="B314" s="2130"/>
      <c r="C314" s="2130"/>
      <c r="D314" s="2130"/>
      <c r="E314" s="2130"/>
      <c r="F314" s="2130"/>
      <c r="G314" s="2130"/>
      <c r="H314" s="2130"/>
    </row>
    <row r="315" spans="1:8">
      <c r="A315" s="2130"/>
      <c r="B315" s="2130"/>
      <c r="C315" s="2130"/>
      <c r="D315" s="2130"/>
      <c r="E315" s="2130"/>
      <c r="F315" s="2130"/>
      <c r="G315" s="2130"/>
      <c r="H315" s="2130"/>
    </row>
    <row r="316" spans="1:8">
      <c r="A316" s="2131" t="s">
        <v>962</v>
      </c>
      <c r="B316" s="2130"/>
      <c r="C316" s="2130"/>
      <c r="D316" s="2130"/>
      <c r="E316" s="2130"/>
      <c r="F316" s="2130"/>
      <c r="G316" s="2130"/>
      <c r="H316" s="2130"/>
    </row>
    <row r="317" spans="1:8">
      <c r="A317" s="2131" t="s">
        <v>963</v>
      </c>
      <c r="B317" s="2130"/>
      <c r="C317" s="2130"/>
      <c r="D317" s="2130"/>
      <c r="E317" s="2130"/>
      <c r="F317" s="2130"/>
      <c r="G317" s="2130"/>
      <c r="H317" s="2130"/>
    </row>
    <row r="318" spans="1:8">
      <c r="A318" s="2131" t="s">
        <v>964</v>
      </c>
      <c r="B318" s="2130"/>
      <c r="C318" s="2130"/>
      <c r="D318" s="2130"/>
      <c r="E318" s="2130"/>
      <c r="F318" s="2130"/>
      <c r="G318" s="2130"/>
      <c r="H318" s="2130"/>
    </row>
    <row r="319" spans="1:8">
      <c r="A319" s="2131" t="s">
        <v>965</v>
      </c>
      <c r="B319" s="2130"/>
      <c r="C319" s="2130"/>
      <c r="D319" s="2130"/>
      <c r="E319" s="2130"/>
      <c r="F319" s="2130"/>
      <c r="G319" s="2130"/>
      <c r="H319" s="2130"/>
    </row>
    <row r="320" spans="1:8">
      <c r="A320" s="2131" t="s">
        <v>966</v>
      </c>
      <c r="B320" s="2130"/>
      <c r="C320" s="2130"/>
      <c r="D320" s="2130"/>
      <c r="E320" s="2130"/>
      <c r="F320" s="2130"/>
      <c r="G320" s="2130"/>
      <c r="H320" s="2130"/>
    </row>
    <row r="321" spans="1:8">
      <c r="A321" s="2131" t="s">
        <v>967</v>
      </c>
      <c r="B321" s="2130"/>
      <c r="C321" s="2130"/>
      <c r="D321" s="2130"/>
      <c r="E321" s="2130"/>
      <c r="F321" s="2130"/>
      <c r="G321" s="2130"/>
      <c r="H321" s="2130"/>
    </row>
    <row r="322" spans="1:8">
      <c r="A322" s="2131" t="s">
        <v>968</v>
      </c>
      <c r="B322" s="2130"/>
      <c r="C322" s="2130"/>
      <c r="D322" s="2130"/>
      <c r="E322" s="2130"/>
      <c r="F322" s="2130"/>
      <c r="G322" s="2130"/>
      <c r="H322" s="2130"/>
    </row>
    <row r="323" spans="1:8">
      <c r="A323" s="2131" t="s">
        <v>969</v>
      </c>
      <c r="B323" s="2130"/>
      <c r="C323" s="2130"/>
      <c r="D323" s="2130"/>
      <c r="E323" s="2130"/>
      <c r="F323" s="2130"/>
      <c r="G323" s="2130"/>
      <c r="H323" s="2130"/>
    </row>
    <row r="324" spans="1:8">
      <c r="A324" s="2130"/>
      <c r="B324" s="2130"/>
      <c r="C324" s="2130"/>
      <c r="D324" s="2130"/>
      <c r="E324" s="2130"/>
      <c r="F324" s="2130"/>
      <c r="G324" s="2130"/>
      <c r="H324" s="2130"/>
    </row>
    <row r="325" spans="1:8">
      <c r="A325" s="2131" t="s">
        <v>927</v>
      </c>
      <c r="B325" s="2130"/>
      <c r="C325" s="2130"/>
      <c r="D325" s="2130"/>
      <c r="E325" s="2130"/>
      <c r="F325" s="2130"/>
      <c r="G325" s="2130"/>
      <c r="H325" s="2130"/>
    </row>
    <row r="326" spans="1:8">
      <c r="A326" s="2131" t="s">
        <v>928</v>
      </c>
      <c r="B326" s="2130"/>
      <c r="C326" s="2130"/>
      <c r="D326" s="2130"/>
      <c r="E326" s="2130"/>
      <c r="F326" s="2130"/>
      <c r="G326" s="2130"/>
      <c r="H326" s="2130"/>
    </row>
    <row r="327" spans="1:8">
      <c r="A327" s="2131" t="s">
        <v>929</v>
      </c>
      <c r="B327" s="2130"/>
      <c r="C327" s="2130"/>
      <c r="D327" s="2130"/>
      <c r="E327" s="2130"/>
      <c r="F327" s="2130"/>
      <c r="G327" s="2130"/>
      <c r="H327" s="2130"/>
    </row>
    <row r="328" spans="1:8">
      <c r="A328" s="2131" t="s">
        <v>930</v>
      </c>
      <c r="B328" s="2130"/>
      <c r="C328" s="2130"/>
      <c r="D328" s="2130"/>
      <c r="E328" s="2130"/>
      <c r="F328" s="2130"/>
      <c r="G328" s="2130"/>
      <c r="H328" s="2130"/>
    </row>
    <row r="329" spans="1:8">
      <c r="A329" s="2131" t="s">
        <v>931</v>
      </c>
      <c r="B329" s="2130"/>
      <c r="C329" s="2130"/>
      <c r="D329" s="2130"/>
      <c r="E329" s="2130"/>
      <c r="F329" s="2130"/>
      <c r="G329" s="2130"/>
      <c r="H329" s="2130"/>
    </row>
    <row r="330" spans="1:8">
      <c r="A330" s="2131" t="s">
        <v>932</v>
      </c>
      <c r="B330" s="2130"/>
      <c r="C330" s="2130"/>
      <c r="D330" s="2130"/>
      <c r="E330" s="2130"/>
      <c r="F330" s="2130"/>
      <c r="G330" s="2130"/>
      <c r="H330" s="2130"/>
    </row>
    <row r="331" spans="1:8">
      <c r="A331" s="2131" t="s">
        <v>933</v>
      </c>
      <c r="B331" s="2130"/>
      <c r="C331" s="2130"/>
      <c r="D331" s="2130"/>
      <c r="E331" s="2130"/>
      <c r="F331" s="2130"/>
      <c r="G331" s="2130"/>
      <c r="H331" s="2130"/>
    </row>
    <row r="332" spans="1:8">
      <c r="A332" s="2131" t="s">
        <v>934</v>
      </c>
      <c r="B332" s="2130"/>
      <c r="C332" s="2130"/>
      <c r="D332" s="2130"/>
      <c r="E332" s="2130"/>
      <c r="F332" s="2130"/>
      <c r="G332" s="2130"/>
      <c r="H332" s="2130"/>
    </row>
    <row r="333" spans="1:8">
      <c r="A333" s="2131" t="s">
        <v>935</v>
      </c>
      <c r="B333" s="2130"/>
      <c r="C333" s="2130"/>
      <c r="D333" s="2130"/>
      <c r="E333" s="2130"/>
      <c r="F333" s="2130"/>
      <c r="G333" s="2130"/>
      <c r="H333" s="2130"/>
    </row>
    <row r="334" spans="1:8">
      <c r="A334" s="2131" t="s">
        <v>936</v>
      </c>
      <c r="B334" s="2130"/>
      <c r="C334" s="2130"/>
      <c r="D334" s="2130"/>
      <c r="E334" s="2130"/>
      <c r="F334" s="2130"/>
      <c r="G334" s="2130"/>
      <c r="H334" s="2130"/>
    </row>
    <row r="335" spans="1:8">
      <c r="A335" s="2131" t="s">
        <v>937</v>
      </c>
      <c r="B335" s="2130"/>
      <c r="C335" s="2130"/>
      <c r="D335" s="2130"/>
      <c r="E335" s="2130"/>
      <c r="F335" s="2130"/>
      <c r="G335" s="2130"/>
      <c r="H335" s="2130"/>
    </row>
    <row r="336" spans="1:8">
      <c r="A336" s="2131" t="s">
        <v>938</v>
      </c>
      <c r="B336" s="2130"/>
      <c r="C336" s="2130"/>
      <c r="D336" s="2130"/>
      <c r="E336" s="2130"/>
      <c r="F336" s="2130"/>
      <c r="G336" s="2130"/>
      <c r="H336" s="2130"/>
    </row>
    <row r="337" spans="1:8">
      <c r="A337" s="2131" t="s">
        <v>939</v>
      </c>
      <c r="B337" s="2130"/>
      <c r="C337" s="2130"/>
      <c r="D337" s="2130"/>
      <c r="E337" s="2130"/>
      <c r="F337" s="2130"/>
      <c r="G337" s="2130"/>
      <c r="H337" s="2130"/>
    </row>
    <row r="338" spans="1:8">
      <c r="A338" s="2131" t="s">
        <v>940</v>
      </c>
      <c r="B338" s="2130"/>
      <c r="C338" s="2130"/>
      <c r="D338" s="2130"/>
      <c r="E338" s="2130"/>
      <c r="F338" s="2130"/>
      <c r="G338" s="2130"/>
      <c r="H338" s="2130"/>
    </row>
    <row r="339" spans="1:8">
      <c r="A339" s="2131" t="s">
        <v>941</v>
      </c>
      <c r="B339" s="2130"/>
      <c r="C339" s="2130"/>
      <c r="D339" s="2130"/>
      <c r="E339" s="2130"/>
      <c r="F339" s="2130"/>
      <c r="G339" s="2130"/>
      <c r="H339" s="2130"/>
    </row>
    <row r="340" spans="1:8">
      <c r="A340" s="2131" t="s">
        <v>942</v>
      </c>
      <c r="B340" s="2130"/>
      <c r="C340" s="2130"/>
      <c r="D340" s="2130"/>
      <c r="E340" s="2130"/>
      <c r="F340" s="2130"/>
      <c r="G340" s="2130"/>
      <c r="H340" s="2130"/>
    </row>
    <row r="341" spans="1:8">
      <c r="A341" s="2131" t="s">
        <v>943</v>
      </c>
      <c r="B341" s="2130"/>
      <c r="C341" s="2130"/>
      <c r="D341" s="2130"/>
      <c r="E341" s="2130"/>
      <c r="F341" s="2130"/>
      <c r="G341" s="2130"/>
      <c r="H341" s="2130"/>
    </row>
    <row r="342" spans="1:8">
      <c r="A342" s="2131" t="s">
        <v>944</v>
      </c>
      <c r="B342" s="2130"/>
      <c r="C342" s="2130"/>
      <c r="D342" s="2130"/>
      <c r="E342" s="2130"/>
      <c r="F342" s="2130"/>
      <c r="G342" s="2130"/>
      <c r="H342" s="2130"/>
    </row>
    <row r="343" spans="1:8">
      <c r="A343" s="2131" t="s">
        <v>945</v>
      </c>
      <c r="B343" s="2130"/>
      <c r="C343" s="2130"/>
      <c r="D343" s="2130"/>
      <c r="E343" s="2130"/>
      <c r="F343" s="2130"/>
      <c r="G343" s="2130"/>
      <c r="H343" s="2130"/>
    </row>
    <row r="344" spans="1:8">
      <c r="A344" s="2131" t="s">
        <v>946</v>
      </c>
      <c r="B344" s="2130"/>
      <c r="C344" s="2130"/>
      <c r="D344" s="2130"/>
      <c r="E344" s="2130"/>
      <c r="F344" s="2130"/>
      <c r="G344" s="2130"/>
      <c r="H344" s="2130"/>
    </row>
    <row r="345" spans="1:8">
      <c r="A345" s="2131" t="s">
        <v>947</v>
      </c>
      <c r="B345" s="2130"/>
      <c r="C345" s="2130"/>
      <c r="D345" s="2130"/>
      <c r="E345" s="2130"/>
      <c r="F345" s="2130"/>
      <c r="G345" s="2130"/>
      <c r="H345" s="2130"/>
    </row>
    <row r="346" spans="1:8">
      <c r="A346" s="2131" t="s">
        <v>948</v>
      </c>
      <c r="B346" s="2130"/>
      <c r="C346" s="2130"/>
      <c r="D346" s="2130"/>
      <c r="E346" s="2130"/>
      <c r="F346" s="2130"/>
      <c r="G346" s="2130"/>
      <c r="H346" s="2130"/>
    </row>
    <row r="347" spans="1:8">
      <c r="A347" s="2131" t="s">
        <v>949</v>
      </c>
      <c r="B347" s="2130"/>
      <c r="C347" s="2130"/>
      <c r="D347" s="2130"/>
      <c r="E347" s="2130"/>
      <c r="F347" s="2130"/>
      <c r="G347" s="2130"/>
      <c r="H347" s="2130"/>
    </row>
    <row r="348" spans="1:8">
      <c r="A348" s="2131" t="s">
        <v>950</v>
      </c>
      <c r="B348" s="2130"/>
      <c r="C348" s="2130"/>
      <c r="D348" s="2130"/>
      <c r="E348" s="2130"/>
      <c r="F348" s="2130"/>
      <c r="G348" s="2130"/>
      <c r="H348" s="2130"/>
    </row>
    <row r="349" spans="1:8">
      <c r="A349" s="2131" t="s">
        <v>951</v>
      </c>
      <c r="B349" s="2130"/>
      <c r="C349" s="2130"/>
      <c r="D349" s="2130"/>
      <c r="E349" s="2130"/>
      <c r="F349" s="2130"/>
      <c r="G349" s="2130"/>
      <c r="H349" s="2130"/>
    </row>
    <row r="350" spans="1:8">
      <c r="A350" s="2131" t="s">
        <v>952</v>
      </c>
      <c r="B350" s="2130"/>
      <c r="C350" s="2130"/>
      <c r="D350" s="2130"/>
      <c r="E350" s="2130"/>
      <c r="F350" s="2130"/>
      <c r="G350" s="2130"/>
      <c r="H350" s="2130"/>
    </row>
    <row r="351" spans="1:8">
      <c r="A351" s="2131" t="s">
        <v>953</v>
      </c>
      <c r="B351" s="2130"/>
      <c r="C351" s="2130"/>
      <c r="D351" s="2130"/>
      <c r="E351" s="2130"/>
      <c r="F351" s="2130"/>
      <c r="G351" s="2130"/>
      <c r="H351" s="2130"/>
    </row>
    <row r="352" spans="1:8">
      <c r="A352" s="2131" t="s">
        <v>954</v>
      </c>
      <c r="B352" s="2130"/>
      <c r="C352" s="2130"/>
      <c r="D352" s="2130"/>
      <c r="E352" s="2130"/>
      <c r="F352" s="2130"/>
      <c r="G352" s="2130"/>
      <c r="H352" s="2130"/>
    </row>
    <row r="353" spans="1:8">
      <c r="A353" s="2131" t="s">
        <v>955</v>
      </c>
      <c r="B353" s="2130"/>
      <c r="C353" s="2130"/>
      <c r="D353" s="2130"/>
      <c r="E353" s="2130"/>
      <c r="F353" s="2130"/>
      <c r="G353" s="2130"/>
      <c r="H353" s="2130"/>
    </row>
    <row r="354" spans="1:8">
      <c r="A354" s="2131" t="s">
        <v>956</v>
      </c>
      <c r="B354" s="2130"/>
      <c r="C354" s="2130"/>
      <c r="D354" s="2130"/>
      <c r="E354" s="2130"/>
      <c r="F354" s="2130"/>
      <c r="G354" s="2130"/>
      <c r="H354" s="2130"/>
    </row>
    <row r="355" spans="1:8">
      <c r="A355" s="2131" t="s">
        <v>957</v>
      </c>
      <c r="B355" s="2130"/>
      <c r="C355" s="2130"/>
      <c r="D355" s="2130"/>
      <c r="E355" s="2130"/>
      <c r="F355" s="2130"/>
      <c r="G355" s="2130"/>
      <c r="H355" s="2130"/>
    </row>
    <row r="356" spans="1:8">
      <c r="A356" s="2131" t="s">
        <v>958</v>
      </c>
      <c r="B356" s="2130"/>
      <c r="C356" s="2130"/>
      <c r="D356" s="2130"/>
      <c r="E356" s="2130"/>
      <c r="F356" s="2130"/>
      <c r="G356" s="2130"/>
      <c r="H356" s="2130"/>
    </row>
    <row r="357" spans="1:8">
      <c r="A357" s="2131" t="s">
        <v>959</v>
      </c>
      <c r="B357" s="2130"/>
      <c r="C357" s="2130"/>
      <c r="D357" s="2130"/>
      <c r="E357" s="2130"/>
      <c r="F357" s="2130"/>
      <c r="G357" s="2130"/>
      <c r="H357" s="2130"/>
    </row>
    <row r="358" spans="1:8">
      <c r="A358" s="2131" t="s">
        <v>960</v>
      </c>
      <c r="B358" s="2130"/>
      <c r="C358" s="2130"/>
      <c r="D358" s="2130"/>
      <c r="E358" s="2130"/>
      <c r="F358" s="2130"/>
      <c r="G358" s="2130"/>
      <c r="H358" s="2130"/>
    </row>
    <row r="359" spans="1:8">
      <c r="A359" s="2131" t="s">
        <v>961</v>
      </c>
      <c r="B359" s="2130"/>
      <c r="C359" s="2130"/>
      <c r="D359" s="2130"/>
      <c r="E359" s="2130"/>
      <c r="F359" s="2130"/>
      <c r="G359" s="2130"/>
      <c r="H359" s="2130"/>
    </row>
    <row r="360" spans="1:8">
      <c r="A360" s="2130"/>
      <c r="B360" s="2130"/>
      <c r="C360" s="2130"/>
      <c r="D360" s="2130"/>
      <c r="E360" s="2130"/>
      <c r="F360" s="2130"/>
      <c r="G360" s="2130"/>
      <c r="H360" s="2130"/>
    </row>
    <row r="361" spans="1:8">
      <c r="A361" s="2131" t="s">
        <v>919</v>
      </c>
      <c r="B361" s="2130"/>
      <c r="C361" s="2130"/>
      <c r="D361" s="2130"/>
      <c r="E361" s="2130"/>
      <c r="F361" s="2130"/>
      <c r="G361" s="2130"/>
      <c r="H361" s="2130"/>
    </row>
    <row r="362" spans="1:8">
      <c r="A362" s="2131" t="s">
        <v>923</v>
      </c>
      <c r="B362" s="2130"/>
      <c r="C362" s="2130"/>
      <c r="D362" s="2130"/>
      <c r="E362" s="2130"/>
      <c r="F362" s="2130"/>
      <c r="G362" s="2130"/>
      <c r="H362" s="2130"/>
    </row>
    <row r="363" spans="1:8">
      <c r="A363" s="2131" t="s">
        <v>924</v>
      </c>
      <c r="B363" s="2130"/>
      <c r="C363" s="2130"/>
      <c r="D363" s="2130"/>
      <c r="E363" s="2130"/>
      <c r="F363" s="2130"/>
      <c r="G363" s="2130"/>
      <c r="H363" s="2130"/>
    </row>
    <row r="364" spans="1:8">
      <c r="A364" s="2131" t="s">
        <v>925</v>
      </c>
      <c r="B364" s="2130"/>
      <c r="C364" s="2130"/>
      <c r="D364" s="2130"/>
      <c r="E364" s="2130"/>
      <c r="F364" s="2130"/>
      <c r="G364" s="2130"/>
      <c r="H364" s="2130"/>
    </row>
    <row r="365" spans="1:8">
      <c r="A365" s="2131" t="s">
        <v>926</v>
      </c>
      <c r="B365" s="2130"/>
      <c r="C365" s="2130"/>
      <c r="D365" s="2130"/>
      <c r="E365" s="2130"/>
      <c r="F365" s="2130"/>
      <c r="G365" s="2130"/>
      <c r="H365" s="2130"/>
    </row>
    <row r="366" spans="1:8">
      <c r="A366" s="2130"/>
      <c r="B366" s="2130"/>
      <c r="C366" s="2130"/>
      <c r="D366" s="2130"/>
      <c r="E366" s="2130"/>
      <c r="F366" s="2130"/>
      <c r="G366" s="2130"/>
      <c r="H366" s="2130"/>
    </row>
    <row r="367" spans="1:8">
      <c r="A367" s="2131" t="s">
        <v>919</v>
      </c>
      <c r="B367" s="2130"/>
      <c r="C367" s="2130"/>
      <c r="D367" s="2130"/>
      <c r="E367" s="2130"/>
      <c r="F367" s="2130"/>
      <c r="G367" s="2130"/>
      <c r="H367" s="2130"/>
    </row>
    <row r="368" spans="1:8">
      <c r="A368" s="2131" t="s">
        <v>920</v>
      </c>
      <c r="B368" s="2130"/>
      <c r="C368" s="2130"/>
      <c r="D368" s="2130"/>
      <c r="E368" s="2130"/>
      <c r="F368" s="2130"/>
      <c r="G368" s="2130"/>
      <c r="H368" s="2130"/>
    </row>
    <row r="369" spans="1:8">
      <c r="A369" s="2131" t="s">
        <v>921</v>
      </c>
      <c r="B369" s="2130"/>
      <c r="C369" s="2130"/>
      <c r="D369" s="2130"/>
      <c r="E369" s="2130"/>
      <c r="F369" s="2130"/>
      <c r="G369" s="2130"/>
      <c r="H369" s="2130"/>
    </row>
    <row r="370" spans="1:8">
      <c r="A370" s="2131" t="s">
        <v>922</v>
      </c>
      <c r="B370" s="2130"/>
      <c r="C370" s="2130"/>
      <c r="D370" s="2130"/>
      <c r="E370" s="2130"/>
      <c r="F370" s="2130"/>
      <c r="G370" s="2130"/>
      <c r="H370" s="2130"/>
    </row>
    <row r="371" spans="1:8">
      <c r="A371" s="2130"/>
      <c r="B371" s="2130"/>
      <c r="C371" s="2130"/>
      <c r="D371" s="2130"/>
      <c r="E371" s="2130"/>
      <c r="F371" s="2130"/>
      <c r="G371" s="2130"/>
      <c r="H371" s="2130"/>
    </row>
    <row r="372" spans="1:8">
      <c r="A372" s="2131" t="s">
        <v>913</v>
      </c>
      <c r="B372" s="2130"/>
      <c r="C372" s="2130"/>
      <c r="D372" s="2130"/>
      <c r="E372" s="2130"/>
      <c r="F372" s="2130"/>
      <c r="G372" s="2130"/>
      <c r="H372" s="2130"/>
    </row>
    <row r="373" spans="1:8">
      <c r="A373" s="2131" t="s">
        <v>914</v>
      </c>
      <c r="B373" s="2130"/>
      <c r="C373" s="2130"/>
      <c r="D373" s="2130"/>
      <c r="E373" s="2130"/>
      <c r="F373" s="2130"/>
      <c r="G373" s="2130"/>
      <c r="H373" s="2130"/>
    </row>
    <row r="374" spans="1:8">
      <c r="A374" s="2131" t="s">
        <v>915</v>
      </c>
      <c r="B374" s="2130"/>
      <c r="C374" s="2130"/>
      <c r="D374" s="2130"/>
      <c r="E374" s="2130"/>
      <c r="F374" s="2130"/>
      <c r="G374" s="2130"/>
      <c r="H374" s="2130"/>
    </row>
    <row r="375" spans="1:8">
      <c r="A375" s="2131" t="s">
        <v>916</v>
      </c>
      <c r="B375" s="2130"/>
      <c r="C375" s="2130"/>
      <c r="D375" s="2130"/>
      <c r="E375" s="2130"/>
      <c r="F375" s="2130"/>
      <c r="G375" s="2130"/>
      <c r="H375" s="2130"/>
    </row>
    <row r="376" spans="1:8">
      <c r="A376" s="2131" t="s">
        <v>917</v>
      </c>
      <c r="B376" s="2130"/>
      <c r="C376" s="2130"/>
      <c r="D376" s="2130"/>
      <c r="E376" s="2130"/>
      <c r="F376" s="2130"/>
      <c r="G376" s="2130"/>
      <c r="H376" s="2130"/>
    </row>
    <row r="377" spans="1:8">
      <c r="A377" s="2131" t="s">
        <v>918</v>
      </c>
      <c r="B377" s="2130"/>
      <c r="C377" s="2130"/>
      <c r="D377" s="2130"/>
      <c r="E377" s="2130"/>
      <c r="F377" s="2130"/>
      <c r="G377" s="2130"/>
      <c r="H377" s="2130"/>
    </row>
    <row r="378" spans="1:8">
      <c r="A378" s="2130"/>
      <c r="B378" s="2130"/>
      <c r="C378" s="2130"/>
      <c r="D378" s="2130"/>
      <c r="E378" s="2130"/>
      <c r="F378" s="2130"/>
      <c r="G378" s="2130"/>
      <c r="H378" s="2130"/>
    </row>
    <row r="379" spans="1:8">
      <c r="A379" s="2131" t="s">
        <v>908</v>
      </c>
      <c r="B379" s="2130"/>
      <c r="C379" s="2130"/>
      <c r="D379" s="2130"/>
      <c r="E379" s="2130"/>
      <c r="F379" s="2130"/>
      <c r="G379" s="2130"/>
      <c r="H379" s="2130"/>
    </row>
    <row r="380" spans="1:8">
      <c r="A380" s="2131" t="s">
        <v>909</v>
      </c>
      <c r="B380" s="2130"/>
      <c r="C380" s="2130"/>
      <c r="D380" s="2130"/>
      <c r="E380" s="2130"/>
      <c r="F380" s="2130"/>
      <c r="G380" s="2130"/>
      <c r="H380" s="2130"/>
    </row>
    <row r="381" spans="1:8">
      <c r="A381" s="2131" t="s">
        <v>910</v>
      </c>
      <c r="B381" s="2130"/>
      <c r="C381" s="2130"/>
      <c r="D381" s="2130"/>
      <c r="E381" s="2130"/>
      <c r="F381" s="2130"/>
      <c r="G381" s="2130"/>
      <c r="H381" s="2130"/>
    </row>
    <row r="382" spans="1:8">
      <c r="A382" s="2131" t="s">
        <v>911</v>
      </c>
      <c r="B382" s="2130"/>
      <c r="C382" s="2130"/>
      <c r="D382" s="2130"/>
      <c r="E382" s="2130"/>
      <c r="F382" s="2130"/>
      <c r="G382" s="2130"/>
      <c r="H382" s="2130"/>
    </row>
    <row r="383" spans="1:8">
      <c r="A383" s="2131" t="s">
        <v>912</v>
      </c>
      <c r="B383" s="2130"/>
      <c r="C383" s="2130"/>
      <c r="D383" s="2130"/>
      <c r="E383" s="2130"/>
      <c r="F383" s="2130"/>
      <c r="G383" s="2130"/>
      <c r="H383" s="2130"/>
    </row>
    <row r="384" spans="1:8">
      <c r="A384" s="2130"/>
      <c r="B384" s="2130"/>
      <c r="C384" s="2130"/>
      <c r="D384" s="2130"/>
      <c r="E384" s="2130"/>
      <c r="F384" s="2130"/>
      <c r="G384" s="2130"/>
      <c r="H384" s="2130"/>
    </row>
    <row r="385" spans="1:8">
      <c r="A385" s="2131" t="s">
        <v>906</v>
      </c>
      <c r="B385" s="2130"/>
      <c r="C385" s="2130"/>
      <c r="D385" s="2130"/>
      <c r="E385" s="2130"/>
      <c r="F385" s="2130"/>
      <c r="G385" s="2130"/>
      <c r="H385" s="2130"/>
    </row>
    <row r="386" spans="1:8">
      <c r="A386" s="2131" t="s">
        <v>907</v>
      </c>
      <c r="B386" s="2130"/>
      <c r="C386" s="2130"/>
      <c r="D386" s="2130"/>
      <c r="E386" s="2130"/>
      <c r="F386" s="2130"/>
      <c r="G386" s="2130"/>
      <c r="H386" s="2130"/>
    </row>
    <row r="388" spans="1:8">
      <c r="A388" s="2126" t="s">
        <v>1160</v>
      </c>
    </row>
  </sheetData>
  <mergeCells count="12">
    <mergeCell ref="A126:H126"/>
    <mergeCell ref="A127:H127"/>
    <mergeCell ref="B119:C119"/>
    <mergeCell ref="D119:F119"/>
    <mergeCell ref="G119:H119"/>
    <mergeCell ref="A105:H105"/>
    <mergeCell ref="A106:H106"/>
    <mergeCell ref="A107:H107"/>
    <mergeCell ref="A108:H108"/>
    <mergeCell ref="A110:H110"/>
    <mergeCell ref="A111:H111"/>
    <mergeCell ref="A118:H118"/>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2:AC181"/>
  <sheetViews>
    <sheetView workbookViewId="0">
      <selection activeCell="Q70" sqref="Q70"/>
    </sheetView>
  </sheetViews>
  <sheetFormatPr defaultRowHeight="12.75" outlineLevelRow="2" outlineLevelCol="1"/>
  <cols>
    <col min="1" max="1" width="24.7109375" customWidth="1"/>
    <col min="2" max="2" width="1" customWidth="1"/>
    <col min="3" max="7" width="0" hidden="1" customWidth="1"/>
    <col min="8" max="10" width="0" hidden="1" customWidth="1" outlineLevel="1"/>
    <col min="11" max="11" width="9.140625" collapsed="1"/>
    <col min="14" max="15" width="9.85546875" customWidth="1"/>
    <col min="16" max="16" width="9.42578125" customWidth="1"/>
    <col min="17" max="21" width="9" bestFit="1" customWidth="1"/>
  </cols>
  <sheetData>
    <row r="2" spans="1:21">
      <c r="O2" s="445"/>
    </row>
    <row r="3" spans="1:21">
      <c r="A3" s="382" t="s">
        <v>4</v>
      </c>
      <c r="B3" s="6"/>
      <c r="C3" s="383" t="s">
        <v>264</v>
      </c>
      <c r="D3" s="383" t="s">
        <v>756</v>
      </c>
      <c r="E3" s="383" t="s">
        <v>319</v>
      </c>
      <c r="F3" s="383" t="s">
        <v>757</v>
      </c>
      <c r="G3" s="383" t="s">
        <v>758</v>
      </c>
      <c r="H3" s="383" t="s">
        <v>759</v>
      </c>
      <c r="I3" s="383" t="s">
        <v>575</v>
      </c>
      <c r="J3" s="383" t="s">
        <v>5</v>
      </c>
      <c r="K3" s="383" t="s">
        <v>6</v>
      </c>
      <c r="L3" s="383" t="s">
        <v>749</v>
      </c>
      <c r="M3" s="383" t="s">
        <v>770</v>
      </c>
      <c r="N3" s="383" t="s">
        <v>799</v>
      </c>
      <c r="O3" s="383" t="s">
        <v>127</v>
      </c>
      <c r="P3" s="383" t="s">
        <v>154</v>
      </c>
      <c r="Q3" s="383" t="s">
        <v>765</v>
      </c>
      <c r="R3" s="383" t="s">
        <v>766</v>
      </c>
      <c r="S3" s="383" t="s">
        <v>803</v>
      </c>
      <c r="T3" s="1916" t="s">
        <v>805</v>
      </c>
      <c r="U3" s="1916" t="s">
        <v>856</v>
      </c>
    </row>
    <row r="4" spans="1:21">
      <c r="A4" s="9" t="s">
        <v>449</v>
      </c>
      <c r="B4" s="6"/>
      <c r="C4" s="64" t="s">
        <v>517</v>
      </c>
      <c r="D4" s="64" t="s">
        <v>517</v>
      </c>
      <c r="E4" s="64" t="s">
        <v>517</v>
      </c>
      <c r="F4" s="64" t="s">
        <v>517</v>
      </c>
      <c r="G4" s="64" t="s">
        <v>517</v>
      </c>
      <c r="H4" s="64" t="s">
        <v>517</v>
      </c>
      <c r="I4" s="64" t="s">
        <v>517</v>
      </c>
      <c r="J4" s="64" t="s">
        <v>517</v>
      </c>
      <c r="K4" s="64" t="s">
        <v>517</v>
      </c>
      <c r="L4" s="64" t="s">
        <v>517</v>
      </c>
      <c r="M4" s="64" t="s">
        <v>517</v>
      </c>
      <c r="N4" s="64" t="s">
        <v>517</v>
      </c>
      <c r="O4" s="64" t="s">
        <v>517</v>
      </c>
      <c r="P4" s="64" t="s">
        <v>517</v>
      </c>
      <c r="Q4" s="64" t="s">
        <v>517</v>
      </c>
      <c r="R4" s="64" t="s">
        <v>517</v>
      </c>
      <c r="S4" s="64" t="s">
        <v>517</v>
      </c>
      <c r="T4" s="95" t="s">
        <v>517</v>
      </c>
      <c r="U4" s="95" t="s">
        <v>517</v>
      </c>
    </row>
    <row r="5" spans="1:21">
      <c r="A5" s="5"/>
      <c r="B5" s="5"/>
      <c r="C5" s="6"/>
      <c r="D5" s="6"/>
      <c r="E5" s="6"/>
      <c r="F5" s="6"/>
      <c r="G5" s="6"/>
      <c r="H5" s="6"/>
      <c r="I5" s="6"/>
      <c r="J5" s="6"/>
      <c r="K5" s="6"/>
      <c r="L5" s="6"/>
      <c r="M5" s="6"/>
      <c r="N5" s="5"/>
      <c r="O5" s="5"/>
      <c r="P5" s="5"/>
      <c r="Q5" s="5"/>
      <c r="R5" s="5"/>
      <c r="S5" s="5"/>
      <c r="T5" s="80"/>
      <c r="U5" s="80"/>
    </row>
    <row r="6" spans="1:21">
      <c r="A6" s="384" t="s">
        <v>431</v>
      </c>
      <c r="B6" s="5"/>
      <c r="C6" s="385">
        <f>'yrP&amp;L'!P7</f>
        <v>14913.483</v>
      </c>
      <c r="D6" s="385">
        <f>'yrP&amp;L'!Q7</f>
        <v>16057.935000000001</v>
      </c>
      <c r="E6" s="385">
        <f>'yrP&amp;L'!R7</f>
        <v>17404.637000000002</v>
      </c>
      <c r="F6" s="385">
        <f>'yrP&amp;L'!S7</f>
        <v>18471.973000000002</v>
      </c>
      <c r="G6" s="385">
        <f>'yrP&amp;L'!T7</f>
        <v>18999.504999999997</v>
      </c>
      <c r="H6" s="385">
        <f>'yrP&amp;L'!U7</f>
        <v>20288.444</v>
      </c>
      <c r="I6" s="385">
        <f>'yrP&amp;L'!V7</f>
        <v>21663.250999999997</v>
      </c>
      <c r="J6" s="385">
        <f>'yrP&amp;L'!W7</f>
        <v>23182.226000000002</v>
      </c>
      <c r="K6" s="385">
        <f>'yrP&amp;L'!X7</f>
        <v>25878.372000000003</v>
      </c>
      <c r="L6" s="385">
        <f>'yrP&amp;L'!Y7</f>
        <v>27422.696</v>
      </c>
      <c r="M6" s="385">
        <f>'yrP&amp;L'!Z7</f>
        <v>29078.406999999999</v>
      </c>
      <c r="N6" s="385">
        <f>'yrP&amp;L'!AA7</f>
        <v>30944.937999999998</v>
      </c>
      <c r="O6" s="385">
        <f>'yrP&amp;L'!AB7</f>
        <v>33183.744000000006</v>
      </c>
      <c r="P6" s="385">
        <f>'yrP&amp;L'!AC7</f>
        <v>35864.664000000004</v>
      </c>
      <c r="Q6" s="385">
        <f>'yrP&amp;L'!AD7</f>
        <v>37841.806575399998</v>
      </c>
      <c r="R6" s="385">
        <f>'yrP&amp;L'!AE7</f>
        <v>40349.954267377965</v>
      </c>
      <c r="S6" s="385">
        <f>'yrP&amp;L'!AF7</f>
        <v>42916.398280294125</v>
      </c>
      <c r="T6" s="385">
        <f>'yrP&amp;L'!AG7</f>
        <v>45594.715622506541</v>
      </c>
      <c r="U6" s="385">
        <f>'yrP&amp;L'!AH7</f>
        <v>47688.619280686566</v>
      </c>
    </row>
    <row r="7" spans="1:21" hidden="1" outlineLevel="1">
      <c r="A7" s="384"/>
      <c r="B7" s="5"/>
      <c r="C7" s="386"/>
      <c r="D7" s="386"/>
      <c r="E7" s="386"/>
      <c r="F7" s="386"/>
      <c r="G7" s="386"/>
      <c r="H7" s="386"/>
      <c r="I7" s="386"/>
      <c r="J7" s="386"/>
      <c r="K7" s="386"/>
      <c r="L7" s="386"/>
      <c r="M7" s="386"/>
      <c r="N7" s="5"/>
      <c r="O7" s="5"/>
      <c r="P7" s="5"/>
      <c r="Q7" s="5"/>
      <c r="R7" s="5"/>
      <c r="S7" s="5"/>
      <c r="T7" s="5"/>
      <c r="U7" s="5"/>
    </row>
    <row r="8" spans="1:21" hidden="1" outlineLevel="1">
      <c r="A8" s="384" t="s">
        <v>450</v>
      </c>
      <c r="B8" s="5"/>
      <c r="C8" s="385">
        <f>'yrP&amp;L'!P10</f>
        <v>11401.223666666667</v>
      </c>
      <c r="D8" s="385">
        <f>'yrP&amp;L'!Q10</f>
        <v>12295.016</v>
      </c>
      <c r="E8" s="385">
        <f>'yrP&amp;L'!R10</f>
        <v>13213.703000000001</v>
      </c>
      <c r="F8" s="385">
        <f>'yrP&amp;L'!S10</f>
        <v>13943.291000000001</v>
      </c>
      <c r="G8" s="385">
        <f>'yrP&amp;L'!T10</f>
        <v>14429.185000000001</v>
      </c>
      <c r="H8" s="385">
        <f>'yrP&amp;L'!U10</f>
        <v>14968.429</v>
      </c>
      <c r="I8" s="385">
        <f>'yrP&amp;L'!V10</f>
        <v>15797.661</v>
      </c>
      <c r="J8" s="385">
        <f>'yrP&amp;L'!W10</f>
        <v>16838.249</v>
      </c>
      <c r="K8" s="385">
        <f>'yrP&amp;L'!X10</f>
        <v>18521.400000000001</v>
      </c>
      <c r="L8" s="385">
        <f>'yrP&amp;L'!Y10</f>
        <v>19605.037</v>
      </c>
      <c r="M8" s="385">
        <f>'yrP&amp;L'!Z10</f>
        <v>20776.522000000001</v>
      </c>
      <c r="N8" s="385">
        <f>'yrP&amp;L'!AA10</f>
        <v>22034.523000000001</v>
      </c>
      <c r="O8" s="385">
        <f>'yrP&amp;L'!AB10</f>
        <v>23565.754000000001</v>
      </c>
      <c r="P8" s="385">
        <f>'yrP&amp;L'!AC10</f>
        <v>25502.167000000001</v>
      </c>
      <c r="Q8" s="385">
        <f>'yrP&amp;L'!AD10</f>
        <v>26977.9798618186</v>
      </c>
      <c r="R8" s="385">
        <f>'yrP&amp;L'!AE10</f>
        <v>28708.992461239421</v>
      </c>
      <c r="S8" s="385">
        <f>'yrP&amp;L'!AF10</f>
        <v>30453.476219696713</v>
      </c>
      <c r="T8" s="385">
        <f>'yrP&amp;L'!AG10</f>
        <v>32322.093904794881</v>
      </c>
      <c r="U8" s="385">
        <f>'yrP&amp;L'!AH10</f>
        <v>33763.54245072609</v>
      </c>
    </row>
    <row r="9" spans="1:21" hidden="1" outlineLevel="1">
      <c r="A9" s="384"/>
      <c r="B9" s="5"/>
      <c r="C9" s="386"/>
      <c r="D9" s="386"/>
      <c r="E9" s="386"/>
      <c r="F9" s="386"/>
      <c r="G9" s="386"/>
      <c r="H9" s="386"/>
      <c r="I9" s="386"/>
      <c r="J9" s="386"/>
      <c r="K9" s="386"/>
      <c r="L9" s="386"/>
      <c r="M9" s="386"/>
      <c r="N9" s="5"/>
      <c r="O9" s="5"/>
      <c r="P9" s="5"/>
      <c r="Q9" s="5"/>
      <c r="R9" s="5"/>
      <c r="S9" s="5"/>
      <c r="T9" s="5"/>
      <c r="U9" s="5"/>
    </row>
    <row r="10" spans="1:21" collapsed="1">
      <c r="A10" s="384" t="s">
        <v>451</v>
      </c>
      <c r="B10" s="5"/>
      <c r="C10" s="385">
        <f t="shared" ref="C10:P10" si="0">C6-C8</f>
        <v>3512.2593333333334</v>
      </c>
      <c r="D10" s="385">
        <f t="shared" si="0"/>
        <v>3762.9190000000017</v>
      </c>
      <c r="E10" s="385">
        <f t="shared" si="0"/>
        <v>4190.9340000000011</v>
      </c>
      <c r="F10" s="385">
        <f t="shared" si="0"/>
        <v>4528.6820000000007</v>
      </c>
      <c r="G10" s="385">
        <f t="shared" si="0"/>
        <v>4570.3199999999961</v>
      </c>
      <c r="H10" s="385">
        <f t="shared" si="0"/>
        <v>5320.0149999999994</v>
      </c>
      <c r="I10" s="385">
        <f t="shared" si="0"/>
        <v>5865.5899999999965</v>
      </c>
      <c r="J10" s="385">
        <f t="shared" si="0"/>
        <v>6343.9770000000026</v>
      </c>
      <c r="K10" s="385">
        <f>K6-K8</f>
        <v>7356.9720000000016</v>
      </c>
      <c r="L10" s="385">
        <f t="shared" si="0"/>
        <v>7817.6589999999997</v>
      </c>
      <c r="M10" s="385">
        <f>M6-M8</f>
        <v>8301.8849999999984</v>
      </c>
      <c r="N10" s="385">
        <f t="shared" si="0"/>
        <v>8910.4149999999972</v>
      </c>
      <c r="O10" s="385">
        <f t="shared" si="0"/>
        <v>9617.9900000000052</v>
      </c>
      <c r="P10" s="385">
        <f t="shared" si="0"/>
        <v>10362.497000000003</v>
      </c>
      <c r="Q10" s="385">
        <f>Q6-Q8</f>
        <v>10863.826713581399</v>
      </c>
      <c r="R10" s="385">
        <f>R6-R8</f>
        <v>11640.961806138544</v>
      </c>
      <c r="S10" s="385">
        <f>S6-S8</f>
        <v>12462.922060597411</v>
      </c>
      <c r="T10" s="385">
        <f>T6-T8</f>
        <v>13272.62171771166</v>
      </c>
      <c r="U10" s="385">
        <f>U6-U8</f>
        <v>13925.076829960475</v>
      </c>
    </row>
    <row r="11" spans="1:21">
      <c r="A11" s="384" t="s">
        <v>452</v>
      </c>
      <c r="B11" s="5"/>
      <c r="C11" s="386">
        <f>'yrP&amp;L'!P19</f>
        <v>2497.5513333333329</v>
      </c>
      <c r="D11" s="386">
        <f>'yrP&amp;L'!Q19</f>
        <v>2723.96</v>
      </c>
      <c r="E11" s="386">
        <f>'yrP&amp;L'!R19</f>
        <v>2923.5600000000004</v>
      </c>
      <c r="F11" s="386">
        <f>'yrP&amp;L'!S19</f>
        <v>3073.1710000000003</v>
      </c>
      <c r="G11" s="386">
        <f>'yrP&amp;L'!T19</f>
        <v>3135.5889999999999</v>
      </c>
      <c r="H11" s="386">
        <f>'yrP&amp;L'!U19</f>
        <v>3328.9439999999995</v>
      </c>
      <c r="I11" s="386">
        <f>'yrP&amp;L'!V19</f>
        <v>3533.0529999999999</v>
      </c>
      <c r="J11" s="386">
        <f>'yrP&amp;L'!W19</f>
        <v>3828.1439999999998</v>
      </c>
      <c r="K11" s="386">
        <f>'yrP&amp;L'!X19</f>
        <v>4250.4459999999999</v>
      </c>
      <c r="L11" s="386">
        <f>'yrP&amp;L'!Y19</f>
        <v>4467.0889999999999</v>
      </c>
      <c r="M11" s="386">
        <f>'yrP&amp;L'!Z19</f>
        <v>4695.384</v>
      </c>
      <c r="N11" s="386">
        <f>'yrP&amp;L'!AA19</f>
        <v>5205.7149999999992</v>
      </c>
      <c r="O11" s="386">
        <f>'yrP&amp;L'!AB19</f>
        <v>5768.4669999999996</v>
      </c>
      <c r="P11" s="386">
        <f>'yrP&amp;L'!AC19</f>
        <v>6375.0709999999999</v>
      </c>
      <c r="Q11" s="386">
        <f>'yrP&amp;L'!AD19</f>
        <v>6753.5546750000003</v>
      </c>
      <c r="R11" s="386">
        <f>'yrP&amp;L'!AE19</f>
        <v>7182.2918595932779</v>
      </c>
      <c r="S11" s="386">
        <f>'yrP&amp;L'!AF19</f>
        <v>7634.8272540643247</v>
      </c>
      <c r="T11" s="386">
        <f>'yrP&amp;L'!AG19</f>
        <v>8102.180966119412</v>
      </c>
      <c r="U11" s="386">
        <f>'yrP&amp;L'!AH19</f>
        <v>8479.0365081060718</v>
      </c>
    </row>
    <row r="12" spans="1:21">
      <c r="A12" s="384" t="s">
        <v>7</v>
      </c>
      <c r="B12" s="5"/>
      <c r="C12" s="386">
        <f>sumry!DH16</f>
        <v>279.05900000000003</v>
      </c>
      <c r="D12" s="386">
        <f>sumry!DI16</f>
        <v>314.28500000000003</v>
      </c>
      <c r="E12" s="386">
        <f>sumry!DJ16</f>
        <v>353.11</v>
      </c>
      <c r="F12" s="386">
        <f>sumry!DK16</f>
        <v>369.39600000000002</v>
      </c>
      <c r="G12" s="386">
        <f>sumry!DL16</f>
        <v>401.70699999999999</v>
      </c>
      <c r="H12" s="386">
        <f>sumry!DM16</f>
        <v>435.21800000000002</v>
      </c>
      <c r="I12" s="386">
        <f>sumry!DN16</f>
        <v>458.05200000000002</v>
      </c>
      <c r="J12" s="386">
        <f>sumry!DO16</f>
        <v>485.70100000000002</v>
      </c>
      <c r="K12" s="386">
        <f>sumry!DP16</f>
        <v>508.92899999999997</v>
      </c>
      <c r="L12" s="386">
        <f>sumry!DQ16</f>
        <v>548.79999999999995</v>
      </c>
      <c r="M12" s="386">
        <f>sumry!DR16</f>
        <v>589</v>
      </c>
      <c r="N12" s="386">
        <f>sumry!DS16</f>
        <v>616.69600000000003</v>
      </c>
      <c r="O12" s="386">
        <f>sumry!DT16</f>
        <v>658.79600000000005</v>
      </c>
      <c r="P12" s="386">
        <f>sumry!DU16</f>
        <v>726</v>
      </c>
      <c r="Q12" s="386">
        <f>sumry!DV16</f>
        <v>720</v>
      </c>
      <c r="R12" s="386">
        <f>sumry!DW16</f>
        <v>763.2</v>
      </c>
      <c r="S12" s="386">
        <f>sumry!DX16</f>
        <v>808.99200000000008</v>
      </c>
      <c r="T12" s="386">
        <f>sumry!DY16</f>
        <v>857.53152000000011</v>
      </c>
      <c r="U12" s="386">
        <f>sumry!DZ16</f>
        <v>0</v>
      </c>
    </row>
    <row r="13" spans="1:21">
      <c r="A13" s="387" t="s">
        <v>469</v>
      </c>
      <c r="B13" s="5"/>
      <c r="C13" s="385">
        <f>C10-C11</f>
        <v>1014.7080000000005</v>
      </c>
      <c r="D13" s="385">
        <f t="shared" ref="D13:O13" si="1">D10-D11</f>
        <v>1038.9590000000017</v>
      </c>
      <c r="E13" s="385">
        <f t="shared" si="1"/>
        <v>1267.3740000000007</v>
      </c>
      <c r="F13" s="385">
        <f t="shared" si="1"/>
        <v>1455.5110000000004</v>
      </c>
      <c r="G13" s="385">
        <f t="shared" si="1"/>
        <v>1434.7309999999961</v>
      </c>
      <c r="H13" s="385">
        <f t="shared" si="1"/>
        <v>1991.0709999999999</v>
      </c>
      <c r="I13" s="385">
        <f t="shared" si="1"/>
        <v>2332.5369999999966</v>
      </c>
      <c r="J13" s="385">
        <f t="shared" si="1"/>
        <v>2515.8330000000028</v>
      </c>
      <c r="K13" s="385">
        <f t="shared" si="1"/>
        <v>3106.5260000000017</v>
      </c>
      <c r="L13" s="385">
        <f t="shared" si="1"/>
        <v>3350.5699999999997</v>
      </c>
      <c r="M13" s="385">
        <f>M10-M11</f>
        <v>3606.5009999999984</v>
      </c>
      <c r="N13" s="385">
        <f t="shared" si="1"/>
        <v>3704.699999999998</v>
      </c>
      <c r="O13" s="385">
        <f t="shared" si="1"/>
        <v>3849.5230000000056</v>
      </c>
      <c r="P13" s="385">
        <f t="shared" ref="P13:U13" si="2">P10-P11</f>
        <v>3987.4260000000031</v>
      </c>
      <c r="Q13" s="385">
        <f t="shared" si="2"/>
        <v>4110.2720385813982</v>
      </c>
      <c r="R13" s="385">
        <f t="shared" si="2"/>
        <v>4458.6699465452666</v>
      </c>
      <c r="S13" s="385">
        <f t="shared" si="2"/>
        <v>4828.0948065330867</v>
      </c>
      <c r="T13" s="385">
        <f t="shared" si="2"/>
        <v>5170.4407515922476</v>
      </c>
      <c r="U13" s="385">
        <f t="shared" si="2"/>
        <v>5446.0403218544034</v>
      </c>
    </row>
    <row r="14" spans="1:21" hidden="1" outlineLevel="1">
      <c r="A14" s="384"/>
      <c r="B14" s="5"/>
      <c r="C14" s="386"/>
      <c r="D14" s="386"/>
      <c r="E14" s="386"/>
      <c r="F14" s="386"/>
      <c r="G14" s="386"/>
      <c r="H14" s="386"/>
      <c r="I14" s="386"/>
      <c r="J14" s="386"/>
      <c r="K14" s="386"/>
      <c r="L14" s="386"/>
      <c r="M14" s="386"/>
      <c r="N14" s="5"/>
      <c r="O14" s="5"/>
      <c r="P14" s="5"/>
      <c r="Q14" s="5"/>
      <c r="R14" s="5"/>
      <c r="S14" s="5"/>
      <c r="T14" s="5"/>
      <c r="U14" s="5"/>
    </row>
    <row r="15" spans="1:21" hidden="1" outlineLevel="1">
      <c r="A15" s="384" t="s">
        <v>8</v>
      </c>
      <c r="B15" s="5"/>
      <c r="C15" s="386">
        <f>'yrP&amp;L'!P34</f>
        <v>25.757000000000001</v>
      </c>
      <c r="D15" s="386">
        <f>'yrP&amp;L'!Q34</f>
        <v>29.631999999999998</v>
      </c>
      <c r="E15" s="386">
        <f>'yrP&amp;L'!R34</f>
        <v>15.565999999999999</v>
      </c>
      <c r="F15" s="386">
        <f>'yrP&amp;L'!S34</f>
        <v>-1.5980000000000001</v>
      </c>
      <c r="G15" s="386">
        <f>'yrP&amp;L'!T34</f>
        <v>14.291</v>
      </c>
      <c r="H15" s="386">
        <f>'yrP&amp;L'!U34</f>
        <v>39.509</v>
      </c>
      <c r="I15" s="386">
        <f>'yrP&amp;L'!V34</f>
        <v>39.137</v>
      </c>
      <c r="J15" s="386">
        <f>'yrP&amp;L'!W34</f>
        <v>35.647999999999996</v>
      </c>
      <c r="K15" s="386">
        <f>'yrP&amp;L'!X34</f>
        <v>29.174999999999997</v>
      </c>
      <c r="L15" s="386">
        <f>'yrP&amp;L'!Y34</f>
        <v>31.081000000000003</v>
      </c>
      <c r="M15" s="386">
        <f>'yrP&amp;L'!Z34</f>
        <v>39.786999999999999</v>
      </c>
      <c r="N15" s="386">
        <f>'yrP&amp;L'!AA34</f>
        <v>46.400000000000006</v>
      </c>
      <c r="O15" s="386">
        <f>'yrP&amp;L'!AB34</f>
        <v>43.534000000000006</v>
      </c>
      <c r="P15" s="386">
        <f>'yrP&amp;L'!AC34+'yrP&amp;L'!AC31</f>
        <v>130.83799999999999</v>
      </c>
      <c r="Q15" s="386">
        <f>'yrP&amp;L'!AD34</f>
        <v>26</v>
      </c>
      <c r="R15" s="386">
        <f>'yrP&amp;L'!AE34</f>
        <v>26</v>
      </c>
      <c r="S15" s="386">
        <f>'yrP&amp;L'!AF34</f>
        <v>26</v>
      </c>
      <c r="T15" s="386">
        <f>'yrP&amp;L'!AG34</f>
        <v>26</v>
      </c>
      <c r="U15" s="386">
        <f>'yrP&amp;L'!AH34</f>
        <v>26</v>
      </c>
    </row>
    <row r="16" spans="1:21" hidden="1" outlineLevel="1">
      <c r="A16" s="387" t="s">
        <v>437</v>
      </c>
      <c r="B16" s="5"/>
      <c r="C16" s="385">
        <f t="shared" ref="C16:L16" si="3">C13-C15</f>
        <v>988.95100000000059</v>
      </c>
      <c r="D16" s="385">
        <f t="shared" si="3"/>
        <v>1009.3270000000017</v>
      </c>
      <c r="E16" s="385">
        <f t="shared" si="3"/>
        <v>1251.8080000000007</v>
      </c>
      <c r="F16" s="385">
        <f t="shared" si="3"/>
        <v>1457.1090000000004</v>
      </c>
      <c r="G16" s="385">
        <f t="shared" si="3"/>
        <v>1420.4399999999962</v>
      </c>
      <c r="H16" s="385">
        <f t="shared" si="3"/>
        <v>1951.5619999999999</v>
      </c>
      <c r="I16" s="385">
        <f t="shared" si="3"/>
        <v>2293.3999999999965</v>
      </c>
      <c r="J16" s="385">
        <f t="shared" si="3"/>
        <v>2480.1850000000027</v>
      </c>
      <c r="K16" s="385">
        <f t="shared" si="3"/>
        <v>3077.3510000000015</v>
      </c>
      <c r="L16" s="385">
        <f t="shared" si="3"/>
        <v>3319.4889999999996</v>
      </c>
      <c r="M16" s="385">
        <f t="shared" ref="M16:R16" si="4">M13-M15</f>
        <v>3566.7139999999986</v>
      </c>
      <c r="N16" s="385">
        <f t="shared" si="4"/>
        <v>3658.2999999999979</v>
      </c>
      <c r="O16" s="385">
        <f t="shared" si="4"/>
        <v>3805.9890000000055</v>
      </c>
      <c r="P16" s="385">
        <f t="shared" si="4"/>
        <v>3856.5880000000029</v>
      </c>
      <c r="Q16" s="385">
        <f t="shared" si="4"/>
        <v>4084.2720385813982</v>
      </c>
      <c r="R16" s="385">
        <f t="shared" si="4"/>
        <v>4432.6699465452666</v>
      </c>
      <c r="S16" s="385">
        <f>S13-S15</f>
        <v>4802.0948065330867</v>
      </c>
      <c r="T16" s="385">
        <f>T13-T15</f>
        <v>5144.4407515922476</v>
      </c>
      <c r="U16" s="385">
        <f>U13-U15</f>
        <v>5420.0403218544034</v>
      </c>
    </row>
    <row r="17" spans="1:27" hidden="1" outlineLevel="1">
      <c r="A17" s="384"/>
      <c r="B17" s="5"/>
      <c r="C17" s="386"/>
      <c r="D17" s="386"/>
      <c r="E17" s="386"/>
      <c r="F17" s="386"/>
      <c r="G17" s="386"/>
      <c r="H17" s="386"/>
      <c r="I17" s="386"/>
      <c r="J17" s="386"/>
      <c r="K17" s="386"/>
      <c r="L17" s="386"/>
      <c r="M17" s="386"/>
      <c r="N17" s="5"/>
      <c r="O17" s="5"/>
      <c r="P17" s="5"/>
      <c r="Q17" s="5"/>
      <c r="R17" s="5"/>
      <c r="S17" s="5"/>
      <c r="T17" s="5"/>
      <c r="U17" s="5"/>
    </row>
    <row r="18" spans="1:27" collapsed="1">
      <c r="A18" s="384" t="s">
        <v>456</v>
      </c>
      <c r="B18" s="5"/>
      <c r="C18" s="386">
        <f>'yrP&amp;L'!P40</f>
        <v>379.25200000000007</v>
      </c>
      <c r="D18" s="386">
        <f>'yrP&amp;L'!Q40</f>
        <v>318.904</v>
      </c>
      <c r="E18" s="386">
        <f>'yrP&amp;L'!R40</f>
        <v>470.09199999999998</v>
      </c>
      <c r="F18" s="386">
        <f>'yrP&amp;L'!S40</f>
        <v>477.65494999999999</v>
      </c>
      <c r="G18" s="386">
        <f>'yrP&amp;L'!T40</f>
        <v>524.15899999999999</v>
      </c>
      <c r="H18" s="386">
        <f>'yrP&amp;L'!U40</f>
        <v>737.99</v>
      </c>
      <c r="I18" s="386">
        <f>'yrP&amp;L'!V40</f>
        <v>873.04605000000004</v>
      </c>
      <c r="J18" s="386">
        <f>'yrP&amp;L'!W40</f>
        <v>941.52587699999992</v>
      </c>
      <c r="K18" s="386">
        <f>'yrP&amp;L'!X40</f>
        <v>1170.664</v>
      </c>
      <c r="L18" s="386">
        <f>'yrP&amp;L'!Y40</f>
        <v>1182.0948800000001</v>
      </c>
      <c r="M18" s="386">
        <f>'yrP&amp;L'!Z40</f>
        <v>1341.1009100000001</v>
      </c>
      <c r="N18" s="386">
        <f>'yrP&amp;L'!AA40</f>
        <v>1380.6420000000001</v>
      </c>
      <c r="O18" s="386">
        <f>'yrP&amp;L'!AB40</f>
        <v>1455.49902</v>
      </c>
      <c r="P18" s="386">
        <f>'yrP&amp;L'!AC40</f>
        <v>1248.6400000000001</v>
      </c>
      <c r="Q18" s="386">
        <f>'yrP&amp;L'!AD40</f>
        <v>1059.2943968215002</v>
      </c>
      <c r="R18" s="386">
        <f>'yrP&amp;L'!AE40</f>
        <v>1149.6546735817728</v>
      </c>
      <c r="S18" s="386">
        <f>'yrP&amp;L'!AF40</f>
        <v>1245.4684882677277</v>
      </c>
      <c r="T18" s="386">
        <f>'yrP&amp;L'!AG40</f>
        <v>1334.2591314839638</v>
      </c>
      <c r="U18" s="386">
        <f>'yrP&amp;L'!AH40</f>
        <v>1405.7384741397277</v>
      </c>
      <c r="W18" s="452" t="s">
        <v>438</v>
      </c>
      <c r="X18" s="452" t="s">
        <v>139</v>
      </c>
      <c r="Y18" s="452" t="s">
        <v>804</v>
      </c>
    </row>
    <row r="19" spans="1:27" hidden="1" outlineLevel="1">
      <c r="A19" s="384" t="s">
        <v>13</v>
      </c>
      <c r="B19" s="5"/>
      <c r="C19" s="386">
        <f>'yrP&amp;L'!P42</f>
        <v>0</v>
      </c>
      <c r="D19" s="386">
        <f>'yrP&amp;L'!Q42</f>
        <v>0</v>
      </c>
      <c r="E19" s="386">
        <f>'yrP&amp;L'!R42</f>
        <v>0</v>
      </c>
      <c r="F19" s="386">
        <f>'yrP&amp;L'!S42</f>
        <v>76.975704000000007</v>
      </c>
      <c r="G19" s="386">
        <f>'yrP&amp;L'!T42</f>
        <v>0</v>
      </c>
      <c r="H19" s="386">
        <f>'yrP&amp;L'!U42</f>
        <v>0</v>
      </c>
      <c r="I19" s="386">
        <f>'yrP&amp;L'!V42</f>
        <v>0</v>
      </c>
      <c r="J19" s="386">
        <f>'yrP&amp;L'!W42</f>
        <v>0</v>
      </c>
      <c r="K19" s="386">
        <f>'yrP&amp;L'!X42</f>
        <v>0</v>
      </c>
      <c r="L19" s="386">
        <f>'yrP&amp;L'!Y42</f>
        <v>0</v>
      </c>
      <c r="M19" s="386">
        <f>'yrP&amp;L'!Z42</f>
        <v>0</v>
      </c>
      <c r="N19" s="386">
        <f>'yrP&amp;L'!AA42</f>
        <v>0</v>
      </c>
      <c r="O19" s="386">
        <f>'yrP&amp;L'!AB42</f>
        <v>0</v>
      </c>
      <c r="P19" s="386">
        <f>'yrP&amp;L'!AC42</f>
        <v>0</v>
      </c>
      <c r="Q19" s="386">
        <f>'yrP&amp;L'!AD42</f>
        <v>0</v>
      </c>
      <c r="R19" s="386">
        <f>'yrP&amp;L'!AE42</f>
        <v>0</v>
      </c>
      <c r="S19" s="386">
        <f>'yrP&amp;L'!AF42</f>
        <v>0</v>
      </c>
      <c r="T19" s="386">
        <f>'yrP&amp;L'!AG42</f>
        <v>0</v>
      </c>
      <c r="U19" s="386">
        <f>'yrP&amp;L'!AH42</f>
        <v>0</v>
      </c>
    </row>
    <row r="20" spans="1:27" hidden="1" outlineLevel="1">
      <c r="A20" s="384"/>
      <c r="B20" s="5"/>
      <c r="C20" s="386"/>
      <c r="D20" s="386"/>
      <c r="E20" s="386"/>
      <c r="F20" s="386"/>
      <c r="G20" s="386"/>
      <c r="H20" s="386"/>
      <c r="I20" s="386"/>
      <c r="J20" s="386"/>
      <c r="K20" s="386"/>
      <c r="L20" s="386"/>
      <c r="M20" s="386"/>
      <c r="N20" s="5"/>
      <c r="O20" s="5"/>
      <c r="P20" s="5"/>
      <c r="Q20" s="5"/>
      <c r="R20" s="5"/>
      <c r="S20" s="5"/>
      <c r="T20" s="5"/>
      <c r="U20" s="5"/>
    </row>
    <row r="21" spans="1:27" hidden="1" outlineLevel="1">
      <c r="A21" s="384" t="s">
        <v>9</v>
      </c>
      <c r="B21" s="5"/>
      <c r="C21" s="385">
        <f>C16-C18-C19</f>
        <v>609.69900000000052</v>
      </c>
      <c r="D21" s="385">
        <f t="shared" ref="D21:P21" si="5">D16-D18-D19</f>
        <v>690.42300000000171</v>
      </c>
      <c r="E21" s="385">
        <f t="shared" si="5"/>
        <v>781.71600000000069</v>
      </c>
      <c r="F21" s="385">
        <f t="shared" si="5"/>
        <v>902.47834600000033</v>
      </c>
      <c r="G21" s="385">
        <f t="shared" si="5"/>
        <v>896.2809999999962</v>
      </c>
      <c r="H21" s="385">
        <f t="shared" si="5"/>
        <v>1213.5719999999999</v>
      </c>
      <c r="I21" s="385">
        <f t="shared" si="5"/>
        <v>1420.3539499999965</v>
      </c>
      <c r="J21" s="385">
        <f t="shared" si="5"/>
        <v>1538.6591230000026</v>
      </c>
      <c r="K21" s="385">
        <f t="shared" si="5"/>
        <v>1906.6870000000015</v>
      </c>
      <c r="L21" s="385">
        <f t="shared" si="5"/>
        <v>2137.3941199999995</v>
      </c>
      <c r="M21" s="385">
        <f>M16-M18-M19</f>
        <v>2225.6130899999985</v>
      </c>
      <c r="N21" s="385">
        <f t="shared" si="5"/>
        <v>2277.6579999999976</v>
      </c>
      <c r="O21" s="385">
        <f t="shared" si="5"/>
        <v>2350.4899800000057</v>
      </c>
      <c r="P21" s="385">
        <f t="shared" si="5"/>
        <v>2607.948000000003</v>
      </c>
      <c r="Q21" s="385">
        <f>Q16-Q18-Q19</f>
        <v>3024.9776417598978</v>
      </c>
      <c r="R21" s="385">
        <f>R16-R18-R19</f>
        <v>3283.0152729634938</v>
      </c>
      <c r="S21" s="385">
        <f>S16-S18-S19</f>
        <v>3556.6263182653593</v>
      </c>
      <c r="T21" s="385">
        <f>T16-T18-T19</f>
        <v>3810.1816201082838</v>
      </c>
      <c r="U21" s="385">
        <f>U16-U18-U19</f>
        <v>4014.3018477146757</v>
      </c>
    </row>
    <row r="22" spans="1:27" hidden="1" outlineLevel="1">
      <c r="A22" s="384"/>
      <c r="B22" s="5"/>
      <c r="C22" s="386"/>
      <c r="D22" s="386"/>
      <c r="E22" s="386"/>
      <c r="F22" s="386"/>
      <c r="G22" s="386"/>
      <c r="H22" s="386"/>
      <c r="I22" s="386"/>
      <c r="J22" s="386"/>
      <c r="K22" s="386"/>
      <c r="L22" s="386"/>
      <c r="M22" s="386"/>
      <c r="N22" s="5"/>
      <c r="O22" s="5"/>
      <c r="P22" s="5"/>
      <c r="Q22" s="5"/>
      <c r="R22" s="5"/>
      <c r="S22" s="5"/>
      <c r="T22" s="5"/>
      <c r="U22" s="5"/>
    </row>
    <row r="23" spans="1:27" collapsed="1">
      <c r="A23" s="129" t="s">
        <v>10</v>
      </c>
      <c r="B23" s="129"/>
      <c r="C23" s="388">
        <f t="shared" ref="C23:P23" si="6">C21/C24</f>
        <v>0.59814190899156605</v>
      </c>
      <c r="D23" s="388">
        <f t="shared" si="6"/>
        <v>0.70236384416814601</v>
      </c>
      <c r="E23" s="388">
        <f t="shared" si="6"/>
        <v>0.81421116770302848</v>
      </c>
      <c r="F23" s="388">
        <f t="shared" si="6"/>
        <v>0.96409150596308946</v>
      </c>
      <c r="G23" s="388">
        <f t="shared" si="6"/>
        <v>1.0133079332059516</v>
      </c>
      <c r="H23" s="388">
        <f t="shared" si="6"/>
        <v>1.4189874631389154</v>
      </c>
      <c r="I23" s="388">
        <f t="shared" si="6"/>
        <v>1.7474268170555525</v>
      </c>
      <c r="J23" s="388">
        <f t="shared" si="6"/>
        <v>1.9885174482922652</v>
      </c>
      <c r="K23" s="388">
        <f>K21/K24</f>
        <v>2.5505641725358021</v>
      </c>
      <c r="L23" s="388">
        <f t="shared" si="6"/>
        <v>2.942545073075101</v>
      </c>
      <c r="M23" s="388">
        <f>M21/M24</f>
        <v>3.1624659586825721</v>
      </c>
      <c r="N23" s="388">
        <f>N21/N24</f>
        <v>3.3347261834345479</v>
      </c>
      <c r="O23" s="388">
        <f t="shared" si="6"/>
        <v>3.5375929816745817</v>
      </c>
      <c r="P23" s="388">
        <f t="shared" si="6"/>
        <v>4.0364151337630929</v>
      </c>
      <c r="Q23" s="388">
        <f>Q21/Q24</f>
        <v>4.8327090228982597</v>
      </c>
      <c r="R23" s="388">
        <f>R21/R24</f>
        <v>5.4956286975760573</v>
      </c>
      <c r="S23" s="388">
        <f>S21/S24</f>
        <v>6.1497787484019293</v>
      </c>
      <c r="T23" s="388">
        <f>T21/T24</f>
        <v>6.7998397847726739</v>
      </c>
      <c r="U23" s="388">
        <f>U21/U24</f>
        <v>7.3965508862423546</v>
      </c>
      <c r="V23" s="452" t="s">
        <v>133</v>
      </c>
      <c r="W23" s="445">
        <f>R62</f>
        <v>6.0541857456808783</v>
      </c>
      <c r="X23">
        <v>20</v>
      </c>
      <c r="Y23" s="445">
        <f>X23*W23</f>
        <v>121.08371491361757</v>
      </c>
    </row>
    <row r="24" spans="1:27">
      <c r="A24" s="384" t="s">
        <v>11</v>
      </c>
      <c r="B24" s="5"/>
      <c r="C24" s="386">
        <f>'yrP&amp;L'!P55</f>
        <v>1019.321654</v>
      </c>
      <c r="D24" s="386">
        <f>'yrP&amp;L'!Q55</f>
        <v>982.99906199999998</v>
      </c>
      <c r="E24" s="386">
        <f>'yrP&amp;L'!R55</f>
        <v>960.09</v>
      </c>
      <c r="F24" s="386">
        <f>'yrP&amp;L'!S55</f>
        <v>936.09199999999998</v>
      </c>
      <c r="G24" s="386">
        <f>'yrP&amp;L'!T55</f>
        <v>884.51</v>
      </c>
      <c r="H24" s="386">
        <f>'yrP&amp;L'!U55</f>
        <v>855.23800000000006</v>
      </c>
      <c r="I24" s="386">
        <f>'yrP&amp;L'!V55</f>
        <v>812.82600000000002</v>
      </c>
      <c r="J24" s="386">
        <f>'yrP&amp;L'!W55</f>
        <v>773.77200000000005</v>
      </c>
      <c r="K24" s="386">
        <f>'yrP&amp;L'!X55</f>
        <v>747.55499999999995</v>
      </c>
      <c r="L24" s="386">
        <f>'yrP&amp;L'!Y55</f>
        <v>726.37599999999998</v>
      </c>
      <c r="M24" s="386">
        <f>'yrP&amp;L'!Z55</f>
        <v>703.75874999999996</v>
      </c>
      <c r="N24" s="386">
        <f>'yrP&amp;L'!AA55</f>
        <v>683.01200000000006</v>
      </c>
      <c r="O24" s="386">
        <f>'yrP&amp;L'!AB55</f>
        <v>664.43200000000002</v>
      </c>
      <c r="P24" s="386">
        <f>'yrP&amp;L'!AC55</f>
        <v>646.10500000000002</v>
      </c>
      <c r="Q24" s="386">
        <f>'yrP&amp;L'!AD55</f>
        <v>625.93829411764705</v>
      </c>
      <c r="R24" s="386">
        <f>'yrP&amp;L'!AE55</f>
        <v>597.38666013071895</v>
      </c>
      <c r="S24" s="386">
        <f>'yrP&amp;L'!AF55</f>
        <v>578.33402855177155</v>
      </c>
      <c r="T24" s="386">
        <f>'yrP&amp;L'!AG55</f>
        <v>560.33402855177155</v>
      </c>
      <c r="U24" s="386">
        <f>'yrP&amp;L'!AH55</f>
        <v>542.72618541451664</v>
      </c>
      <c r="V24" s="452" t="s">
        <v>20</v>
      </c>
      <c r="W24" s="445">
        <f>R23</f>
        <v>5.4956286975760573</v>
      </c>
      <c r="X24">
        <v>18</v>
      </c>
      <c r="Y24" s="445">
        <f>X24*W24</f>
        <v>98.921316556369035</v>
      </c>
      <c r="AA24" s="120"/>
    </row>
    <row r="25" spans="1:27" outlineLevel="1">
      <c r="A25" s="384"/>
      <c r="B25" s="5"/>
      <c r="C25" s="386"/>
      <c r="D25" s="386"/>
      <c r="E25" s="386"/>
      <c r="F25" s="386"/>
      <c r="G25" s="386"/>
      <c r="H25" s="386"/>
      <c r="I25" s="386"/>
      <c r="J25" s="386"/>
      <c r="K25" s="386"/>
      <c r="L25" s="386"/>
      <c r="M25" s="386"/>
      <c r="N25" s="5"/>
      <c r="O25" s="5"/>
      <c r="P25" s="5"/>
      <c r="Q25" s="5"/>
      <c r="R25" s="5"/>
      <c r="S25" s="5"/>
      <c r="T25" s="5"/>
      <c r="U25" s="5"/>
      <c r="V25" s="452" t="s">
        <v>134</v>
      </c>
      <c r="W25" s="445">
        <f>R103</f>
        <v>4.6534154129646055</v>
      </c>
      <c r="X25">
        <v>16</v>
      </c>
      <c r="Y25" s="445">
        <f>X25*W25</f>
        <v>74.454646607433688</v>
      </c>
    </row>
    <row r="26" spans="1:27" outlineLevel="1">
      <c r="A26" s="384" t="s">
        <v>436</v>
      </c>
      <c r="B26" s="5"/>
      <c r="C26" s="385">
        <f>C13+C12</f>
        <v>1293.7670000000005</v>
      </c>
      <c r="D26" s="385">
        <f>D13+D12</f>
        <v>1353.2440000000017</v>
      </c>
      <c r="E26" s="385">
        <f>E13+E12</f>
        <v>1620.4840000000008</v>
      </c>
      <c r="F26" s="385">
        <f t="shared" ref="F26:P26" si="7">F13+F12</f>
        <v>1824.9070000000004</v>
      </c>
      <c r="G26" s="385">
        <f t="shared" si="7"/>
        <v>1836.437999999996</v>
      </c>
      <c r="H26" s="385">
        <f t="shared" si="7"/>
        <v>2426.2889999999998</v>
      </c>
      <c r="I26" s="385">
        <f t="shared" si="7"/>
        <v>2790.5889999999968</v>
      </c>
      <c r="J26" s="385">
        <f t="shared" si="7"/>
        <v>3001.5340000000028</v>
      </c>
      <c r="K26" s="385">
        <f t="shared" si="7"/>
        <v>3615.4550000000017</v>
      </c>
      <c r="L26" s="385">
        <f t="shared" si="7"/>
        <v>3899.37</v>
      </c>
      <c r="M26" s="385">
        <f>M13+M12</f>
        <v>4195.5009999999984</v>
      </c>
      <c r="N26" s="385">
        <f t="shared" si="7"/>
        <v>4321.3959999999979</v>
      </c>
      <c r="O26" s="385">
        <f t="shared" si="7"/>
        <v>4508.3190000000059</v>
      </c>
      <c r="P26" s="385">
        <f t="shared" si="7"/>
        <v>4713.4260000000031</v>
      </c>
      <c r="Q26" s="385">
        <f>Q13+Q12</f>
        <v>4830.2720385813982</v>
      </c>
      <c r="R26" s="385">
        <f>R13+R12</f>
        <v>5221.8699465452664</v>
      </c>
      <c r="S26" s="385">
        <f>S13+S12</f>
        <v>5637.0868065330869</v>
      </c>
      <c r="T26" s="385">
        <f>T13+T12</f>
        <v>6027.972271592248</v>
      </c>
      <c r="U26" s="385">
        <f>U13+U12</f>
        <v>5446.0403218544034</v>
      </c>
    </row>
    <row r="27" spans="1:27">
      <c r="A27" s="384"/>
      <c r="B27" s="5"/>
      <c r="C27" s="386"/>
      <c r="D27" s="386"/>
      <c r="E27" s="386"/>
      <c r="F27" s="386"/>
      <c r="G27" s="386"/>
      <c r="H27" s="386"/>
      <c r="I27" s="386"/>
      <c r="J27" s="386"/>
      <c r="L27" s="386"/>
      <c r="M27" s="386"/>
      <c r="N27" s="386"/>
      <c r="O27" s="386"/>
      <c r="P27" s="386"/>
      <c r="Q27" s="386"/>
      <c r="R27" s="386"/>
      <c r="S27" s="386"/>
      <c r="T27" s="386"/>
      <c r="U27" s="386"/>
    </row>
    <row r="28" spans="1:27">
      <c r="A28" s="389" t="s">
        <v>461</v>
      </c>
      <c r="B28" s="5"/>
      <c r="C28" s="386"/>
      <c r="D28" s="386"/>
      <c r="E28" s="386"/>
      <c r="F28" s="386"/>
      <c r="G28" s="386"/>
      <c r="H28" s="386"/>
      <c r="I28" s="386"/>
      <c r="J28" s="386"/>
      <c r="K28" s="386"/>
      <c r="L28" s="386"/>
      <c r="M28" s="386"/>
      <c r="N28" s="5"/>
      <c r="O28" s="5"/>
      <c r="P28" s="5"/>
      <c r="Q28" s="5"/>
      <c r="R28" s="5"/>
      <c r="S28" s="5"/>
      <c r="T28" s="5"/>
      <c r="U28" s="5"/>
    </row>
    <row r="29" spans="1:27">
      <c r="A29" s="384" t="s">
        <v>439</v>
      </c>
      <c r="B29" s="5"/>
      <c r="C29" s="390">
        <f>C10/C6</f>
        <v>0.23550899098039896</v>
      </c>
      <c r="D29" s="390">
        <f t="shared" ref="D29:L29" si="8">D10/D6</f>
        <v>0.23433392898900146</v>
      </c>
      <c r="E29" s="390">
        <f t="shared" si="8"/>
        <v>0.24079410561679629</v>
      </c>
      <c r="F29" s="390">
        <f t="shared" si="8"/>
        <v>0.24516504003118672</v>
      </c>
      <c r="G29" s="390">
        <f t="shared" si="8"/>
        <v>0.24054942484027855</v>
      </c>
      <c r="H29" s="390">
        <f t="shared" si="8"/>
        <v>0.26221897549166412</v>
      </c>
      <c r="I29" s="390">
        <f t="shared" si="8"/>
        <v>0.27076222308461445</v>
      </c>
      <c r="J29" s="390">
        <f t="shared" si="8"/>
        <v>0.27365693872538394</v>
      </c>
      <c r="K29" s="390">
        <f>K10/K6</f>
        <v>0.28429037189820133</v>
      </c>
      <c r="L29" s="390">
        <f t="shared" si="8"/>
        <v>0.28507988419519364</v>
      </c>
      <c r="M29" s="390">
        <f t="shared" ref="M29:R29" si="9">M10/M6</f>
        <v>0.28549999317362873</v>
      </c>
      <c r="N29" s="390">
        <f t="shared" si="9"/>
        <v>0.28794418654191511</v>
      </c>
      <c r="O29" s="390">
        <f t="shared" si="9"/>
        <v>0.28984041101570707</v>
      </c>
      <c r="P29" s="390">
        <f t="shared" si="9"/>
        <v>0.28893333560855339</v>
      </c>
      <c r="Q29" s="390">
        <f t="shared" si="9"/>
        <v>0.28708530846525965</v>
      </c>
      <c r="R29" s="390">
        <f t="shared" si="9"/>
        <v>0.28850000000000003</v>
      </c>
      <c r="S29" s="390">
        <f>S10/S6</f>
        <v>0.29039999999999994</v>
      </c>
      <c r="T29" s="390">
        <f>T10/T6</f>
        <v>0.29110000000000014</v>
      </c>
      <c r="U29" s="390">
        <f>U10/U6</f>
        <v>0.29199999999999998</v>
      </c>
    </row>
    <row r="30" spans="1:27">
      <c r="A30" s="384" t="s">
        <v>463</v>
      </c>
      <c r="B30" s="5"/>
      <c r="C30" s="390">
        <f>C11/C6</f>
        <v>0.16746935195040172</v>
      </c>
      <c r="D30" s="390">
        <f t="shared" ref="D30:L30" si="10">D11/D6</f>
        <v>0.16963326853670785</v>
      </c>
      <c r="E30" s="390">
        <f t="shared" si="10"/>
        <v>0.16797592503652906</v>
      </c>
      <c r="F30" s="390">
        <f t="shared" si="10"/>
        <v>0.16636939649056437</v>
      </c>
      <c r="G30" s="390">
        <f t="shared" si="10"/>
        <v>0.16503529960385813</v>
      </c>
      <c r="H30" s="390">
        <f t="shared" si="10"/>
        <v>0.16408079397316028</v>
      </c>
      <c r="I30" s="390">
        <f t="shared" si="10"/>
        <v>0.1630896950785457</v>
      </c>
      <c r="J30" s="390">
        <f t="shared" si="10"/>
        <v>0.16513271848872491</v>
      </c>
      <c r="K30" s="390">
        <f>K11/K6</f>
        <v>0.16424703996062812</v>
      </c>
      <c r="L30" s="390">
        <f t="shared" si="10"/>
        <v>0.16289751379660117</v>
      </c>
      <c r="M30" s="390">
        <f t="shared" ref="M30:R30" si="11">M11/M6</f>
        <v>0.1614732196299474</v>
      </c>
      <c r="N30" s="390">
        <f t="shared" si="11"/>
        <v>0.16822509064325802</v>
      </c>
      <c r="O30" s="390">
        <f t="shared" si="11"/>
        <v>0.173834121912223</v>
      </c>
      <c r="P30" s="390">
        <f t="shared" si="11"/>
        <v>0.17775354036496757</v>
      </c>
      <c r="Q30" s="390">
        <f t="shared" si="11"/>
        <v>0.17846808295326777</v>
      </c>
      <c r="R30" s="390">
        <f t="shared" si="11"/>
        <v>0.17799999999999999</v>
      </c>
      <c r="S30" s="390">
        <f>S11/S6</f>
        <v>0.1779</v>
      </c>
      <c r="T30" s="390">
        <f>T11/T6</f>
        <v>0.1777</v>
      </c>
      <c r="U30" s="390">
        <f>U11/U6</f>
        <v>0.17780000000000001</v>
      </c>
    </row>
    <row r="31" spans="1:27">
      <c r="A31" s="384" t="s">
        <v>441</v>
      </c>
      <c r="B31" s="5"/>
      <c r="C31" s="390">
        <f>C13/C6</f>
        <v>6.8039639029997254E-2</v>
      </c>
      <c r="D31" s="390">
        <f t="shared" ref="D31:P31" si="12">D13/D6</f>
        <v>6.4700660452293626E-2</v>
      </c>
      <c r="E31" s="390">
        <f t="shared" si="12"/>
        <v>7.2818180580267233E-2</v>
      </c>
      <c r="F31" s="390">
        <f t="shared" si="12"/>
        <v>7.8795643540622337E-2</v>
      </c>
      <c r="G31" s="390">
        <f t="shared" si="12"/>
        <v>7.551412523642044E-2</v>
      </c>
      <c r="H31" s="390">
        <f t="shared" si="12"/>
        <v>9.8138181518503828E-2</v>
      </c>
      <c r="I31" s="390">
        <f t="shared" si="12"/>
        <v>0.10767252800606876</v>
      </c>
      <c r="J31" s="390">
        <f t="shared" si="12"/>
        <v>0.108524220236659</v>
      </c>
      <c r="K31" s="390">
        <f t="shared" si="12"/>
        <v>0.12004333193757324</v>
      </c>
      <c r="L31" s="390">
        <f t="shared" si="12"/>
        <v>0.12218237039859245</v>
      </c>
      <c r="M31" s="390">
        <f>M13/M6</f>
        <v>0.12402677354368134</v>
      </c>
      <c r="N31" s="390">
        <f t="shared" si="12"/>
        <v>0.1197190958986571</v>
      </c>
      <c r="O31" s="390">
        <f t="shared" si="12"/>
        <v>0.11600628910348407</v>
      </c>
      <c r="P31" s="390">
        <f t="shared" si="12"/>
        <v>0.11117979524358579</v>
      </c>
      <c r="Q31" s="390">
        <f>Q13/Q6</f>
        <v>0.10861722551199186</v>
      </c>
      <c r="R31" s="390">
        <f>R13/R6</f>
        <v>0.11050000000000004</v>
      </c>
      <c r="S31" s="390">
        <f>S13/S6</f>
        <v>0.11249999999999995</v>
      </c>
      <c r="T31" s="390">
        <f>T13/T6</f>
        <v>0.11340000000000013</v>
      </c>
      <c r="U31" s="390">
        <f>U13/U6</f>
        <v>0.11419999999999995</v>
      </c>
    </row>
    <row r="32" spans="1:27">
      <c r="A32" s="384" t="s">
        <v>465</v>
      </c>
      <c r="B32" s="5"/>
      <c r="C32" s="390">
        <f>C18/C16</f>
        <v>0.38348917185987963</v>
      </c>
      <c r="D32" s="390">
        <f t="shared" ref="D32:L32" si="13">D18/D16</f>
        <v>0.31595706842281984</v>
      </c>
      <c r="E32" s="390">
        <f t="shared" si="13"/>
        <v>0.37553043278202386</v>
      </c>
      <c r="F32" s="390">
        <f t="shared" si="13"/>
        <v>0.327810033429208</v>
      </c>
      <c r="G32" s="390">
        <f t="shared" si="13"/>
        <v>0.3690117146799593</v>
      </c>
      <c r="H32" s="390">
        <f t="shared" si="13"/>
        <v>0.37815349960698152</v>
      </c>
      <c r="I32" s="390">
        <f t="shared" si="13"/>
        <v>0.38067761838318714</v>
      </c>
      <c r="J32" s="390">
        <f t="shared" si="13"/>
        <v>0.37961921267969884</v>
      </c>
      <c r="K32" s="390">
        <f>K18/K16</f>
        <v>0.3804128940767561</v>
      </c>
      <c r="L32" s="390">
        <f t="shared" si="13"/>
        <v>0.3561074852183575</v>
      </c>
      <c r="M32" s="390">
        <f t="shared" ref="M32:R32" si="14">M18/M16</f>
        <v>0.37600461096684529</v>
      </c>
      <c r="N32" s="390">
        <f t="shared" si="14"/>
        <v>0.377399885192576</v>
      </c>
      <c r="O32" s="390">
        <f t="shared" si="14"/>
        <v>0.38242333858558125</v>
      </c>
      <c r="P32" s="390">
        <f t="shared" si="14"/>
        <v>0.32376805611592402</v>
      </c>
      <c r="Q32" s="390">
        <f t="shared" si="14"/>
        <v>0.25935941259912448</v>
      </c>
      <c r="R32" s="390">
        <f t="shared" si="14"/>
        <v>0.25935941259912448</v>
      </c>
      <c r="S32" s="390">
        <f>S18/S16</f>
        <v>0.25935941259912448</v>
      </c>
      <c r="T32" s="390">
        <f>T18/T16</f>
        <v>0.25935941259912448</v>
      </c>
      <c r="U32" s="390">
        <f>U18/U16</f>
        <v>0.25935941259912448</v>
      </c>
    </row>
    <row r="33" spans="1:21">
      <c r="A33" s="384"/>
      <c r="B33" s="5"/>
      <c r="C33" s="386"/>
      <c r="D33" s="386"/>
      <c r="E33" s="386"/>
      <c r="F33" s="386"/>
      <c r="G33" s="386"/>
      <c r="H33" s="386"/>
      <c r="I33" s="386"/>
      <c r="J33" s="386"/>
      <c r="K33" s="386"/>
      <c r="L33" s="386"/>
      <c r="M33" s="386"/>
      <c r="N33" s="5"/>
      <c r="O33" s="5"/>
      <c r="P33" s="5"/>
      <c r="Q33" s="5"/>
      <c r="R33" s="5"/>
      <c r="S33" s="5"/>
      <c r="T33" s="5"/>
      <c r="U33" s="5"/>
    </row>
    <row r="34" spans="1:21">
      <c r="A34" s="389" t="s">
        <v>466</v>
      </c>
      <c r="B34" s="5"/>
      <c r="C34" s="386"/>
      <c r="D34" s="386"/>
      <c r="E34" s="386"/>
      <c r="F34" s="386"/>
      <c r="G34" s="386"/>
      <c r="H34" s="386"/>
      <c r="I34" s="386"/>
      <c r="J34" s="386"/>
      <c r="K34" s="386"/>
      <c r="L34" s="386"/>
      <c r="M34" s="386"/>
      <c r="N34" s="5"/>
      <c r="O34" s="4"/>
      <c r="P34" s="4"/>
      <c r="Q34" s="4"/>
      <c r="R34" s="4"/>
      <c r="S34" s="4"/>
      <c r="T34" s="4"/>
      <c r="U34" s="4"/>
    </row>
    <row r="35" spans="1:21">
      <c r="A35" s="384" t="s">
        <v>556</v>
      </c>
      <c r="B35" s="5"/>
      <c r="C35" s="391" t="s">
        <v>120</v>
      </c>
      <c r="D35" s="390">
        <f>((D6/C6)-1)</f>
        <v>7.6739417612907701E-2</v>
      </c>
      <c r="E35" s="390">
        <f t="shared" ref="E35:M35" si="15">((E6/D6)-1)</f>
        <v>8.3865204336672328E-2</v>
      </c>
      <c r="F35" s="390">
        <f t="shared" si="15"/>
        <v>6.1324806716738678E-2</v>
      </c>
      <c r="G35" s="390">
        <f t="shared" si="15"/>
        <v>2.8558508611938427E-2</v>
      </c>
      <c r="H35" s="390">
        <f t="shared" si="15"/>
        <v>6.7840662164619703E-2</v>
      </c>
      <c r="I35" s="390">
        <f t="shared" si="15"/>
        <v>6.7763057630245038E-2</v>
      </c>
      <c r="J35" s="390">
        <f t="shared" si="15"/>
        <v>7.0117592230270809E-2</v>
      </c>
      <c r="K35" s="390">
        <f t="shared" si="15"/>
        <v>0.11630229124675084</v>
      </c>
      <c r="L35" s="390">
        <f t="shared" si="15"/>
        <v>5.9676242384953504E-2</v>
      </c>
      <c r="M35" s="390">
        <f t="shared" si="15"/>
        <v>6.0377396883223966E-2</v>
      </c>
      <c r="N35" s="390">
        <f t="shared" ref="N35:S35" si="16">((N6/M6)-1)</f>
        <v>6.4189589202737318E-2</v>
      </c>
      <c r="O35" s="390">
        <f t="shared" si="16"/>
        <v>7.2348052531241436E-2</v>
      </c>
      <c r="P35" s="390">
        <f t="shared" si="16"/>
        <v>8.0790160386965404E-2</v>
      </c>
      <c r="Q35" s="390">
        <f t="shared" si="16"/>
        <v>5.5127871138008988E-2</v>
      </c>
      <c r="R35" s="390">
        <f t="shared" si="16"/>
        <v>6.6279808470043999E-2</v>
      </c>
      <c r="S35" s="390">
        <f t="shared" si="16"/>
        <v>6.360463250861903E-2</v>
      </c>
      <c r="T35" s="390">
        <f>((T6/S6)-1)</f>
        <v>6.2407784658905507E-2</v>
      </c>
      <c r="U35" s="390">
        <f>((U6/T6)-1)</f>
        <v>4.592426182709719E-2</v>
      </c>
    </row>
    <row r="36" spans="1:21">
      <c r="A36" s="384" t="s">
        <v>12</v>
      </c>
      <c r="B36" s="5"/>
      <c r="C36" s="390">
        <f>yrSales!P41</f>
        <v>0.05</v>
      </c>
      <c r="D36" s="390">
        <f>yrSales!Q41</f>
        <v>0.02</v>
      </c>
      <c r="E36" s="390">
        <f>yrSales!R41</f>
        <v>0.03</v>
      </c>
      <c r="F36" s="390">
        <f>yrSales!S41</f>
        <v>0.02</v>
      </c>
      <c r="G36" s="390">
        <f>yrSales!T41</f>
        <v>0.01</v>
      </c>
      <c r="H36" s="390">
        <f>yrSales!U41</f>
        <v>0.06</v>
      </c>
      <c r="I36" s="390">
        <f>yrSales!V41</f>
        <v>0.04</v>
      </c>
      <c r="J36" s="390">
        <f>yrSales!W41</f>
        <v>0.04</v>
      </c>
      <c r="K36" s="390">
        <f>yrSales!X41</f>
        <v>7.0000000000000007E-2</v>
      </c>
      <c r="L36" s="390">
        <f>yrSales!Y41</f>
        <v>0.03</v>
      </c>
      <c r="M36" s="390">
        <f>yrSales!Z41</f>
        <v>0.02</v>
      </c>
      <c r="N36" s="390">
        <f>yrSales!AA41</f>
        <v>0.05</v>
      </c>
      <c r="O36" s="390">
        <f>yrSales!AB41</f>
        <v>0.05</v>
      </c>
      <c r="P36" s="390">
        <f>yrSales!AC41</f>
        <v>0.02</v>
      </c>
      <c r="Q36" s="390">
        <f>yrSales!AD41</f>
        <v>2.2735531853315217E-2</v>
      </c>
      <c r="R36" s="390">
        <f>yrSales!AE41</f>
        <v>3.0016526963287389E-2</v>
      </c>
      <c r="S36" s="390">
        <f>yrSales!AF41</f>
        <v>3.0273474077404442E-2</v>
      </c>
      <c r="T36" s="390">
        <f>yrSales!AG41</f>
        <v>3.0403082409305095E-2</v>
      </c>
      <c r="U36" s="390">
        <f>yrSales!AH41</f>
        <v>3.0530362789752755E-2</v>
      </c>
    </row>
    <row r="37" spans="1:21">
      <c r="A37" s="384" t="s">
        <v>452</v>
      </c>
      <c r="B37" s="5"/>
      <c r="C37" s="392" t="s">
        <v>120</v>
      </c>
      <c r="D37" s="390">
        <f>((D11/C11)-1)</f>
        <v>9.0652257531176783E-2</v>
      </c>
      <c r="E37" s="390">
        <f t="shared" ref="E37:S37" si="17">((E11/D11)-1)</f>
        <v>7.3275672183145346E-2</v>
      </c>
      <c r="F37" s="390">
        <f t="shared" si="17"/>
        <v>5.1174253307611162E-2</v>
      </c>
      <c r="G37" s="390">
        <f t="shared" si="17"/>
        <v>2.0310617274469811E-2</v>
      </c>
      <c r="H37" s="390">
        <f t="shared" si="17"/>
        <v>6.1664650564853929E-2</v>
      </c>
      <c r="I37" s="390">
        <f t="shared" si="17"/>
        <v>6.1313437534545656E-2</v>
      </c>
      <c r="J37" s="390">
        <f t="shared" si="17"/>
        <v>8.352294743384836E-2</v>
      </c>
      <c r="K37" s="390">
        <f t="shared" si="17"/>
        <v>0.11031507696680176</v>
      </c>
      <c r="L37" s="390">
        <f t="shared" si="17"/>
        <v>5.0969474732769138E-2</v>
      </c>
      <c r="M37" s="390">
        <f t="shared" si="17"/>
        <v>5.1105988709873484E-2</v>
      </c>
      <c r="N37" s="390">
        <f t="shared" si="17"/>
        <v>0.1086878091333956</v>
      </c>
      <c r="O37" s="390">
        <f t="shared" si="17"/>
        <v>0.10810272940412613</v>
      </c>
      <c r="P37" s="390">
        <f t="shared" si="17"/>
        <v>0.10515861493183554</v>
      </c>
      <c r="Q37" s="390">
        <f t="shared" si="17"/>
        <v>5.936932702396569E-2</v>
      </c>
      <c r="R37" s="390">
        <f t="shared" si="17"/>
        <v>6.3483188517057032E-2</v>
      </c>
      <c r="S37" s="390">
        <f t="shared" si="17"/>
        <v>6.3007101816198396E-2</v>
      </c>
      <c r="T37" s="390">
        <f>((T11/S11)-1)</f>
        <v>6.1213397042650275E-2</v>
      </c>
      <c r="U37" s="390">
        <f>((U11/T11)-1)</f>
        <v>4.6512851732458449E-2</v>
      </c>
    </row>
    <row r="38" spans="1:21">
      <c r="A38" s="384" t="s">
        <v>469</v>
      </c>
      <c r="B38" s="5"/>
      <c r="C38" s="392" t="s">
        <v>120</v>
      </c>
      <c r="D38" s="390">
        <f>((D13/C13)-1)</f>
        <v>2.3899486354696187E-2</v>
      </c>
      <c r="E38" s="390">
        <f t="shared" ref="E38:S38" si="18">((E13/D13)-1)</f>
        <v>0.21984986895536651</v>
      </c>
      <c r="F38" s="390">
        <f t="shared" si="18"/>
        <v>0.14844631497884575</v>
      </c>
      <c r="G38" s="390">
        <f t="shared" si="18"/>
        <v>-1.4276772899692425E-2</v>
      </c>
      <c r="H38" s="390">
        <f t="shared" si="18"/>
        <v>0.38776606904012345</v>
      </c>
      <c r="I38" s="390">
        <f t="shared" si="18"/>
        <v>0.17149865574858802</v>
      </c>
      <c r="J38" s="390">
        <f t="shared" si="18"/>
        <v>7.858224756992338E-2</v>
      </c>
      <c r="K38" s="390">
        <f t="shared" si="18"/>
        <v>0.2347902265372932</v>
      </c>
      <c r="L38" s="390">
        <f t="shared" si="18"/>
        <v>7.85584926699463E-2</v>
      </c>
      <c r="M38" s="390">
        <f t="shared" si="18"/>
        <v>7.6384316698352439E-2</v>
      </c>
      <c r="N38" s="390">
        <f t="shared" si="18"/>
        <v>2.7228330173761028E-2</v>
      </c>
      <c r="O38" s="390">
        <f t="shared" si="18"/>
        <v>3.9091694334226101E-2</v>
      </c>
      <c r="P38" s="390">
        <f t="shared" si="18"/>
        <v>3.5823399418576596E-2</v>
      </c>
      <c r="Q38" s="390">
        <f t="shared" si="18"/>
        <v>3.0808355711527957E-2</v>
      </c>
      <c r="R38" s="390">
        <f t="shared" si="18"/>
        <v>8.4762737038717617E-2</v>
      </c>
      <c r="S38" s="390">
        <f t="shared" si="18"/>
        <v>8.2855395087959582E-2</v>
      </c>
      <c r="T38" s="390">
        <f>((T13/S13)-1)</f>
        <v>7.0907046936178331E-2</v>
      </c>
      <c r="U38" s="390">
        <f>((U13/T13)-1)</f>
        <v>5.3302916231519504E-2</v>
      </c>
    </row>
    <row r="39" spans="1:21">
      <c r="A39" s="384" t="s">
        <v>470</v>
      </c>
      <c r="B39" s="5"/>
      <c r="C39" s="392" t="s">
        <v>120</v>
      </c>
      <c r="D39" s="390">
        <f>((D23/C23)-1)</f>
        <v>0.17424282366753463</v>
      </c>
      <c r="E39" s="390">
        <f t="shared" ref="E39:M39" si="19">((E23/D23)-1)</f>
        <v>0.15924413601806386</v>
      </c>
      <c r="F39" s="390">
        <f t="shared" si="19"/>
        <v>0.18408042557668236</v>
      </c>
      <c r="G39" s="390">
        <f t="shared" si="19"/>
        <v>5.1049539321163184E-2</v>
      </c>
      <c r="H39" s="390">
        <f t="shared" si="19"/>
        <v>0.40035167656238091</v>
      </c>
      <c r="I39" s="390">
        <f t="shared" si="19"/>
        <v>0.23146036342710352</v>
      </c>
      <c r="J39" s="390">
        <f t="shared" si="19"/>
        <v>0.1379689431818123</v>
      </c>
      <c r="K39" s="390">
        <f t="shared" si="19"/>
        <v>0.28264611141643314</v>
      </c>
      <c r="L39" s="390">
        <f t="shared" si="19"/>
        <v>0.15368399852868109</v>
      </c>
      <c r="M39" s="390">
        <f t="shared" si="19"/>
        <v>7.4738323507698379E-2</v>
      </c>
      <c r="N39" s="390">
        <f t="shared" ref="N39:S39" si="20">((N23/M23)-1)</f>
        <v>5.4470222605569552E-2</v>
      </c>
      <c r="O39" s="390">
        <f t="shared" si="20"/>
        <v>6.0834619420265135E-2</v>
      </c>
      <c r="P39" s="390">
        <f t="shared" si="20"/>
        <v>0.14100608935864201</v>
      </c>
      <c r="Q39" s="390">
        <f t="shared" si="20"/>
        <v>0.19727750064022609</v>
      </c>
      <c r="R39" s="390">
        <f t="shared" si="20"/>
        <v>0.13717351314485571</v>
      </c>
      <c r="S39" s="390">
        <f t="shared" si="20"/>
        <v>0.11903097658588102</v>
      </c>
      <c r="T39" s="390">
        <f>((T23/S23)-1)</f>
        <v>0.10570478434523656</v>
      </c>
      <c r="U39" s="390">
        <f>((U23/T23)-1)</f>
        <v>8.7753700139514335E-2</v>
      </c>
    </row>
    <row r="40" spans="1:21">
      <c r="A40" s="384" t="s">
        <v>436</v>
      </c>
      <c r="B40" s="5"/>
      <c r="C40" s="392" t="s">
        <v>120</v>
      </c>
      <c r="D40" s="390">
        <f>((D26/C26)-1)</f>
        <v>4.5971956310526751E-2</v>
      </c>
      <c r="E40" s="390">
        <f t="shared" ref="E40:M40" si="21">((E26/D26)-1)</f>
        <v>0.19748101598824652</v>
      </c>
      <c r="F40" s="390">
        <f t="shared" si="21"/>
        <v>0.12614934797258059</v>
      </c>
      <c r="G40" s="390">
        <f t="shared" si="21"/>
        <v>6.3186781572954764E-3</v>
      </c>
      <c r="H40" s="390">
        <f t="shared" si="21"/>
        <v>0.32119298337325031</v>
      </c>
      <c r="I40" s="390">
        <f t="shared" si="21"/>
        <v>0.15014699403080045</v>
      </c>
      <c r="J40" s="390">
        <f t="shared" si="21"/>
        <v>7.5591568661671937E-2</v>
      </c>
      <c r="K40" s="390">
        <f t="shared" si="21"/>
        <v>0.20453574738783509</v>
      </c>
      <c r="L40" s="390">
        <f t="shared" si="21"/>
        <v>7.852815205831587E-2</v>
      </c>
      <c r="M40" s="390">
        <f t="shared" si="21"/>
        <v>7.5943293403805789E-2</v>
      </c>
      <c r="N40" s="390">
        <f t="shared" ref="N40:U40" si="22">((N26/M26)-1)</f>
        <v>3.000714336619148E-2</v>
      </c>
      <c r="O40" s="390">
        <f t="shared" si="22"/>
        <v>4.3255235113839996E-2</v>
      </c>
      <c r="P40" s="390">
        <f t="shared" si="22"/>
        <v>4.5495227822165418E-2</v>
      </c>
      <c r="Q40" s="390">
        <f t="shared" si="22"/>
        <v>2.4790044138041978E-2</v>
      </c>
      <c r="R40" s="390">
        <f t="shared" si="22"/>
        <v>8.1071605250390144E-2</v>
      </c>
      <c r="S40" s="390">
        <f t="shared" si="22"/>
        <v>7.9514975332260818E-2</v>
      </c>
      <c r="T40" s="390">
        <f t="shared" si="22"/>
        <v>6.9341750176020955E-2</v>
      </c>
      <c r="U40" s="390">
        <f t="shared" si="22"/>
        <v>-9.6538591008503594E-2</v>
      </c>
    </row>
    <row r="41" spans="1:21">
      <c r="A41" s="156"/>
      <c r="B41" s="156"/>
      <c r="C41" s="156"/>
      <c r="D41" s="156"/>
      <c r="E41" s="156"/>
      <c r="F41" s="156"/>
      <c r="G41" s="156"/>
      <c r="H41" s="156"/>
      <c r="I41" s="156"/>
      <c r="J41" s="156"/>
      <c r="K41" s="156"/>
      <c r="L41" s="156"/>
      <c r="M41" s="446"/>
      <c r="N41" s="156"/>
      <c r="O41" s="156"/>
      <c r="P41" s="156"/>
      <c r="Q41" s="156"/>
      <c r="R41" s="156"/>
      <c r="S41" s="156"/>
      <c r="T41" s="156"/>
      <c r="U41" s="156"/>
    </row>
    <row r="42" spans="1:21" outlineLevel="1">
      <c r="A42" s="382" t="s">
        <v>14</v>
      </c>
      <c r="B42" s="5"/>
      <c r="C42" s="39" t="s">
        <v>264</v>
      </c>
      <c r="D42" s="39" t="s">
        <v>756</v>
      </c>
      <c r="E42" s="39" t="s">
        <v>319</v>
      </c>
      <c r="F42" s="39" t="s">
        <v>757</v>
      </c>
      <c r="G42" s="39" t="s">
        <v>758</v>
      </c>
      <c r="H42" s="39" t="s">
        <v>759</v>
      </c>
      <c r="I42" s="39" t="s">
        <v>575</v>
      </c>
      <c r="J42" s="39" t="s">
        <v>5</v>
      </c>
      <c r="K42" s="39" t="s">
        <v>6</v>
      </c>
      <c r="L42" s="39" t="s">
        <v>749</v>
      </c>
      <c r="M42" s="39" t="s">
        <v>770</v>
      </c>
      <c r="N42" s="39" t="s">
        <v>73</v>
      </c>
      <c r="O42" s="463" t="str">
        <f>O3</f>
        <v>2016E</v>
      </c>
      <c r="P42" s="39" t="s">
        <v>154</v>
      </c>
      <c r="Q42" s="39" t="s">
        <v>765</v>
      </c>
      <c r="R42" s="39" t="s">
        <v>766</v>
      </c>
      <c r="S42" s="461" t="s">
        <v>803</v>
      </c>
      <c r="T42" s="463" t="str">
        <f>T3</f>
        <v>2021E</v>
      </c>
      <c r="U42" s="463" t="str">
        <f>U3</f>
        <v>2022E</v>
      </c>
    </row>
    <row r="43" spans="1:21" outlineLevel="1">
      <c r="A43" s="9" t="s">
        <v>449</v>
      </c>
      <c r="B43" s="5"/>
      <c r="C43" s="64" t="s">
        <v>517</v>
      </c>
      <c r="D43" s="64" t="s">
        <v>517</v>
      </c>
      <c r="E43" s="64" t="s">
        <v>517</v>
      </c>
      <c r="F43" s="64" t="s">
        <v>517</v>
      </c>
      <c r="G43" s="64" t="s">
        <v>517</v>
      </c>
      <c r="H43" s="64" t="s">
        <v>517</v>
      </c>
      <c r="I43" s="64" t="s">
        <v>517</v>
      </c>
      <c r="J43" s="64" t="s">
        <v>517</v>
      </c>
      <c r="K43" s="64" t="s">
        <v>517</v>
      </c>
      <c r="L43" s="64" t="s">
        <v>517</v>
      </c>
      <c r="M43" s="64" t="s">
        <v>517</v>
      </c>
      <c r="N43" s="64" t="s">
        <v>517</v>
      </c>
      <c r="O43" s="64" t="s">
        <v>512</v>
      </c>
      <c r="P43" s="64" t="s">
        <v>517</v>
      </c>
      <c r="Q43" s="64" t="s">
        <v>517</v>
      </c>
      <c r="R43" s="64" t="s">
        <v>517</v>
      </c>
      <c r="S43" s="64" t="s">
        <v>517</v>
      </c>
      <c r="T43" s="64" t="s">
        <v>517</v>
      </c>
      <c r="U43" s="64" t="s">
        <v>517</v>
      </c>
    </row>
    <row r="44" spans="1:21" outlineLevel="1">
      <c r="A44" s="6"/>
      <c r="B44" s="5"/>
      <c r="C44" s="5"/>
      <c r="D44" s="5"/>
      <c r="E44" s="5"/>
      <c r="F44" s="5"/>
      <c r="G44" s="5"/>
      <c r="H44" s="5"/>
      <c r="I44" s="5"/>
      <c r="J44" s="5"/>
      <c r="K44" s="5"/>
      <c r="L44" s="5"/>
      <c r="M44" s="5"/>
      <c r="N44" s="5"/>
      <c r="O44" s="5"/>
      <c r="P44" s="5"/>
      <c r="Q44" s="5"/>
      <c r="R44" s="5"/>
      <c r="S44" s="5"/>
      <c r="T44" s="5"/>
      <c r="U44" s="5"/>
    </row>
    <row r="45" spans="1:21" outlineLevel="1">
      <c r="A45" s="6" t="s">
        <v>431</v>
      </c>
      <c r="B45" s="5"/>
      <c r="C45" s="393">
        <f>C6</f>
        <v>14913.483</v>
      </c>
      <c r="D45" s="393">
        <f t="shared" ref="D45:J45" si="23">D6</f>
        <v>16057.935000000001</v>
      </c>
      <c r="E45" s="393">
        <f t="shared" si="23"/>
        <v>17404.637000000002</v>
      </c>
      <c r="F45" s="393">
        <f t="shared" si="23"/>
        <v>18471.973000000002</v>
      </c>
      <c r="G45" s="393">
        <f t="shared" si="23"/>
        <v>18999.504999999997</v>
      </c>
      <c r="H45" s="393">
        <f t="shared" si="23"/>
        <v>20288.444</v>
      </c>
      <c r="I45" s="393">
        <f t="shared" si="23"/>
        <v>21663.250999999997</v>
      </c>
      <c r="J45" s="393">
        <f t="shared" si="23"/>
        <v>23182.226000000002</v>
      </c>
      <c r="K45" s="393">
        <f t="shared" ref="K45:P45" si="24">K6</f>
        <v>25878.372000000003</v>
      </c>
      <c r="L45" s="393">
        <f t="shared" si="24"/>
        <v>27422.696</v>
      </c>
      <c r="M45" s="393">
        <f t="shared" si="24"/>
        <v>29078.406999999999</v>
      </c>
      <c r="N45" s="393">
        <f t="shared" si="24"/>
        <v>30944.937999999998</v>
      </c>
      <c r="O45" s="393">
        <f t="shared" si="24"/>
        <v>33183.744000000006</v>
      </c>
      <c r="P45" s="393">
        <f t="shared" si="24"/>
        <v>35864.664000000004</v>
      </c>
      <c r="Q45" s="393">
        <f>(P45*(1+Q74))</f>
        <v>38640.314244619549</v>
      </c>
      <c r="R45" s="393">
        <f>(Q45*(1+R74))</f>
        <v>41780.35297858961</v>
      </c>
      <c r="S45" s="393">
        <f>(R45*(1+S74))</f>
        <v>45053.056427067575</v>
      </c>
      <c r="T45" s="393">
        <f>(S45*(1+T74))</f>
        <v>48522.353622668357</v>
      </c>
      <c r="U45" s="393">
        <f>(T45*(1+U74))</f>
        <v>51452.807748410116</v>
      </c>
    </row>
    <row r="46" spans="1:21" outlineLevel="2">
      <c r="A46" s="6"/>
      <c r="B46" s="5"/>
      <c r="C46" s="83"/>
      <c r="D46" s="83"/>
      <c r="E46" s="83"/>
      <c r="F46" s="83"/>
      <c r="G46" s="83"/>
      <c r="H46" s="83"/>
      <c r="I46" s="83"/>
      <c r="J46" s="83"/>
      <c r="K46" s="83"/>
      <c r="L46" s="83"/>
      <c r="M46" s="83"/>
      <c r="N46" s="83"/>
      <c r="O46" s="83"/>
      <c r="P46" s="5"/>
      <c r="Q46" s="5"/>
      <c r="R46" s="5"/>
      <c r="S46" s="5"/>
      <c r="T46" s="5"/>
      <c r="U46" s="5"/>
    </row>
    <row r="47" spans="1:21" outlineLevel="2">
      <c r="A47" s="6" t="s">
        <v>450</v>
      </c>
      <c r="B47" s="5"/>
      <c r="C47" s="393">
        <f>C8</f>
        <v>11401.223666666667</v>
      </c>
      <c r="D47" s="393">
        <f t="shared" ref="D47:J47" si="25">D8</f>
        <v>12295.016</v>
      </c>
      <c r="E47" s="393">
        <f t="shared" si="25"/>
        <v>13213.703000000001</v>
      </c>
      <c r="F47" s="393">
        <f t="shared" si="25"/>
        <v>13943.291000000001</v>
      </c>
      <c r="G47" s="393">
        <f t="shared" si="25"/>
        <v>14429.185000000001</v>
      </c>
      <c r="H47" s="393">
        <f t="shared" si="25"/>
        <v>14968.429</v>
      </c>
      <c r="I47" s="393">
        <f t="shared" si="25"/>
        <v>15797.661</v>
      </c>
      <c r="J47" s="393">
        <f t="shared" si="25"/>
        <v>16838.249</v>
      </c>
      <c r="K47" s="393">
        <f t="shared" ref="K47:P47" si="26">K8</f>
        <v>18521.400000000001</v>
      </c>
      <c r="L47" s="393">
        <f t="shared" si="26"/>
        <v>19605.037</v>
      </c>
      <c r="M47" s="393">
        <f t="shared" si="26"/>
        <v>20776.522000000001</v>
      </c>
      <c r="N47" s="393">
        <f t="shared" si="26"/>
        <v>22034.523000000001</v>
      </c>
      <c r="O47" s="393">
        <f t="shared" si="26"/>
        <v>23565.754000000001</v>
      </c>
      <c r="P47" s="393">
        <f t="shared" si="26"/>
        <v>25502.167000000001</v>
      </c>
      <c r="Q47" s="393">
        <f>Q45-Q49</f>
        <v>27419.734673501134</v>
      </c>
      <c r="R47" s="393">
        <f>R45-R49</f>
        <v>29601.380085330737</v>
      </c>
      <c r="S47" s="393">
        <f>S45-S49</f>
        <v>31834.489671365951</v>
      </c>
      <c r="T47" s="393">
        <f>T45-T49</f>
        <v>34251.929422241585</v>
      </c>
      <c r="U47" s="393">
        <f>U45-U49</f>
        <v>36274.229462629133</v>
      </c>
    </row>
    <row r="48" spans="1:21" outlineLevel="2">
      <c r="A48" s="6"/>
      <c r="B48" s="5"/>
      <c r="C48" s="83"/>
      <c r="D48" s="83"/>
      <c r="E48" s="83"/>
      <c r="F48" s="83"/>
      <c r="G48" s="83"/>
      <c r="H48" s="83"/>
      <c r="I48" s="83"/>
      <c r="J48" s="83"/>
      <c r="K48" s="83"/>
      <c r="L48" s="83"/>
      <c r="M48" s="83"/>
      <c r="N48" s="83"/>
      <c r="O48" s="83"/>
      <c r="P48" s="5"/>
      <c r="Q48" s="5"/>
      <c r="R48" s="5"/>
      <c r="S48" s="5"/>
      <c r="T48" s="5"/>
      <c r="U48" s="5"/>
    </row>
    <row r="49" spans="1:26" outlineLevel="1">
      <c r="A49" s="6" t="s">
        <v>451</v>
      </c>
      <c r="B49" s="5"/>
      <c r="C49" s="393">
        <f>C45-C47</f>
        <v>3512.2593333333334</v>
      </c>
      <c r="D49" s="393">
        <f t="shared" ref="D49:J49" si="27">D45-D47</f>
        <v>3762.9190000000017</v>
      </c>
      <c r="E49" s="393">
        <f t="shared" si="27"/>
        <v>4190.9340000000011</v>
      </c>
      <c r="F49" s="393">
        <f t="shared" si="27"/>
        <v>4528.6820000000007</v>
      </c>
      <c r="G49" s="393">
        <f t="shared" si="27"/>
        <v>4570.3199999999961</v>
      </c>
      <c r="H49" s="393">
        <f t="shared" si="27"/>
        <v>5320.0149999999994</v>
      </c>
      <c r="I49" s="393">
        <f t="shared" si="27"/>
        <v>5865.5899999999965</v>
      </c>
      <c r="J49" s="393">
        <f t="shared" si="27"/>
        <v>6343.9770000000026</v>
      </c>
      <c r="K49" s="393">
        <f t="shared" ref="K49:P49" si="28">K45-K47</f>
        <v>7356.9720000000016</v>
      </c>
      <c r="L49" s="393">
        <f t="shared" si="28"/>
        <v>7817.6589999999997</v>
      </c>
      <c r="M49" s="393">
        <f t="shared" si="28"/>
        <v>8301.8849999999984</v>
      </c>
      <c r="N49" s="393">
        <f t="shared" si="28"/>
        <v>8910.4149999999972</v>
      </c>
      <c r="O49" s="393">
        <f t="shared" si="28"/>
        <v>9617.9900000000052</v>
      </c>
      <c r="P49" s="393">
        <f t="shared" si="28"/>
        <v>10362.497000000003</v>
      </c>
      <c r="Q49" s="393">
        <f>Q45*Q68</f>
        <v>11220.579571118415</v>
      </c>
      <c r="R49" s="393">
        <f>R45*R68</f>
        <v>12178.972893258873</v>
      </c>
      <c r="S49" s="393">
        <f>S45*S68</f>
        <v>13218.566755701624</v>
      </c>
      <c r="T49" s="393">
        <f>T45*T68</f>
        <v>14270.424200426771</v>
      </c>
      <c r="U49" s="393">
        <f>U45*U68</f>
        <v>15178.578285780983</v>
      </c>
    </row>
    <row r="50" spans="1:26" outlineLevel="1">
      <c r="A50" s="6" t="s">
        <v>452</v>
      </c>
      <c r="B50" s="5"/>
      <c r="C50" s="83">
        <f>C11</f>
        <v>2497.5513333333329</v>
      </c>
      <c r="D50" s="83">
        <f t="shared" ref="D50:J51" si="29">D11</f>
        <v>2723.96</v>
      </c>
      <c r="E50" s="83">
        <f t="shared" si="29"/>
        <v>2923.5600000000004</v>
      </c>
      <c r="F50" s="83">
        <f t="shared" si="29"/>
        <v>3073.1710000000003</v>
      </c>
      <c r="G50" s="83">
        <f t="shared" si="29"/>
        <v>3135.5889999999999</v>
      </c>
      <c r="H50" s="83">
        <f t="shared" si="29"/>
        <v>3328.9439999999995</v>
      </c>
      <c r="I50" s="83">
        <f t="shared" si="29"/>
        <v>3533.0529999999999</v>
      </c>
      <c r="J50" s="83">
        <f t="shared" si="29"/>
        <v>3828.1439999999998</v>
      </c>
      <c r="K50" s="83">
        <f t="shared" ref="K50:M51" si="30">K11</f>
        <v>4250.4459999999999</v>
      </c>
      <c r="L50" s="83">
        <f t="shared" si="30"/>
        <v>4467.0889999999999</v>
      </c>
      <c r="M50" s="83">
        <f t="shared" si="30"/>
        <v>4695.384</v>
      </c>
      <c r="N50" s="83">
        <f t="shared" ref="N50:P51" si="31">N11</f>
        <v>5205.7149999999992</v>
      </c>
      <c r="O50" s="83">
        <f t="shared" si="31"/>
        <v>5768.4669999999996</v>
      </c>
      <c r="P50" s="83">
        <f t="shared" si="31"/>
        <v>6375.0709999999999</v>
      </c>
      <c r="Q50" s="83">
        <f>Q45*Q69</f>
        <v>6733.7734881216938</v>
      </c>
      <c r="R50" s="83">
        <f>R45*R69</f>
        <v>7269.7814182745915</v>
      </c>
      <c r="S50" s="83">
        <f>S45*S69</f>
        <v>7834.7265126670509</v>
      </c>
      <c r="T50" s="83">
        <f>T45*T69</f>
        <v>8428.3328242574935</v>
      </c>
      <c r="U50" s="83">
        <f>U45*U69</f>
        <v>8942.4979866736794</v>
      </c>
    </row>
    <row r="51" spans="1:26" outlineLevel="1">
      <c r="A51" s="6" t="s">
        <v>7</v>
      </c>
      <c r="B51" s="5"/>
      <c r="C51" s="83">
        <f>C12</f>
        <v>279.05900000000003</v>
      </c>
      <c r="D51" s="83">
        <f t="shared" si="29"/>
        <v>314.28500000000003</v>
      </c>
      <c r="E51" s="83">
        <f t="shared" si="29"/>
        <v>353.11</v>
      </c>
      <c r="F51" s="83">
        <f t="shared" si="29"/>
        <v>369.39600000000002</v>
      </c>
      <c r="G51" s="83">
        <f t="shared" si="29"/>
        <v>401.70699999999999</v>
      </c>
      <c r="H51" s="83">
        <f t="shared" si="29"/>
        <v>435.21800000000002</v>
      </c>
      <c r="I51" s="83">
        <f t="shared" si="29"/>
        <v>458.05200000000002</v>
      </c>
      <c r="J51" s="83">
        <f t="shared" si="29"/>
        <v>485.70100000000002</v>
      </c>
      <c r="K51" s="83">
        <f t="shared" si="30"/>
        <v>508.92899999999997</v>
      </c>
      <c r="L51" s="83">
        <f t="shared" si="30"/>
        <v>548.79999999999995</v>
      </c>
      <c r="M51" s="83">
        <f t="shared" si="30"/>
        <v>589</v>
      </c>
      <c r="N51" s="83">
        <f t="shared" si="31"/>
        <v>616.69600000000003</v>
      </c>
      <c r="O51" s="83">
        <f t="shared" si="31"/>
        <v>658.79600000000005</v>
      </c>
      <c r="P51" s="83">
        <f t="shared" si="31"/>
        <v>726</v>
      </c>
      <c r="Q51" s="83">
        <f>Q12</f>
        <v>720</v>
      </c>
      <c r="R51" s="83">
        <f>R12</f>
        <v>763.2</v>
      </c>
      <c r="S51" s="83">
        <f>S12</f>
        <v>808.99200000000008</v>
      </c>
      <c r="T51" s="83">
        <f>T12</f>
        <v>857.53152000000011</v>
      </c>
      <c r="U51" s="83">
        <f>U12</f>
        <v>0</v>
      </c>
    </row>
    <row r="52" spans="1:26" outlineLevel="1">
      <c r="A52" s="394" t="s">
        <v>469</v>
      </c>
      <c r="B52" s="5"/>
      <c r="C52" s="393">
        <f>C49-C50</f>
        <v>1014.7080000000005</v>
      </c>
      <c r="D52" s="393">
        <f t="shared" ref="D52:K52" si="32">D49-D50</f>
        <v>1038.9590000000017</v>
      </c>
      <c r="E52" s="393">
        <f t="shared" si="32"/>
        <v>1267.3740000000007</v>
      </c>
      <c r="F52" s="393">
        <f t="shared" si="32"/>
        <v>1455.5110000000004</v>
      </c>
      <c r="G52" s="393">
        <f t="shared" si="32"/>
        <v>1434.7309999999961</v>
      </c>
      <c r="H52" s="393">
        <f t="shared" si="32"/>
        <v>1991.0709999999999</v>
      </c>
      <c r="I52" s="393">
        <f t="shared" si="32"/>
        <v>2332.5369999999966</v>
      </c>
      <c r="J52" s="393">
        <f t="shared" si="32"/>
        <v>2515.8330000000028</v>
      </c>
      <c r="K52" s="393">
        <f t="shared" si="32"/>
        <v>3106.5260000000017</v>
      </c>
      <c r="L52" s="393">
        <f t="shared" ref="L52:U52" si="33">L49-L50</f>
        <v>3350.5699999999997</v>
      </c>
      <c r="M52" s="393">
        <f t="shared" si="33"/>
        <v>3606.5009999999984</v>
      </c>
      <c r="N52" s="393">
        <f t="shared" si="33"/>
        <v>3704.699999999998</v>
      </c>
      <c r="O52" s="393">
        <f t="shared" si="33"/>
        <v>3849.5230000000056</v>
      </c>
      <c r="P52" s="393">
        <f t="shared" si="33"/>
        <v>3987.4260000000031</v>
      </c>
      <c r="Q52" s="393">
        <f t="shared" si="33"/>
        <v>4486.8060829967208</v>
      </c>
      <c r="R52" s="393">
        <f t="shared" si="33"/>
        <v>4909.1914749842817</v>
      </c>
      <c r="S52" s="393">
        <f t="shared" si="33"/>
        <v>5383.8402430345732</v>
      </c>
      <c r="T52" s="393">
        <f t="shared" si="33"/>
        <v>5842.0913761692773</v>
      </c>
      <c r="U52" s="393">
        <f t="shared" si="33"/>
        <v>6236.0802991073033</v>
      </c>
      <c r="X52" s="452"/>
      <c r="Z52" s="452"/>
    </row>
    <row r="53" spans="1:26" outlineLevel="2">
      <c r="A53" s="6"/>
      <c r="B53" s="5"/>
      <c r="C53" s="83"/>
      <c r="D53" s="83"/>
      <c r="E53" s="83"/>
      <c r="F53" s="83"/>
      <c r="G53" s="83"/>
      <c r="H53" s="83"/>
      <c r="I53" s="83"/>
      <c r="J53" s="83"/>
      <c r="K53" s="83"/>
      <c r="L53" s="83"/>
      <c r="M53" s="83"/>
      <c r="N53" s="83"/>
      <c r="O53" s="83"/>
      <c r="P53" s="5"/>
      <c r="Q53" s="5"/>
      <c r="R53" s="5"/>
      <c r="S53" s="5"/>
      <c r="T53" s="5"/>
      <c r="U53" s="5"/>
    </row>
    <row r="54" spans="1:26" outlineLevel="2">
      <c r="A54" s="6" t="s">
        <v>8</v>
      </c>
      <c r="B54" s="5"/>
      <c r="C54" s="83">
        <f>C15</f>
        <v>25.757000000000001</v>
      </c>
      <c r="D54" s="83">
        <f t="shared" ref="D54:K54" si="34">D15</f>
        <v>29.631999999999998</v>
      </c>
      <c r="E54" s="83">
        <f t="shared" si="34"/>
        <v>15.565999999999999</v>
      </c>
      <c r="F54" s="83">
        <f t="shared" si="34"/>
        <v>-1.5980000000000001</v>
      </c>
      <c r="G54" s="83">
        <f t="shared" si="34"/>
        <v>14.291</v>
      </c>
      <c r="H54" s="83">
        <f t="shared" si="34"/>
        <v>39.509</v>
      </c>
      <c r="I54" s="83">
        <f t="shared" si="34"/>
        <v>39.137</v>
      </c>
      <c r="J54" s="83">
        <f t="shared" si="34"/>
        <v>35.647999999999996</v>
      </c>
      <c r="K54" s="83">
        <f t="shared" si="34"/>
        <v>29.174999999999997</v>
      </c>
      <c r="L54" s="83">
        <f t="shared" ref="L54:U54" si="35">L15</f>
        <v>31.081000000000003</v>
      </c>
      <c r="M54" s="83">
        <f t="shared" si="35"/>
        <v>39.786999999999999</v>
      </c>
      <c r="N54" s="83">
        <f t="shared" si="35"/>
        <v>46.400000000000006</v>
      </c>
      <c r="O54" s="83">
        <f t="shared" si="35"/>
        <v>43.534000000000006</v>
      </c>
      <c r="P54" s="83">
        <f t="shared" si="35"/>
        <v>130.83799999999999</v>
      </c>
      <c r="Q54" s="83">
        <f t="shared" si="35"/>
        <v>26</v>
      </c>
      <c r="R54" s="83">
        <f t="shared" si="35"/>
        <v>26</v>
      </c>
      <c r="S54" s="83">
        <f t="shared" si="35"/>
        <v>26</v>
      </c>
      <c r="T54" s="83">
        <f t="shared" si="35"/>
        <v>26</v>
      </c>
      <c r="U54" s="83">
        <f t="shared" si="35"/>
        <v>26</v>
      </c>
    </row>
    <row r="55" spans="1:26" outlineLevel="2">
      <c r="A55" s="394" t="s">
        <v>437</v>
      </c>
      <c r="B55" s="5"/>
      <c r="C55" s="393">
        <f>C52-C54</f>
        <v>988.95100000000059</v>
      </c>
      <c r="D55" s="393">
        <f t="shared" ref="D55:L55" si="36">D52-D54</f>
        <v>1009.3270000000017</v>
      </c>
      <c r="E55" s="393">
        <f t="shared" si="36"/>
        <v>1251.8080000000007</v>
      </c>
      <c r="F55" s="393">
        <f t="shared" si="36"/>
        <v>1457.1090000000004</v>
      </c>
      <c r="G55" s="393">
        <f t="shared" si="36"/>
        <v>1420.4399999999962</v>
      </c>
      <c r="H55" s="393">
        <f t="shared" si="36"/>
        <v>1951.5619999999999</v>
      </c>
      <c r="I55" s="393">
        <f t="shared" si="36"/>
        <v>2293.3999999999965</v>
      </c>
      <c r="J55" s="393">
        <f t="shared" si="36"/>
        <v>2480.1850000000027</v>
      </c>
      <c r="K55" s="393">
        <f t="shared" si="36"/>
        <v>3077.3510000000015</v>
      </c>
      <c r="L55" s="393">
        <f t="shared" si="36"/>
        <v>3319.4889999999996</v>
      </c>
      <c r="M55" s="393">
        <f t="shared" ref="M55:R55" si="37">M52-M54</f>
        <v>3566.7139999999986</v>
      </c>
      <c r="N55" s="393">
        <f>N52-N54</f>
        <v>3658.2999999999979</v>
      </c>
      <c r="O55" s="393">
        <f>O52-O54</f>
        <v>3805.9890000000055</v>
      </c>
      <c r="P55" s="393">
        <f>P52-P54</f>
        <v>3856.5880000000029</v>
      </c>
      <c r="Q55" s="393">
        <f t="shared" si="37"/>
        <v>4460.8060829967208</v>
      </c>
      <c r="R55" s="393">
        <f t="shared" si="37"/>
        <v>4883.1914749842817</v>
      </c>
      <c r="S55" s="393">
        <f>S52-S54</f>
        <v>5357.8402430345732</v>
      </c>
      <c r="T55" s="393">
        <f>T52-T54</f>
        <v>5816.0913761692773</v>
      </c>
      <c r="U55" s="393">
        <f>U52-U54</f>
        <v>6210.0802991073033</v>
      </c>
    </row>
    <row r="56" spans="1:26" outlineLevel="2">
      <c r="A56" s="6"/>
      <c r="B56" s="5"/>
      <c r="C56" s="83"/>
      <c r="D56" s="83"/>
      <c r="E56" s="83"/>
      <c r="F56" s="83"/>
      <c r="G56" s="83"/>
      <c r="H56" s="83"/>
      <c r="I56" s="83"/>
      <c r="J56" s="83"/>
      <c r="K56" s="83"/>
      <c r="L56" s="83"/>
      <c r="M56" s="83"/>
      <c r="N56" s="83"/>
      <c r="O56" s="83"/>
      <c r="P56" s="5"/>
      <c r="Q56" s="5"/>
      <c r="R56" s="5"/>
      <c r="S56" s="5"/>
      <c r="T56" s="5"/>
      <c r="U56" s="5"/>
    </row>
    <row r="57" spans="1:26" outlineLevel="1">
      <c r="A57" s="6" t="s">
        <v>456</v>
      </c>
      <c r="B57" s="5"/>
      <c r="C57" s="83">
        <f>C18</f>
        <v>379.25200000000007</v>
      </c>
      <c r="D57" s="83">
        <f t="shared" ref="D57:K57" si="38">D18</f>
        <v>318.904</v>
      </c>
      <c r="E57" s="83">
        <f t="shared" si="38"/>
        <v>470.09199999999998</v>
      </c>
      <c r="F57" s="83">
        <f t="shared" si="38"/>
        <v>477.65494999999999</v>
      </c>
      <c r="G57" s="83">
        <f t="shared" si="38"/>
        <v>524.15899999999999</v>
      </c>
      <c r="H57" s="83">
        <f t="shared" si="38"/>
        <v>737.99</v>
      </c>
      <c r="I57" s="83">
        <f t="shared" si="38"/>
        <v>873.04605000000004</v>
      </c>
      <c r="J57" s="83">
        <f t="shared" si="38"/>
        <v>941.52587699999992</v>
      </c>
      <c r="K57" s="83">
        <f t="shared" si="38"/>
        <v>1170.664</v>
      </c>
      <c r="L57" s="83">
        <f t="shared" ref="L57:N58" si="39">L18</f>
        <v>1182.0948800000001</v>
      </c>
      <c r="M57" s="83">
        <f t="shared" si="39"/>
        <v>1341.1009100000001</v>
      </c>
      <c r="N57" s="83">
        <f t="shared" si="39"/>
        <v>1380.6420000000001</v>
      </c>
      <c r="O57" s="83">
        <f>O18</f>
        <v>1455.49902</v>
      </c>
      <c r="P57" s="83">
        <f>P18</f>
        <v>1248.6400000000001</v>
      </c>
      <c r="Q57" s="83">
        <f>Q55*Q71</f>
        <v>1156.9520454046308</v>
      </c>
      <c r="R57" s="83">
        <f>R55*R71</f>
        <v>1266.5016725609755</v>
      </c>
      <c r="S57" s="83">
        <f>S55*S71</f>
        <v>1389.6062982333972</v>
      </c>
      <c r="T57" s="83">
        <f>T55*T71</f>
        <v>1508.4580429460973</v>
      </c>
      <c r="U57" s="83">
        <f>U55*U71</f>
        <v>1610.6427785698654</v>
      </c>
      <c r="W57" s="5"/>
      <c r="X57" s="445"/>
      <c r="Y57" s="445"/>
    </row>
    <row r="58" spans="1:26" outlineLevel="2">
      <c r="A58" s="83" t="s">
        <v>13</v>
      </c>
      <c r="B58" s="5"/>
      <c r="C58" s="83">
        <f>C19</f>
        <v>0</v>
      </c>
      <c r="D58" s="83">
        <f t="shared" ref="D58:K58" si="40">D19</f>
        <v>0</v>
      </c>
      <c r="E58" s="83">
        <f t="shared" si="40"/>
        <v>0</v>
      </c>
      <c r="F58" s="83">
        <f t="shared" si="40"/>
        <v>76.975704000000007</v>
      </c>
      <c r="G58" s="83">
        <f t="shared" si="40"/>
        <v>0</v>
      </c>
      <c r="H58" s="83">
        <f t="shared" si="40"/>
        <v>0</v>
      </c>
      <c r="I58" s="83">
        <f t="shared" si="40"/>
        <v>0</v>
      </c>
      <c r="J58" s="83">
        <f t="shared" si="40"/>
        <v>0</v>
      </c>
      <c r="K58" s="83">
        <f t="shared" si="40"/>
        <v>0</v>
      </c>
      <c r="L58" s="83">
        <f t="shared" si="39"/>
        <v>0</v>
      </c>
      <c r="M58" s="83">
        <f t="shared" si="39"/>
        <v>0</v>
      </c>
      <c r="N58" s="83">
        <f t="shared" si="39"/>
        <v>0</v>
      </c>
      <c r="O58" s="83">
        <f>O19</f>
        <v>0</v>
      </c>
      <c r="P58" s="83">
        <f>P19</f>
        <v>0</v>
      </c>
      <c r="Q58" s="83">
        <f>Q19</f>
        <v>0</v>
      </c>
      <c r="R58" s="83">
        <f>R19</f>
        <v>0</v>
      </c>
      <c r="S58" s="83">
        <f>S19</f>
        <v>0</v>
      </c>
      <c r="T58" s="83">
        <f>T19</f>
        <v>0</v>
      </c>
      <c r="U58" s="83">
        <f>U19</f>
        <v>0</v>
      </c>
      <c r="W58" s="5"/>
    </row>
    <row r="59" spans="1:26" outlineLevel="2">
      <c r="A59" s="6"/>
      <c r="B59" s="5"/>
      <c r="C59" s="83"/>
      <c r="D59" s="83"/>
      <c r="E59" s="83"/>
      <c r="F59" s="83"/>
      <c r="G59" s="83"/>
      <c r="H59" s="83"/>
      <c r="I59" s="83"/>
      <c r="J59" s="83"/>
      <c r="K59" s="83"/>
      <c r="L59" s="83"/>
      <c r="M59" s="83"/>
      <c r="N59" s="83"/>
      <c r="O59" s="83"/>
      <c r="P59" s="5"/>
      <c r="Q59" s="5"/>
      <c r="R59" s="5"/>
      <c r="S59" s="5"/>
      <c r="T59" s="5"/>
      <c r="U59" s="5"/>
      <c r="W59" s="5"/>
    </row>
    <row r="60" spans="1:26" outlineLevel="2">
      <c r="A60" s="6" t="s">
        <v>9</v>
      </c>
      <c r="B60" s="5"/>
      <c r="C60" s="393">
        <f>C55-C57-C58</f>
        <v>609.69900000000052</v>
      </c>
      <c r="D60" s="393">
        <f t="shared" ref="D60:K60" si="41">D55-D57-D58</f>
        <v>690.42300000000171</v>
      </c>
      <c r="E60" s="393">
        <f t="shared" si="41"/>
        <v>781.71600000000069</v>
      </c>
      <c r="F60" s="393">
        <f t="shared" si="41"/>
        <v>902.47834600000033</v>
      </c>
      <c r="G60" s="393">
        <f t="shared" si="41"/>
        <v>896.2809999999962</v>
      </c>
      <c r="H60" s="393">
        <f t="shared" si="41"/>
        <v>1213.5719999999999</v>
      </c>
      <c r="I60" s="393">
        <f t="shared" si="41"/>
        <v>1420.3539499999965</v>
      </c>
      <c r="J60" s="393">
        <f t="shared" si="41"/>
        <v>1538.6591230000026</v>
      </c>
      <c r="K60" s="393">
        <f t="shared" si="41"/>
        <v>1906.6870000000015</v>
      </c>
      <c r="L60" s="393">
        <f t="shared" ref="L60:U60" si="42">L55-L57-L58</f>
        <v>2137.3941199999995</v>
      </c>
      <c r="M60" s="393">
        <f t="shared" si="42"/>
        <v>2225.6130899999985</v>
      </c>
      <c r="N60" s="393">
        <f t="shared" si="42"/>
        <v>2277.6579999999976</v>
      </c>
      <c r="O60" s="393">
        <f t="shared" si="42"/>
        <v>2350.4899800000057</v>
      </c>
      <c r="P60" s="393">
        <f t="shared" si="42"/>
        <v>2607.948000000003</v>
      </c>
      <c r="Q60" s="393">
        <f t="shared" si="42"/>
        <v>3303.8540375920902</v>
      </c>
      <c r="R60" s="393">
        <f t="shared" si="42"/>
        <v>3616.689802423306</v>
      </c>
      <c r="S60" s="393">
        <f t="shared" si="42"/>
        <v>3968.2339448011762</v>
      </c>
      <c r="T60" s="393">
        <f t="shared" si="42"/>
        <v>4307.6333332231798</v>
      </c>
      <c r="U60" s="393">
        <f t="shared" si="42"/>
        <v>4599.4375205374381</v>
      </c>
      <c r="W60" s="5"/>
    </row>
    <row r="61" spans="1:26" outlineLevel="2">
      <c r="A61" s="6"/>
      <c r="B61" s="5"/>
      <c r="C61" s="83"/>
      <c r="D61" s="83"/>
      <c r="E61" s="83"/>
      <c r="F61" s="83"/>
      <c r="G61" s="83"/>
      <c r="H61" s="83"/>
      <c r="I61" s="83"/>
      <c r="J61" s="83"/>
      <c r="K61" s="83"/>
      <c r="L61" s="83"/>
      <c r="M61" s="83"/>
      <c r="N61" s="83"/>
      <c r="O61" s="83"/>
      <c r="P61" s="5"/>
      <c r="Q61" s="5"/>
      <c r="R61" s="5"/>
      <c r="S61" s="5"/>
      <c r="T61" s="5"/>
      <c r="U61" s="5"/>
      <c r="W61" s="5"/>
    </row>
    <row r="62" spans="1:26" outlineLevel="1">
      <c r="A62" s="129" t="s">
        <v>10</v>
      </c>
      <c r="B62" s="129"/>
      <c r="C62" s="388">
        <f>C60/C63</f>
        <v>0.59814190899156605</v>
      </c>
      <c r="D62" s="388">
        <f t="shared" ref="D62:K62" si="43">D60/D63</f>
        <v>0.70236384416814601</v>
      </c>
      <c r="E62" s="388">
        <f t="shared" si="43"/>
        <v>0.81421116770302848</v>
      </c>
      <c r="F62" s="388">
        <f t="shared" si="43"/>
        <v>0.96409150596308946</v>
      </c>
      <c r="G62" s="388">
        <f t="shared" si="43"/>
        <v>1.0133079332059516</v>
      </c>
      <c r="H62" s="388">
        <f t="shared" si="43"/>
        <v>1.4189874631389154</v>
      </c>
      <c r="I62" s="388">
        <f t="shared" si="43"/>
        <v>1.7474268170555525</v>
      </c>
      <c r="J62" s="388">
        <f t="shared" si="43"/>
        <v>1.9885174482922652</v>
      </c>
      <c r="K62" s="388">
        <f t="shared" si="43"/>
        <v>2.5505641725358021</v>
      </c>
      <c r="L62" s="388">
        <f t="shared" ref="L62:U62" si="44">L60/L63</f>
        <v>2.942545073075101</v>
      </c>
      <c r="M62" s="388">
        <f t="shared" si="44"/>
        <v>3.1624659586825721</v>
      </c>
      <c r="N62" s="388">
        <f t="shared" si="44"/>
        <v>3.3347261834345479</v>
      </c>
      <c r="O62" s="388">
        <f t="shared" si="44"/>
        <v>3.5375929816745817</v>
      </c>
      <c r="P62" s="388">
        <f t="shared" si="44"/>
        <v>4.0364151337630929</v>
      </c>
      <c r="Q62" s="388">
        <f t="shared" si="44"/>
        <v>5.2782423900895266</v>
      </c>
      <c r="R62" s="388">
        <f t="shared" si="44"/>
        <v>6.0541857456808783</v>
      </c>
      <c r="S62" s="388">
        <f t="shared" si="44"/>
        <v>6.8614913681254119</v>
      </c>
      <c r="T62" s="388">
        <f t="shared" si="44"/>
        <v>7.6876168744500584</v>
      </c>
      <c r="U62" s="388">
        <f t="shared" si="44"/>
        <v>8.4746924768786247</v>
      </c>
      <c r="X62" s="452"/>
    </row>
    <row r="63" spans="1:26" outlineLevel="1">
      <c r="A63" s="6" t="s">
        <v>11</v>
      </c>
      <c r="B63" s="5"/>
      <c r="C63" s="83">
        <f>C24</f>
        <v>1019.321654</v>
      </c>
      <c r="D63" s="83">
        <f t="shared" ref="D63:K63" si="45">D24</f>
        <v>982.99906199999998</v>
      </c>
      <c r="E63" s="83">
        <f t="shared" si="45"/>
        <v>960.09</v>
      </c>
      <c r="F63" s="83">
        <f t="shared" si="45"/>
        <v>936.09199999999998</v>
      </c>
      <c r="G63" s="83">
        <f t="shared" si="45"/>
        <v>884.51</v>
      </c>
      <c r="H63" s="83">
        <f t="shared" si="45"/>
        <v>855.23800000000006</v>
      </c>
      <c r="I63" s="83">
        <f t="shared" si="45"/>
        <v>812.82600000000002</v>
      </c>
      <c r="J63" s="83">
        <f t="shared" si="45"/>
        <v>773.77200000000005</v>
      </c>
      <c r="K63" s="83">
        <f t="shared" si="45"/>
        <v>747.55499999999995</v>
      </c>
      <c r="L63" s="83">
        <f t="shared" ref="L63:U63" si="46">L24</f>
        <v>726.37599999999998</v>
      </c>
      <c r="M63" s="83">
        <f t="shared" si="46"/>
        <v>703.75874999999996</v>
      </c>
      <c r="N63" s="83">
        <f t="shared" si="46"/>
        <v>683.01200000000006</v>
      </c>
      <c r="O63" s="83">
        <f t="shared" si="46"/>
        <v>664.43200000000002</v>
      </c>
      <c r="P63" s="83">
        <f t="shared" si="46"/>
        <v>646.10500000000002</v>
      </c>
      <c r="Q63" s="83">
        <f t="shared" si="46"/>
        <v>625.93829411764705</v>
      </c>
      <c r="R63" s="83">
        <f t="shared" si="46"/>
        <v>597.38666013071895</v>
      </c>
      <c r="S63" s="83">
        <f t="shared" si="46"/>
        <v>578.33402855177155</v>
      </c>
      <c r="T63" s="83">
        <f t="shared" si="46"/>
        <v>560.33402855177155</v>
      </c>
      <c r="U63" s="83">
        <f t="shared" si="46"/>
        <v>542.72618541451664</v>
      </c>
      <c r="X63" s="445"/>
      <c r="Y63" s="445"/>
    </row>
    <row r="64" spans="1:26" outlineLevel="2">
      <c r="A64" s="6"/>
      <c r="B64" s="5"/>
      <c r="C64" s="5"/>
      <c r="D64" s="5"/>
      <c r="E64" s="5"/>
      <c r="F64" s="5"/>
      <c r="G64" s="5"/>
      <c r="H64" s="5"/>
      <c r="I64" s="5"/>
      <c r="J64" s="5"/>
      <c r="K64" s="5"/>
      <c r="L64" s="5"/>
      <c r="M64" s="5"/>
      <c r="N64" s="5"/>
      <c r="O64" s="5"/>
      <c r="P64" s="5"/>
      <c r="Q64" s="5"/>
      <c r="R64" s="5"/>
      <c r="S64" s="5"/>
      <c r="T64" s="5"/>
      <c r="U64" s="5"/>
    </row>
    <row r="65" spans="1:25" outlineLevel="2">
      <c r="A65" s="6" t="s">
        <v>436</v>
      </c>
      <c r="B65" s="5"/>
      <c r="C65" s="393">
        <f>C52+C51</f>
        <v>1293.7670000000005</v>
      </c>
      <c r="D65" s="393">
        <f t="shared" ref="D65:N65" si="47">D52+D51</f>
        <v>1353.2440000000017</v>
      </c>
      <c r="E65" s="393">
        <f t="shared" si="47"/>
        <v>1620.4840000000008</v>
      </c>
      <c r="F65" s="393">
        <f t="shared" si="47"/>
        <v>1824.9070000000004</v>
      </c>
      <c r="G65" s="393">
        <f t="shared" si="47"/>
        <v>1836.437999999996</v>
      </c>
      <c r="H65" s="393">
        <f t="shared" si="47"/>
        <v>2426.2889999999998</v>
      </c>
      <c r="I65" s="393">
        <f t="shared" si="47"/>
        <v>2790.5889999999968</v>
      </c>
      <c r="J65" s="393">
        <f t="shared" si="47"/>
        <v>3001.5340000000028</v>
      </c>
      <c r="K65" s="393">
        <f t="shared" si="47"/>
        <v>3615.4550000000017</v>
      </c>
      <c r="L65" s="393">
        <f>L52+L51</f>
        <v>3899.37</v>
      </c>
      <c r="M65" s="393">
        <f>M52+M51</f>
        <v>4195.5009999999984</v>
      </c>
      <c r="N65" s="393">
        <f t="shared" si="47"/>
        <v>4321.3959999999979</v>
      </c>
      <c r="O65" s="393">
        <f t="shared" ref="O65:U65" si="48">O52+O51</f>
        <v>4508.3190000000059</v>
      </c>
      <c r="P65" s="393">
        <f t="shared" si="48"/>
        <v>4713.4260000000031</v>
      </c>
      <c r="Q65" s="393">
        <f t="shared" si="48"/>
        <v>5206.8060829967208</v>
      </c>
      <c r="R65" s="393">
        <f t="shared" si="48"/>
        <v>5672.3914749842816</v>
      </c>
      <c r="S65" s="393">
        <f t="shared" si="48"/>
        <v>6192.8322430345734</v>
      </c>
      <c r="T65" s="393">
        <f t="shared" si="48"/>
        <v>6699.6228961692777</v>
      </c>
      <c r="U65" s="393">
        <f t="shared" si="48"/>
        <v>6236.0802991073033</v>
      </c>
      <c r="W65" s="5"/>
      <c r="X65" s="445"/>
    </row>
    <row r="66" spans="1:25" outlineLevel="1">
      <c r="A66" s="6"/>
      <c r="B66" s="5"/>
      <c r="C66" s="5"/>
      <c r="D66" s="5"/>
      <c r="E66" s="5"/>
      <c r="F66" s="5"/>
      <c r="G66" s="5"/>
      <c r="H66" s="5"/>
      <c r="I66" s="369"/>
      <c r="J66" s="369"/>
      <c r="K66" s="369"/>
      <c r="L66" s="369"/>
      <c r="M66" s="369"/>
      <c r="N66" s="369"/>
      <c r="O66" s="369"/>
      <c r="P66" s="369"/>
      <c r="Q66" s="369"/>
      <c r="R66" s="369"/>
      <c r="S66" s="369"/>
      <c r="T66" s="369"/>
      <c r="U66" s="369"/>
      <c r="W66" s="5"/>
    </row>
    <row r="67" spans="1:25" outlineLevel="1">
      <c r="A67" s="9" t="s">
        <v>461</v>
      </c>
      <c r="B67" s="5"/>
      <c r="C67" s="5"/>
      <c r="D67" s="5"/>
      <c r="E67" s="5"/>
      <c r="F67" s="5"/>
      <c r="G67" s="5"/>
      <c r="H67" s="111"/>
      <c r="I67" s="111"/>
      <c r="J67" s="111"/>
      <c r="K67" s="111"/>
      <c r="L67" s="111"/>
      <c r="M67" s="111"/>
      <c r="N67" s="111"/>
      <c r="O67" s="111"/>
      <c r="P67" s="5"/>
      <c r="Q67" s="5"/>
      <c r="R67" s="5"/>
      <c r="S67" s="5"/>
      <c r="T67" s="5"/>
      <c r="U67" s="5"/>
      <c r="X67" s="452"/>
    </row>
    <row r="68" spans="1:25" outlineLevel="1">
      <c r="A68" s="6" t="s">
        <v>439</v>
      </c>
      <c r="B68" s="5"/>
      <c r="C68" s="61">
        <f t="shared" ref="C68:K68" si="49">C49/C45</f>
        <v>0.23550899098039896</v>
      </c>
      <c r="D68" s="61">
        <f t="shared" si="49"/>
        <v>0.23433392898900146</v>
      </c>
      <c r="E68" s="61">
        <f t="shared" si="49"/>
        <v>0.24079410561679629</v>
      </c>
      <c r="F68" s="61">
        <f t="shared" si="49"/>
        <v>0.24516504003118672</v>
      </c>
      <c r="G68" s="61">
        <f t="shared" si="49"/>
        <v>0.24054942484027855</v>
      </c>
      <c r="H68" s="61">
        <f t="shared" si="49"/>
        <v>0.26221897549166412</v>
      </c>
      <c r="I68" s="61">
        <f t="shared" si="49"/>
        <v>0.27076222308461445</v>
      </c>
      <c r="J68" s="61">
        <f t="shared" si="49"/>
        <v>0.27365693872538394</v>
      </c>
      <c r="K68" s="61">
        <f t="shared" si="49"/>
        <v>0.28429037189820133</v>
      </c>
      <c r="L68" s="61">
        <f>L49/L45</f>
        <v>0.28507988419519364</v>
      </c>
      <c r="M68" s="61">
        <f>M49/M45</f>
        <v>0.28549999317362873</v>
      </c>
      <c r="N68" s="61">
        <f>N49/N45</f>
        <v>0.28794418654191511</v>
      </c>
      <c r="O68" s="61">
        <f>O49/O45</f>
        <v>0.28984041101570707</v>
      </c>
      <c r="P68" s="61">
        <f>P49/P45</f>
        <v>0.28893333560855339</v>
      </c>
      <c r="Q68" s="358">
        <f>Q29+0.0033</f>
        <v>0.29038530846525967</v>
      </c>
      <c r="R68" s="358">
        <f>R29+0.003</f>
        <v>0.29150000000000004</v>
      </c>
      <c r="S68" s="358">
        <f>S29+0.003</f>
        <v>0.29339999999999994</v>
      </c>
      <c r="T68" s="358">
        <f>T29+0.003</f>
        <v>0.29410000000000014</v>
      </c>
      <c r="U68" s="358">
        <f>U29+0.003</f>
        <v>0.29499999999999998</v>
      </c>
      <c r="X68" s="445"/>
      <c r="Y68" s="445"/>
    </row>
    <row r="69" spans="1:25" outlineLevel="1">
      <c r="A69" s="6" t="s">
        <v>463</v>
      </c>
      <c r="B69" s="5"/>
      <c r="C69" s="61">
        <f>C50/C45</f>
        <v>0.16746935195040172</v>
      </c>
      <c r="D69" s="61">
        <f t="shared" ref="D69:J69" si="50">D50/D45</f>
        <v>0.16963326853670785</v>
      </c>
      <c r="E69" s="61">
        <f>E50/E45</f>
        <v>0.16797592503652906</v>
      </c>
      <c r="F69" s="61">
        <f t="shared" si="50"/>
        <v>0.16636939649056437</v>
      </c>
      <c r="G69" s="61">
        <f t="shared" si="50"/>
        <v>0.16503529960385813</v>
      </c>
      <c r="H69" s="61">
        <f t="shared" si="50"/>
        <v>0.16408079397316028</v>
      </c>
      <c r="I69" s="61">
        <f t="shared" si="50"/>
        <v>0.1630896950785457</v>
      </c>
      <c r="J69" s="61">
        <f t="shared" si="50"/>
        <v>0.16513271848872491</v>
      </c>
      <c r="K69" s="61">
        <f t="shared" ref="K69:P69" si="51">K50/K45</f>
        <v>0.16424703996062812</v>
      </c>
      <c r="L69" s="61">
        <f t="shared" si="51"/>
        <v>0.16289751379660117</v>
      </c>
      <c r="M69" s="61">
        <f t="shared" si="51"/>
        <v>0.1614732196299474</v>
      </c>
      <c r="N69" s="61">
        <f t="shared" si="51"/>
        <v>0.16822509064325802</v>
      </c>
      <c r="O69" s="61">
        <f t="shared" si="51"/>
        <v>0.173834121912223</v>
      </c>
      <c r="P69" s="61">
        <f t="shared" si="51"/>
        <v>0.17775354036496757</v>
      </c>
      <c r="Q69" s="358">
        <f>Q30-0.0042</f>
        <v>0.17426808295326776</v>
      </c>
      <c r="R69" s="358">
        <f>R30-0.004</f>
        <v>0.17399999999999999</v>
      </c>
      <c r="S69" s="358">
        <f>S30-0.004</f>
        <v>0.1739</v>
      </c>
      <c r="T69" s="358">
        <f>T30-0.004</f>
        <v>0.17369999999999999</v>
      </c>
      <c r="U69" s="358">
        <f>U30-0.004</f>
        <v>0.17380000000000001</v>
      </c>
    </row>
    <row r="70" spans="1:25" outlineLevel="1">
      <c r="A70" s="6" t="s">
        <v>441</v>
      </c>
      <c r="B70" s="5"/>
      <c r="C70" s="61">
        <f>C52/C45</f>
        <v>6.8039639029997254E-2</v>
      </c>
      <c r="D70" s="61">
        <f t="shared" ref="D70:P70" si="52">D52/D45</f>
        <v>6.4700660452293626E-2</v>
      </c>
      <c r="E70" s="61">
        <f>E52/E45</f>
        <v>7.2818180580267233E-2</v>
      </c>
      <c r="F70" s="61">
        <f t="shared" si="52"/>
        <v>7.8795643540622337E-2</v>
      </c>
      <c r="G70" s="61">
        <f t="shared" si="52"/>
        <v>7.551412523642044E-2</v>
      </c>
      <c r="H70" s="61">
        <f t="shared" si="52"/>
        <v>9.8138181518503828E-2</v>
      </c>
      <c r="I70" s="61">
        <f t="shared" si="52"/>
        <v>0.10767252800606876</v>
      </c>
      <c r="J70" s="61">
        <f t="shared" si="52"/>
        <v>0.108524220236659</v>
      </c>
      <c r="K70" s="61">
        <f t="shared" si="52"/>
        <v>0.12004333193757324</v>
      </c>
      <c r="L70" s="61">
        <f>L52/L45</f>
        <v>0.12218237039859245</v>
      </c>
      <c r="M70" s="61">
        <f>M52/M45</f>
        <v>0.12402677354368134</v>
      </c>
      <c r="N70" s="61">
        <f>N52/N45</f>
        <v>0.1197190958986571</v>
      </c>
      <c r="O70" s="61">
        <f>O52/O45</f>
        <v>0.11600628910348407</v>
      </c>
      <c r="P70" s="61">
        <f t="shared" si="52"/>
        <v>0.11117979524358579</v>
      </c>
      <c r="Q70" s="61">
        <f>Q52/Q45</f>
        <v>0.1161172255119919</v>
      </c>
      <c r="R70" s="61">
        <f>R52/R45</f>
        <v>0.11750000000000006</v>
      </c>
      <c r="S70" s="61">
        <f>S52/S45</f>
        <v>0.11949999999999995</v>
      </c>
      <c r="T70" s="61">
        <f>T52/T45</f>
        <v>0.12040000000000015</v>
      </c>
      <c r="U70" s="61">
        <f>U52/U45</f>
        <v>0.12119999999999995</v>
      </c>
    </row>
    <row r="71" spans="1:25" outlineLevel="1">
      <c r="A71" s="6" t="s">
        <v>465</v>
      </c>
      <c r="B71" s="5"/>
      <c r="C71" s="61">
        <f>C57/C55</f>
        <v>0.38348917185987963</v>
      </c>
      <c r="D71" s="61">
        <f t="shared" ref="D71:J71" si="53">D57/D55</f>
        <v>0.31595706842281984</v>
      </c>
      <c r="E71" s="61">
        <f t="shared" si="53"/>
        <v>0.37553043278202386</v>
      </c>
      <c r="F71" s="61">
        <f t="shared" si="53"/>
        <v>0.327810033429208</v>
      </c>
      <c r="G71" s="61">
        <f t="shared" si="53"/>
        <v>0.3690117146799593</v>
      </c>
      <c r="H71" s="61">
        <f t="shared" si="53"/>
        <v>0.37815349960698152</v>
      </c>
      <c r="I71" s="61">
        <f t="shared" si="53"/>
        <v>0.38067761838318714</v>
      </c>
      <c r="J71" s="61">
        <f t="shared" si="53"/>
        <v>0.37961921267969884</v>
      </c>
      <c r="K71" s="61">
        <f>K57/K55</f>
        <v>0.3804128940767561</v>
      </c>
      <c r="L71" s="61">
        <f>L57/L55</f>
        <v>0.3561074852183575</v>
      </c>
      <c r="M71" s="61">
        <f>M57/M55</f>
        <v>0.37600461096684529</v>
      </c>
      <c r="N71" s="61">
        <f>N57/N55</f>
        <v>0.377399885192576</v>
      </c>
      <c r="O71" s="61">
        <f>O57/O55</f>
        <v>0.38242333858558125</v>
      </c>
      <c r="P71" s="61">
        <f t="shared" ref="P71:U71" si="54">P32</f>
        <v>0.32376805611592402</v>
      </c>
      <c r="Q71" s="61">
        <f t="shared" si="54"/>
        <v>0.25935941259912448</v>
      </c>
      <c r="R71" s="61">
        <f t="shared" si="54"/>
        <v>0.25935941259912448</v>
      </c>
      <c r="S71" s="61">
        <f t="shared" si="54"/>
        <v>0.25935941259912448</v>
      </c>
      <c r="T71" s="61">
        <f t="shared" si="54"/>
        <v>0.25935941259912448</v>
      </c>
      <c r="U71" s="61">
        <f t="shared" si="54"/>
        <v>0.25935941259912448</v>
      </c>
    </row>
    <row r="72" spans="1:25" outlineLevel="1">
      <c r="A72" s="6"/>
      <c r="B72" s="5"/>
      <c r="C72" s="5"/>
      <c r="D72" s="5"/>
      <c r="E72" s="5"/>
      <c r="F72" s="5"/>
      <c r="G72" s="5"/>
      <c r="H72" s="5"/>
      <c r="I72" s="5"/>
      <c r="J72" s="5"/>
      <c r="K72" s="5"/>
      <c r="L72" s="5"/>
      <c r="M72" s="5"/>
      <c r="N72" s="5"/>
      <c r="O72" s="5"/>
      <c r="P72" s="5"/>
      <c r="Q72" s="5"/>
      <c r="R72" s="5"/>
      <c r="S72" s="5"/>
      <c r="T72" s="5"/>
      <c r="U72" s="5"/>
    </row>
    <row r="73" spans="1:25" outlineLevel="1">
      <c r="A73" s="9" t="s">
        <v>466</v>
      </c>
      <c r="B73" s="5"/>
      <c r="C73" s="5"/>
      <c r="D73" s="5"/>
      <c r="E73" s="5"/>
      <c r="F73" s="5"/>
      <c r="G73" s="5"/>
      <c r="H73" s="5"/>
      <c r="I73" s="5"/>
      <c r="J73" s="5"/>
      <c r="K73" s="5"/>
      <c r="L73" s="5"/>
      <c r="M73" s="5"/>
      <c r="N73" s="5"/>
      <c r="O73" s="5"/>
      <c r="P73" s="5"/>
      <c r="Q73" s="5"/>
      <c r="R73" s="5"/>
      <c r="S73" s="5"/>
      <c r="T73" s="5"/>
      <c r="U73" s="5"/>
    </row>
    <row r="74" spans="1:25" outlineLevel="1">
      <c r="A74" s="6" t="s">
        <v>556</v>
      </c>
      <c r="B74" s="5"/>
      <c r="C74" s="359" t="s">
        <v>120</v>
      </c>
      <c r="D74" s="61">
        <f>((D45/C45)-1)</f>
        <v>7.6739417612907701E-2</v>
      </c>
      <c r="E74" s="61">
        <f>((E45/D45)-1)</f>
        <v>8.3865204336672328E-2</v>
      </c>
      <c r="F74" s="61">
        <f t="shared" ref="F74:O74" si="55">((F45/E45)-1)</f>
        <v>6.1324806716738678E-2</v>
      </c>
      <c r="G74" s="61">
        <f t="shared" si="55"/>
        <v>2.8558508611938427E-2</v>
      </c>
      <c r="H74" s="61">
        <f t="shared" si="55"/>
        <v>6.7840662164619703E-2</v>
      </c>
      <c r="I74" s="61">
        <f t="shared" si="55"/>
        <v>6.7763057630245038E-2</v>
      </c>
      <c r="J74" s="61">
        <f t="shared" si="55"/>
        <v>7.0117592230270809E-2</v>
      </c>
      <c r="K74" s="61">
        <f t="shared" si="55"/>
        <v>0.11630229124675084</v>
      </c>
      <c r="L74" s="61">
        <f t="shared" si="55"/>
        <v>5.9676242384953504E-2</v>
      </c>
      <c r="M74" s="61">
        <f t="shared" si="55"/>
        <v>6.0377396883223966E-2</v>
      </c>
      <c r="N74" s="61">
        <f t="shared" si="55"/>
        <v>6.4189589202737318E-2</v>
      </c>
      <c r="O74" s="61">
        <f t="shared" si="55"/>
        <v>7.2348052531241436E-2</v>
      </c>
      <c r="P74" s="61">
        <f t="shared" ref="P74:U74" si="56">P75+P81</f>
        <v>8.0790160386965404E-2</v>
      </c>
      <c r="Q74" s="61">
        <f t="shared" si="56"/>
        <v>7.7392339284693773E-2</v>
      </c>
      <c r="R74" s="61">
        <f t="shared" si="56"/>
        <v>8.1263281506756602E-2</v>
      </c>
      <c r="S74" s="61">
        <f t="shared" si="56"/>
        <v>7.833115843121459E-2</v>
      </c>
      <c r="T74" s="61">
        <f t="shared" si="56"/>
        <v>7.7004702249600404E-2</v>
      </c>
      <c r="U74" s="61">
        <f t="shared" si="56"/>
        <v>6.0393899037344434E-2</v>
      </c>
    </row>
    <row r="75" spans="1:25" outlineLevel="1">
      <c r="A75" s="6" t="s">
        <v>12</v>
      </c>
      <c r="B75" s="5"/>
      <c r="C75" s="61">
        <f>C36</f>
        <v>0.05</v>
      </c>
      <c r="D75" s="61">
        <f t="shared" ref="D75:J75" si="57">D36</f>
        <v>0.02</v>
      </c>
      <c r="E75" s="61">
        <f t="shared" si="57"/>
        <v>0.03</v>
      </c>
      <c r="F75" s="61">
        <f t="shared" si="57"/>
        <v>0.02</v>
      </c>
      <c r="G75" s="61">
        <f t="shared" si="57"/>
        <v>0.01</v>
      </c>
      <c r="H75" s="61">
        <f t="shared" si="57"/>
        <v>0.06</v>
      </c>
      <c r="I75" s="61">
        <f t="shared" si="57"/>
        <v>0.04</v>
      </c>
      <c r="J75" s="61">
        <f t="shared" si="57"/>
        <v>0.04</v>
      </c>
      <c r="K75" s="61">
        <f t="shared" ref="K75:P75" si="58">K36</f>
        <v>7.0000000000000007E-2</v>
      </c>
      <c r="L75" s="61">
        <f t="shared" si="58"/>
        <v>0.03</v>
      </c>
      <c r="M75" s="61">
        <f t="shared" si="58"/>
        <v>0.02</v>
      </c>
      <c r="N75" s="61">
        <f t="shared" si="58"/>
        <v>0.05</v>
      </c>
      <c r="O75" s="61">
        <f t="shared" si="58"/>
        <v>0.05</v>
      </c>
      <c r="P75" s="61">
        <f t="shared" si="58"/>
        <v>0.02</v>
      </c>
      <c r="Q75" s="358">
        <v>0.04</v>
      </c>
      <c r="R75" s="358">
        <v>0.04</v>
      </c>
      <c r="S75" s="358">
        <v>0.04</v>
      </c>
      <c r="T75" s="358">
        <v>0.04</v>
      </c>
      <c r="U75" s="358">
        <v>0.04</v>
      </c>
    </row>
    <row r="76" spans="1:25" outlineLevel="1">
      <c r="A76" s="6" t="s">
        <v>452</v>
      </c>
      <c r="B76" s="5"/>
      <c r="C76" s="359" t="s">
        <v>120</v>
      </c>
      <c r="D76" s="61">
        <f>((D50/C50)-1)</f>
        <v>9.0652257531176783E-2</v>
      </c>
      <c r="E76" s="61">
        <f t="shared" ref="E76:U76" si="59">((E50/D50)-1)</f>
        <v>7.3275672183145346E-2</v>
      </c>
      <c r="F76" s="61">
        <f t="shared" si="59"/>
        <v>5.1174253307611162E-2</v>
      </c>
      <c r="G76" s="61">
        <f t="shared" si="59"/>
        <v>2.0310617274469811E-2</v>
      </c>
      <c r="H76" s="61">
        <f t="shared" si="59"/>
        <v>6.1664650564853929E-2</v>
      </c>
      <c r="I76" s="61">
        <f t="shared" si="59"/>
        <v>6.1313437534545656E-2</v>
      </c>
      <c r="J76" s="61">
        <f t="shared" si="59"/>
        <v>8.352294743384836E-2</v>
      </c>
      <c r="K76" s="61">
        <f t="shared" si="59"/>
        <v>0.11031507696680176</v>
      </c>
      <c r="L76" s="61">
        <f t="shared" si="59"/>
        <v>5.0969474732769138E-2</v>
      </c>
      <c r="M76" s="61">
        <f t="shared" si="59"/>
        <v>5.1105988709873484E-2</v>
      </c>
      <c r="N76" s="61">
        <f t="shared" si="59"/>
        <v>0.1086878091333956</v>
      </c>
      <c r="O76" s="61">
        <f t="shared" si="59"/>
        <v>0.10810272940412613</v>
      </c>
      <c r="P76" s="61">
        <f t="shared" si="59"/>
        <v>0.10515861493183554</v>
      </c>
      <c r="Q76" s="61">
        <f t="shared" si="59"/>
        <v>5.6266430306688875E-2</v>
      </c>
      <c r="R76" s="61">
        <f t="shared" si="59"/>
        <v>7.9599934731753308E-2</v>
      </c>
      <c r="S76" s="61">
        <f t="shared" si="59"/>
        <v>7.771142788039187E-2</v>
      </c>
      <c r="T76" s="61">
        <f t="shared" si="59"/>
        <v>7.5766053943390421E-2</v>
      </c>
      <c r="U76" s="61">
        <f t="shared" si="59"/>
        <v>6.1004373360336706E-2</v>
      </c>
    </row>
    <row r="77" spans="1:25" outlineLevel="1">
      <c r="A77" s="6" t="s">
        <v>469</v>
      </c>
      <c r="B77" s="5"/>
      <c r="C77" s="359" t="s">
        <v>120</v>
      </c>
      <c r="D77" s="61">
        <f>((D52/C52)-1)</f>
        <v>2.3899486354696187E-2</v>
      </c>
      <c r="E77" s="61">
        <f t="shared" ref="E77:O77" si="60">((E52/D52)-1)</f>
        <v>0.21984986895536651</v>
      </c>
      <c r="F77" s="61">
        <f t="shared" si="60"/>
        <v>0.14844631497884575</v>
      </c>
      <c r="G77" s="61">
        <f t="shared" si="60"/>
        <v>-1.4276772899692425E-2</v>
      </c>
      <c r="H77" s="61">
        <f t="shared" si="60"/>
        <v>0.38776606904012345</v>
      </c>
      <c r="I77" s="61">
        <f t="shared" si="60"/>
        <v>0.17149865574858802</v>
      </c>
      <c r="J77" s="61">
        <f t="shared" si="60"/>
        <v>7.858224756992338E-2</v>
      </c>
      <c r="K77" s="61">
        <f t="shared" si="60"/>
        <v>0.2347902265372932</v>
      </c>
      <c r="L77" s="61">
        <f t="shared" si="60"/>
        <v>7.85584926699463E-2</v>
      </c>
      <c r="M77" s="61">
        <f t="shared" si="60"/>
        <v>7.6384316698352439E-2</v>
      </c>
      <c r="N77" s="61">
        <f t="shared" si="60"/>
        <v>2.7228330173761028E-2</v>
      </c>
      <c r="O77" s="61">
        <f t="shared" si="60"/>
        <v>3.9091694334226101E-2</v>
      </c>
      <c r="P77" s="61">
        <f t="shared" ref="P77:U77" si="61">((P52/O52)-1)</f>
        <v>3.5823399418576596E-2</v>
      </c>
      <c r="Q77" s="61">
        <f t="shared" si="61"/>
        <v>0.12523870862975706</v>
      </c>
      <c r="R77" s="61">
        <f t="shared" si="61"/>
        <v>9.4139435530374183E-2</v>
      </c>
      <c r="S77" s="61">
        <f t="shared" si="61"/>
        <v>9.6685731340681036E-2</v>
      </c>
      <c r="T77" s="61">
        <f t="shared" si="61"/>
        <v>8.5116034735163826E-2</v>
      </c>
      <c r="U77" s="61">
        <f t="shared" si="61"/>
        <v>6.7439705675464534E-2</v>
      </c>
    </row>
    <row r="78" spans="1:25" outlineLevel="1">
      <c r="A78" s="6" t="s">
        <v>470</v>
      </c>
      <c r="B78" s="5"/>
      <c r="C78" s="359" t="s">
        <v>120</v>
      </c>
      <c r="D78" s="61">
        <f>((D62/C62)-1)</f>
        <v>0.17424282366753463</v>
      </c>
      <c r="E78" s="61">
        <f t="shared" ref="E78:O78" si="62">((E62/D62)-1)</f>
        <v>0.15924413601806386</v>
      </c>
      <c r="F78" s="61">
        <f t="shared" si="62"/>
        <v>0.18408042557668236</v>
      </c>
      <c r="G78" s="61">
        <f t="shared" si="62"/>
        <v>5.1049539321163184E-2</v>
      </c>
      <c r="H78" s="61">
        <f t="shared" si="62"/>
        <v>0.40035167656238091</v>
      </c>
      <c r="I78" s="61">
        <f t="shared" si="62"/>
        <v>0.23146036342710352</v>
      </c>
      <c r="J78" s="61">
        <f t="shared" si="62"/>
        <v>0.1379689431818123</v>
      </c>
      <c r="K78" s="61">
        <f t="shared" si="62"/>
        <v>0.28264611141643314</v>
      </c>
      <c r="L78" s="61">
        <f t="shared" si="62"/>
        <v>0.15368399852868109</v>
      </c>
      <c r="M78" s="61">
        <f t="shared" si="62"/>
        <v>7.4738323507698379E-2</v>
      </c>
      <c r="N78" s="61">
        <f t="shared" si="62"/>
        <v>5.4470222605569552E-2</v>
      </c>
      <c r="O78" s="61">
        <f t="shared" si="62"/>
        <v>6.0834619420265135E-2</v>
      </c>
      <c r="P78" s="61">
        <f t="shared" ref="P78:U78" si="63">((P62/O62)-1)</f>
        <v>0.14100608935864201</v>
      </c>
      <c r="Q78" s="61">
        <f t="shared" si="63"/>
        <v>0.30765598065942634</v>
      </c>
      <c r="R78" s="61">
        <f t="shared" si="63"/>
        <v>0.14700790495113858</v>
      </c>
      <c r="S78" s="61">
        <f t="shared" si="63"/>
        <v>0.13334668877982048</v>
      </c>
      <c r="T78" s="61">
        <f t="shared" si="63"/>
        <v>0.12040028355385757</v>
      </c>
      <c r="U78" s="61">
        <f t="shared" si="63"/>
        <v>0.10238226166608633</v>
      </c>
    </row>
    <row r="79" spans="1:25" outlineLevel="2">
      <c r="A79" s="6" t="s">
        <v>436</v>
      </c>
      <c r="B79" s="5"/>
      <c r="C79" s="359" t="s">
        <v>120</v>
      </c>
      <c r="D79" s="61">
        <f>((D65/C65)-1)</f>
        <v>4.5971956310526751E-2</v>
      </c>
      <c r="E79" s="61">
        <f t="shared" ref="E79:O79" si="64">((E65/D65)-1)</f>
        <v>0.19748101598824652</v>
      </c>
      <c r="F79" s="61">
        <f t="shared" si="64"/>
        <v>0.12614934797258059</v>
      </c>
      <c r="G79" s="61">
        <f t="shared" si="64"/>
        <v>6.3186781572954764E-3</v>
      </c>
      <c r="H79" s="61">
        <f t="shared" si="64"/>
        <v>0.32119298337325031</v>
      </c>
      <c r="I79" s="61">
        <f t="shared" si="64"/>
        <v>0.15014699403080045</v>
      </c>
      <c r="J79" s="61">
        <f t="shared" si="64"/>
        <v>7.5591568661671937E-2</v>
      </c>
      <c r="K79" s="61">
        <f t="shared" si="64"/>
        <v>0.20453574738783509</v>
      </c>
      <c r="L79" s="61">
        <f t="shared" si="64"/>
        <v>7.852815205831587E-2</v>
      </c>
      <c r="M79" s="61">
        <f t="shared" si="64"/>
        <v>7.5943293403805789E-2</v>
      </c>
      <c r="N79" s="61">
        <f t="shared" si="64"/>
        <v>3.000714336619148E-2</v>
      </c>
      <c r="O79" s="61">
        <f t="shared" si="64"/>
        <v>4.3255235113839996E-2</v>
      </c>
      <c r="P79" s="61">
        <f t="shared" ref="P79:U79" si="65">((P65/O65)-1)</f>
        <v>4.5495227822165418E-2</v>
      </c>
      <c r="Q79" s="61">
        <f t="shared" si="65"/>
        <v>0.10467547024111923</v>
      </c>
      <c r="R79" s="61">
        <f t="shared" si="65"/>
        <v>8.9418615666899903E-2</v>
      </c>
      <c r="S79" s="61">
        <f t="shared" si="65"/>
        <v>9.174979730250965E-2</v>
      </c>
      <c r="T79" s="61">
        <f t="shared" si="65"/>
        <v>8.1835036578735032E-2</v>
      </c>
      <c r="U79" s="61">
        <f t="shared" si="65"/>
        <v>-6.9189356512441846E-2</v>
      </c>
    </row>
    <row r="80" spans="1:25" outlineLevel="1">
      <c r="A80" s="6" t="s">
        <v>15</v>
      </c>
      <c r="B80" s="5"/>
      <c r="C80" s="359" t="s">
        <v>120</v>
      </c>
      <c r="D80" s="61">
        <f>D35-D36</f>
        <v>5.6739417612907697E-2</v>
      </c>
      <c r="E80" s="61">
        <f t="shared" ref="E80:P80" si="66">E35-E36</f>
        <v>5.3865204336672329E-2</v>
      </c>
      <c r="F80" s="61">
        <f t="shared" si="66"/>
        <v>4.1324806716738674E-2</v>
      </c>
      <c r="G80" s="61">
        <f t="shared" si="66"/>
        <v>1.8558508611938425E-2</v>
      </c>
      <c r="H80" s="61">
        <f t="shared" si="66"/>
        <v>7.840662164619705E-3</v>
      </c>
      <c r="I80" s="61">
        <f t="shared" si="66"/>
        <v>2.7763057630245037E-2</v>
      </c>
      <c r="J80" s="61">
        <f t="shared" si="66"/>
        <v>3.0117592230270808E-2</v>
      </c>
      <c r="K80" s="61">
        <f t="shared" si="66"/>
        <v>4.6302291246750837E-2</v>
      </c>
      <c r="L80" s="61">
        <f>L35-L36</f>
        <v>2.9676242384953505E-2</v>
      </c>
      <c r="M80" s="61">
        <f>M35-M36</f>
        <v>4.0377396883223962E-2</v>
      </c>
      <c r="N80" s="61">
        <f>N35-N36</f>
        <v>1.4189589202737315E-2</v>
      </c>
      <c r="O80" s="61">
        <f>O35-O36</f>
        <v>2.2348052531241433E-2</v>
      </c>
      <c r="P80" s="61">
        <f t="shared" si="66"/>
        <v>6.07901603869654E-2</v>
      </c>
      <c r="Q80" s="61">
        <f>Q35-Q36</f>
        <v>3.2392339284693775E-2</v>
      </c>
      <c r="R80" s="61">
        <f>R35-R36</f>
        <v>3.626328150675661E-2</v>
      </c>
      <c r="S80" s="61">
        <f>S35-S36</f>
        <v>3.3331158431214591E-2</v>
      </c>
      <c r="T80" s="61">
        <f>T35-T36</f>
        <v>3.2004702249600413E-2</v>
      </c>
      <c r="U80" s="61">
        <f>U35-U36</f>
        <v>1.5393899037344436E-2</v>
      </c>
    </row>
    <row r="81" spans="1:22" outlineLevel="1">
      <c r="A81" s="6" t="s">
        <v>16</v>
      </c>
      <c r="B81" s="5"/>
      <c r="C81" s="359" t="s">
        <v>120</v>
      </c>
      <c r="D81" s="61">
        <f>D80</f>
        <v>5.6739417612907697E-2</v>
      </c>
      <c r="E81" s="61">
        <f t="shared" ref="E81:L81" si="67">E80</f>
        <v>5.3865204336672329E-2</v>
      </c>
      <c r="F81" s="61">
        <f t="shared" si="67"/>
        <v>4.1324806716738674E-2</v>
      </c>
      <c r="G81" s="61">
        <f t="shared" si="67"/>
        <v>1.8558508611938425E-2</v>
      </c>
      <c r="H81" s="61">
        <f t="shared" si="67"/>
        <v>7.840662164619705E-3</v>
      </c>
      <c r="I81" s="61">
        <f t="shared" si="67"/>
        <v>2.7763057630245037E-2</v>
      </c>
      <c r="J81" s="61">
        <f t="shared" si="67"/>
        <v>3.0117592230270808E-2</v>
      </c>
      <c r="K81" s="61">
        <f t="shared" si="67"/>
        <v>4.6302291246750837E-2</v>
      </c>
      <c r="L81" s="61">
        <f t="shared" si="67"/>
        <v>2.9676242384953505E-2</v>
      </c>
      <c r="M81" s="61">
        <f>M80</f>
        <v>4.0377396883223962E-2</v>
      </c>
      <c r="N81" s="61">
        <f>N80</f>
        <v>1.4189589202737315E-2</v>
      </c>
      <c r="O81" s="61">
        <f>O80</f>
        <v>2.2348052531241433E-2</v>
      </c>
      <c r="P81" s="61">
        <f>P80</f>
        <v>6.07901603869654E-2</v>
      </c>
      <c r="Q81" s="358">
        <f>Q80+0.005</f>
        <v>3.7392339284693772E-2</v>
      </c>
      <c r="R81" s="358">
        <f>R80+0.005</f>
        <v>4.1263281506756608E-2</v>
      </c>
      <c r="S81" s="358">
        <f>S80+0.005</f>
        <v>3.8331158431214589E-2</v>
      </c>
      <c r="T81" s="358">
        <f>T80+0.005</f>
        <v>3.700470224960041E-2</v>
      </c>
      <c r="U81" s="358">
        <f>U80+0.005</f>
        <v>2.0393899037344437E-2</v>
      </c>
    </row>
    <row r="82" spans="1:22">
      <c r="A82" s="156"/>
      <c r="B82" s="156"/>
      <c r="C82" s="156"/>
      <c r="D82" s="156"/>
      <c r="E82" s="156"/>
      <c r="F82" s="156"/>
      <c r="G82" s="156"/>
      <c r="H82" s="156"/>
      <c r="I82" s="156"/>
      <c r="J82" s="156"/>
      <c r="K82" s="156"/>
      <c r="L82" s="156"/>
      <c r="M82" s="446"/>
      <c r="N82" s="156"/>
      <c r="O82" s="156"/>
      <c r="P82" s="156"/>
      <c r="Q82" s="156"/>
      <c r="R82" s="156"/>
      <c r="S82" s="156"/>
      <c r="T82" s="156"/>
      <c r="U82" s="156"/>
    </row>
    <row r="83" spans="1:22">
      <c r="A83" s="382" t="s">
        <v>17</v>
      </c>
      <c r="B83" s="5"/>
      <c r="C83" s="39" t="s">
        <v>264</v>
      </c>
      <c r="D83" s="39" t="s">
        <v>756</v>
      </c>
      <c r="E83" s="39" t="s">
        <v>319</v>
      </c>
      <c r="F83" s="39" t="s">
        <v>757</v>
      </c>
      <c r="G83" s="39" t="s">
        <v>758</v>
      </c>
      <c r="H83" s="39" t="s">
        <v>759</v>
      </c>
      <c r="I83" s="39" t="s">
        <v>575</v>
      </c>
      <c r="J83" s="39" t="s">
        <v>5</v>
      </c>
      <c r="K83" s="39" t="s">
        <v>6</v>
      </c>
      <c r="L83" s="39" t="s">
        <v>749</v>
      </c>
      <c r="M83" s="39" t="s">
        <v>770</v>
      </c>
      <c r="N83" s="39" t="s">
        <v>73</v>
      </c>
      <c r="O83" s="39" t="s">
        <v>127</v>
      </c>
      <c r="P83" s="39" t="s">
        <v>154</v>
      </c>
      <c r="Q83" s="39" t="s">
        <v>765</v>
      </c>
      <c r="R83" s="39" t="s">
        <v>766</v>
      </c>
      <c r="S83" s="461" t="s">
        <v>803</v>
      </c>
      <c r="T83" s="463" t="str">
        <f>T3</f>
        <v>2021E</v>
      </c>
      <c r="U83" s="463" t="str">
        <f>U3</f>
        <v>2022E</v>
      </c>
    </row>
    <row r="84" spans="1:22">
      <c r="A84" s="9" t="s">
        <v>449</v>
      </c>
      <c r="B84" s="5"/>
      <c r="C84" s="64" t="s">
        <v>517</v>
      </c>
      <c r="D84" s="64" t="s">
        <v>517</v>
      </c>
      <c r="E84" s="64" t="s">
        <v>517</v>
      </c>
      <c r="F84" s="64" t="s">
        <v>517</v>
      </c>
      <c r="G84" s="64" t="s">
        <v>517</v>
      </c>
      <c r="H84" s="64" t="s">
        <v>517</v>
      </c>
      <c r="I84" s="64" t="s">
        <v>517</v>
      </c>
      <c r="J84" s="64" t="s">
        <v>517</v>
      </c>
      <c r="K84" s="64" t="s">
        <v>517</v>
      </c>
      <c r="L84" s="64" t="s">
        <v>517</v>
      </c>
      <c r="M84" s="64" t="s">
        <v>517</v>
      </c>
      <c r="N84" s="64" t="s">
        <v>517</v>
      </c>
      <c r="O84" s="64" t="s">
        <v>517</v>
      </c>
      <c r="P84" s="64" t="s">
        <v>517</v>
      </c>
      <c r="Q84" s="64" t="s">
        <v>517</v>
      </c>
      <c r="R84" s="64" t="s">
        <v>517</v>
      </c>
      <c r="S84" s="64" t="s">
        <v>517</v>
      </c>
      <c r="T84" s="64" t="s">
        <v>517</v>
      </c>
      <c r="U84" s="64" t="s">
        <v>517</v>
      </c>
    </row>
    <row r="85" spans="1:22">
      <c r="A85" s="6"/>
      <c r="B85" s="5"/>
      <c r="C85" s="5"/>
      <c r="D85" s="5"/>
      <c r="E85" s="5"/>
      <c r="F85" s="5"/>
      <c r="G85" s="5"/>
      <c r="H85" s="5"/>
      <c r="I85" s="5"/>
      <c r="J85" s="5"/>
      <c r="K85" s="5"/>
      <c r="L85" s="5"/>
      <c r="M85" s="5"/>
      <c r="N85" s="5"/>
      <c r="O85" s="5"/>
      <c r="P85" s="5"/>
      <c r="Q85" s="5"/>
      <c r="R85" s="5"/>
      <c r="S85" s="5"/>
      <c r="T85" s="5"/>
      <c r="U85" s="5"/>
    </row>
    <row r="86" spans="1:22">
      <c r="A86" s="6" t="s">
        <v>431</v>
      </c>
      <c r="B86" s="5"/>
      <c r="C86" s="393">
        <f>C6</f>
        <v>14913.483</v>
      </c>
      <c r="D86" s="393">
        <f t="shared" ref="D86:J86" si="68">D6</f>
        <v>16057.935000000001</v>
      </c>
      <c r="E86" s="393">
        <f t="shared" si="68"/>
        <v>17404.637000000002</v>
      </c>
      <c r="F86" s="393">
        <f t="shared" si="68"/>
        <v>18471.973000000002</v>
      </c>
      <c r="G86" s="393">
        <f t="shared" si="68"/>
        <v>18999.504999999997</v>
      </c>
      <c r="H86" s="393">
        <f t="shared" si="68"/>
        <v>20288.444</v>
      </c>
      <c r="I86" s="393">
        <f t="shared" si="68"/>
        <v>21663.250999999997</v>
      </c>
      <c r="J86" s="393">
        <f t="shared" si="68"/>
        <v>23182.226000000002</v>
      </c>
      <c r="K86" s="393">
        <f t="shared" ref="K86:P86" si="69">K6</f>
        <v>25878.372000000003</v>
      </c>
      <c r="L86" s="393">
        <f t="shared" si="69"/>
        <v>27422.696</v>
      </c>
      <c r="M86" s="393">
        <f t="shared" si="69"/>
        <v>29078.406999999999</v>
      </c>
      <c r="N86" s="393">
        <f t="shared" si="69"/>
        <v>30944.937999999998</v>
      </c>
      <c r="O86" s="393">
        <f t="shared" si="69"/>
        <v>33183.744000000006</v>
      </c>
      <c r="P86" s="393">
        <f t="shared" si="69"/>
        <v>35864.664000000004</v>
      </c>
      <c r="Q86" s="393">
        <f>(P86*(1+Q115))</f>
        <v>37026.40436461955</v>
      </c>
      <c r="R86" s="393">
        <f>(Q86*(1+R115))</f>
        <v>38369.103289276747</v>
      </c>
      <c r="S86" s="393">
        <f>(R86*(1+S115))</f>
        <v>39647.989949875264</v>
      </c>
      <c r="T86" s="393">
        <f>(S86*(1+T115))</f>
        <v>40916.912063016171</v>
      </c>
      <c r="U86" s="393">
        <f>(T86*(1+U115))</f>
        <v>41546.782876234138</v>
      </c>
    </row>
    <row r="87" spans="1:22" outlineLevel="1">
      <c r="A87" s="6"/>
      <c r="B87" s="5"/>
      <c r="C87" s="83"/>
      <c r="D87" s="83"/>
      <c r="E87" s="83"/>
      <c r="F87" s="83"/>
      <c r="G87" s="83"/>
      <c r="H87" s="83"/>
      <c r="I87" s="83"/>
      <c r="J87" s="83"/>
      <c r="K87" s="83"/>
      <c r="L87" s="83"/>
      <c r="M87" s="83"/>
      <c r="N87" s="83"/>
      <c r="O87" s="83"/>
      <c r="P87" s="5"/>
      <c r="Q87" s="5"/>
      <c r="R87" s="5"/>
      <c r="S87" s="5"/>
      <c r="T87" s="5"/>
      <c r="U87" s="5"/>
    </row>
    <row r="88" spans="1:22" outlineLevel="1">
      <c r="A88" s="6" t="s">
        <v>450</v>
      </c>
      <c r="B88" s="5"/>
      <c r="C88" s="393">
        <f>C8</f>
        <v>11401.223666666667</v>
      </c>
      <c r="D88" s="393">
        <f t="shared" ref="D88:J88" si="70">D8</f>
        <v>12295.016</v>
      </c>
      <c r="E88" s="393">
        <f t="shared" si="70"/>
        <v>13213.703000000001</v>
      </c>
      <c r="F88" s="393">
        <f t="shared" si="70"/>
        <v>13943.291000000001</v>
      </c>
      <c r="G88" s="393">
        <f t="shared" si="70"/>
        <v>14429.185000000001</v>
      </c>
      <c r="H88" s="393">
        <f t="shared" si="70"/>
        <v>14968.429</v>
      </c>
      <c r="I88" s="393">
        <f t="shared" si="70"/>
        <v>15797.661</v>
      </c>
      <c r="J88" s="393">
        <f t="shared" si="70"/>
        <v>16838.249</v>
      </c>
      <c r="K88" s="393">
        <f t="shared" ref="K88:P88" si="71">K8</f>
        <v>18521.400000000001</v>
      </c>
      <c r="L88" s="393">
        <f t="shared" si="71"/>
        <v>19605.037</v>
      </c>
      <c r="M88" s="393">
        <f t="shared" si="71"/>
        <v>20776.522000000001</v>
      </c>
      <c r="N88" s="393">
        <f t="shared" si="71"/>
        <v>22034.523000000001</v>
      </c>
      <c r="O88" s="393">
        <f t="shared" si="71"/>
        <v>23565.754000000001</v>
      </c>
      <c r="P88" s="393">
        <f t="shared" si="71"/>
        <v>25502.167000000001</v>
      </c>
      <c r="Q88" s="393">
        <f>Q86-Q90</f>
        <v>26544.773263701791</v>
      </c>
      <c r="R88" s="393">
        <f>R86-R90</f>
        <v>27491.462506766788</v>
      </c>
      <c r="S88" s="393">
        <f>S86-S90</f>
        <v>28491.045577980367</v>
      </c>
      <c r="T88" s="393">
        <f>T86-T90</f>
        <v>29415.168082102318</v>
      </c>
      <c r="U88" s="393">
        <f>U86-U90</f>
        <v>29830.590105136114</v>
      </c>
    </row>
    <row r="89" spans="1:22" outlineLevel="1">
      <c r="A89" s="6"/>
      <c r="B89" s="5"/>
      <c r="C89" s="83"/>
      <c r="D89" s="83"/>
      <c r="E89" s="83"/>
      <c r="F89" s="83"/>
      <c r="G89" s="83"/>
      <c r="H89" s="83"/>
      <c r="I89" s="83"/>
      <c r="J89" s="83"/>
      <c r="K89" s="83"/>
      <c r="L89" s="83"/>
      <c r="M89" s="83"/>
      <c r="N89" s="83"/>
      <c r="O89" s="83"/>
      <c r="P89" s="5"/>
      <c r="Q89" s="5"/>
      <c r="R89" s="5"/>
      <c r="S89" s="5"/>
      <c r="T89" s="5"/>
      <c r="U89" s="5"/>
    </row>
    <row r="90" spans="1:22">
      <c r="A90" s="6" t="s">
        <v>451</v>
      </c>
      <c r="B90" s="5"/>
      <c r="C90" s="393">
        <f>C86-C88</f>
        <v>3512.2593333333334</v>
      </c>
      <c r="D90" s="393">
        <f t="shared" ref="D90:J90" si="72">D86-D88</f>
        <v>3762.9190000000017</v>
      </c>
      <c r="E90" s="393">
        <f t="shared" si="72"/>
        <v>4190.9340000000011</v>
      </c>
      <c r="F90" s="393">
        <f t="shared" si="72"/>
        <v>4528.6820000000007</v>
      </c>
      <c r="G90" s="393">
        <f t="shared" si="72"/>
        <v>4570.3199999999961</v>
      </c>
      <c r="H90" s="393">
        <f t="shared" si="72"/>
        <v>5320.0149999999994</v>
      </c>
      <c r="I90" s="393">
        <f t="shared" si="72"/>
        <v>5865.5899999999965</v>
      </c>
      <c r="J90" s="393">
        <f t="shared" si="72"/>
        <v>6343.9770000000026</v>
      </c>
      <c r="K90" s="393">
        <f t="shared" ref="K90:P90" si="73">K86-K88</f>
        <v>7356.9720000000016</v>
      </c>
      <c r="L90" s="393">
        <f t="shared" si="73"/>
        <v>7817.6589999999997</v>
      </c>
      <c r="M90" s="393">
        <f t="shared" si="73"/>
        <v>8301.8849999999984</v>
      </c>
      <c r="N90" s="393">
        <f t="shared" si="73"/>
        <v>8910.4149999999972</v>
      </c>
      <c r="O90" s="393">
        <f t="shared" si="73"/>
        <v>9617.9900000000052</v>
      </c>
      <c r="P90" s="393">
        <f t="shared" si="73"/>
        <v>10362.497000000003</v>
      </c>
      <c r="Q90" s="393">
        <f>Q86*Q109</f>
        <v>10481.631100917761</v>
      </c>
      <c r="R90" s="393">
        <f>R86*R109</f>
        <v>10877.64078250996</v>
      </c>
      <c r="S90" s="393">
        <f>S86*S109</f>
        <v>11156.944371894897</v>
      </c>
      <c r="T90" s="393">
        <f>T86*T109</f>
        <v>11501.74398091385</v>
      </c>
      <c r="U90" s="393">
        <f>U86*U109</f>
        <v>11716.192771098025</v>
      </c>
    </row>
    <row r="91" spans="1:22">
      <c r="A91" s="6" t="s">
        <v>452</v>
      </c>
      <c r="B91" s="5"/>
      <c r="C91" s="83">
        <f>C11</f>
        <v>2497.5513333333329</v>
      </c>
      <c r="D91" s="83">
        <f t="shared" ref="D91:K92" si="74">D11</f>
        <v>2723.96</v>
      </c>
      <c r="E91" s="83">
        <f t="shared" si="74"/>
        <v>2923.5600000000004</v>
      </c>
      <c r="F91" s="83">
        <f t="shared" si="74"/>
        <v>3073.1710000000003</v>
      </c>
      <c r="G91" s="83">
        <f t="shared" si="74"/>
        <v>3135.5889999999999</v>
      </c>
      <c r="H91" s="83">
        <f t="shared" si="74"/>
        <v>3328.9439999999995</v>
      </c>
      <c r="I91" s="83">
        <f t="shared" si="74"/>
        <v>3533.0529999999999</v>
      </c>
      <c r="J91" s="83">
        <f t="shared" si="74"/>
        <v>3828.1439999999998</v>
      </c>
      <c r="K91" s="83">
        <f t="shared" ref="K91:P91" si="75">K11</f>
        <v>4250.4459999999999</v>
      </c>
      <c r="L91" s="83">
        <f t="shared" si="75"/>
        <v>4467.0889999999999</v>
      </c>
      <c r="M91" s="83">
        <f t="shared" si="75"/>
        <v>4695.384</v>
      </c>
      <c r="N91" s="83">
        <f t="shared" si="75"/>
        <v>5205.7149999999992</v>
      </c>
      <c r="O91" s="83">
        <f t="shared" si="75"/>
        <v>5768.4669999999996</v>
      </c>
      <c r="P91" s="83">
        <f t="shared" si="75"/>
        <v>6375.0709999999999</v>
      </c>
      <c r="Q91" s="83">
        <f>Q86*Q110</f>
        <v>6774.6502252469454</v>
      </c>
      <c r="R91" s="83">
        <f>R86*R110</f>
        <v>7098.2841085161981</v>
      </c>
      <c r="S91" s="83">
        <f>S86*S110</f>
        <v>7370.5613316818117</v>
      </c>
      <c r="T91" s="83">
        <f>T86*T110</f>
        <v>7598.2705701021032</v>
      </c>
      <c r="U91" s="83">
        <f>U86*U110</f>
        <v>7719.3922584043039</v>
      </c>
      <c r="V91" s="83"/>
    </row>
    <row r="92" spans="1:22">
      <c r="A92" s="6" t="str">
        <f>A12</f>
        <v>Depreciation &amp; Amortization</v>
      </c>
      <c r="B92" s="5"/>
      <c r="C92" s="83">
        <f>C12</f>
        <v>279.05900000000003</v>
      </c>
      <c r="D92" s="83">
        <f t="shared" si="74"/>
        <v>314.28500000000003</v>
      </c>
      <c r="E92" s="83">
        <f t="shared" si="74"/>
        <v>353.11</v>
      </c>
      <c r="F92" s="83">
        <f t="shared" si="74"/>
        <v>369.39600000000002</v>
      </c>
      <c r="G92" s="83">
        <f t="shared" si="74"/>
        <v>401.70699999999999</v>
      </c>
      <c r="H92" s="83">
        <f t="shared" si="74"/>
        <v>435.21800000000002</v>
      </c>
      <c r="I92" s="83">
        <f t="shared" si="74"/>
        <v>458.05200000000002</v>
      </c>
      <c r="J92" s="83">
        <f t="shared" si="74"/>
        <v>485.70100000000002</v>
      </c>
      <c r="K92" s="83">
        <f t="shared" si="74"/>
        <v>508.92899999999997</v>
      </c>
      <c r="L92" s="83">
        <f t="shared" ref="L92:U92" si="76">L12</f>
        <v>548.79999999999995</v>
      </c>
      <c r="M92" s="83">
        <f t="shared" si="76"/>
        <v>589</v>
      </c>
      <c r="N92" s="83">
        <f t="shared" si="76"/>
        <v>616.69600000000003</v>
      </c>
      <c r="O92" s="83">
        <f t="shared" si="76"/>
        <v>658.79600000000005</v>
      </c>
      <c r="P92" s="83">
        <f t="shared" si="76"/>
        <v>726</v>
      </c>
      <c r="Q92" s="83">
        <f t="shared" si="76"/>
        <v>720</v>
      </c>
      <c r="R92" s="83">
        <f t="shared" si="76"/>
        <v>763.2</v>
      </c>
      <c r="S92" s="83">
        <f t="shared" si="76"/>
        <v>808.99200000000008</v>
      </c>
      <c r="T92" s="83">
        <f t="shared" si="76"/>
        <v>857.53152000000011</v>
      </c>
      <c r="U92" s="83">
        <f t="shared" si="76"/>
        <v>0</v>
      </c>
      <c r="V92" s="83"/>
    </row>
    <row r="93" spans="1:22">
      <c r="A93" s="394" t="s">
        <v>469</v>
      </c>
      <c r="B93" s="5"/>
      <c r="C93" s="393">
        <f>C90-C91</f>
        <v>1014.7080000000005</v>
      </c>
      <c r="D93" s="393">
        <f t="shared" ref="D93:K93" si="77">D90-D91</f>
        <v>1038.9590000000017</v>
      </c>
      <c r="E93" s="393">
        <f t="shared" si="77"/>
        <v>1267.3740000000007</v>
      </c>
      <c r="F93" s="393">
        <f t="shared" si="77"/>
        <v>1455.5110000000004</v>
      </c>
      <c r="G93" s="393">
        <f t="shared" si="77"/>
        <v>1434.7309999999961</v>
      </c>
      <c r="H93" s="393">
        <f t="shared" si="77"/>
        <v>1991.0709999999999</v>
      </c>
      <c r="I93" s="393">
        <f t="shared" si="77"/>
        <v>2332.5369999999966</v>
      </c>
      <c r="J93" s="393">
        <f t="shared" si="77"/>
        <v>2515.8330000000028</v>
      </c>
      <c r="K93" s="393">
        <f t="shared" si="77"/>
        <v>3106.5260000000017</v>
      </c>
      <c r="L93" s="393">
        <f t="shared" ref="L93:U93" si="78">L90-L91</f>
        <v>3350.5699999999997</v>
      </c>
      <c r="M93" s="393">
        <f t="shared" si="78"/>
        <v>3606.5009999999984</v>
      </c>
      <c r="N93" s="393">
        <f t="shared" si="78"/>
        <v>3704.699999999998</v>
      </c>
      <c r="O93" s="393">
        <f t="shared" si="78"/>
        <v>3849.5230000000056</v>
      </c>
      <c r="P93" s="393">
        <f t="shared" si="78"/>
        <v>3987.4260000000031</v>
      </c>
      <c r="Q93" s="393">
        <f t="shared" si="78"/>
        <v>3706.9808756708153</v>
      </c>
      <c r="R93" s="393">
        <f t="shared" si="78"/>
        <v>3779.3566739937614</v>
      </c>
      <c r="S93" s="393">
        <f t="shared" si="78"/>
        <v>3786.3830402130852</v>
      </c>
      <c r="T93" s="393">
        <f t="shared" si="78"/>
        <v>3903.4734108117473</v>
      </c>
      <c r="U93" s="393">
        <f t="shared" si="78"/>
        <v>3996.8005126937214</v>
      </c>
    </row>
    <row r="94" spans="1:22" outlineLevel="1">
      <c r="A94" s="6"/>
      <c r="B94" s="5"/>
      <c r="C94" s="83"/>
      <c r="D94" s="83"/>
      <c r="E94" s="83"/>
      <c r="F94" s="83"/>
      <c r="G94" s="83"/>
      <c r="H94" s="83"/>
      <c r="I94" s="83"/>
      <c r="J94" s="83"/>
      <c r="K94" s="83"/>
      <c r="L94" s="83"/>
      <c r="M94" s="83"/>
      <c r="N94" s="83"/>
      <c r="O94" s="83"/>
      <c r="P94" s="5"/>
      <c r="Q94" s="5"/>
      <c r="R94" s="5"/>
      <c r="S94" s="5"/>
      <c r="T94" s="5"/>
      <c r="U94" s="5"/>
    </row>
    <row r="95" spans="1:22" outlineLevel="1">
      <c r="A95" s="6" t="s">
        <v>8</v>
      </c>
      <c r="B95" s="5"/>
      <c r="C95" s="83">
        <f>C15</f>
        <v>25.757000000000001</v>
      </c>
      <c r="D95" s="83">
        <f t="shared" ref="D95:K95" si="79">D15</f>
        <v>29.631999999999998</v>
      </c>
      <c r="E95" s="83">
        <f t="shared" si="79"/>
        <v>15.565999999999999</v>
      </c>
      <c r="F95" s="83">
        <f t="shared" si="79"/>
        <v>-1.5980000000000001</v>
      </c>
      <c r="G95" s="83">
        <f t="shared" si="79"/>
        <v>14.291</v>
      </c>
      <c r="H95" s="83">
        <f t="shared" si="79"/>
        <v>39.509</v>
      </c>
      <c r="I95" s="83">
        <f t="shared" si="79"/>
        <v>39.137</v>
      </c>
      <c r="J95" s="83">
        <f t="shared" si="79"/>
        <v>35.647999999999996</v>
      </c>
      <c r="K95" s="83">
        <f t="shared" si="79"/>
        <v>29.174999999999997</v>
      </c>
      <c r="L95" s="83">
        <f t="shared" ref="L95:U95" si="80">L15</f>
        <v>31.081000000000003</v>
      </c>
      <c r="M95" s="83">
        <f t="shared" si="80"/>
        <v>39.786999999999999</v>
      </c>
      <c r="N95" s="83">
        <f t="shared" si="80"/>
        <v>46.400000000000006</v>
      </c>
      <c r="O95" s="83">
        <f t="shared" si="80"/>
        <v>43.534000000000006</v>
      </c>
      <c r="P95" s="83">
        <f t="shared" si="80"/>
        <v>130.83799999999999</v>
      </c>
      <c r="Q95" s="83">
        <f t="shared" si="80"/>
        <v>26</v>
      </c>
      <c r="R95" s="83">
        <f t="shared" si="80"/>
        <v>26</v>
      </c>
      <c r="S95" s="83">
        <f t="shared" si="80"/>
        <v>26</v>
      </c>
      <c r="T95" s="83">
        <f t="shared" si="80"/>
        <v>26</v>
      </c>
      <c r="U95" s="83">
        <f t="shared" si="80"/>
        <v>26</v>
      </c>
    </row>
    <row r="96" spans="1:22" outlineLevel="1">
      <c r="A96" s="394" t="s">
        <v>437</v>
      </c>
      <c r="B96" s="5"/>
      <c r="C96" s="393">
        <f>C93-C95</f>
        <v>988.95100000000059</v>
      </c>
      <c r="D96" s="393">
        <f t="shared" ref="D96:L96" si="81">D93-D95</f>
        <v>1009.3270000000017</v>
      </c>
      <c r="E96" s="393">
        <f t="shared" si="81"/>
        <v>1251.8080000000007</v>
      </c>
      <c r="F96" s="393">
        <f t="shared" si="81"/>
        <v>1457.1090000000004</v>
      </c>
      <c r="G96" s="393">
        <f t="shared" si="81"/>
        <v>1420.4399999999962</v>
      </c>
      <c r="H96" s="393">
        <f t="shared" si="81"/>
        <v>1951.5619999999999</v>
      </c>
      <c r="I96" s="393">
        <f t="shared" si="81"/>
        <v>2293.3999999999965</v>
      </c>
      <c r="J96" s="393">
        <f t="shared" si="81"/>
        <v>2480.1850000000027</v>
      </c>
      <c r="K96" s="393">
        <f t="shared" si="81"/>
        <v>3077.3510000000015</v>
      </c>
      <c r="L96" s="393">
        <f t="shared" si="81"/>
        <v>3319.4889999999996</v>
      </c>
      <c r="M96" s="393">
        <f t="shared" ref="M96:R96" si="82">M93-M95</f>
        <v>3566.7139999999986</v>
      </c>
      <c r="N96" s="393">
        <f>N93-N95</f>
        <v>3658.2999999999979</v>
      </c>
      <c r="O96" s="393">
        <f>O93-O95</f>
        <v>3805.9890000000055</v>
      </c>
      <c r="P96" s="393">
        <f>P93-P95</f>
        <v>3856.5880000000029</v>
      </c>
      <c r="Q96" s="393">
        <f t="shared" si="82"/>
        <v>3680.9808756708153</v>
      </c>
      <c r="R96" s="393">
        <f t="shared" si="82"/>
        <v>3753.3566739937614</v>
      </c>
      <c r="S96" s="393">
        <f>S93-S95</f>
        <v>3760.3830402130852</v>
      </c>
      <c r="T96" s="393">
        <f>T93-T95</f>
        <v>3877.4734108117473</v>
      </c>
      <c r="U96" s="393">
        <f>U93-U95</f>
        <v>3970.8005126937214</v>
      </c>
    </row>
    <row r="97" spans="1:24" outlineLevel="1">
      <c r="A97" s="6"/>
      <c r="B97" s="5"/>
      <c r="C97" s="83"/>
      <c r="D97" s="83"/>
      <c r="E97" s="83"/>
      <c r="F97" s="83"/>
      <c r="G97" s="83"/>
      <c r="H97" s="83"/>
      <c r="I97" s="83"/>
      <c r="J97" s="83"/>
      <c r="K97" s="83"/>
      <c r="L97" s="83"/>
      <c r="M97" s="83"/>
      <c r="N97" s="83"/>
      <c r="O97" s="83"/>
      <c r="P97" s="5"/>
      <c r="Q97" s="5"/>
      <c r="R97" s="5"/>
      <c r="S97" s="5"/>
      <c r="T97" s="5"/>
      <c r="U97" s="5"/>
    </row>
    <row r="98" spans="1:24">
      <c r="A98" s="6" t="s">
        <v>456</v>
      </c>
      <c r="B98" s="5"/>
      <c r="C98" s="83">
        <f>C18</f>
        <v>379.25200000000007</v>
      </c>
      <c r="D98" s="83">
        <f t="shared" ref="D98:K98" si="83">D18</f>
        <v>318.904</v>
      </c>
      <c r="E98" s="83">
        <f t="shared" si="83"/>
        <v>470.09199999999998</v>
      </c>
      <c r="F98" s="83">
        <f t="shared" si="83"/>
        <v>477.65494999999999</v>
      </c>
      <c r="G98" s="83">
        <f t="shared" si="83"/>
        <v>524.15899999999999</v>
      </c>
      <c r="H98" s="83">
        <f t="shared" si="83"/>
        <v>737.99</v>
      </c>
      <c r="I98" s="83">
        <f t="shared" si="83"/>
        <v>873.04605000000004</v>
      </c>
      <c r="J98" s="83">
        <f t="shared" si="83"/>
        <v>941.52587699999992</v>
      </c>
      <c r="K98" s="83">
        <f t="shared" si="83"/>
        <v>1170.664</v>
      </c>
      <c r="L98" s="83">
        <f t="shared" ref="L98:N99" si="84">L18</f>
        <v>1182.0948800000001</v>
      </c>
      <c r="M98" s="83">
        <f t="shared" si="84"/>
        <v>1341.1009100000001</v>
      </c>
      <c r="N98" s="83">
        <f t="shared" si="84"/>
        <v>1380.6420000000001</v>
      </c>
      <c r="O98" s="83">
        <f>O18</f>
        <v>1455.49902</v>
      </c>
      <c r="P98" s="83">
        <f>P18</f>
        <v>1248.6400000000001</v>
      </c>
      <c r="Q98" s="83">
        <f>Q96*Q112</f>
        <v>954.69703770259355</v>
      </c>
      <c r="R98" s="83">
        <f>R96*R112</f>
        <v>973.46838224202554</v>
      </c>
      <c r="S98" s="83">
        <f>S96*S112</f>
        <v>975.29073645737571</v>
      </c>
      <c r="T98" s="83">
        <f>T96*T112</f>
        <v>1005.6592261968585</v>
      </c>
      <c r="U98" s="83">
        <f>U96*U112</f>
        <v>1029.8644885205458</v>
      </c>
      <c r="W98" s="5"/>
    </row>
    <row r="99" spans="1:24" outlineLevel="1">
      <c r="A99" s="83" t="s">
        <v>13</v>
      </c>
      <c r="B99" s="5"/>
      <c r="C99" s="83">
        <f>C19</f>
        <v>0</v>
      </c>
      <c r="D99" s="83">
        <f t="shared" ref="D99:K99" si="85">D19</f>
        <v>0</v>
      </c>
      <c r="E99" s="83">
        <f t="shared" si="85"/>
        <v>0</v>
      </c>
      <c r="F99" s="83">
        <f t="shared" si="85"/>
        <v>76.975704000000007</v>
      </c>
      <c r="G99" s="83">
        <f t="shared" si="85"/>
        <v>0</v>
      </c>
      <c r="H99" s="83">
        <f t="shared" si="85"/>
        <v>0</v>
      </c>
      <c r="I99" s="83">
        <f t="shared" si="85"/>
        <v>0</v>
      </c>
      <c r="J99" s="83">
        <f t="shared" si="85"/>
        <v>0</v>
      </c>
      <c r="K99" s="83">
        <f t="shared" si="85"/>
        <v>0</v>
      </c>
      <c r="L99" s="83">
        <f t="shared" si="84"/>
        <v>0</v>
      </c>
      <c r="M99" s="83">
        <f t="shared" si="84"/>
        <v>0</v>
      </c>
      <c r="N99" s="83">
        <f t="shared" si="84"/>
        <v>0</v>
      </c>
      <c r="O99" s="83">
        <f>O19</f>
        <v>0</v>
      </c>
      <c r="P99" s="83">
        <f>P19</f>
        <v>0</v>
      </c>
      <c r="Q99" s="83">
        <f>Q19</f>
        <v>0</v>
      </c>
      <c r="R99" s="83">
        <f>R19</f>
        <v>0</v>
      </c>
      <c r="S99" s="83">
        <f>S19</f>
        <v>0</v>
      </c>
      <c r="T99" s="83">
        <f>T19</f>
        <v>0</v>
      </c>
      <c r="U99" s="83">
        <f>U19</f>
        <v>0</v>
      </c>
    </row>
    <row r="100" spans="1:24" outlineLevel="1">
      <c r="A100" s="6"/>
      <c r="B100" s="5"/>
      <c r="C100" s="83"/>
      <c r="D100" s="83"/>
      <c r="E100" s="83"/>
      <c r="F100" s="83"/>
      <c r="G100" s="83"/>
      <c r="H100" s="83"/>
      <c r="I100" s="83"/>
      <c r="J100" s="83"/>
      <c r="K100" s="83"/>
      <c r="L100" s="83"/>
      <c r="M100" s="83"/>
      <c r="N100" s="83"/>
      <c r="O100" s="83"/>
      <c r="P100" s="5"/>
      <c r="Q100" s="5"/>
      <c r="R100" s="5"/>
      <c r="S100" s="5"/>
      <c r="T100" s="5"/>
      <c r="U100" s="5"/>
    </row>
    <row r="101" spans="1:24" outlineLevel="1">
      <c r="A101" s="6" t="s">
        <v>9</v>
      </c>
      <c r="B101" s="5"/>
      <c r="C101" s="393">
        <f>C96-C98-C99</f>
        <v>609.69900000000052</v>
      </c>
      <c r="D101" s="393">
        <f t="shared" ref="D101:K101" si="86">D96-D98-D99</f>
        <v>690.42300000000171</v>
      </c>
      <c r="E101" s="393">
        <f t="shared" si="86"/>
        <v>781.71600000000069</v>
      </c>
      <c r="F101" s="393">
        <f t="shared" si="86"/>
        <v>902.47834600000033</v>
      </c>
      <c r="G101" s="393">
        <f t="shared" si="86"/>
        <v>896.2809999999962</v>
      </c>
      <c r="H101" s="393">
        <f t="shared" si="86"/>
        <v>1213.5719999999999</v>
      </c>
      <c r="I101" s="393">
        <f t="shared" si="86"/>
        <v>1420.3539499999965</v>
      </c>
      <c r="J101" s="393">
        <f t="shared" si="86"/>
        <v>1538.6591230000026</v>
      </c>
      <c r="K101" s="393">
        <f t="shared" si="86"/>
        <v>1906.6870000000015</v>
      </c>
      <c r="L101" s="393">
        <f t="shared" ref="L101:U101" si="87">L96-L98-L99</f>
        <v>2137.3941199999995</v>
      </c>
      <c r="M101" s="393">
        <f t="shared" si="87"/>
        <v>2225.6130899999985</v>
      </c>
      <c r="N101" s="393">
        <f t="shared" si="87"/>
        <v>2277.6579999999976</v>
      </c>
      <c r="O101" s="393">
        <f t="shared" si="87"/>
        <v>2350.4899800000057</v>
      </c>
      <c r="P101" s="393">
        <f t="shared" si="87"/>
        <v>2607.948000000003</v>
      </c>
      <c r="Q101" s="393">
        <f t="shared" si="87"/>
        <v>2726.2838379682216</v>
      </c>
      <c r="R101" s="393">
        <f t="shared" si="87"/>
        <v>2779.8882917517358</v>
      </c>
      <c r="S101" s="393">
        <f t="shared" si="87"/>
        <v>2785.0923037557095</v>
      </c>
      <c r="T101" s="393">
        <f t="shared" si="87"/>
        <v>2871.8141846148887</v>
      </c>
      <c r="U101" s="393">
        <f t="shared" si="87"/>
        <v>2940.9360241731756</v>
      </c>
    </row>
    <row r="102" spans="1:24" outlineLevel="1">
      <c r="A102" s="6"/>
      <c r="B102" s="5"/>
      <c r="C102" s="5"/>
      <c r="D102" s="5"/>
      <c r="E102" s="5"/>
      <c r="F102" s="5"/>
      <c r="G102" s="5"/>
      <c r="H102" s="5"/>
      <c r="I102" s="5"/>
      <c r="J102" s="5"/>
      <c r="K102" s="5"/>
      <c r="L102" s="5"/>
      <c r="M102" s="5"/>
      <c r="N102" s="5"/>
      <c r="O102" s="5"/>
      <c r="P102" s="5"/>
      <c r="Q102" s="5"/>
      <c r="R102" s="5"/>
      <c r="S102" s="5"/>
      <c r="T102" s="5"/>
      <c r="U102" s="5"/>
    </row>
    <row r="103" spans="1:24">
      <c r="A103" s="129" t="s">
        <v>10</v>
      </c>
      <c r="B103" s="129"/>
      <c r="C103" s="388">
        <f t="shared" ref="C103:J103" si="88">C101/C104</f>
        <v>0.59814190899156605</v>
      </c>
      <c r="D103" s="388">
        <f t="shared" si="88"/>
        <v>0.70236384416814601</v>
      </c>
      <c r="E103" s="388">
        <f t="shared" si="88"/>
        <v>0.81421116770302848</v>
      </c>
      <c r="F103" s="388">
        <f t="shared" si="88"/>
        <v>0.96409150596308946</v>
      </c>
      <c r="G103" s="388">
        <f t="shared" si="88"/>
        <v>1.0133079332059516</v>
      </c>
      <c r="H103" s="388">
        <f t="shared" si="88"/>
        <v>1.4189874631389154</v>
      </c>
      <c r="I103" s="388">
        <f t="shared" si="88"/>
        <v>1.7474268170555525</v>
      </c>
      <c r="J103" s="388">
        <f t="shared" si="88"/>
        <v>1.9885174482922652</v>
      </c>
      <c r="K103" s="388">
        <f t="shared" ref="K103:T103" si="89">K101/K104</f>
        <v>2.5505641725358021</v>
      </c>
      <c r="L103" s="388">
        <f t="shared" si="89"/>
        <v>2.942545073075101</v>
      </c>
      <c r="M103" s="388">
        <f t="shared" si="89"/>
        <v>3.1624659586825721</v>
      </c>
      <c r="N103" s="388">
        <f t="shared" si="89"/>
        <v>3.3347261834345479</v>
      </c>
      <c r="O103" s="388">
        <f t="shared" si="89"/>
        <v>3.5375929816745817</v>
      </c>
      <c r="P103" s="388">
        <f>P101/P104</f>
        <v>4.0364151337630929</v>
      </c>
      <c r="Q103" s="388">
        <f t="shared" si="89"/>
        <v>4.3555153336820895</v>
      </c>
      <c r="R103" s="388">
        <f t="shared" si="89"/>
        <v>4.6534154129646055</v>
      </c>
      <c r="S103" s="388">
        <f t="shared" si="89"/>
        <v>4.8157157736852634</v>
      </c>
      <c r="T103" s="388">
        <f t="shared" si="89"/>
        <v>5.1251825487688549</v>
      </c>
      <c r="U103" s="388">
        <f>U101/U104</f>
        <v>5.4188209509865164</v>
      </c>
      <c r="W103" s="445"/>
      <c r="X103" s="445"/>
    </row>
    <row r="104" spans="1:24">
      <c r="A104" s="6" t="s">
        <v>11</v>
      </c>
      <c r="B104" s="5"/>
      <c r="C104" s="83">
        <f>C63</f>
        <v>1019.321654</v>
      </c>
      <c r="D104" s="83">
        <f t="shared" ref="D104:K104" si="90">D63</f>
        <v>982.99906199999998</v>
      </c>
      <c r="E104" s="83">
        <f t="shared" si="90"/>
        <v>960.09</v>
      </c>
      <c r="F104" s="83">
        <f t="shared" si="90"/>
        <v>936.09199999999998</v>
      </c>
      <c r="G104" s="83">
        <f t="shared" si="90"/>
        <v>884.51</v>
      </c>
      <c r="H104" s="83">
        <f t="shared" si="90"/>
        <v>855.23800000000006</v>
      </c>
      <c r="I104" s="83">
        <f t="shared" si="90"/>
        <v>812.82600000000002</v>
      </c>
      <c r="J104" s="83">
        <f t="shared" si="90"/>
        <v>773.77200000000005</v>
      </c>
      <c r="K104" s="83">
        <f t="shared" si="90"/>
        <v>747.55499999999995</v>
      </c>
      <c r="L104" s="83">
        <f t="shared" ref="L104:U104" si="91">L63</f>
        <v>726.37599999999998</v>
      </c>
      <c r="M104" s="83">
        <f t="shared" si="91"/>
        <v>703.75874999999996</v>
      </c>
      <c r="N104" s="83">
        <f t="shared" si="91"/>
        <v>683.01200000000006</v>
      </c>
      <c r="O104" s="83">
        <f t="shared" si="91"/>
        <v>664.43200000000002</v>
      </c>
      <c r="P104" s="83">
        <f t="shared" si="91"/>
        <v>646.10500000000002</v>
      </c>
      <c r="Q104" s="83">
        <f t="shared" si="91"/>
        <v>625.93829411764705</v>
      </c>
      <c r="R104" s="83">
        <f t="shared" si="91"/>
        <v>597.38666013071895</v>
      </c>
      <c r="S104" s="83">
        <f t="shared" si="91"/>
        <v>578.33402855177155</v>
      </c>
      <c r="T104" s="83">
        <f t="shared" si="91"/>
        <v>560.33402855177155</v>
      </c>
      <c r="U104" s="83">
        <f t="shared" si="91"/>
        <v>542.72618541451664</v>
      </c>
    </row>
    <row r="105" spans="1:24" outlineLevel="1">
      <c r="A105" s="6"/>
      <c r="B105" s="5"/>
      <c r="C105" s="5"/>
      <c r="D105" s="5"/>
      <c r="E105" s="5"/>
      <c r="F105" s="5"/>
      <c r="G105" s="5"/>
      <c r="H105" s="5"/>
      <c r="I105" s="5"/>
      <c r="J105" s="5"/>
      <c r="K105" s="5"/>
      <c r="L105" s="5"/>
      <c r="M105" s="5"/>
      <c r="N105" s="5"/>
      <c r="O105" s="5"/>
      <c r="P105" s="4"/>
      <c r="Q105" s="4">
        <f>Q91/P91-1</f>
        <v>6.2678396091109478E-2</v>
      </c>
      <c r="R105" s="4">
        <f>R91/Q91-1</f>
        <v>4.7771305160991595E-2</v>
      </c>
      <c r="S105" s="4">
        <f>S91/R91-1</f>
        <v>3.8358174877636708E-2</v>
      </c>
      <c r="T105" s="4">
        <f>T91/S91-1</f>
        <v>3.0894422849654601E-2</v>
      </c>
      <c r="U105" s="4">
        <f>U91/T91-1</f>
        <v>1.5940691659335426E-2</v>
      </c>
    </row>
    <row r="106" spans="1:24" outlineLevel="1">
      <c r="A106" s="6" t="s">
        <v>436</v>
      </c>
      <c r="B106" s="5"/>
      <c r="C106" s="393">
        <f>C92+C93</f>
        <v>1293.7670000000005</v>
      </c>
      <c r="D106" s="393">
        <f t="shared" ref="D106:K106" si="92">D92+D93</f>
        <v>1353.2440000000017</v>
      </c>
      <c r="E106" s="393">
        <f t="shared" si="92"/>
        <v>1620.4840000000008</v>
      </c>
      <c r="F106" s="393">
        <f t="shared" si="92"/>
        <v>1824.9070000000004</v>
      </c>
      <c r="G106" s="393">
        <f t="shared" si="92"/>
        <v>1836.437999999996</v>
      </c>
      <c r="H106" s="393">
        <f t="shared" si="92"/>
        <v>2426.2889999999998</v>
      </c>
      <c r="I106" s="393">
        <f t="shared" si="92"/>
        <v>2790.5889999999968</v>
      </c>
      <c r="J106" s="393">
        <f t="shared" si="92"/>
        <v>3001.5340000000028</v>
      </c>
      <c r="K106" s="393">
        <f t="shared" si="92"/>
        <v>3615.4550000000017</v>
      </c>
      <c r="L106" s="393">
        <f t="shared" ref="L106:U106" si="93">L92+L93</f>
        <v>3899.37</v>
      </c>
      <c r="M106" s="393">
        <f t="shared" si="93"/>
        <v>4195.5009999999984</v>
      </c>
      <c r="N106" s="393">
        <f t="shared" si="93"/>
        <v>4321.3959999999979</v>
      </c>
      <c r="O106" s="393">
        <f t="shared" si="93"/>
        <v>4508.3190000000059</v>
      </c>
      <c r="P106" s="393">
        <f t="shared" si="93"/>
        <v>4713.4260000000031</v>
      </c>
      <c r="Q106" s="393">
        <f t="shared" si="93"/>
        <v>4426.9808756708153</v>
      </c>
      <c r="R106" s="393">
        <f t="shared" si="93"/>
        <v>4542.5566739937613</v>
      </c>
      <c r="S106" s="393">
        <f t="shared" si="93"/>
        <v>4595.3750402130854</v>
      </c>
      <c r="T106" s="393">
        <f t="shared" si="93"/>
        <v>4761.0049308117477</v>
      </c>
      <c r="U106" s="393">
        <f t="shared" si="93"/>
        <v>3996.8005126937214</v>
      </c>
    </row>
    <row r="107" spans="1:24">
      <c r="A107" s="6"/>
      <c r="B107" s="5"/>
      <c r="C107" s="5"/>
      <c r="D107" s="5"/>
      <c r="E107" s="5"/>
      <c r="F107" s="5"/>
      <c r="G107" s="5"/>
      <c r="H107" s="5"/>
      <c r="I107" s="5"/>
      <c r="J107" s="5"/>
      <c r="K107" s="5"/>
      <c r="L107" s="5"/>
      <c r="M107" s="5"/>
      <c r="N107" s="439"/>
      <c r="O107" s="439"/>
      <c r="P107" s="439"/>
      <c r="Q107" s="439"/>
      <c r="R107" s="439"/>
      <c r="S107" s="439"/>
      <c r="T107" s="439"/>
      <c r="U107" s="439"/>
    </row>
    <row r="108" spans="1:24">
      <c r="A108" s="9" t="s">
        <v>461</v>
      </c>
      <c r="B108" s="5"/>
      <c r="C108" s="5"/>
      <c r="D108" s="5"/>
      <c r="E108" s="5"/>
      <c r="F108" s="5"/>
      <c r="G108" s="5"/>
      <c r="H108" s="5"/>
      <c r="I108" s="5"/>
      <c r="J108" s="5"/>
      <c r="K108" s="5"/>
      <c r="L108" s="5"/>
      <c r="M108" s="5"/>
      <c r="N108" s="5"/>
      <c r="O108" s="5"/>
      <c r="P108" s="5"/>
      <c r="Q108" s="5"/>
      <c r="R108" s="5"/>
      <c r="S108" s="5"/>
      <c r="T108" s="5"/>
      <c r="U108" s="5"/>
    </row>
    <row r="109" spans="1:24">
      <c r="A109" s="6" t="s">
        <v>439</v>
      </c>
      <c r="B109" s="5"/>
      <c r="C109" s="61">
        <f>C90/C86</f>
        <v>0.23550899098039896</v>
      </c>
      <c r="D109" s="61">
        <f t="shared" ref="D109:J109" si="94">D90/D86</f>
        <v>0.23433392898900146</v>
      </c>
      <c r="E109" s="61">
        <f t="shared" si="94"/>
        <v>0.24079410561679629</v>
      </c>
      <c r="F109" s="61">
        <f t="shared" si="94"/>
        <v>0.24516504003118672</v>
      </c>
      <c r="G109" s="61">
        <f t="shared" si="94"/>
        <v>0.24054942484027855</v>
      </c>
      <c r="H109" s="61">
        <f t="shared" si="94"/>
        <v>0.26221897549166412</v>
      </c>
      <c r="I109" s="61">
        <f t="shared" si="94"/>
        <v>0.27076222308461445</v>
      </c>
      <c r="J109" s="61">
        <f t="shared" si="94"/>
        <v>0.27365693872538394</v>
      </c>
      <c r="K109" s="61">
        <f t="shared" ref="K109:P109" si="95">K90/K86</f>
        <v>0.28429037189820133</v>
      </c>
      <c r="L109" s="61">
        <f t="shared" si="95"/>
        <v>0.28507988419519364</v>
      </c>
      <c r="M109" s="61">
        <f t="shared" si="95"/>
        <v>0.28549999317362873</v>
      </c>
      <c r="N109" s="61">
        <f t="shared" si="95"/>
        <v>0.28794418654191511</v>
      </c>
      <c r="O109" s="61">
        <f t="shared" si="95"/>
        <v>0.28984041101570707</v>
      </c>
      <c r="P109" s="61">
        <f t="shared" si="95"/>
        <v>0.28893333560855339</v>
      </c>
      <c r="Q109" s="358">
        <f>Q29-0.004</f>
        <v>0.28308530846525964</v>
      </c>
      <c r="R109" s="358">
        <f>R29-0.005</f>
        <v>0.28350000000000003</v>
      </c>
      <c r="S109" s="358">
        <f>S29-0.009</f>
        <v>0.28139999999999993</v>
      </c>
      <c r="T109" s="358">
        <f>T29-0.01</f>
        <v>0.28110000000000013</v>
      </c>
      <c r="U109" s="358">
        <f>U29-0.01</f>
        <v>0.28199999999999997</v>
      </c>
    </row>
    <row r="110" spans="1:24">
      <c r="A110" s="6" t="s">
        <v>463</v>
      </c>
      <c r="B110" s="5"/>
      <c r="C110" s="61">
        <f>C91/C86</f>
        <v>0.16746935195040172</v>
      </c>
      <c r="D110" s="61">
        <f t="shared" ref="D110:J110" si="96">D91/D86</f>
        <v>0.16963326853670785</v>
      </c>
      <c r="E110" s="61">
        <f t="shared" si="96"/>
        <v>0.16797592503652906</v>
      </c>
      <c r="F110" s="61">
        <f t="shared" si="96"/>
        <v>0.16636939649056437</v>
      </c>
      <c r="G110" s="61">
        <f t="shared" si="96"/>
        <v>0.16503529960385813</v>
      </c>
      <c r="H110" s="61">
        <f t="shared" si="96"/>
        <v>0.16408079397316028</v>
      </c>
      <c r="I110" s="61">
        <f t="shared" si="96"/>
        <v>0.1630896950785457</v>
      </c>
      <c r="J110" s="61">
        <f t="shared" si="96"/>
        <v>0.16513271848872491</v>
      </c>
      <c r="K110" s="61">
        <f t="shared" ref="K110:P110" si="97">K91/K86</f>
        <v>0.16424703996062812</v>
      </c>
      <c r="L110" s="61">
        <f t="shared" si="97"/>
        <v>0.16289751379660117</v>
      </c>
      <c r="M110" s="61">
        <f t="shared" si="97"/>
        <v>0.1614732196299474</v>
      </c>
      <c r="N110" s="61">
        <f t="shared" si="97"/>
        <v>0.16822509064325802</v>
      </c>
      <c r="O110" s="61">
        <f t="shared" si="97"/>
        <v>0.173834121912223</v>
      </c>
      <c r="P110" s="61">
        <f t="shared" si="97"/>
        <v>0.17775354036496757</v>
      </c>
      <c r="Q110" s="358">
        <f>Q30+0.0045</f>
        <v>0.18296808295326777</v>
      </c>
      <c r="R110" s="358">
        <f>R30+0.007</f>
        <v>0.185</v>
      </c>
      <c r="S110" s="358">
        <f>S30+0.008</f>
        <v>0.18590000000000001</v>
      </c>
      <c r="T110" s="358">
        <f>T30+0.008</f>
        <v>0.1857</v>
      </c>
      <c r="U110" s="358">
        <f>U30+0.008</f>
        <v>0.18580000000000002</v>
      </c>
    </row>
    <row r="111" spans="1:24">
      <c r="A111" s="6" t="s">
        <v>441</v>
      </c>
      <c r="B111" s="5"/>
      <c r="C111" s="61">
        <f>C93/C86</f>
        <v>6.8039639029997254E-2</v>
      </c>
      <c r="D111" s="61">
        <f t="shared" ref="D111:P111" si="98">D93/D86</f>
        <v>6.4700660452293626E-2</v>
      </c>
      <c r="E111" s="61">
        <f t="shared" si="98"/>
        <v>7.2818180580267233E-2</v>
      </c>
      <c r="F111" s="61">
        <f t="shared" si="98"/>
        <v>7.8795643540622337E-2</v>
      </c>
      <c r="G111" s="61">
        <f t="shared" si="98"/>
        <v>7.551412523642044E-2</v>
      </c>
      <c r="H111" s="61">
        <f t="shared" si="98"/>
        <v>9.8138181518503828E-2</v>
      </c>
      <c r="I111" s="61">
        <f t="shared" si="98"/>
        <v>0.10767252800606876</v>
      </c>
      <c r="J111" s="61">
        <f t="shared" si="98"/>
        <v>0.108524220236659</v>
      </c>
      <c r="K111" s="61">
        <f t="shared" si="98"/>
        <v>0.12004333193757324</v>
      </c>
      <c r="L111" s="61">
        <f>L93/L86</f>
        <v>0.12218237039859245</v>
      </c>
      <c r="M111" s="61">
        <f>M93/M86</f>
        <v>0.12402677354368134</v>
      </c>
      <c r="N111" s="61">
        <f>N93/N86</f>
        <v>0.1197190958986571</v>
      </c>
      <c r="O111" s="61">
        <f>O93/O86</f>
        <v>0.11600628910348407</v>
      </c>
      <c r="P111" s="61">
        <f t="shared" si="98"/>
        <v>0.11117979524358579</v>
      </c>
      <c r="Q111" s="61">
        <f>Q93/Q86</f>
        <v>0.10011722551199187</v>
      </c>
      <c r="R111" s="61">
        <f>R93/R86</f>
        <v>9.8500000000000046E-2</v>
      </c>
      <c r="S111" s="61">
        <f>S93/S86</f>
        <v>9.5499999999999932E-2</v>
      </c>
      <c r="T111" s="61">
        <f>T93/T86</f>
        <v>9.540000000000011E-2</v>
      </c>
      <c r="U111" s="61">
        <f>U93/U86</f>
        <v>9.6199999999999938E-2</v>
      </c>
    </row>
    <row r="112" spans="1:24">
      <c r="A112" s="6" t="s">
        <v>465</v>
      </c>
      <c r="B112" s="5"/>
      <c r="C112" s="61">
        <f>C98/C96</f>
        <v>0.38348917185987963</v>
      </c>
      <c r="D112" s="61">
        <f t="shared" ref="D112:J112" si="99">D98/D96</f>
        <v>0.31595706842281984</v>
      </c>
      <c r="E112" s="61">
        <f t="shared" si="99"/>
        <v>0.37553043278202386</v>
      </c>
      <c r="F112" s="61">
        <f t="shared" si="99"/>
        <v>0.327810033429208</v>
      </c>
      <c r="G112" s="61">
        <f t="shared" si="99"/>
        <v>0.3690117146799593</v>
      </c>
      <c r="H112" s="61">
        <f t="shared" si="99"/>
        <v>0.37815349960698152</v>
      </c>
      <c r="I112" s="61">
        <f t="shared" si="99"/>
        <v>0.38067761838318714</v>
      </c>
      <c r="J112" s="61">
        <f t="shared" si="99"/>
        <v>0.37961921267969884</v>
      </c>
      <c r="K112" s="61">
        <f>K98/K96</f>
        <v>0.3804128940767561</v>
      </c>
      <c r="L112" s="61">
        <f>L98/L96</f>
        <v>0.3561074852183575</v>
      </c>
      <c r="M112" s="61">
        <f>M98/M96</f>
        <v>0.37600461096684529</v>
      </c>
      <c r="N112" s="61">
        <f>N98/N96</f>
        <v>0.377399885192576</v>
      </c>
      <c r="O112" s="61">
        <f>O98/O96</f>
        <v>0.38242333858558125</v>
      </c>
      <c r="P112" s="61">
        <f t="shared" ref="P112:U112" si="100">P32</f>
        <v>0.32376805611592402</v>
      </c>
      <c r="Q112" s="61">
        <f t="shared" si="100"/>
        <v>0.25935941259912448</v>
      </c>
      <c r="R112" s="61">
        <f t="shared" si="100"/>
        <v>0.25935941259912448</v>
      </c>
      <c r="S112" s="61">
        <f t="shared" si="100"/>
        <v>0.25935941259912448</v>
      </c>
      <c r="T112" s="61">
        <f t="shared" si="100"/>
        <v>0.25935941259912448</v>
      </c>
      <c r="U112" s="61">
        <f t="shared" si="100"/>
        <v>0.25935941259912448</v>
      </c>
    </row>
    <row r="113" spans="1:29">
      <c r="A113" s="6"/>
      <c r="B113" s="5"/>
      <c r="C113" s="5"/>
      <c r="D113" s="5"/>
      <c r="E113" s="5"/>
      <c r="F113" s="5"/>
      <c r="G113" s="5"/>
      <c r="H113" s="5"/>
      <c r="I113" s="5"/>
      <c r="J113" s="5"/>
      <c r="K113" s="5"/>
      <c r="L113" s="5"/>
      <c r="M113" s="5"/>
      <c r="N113" s="5"/>
      <c r="O113" s="5"/>
      <c r="P113" s="5"/>
      <c r="Q113" s="5"/>
      <c r="R113" s="5"/>
      <c r="S113" s="5"/>
      <c r="T113" s="5"/>
      <c r="U113" s="5"/>
    </row>
    <row r="114" spans="1:29">
      <c r="A114" s="9" t="s">
        <v>466</v>
      </c>
      <c r="B114" s="5"/>
      <c r="C114" s="5"/>
      <c r="D114" s="5"/>
      <c r="E114" s="5"/>
      <c r="F114" s="5"/>
      <c r="G114" s="5"/>
      <c r="H114" s="5"/>
      <c r="I114" s="5"/>
      <c r="J114" s="5"/>
      <c r="K114" s="5"/>
      <c r="L114" s="5"/>
      <c r="M114" s="5"/>
      <c r="N114" s="5"/>
      <c r="O114" s="5"/>
      <c r="P114" s="5"/>
      <c r="Q114" s="5"/>
      <c r="R114" s="5"/>
      <c r="S114" s="5"/>
      <c r="T114" s="5"/>
      <c r="U114" s="5"/>
    </row>
    <row r="115" spans="1:29">
      <c r="A115" s="6" t="s">
        <v>556</v>
      </c>
      <c r="B115" s="5"/>
      <c r="C115" s="58" t="s">
        <v>120</v>
      </c>
      <c r="D115" s="155">
        <f>((D86/C86)-1)</f>
        <v>7.6739417612907701E-2</v>
      </c>
      <c r="E115" s="155">
        <f t="shared" ref="E115:O115" si="101">((E86/D86)-1)</f>
        <v>8.3865204336672328E-2</v>
      </c>
      <c r="F115" s="155">
        <f t="shared" si="101"/>
        <v>6.1324806716738678E-2</v>
      </c>
      <c r="G115" s="155">
        <f t="shared" si="101"/>
        <v>2.8558508611938427E-2</v>
      </c>
      <c r="H115" s="155">
        <f t="shared" si="101"/>
        <v>6.7840662164619703E-2</v>
      </c>
      <c r="I115" s="155">
        <f t="shared" si="101"/>
        <v>6.7763057630245038E-2</v>
      </c>
      <c r="J115" s="155">
        <f t="shared" si="101"/>
        <v>7.0117592230270809E-2</v>
      </c>
      <c r="K115" s="155">
        <f t="shared" si="101"/>
        <v>0.11630229124675084</v>
      </c>
      <c r="L115" s="155">
        <f t="shared" si="101"/>
        <v>5.9676242384953504E-2</v>
      </c>
      <c r="M115" s="155">
        <f t="shared" si="101"/>
        <v>6.0377396883223966E-2</v>
      </c>
      <c r="N115" s="155">
        <f t="shared" si="101"/>
        <v>6.4189589202737318E-2</v>
      </c>
      <c r="O115" s="155">
        <f t="shared" si="101"/>
        <v>7.2348052531241436E-2</v>
      </c>
      <c r="P115" s="155">
        <f t="shared" ref="P115:U115" si="102">P116+P122</f>
        <v>8.0790160386965404E-2</v>
      </c>
      <c r="Q115" s="155">
        <f t="shared" si="102"/>
        <v>3.2392339284693775E-2</v>
      </c>
      <c r="R115" s="155">
        <f t="shared" si="102"/>
        <v>3.626328150675661E-2</v>
      </c>
      <c r="S115" s="155">
        <f t="shared" si="102"/>
        <v>3.3331158431214591E-2</v>
      </c>
      <c r="T115" s="155">
        <f t="shared" si="102"/>
        <v>3.2004702249600413E-2</v>
      </c>
      <c r="U115" s="155">
        <f t="shared" si="102"/>
        <v>1.5393899037344436E-2</v>
      </c>
    </row>
    <row r="116" spans="1:29">
      <c r="A116" s="6" t="s">
        <v>12</v>
      </c>
      <c r="B116" s="5"/>
      <c r="C116" s="61">
        <f>C36</f>
        <v>0.05</v>
      </c>
      <c r="D116" s="61">
        <f t="shared" ref="D116:J116" si="103">D36</f>
        <v>0.02</v>
      </c>
      <c r="E116" s="61">
        <f t="shared" si="103"/>
        <v>0.03</v>
      </c>
      <c r="F116" s="61">
        <f t="shared" si="103"/>
        <v>0.02</v>
      </c>
      <c r="G116" s="61">
        <f t="shared" si="103"/>
        <v>0.01</v>
      </c>
      <c r="H116" s="61">
        <f t="shared" si="103"/>
        <v>0.06</v>
      </c>
      <c r="I116" s="61">
        <f t="shared" si="103"/>
        <v>0.04</v>
      </c>
      <c r="J116" s="61">
        <f t="shared" si="103"/>
        <v>0.04</v>
      </c>
      <c r="K116" s="61">
        <f t="shared" ref="K116:P116" si="104">K36</f>
        <v>7.0000000000000007E-2</v>
      </c>
      <c r="L116" s="61">
        <f t="shared" si="104"/>
        <v>0.03</v>
      </c>
      <c r="M116" s="61">
        <f t="shared" si="104"/>
        <v>0.02</v>
      </c>
      <c r="N116" s="61">
        <f t="shared" si="104"/>
        <v>0.05</v>
      </c>
      <c r="O116" s="61">
        <f t="shared" si="104"/>
        <v>0.05</v>
      </c>
      <c r="P116" s="61">
        <f t="shared" si="104"/>
        <v>0.02</v>
      </c>
      <c r="Q116" s="358">
        <v>0.01</v>
      </c>
      <c r="R116" s="358">
        <v>0.01</v>
      </c>
      <c r="S116" s="358">
        <v>0.01</v>
      </c>
      <c r="T116" s="358">
        <v>0.01</v>
      </c>
      <c r="U116" s="358">
        <v>0.01</v>
      </c>
    </row>
    <row r="117" spans="1:29">
      <c r="A117" s="6" t="s">
        <v>452</v>
      </c>
      <c r="B117" s="5"/>
      <c r="C117" s="58" t="s">
        <v>120</v>
      </c>
      <c r="D117" s="155">
        <f>((D91/C91)-1)</f>
        <v>9.0652257531176783E-2</v>
      </c>
      <c r="E117" s="155">
        <f t="shared" ref="E117:U117" si="105">((E91/D91)-1)</f>
        <v>7.3275672183145346E-2</v>
      </c>
      <c r="F117" s="155">
        <f t="shared" si="105"/>
        <v>5.1174253307611162E-2</v>
      </c>
      <c r="G117" s="155">
        <f t="shared" si="105"/>
        <v>2.0310617274469811E-2</v>
      </c>
      <c r="H117" s="155">
        <f t="shared" si="105"/>
        <v>6.1664650564853929E-2</v>
      </c>
      <c r="I117" s="155">
        <f t="shared" si="105"/>
        <v>6.1313437534545656E-2</v>
      </c>
      <c r="J117" s="155">
        <f t="shared" si="105"/>
        <v>8.352294743384836E-2</v>
      </c>
      <c r="K117" s="155">
        <f t="shared" si="105"/>
        <v>0.11031507696680176</v>
      </c>
      <c r="L117" s="155">
        <f t="shared" si="105"/>
        <v>5.0969474732769138E-2</v>
      </c>
      <c r="M117" s="155">
        <f t="shared" si="105"/>
        <v>5.1105988709873484E-2</v>
      </c>
      <c r="N117" s="155">
        <f t="shared" si="105"/>
        <v>0.1086878091333956</v>
      </c>
      <c r="O117" s="155">
        <f t="shared" si="105"/>
        <v>0.10810272940412613</v>
      </c>
      <c r="P117" s="155">
        <f t="shared" si="105"/>
        <v>0.10515861493183554</v>
      </c>
      <c r="Q117" s="155">
        <f t="shared" si="105"/>
        <v>6.2678396091109478E-2</v>
      </c>
      <c r="R117" s="155">
        <f t="shared" si="105"/>
        <v>4.7771305160991595E-2</v>
      </c>
      <c r="S117" s="155">
        <f t="shared" si="105"/>
        <v>3.8358174877636708E-2</v>
      </c>
      <c r="T117" s="155">
        <f t="shared" si="105"/>
        <v>3.0894422849654601E-2</v>
      </c>
      <c r="U117" s="155">
        <f t="shared" si="105"/>
        <v>1.5940691659335426E-2</v>
      </c>
    </row>
    <row r="118" spans="1:29">
      <c r="A118" s="6" t="s">
        <v>469</v>
      </c>
      <c r="B118" s="5"/>
      <c r="C118" s="58" t="s">
        <v>120</v>
      </c>
      <c r="D118" s="155">
        <f>((D93/C93)-1)</f>
        <v>2.3899486354696187E-2</v>
      </c>
      <c r="E118" s="155">
        <f t="shared" ref="E118:U118" si="106">((E93/D93)-1)</f>
        <v>0.21984986895536651</v>
      </c>
      <c r="F118" s="155">
        <f t="shared" si="106"/>
        <v>0.14844631497884575</v>
      </c>
      <c r="G118" s="155">
        <f t="shared" si="106"/>
        <v>-1.4276772899692425E-2</v>
      </c>
      <c r="H118" s="155">
        <f t="shared" si="106"/>
        <v>0.38776606904012345</v>
      </c>
      <c r="I118" s="155">
        <f t="shared" si="106"/>
        <v>0.17149865574858802</v>
      </c>
      <c r="J118" s="155">
        <f t="shared" si="106"/>
        <v>7.858224756992338E-2</v>
      </c>
      <c r="K118" s="155">
        <f t="shared" si="106"/>
        <v>0.2347902265372932</v>
      </c>
      <c r="L118" s="155">
        <f t="shared" si="106"/>
        <v>7.85584926699463E-2</v>
      </c>
      <c r="M118" s="155">
        <f t="shared" si="106"/>
        <v>7.6384316698352439E-2</v>
      </c>
      <c r="N118" s="155">
        <f t="shared" si="106"/>
        <v>2.7228330173761028E-2</v>
      </c>
      <c r="O118" s="155">
        <f t="shared" si="106"/>
        <v>3.9091694334226101E-2</v>
      </c>
      <c r="P118" s="155">
        <f t="shared" si="106"/>
        <v>3.5823399418576596E-2</v>
      </c>
      <c r="Q118" s="155">
        <f t="shared" si="106"/>
        <v>-7.0332370890190177E-2</v>
      </c>
      <c r="R118" s="155">
        <f t="shared" si="106"/>
        <v>1.9524189832743399E-2</v>
      </c>
      <c r="S118" s="155">
        <f t="shared" si="106"/>
        <v>1.8591434536128215E-3</v>
      </c>
      <c r="T118" s="155">
        <f t="shared" si="106"/>
        <v>3.0924069053529513E-2</v>
      </c>
      <c r="U118" s="155">
        <f t="shared" si="106"/>
        <v>2.3908732572246905E-2</v>
      </c>
    </row>
    <row r="119" spans="1:29">
      <c r="A119" s="6" t="s">
        <v>470</v>
      </c>
      <c r="B119" s="5"/>
      <c r="C119" s="58" t="s">
        <v>120</v>
      </c>
      <c r="D119" s="155">
        <f>((D103/C103)-1)</f>
        <v>0.17424282366753463</v>
      </c>
      <c r="E119" s="155">
        <f t="shared" ref="E119:U119" si="107">((E103/D103)-1)</f>
        <v>0.15924413601806386</v>
      </c>
      <c r="F119" s="155">
        <f t="shared" si="107"/>
        <v>0.18408042557668236</v>
      </c>
      <c r="G119" s="155">
        <f t="shared" si="107"/>
        <v>5.1049539321163184E-2</v>
      </c>
      <c r="H119" s="155">
        <f t="shared" si="107"/>
        <v>0.40035167656238091</v>
      </c>
      <c r="I119" s="155">
        <f t="shared" si="107"/>
        <v>0.23146036342710352</v>
      </c>
      <c r="J119" s="155">
        <f t="shared" si="107"/>
        <v>0.1379689431818123</v>
      </c>
      <c r="K119" s="155">
        <f t="shared" si="107"/>
        <v>0.28264611141643314</v>
      </c>
      <c r="L119" s="155">
        <f t="shared" si="107"/>
        <v>0.15368399852868109</v>
      </c>
      <c r="M119" s="155">
        <f t="shared" si="107"/>
        <v>7.4738323507698379E-2</v>
      </c>
      <c r="N119" s="155">
        <f t="shared" si="107"/>
        <v>5.4470222605569552E-2</v>
      </c>
      <c r="O119" s="155">
        <f t="shared" si="107"/>
        <v>6.0834619420265135E-2</v>
      </c>
      <c r="P119" s="155">
        <f t="shared" si="107"/>
        <v>0.14100608935864201</v>
      </c>
      <c r="Q119" s="155">
        <f t="shared" si="107"/>
        <v>7.9055347218833782E-2</v>
      </c>
      <c r="R119" s="155">
        <f t="shared" si="107"/>
        <v>6.839605797706505E-2</v>
      </c>
      <c r="S119" s="155">
        <f t="shared" si="107"/>
        <v>3.4877685810831061E-2</v>
      </c>
      <c r="T119" s="155">
        <f t="shared" si="107"/>
        <v>6.4261843851878719E-2</v>
      </c>
      <c r="U119" s="155">
        <f t="shared" si="107"/>
        <v>5.72932572495779E-2</v>
      </c>
    </row>
    <row r="120" spans="1:29">
      <c r="A120" s="6" t="s">
        <v>436</v>
      </c>
      <c r="B120" s="5"/>
      <c r="C120" s="58" t="s">
        <v>120</v>
      </c>
      <c r="D120" s="155">
        <f>((D106/C106)-1)</f>
        <v>4.5971956310526751E-2</v>
      </c>
      <c r="E120" s="155">
        <f t="shared" ref="E120:O120" si="108">((E106/D106)-1)</f>
        <v>0.19748101598824652</v>
      </c>
      <c r="F120" s="155">
        <f t="shared" si="108"/>
        <v>0.12614934797258059</v>
      </c>
      <c r="G120" s="155">
        <f t="shared" si="108"/>
        <v>6.3186781572954764E-3</v>
      </c>
      <c r="H120" s="155">
        <f t="shared" si="108"/>
        <v>0.32119298337325031</v>
      </c>
      <c r="I120" s="155">
        <f t="shared" si="108"/>
        <v>0.15014699403080045</v>
      </c>
      <c r="J120" s="155">
        <f t="shared" si="108"/>
        <v>7.5591568661671937E-2</v>
      </c>
      <c r="K120" s="155">
        <f t="shared" si="108"/>
        <v>0.20453574738783509</v>
      </c>
      <c r="L120" s="155">
        <f t="shared" si="108"/>
        <v>7.852815205831587E-2</v>
      </c>
      <c r="M120" s="155">
        <f t="shared" si="108"/>
        <v>7.5943293403805789E-2</v>
      </c>
      <c r="N120" s="155">
        <f t="shared" si="108"/>
        <v>3.000714336619148E-2</v>
      </c>
      <c r="O120" s="155">
        <f t="shared" si="108"/>
        <v>4.3255235113839996E-2</v>
      </c>
      <c r="P120" s="155">
        <f t="shared" ref="P120:U120" si="109">((P106/O106)-1)</f>
        <v>4.5495227822165418E-2</v>
      </c>
      <c r="Q120" s="155">
        <f t="shared" si="109"/>
        <v>-6.0772169612758886E-2</v>
      </c>
      <c r="R120" s="155">
        <f t="shared" si="109"/>
        <v>2.6107137475590125E-2</v>
      </c>
      <c r="S120" s="155">
        <f t="shared" si="109"/>
        <v>1.1627453438657342E-2</v>
      </c>
      <c r="T120" s="155">
        <f t="shared" si="109"/>
        <v>3.6042736261844288E-2</v>
      </c>
      <c r="U120" s="155">
        <f t="shared" si="109"/>
        <v>-0.16051325911727843</v>
      </c>
    </row>
    <row r="121" spans="1:29" outlineLevel="1">
      <c r="A121" s="6" t="s">
        <v>15</v>
      </c>
      <c r="B121" s="5"/>
      <c r="C121" s="58" t="s">
        <v>120</v>
      </c>
      <c r="D121" s="61">
        <f>D35-D36</f>
        <v>5.6739417612907697E-2</v>
      </c>
      <c r="E121" s="61">
        <f t="shared" ref="E121:P121" si="110">E35-E36</f>
        <v>5.3865204336672329E-2</v>
      </c>
      <c r="F121" s="61">
        <f t="shared" si="110"/>
        <v>4.1324806716738674E-2</v>
      </c>
      <c r="G121" s="61">
        <f t="shared" si="110"/>
        <v>1.8558508611938425E-2</v>
      </c>
      <c r="H121" s="61">
        <f t="shared" si="110"/>
        <v>7.840662164619705E-3</v>
      </c>
      <c r="I121" s="61">
        <f t="shared" si="110"/>
        <v>2.7763057630245037E-2</v>
      </c>
      <c r="J121" s="61">
        <f t="shared" si="110"/>
        <v>3.0117592230270808E-2</v>
      </c>
      <c r="K121" s="61">
        <f t="shared" si="110"/>
        <v>4.6302291246750837E-2</v>
      </c>
      <c r="L121" s="61">
        <f>L35-L36</f>
        <v>2.9676242384953505E-2</v>
      </c>
      <c r="M121" s="61">
        <f>M35-M36</f>
        <v>4.0377396883223962E-2</v>
      </c>
      <c r="N121" s="61">
        <f>N35-N36</f>
        <v>1.4189589202737315E-2</v>
      </c>
      <c r="O121" s="61">
        <f>O35-O36</f>
        <v>2.2348052531241433E-2</v>
      </c>
      <c r="P121" s="61">
        <f t="shared" si="110"/>
        <v>6.07901603869654E-2</v>
      </c>
      <c r="Q121" s="61">
        <f>Q35-Q36</f>
        <v>3.2392339284693775E-2</v>
      </c>
      <c r="R121" s="61">
        <f>R35-R36</f>
        <v>3.626328150675661E-2</v>
      </c>
      <c r="S121" s="61">
        <f>S35-S36</f>
        <v>3.3331158431214591E-2</v>
      </c>
      <c r="T121" s="61">
        <f>T35-T36</f>
        <v>3.2004702249600413E-2</v>
      </c>
      <c r="U121" s="61">
        <f>U35-U36</f>
        <v>1.5393899037344436E-2</v>
      </c>
    </row>
    <row r="122" spans="1:29" outlineLevel="1">
      <c r="A122" s="6" t="s">
        <v>18</v>
      </c>
      <c r="B122" s="5"/>
      <c r="C122" s="58" t="s">
        <v>120</v>
      </c>
      <c r="D122" s="61">
        <f t="shared" ref="D122:L122" si="111">D121</f>
        <v>5.6739417612907697E-2</v>
      </c>
      <c r="E122" s="61">
        <f t="shared" si="111"/>
        <v>5.3865204336672329E-2</v>
      </c>
      <c r="F122" s="61">
        <f t="shared" si="111"/>
        <v>4.1324806716738674E-2</v>
      </c>
      <c r="G122" s="61">
        <f t="shared" si="111"/>
        <v>1.8558508611938425E-2</v>
      </c>
      <c r="H122" s="61">
        <f t="shared" si="111"/>
        <v>7.840662164619705E-3</v>
      </c>
      <c r="I122" s="61">
        <f t="shared" si="111"/>
        <v>2.7763057630245037E-2</v>
      </c>
      <c r="J122" s="61">
        <f t="shared" si="111"/>
        <v>3.0117592230270808E-2</v>
      </c>
      <c r="K122" s="61">
        <f t="shared" si="111"/>
        <v>4.6302291246750837E-2</v>
      </c>
      <c r="L122" s="61">
        <f t="shared" si="111"/>
        <v>2.9676242384953505E-2</v>
      </c>
      <c r="M122" s="61">
        <f>M121</f>
        <v>4.0377396883223962E-2</v>
      </c>
      <c r="N122" s="61">
        <f>N121</f>
        <v>1.4189589202737315E-2</v>
      </c>
      <c r="O122" s="61">
        <f>O121</f>
        <v>2.2348052531241433E-2</v>
      </c>
      <c r="P122" s="61">
        <f>P121</f>
        <v>6.07901603869654E-2</v>
      </c>
      <c r="Q122" s="358">
        <f>Q121-0.01</f>
        <v>2.2392339284693773E-2</v>
      </c>
      <c r="R122" s="358">
        <f>R121-0.01</f>
        <v>2.6263281506756608E-2</v>
      </c>
      <c r="S122" s="358">
        <f>S121-0.01</f>
        <v>2.3331158431214589E-2</v>
      </c>
      <c r="T122" s="358">
        <f>T121-0.01</f>
        <v>2.2004702249600411E-2</v>
      </c>
      <c r="U122" s="358">
        <f>U121-0.01</f>
        <v>5.3938990373444354E-3</v>
      </c>
    </row>
    <row r="123" spans="1:29">
      <c r="A123" s="395"/>
      <c r="B123" s="395"/>
      <c r="C123" s="395"/>
      <c r="D123" s="395"/>
      <c r="E123" s="395"/>
      <c r="F123" s="395"/>
      <c r="G123" s="395"/>
      <c r="H123" s="395"/>
      <c r="I123" s="395"/>
      <c r="J123" s="395"/>
      <c r="K123" s="395"/>
      <c r="L123" s="395"/>
      <c r="M123" s="395"/>
      <c r="N123" s="395"/>
      <c r="O123" s="395"/>
      <c r="P123" s="395"/>
      <c r="Q123" s="395"/>
      <c r="R123" s="395"/>
      <c r="S123" s="395"/>
      <c r="T123" s="395"/>
      <c r="U123" s="395"/>
    </row>
    <row r="124" spans="1:29">
      <c r="A124" s="396" t="s">
        <v>19</v>
      </c>
      <c r="B124" s="5"/>
      <c r="C124" s="39" t="str">
        <f>C83</f>
        <v>2004A</v>
      </c>
      <c r="D124" s="39" t="str">
        <f t="shared" ref="D124:P125" si="112">D83</f>
        <v>2005A</v>
      </c>
      <c r="E124" s="39" t="str">
        <f t="shared" si="112"/>
        <v>2006A</v>
      </c>
      <c r="F124" s="39" t="str">
        <f t="shared" si="112"/>
        <v>2007A</v>
      </c>
      <c r="G124" s="39" t="str">
        <f t="shared" si="112"/>
        <v>2008A</v>
      </c>
      <c r="H124" s="39" t="str">
        <f t="shared" si="112"/>
        <v>2009A</v>
      </c>
      <c r="I124" s="39" t="str">
        <f t="shared" si="112"/>
        <v>2010A</v>
      </c>
      <c r="J124" s="39" t="str">
        <f t="shared" si="112"/>
        <v>2011A</v>
      </c>
      <c r="K124" s="39" t="str">
        <f t="shared" si="112"/>
        <v>2012A</v>
      </c>
      <c r="L124" s="39" t="str">
        <f t="shared" si="112"/>
        <v>2013A</v>
      </c>
      <c r="M124" s="39" t="str">
        <f>M83</f>
        <v>2014A</v>
      </c>
      <c r="N124" s="39" t="str">
        <f t="shared" si="112"/>
        <v>2015E</v>
      </c>
      <c r="O124" s="39" t="str">
        <f t="shared" si="112"/>
        <v>2016E</v>
      </c>
      <c r="P124" s="39" t="str">
        <f t="shared" si="112"/>
        <v>2017E</v>
      </c>
      <c r="Q124" s="39" t="str">
        <f t="shared" ref="Q124:S125" si="113">Q83</f>
        <v>2018E</v>
      </c>
      <c r="R124" s="39" t="str">
        <f t="shared" si="113"/>
        <v>2019E</v>
      </c>
      <c r="S124" s="461" t="str">
        <f t="shared" si="113"/>
        <v>2020E</v>
      </c>
      <c r="T124" s="463" t="str">
        <f>T83</f>
        <v>2021E</v>
      </c>
      <c r="U124" s="463" t="str">
        <f>U83</f>
        <v>2022E</v>
      </c>
      <c r="V124" s="5"/>
      <c r="W124" s="5"/>
      <c r="X124" s="5"/>
      <c r="Y124" s="5"/>
      <c r="Z124" s="5"/>
      <c r="AA124" s="5"/>
      <c r="AB124" s="5"/>
      <c r="AC124" s="5"/>
    </row>
    <row r="125" spans="1:29">
      <c r="A125" s="9" t="s">
        <v>449</v>
      </c>
      <c r="B125" s="5"/>
      <c r="C125" s="39" t="str">
        <f>C84</f>
        <v>Jan</v>
      </c>
      <c r="D125" s="39" t="str">
        <f t="shared" si="112"/>
        <v>Jan</v>
      </c>
      <c r="E125" s="39" t="str">
        <f t="shared" si="112"/>
        <v>Jan</v>
      </c>
      <c r="F125" s="39" t="str">
        <f t="shared" si="112"/>
        <v>Jan</v>
      </c>
      <c r="G125" s="39" t="str">
        <f t="shared" si="112"/>
        <v>Jan</v>
      </c>
      <c r="H125" s="39" t="str">
        <f t="shared" si="112"/>
        <v>Jan</v>
      </c>
      <c r="I125" s="39" t="str">
        <f t="shared" si="112"/>
        <v>Jan</v>
      </c>
      <c r="J125" s="39" t="str">
        <f t="shared" si="112"/>
        <v>Jan</v>
      </c>
      <c r="K125" s="39" t="str">
        <f t="shared" si="112"/>
        <v>Jan</v>
      </c>
      <c r="L125" s="39" t="str">
        <f t="shared" si="112"/>
        <v>Jan</v>
      </c>
      <c r="M125" s="39" t="str">
        <f>M84</f>
        <v>Jan</v>
      </c>
      <c r="N125" s="39" t="str">
        <f t="shared" si="112"/>
        <v>Jan</v>
      </c>
      <c r="O125" s="39" t="str">
        <f t="shared" si="112"/>
        <v>Jan</v>
      </c>
      <c r="P125" s="39" t="str">
        <f t="shared" si="112"/>
        <v>Jan</v>
      </c>
      <c r="Q125" s="39" t="str">
        <f t="shared" si="113"/>
        <v>Jan</v>
      </c>
      <c r="R125" s="39" t="str">
        <f t="shared" si="113"/>
        <v>Jan</v>
      </c>
      <c r="S125" s="461" t="str">
        <f t="shared" si="113"/>
        <v>Jan</v>
      </c>
      <c r="T125" s="463" t="str">
        <f>T84</f>
        <v>Jan</v>
      </c>
      <c r="U125" s="463" t="str">
        <f>U84</f>
        <v>Jan</v>
      </c>
      <c r="V125" s="5"/>
      <c r="W125" s="5"/>
      <c r="X125" s="5"/>
      <c r="Y125" s="5"/>
      <c r="Z125" s="5"/>
      <c r="AA125" s="5"/>
      <c r="AB125" s="5"/>
      <c r="AC125" s="5"/>
    </row>
    <row r="126" spans="1:29">
      <c r="A126" s="6"/>
      <c r="B126" s="5"/>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row>
    <row r="127" spans="1:29">
      <c r="A127" s="6" t="s">
        <v>431</v>
      </c>
      <c r="B127" s="5"/>
      <c r="C127" s="393">
        <f>C6</f>
        <v>14913.483</v>
      </c>
      <c r="D127" s="393">
        <f t="shared" ref="D127:K127" si="114">D6</f>
        <v>16057.935000000001</v>
      </c>
      <c r="E127" s="393">
        <f t="shared" si="114"/>
        <v>17404.637000000002</v>
      </c>
      <c r="F127" s="393">
        <f t="shared" si="114"/>
        <v>18471.973000000002</v>
      </c>
      <c r="G127" s="393">
        <f t="shared" si="114"/>
        <v>18999.504999999997</v>
      </c>
      <c r="H127" s="393">
        <f t="shared" si="114"/>
        <v>20288.444</v>
      </c>
      <c r="I127" s="393">
        <f t="shared" si="114"/>
        <v>21663.250999999997</v>
      </c>
      <c r="J127" s="393">
        <f t="shared" si="114"/>
        <v>23182.226000000002</v>
      </c>
      <c r="K127" s="393">
        <f t="shared" si="114"/>
        <v>25878.372000000003</v>
      </c>
      <c r="L127" s="393">
        <f t="shared" ref="L127:U127" si="115">(K127*(1+L168))</f>
        <v>27422.695999999996</v>
      </c>
      <c r="M127" s="393">
        <f t="shared" si="115"/>
        <v>29078.406999999996</v>
      </c>
      <c r="N127" s="393">
        <f t="shared" si="115"/>
        <v>30944.937999999998</v>
      </c>
      <c r="O127" s="393">
        <f t="shared" si="115"/>
        <v>33183.744000000006</v>
      </c>
      <c r="P127" s="393">
        <f t="shared" si="115"/>
        <v>35864.664000000004</v>
      </c>
      <c r="Q127" s="393">
        <f t="shared" si="115"/>
        <v>37841.806575399998</v>
      </c>
      <c r="R127" s="393">
        <f t="shared" si="115"/>
        <v>40349.954267377965</v>
      </c>
      <c r="S127" s="393">
        <f t="shared" si="115"/>
        <v>42916.398280294125</v>
      </c>
      <c r="T127" s="393">
        <f t="shared" si="115"/>
        <v>45594.715622506541</v>
      </c>
      <c r="U127" s="393">
        <f t="shared" si="115"/>
        <v>47688.619280686573</v>
      </c>
      <c r="V127" s="5"/>
      <c r="W127" s="5"/>
      <c r="X127" s="5"/>
      <c r="Y127" s="5"/>
      <c r="Z127" s="5"/>
      <c r="AA127" s="5"/>
      <c r="AB127" s="5"/>
      <c r="AC127" s="5"/>
    </row>
    <row r="128" spans="1:29">
      <c r="A128" s="6"/>
      <c r="B128" s="5"/>
      <c r="C128" s="83"/>
      <c r="D128" s="83"/>
      <c r="E128" s="83"/>
      <c r="F128" s="83"/>
      <c r="G128" s="83"/>
      <c r="H128" s="83"/>
      <c r="I128" s="83"/>
      <c r="J128" s="83"/>
      <c r="K128" s="83"/>
      <c r="L128" s="83"/>
      <c r="M128" s="83"/>
      <c r="V128" s="5"/>
      <c r="W128" s="5"/>
      <c r="X128" s="5"/>
      <c r="Y128" s="5"/>
      <c r="Z128" s="5"/>
      <c r="AA128" s="5"/>
      <c r="AB128" s="5"/>
      <c r="AC128" s="5"/>
    </row>
    <row r="129" spans="1:29">
      <c r="A129" s="6" t="s">
        <v>450</v>
      </c>
      <c r="B129" s="5"/>
      <c r="C129" s="393">
        <f>C8</f>
        <v>11401.223666666667</v>
      </c>
      <c r="D129" s="393">
        <f t="shared" ref="D129:K129" si="116">D8</f>
        <v>12295.016</v>
      </c>
      <c r="E129" s="393">
        <f t="shared" si="116"/>
        <v>13213.703000000001</v>
      </c>
      <c r="F129" s="393">
        <f t="shared" si="116"/>
        <v>13943.291000000001</v>
      </c>
      <c r="G129" s="393">
        <f t="shared" si="116"/>
        <v>14429.185000000001</v>
      </c>
      <c r="H129" s="393">
        <f t="shared" si="116"/>
        <v>14968.429</v>
      </c>
      <c r="I129" s="393">
        <f t="shared" si="116"/>
        <v>15797.661</v>
      </c>
      <c r="J129" s="393">
        <f t="shared" si="116"/>
        <v>16838.249</v>
      </c>
      <c r="K129" s="393">
        <f t="shared" si="116"/>
        <v>18521.400000000001</v>
      </c>
      <c r="L129" s="393">
        <f t="shared" ref="L129:R129" si="117">L127-L131</f>
        <v>19605.036999999997</v>
      </c>
      <c r="M129" s="393">
        <f>M127-M131</f>
        <v>20776.521999999997</v>
      </c>
      <c r="N129" s="393">
        <f t="shared" si="117"/>
        <v>22034.523000000001</v>
      </c>
      <c r="O129" s="393">
        <f t="shared" si="117"/>
        <v>23565.754000000001</v>
      </c>
      <c r="P129" s="393">
        <f t="shared" si="117"/>
        <v>25502.167000000001</v>
      </c>
      <c r="Q129" s="393">
        <f t="shared" si="117"/>
        <v>26977.9798618186</v>
      </c>
      <c r="R129" s="393">
        <f t="shared" si="117"/>
        <v>28708.992461239421</v>
      </c>
      <c r="S129" s="393">
        <f>S127-S131</f>
        <v>30453.476219696713</v>
      </c>
      <c r="T129" s="393">
        <f>T127-T131</f>
        <v>32322.093904794881</v>
      </c>
      <c r="U129" s="393">
        <f>U127-U131</f>
        <v>33763.54245072609</v>
      </c>
      <c r="V129" s="5"/>
      <c r="W129" s="5"/>
      <c r="X129" s="5"/>
      <c r="Y129" s="5"/>
      <c r="Z129" s="5"/>
      <c r="AA129" s="5"/>
      <c r="AB129" s="5"/>
      <c r="AC129" s="5"/>
    </row>
    <row r="130" spans="1:29">
      <c r="A130" s="6"/>
      <c r="B130" s="5"/>
      <c r="C130" s="83"/>
      <c r="D130" s="83"/>
      <c r="E130" s="83"/>
      <c r="F130" s="83"/>
      <c r="G130" s="83"/>
      <c r="H130" s="83"/>
      <c r="I130" s="83"/>
      <c r="J130" s="83"/>
      <c r="K130" s="83"/>
      <c r="L130" s="83"/>
      <c r="M130" s="83"/>
      <c r="V130" s="5"/>
      <c r="W130" s="5"/>
      <c r="X130" s="5"/>
      <c r="Y130" s="5"/>
      <c r="Z130" s="5"/>
      <c r="AA130" s="5"/>
      <c r="AB130" s="5"/>
      <c r="AC130" s="5"/>
    </row>
    <row r="131" spans="1:29">
      <c r="A131" s="6" t="s">
        <v>451</v>
      </c>
      <c r="B131" s="5"/>
      <c r="C131" s="393">
        <f t="shared" ref="C131:J131" si="118">C127-C129</f>
        <v>3512.2593333333334</v>
      </c>
      <c r="D131" s="393">
        <f t="shared" si="118"/>
        <v>3762.9190000000017</v>
      </c>
      <c r="E131" s="393">
        <f t="shared" si="118"/>
        <v>4190.9340000000011</v>
      </c>
      <c r="F131" s="393">
        <f t="shared" si="118"/>
        <v>4528.6820000000007</v>
      </c>
      <c r="G131" s="393">
        <f t="shared" si="118"/>
        <v>4570.3199999999961</v>
      </c>
      <c r="H131" s="393">
        <f t="shared" si="118"/>
        <v>5320.0149999999994</v>
      </c>
      <c r="I131" s="393">
        <f t="shared" si="118"/>
        <v>5865.5899999999965</v>
      </c>
      <c r="J131" s="393">
        <f t="shared" si="118"/>
        <v>6343.9770000000026</v>
      </c>
      <c r="K131" s="393">
        <f>K127-K129</f>
        <v>7356.9720000000016</v>
      </c>
      <c r="L131" s="393">
        <f t="shared" ref="L131:R131" si="119">L127*L153</f>
        <v>7817.6589999999987</v>
      </c>
      <c r="M131" s="393">
        <f>M127*M153</f>
        <v>8301.8849999999966</v>
      </c>
      <c r="N131" s="393">
        <f t="shared" si="119"/>
        <v>8910.4149999999972</v>
      </c>
      <c r="O131" s="393">
        <f t="shared" si="119"/>
        <v>9617.9900000000052</v>
      </c>
      <c r="P131" s="393">
        <f t="shared" si="119"/>
        <v>10362.497000000005</v>
      </c>
      <c r="Q131" s="393">
        <f t="shared" si="119"/>
        <v>10863.826713581399</v>
      </c>
      <c r="R131" s="393">
        <f t="shared" si="119"/>
        <v>11640.961806138544</v>
      </c>
      <c r="S131" s="393">
        <f>S127*S153</f>
        <v>12462.922060597411</v>
      </c>
      <c r="T131" s="393">
        <f>T127*T153</f>
        <v>13272.62171771166</v>
      </c>
      <c r="U131" s="393">
        <f>U127*U153</f>
        <v>13925.076829960479</v>
      </c>
      <c r="V131" s="5"/>
      <c r="W131" s="5"/>
      <c r="X131" s="5"/>
      <c r="Y131" s="5"/>
      <c r="Z131" s="5"/>
      <c r="AA131" s="5"/>
      <c r="AB131" s="5"/>
      <c r="AC131" s="5"/>
    </row>
    <row r="132" spans="1:29">
      <c r="A132" s="6" t="s">
        <v>452</v>
      </c>
      <c r="B132" s="5"/>
      <c r="C132" s="83">
        <f>C11</f>
        <v>2497.5513333333329</v>
      </c>
      <c r="D132" s="83">
        <f t="shared" ref="D132:P133" si="120">D11</f>
        <v>2723.96</v>
      </c>
      <c r="E132" s="83">
        <f t="shared" si="120"/>
        <v>2923.5600000000004</v>
      </c>
      <c r="F132" s="83">
        <f t="shared" si="120"/>
        <v>3073.1710000000003</v>
      </c>
      <c r="G132" s="83">
        <f t="shared" si="120"/>
        <v>3135.5889999999999</v>
      </c>
      <c r="H132" s="83">
        <f t="shared" si="120"/>
        <v>3328.9439999999995</v>
      </c>
      <c r="I132" s="83">
        <f t="shared" si="120"/>
        <v>3533.0529999999999</v>
      </c>
      <c r="J132" s="83">
        <f t="shared" si="120"/>
        <v>3828.1439999999998</v>
      </c>
      <c r="K132" s="83">
        <f t="shared" si="120"/>
        <v>4250.4459999999999</v>
      </c>
      <c r="L132" s="83">
        <f t="shared" ref="L132:R132" si="121">L127*L157</f>
        <v>4467.088999999999</v>
      </c>
      <c r="M132" s="83">
        <f>M127*M157</f>
        <v>4695.3839999999991</v>
      </c>
      <c r="N132" s="83">
        <f t="shared" si="121"/>
        <v>5205.7149999999992</v>
      </c>
      <c r="O132" s="83">
        <f t="shared" si="121"/>
        <v>5768.4669999999996</v>
      </c>
      <c r="P132" s="83">
        <f t="shared" si="121"/>
        <v>6375.0709999999999</v>
      </c>
      <c r="Q132" s="83">
        <f t="shared" si="121"/>
        <v>6753.5546750000003</v>
      </c>
      <c r="R132" s="83">
        <f t="shared" si="121"/>
        <v>7182.2918595932779</v>
      </c>
      <c r="S132" s="83">
        <f>S127*S157</f>
        <v>7634.8272540643247</v>
      </c>
      <c r="T132" s="83">
        <f>T127*T157</f>
        <v>8102.180966119412</v>
      </c>
      <c r="U132" s="83">
        <f>U127*U157</f>
        <v>8479.0365081060736</v>
      </c>
      <c r="V132" s="5"/>
      <c r="W132" s="5"/>
      <c r="X132" s="5"/>
      <c r="Y132" s="5"/>
      <c r="Z132" s="5"/>
      <c r="AA132" s="5"/>
      <c r="AB132" s="5"/>
      <c r="AC132" s="5"/>
    </row>
    <row r="133" spans="1:29">
      <c r="A133" s="83" t="s">
        <v>7</v>
      </c>
      <c r="B133" s="5"/>
      <c r="C133" s="83">
        <f>C12</f>
        <v>279.05900000000003</v>
      </c>
      <c r="D133" s="83">
        <f t="shared" si="120"/>
        <v>314.28500000000003</v>
      </c>
      <c r="E133" s="83">
        <f t="shared" si="120"/>
        <v>353.11</v>
      </c>
      <c r="F133" s="83">
        <f t="shared" si="120"/>
        <v>369.39600000000002</v>
      </c>
      <c r="G133" s="83">
        <f t="shared" si="120"/>
        <v>401.70699999999999</v>
      </c>
      <c r="H133" s="83">
        <f t="shared" si="120"/>
        <v>435.21800000000002</v>
      </c>
      <c r="I133" s="83">
        <f t="shared" si="120"/>
        <v>458.05200000000002</v>
      </c>
      <c r="J133" s="83">
        <f t="shared" si="120"/>
        <v>485.70100000000002</v>
      </c>
      <c r="K133" s="83">
        <f t="shared" si="120"/>
        <v>508.92899999999997</v>
      </c>
      <c r="L133" s="83">
        <f t="shared" si="120"/>
        <v>548.79999999999995</v>
      </c>
      <c r="M133" s="83">
        <f>M12</f>
        <v>589</v>
      </c>
      <c r="N133" s="83">
        <f t="shared" si="120"/>
        <v>616.69600000000003</v>
      </c>
      <c r="O133" s="83">
        <f t="shared" si="120"/>
        <v>658.79600000000005</v>
      </c>
      <c r="P133" s="83">
        <f t="shared" si="120"/>
        <v>726</v>
      </c>
      <c r="Q133" s="83">
        <f>Q12</f>
        <v>720</v>
      </c>
      <c r="R133" s="83">
        <f>R12</f>
        <v>763.2</v>
      </c>
      <c r="S133" s="83">
        <f>S12</f>
        <v>808.99200000000008</v>
      </c>
      <c r="T133" s="83">
        <f>T12</f>
        <v>857.53152000000011</v>
      </c>
      <c r="U133" s="83">
        <f>U12</f>
        <v>0</v>
      </c>
      <c r="V133" s="5"/>
      <c r="W133" s="5"/>
      <c r="X133" s="5"/>
      <c r="Y133" s="5"/>
      <c r="Z133" s="5"/>
      <c r="AA133" s="5"/>
      <c r="AB133" s="5"/>
      <c r="AC133" s="5"/>
    </row>
    <row r="134" spans="1:29">
      <c r="A134" s="394" t="s">
        <v>469</v>
      </c>
      <c r="B134" s="5"/>
      <c r="C134" s="393">
        <f>C131-C132</f>
        <v>1014.7080000000005</v>
      </c>
      <c r="D134" s="393">
        <f t="shared" ref="D134:P134" si="122">D131-D132</f>
        <v>1038.9590000000017</v>
      </c>
      <c r="E134" s="393">
        <f t="shared" si="122"/>
        <v>1267.3740000000007</v>
      </c>
      <c r="F134" s="393">
        <f t="shared" si="122"/>
        <v>1455.5110000000004</v>
      </c>
      <c r="G134" s="393">
        <f t="shared" si="122"/>
        <v>1434.7309999999961</v>
      </c>
      <c r="H134" s="393">
        <f t="shared" si="122"/>
        <v>1991.0709999999999</v>
      </c>
      <c r="I134" s="393">
        <f t="shared" si="122"/>
        <v>2332.5369999999966</v>
      </c>
      <c r="J134" s="393">
        <f t="shared" si="122"/>
        <v>2515.8330000000028</v>
      </c>
      <c r="K134" s="393">
        <f t="shared" si="122"/>
        <v>3106.5260000000017</v>
      </c>
      <c r="L134" s="393">
        <f t="shared" si="122"/>
        <v>3350.5699999999997</v>
      </c>
      <c r="M134" s="393">
        <f>M131-M132</f>
        <v>3606.5009999999975</v>
      </c>
      <c r="N134" s="393">
        <f t="shared" si="122"/>
        <v>3704.699999999998</v>
      </c>
      <c r="O134" s="393">
        <f t="shared" si="122"/>
        <v>3849.5230000000056</v>
      </c>
      <c r="P134" s="393">
        <f t="shared" si="122"/>
        <v>3987.4260000000049</v>
      </c>
      <c r="Q134" s="393">
        <f>Q131-Q132</f>
        <v>4110.2720385813982</v>
      </c>
      <c r="R134" s="393">
        <f>R131-R132</f>
        <v>4458.6699465452666</v>
      </c>
      <c r="S134" s="393">
        <f>S131-S132</f>
        <v>4828.0948065330867</v>
      </c>
      <c r="T134" s="393">
        <f>T131-T132</f>
        <v>5170.4407515922476</v>
      </c>
      <c r="U134" s="393">
        <f>U131-U132</f>
        <v>5446.0403218544052</v>
      </c>
      <c r="V134" s="5"/>
      <c r="W134" s="5"/>
      <c r="X134" s="5"/>
      <c r="Y134" s="5"/>
      <c r="Z134" s="5"/>
      <c r="AA134" s="5"/>
      <c r="AB134" s="5"/>
      <c r="AC134" s="5"/>
    </row>
    <row r="135" spans="1:29">
      <c r="A135" s="6"/>
      <c r="B135" s="5"/>
      <c r="C135" s="83"/>
      <c r="D135" s="83"/>
      <c r="E135" s="83"/>
      <c r="F135" s="83"/>
      <c r="G135" s="83"/>
      <c r="H135" s="83"/>
      <c r="I135" s="83"/>
      <c r="J135" s="83"/>
      <c r="K135" s="83"/>
      <c r="L135" s="83"/>
      <c r="M135" s="83"/>
      <c r="V135" s="5"/>
      <c r="W135" s="5"/>
      <c r="X135" s="5"/>
      <c r="Y135" s="5"/>
      <c r="Z135" s="5"/>
      <c r="AA135" s="5"/>
      <c r="AB135" s="5"/>
      <c r="AC135" s="5"/>
    </row>
    <row r="136" spans="1:29">
      <c r="A136" s="6" t="s">
        <v>8</v>
      </c>
      <c r="B136" s="5"/>
      <c r="C136" s="83">
        <f>C15</f>
        <v>25.757000000000001</v>
      </c>
      <c r="D136" s="83">
        <f t="shared" ref="D136:P136" si="123">D15</f>
        <v>29.631999999999998</v>
      </c>
      <c r="E136" s="83">
        <f t="shared" si="123"/>
        <v>15.565999999999999</v>
      </c>
      <c r="F136" s="83">
        <f t="shared" si="123"/>
        <v>-1.5980000000000001</v>
      </c>
      <c r="G136" s="83">
        <f t="shared" si="123"/>
        <v>14.291</v>
      </c>
      <c r="H136" s="83">
        <f t="shared" si="123"/>
        <v>39.509</v>
      </c>
      <c r="I136" s="83">
        <f t="shared" si="123"/>
        <v>39.137</v>
      </c>
      <c r="J136" s="83">
        <f t="shared" si="123"/>
        <v>35.647999999999996</v>
      </c>
      <c r="K136" s="83">
        <f>K15</f>
        <v>29.174999999999997</v>
      </c>
      <c r="L136" s="83">
        <f t="shared" si="123"/>
        <v>31.081000000000003</v>
      </c>
      <c r="M136" s="83">
        <f>M15</f>
        <v>39.786999999999999</v>
      </c>
      <c r="N136" s="83">
        <f t="shared" si="123"/>
        <v>46.400000000000006</v>
      </c>
      <c r="O136" s="83">
        <f t="shared" si="123"/>
        <v>43.534000000000006</v>
      </c>
      <c r="P136" s="83">
        <f t="shared" si="123"/>
        <v>130.83799999999999</v>
      </c>
      <c r="Q136" s="83">
        <f>Q15</f>
        <v>26</v>
      </c>
      <c r="R136" s="83">
        <f>R15</f>
        <v>26</v>
      </c>
      <c r="S136" s="83">
        <f>S15</f>
        <v>26</v>
      </c>
      <c r="T136" s="83">
        <f>T15</f>
        <v>26</v>
      </c>
      <c r="U136" s="83">
        <f>U15</f>
        <v>26</v>
      </c>
      <c r="V136" s="5"/>
      <c r="W136" s="5"/>
      <c r="X136" s="5"/>
      <c r="Y136" s="5"/>
      <c r="Z136" s="5"/>
      <c r="AA136" s="5"/>
      <c r="AB136" s="5"/>
      <c r="AC136" s="5"/>
    </row>
    <row r="137" spans="1:29">
      <c r="A137" s="394" t="s">
        <v>437</v>
      </c>
      <c r="B137" s="5"/>
      <c r="C137" s="393">
        <f>C134-C136</f>
        <v>988.95100000000059</v>
      </c>
      <c r="D137" s="393">
        <f>D134-D136</f>
        <v>1009.3270000000017</v>
      </c>
      <c r="E137" s="393">
        <f>E134-E136</f>
        <v>1251.8080000000007</v>
      </c>
      <c r="F137" s="393">
        <f>F134-F136</f>
        <v>1457.1090000000004</v>
      </c>
      <c r="G137" s="393">
        <f>G134-G136</f>
        <v>1420.4399999999962</v>
      </c>
      <c r="H137" s="393">
        <f t="shared" ref="H137:P137" si="124">H134-H136</f>
        <v>1951.5619999999999</v>
      </c>
      <c r="I137" s="393">
        <f t="shared" si="124"/>
        <v>2293.3999999999965</v>
      </c>
      <c r="J137" s="393">
        <f t="shared" si="124"/>
        <v>2480.1850000000027</v>
      </c>
      <c r="K137" s="393">
        <f t="shared" si="124"/>
        <v>3077.3510000000015</v>
      </c>
      <c r="L137" s="393">
        <f t="shared" si="124"/>
        <v>3319.4889999999996</v>
      </c>
      <c r="M137" s="393">
        <f>M134-M136</f>
        <v>3566.7139999999977</v>
      </c>
      <c r="N137" s="393">
        <f t="shared" si="124"/>
        <v>3658.2999999999979</v>
      </c>
      <c r="O137" s="393">
        <f t="shared" si="124"/>
        <v>3805.9890000000055</v>
      </c>
      <c r="P137" s="393">
        <f t="shared" si="124"/>
        <v>3856.5880000000047</v>
      </c>
      <c r="Q137" s="393">
        <f>Q134-Q136</f>
        <v>4084.2720385813982</v>
      </c>
      <c r="R137" s="393">
        <f>R134-R136</f>
        <v>4432.6699465452666</v>
      </c>
      <c r="S137" s="393">
        <f>S134-S136</f>
        <v>4802.0948065330867</v>
      </c>
      <c r="T137" s="393">
        <f>T134-T136</f>
        <v>5144.4407515922476</v>
      </c>
      <c r="U137" s="393">
        <f>U134-U136</f>
        <v>5420.0403218544052</v>
      </c>
      <c r="V137" s="5"/>
      <c r="W137" s="5"/>
      <c r="X137" s="5"/>
      <c r="Y137" s="5"/>
      <c r="Z137" s="5"/>
      <c r="AA137" s="5"/>
      <c r="AB137" s="5"/>
      <c r="AC137" s="5"/>
    </row>
    <row r="138" spans="1:29">
      <c r="A138" s="6"/>
      <c r="B138" s="5"/>
      <c r="C138" s="83"/>
      <c r="D138" s="83"/>
      <c r="E138" s="83"/>
      <c r="F138" s="83"/>
      <c r="G138" s="83"/>
      <c r="H138" s="83"/>
      <c r="I138" s="83"/>
      <c r="J138" s="83"/>
      <c r="K138" s="83"/>
      <c r="L138" s="83"/>
      <c r="M138" s="83"/>
      <c r="V138" s="5"/>
      <c r="W138" s="5"/>
      <c r="X138" s="5"/>
      <c r="Y138" s="5"/>
      <c r="Z138" s="5"/>
      <c r="AA138" s="5"/>
      <c r="AB138" s="5"/>
      <c r="AC138" s="5"/>
    </row>
    <row r="139" spans="1:29">
      <c r="A139" s="6" t="s">
        <v>456</v>
      </c>
      <c r="B139" s="5"/>
      <c r="C139" s="83">
        <f>C18</f>
        <v>379.25200000000007</v>
      </c>
      <c r="D139" s="83">
        <f t="shared" ref="D139:J139" si="125">D18</f>
        <v>318.904</v>
      </c>
      <c r="E139" s="83">
        <f t="shared" si="125"/>
        <v>470.09199999999998</v>
      </c>
      <c r="F139" s="83">
        <f t="shared" si="125"/>
        <v>477.65494999999999</v>
      </c>
      <c r="G139" s="83">
        <f t="shared" si="125"/>
        <v>524.15899999999999</v>
      </c>
      <c r="H139" s="83">
        <f t="shared" si="125"/>
        <v>737.99</v>
      </c>
      <c r="I139" s="83">
        <f t="shared" si="125"/>
        <v>873.04605000000004</v>
      </c>
      <c r="J139" s="83">
        <f t="shared" si="125"/>
        <v>941.52587699999992</v>
      </c>
      <c r="K139" s="83">
        <f>K18</f>
        <v>1170.664</v>
      </c>
      <c r="L139" s="83">
        <f t="shared" ref="L139:R139" si="126">L137*L162</f>
        <v>1182.0948800000001</v>
      </c>
      <c r="M139" s="83">
        <f>M137*M162</f>
        <v>1341.1009099999997</v>
      </c>
      <c r="N139" s="83">
        <f t="shared" si="126"/>
        <v>1380.6420000000001</v>
      </c>
      <c r="O139" s="83">
        <f t="shared" si="126"/>
        <v>1455.49902</v>
      </c>
      <c r="P139" s="83">
        <f t="shared" si="126"/>
        <v>1248.6400000000008</v>
      </c>
      <c r="Q139" s="83">
        <f t="shared" si="126"/>
        <v>1059.2943968215002</v>
      </c>
      <c r="R139" s="83">
        <f t="shared" si="126"/>
        <v>1149.6546735817728</v>
      </c>
      <c r="S139" s="83">
        <f>S137*S162</f>
        <v>1245.4684882677277</v>
      </c>
      <c r="T139" s="83">
        <f>T137*T162</f>
        <v>1334.2591314839638</v>
      </c>
      <c r="U139" s="83">
        <f>U137*U162</f>
        <v>1405.7384741397282</v>
      </c>
      <c r="V139" s="5"/>
      <c r="W139" s="5"/>
      <c r="X139" s="5"/>
      <c r="Y139" s="5"/>
      <c r="Z139" s="5"/>
      <c r="AA139" s="5"/>
      <c r="AB139" s="5"/>
      <c r="AC139" s="5"/>
    </row>
    <row r="140" spans="1:29">
      <c r="A140" s="83" t="s">
        <v>13</v>
      </c>
      <c r="B140" s="5"/>
      <c r="C140" s="83">
        <f>C19</f>
        <v>0</v>
      </c>
      <c r="D140" s="83">
        <f t="shared" ref="D140:P140" si="127">D19</f>
        <v>0</v>
      </c>
      <c r="E140" s="83">
        <f t="shared" si="127"/>
        <v>0</v>
      </c>
      <c r="F140" s="83">
        <f t="shared" si="127"/>
        <v>76.975704000000007</v>
      </c>
      <c r="G140" s="83">
        <f t="shared" si="127"/>
        <v>0</v>
      </c>
      <c r="H140" s="83">
        <f t="shared" si="127"/>
        <v>0</v>
      </c>
      <c r="I140" s="83">
        <f t="shared" si="127"/>
        <v>0</v>
      </c>
      <c r="J140" s="83">
        <f t="shared" si="127"/>
        <v>0</v>
      </c>
      <c r="K140" s="83">
        <f t="shared" si="127"/>
        <v>0</v>
      </c>
      <c r="L140" s="83">
        <f t="shared" si="127"/>
        <v>0</v>
      </c>
      <c r="M140" s="83">
        <f>M19</f>
        <v>0</v>
      </c>
      <c r="N140" s="83">
        <f t="shared" si="127"/>
        <v>0</v>
      </c>
      <c r="O140" s="83">
        <f t="shared" si="127"/>
        <v>0</v>
      </c>
      <c r="P140" s="83">
        <f t="shared" si="127"/>
        <v>0</v>
      </c>
      <c r="Q140" s="83">
        <f>Q19</f>
        <v>0</v>
      </c>
      <c r="R140" s="83">
        <f>R19</f>
        <v>0</v>
      </c>
      <c r="S140" s="83">
        <f>S19</f>
        <v>0</v>
      </c>
      <c r="T140" s="83">
        <f>T19</f>
        <v>0</v>
      </c>
      <c r="U140" s="83">
        <f>U19</f>
        <v>0</v>
      </c>
      <c r="V140" s="5"/>
      <c r="W140" s="5"/>
      <c r="X140" s="5"/>
      <c r="Y140" s="5"/>
      <c r="Z140" s="5"/>
      <c r="AA140" s="5"/>
      <c r="AB140" s="5"/>
      <c r="AC140" s="5"/>
    </row>
    <row r="141" spans="1:29">
      <c r="A141" s="6"/>
      <c r="B141" s="5"/>
      <c r="C141" s="83"/>
      <c r="D141" s="83"/>
      <c r="E141" s="83"/>
      <c r="F141" s="83"/>
      <c r="G141" s="83"/>
      <c r="H141" s="83"/>
      <c r="I141" s="83"/>
      <c r="J141" s="83"/>
      <c r="K141" s="83"/>
      <c r="L141" s="83"/>
      <c r="M141" s="83"/>
      <c r="V141" s="5"/>
      <c r="W141" s="5"/>
      <c r="X141" s="5"/>
      <c r="Y141" s="5"/>
      <c r="Z141" s="5"/>
      <c r="AA141" s="5"/>
      <c r="AB141" s="5"/>
      <c r="AC141" s="5"/>
    </row>
    <row r="142" spans="1:29">
      <c r="A142" s="6" t="s">
        <v>9</v>
      </c>
      <c r="B142" s="5"/>
      <c r="C142" s="393">
        <f>C137-C139-C140</f>
        <v>609.69900000000052</v>
      </c>
      <c r="D142" s="393">
        <f t="shared" ref="D142:P142" si="128">D137-D139-D140</f>
        <v>690.42300000000171</v>
      </c>
      <c r="E142" s="393">
        <f t="shared" si="128"/>
        <v>781.71600000000069</v>
      </c>
      <c r="F142" s="393">
        <f t="shared" si="128"/>
        <v>902.47834600000033</v>
      </c>
      <c r="G142" s="393">
        <f t="shared" si="128"/>
        <v>896.2809999999962</v>
      </c>
      <c r="H142" s="393">
        <f t="shared" si="128"/>
        <v>1213.5719999999999</v>
      </c>
      <c r="I142" s="393">
        <f t="shared" si="128"/>
        <v>1420.3539499999965</v>
      </c>
      <c r="J142" s="393">
        <f t="shared" si="128"/>
        <v>1538.6591230000026</v>
      </c>
      <c r="K142" s="393">
        <f t="shared" si="128"/>
        <v>1906.6870000000015</v>
      </c>
      <c r="L142" s="393">
        <f t="shared" si="128"/>
        <v>2137.3941199999995</v>
      </c>
      <c r="M142" s="393">
        <f>M137-M139-M140</f>
        <v>2225.613089999998</v>
      </c>
      <c r="N142" s="393">
        <f t="shared" si="128"/>
        <v>2277.6579999999976</v>
      </c>
      <c r="O142" s="393">
        <f t="shared" si="128"/>
        <v>2350.4899800000057</v>
      </c>
      <c r="P142" s="393">
        <f t="shared" si="128"/>
        <v>2607.948000000004</v>
      </c>
      <c r="Q142" s="393">
        <f>Q137-Q139-Q140</f>
        <v>3024.9776417598978</v>
      </c>
      <c r="R142" s="393">
        <f>R137-R139-R140</f>
        <v>3283.0152729634938</v>
      </c>
      <c r="S142" s="393">
        <f>S137-S139-S140</f>
        <v>3556.6263182653593</v>
      </c>
      <c r="T142" s="393">
        <f>T137-T139-T140</f>
        <v>3810.1816201082838</v>
      </c>
      <c r="U142" s="393">
        <f>U137-U139-U140</f>
        <v>4014.301847714677</v>
      </c>
      <c r="V142" s="5"/>
      <c r="W142" s="5"/>
      <c r="X142" s="5"/>
      <c r="Y142" s="5"/>
      <c r="Z142" s="5"/>
      <c r="AA142" s="5"/>
      <c r="AB142" s="5"/>
      <c r="AC142" s="5"/>
    </row>
    <row r="143" spans="1:29">
      <c r="A143" s="6"/>
      <c r="B143" s="5"/>
      <c r="V143" s="5"/>
      <c r="W143" s="5"/>
      <c r="X143" s="5"/>
      <c r="Y143" s="5"/>
      <c r="Z143" s="5"/>
      <c r="AA143" s="5"/>
      <c r="AB143" s="5"/>
      <c r="AC143" s="5"/>
    </row>
    <row r="144" spans="1:29">
      <c r="A144" s="129" t="s">
        <v>10</v>
      </c>
      <c r="B144" s="5"/>
      <c r="C144" s="388">
        <f t="shared" ref="C144:P144" si="129">C142/C145</f>
        <v>0.59814190899156605</v>
      </c>
      <c r="D144" s="388">
        <f t="shared" si="129"/>
        <v>0.70236384416814601</v>
      </c>
      <c r="E144" s="388">
        <f t="shared" si="129"/>
        <v>0.81421116770302848</v>
      </c>
      <c r="F144" s="388">
        <f t="shared" si="129"/>
        <v>0.96409150596308946</v>
      </c>
      <c r="G144" s="388">
        <f t="shared" si="129"/>
        <v>1.0133079332059516</v>
      </c>
      <c r="H144" s="388">
        <f t="shared" si="129"/>
        <v>1.4189874631389154</v>
      </c>
      <c r="I144" s="388">
        <f t="shared" si="129"/>
        <v>1.7474268170555525</v>
      </c>
      <c r="J144" s="388">
        <f t="shared" si="129"/>
        <v>1.9885174482922652</v>
      </c>
      <c r="K144" s="388">
        <f t="shared" si="129"/>
        <v>2.5505641725358021</v>
      </c>
      <c r="L144" s="388">
        <f t="shared" si="129"/>
        <v>2.942545073075101</v>
      </c>
      <c r="M144" s="388">
        <f>M142/M145</f>
        <v>3.1624659586825716</v>
      </c>
      <c r="N144" s="388">
        <f t="shared" si="129"/>
        <v>3.3347261834345479</v>
      </c>
      <c r="O144" s="388">
        <f t="shared" si="129"/>
        <v>3.5375929816745817</v>
      </c>
      <c r="P144" s="388">
        <f t="shared" si="129"/>
        <v>4.0364151337630938</v>
      </c>
      <c r="Q144" s="388">
        <f>Q142/Q145</f>
        <v>4.8327090228982597</v>
      </c>
      <c r="R144" s="388">
        <f>R142/R145</f>
        <v>5.4956286975760573</v>
      </c>
      <c r="S144" s="388">
        <f>S142/S145</f>
        <v>6.1497787484019293</v>
      </c>
      <c r="T144" s="388">
        <f>T142/T145</f>
        <v>6.7998397847726739</v>
      </c>
      <c r="U144" s="388">
        <f>U142/U145</f>
        <v>7.3965508862423572</v>
      </c>
      <c r="V144" s="5"/>
      <c r="W144" s="5"/>
      <c r="X144" s="5"/>
      <c r="Y144" s="5"/>
      <c r="Z144" s="5"/>
      <c r="AA144" s="5"/>
      <c r="AB144" s="5"/>
      <c r="AC144" s="5"/>
    </row>
    <row r="145" spans="1:29">
      <c r="A145" s="6" t="s">
        <v>11</v>
      </c>
      <c r="B145" s="5"/>
      <c r="C145" s="83">
        <f>C24</f>
        <v>1019.321654</v>
      </c>
      <c r="D145" s="83">
        <f t="shared" ref="D145:J145" si="130">D24</f>
        <v>982.99906199999998</v>
      </c>
      <c r="E145" s="83">
        <f t="shared" si="130"/>
        <v>960.09</v>
      </c>
      <c r="F145" s="83">
        <f t="shared" si="130"/>
        <v>936.09199999999998</v>
      </c>
      <c r="G145" s="83">
        <f t="shared" si="130"/>
        <v>884.51</v>
      </c>
      <c r="H145" s="83">
        <f t="shared" si="130"/>
        <v>855.23800000000006</v>
      </c>
      <c r="I145" s="83">
        <f t="shared" si="130"/>
        <v>812.82600000000002</v>
      </c>
      <c r="J145" s="83">
        <f t="shared" si="130"/>
        <v>773.77200000000005</v>
      </c>
      <c r="K145" s="83">
        <f>K24</f>
        <v>747.55499999999995</v>
      </c>
      <c r="L145" s="355">
        <f t="shared" ref="L145:R145" si="131">INDEX(L146:L148,MATCH($AA$150,$AC$150:$AC$152,0))</f>
        <v>726.37599999999998</v>
      </c>
      <c r="M145" s="355">
        <f>INDEX(M146:M148,MATCH($AA$150,$AC$150:$AC$152,0))</f>
        <v>703.75874999999996</v>
      </c>
      <c r="N145" s="355">
        <f t="shared" si="131"/>
        <v>683.01200000000006</v>
      </c>
      <c r="O145" s="355">
        <f t="shared" si="131"/>
        <v>664.43200000000002</v>
      </c>
      <c r="P145" s="355">
        <f t="shared" si="131"/>
        <v>646.10500000000002</v>
      </c>
      <c r="Q145" s="355">
        <f t="shared" si="131"/>
        <v>625.93829411764705</v>
      </c>
      <c r="R145" s="355">
        <f t="shared" si="131"/>
        <v>597.38666013071895</v>
      </c>
      <c r="S145" s="355">
        <f>INDEX(S146:S148,MATCH($AA$150,$AC$150:$AC$152,0))</f>
        <v>578.33402855177155</v>
      </c>
      <c r="T145" s="355">
        <f>INDEX(T146:T148,MATCH($AA$150,$AC$150:$AC$152,0))</f>
        <v>560.33402855177155</v>
      </c>
      <c r="U145" s="355">
        <f>INDEX(U146:U148,MATCH($AA$150,$AC$150:$AC$152,0))</f>
        <v>542.72618541451664</v>
      </c>
      <c r="V145" s="5"/>
      <c r="W145" s="5"/>
      <c r="X145" s="5"/>
      <c r="Y145" s="5"/>
      <c r="Z145" s="5"/>
      <c r="AA145" s="5"/>
      <c r="AB145" s="5"/>
      <c r="AC145" s="5"/>
    </row>
    <row r="146" spans="1:29" hidden="1" outlineLevel="1">
      <c r="A146" s="394" t="s">
        <v>133</v>
      </c>
      <c r="B146" s="5"/>
      <c r="C146" s="83"/>
      <c r="D146" s="83"/>
      <c r="E146" s="83"/>
      <c r="F146" s="83"/>
      <c r="G146" s="83"/>
      <c r="H146" s="83"/>
      <c r="I146" s="83"/>
      <c r="J146" s="83"/>
      <c r="K146" s="83"/>
      <c r="L146" s="355">
        <f t="shared" ref="L146:R146" si="132">L63</f>
        <v>726.37599999999998</v>
      </c>
      <c r="M146" s="355">
        <f>M63</f>
        <v>703.75874999999996</v>
      </c>
      <c r="N146" s="355">
        <f t="shared" si="132"/>
        <v>683.01200000000006</v>
      </c>
      <c r="O146" s="355">
        <f t="shared" si="132"/>
        <v>664.43200000000002</v>
      </c>
      <c r="P146" s="355">
        <f t="shared" si="132"/>
        <v>646.10500000000002</v>
      </c>
      <c r="Q146" s="355">
        <f t="shared" si="132"/>
        <v>625.93829411764705</v>
      </c>
      <c r="R146" s="355">
        <f t="shared" si="132"/>
        <v>597.38666013071895</v>
      </c>
      <c r="S146" s="355">
        <f>S63</f>
        <v>578.33402855177155</v>
      </c>
      <c r="T146" s="355">
        <f>T63</f>
        <v>560.33402855177155</v>
      </c>
      <c r="U146" s="355">
        <f>U63</f>
        <v>542.72618541451664</v>
      </c>
      <c r="V146" s="5"/>
      <c r="W146" s="5"/>
      <c r="X146" s="5"/>
      <c r="Y146" s="5"/>
      <c r="Z146" s="5"/>
      <c r="AA146" s="5"/>
      <c r="AB146" s="5"/>
      <c r="AC146" s="5"/>
    </row>
    <row r="147" spans="1:29" hidden="1" outlineLevel="1">
      <c r="A147" s="394" t="s">
        <v>20</v>
      </c>
      <c r="B147" s="5"/>
      <c r="C147" s="83"/>
      <c r="D147" s="83"/>
      <c r="E147" s="83"/>
      <c r="F147" s="83"/>
      <c r="G147" s="83"/>
      <c r="H147" s="83"/>
      <c r="I147" s="83"/>
      <c r="J147" s="83"/>
      <c r="K147" s="83"/>
      <c r="L147" s="355">
        <f t="shared" ref="L147:R147" si="133">L24</f>
        <v>726.37599999999998</v>
      </c>
      <c r="M147" s="355">
        <f>M24</f>
        <v>703.75874999999996</v>
      </c>
      <c r="N147" s="355">
        <f t="shared" si="133"/>
        <v>683.01200000000006</v>
      </c>
      <c r="O147" s="355">
        <f t="shared" si="133"/>
        <v>664.43200000000002</v>
      </c>
      <c r="P147" s="355">
        <f t="shared" si="133"/>
        <v>646.10500000000002</v>
      </c>
      <c r="Q147" s="355">
        <f t="shared" si="133"/>
        <v>625.93829411764705</v>
      </c>
      <c r="R147" s="355">
        <f t="shared" si="133"/>
        <v>597.38666013071895</v>
      </c>
      <c r="S147" s="355">
        <f>S24</f>
        <v>578.33402855177155</v>
      </c>
      <c r="T147" s="355">
        <f>T24</f>
        <v>560.33402855177155</v>
      </c>
      <c r="U147" s="355">
        <f>U24</f>
        <v>542.72618541451664</v>
      </c>
      <c r="V147" s="5"/>
      <c r="W147" s="5"/>
      <c r="X147" s="5"/>
      <c r="Y147" s="5"/>
      <c r="Z147" s="5"/>
      <c r="AA147" s="5"/>
      <c r="AB147" s="5"/>
      <c r="AC147" s="5"/>
    </row>
    <row r="148" spans="1:29" hidden="1" outlineLevel="1">
      <c r="A148" s="394" t="s">
        <v>134</v>
      </c>
      <c r="B148" s="5"/>
      <c r="C148" s="83"/>
      <c r="D148" s="83"/>
      <c r="E148" s="83"/>
      <c r="F148" s="83"/>
      <c r="G148" s="83"/>
      <c r="H148" s="83"/>
      <c r="I148" s="83"/>
      <c r="J148" s="83"/>
      <c r="K148" s="83"/>
      <c r="L148" s="355">
        <f t="shared" ref="L148:R148" si="134">L104</f>
        <v>726.37599999999998</v>
      </c>
      <c r="M148" s="355">
        <f>M104</f>
        <v>703.75874999999996</v>
      </c>
      <c r="N148" s="355">
        <f t="shared" si="134"/>
        <v>683.01200000000006</v>
      </c>
      <c r="O148" s="355">
        <f t="shared" si="134"/>
        <v>664.43200000000002</v>
      </c>
      <c r="P148" s="355">
        <f t="shared" si="134"/>
        <v>646.10500000000002</v>
      </c>
      <c r="Q148" s="355">
        <f t="shared" si="134"/>
        <v>625.93829411764705</v>
      </c>
      <c r="R148" s="355">
        <f t="shared" si="134"/>
        <v>597.38666013071895</v>
      </c>
      <c r="S148" s="355">
        <f>S104</f>
        <v>578.33402855177155</v>
      </c>
      <c r="T148" s="355">
        <f>T104</f>
        <v>560.33402855177155</v>
      </c>
      <c r="U148" s="355">
        <f>U104</f>
        <v>542.72618541451664</v>
      </c>
      <c r="V148" s="5"/>
      <c r="W148" s="5"/>
      <c r="X148" s="5"/>
      <c r="Y148" s="5"/>
      <c r="Z148" s="5"/>
      <c r="AA148" s="5"/>
      <c r="AB148" s="5"/>
      <c r="AC148" s="5"/>
    </row>
    <row r="149" spans="1:29" ht="13.5" collapsed="1" thickBot="1">
      <c r="A149" s="6"/>
      <c r="B149" s="5"/>
      <c r="L149" s="124"/>
      <c r="M149" s="124"/>
      <c r="N149" s="124"/>
      <c r="O149" s="124"/>
      <c r="P149" s="124"/>
      <c r="Q149" s="124"/>
      <c r="R149" s="124"/>
      <c r="S149" s="124"/>
      <c r="T149" s="124"/>
      <c r="U149" s="124"/>
      <c r="V149" s="5"/>
      <c r="W149" s="5"/>
      <c r="X149" s="5"/>
      <c r="Y149" s="5"/>
      <c r="Z149" s="5"/>
      <c r="AA149" s="5"/>
      <c r="AB149" s="5"/>
      <c r="AC149" s="5"/>
    </row>
    <row r="150" spans="1:29" ht="13.5" thickBot="1">
      <c r="A150" s="6" t="s">
        <v>436</v>
      </c>
      <c r="B150" s="5"/>
      <c r="C150" s="393">
        <f>C133+C134</f>
        <v>1293.7670000000005</v>
      </c>
      <c r="D150" s="393">
        <f t="shared" ref="D150:P150" si="135">D133+D134</f>
        <v>1353.2440000000017</v>
      </c>
      <c r="E150" s="393">
        <f t="shared" si="135"/>
        <v>1620.4840000000008</v>
      </c>
      <c r="F150" s="393">
        <f t="shared" si="135"/>
        <v>1824.9070000000004</v>
      </c>
      <c r="G150" s="393">
        <f t="shared" si="135"/>
        <v>1836.437999999996</v>
      </c>
      <c r="H150" s="393">
        <f t="shared" si="135"/>
        <v>2426.2889999999998</v>
      </c>
      <c r="I150" s="393">
        <f t="shared" si="135"/>
        <v>2790.5889999999968</v>
      </c>
      <c r="J150" s="393">
        <f t="shared" si="135"/>
        <v>3001.5340000000028</v>
      </c>
      <c r="K150" s="393">
        <f t="shared" si="135"/>
        <v>3615.4550000000017</v>
      </c>
      <c r="L150" s="393">
        <f t="shared" si="135"/>
        <v>3899.37</v>
      </c>
      <c r="M150" s="393">
        <f>M133+M134</f>
        <v>4195.5009999999975</v>
      </c>
      <c r="N150" s="393">
        <f t="shared" si="135"/>
        <v>4321.3959999999979</v>
      </c>
      <c r="O150" s="393">
        <f t="shared" si="135"/>
        <v>4508.3190000000059</v>
      </c>
      <c r="P150" s="393">
        <f t="shared" si="135"/>
        <v>4713.4260000000049</v>
      </c>
      <c r="Q150" s="393">
        <f>Q133+Q134</f>
        <v>4830.2720385813982</v>
      </c>
      <c r="R150" s="393">
        <f>R133+R134</f>
        <v>5221.8699465452664</v>
      </c>
      <c r="S150" s="393">
        <f>S133+S134</f>
        <v>5637.0868065330869</v>
      </c>
      <c r="T150" s="393">
        <f>T133+T134</f>
        <v>6027.972271592248</v>
      </c>
      <c r="U150" s="393">
        <f>U133+U134</f>
        <v>5446.0403218544052</v>
      </c>
      <c r="V150" s="5"/>
      <c r="W150" s="5"/>
      <c r="X150" s="5"/>
      <c r="Y150" s="5"/>
      <c r="Z150" s="397" t="s">
        <v>21</v>
      </c>
      <c r="AA150" s="398" t="s">
        <v>20</v>
      </c>
      <c r="AB150" s="5"/>
      <c r="AC150" s="399" t="s">
        <v>133</v>
      </c>
    </row>
    <row r="151" spans="1:29">
      <c r="A151" s="6"/>
      <c r="B151" s="5"/>
      <c r="L151" s="124"/>
      <c r="M151" s="124"/>
      <c r="N151" s="124"/>
      <c r="O151" s="124"/>
      <c r="P151" s="124"/>
      <c r="Q151" s="124"/>
      <c r="R151" s="124"/>
      <c r="S151" s="124"/>
      <c r="T151" s="124"/>
      <c r="U151" s="124"/>
      <c r="V151" s="5"/>
      <c r="W151" s="5"/>
      <c r="X151" s="5"/>
      <c r="Y151" s="5"/>
      <c r="Z151" s="5"/>
      <c r="AA151" s="5"/>
      <c r="AB151" s="5"/>
      <c r="AC151" s="399" t="s">
        <v>20</v>
      </c>
    </row>
    <row r="152" spans="1:29">
      <c r="A152" s="9" t="s">
        <v>461</v>
      </c>
      <c r="B152" s="5"/>
      <c r="L152" s="124"/>
      <c r="M152" s="124"/>
      <c r="N152" s="124"/>
      <c r="O152" s="124"/>
      <c r="P152" s="124"/>
      <c r="Q152" s="124"/>
      <c r="R152" s="124"/>
      <c r="S152" s="124"/>
      <c r="T152" s="124"/>
      <c r="U152" s="124"/>
      <c r="V152" s="5"/>
      <c r="W152" s="5"/>
      <c r="X152" s="5"/>
      <c r="Y152" s="5"/>
      <c r="Z152" s="5"/>
      <c r="AA152" s="5"/>
      <c r="AB152" s="5"/>
      <c r="AC152" s="400" t="s">
        <v>134</v>
      </c>
    </row>
    <row r="153" spans="1:29">
      <c r="A153" s="6" t="s">
        <v>439</v>
      </c>
      <c r="B153" s="5"/>
      <c r="C153" s="61">
        <f>C131/C127</f>
        <v>0.23550899098039896</v>
      </c>
      <c r="D153" s="61">
        <f t="shared" ref="D153:J153" si="136">D131/D127</f>
        <v>0.23433392898900146</v>
      </c>
      <c r="E153" s="61">
        <f t="shared" si="136"/>
        <v>0.24079410561679629</v>
      </c>
      <c r="F153" s="61">
        <f t="shared" si="136"/>
        <v>0.24516504003118672</v>
      </c>
      <c r="G153" s="61">
        <f t="shared" si="136"/>
        <v>0.24054942484027855</v>
      </c>
      <c r="H153" s="61">
        <f t="shared" si="136"/>
        <v>0.26221897549166412</v>
      </c>
      <c r="I153" s="61">
        <f t="shared" si="136"/>
        <v>0.27076222308461445</v>
      </c>
      <c r="J153" s="61">
        <f t="shared" si="136"/>
        <v>0.27365693872538394</v>
      </c>
      <c r="K153" s="61">
        <f>K131/K127</f>
        <v>0.28429037189820133</v>
      </c>
      <c r="L153" s="126">
        <f t="shared" ref="L153:R153" si="137">INDEX(L154:L156,MATCH($AA$150,$AC$150:$AC$152,0))</f>
        <v>0.28507988419519364</v>
      </c>
      <c r="M153" s="126">
        <f>INDEX(M154:M156,MATCH($AA$150,$AC$150:$AC$152,0))</f>
        <v>0.28549999317362873</v>
      </c>
      <c r="N153" s="126">
        <f t="shared" si="137"/>
        <v>0.28794418654191511</v>
      </c>
      <c r="O153" s="126">
        <f t="shared" si="137"/>
        <v>0.28984041101570707</v>
      </c>
      <c r="P153" s="126">
        <f t="shared" si="137"/>
        <v>0.28893333560855339</v>
      </c>
      <c r="Q153" s="126">
        <f t="shared" si="137"/>
        <v>0.28708530846525965</v>
      </c>
      <c r="R153" s="126">
        <f t="shared" si="137"/>
        <v>0.28850000000000003</v>
      </c>
      <c r="S153" s="126">
        <f>INDEX(S154:S156,MATCH($AA$150,$AC$150:$AC$152,0))</f>
        <v>0.29039999999999994</v>
      </c>
      <c r="T153" s="126">
        <f>INDEX(T154:T156,MATCH($AA$150,$AC$150:$AC$152,0))</f>
        <v>0.29110000000000014</v>
      </c>
      <c r="U153" s="126">
        <f>INDEX(U154:U156,MATCH($AA$150,$AC$150:$AC$152,0))</f>
        <v>0.29199999999999998</v>
      </c>
      <c r="V153" s="5"/>
      <c r="W153" s="5"/>
      <c r="X153" s="5"/>
      <c r="Y153" s="5"/>
      <c r="Z153" s="5"/>
      <c r="AA153" s="5"/>
      <c r="AB153" s="5"/>
      <c r="AC153" s="5"/>
    </row>
    <row r="154" spans="1:29" hidden="1" outlineLevel="1">
      <c r="A154" s="394" t="s">
        <v>133</v>
      </c>
      <c r="B154" s="5"/>
      <c r="C154" s="61"/>
      <c r="D154" s="61"/>
      <c r="E154" s="61"/>
      <c r="F154" s="61"/>
      <c r="G154" s="61"/>
      <c r="H154" s="61"/>
      <c r="I154" s="61"/>
      <c r="J154" s="61"/>
      <c r="K154" s="61"/>
      <c r="L154" s="126">
        <f t="shared" ref="L154:R154" si="138">L68</f>
        <v>0.28507988419519364</v>
      </c>
      <c r="M154" s="126">
        <f>M68</f>
        <v>0.28549999317362873</v>
      </c>
      <c r="N154" s="126">
        <f t="shared" si="138"/>
        <v>0.28794418654191511</v>
      </c>
      <c r="O154" s="126">
        <f t="shared" si="138"/>
        <v>0.28984041101570707</v>
      </c>
      <c r="P154" s="126">
        <f t="shared" si="138"/>
        <v>0.28893333560855339</v>
      </c>
      <c r="Q154" s="126">
        <f t="shared" si="138"/>
        <v>0.29038530846525967</v>
      </c>
      <c r="R154" s="126">
        <f t="shared" si="138"/>
        <v>0.29150000000000004</v>
      </c>
      <c r="S154" s="126">
        <f>S68</f>
        <v>0.29339999999999994</v>
      </c>
      <c r="T154" s="126">
        <f>T68</f>
        <v>0.29410000000000014</v>
      </c>
      <c r="U154" s="126">
        <f>U68</f>
        <v>0.29499999999999998</v>
      </c>
      <c r="V154" s="5"/>
      <c r="W154" s="5"/>
      <c r="X154" s="5"/>
      <c r="Y154" s="5"/>
      <c r="Z154" s="5"/>
      <c r="AA154" s="5"/>
      <c r="AB154" s="5"/>
      <c r="AC154" s="5"/>
    </row>
    <row r="155" spans="1:29" hidden="1" outlineLevel="1">
      <c r="A155" s="394" t="s">
        <v>20</v>
      </c>
      <c r="B155" s="5"/>
      <c r="C155" s="61"/>
      <c r="D155" s="61"/>
      <c r="E155" s="61"/>
      <c r="F155" s="61"/>
      <c r="G155" s="61"/>
      <c r="H155" s="61"/>
      <c r="I155" s="61"/>
      <c r="J155" s="61"/>
      <c r="K155" s="61"/>
      <c r="L155" s="126">
        <f t="shared" ref="L155:R155" si="139">L29</f>
        <v>0.28507988419519364</v>
      </c>
      <c r="M155" s="126">
        <f>M29</f>
        <v>0.28549999317362873</v>
      </c>
      <c r="N155" s="126">
        <f t="shared" si="139"/>
        <v>0.28794418654191511</v>
      </c>
      <c r="O155" s="126">
        <f t="shared" si="139"/>
        <v>0.28984041101570707</v>
      </c>
      <c r="P155" s="126">
        <f t="shared" si="139"/>
        <v>0.28893333560855339</v>
      </c>
      <c r="Q155" s="126">
        <f t="shared" si="139"/>
        <v>0.28708530846525965</v>
      </c>
      <c r="R155" s="126">
        <f t="shared" si="139"/>
        <v>0.28850000000000003</v>
      </c>
      <c r="S155" s="126">
        <f>S29</f>
        <v>0.29039999999999994</v>
      </c>
      <c r="T155" s="126">
        <f>T29</f>
        <v>0.29110000000000014</v>
      </c>
      <c r="U155" s="126">
        <f>U29</f>
        <v>0.29199999999999998</v>
      </c>
      <c r="V155" s="5"/>
      <c r="W155" s="5"/>
      <c r="X155" s="5"/>
      <c r="Y155" s="5"/>
      <c r="Z155" s="5"/>
      <c r="AA155" s="5"/>
      <c r="AB155" s="5"/>
      <c r="AC155" s="5"/>
    </row>
    <row r="156" spans="1:29" hidden="1" outlineLevel="1">
      <c r="A156" s="394" t="s">
        <v>134</v>
      </c>
      <c r="B156" s="5"/>
      <c r="C156" s="61"/>
      <c r="D156" s="61"/>
      <c r="E156" s="61"/>
      <c r="F156" s="61"/>
      <c r="G156" s="61"/>
      <c r="H156" s="61"/>
      <c r="I156" s="61"/>
      <c r="J156" s="61"/>
      <c r="K156" s="61"/>
      <c r="L156" s="126">
        <f t="shared" ref="L156:R156" si="140">L109</f>
        <v>0.28507988419519364</v>
      </c>
      <c r="M156" s="126">
        <f>M109</f>
        <v>0.28549999317362873</v>
      </c>
      <c r="N156" s="126">
        <f t="shared" si="140"/>
        <v>0.28794418654191511</v>
      </c>
      <c r="O156" s="126">
        <f t="shared" si="140"/>
        <v>0.28984041101570707</v>
      </c>
      <c r="P156" s="126">
        <f t="shared" si="140"/>
        <v>0.28893333560855339</v>
      </c>
      <c r="Q156" s="126">
        <f t="shared" si="140"/>
        <v>0.28308530846525964</v>
      </c>
      <c r="R156" s="126">
        <f t="shared" si="140"/>
        <v>0.28350000000000003</v>
      </c>
      <c r="S156" s="126">
        <f>S109</f>
        <v>0.28139999999999993</v>
      </c>
      <c r="T156" s="126">
        <f>T109</f>
        <v>0.28110000000000013</v>
      </c>
      <c r="U156" s="126">
        <f>U109</f>
        <v>0.28199999999999997</v>
      </c>
      <c r="V156" s="5"/>
      <c r="W156" s="5"/>
      <c r="X156" s="5"/>
      <c r="Y156" s="5"/>
      <c r="Z156" s="5"/>
      <c r="AA156" s="5"/>
      <c r="AB156" s="5"/>
      <c r="AC156" s="5"/>
    </row>
    <row r="157" spans="1:29" collapsed="1">
      <c r="A157" s="6" t="s">
        <v>463</v>
      </c>
      <c r="B157" s="5"/>
      <c r="C157" s="61">
        <f>C132/C127</f>
        <v>0.16746935195040172</v>
      </c>
      <c r="D157" s="61">
        <f t="shared" ref="D157:J157" si="141">D132/D127</f>
        <v>0.16963326853670785</v>
      </c>
      <c r="E157" s="61">
        <f t="shared" si="141"/>
        <v>0.16797592503652906</v>
      </c>
      <c r="F157" s="61">
        <f t="shared" si="141"/>
        <v>0.16636939649056437</v>
      </c>
      <c r="G157" s="61">
        <f t="shared" si="141"/>
        <v>0.16503529960385813</v>
      </c>
      <c r="H157" s="61">
        <f t="shared" si="141"/>
        <v>0.16408079397316028</v>
      </c>
      <c r="I157" s="61">
        <f t="shared" si="141"/>
        <v>0.1630896950785457</v>
      </c>
      <c r="J157" s="61">
        <f t="shared" si="141"/>
        <v>0.16513271848872491</v>
      </c>
      <c r="K157" s="61">
        <f>K132/K127</f>
        <v>0.16424703996062812</v>
      </c>
      <c r="L157" s="126">
        <f t="shared" ref="L157:R157" si="142">INDEX(L158:L160,MATCH($AA$150,$AC$150:$AC$152,0))</f>
        <v>0.16289751379660117</v>
      </c>
      <c r="M157" s="126">
        <f>INDEX(M158:M160,MATCH($AA$150,$AC$150:$AC$152,0))</f>
        <v>0.1614732196299474</v>
      </c>
      <c r="N157" s="126">
        <f t="shared" si="142"/>
        <v>0.16822509064325802</v>
      </c>
      <c r="O157" s="126">
        <f t="shared" si="142"/>
        <v>0.173834121912223</v>
      </c>
      <c r="P157" s="126">
        <f t="shared" si="142"/>
        <v>0.17775354036496757</v>
      </c>
      <c r="Q157" s="126">
        <f t="shared" si="142"/>
        <v>0.17846808295326777</v>
      </c>
      <c r="R157" s="126">
        <f t="shared" si="142"/>
        <v>0.17799999999999999</v>
      </c>
      <c r="S157" s="126">
        <f>INDEX(S158:S160,MATCH($AA$150,$AC$150:$AC$152,0))</f>
        <v>0.1779</v>
      </c>
      <c r="T157" s="126">
        <f>INDEX(T158:T160,MATCH($AA$150,$AC$150:$AC$152,0))</f>
        <v>0.1777</v>
      </c>
      <c r="U157" s="126">
        <f>INDEX(U158:U160,MATCH($AA$150,$AC$150:$AC$152,0))</f>
        <v>0.17780000000000001</v>
      </c>
      <c r="V157" s="5"/>
      <c r="W157" s="5"/>
      <c r="X157" s="5"/>
      <c r="Y157" s="5"/>
      <c r="Z157" s="5"/>
      <c r="AA157" s="5"/>
      <c r="AB157" s="5"/>
      <c r="AC157" s="5"/>
    </row>
    <row r="158" spans="1:29" hidden="1" outlineLevel="1">
      <c r="A158" s="394" t="s">
        <v>133</v>
      </c>
      <c r="B158" s="5"/>
      <c r="C158" s="61"/>
      <c r="D158" s="61"/>
      <c r="E158" s="61"/>
      <c r="F158" s="61"/>
      <c r="G158" s="61"/>
      <c r="H158" s="61"/>
      <c r="I158" s="61"/>
      <c r="J158" s="61"/>
      <c r="K158" s="61"/>
      <c r="L158" s="126">
        <f t="shared" ref="L158:R158" si="143">L69</f>
        <v>0.16289751379660117</v>
      </c>
      <c r="M158" s="126">
        <f>M69</f>
        <v>0.1614732196299474</v>
      </c>
      <c r="N158" s="126">
        <f t="shared" si="143"/>
        <v>0.16822509064325802</v>
      </c>
      <c r="O158" s="126">
        <f t="shared" si="143"/>
        <v>0.173834121912223</v>
      </c>
      <c r="P158" s="126">
        <f t="shared" si="143"/>
        <v>0.17775354036496757</v>
      </c>
      <c r="Q158" s="126">
        <f t="shared" si="143"/>
        <v>0.17426808295326776</v>
      </c>
      <c r="R158" s="126">
        <f t="shared" si="143"/>
        <v>0.17399999999999999</v>
      </c>
      <c r="S158" s="126">
        <f>S69</f>
        <v>0.1739</v>
      </c>
      <c r="T158" s="126">
        <f>T69</f>
        <v>0.17369999999999999</v>
      </c>
      <c r="U158" s="126">
        <f>U69</f>
        <v>0.17380000000000001</v>
      </c>
      <c r="V158" s="5"/>
      <c r="W158" s="5"/>
      <c r="X158" s="5"/>
      <c r="Y158" s="5"/>
      <c r="Z158" s="5"/>
      <c r="AA158" s="5"/>
      <c r="AB158" s="5"/>
      <c r="AC158" s="5"/>
    </row>
    <row r="159" spans="1:29" hidden="1" outlineLevel="1">
      <c r="A159" s="394" t="s">
        <v>20</v>
      </c>
      <c r="B159" s="5"/>
      <c r="C159" s="61"/>
      <c r="D159" s="61"/>
      <c r="E159" s="61"/>
      <c r="F159" s="61"/>
      <c r="G159" s="61"/>
      <c r="H159" s="61"/>
      <c r="I159" s="61"/>
      <c r="J159" s="61"/>
      <c r="K159" s="61"/>
      <c r="L159" s="126">
        <f t="shared" ref="L159:R159" si="144">L30</f>
        <v>0.16289751379660117</v>
      </c>
      <c r="M159" s="126">
        <f>M30</f>
        <v>0.1614732196299474</v>
      </c>
      <c r="N159" s="126">
        <f t="shared" si="144"/>
        <v>0.16822509064325802</v>
      </c>
      <c r="O159" s="126">
        <f t="shared" si="144"/>
        <v>0.173834121912223</v>
      </c>
      <c r="P159" s="126">
        <f t="shared" si="144"/>
        <v>0.17775354036496757</v>
      </c>
      <c r="Q159" s="126">
        <f t="shared" si="144"/>
        <v>0.17846808295326777</v>
      </c>
      <c r="R159" s="126">
        <f t="shared" si="144"/>
        <v>0.17799999999999999</v>
      </c>
      <c r="S159" s="126">
        <f>S30</f>
        <v>0.1779</v>
      </c>
      <c r="T159" s="126">
        <f>T30</f>
        <v>0.1777</v>
      </c>
      <c r="U159" s="126">
        <f>U30</f>
        <v>0.17780000000000001</v>
      </c>
      <c r="V159" s="5"/>
      <c r="W159" s="5"/>
      <c r="X159" s="5"/>
      <c r="Y159" s="5"/>
      <c r="Z159" s="5"/>
      <c r="AA159" s="5"/>
      <c r="AB159" s="5"/>
      <c r="AC159" s="5"/>
    </row>
    <row r="160" spans="1:29" hidden="1" outlineLevel="1">
      <c r="A160" s="394" t="s">
        <v>134</v>
      </c>
      <c r="B160" s="5"/>
      <c r="C160" s="61"/>
      <c r="D160" s="61"/>
      <c r="E160" s="61"/>
      <c r="F160" s="61"/>
      <c r="G160" s="61"/>
      <c r="H160" s="61"/>
      <c r="I160" s="61"/>
      <c r="J160" s="61"/>
      <c r="K160" s="61"/>
      <c r="L160" s="126">
        <f t="shared" ref="L160:R160" si="145">L110</f>
        <v>0.16289751379660117</v>
      </c>
      <c r="M160" s="126">
        <f>M110</f>
        <v>0.1614732196299474</v>
      </c>
      <c r="N160" s="126">
        <f t="shared" si="145"/>
        <v>0.16822509064325802</v>
      </c>
      <c r="O160" s="126">
        <f t="shared" si="145"/>
        <v>0.173834121912223</v>
      </c>
      <c r="P160" s="126">
        <f t="shared" si="145"/>
        <v>0.17775354036496757</v>
      </c>
      <c r="Q160" s="126">
        <f t="shared" si="145"/>
        <v>0.18296808295326777</v>
      </c>
      <c r="R160" s="126">
        <f t="shared" si="145"/>
        <v>0.185</v>
      </c>
      <c r="S160" s="126">
        <f>S110</f>
        <v>0.18590000000000001</v>
      </c>
      <c r="T160" s="126">
        <f>T110</f>
        <v>0.1857</v>
      </c>
      <c r="U160" s="126">
        <f>U110</f>
        <v>0.18580000000000002</v>
      </c>
      <c r="V160" s="5"/>
      <c r="W160" s="5"/>
      <c r="X160" s="5"/>
      <c r="Y160" s="5"/>
      <c r="Z160" s="5"/>
      <c r="AA160" s="5"/>
      <c r="AB160" s="5"/>
      <c r="AC160" s="5"/>
    </row>
    <row r="161" spans="1:29" collapsed="1">
      <c r="A161" s="6" t="s">
        <v>441</v>
      </c>
      <c r="B161" s="5"/>
      <c r="C161" s="61">
        <f>C134/C127</f>
        <v>6.8039639029997254E-2</v>
      </c>
      <c r="D161" s="61">
        <f t="shared" ref="D161:P161" si="146">D134/D127</f>
        <v>6.4700660452293626E-2</v>
      </c>
      <c r="E161" s="61">
        <f t="shared" si="146"/>
        <v>7.2818180580267233E-2</v>
      </c>
      <c r="F161" s="61">
        <f t="shared" si="146"/>
        <v>7.8795643540622337E-2</v>
      </c>
      <c r="G161" s="61">
        <f t="shared" si="146"/>
        <v>7.551412523642044E-2</v>
      </c>
      <c r="H161" s="61">
        <f t="shared" si="146"/>
        <v>9.8138181518503828E-2</v>
      </c>
      <c r="I161" s="61">
        <f t="shared" si="146"/>
        <v>0.10767252800606876</v>
      </c>
      <c r="J161" s="61">
        <f t="shared" si="146"/>
        <v>0.108524220236659</v>
      </c>
      <c r="K161" s="61">
        <f t="shared" si="146"/>
        <v>0.12004333193757324</v>
      </c>
      <c r="L161" s="126">
        <f t="shared" si="146"/>
        <v>0.12218237039859248</v>
      </c>
      <c r="M161" s="126">
        <f>M134/M127</f>
        <v>0.12402677354368133</v>
      </c>
      <c r="N161" s="126">
        <f t="shared" si="146"/>
        <v>0.1197190958986571</v>
      </c>
      <c r="O161" s="126">
        <f t="shared" si="146"/>
        <v>0.11600628910348407</v>
      </c>
      <c r="P161" s="126">
        <f t="shared" si="146"/>
        <v>0.11117979524358584</v>
      </c>
      <c r="Q161" s="126">
        <f>Q134/Q127</f>
        <v>0.10861722551199186</v>
      </c>
      <c r="R161" s="126">
        <f>R134/R127</f>
        <v>0.11050000000000004</v>
      </c>
      <c r="S161" s="126">
        <f>S134/S127</f>
        <v>0.11249999999999995</v>
      </c>
      <c r="T161" s="126">
        <f>T134/T127</f>
        <v>0.11340000000000013</v>
      </c>
      <c r="U161" s="126">
        <f>U134/U127</f>
        <v>0.11419999999999997</v>
      </c>
      <c r="V161" s="5"/>
      <c r="W161" s="5"/>
      <c r="X161" s="5"/>
      <c r="Y161" s="5"/>
      <c r="Z161" s="5"/>
      <c r="AA161" s="5"/>
      <c r="AB161" s="5"/>
      <c r="AC161" s="5"/>
    </row>
    <row r="162" spans="1:29">
      <c r="A162" s="6" t="s">
        <v>465</v>
      </c>
      <c r="B162" s="5"/>
      <c r="C162" s="61">
        <f>C139/C137</f>
        <v>0.38348917185987963</v>
      </c>
      <c r="D162" s="61">
        <f t="shared" ref="D162:J162" si="147">D139/D137</f>
        <v>0.31595706842281984</v>
      </c>
      <c r="E162" s="61">
        <f t="shared" si="147"/>
        <v>0.37553043278202386</v>
      </c>
      <c r="F162" s="61">
        <f t="shared" si="147"/>
        <v>0.327810033429208</v>
      </c>
      <c r="G162" s="61">
        <f t="shared" si="147"/>
        <v>0.3690117146799593</v>
      </c>
      <c r="H162" s="61">
        <f t="shared" si="147"/>
        <v>0.37815349960698152</v>
      </c>
      <c r="I162" s="61">
        <f t="shared" si="147"/>
        <v>0.38067761838318714</v>
      </c>
      <c r="J162" s="61">
        <f t="shared" si="147"/>
        <v>0.37961921267969884</v>
      </c>
      <c r="K162" s="61">
        <f>K139/K137</f>
        <v>0.3804128940767561</v>
      </c>
      <c r="L162" s="126">
        <f t="shared" ref="L162:R162" si="148">INDEX(L163:L165,MATCH($AA$150,$AC$150:$AC$152,0))</f>
        <v>0.3561074852183575</v>
      </c>
      <c r="M162" s="126">
        <f>INDEX(M163:M165,MATCH($AA$150,$AC$150:$AC$152,0))</f>
        <v>0.37600461096684529</v>
      </c>
      <c r="N162" s="126">
        <f t="shared" si="148"/>
        <v>0.377399885192576</v>
      </c>
      <c r="O162" s="126">
        <f t="shared" si="148"/>
        <v>0.38242333858558125</v>
      </c>
      <c r="P162" s="126">
        <f t="shared" si="148"/>
        <v>0.32376805611592402</v>
      </c>
      <c r="Q162" s="126">
        <f t="shared" si="148"/>
        <v>0.25935941259912448</v>
      </c>
      <c r="R162" s="126">
        <f t="shared" si="148"/>
        <v>0.25935941259912448</v>
      </c>
      <c r="S162" s="126">
        <f>INDEX(S163:S165,MATCH($AA$150,$AC$150:$AC$152,0))</f>
        <v>0.25935941259912448</v>
      </c>
      <c r="T162" s="126">
        <f>INDEX(T163:T165,MATCH($AA$150,$AC$150:$AC$152,0))</f>
        <v>0.25935941259912448</v>
      </c>
      <c r="U162" s="126">
        <f>INDEX(U163:U165,MATCH($AA$150,$AC$150:$AC$152,0))</f>
        <v>0.25935941259912448</v>
      </c>
      <c r="V162" s="5"/>
      <c r="W162" s="5"/>
      <c r="X162" s="5"/>
      <c r="Y162" s="5"/>
      <c r="Z162" s="5"/>
      <c r="AA162" s="5"/>
      <c r="AB162" s="5"/>
      <c r="AC162" s="5"/>
    </row>
    <row r="163" spans="1:29" hidden="1" outlineLevel="1">
      <c r="A163" s="394" t="s">
        <v>133</v>
      </c>
      <c r="B163" s="5"/>
      <c r="C163" s="61"/>
      <c r="D163" s="61"/>
      <c r="E163" s="61"/>
      <c r="F163" s="61"/>
      <c r="G163" s="61"/>
      <c r="H163" s="61"/>
      <c r="I163" s="61"/>
      <c r="J163" s="61"/>
      <c r="K163" s="61"/>
      <c r="L163" s="126">
        <f t="shared" ref="L163:R163" si="149">L71</f>
        <v>0.3561074852183575</v>
      </c>
      <c r="M163" s="126">
        <f>M71</f>
        <v>0.37600461096684529</v>
      </c>
      <c r="N163" s="126">
        <f t="shared" si="149"/>
        <v>0.377399885192576</v>
      </c>
      <c r="O163" s="126">
        <f t="shared" si="149"/>
        <v>0.38242333858558125</v>
      </c>
      <c r="P163" s="126">
        <f t="shared" si="149"/>
        <v>0.32376805611592402</v>
      </c>
      <c r="Q163" s="126">
        <f t="shared" si="149"/>
        <v>0.25935941259912448</v>
      </c>
      <c r="R163" s="126">
        <f t="shared" si="149"/>
        <v>0.25935941259912448</v>
      </c>
      <c r="S163" s="126">
        <f>S71</f>
        <v>0.25935941259912448</v>
      </c>
      <c r="T163" s="126">
        <f>T71</f>
        <v>0.25935941259912448</v>
      </c>
      <c r="U163" s="126">
        <f>U71</f>
        <v>0.25935941259912448</v>
      </c>
      <c r="V163" s="5"/>
      <c r="W163" s="5"/>
      <c r="X163" s="5"/>
      <c r="Y163" s="5"/>
      <c r="Z163" s="5"/>
      <c r="AA163" s="5"/>
      <c r="AB163" s="5"/>
      <c r="AC163" s="5"/>
    </row>
    <row r="164" spans="1:29" hidden="1" outlineLevel="1">
      <c r="A164" s="394" t="s">
        <v>20</v>
      </c>
      <c r="B164" s="5"/>
      <c r="C164" s="61"/>
      <c r="D164" s="61"/>
      <c r="E164" s="61"/>
      <c r="F164" s="61"/>
      <c r="G164" s="61"/>
      <c r="H164" s="61"/>
      <c r="I164" s="61"/>
      <c r="J164" s="61"/>
      <c r="K164" s="61"/>
      <c r="L164" s="126">
        <f t="shared" ref="L164:R164" si="150">L32</f>
        <v>0.3561074852183575</v>
      </c>
      <c r="M164" s="126">
        <f>M32</f>
        <v>0.37600461096684529</v>
      </c>
      <c r="N164" s="126">
        <f t="shared" si="150"/>
        <v>0.377399885192576</v>
      </c>
      <c r="O164" s="126">
        <f t="shared" si="150"/>
        <v>0.38242333858558125</v>
      </c>
      <c r="P164" s="126">
        <f t="shared" si="150"/>
        <v>0.32376805611592402</v>
      </c>
      <c r="Q164" s="126">
        <f t="shared" si="150"/>
        <v>0.25935941259912448</v>
      </c>
      <c r="R164" s="126">
        <f t="shared" si="150"/>
        <v>0.25935941259912448</v>
      </c>
      <c r="S164" s="126">
        <f>S32</f>
        <v>0.25935941259912448</v>
      </c>
      <c r="T164" s="126">
        <f>T32</f>
        <v>0.25935941259912448</v>
      </c>
      <c r="U164" s="126">
        <f>U32</f>
        <v>0.25935941259912448</v>
      </c>
      <c r="V164" s="5"/>
      <c r="W164" s="5"/>
      <c r="X164" s="5"/>
      <c r="Y164" s="5"/>
      <c r="Z164" s="5"/>
      <c r="AA164" s="5"/>
      <c r="AB164" s="5"/>
      <c r="AC164" s="5"/>
    </row>
    <row r="165" spans="1:29" hidden="1" outlineLevel="1">
      <c r="A165" s="394" t="s">
        <v>134</v>
      </c>
      <c r="B165" s="5"/>
      <c r="C165" s="61"/>
      <c r="D165" s="61"/>
      <c r="E165" s="61"/>
      <c r="F165" s="61"/>
      <c r="G165" s="61"/>
      <c r="H165" s="61"/>
      <c r="I165" s="61"/>
      <c r="J165" s="61"/>
      <c r="K165" s="61"/>
      <c r="L165" s="126">
        <f t="shared" ref="L165:R165" si="151">L112</f>
        <v>0.3561074852183575</v>
      </c>
      <c r="M165" s="126">
        <f>M112</f>
        <v>0.37600461096684529</v>
      </c>
      <c r="N165" s="126">
        <f t="shared" si="151"/>
        <v>0.377399885192576</v>
      </c>
      <c r="O165" s="126">
        <f t="shared" si="151"/>
        <v>0.38242333858558125</v>
      </c>
      <c r="P165" s="126">
        <f t="shared" si="151"/>
        <v>0.32376805611592402</v>
      </c>
      <c r="Q165" s="126">
        <f t="shared" si="151"/>
        <v>0.25935941259912448</v>
      </c>
      <c r="R165" s="126">
        <f t="shared" si="151"/>
        <v>0.25935941259912448</v>
      </c>
      <c r="S165" s="126">
        <f>S112</f>
        <v>0.25935941259912448</v>
      </c>
      <c r="T165" s="126">
        <f>T112</f>
        <v>0.25935941259912448</v>
      </c>
      <c r="U165" s="126">
        <f>U112</f>
        <v>0.25935941259912448</v>
      </c>
      <c r="V165" s="5"/>
      <c r="W165" s="5"/>
      <c r="X165" s="5"/>
      <c r="Y165" s="5"/>
      <c r="Z165" s="5"/>
      <c r="AA165" s="5"/>
      <c r="AB165" s="5"/>
      <c r="AC165" s="5"/>
    </row>
    <row r="166" spans="1:29" collapsed="1">
      <c r="A166" s="6"/>
      <c r="B166" s="5"/>
      <c r="L166" s="124"/>
      <c r="M166" s="124"/>
      <c r="N166" s="124"/>
      <c r="O166" s="124"/>
      <c r="P166" s="124"/>
      <c r="Q166" s="124"/>
      <c r="R166" s="124"/>
      <c r="S166" s="124"/>
      <c r="T166" s="124"/>
      <c r="U166" s="124"/>
      <c r="V166" s="5"/>
      <c r="W166" s="5"/>
      <c r="X166" s="5"/>
      <c r="Y166" s="5"/>
      <c r="Z166" s="5"/>
      <c r="AA166" s="5"/>
      <c r="AB166" s="5"/>
      <c r="AC166" s="5"/>
    </row>
    <row r="167" spans="1:29">
      <c r="A167" s="9" t="s">
        <v>466</v>
      </c>
      <c r="B167" s="5"/>
      <c r="L167" s="124"/>
      <c r="M167" s="124"/>
      <c r="N167" s="124"/>
      <c r="O167" s="124"/>
      <c r="P167" s="124"/>
      <c r="Q167" s="124"/>
      <c r="R167" s="124"/>
      <c r="S167" s="124"/>
      <c r="T167" s="124"/>
      <c r="U167" s="124"/>
      <c r="V167" s="5"/>
      <c r="W167" s="5"/>
      <c r="X167" s="5"/>
      <c r="Y167" s="5"/>
      <c r="Z167" s="5"/>
      <c r="AA167" s="5"/>
      <c r="AB167" s="5"/>
      <c r="AC167" s="5"/>
    </row>
    <row r="168" spans="1:29">
      <c r="A168" s="6" t="s">
        <v>556</v>
      </c>
      <c r="B168" s="5"/>
      <c r="C168" s="401" t="s">
        <v>120</v>
      </c>
      <c r="D168" s="402">
        <f>((D127/C127)-1)</f>
        <v>7.6739417612907701E-2</v>
      </c>
      <c r="E168" s="402">
        <f t="shared" ref="E168:K168" si="152">((E127/D127)-1)</f>
        <v>8.3865204336672328E-2</v>
      </c>
      <c r="F168" s="402">
        <f t="shared" si="152"/>
        <v>6.1324806716738678E-2</v>
      </c>
      <c r="G168" s="402">
        <f t="shared" si="152"/>
        <v>2.8558508611938427E-2</v>
      </c>
      <c r="H168" s="402">
        <f t="shared" si="152"/>
        <v>6.7840662164619703E-2</v>
      </c>
      <c r="I168" s="402">
        <f t="shared" si="152"/>
        <v>6.7763057630245038E-2</v>
      </c>
      <c r="J168" s="402">
        <f t="shared" si="152"/>
        <v>7.0117592230270809E-2</v>
      </c>
      <c r="K168" s="402">
        <f t="shared" si="152"/>
        <v>0.11630229124675084</v>
      </c>
      <c r="L168" s="403">
        <f t="shared" ref="L168:R168" si="153">L169+L178</f>
        <v>5.9676242384953504E-2</v>
      </c>
      <c r="M168" s="403">
        <f>M169+M178</f>
        <v>6.0377396883223966E-2</v>
      </c>
      <c r="N168" s="403">
        <f t="shared" si="153"/>
        <v>6.4189589202737318E-2</v>
      </c>
      <c r="O168" s="403">
        <f t="shared" si="153"/>
        <v>7.2348052531241436E-2</v>
      </c>
      <c r="P168" s="403">
        <f t="shared" si="153"/>
        <v>8.0790160386965404E-2</v>
      </c>
      <c r="Q168" s="403">
        <f t="shared" si="153"/>
        <v>5.5127871138008988E-2</v>
      </c>
      <c r="R168" s="403">
        <f t="shared" si="153"/>
        <v>6.6279808470043999E-2</v>
      </c>
      <c r="S168" s="403">
        <f>S169+S178</f>
        <v>6.360463250861903E-2</v>
      </c>
      <c r="T168" s="403">
        <f>T169+T178</f>
        <v>6.2407784658905507E-2</v>
      </c>
      <c r="U168" s="403">
        <f>U169+U178</f>
        <v>4.592426182709719E-2</v>
      </c>
      <c r="V168" s="5"/>
      <c r="W168" s="5"/>
      <c r="X168" s="5"/>
      <c r="Y168" s="5"/>
      <c r="Z168" s="5"/>
      <c r="AA168" s="5"/>
      <c r="AB168" s="5"/>
      <c r="AC168" s="5"/>
    </row>
    <row r="169" spans="1:29">
      <c r="A169" s="6" t="s">
        <v>12</v>
      </c>
      <c r="B169" s="5"/>
      <c r="C169" s="61">
        <f t="shared" ref="C169:J169" si="154">C36</f>
        <v>0.05</v>
      </c>
      <c r="D169" s="61">
        <f t="shared" si="154"/>
        <v>0.02</v>
      </c>
      <c r="E169" s="61">
        <f t="shared" si="154"/>
        <v>0.03</v>
      </c>
      <c r="F169" s="61">
        <f t="shared" si="154"/>
        <v>0.02</v>
      </c>
      <c r="G169" s="61">
        <f t="shared" si="154"/>
        <v>0.01</v>
      </c>
      <c r="H169" s="61">
        <f t="shared" si="154"/>
        <v>0.06</v>
      </c>
      <c r="I169" s="61">
        <f t="shared" si="154"/>
        <v>0.04</v>
      </c>
      <c r="J169" s="61">
        <f t="shared" si="154"/>
        <v>0.04</v>
      </c>
      <c r="K169" s="61">
        <f>K36</f>
        <v>7.0000000000000007E-2</v>
      </c>
      <c r="L169" s="126">
        <f t="shared" ref="L169:R169" si="155">INDEX(L170:L172,MATCH($AA$150,$AC$150:$AC$152,0))</f>
        <v>0.03</v>
      </c>
      <c r="M169" s="126">
        <f>INDEX(M170:M172,MATCH($AA$150,$AC$150:$AC$152,0))</f>
        <v>0.02</v>
      </c>
      <c r="N169" s="126">
        <f t="shared" si="155"/>
        <v>0.05</v>
      </c>
      <c r="O169" s="126">
        <f t="shared" si="155"/>
        <v>0.05</v>
      </c>
      <c r="P169" s="126">
        <f t="shared" si="155"/>
        <v>0.02</v>
      </c>
      <c r="Q169" s="126">
        <f t="shared" si="155"/>
        <v>2.2735531853315217E-2</v>
      </c>
      <c r="R169" s="126">
        <f t="shared" si="155"/>
        <v>3.0016526963287389E-2</v>
      </c>
      <c r="S169" s="126">
        <f>INDEX(S170:S172,MATCH($AA$150,$AC$150:$AC$152,0))</f>
        <v>3.0273474077404442E-2</v>
      </c>
      <c r="T169" s="126">
        <f>INDEX(T170:T172,MATCH($AA$150,$AC$150:$AC$152,0))</f>
        <v>3.0403082409305095E-2</v>
      </c>
      <c r="U169" s="126">
        <f>INDEX(U170:U172,MATCH($AA$150,$AC$150:$AC$152,0))</f>
        <v>3.0530362789752755E-2</v>
      </c>
      <c r="V169" s="5"/>
      <c r="W169" s="5"/>
      <c r="X169" s="5"/>
      <c r="Y169" s="5"/>
      <c r="Z169" s="5"/>
      <c r="AA169" s="5"/>
      <c r="AB169" s="5"/>
      <c r="AC169" s="5"/>
    </row>
    <row r="170" spans="1:29" hidden="1" outlineLevel="1">
      <c r="A170" s="394" t="s">
        <v>133</v>
      </c>
      <c r="B170" s="5"/>
      <c r="C170" s="359"/>
      <c r="D170" s="359"/>
      <c r="E170" s="359"/>
      <c r="F170" s="359"/>
      <c r="G170" s="359"/>
      <c r="H170" s="61"/>
      <c r="I170" s="61"/>
      <c r="J170" s="61"/>
      <c r="K170" s="61"/>
      <c r="L170" s="126">
        <f t="shared" ref="L170:R170" si="156">L75</f>
        <v>0.03</v>
      </c>
      <c r="M170" s="126">
        <f>M75</f>
        <v>0.02</v>
      </c>
      <c r="N170" s="126">
        <f t="shared" si="156"/>
        <v>0.05</v>
      </c>
      <c r="O170" s="126">
        <f t="shared" si="156"/>
        <v>0.05</v>
      </c>
      <c r="P170" s="126">
        <f t="shared" si="156"/>
        <v>0.02</v>
      </c>
      <c r="Q170" s="126">
        <f t="shared" si="156"/>
        <v>0.04</v>
      </c>
      <c r="R170" s="126">
        <f t="shared" si="156"/>
        <v>0.04</v>
      </c>
      <c r="S170" s="126">
        <f>S75</f>
        <v>0.04</v>
      </c>
      <c r="T170" s="126">
        <f>T75</f>
        <v>0.04</v>
      </c>
      <c r="U170" s="126">
        <f>U75</f>
        <v>0.04</v>
      </c>
      <c r="V170" s="5"/>
      <c r="W170" s="5"/>
      <c r="X170" s="5"/>
      <c r="Y170" s="5"/>
      <c r="Z170" s="5"/>
      <c r="AA170" s="5"/>
      <c r="AB170" s="5"/>
      <c r="AC170" s="5"/>
    </row>
    <row r="171" spans="1:29" hidden="1" outlineLevel="1">
      <c r="A171" s="394" t="s">
        <v>20</v>
      </c>
      <c r="B171" s="5"/>
      <c r="C171" s="359"/>
      <c r="D171" s="359"/>
      <c r="E171" s="359"/>
      <c r="F171" s="359"/>
      <c r="G171" s="359"/>
      <c r="H171" s="61"/>
      <c r="I171" s="61"/>
      <c r="J171" s="61"/>
      <c r="K171" s="61"/>
      <c r="L171" s="126">
        <f t="shared" ref="L171:R171" si="157">L36</f>
        <v>0.03</v>
      </c>
      <c r="M171" s="126">
        <f>M36</f>
        <v>0.02</v>
      </c>
      <c r="N171" s="126">
        <f t="shared" si="157"/>
        <v>0.05</v>
      </c>
      <c r="O171" s="126">
        <f t="shared" si="157"/>
        <v>0.05</v>
      </c>
      <c r="P171" s="126">
        <f t="shared" si="157"/>
        <v>0.02</v>
      </c>
      <c r="Q171" s="126">
        <f t="shared" si="157"/>
        <v>2.2735531853315217E-2</v>
      </c>
      <c r="R171" s="126">
        <f t="shared" si="157"/>
        <v>3.0016526963287389E-2</v>
      </c>
      <c r="S171" s="126">
        <f>S36</f>
        <v>3.0273474077404442E-2</v>
      </c>
      <c r="T171" s="126">
        <f>T36</f>
        <v>3.0403082409305095E-2</v>
      </c>
      <c r="U171" s="126">
        <f>U36</f>
        <v>3.0530362789752755E-2</v>
      </c>
      <c r="V171" s="5"/>
      <c r="W171" s="5"/>
      <c r="X171" s="5"/>
      <c r="Y171" s="5"/>
      <c r="Z171" s="5"/>
      <c r="AA171" s="5"/>
      <c r="AB171" s="5"/>
      <c r="AC171" s="5"/>
    </row>
    <row r="172" spans="1:29" hidden="1" outlineLevel="1">
      <c r="A172" s="394" t="s">
        <v>134</v>
      </c>
      <c r="B172" s="5"/>
      <c r="C172" s="359"/>
      <c r="D172" s="359"/>
      <c r="E172" s="359"/>
      <c r="F172" s="359"/>
      <c r="G172" s="359"/>
      <c r="H172" s="61"/>
      <c r="I172" s="61"/>
      <c r="J172" s="61"/>
      <c r="K172" s="61"/>
      <c r="L172" s="126">
        <f t="shared" ref="L172:R172" si="158">L116</f>
        <v>0.03</v>
      </c>
      <c r="M172" s="126">
        <f>M116</f>
        <v>0.02</v>
      </c>
      <c r="N172" s="126">
        <f t="shared" si="158"/>
        <v>0.05</v>
      </c>
      <c r="O172" s="126">
        <f t="shared" si="158"/>
        <v>0.05</v>
      </c>
      <c r="P172" s="126">
        <f t="shared" si="158"/>
        <v>0.02</v>
      </c>
      <c r="Q172" s="126">
        <f t="shared" si="158"/>
        <v>0.01</v>
      </c>
      <c r="R172" s="126">
        <f t="shared" si="158"/>
        <v>0.01</v>
      </c>
      <c r="S172" s="126">
        <f>S116</f>
        <v>0.01</v>
      </c>
      <c r="T172" s="126">
        <f>T116</f>
        <v>0.01</v>
      </c>
      <c r="U172" s="126">
        <f>U116</f>
        <v>0.01</v>
      </c>
      <c r="V172" s="5"/>
      <c r="W172" s="5"/>
      <c r="X172" s="5"/>
      <c r="Y172" s="5"/>
      <c r="Z172" s="5"/>
      <c r="AA172" s="5"/>
      <c r="AB172" s="5"/>
      <c r="AC172" s="5"/>
    </row>
    <row r="173" spans="1:29" collapsed="1">
      <c r="A173" s="6" t="s">
        <v>452</v>
      </c>
      <c r="B173" s="5"/>
      <c r="C173" s="401" t="s">
        <v>120</v>
      </c>
      <c r="D173" s="402">
        <f t="shared" ref="D173:U173" si="159">((D132/C132)-1)</f>
        <v>9.0652257531176783E-2</v>
      </c>
      <c r="E173" s="402">
        <f t="shared" si="159"/>
        <v>7.3275672183145346E-2</v>
      </c>
      <c r="F173" s="402">
        <f t="shared" si="159"/>
        <v>5.1174253307611162E-2</v>
      </c>
      <c r="G173" s="402">
        <f t="shared" si="159"/>
        <v>2.0310617274469811E-2</v>
      </c>
      <c r="H173" s="402">
        <f t="shared" si="159"/>
        <v>6.1664650564853929E-2</v>
      </c>
      <c r="I173" s="402">
        <f t="shared" si="159"/>
        <v>6.1313437534545656E-2</v>
      </c>
      <c r="J173" s="402">
        <f t="shared" si="159"/>
        <v>8.352294743384836E-2</v>
      </c>
      <c r="K173" s="402">
        <f t="shared" si="159"/>
        <v>0.11031507696680176</v>
      </c>
      <c r="L173" s="403">
        <f t="shared" si="159"/>
        <v>5.0969474732768916E-2</v>
      </c>
      <c r="M173" s="403">
        <f t="shared" si="159"/>
        <v>5.1105988709873484E-2</v>
      </c>
      <c r="N173" s="403">
        <f t="shared" si="159"/>
        <v>0.10868780913339582</v>
      </c>
      <c r="O173" s="403">
        <f t="shared" si="159"/>
        <v>0.10810272940412613</v>
      </c>
      <c r="P173" s="403">
        <f t="shared" si="159"/>
        <v>0.10515861493183554</v>
      </c>
      <c r="Q173" s="403">
        <f t="shared" si="159"/>
        <v>5.936932702396569E-2</v>
      </c>
      <c r="R173" s="403">
        <f t="shared" si="159"/>
        <v>6.3483188517057032E-2</v>
      </c>
      <c r="S173" s="403">
        <f t="shared" si="159"/>
        <v>6.3007101816198396E-2</v>
      </c>
      <c r="T173" s="403">
        <f t="shared" si="159"/>
        <v>6.1213397042650275E-2</v>
      </c>
      <c r="U173" s="403">
        <f t="shared" si="159"/>
        <v>4.6512851732458671E-2</v>
      </c>
      <c r="V173" s="5"/>
      <c r="W173" s="5"/>
      <c r="X173" s="5"/>
      <c r="Y173" s="5"/>
      <c r="Z173" s="5"/>
      <c r="AA173" s="5"/>
      <c r="AB173" s="5"/>
      <c r="AC173" s="5"/>
    </row>
    <row r="174" spans="1:29">
      <c r="A174" s="6" t="s">
        <v>469</v>
      </c>
      <c r="B174" s="5"/>
      <c r="C174" s="401" t="s">
        <v>120</v>
      </c>
      <c r="D174" s="402">
        <f>((D134/C134)-1)</f>
        <v>2.3899486354696187E-2</v>
      </c>
      <c r="E174" s="402">
        <f t="shared" ref="E174:U174" si="160">((E134/D134)-1)</f>
        <v>0.21984986895536651</v>
      </c>
      <c r="F174" s="402">
        <f t="shared" si="160"/>
        <v>0.14844631497884575</v>
      </c>
      <c r="G174" s="402">
        <f t="shared" si="160"/>
        <v>-1.4276772899692425E-2</v>
      </c>
      <c r="H174" s="402">
        <f t="shared" si="160"/>
        <v>0.38776606904012345</v>
      </c>
      <c r="I174" s="402">
        <f t="shared" si="160"/>
        <v>0.17149865574858802</v>
      </c>
      <c r="J174" s="402">
        <f t="shared" si="160"/>
        <v>7.858224756992338E-2</v>
      </c>
      <c r="K174" s="402">
        <f t="shared" si="160"/>
        <v>0.2347902265372932</v>
      </c>
      <c r="L174" s="403">
        <f t="shared" si="160"/>
        <v>7.85584926699463E-2</v>
      </c>
      <c r="M174" s="403">
        <f t="shared" si="160"/>
        <v>7.6384316698352217E-2</v>
      </c>
      <c r="N174" s="403">
        <f t="shared" si="160"/>
        <v>2.7228330173761472E-2</v>
      </c>
      <c r="O174" s="403">
        <f t="shared" si="160"/>
        <v>3.9091694334226101E-2</v>
      </c>
      <c r="P174" s="403">
        <f t="shared" si="160"/>
        <v>3.582339941857704E-2</v>
      </c>
      <c r="Q174" s="403">
        <f t="shared" si="160"/>
        <v>3.0808355711527513E-2</v>
      </c>
      <c r="R174" s="403">
        <f t="shared" si="160"/>
        <v>8.4762737038717617E-2</v>
      </c>
      <c r="S174" s="403">
        <f t="shared" si="160"/>
        <v>8.2855395087959582E-2</v>
      </c>
      <c r="T174" s="403">
        <f t="shared" si="160"/>
        <v>7.0907046936178331E-2</v>
      </c>
      <c r="U174" s="403">
        <f t="shared" si="160"/>
        <v>5.3302916231519726E-2</v>
      </c>
      <c r="V174" s="5"/>
      <c r="W174" s="5"/>
      <c r="X174" s="5"/>
      <c r="Y174" s="5"/>
      <c r="Z174" s="5"/>
      <c r="AA174" s="5"/>
      <c r="AB174" s="5"/>
      <c r="AC174" s="5"/>
    </row>
    <row r="175" spans="1:29">
      <c r="A175" s="6" t="s">
        <v>470</v>
      </c>
      <c r="B175" s="5"/>
      <c r="C175" s="401" t="s">
        <v>120</v>
      </c>
      <c r="D175" s="402">
        <f>((D144/C144)-1)</f>
        <v>0.17424282366753463</v>
      </c>
      <c r="E175" s="402">
        <f>((E144/D144)-1)</f>
        <v>0.15924413601806386</v>
      </c>
      <c r="F175" s="402">
        <f>((F144/E144)-1)</f>
        <v>0.18408042557668236</v>
      </c>
      <c r="G175" s="402">
        <f>((G144/F144)-1)</f>
        <v>5.1049539321163184E-2</v>
      </c>
      <c r="H175" s="402">
        <f t="shared" ref="H175:U175" si="161">((H144/G144)-1)</f>
        <v>0.40035167656238091</v>
      </c>
      <c r="I175" s="402">
        <f t="shared" si="161"/>
        <v>0.23146036342710352</v>
      </c>
      <c r="J175" s="402">
        <f t="shared" si="161"/>
        <v>0.1379689431818123</v>
      </c>
      <c r="K175" s="402">
        <f t="shared" si="161"/>
        <v>0.28264611141643314</v>
      </c>
      <c r="L175" s="403">
        <f t="shared" si="161"/>
        <v>0.15368399852868109</v>
      </c>
      <c r="M175" s="403">
        <f t="shared" si="161"/>
        <v>7.4738323507698379E-2</v>
      </c>
      <c r="N175" s="403">
        <f t="shared" si="161"/>
        <v>5.4470222605569774E-2</v>
      </c>
      <c r="O175" s="403">
        <f t="shared" si="161"/>
        <v>6.0834619420265135E-2</v>
      </c>
      <c r="P175" s="403">
        <f t="shared" si="161"/>
        <v>0.14100608935864245</v>
      </c>
      <c r="Q175" s="403">
        <f t="shared" si="161"/>
        <v>0.19727750064022587</v>
      </c>
      <c r="R175" s="403">
        <f t="shared" si="161"/>
        <v>0.13717351314485571</v>
      </c>
      <c r="S175" s="403">
        <f t="shared" si="161"/>
        <v>0.11903097658588102</v>
      </c>
      <c r="T175" s="403">
        <f t="shared" si="161"/>
        <v>0.10570478434523656</v>
      </c>
      <c r="U175" s="403">
        <f t="shared" si="161"/>
        <v>8.7753700139514779E-2</v>
      </c>
      <c r="V175" s="5"/>
      <c r="W175" s="5"/>
      <c r="X175" s="5"/>
      <c r="Y175" s="5"/>
      <c r="Z175" s="5"/>
      <c r="AA175" s="5"/>
      <c r="AB175" s="5"/>
      <c r="AC175" s="5"/>
    </row>
    <row r="176" spans="1:29">
      <c r="A176" s="6" t="s">
        <v>436</v>
      </c>
      <c r="B176" s="5"/>
      <c r="C176" s="401" t="s">
        <v>120</v>
      </c>
      <c r="D176" s="402">
        <f>((D150/C150)-1)</f>
        <v>4.5971956310526751E-2</v>
      </c>
      <c r="E176" s="402">
        <f>((E150/D150)-1)</f>
        <v>0.19748101598824652</v>
      </c>
      <c r="F176" s="402">
        <f>((F150/E150)-1)</f>
        <v>0.12614934797258059</v>
      </c>
      <c r="G176" s="402">
        <f>((G150/F150)-1)</f>
        <v>6.3186781572954764E-3</v>
      </c>
      <c r="H176" s="402">
        <f t="shared" ref="H176:U176" si="162">((H150/G150)-1)</f>
        <v>0.32119298337325031</v>
      </c>
      <c r="I176" s="402">
        <f t="shared" si="162"/>
        <v>0.15014699403080045</v>
      </c>
      <c r="J176" s="402">
        <f t="shared" si="162"/>
        <v>7.5591568661671937E-2</v>
      </c>
      <c r="K176" s="402">
        <f t="shared" si="162"/>
        <v>0.20453574738783509</v>
      </c>
      <c r="L176" s="403">
        <f>((L150/K150)-1)</f>
        <v>7.852815205831587E-2</v>
      </c>
      <c r="M176" s="403">
        <f>((M150/L150)-1)</f>
        <v>7.5943293403805567E-2</v>
      </c>
      <c r="N176" s="403">
        <f t="shared" si="162"/>
        <v>3.0007143366191702E-2</v>
      </c>
      <c r="O176" s="403">
        <f t="shared" si="162"/>
        <v>4.3255235113839996E-2</v>
      </c>
      <c r="P176" s="403">
        <f t="shared" si="162"/>
        <v>4.5495227822165862E-2</v>
      </c>
      <c r="Q176" s="403">
        <f t="shared" si="162"/>
        <v>2.4790044138041756E-2</v>
      </c>
      <c r="R176" s="403">
        <f t="shared" si="162"/>
        <v>8.1071605250390144E-2</v>
      </c>
      <c r="S176" s="403">
        <f t="shared" si="162"/>
        <v>7.9514975332260818E-2</v>
      </c>
      <c r="T176" s="403">
        <f t="shared" si="162"/>
        <v>6.9341750176020955E-2</v>
      </c>
      <c r="U176" s="403">
        <f t="shared" si="162"/>
        <v>-9.6538591008503372E-2</v>
      </c>
      <c r="V176" s="5"/>
      <c r="W176" s="5"/>
      <c r="X176" s="5"/>
      <c r="Y176" s="5"/>
      <c r="Z176" s="5"/>
      <c r="AA176" s="5"/>
      <c r="AB176" s="5"/>
      <c r="AC176" s="5"/>
    </row>
    <row r="177" spans="1:29">
      <c r="A177" s="6" t="s">
        <v>15</v>
      </c>
      <c r="B177" s="5"/>
      <c r="C177" s="401" t="s">
        <v>120</v>
      </c>
      <c r="D177" s="61">
        <f>D35-D36</f>
        <v>5.6739417612907697E-2</v>
      </c>
      <c r="E177" s="61">
        <f t="shared" ref="E177:P177" si="163">E35-E36</f>
        <v>5.3865204336672329E-2</v>
      </c>
      <c r="F177" s="61">
        <f t="shared" si="163"/>
        <v>4.1324806716738674E-2</v>
      </c>
      <c r="G177" s="61">
        <f t="shared" si="163"/>
        <v>1.8558508611938425E-2</v>
      </c>
      <c r="H177" s="61">
        <f t="shared" si="163"/>
        <v>7.840662164619705E-3</v>
      </c>
      <c r="I177" s="61">
        <f t="shared" si="163"/>
        <v>2.7763057630245037E-2</v>
      </c>
      <c r="J177" s="61">
        <f t="shared" si="163"/>
        <v>3.0117592230270808E-2</v>
      </c>
      <c r="K177" s="61">
        <f t="shared" si="163"/>
        <v>4.6302291246750837E-2</v>
      </c>
      <c r="L177" s="61">
        <f t="shared" si="163"/>
        <v>2.9676242384953505E-2</v>
      </c>
      <c r="M177" s="61">
        <f>M35-M36</f>
        <v>4.0377396883223962E-2</v>
      </c>
      <c r="N177" s="61">
        <f t="shared" si="163"/>
        <v>1.4189589202737315E-2</v>
      </c>
      <c r="O177" s="61">
        <f t="shared" si="163"/>
        <v>2.2348052531241433E-2</v>
      </c>
      <c r="P177" s="61">
        <f t="shared" si="163"/>
        <v>6.07901603869654E-2</v>
      </c>
      <c r="Q177" s="61">
        <f>Q35-Q36</f>
        <v>3.2392339284693775E-2</v>
      </c>
      <c r="R177" s="61">
        <f>R35-R36</f>
        <v>3.626328150675661E-2</v>
      </c>
      <c r="S177" s="61">
        <f>S35-S36</f>
        <v>3.3331158431214591E-2</v>
      </c>
      <c r="T177" s="61">
        <f>T35-T36</f>
        <v>3.2004702249600413E-2</v>
      </c>
      <c r="U177" s="61">
        <f>U35-U36</f>
        <v>1.5393899037344436E-2</v>
      </c>
      <c r="V177" s="5"/>
      <c r="W177" s="5"/>
      <c r="X177" s="5"/>
      <c r="Y177" s="5"/>
      <c r="Z177" s="5"/>
      <c r="AA177" s="5"/>
      <c r="AB177" s="5"/>
      <c r="AC177" s="5"/>
    </row>
    <row r="178" spans="1:29">
      <c r="A178" s="6" t="s">
        <v>18</v>
      </c>
      <c r="B178" s="5"/>
      <c r="C178" s="401" t="s">
        <v>120</v>
      </c>
      <c r="D178" s="61">
        <f t="shared" ref="D178:K178" si="164">D177</f>
        <v>5.6739417612907697E-2</v>
      </c>
      <c r="E178" s="61">
        <f t="shared" si="164"/>
        <v>5.3865204336672329E-2</v>
      </c>
      <c r="F178" s="61">
        <f t="shared" si="164"/>
        <v>4.1324806716738674E-2</v>
      </c>
      <c r="G178" s="61">
        <f t="shared" si="164"/>
        <v>1.8558508611938425E-2</v>
      </c>
      <c r="H178" s="61">
        <f t="shared" si="164"/>
        <v>7.840662164619705E-3</v>
      </c>
      <c r="I178" s="61">
        <f t="shared" si="164"/>
        <v>2.7763057630245037E-2</v>
      </c>
      <c r="J178" s="61">
        <f t="shared" si="164"/>
        <v>3.0117592230270808E-2</v>
      </c>
      <c r="K178" s="61">
        <f t="shared" si="164"/>
        <v>4.6302291246750837E-2</v>
      </c>
      <c r="L178" s="126">
        <f t="shared" ref="L178:R178" si="165">INDEX(L179:L181,MATCH($AA$150,$AC$150:$AC$152,0))</f>
        <v>2.9676242384953505E-2</v>
      </c>
      <c r="M178" s="126">
        <f>INDEX(M179:M181,MATCH($AA$150,$AC$150:$AC$152,0))</f>
        <v>4.0377396883223962E-2</v>
      </c>
      <c r="N178" s="126">
        <f t="shared" si="165"/>
        <v>1.4189589202737315E-2</v>
      </c>
      <c r="O178" s="126">
        <f t="shared" si="165"/>
        <v>2.2348052531241433E-2</v>
      </c>
      <c r="P178" s="126">
        <f t="shared" si="165"/>
        <v>6.07901603869654E-2</v>
      </c>
      <c r="Q178" s="126">
        <f t="shared" si="165"/>
        <v>3.2392339284693775E-2</v>
      </c>
      <c r="R178" s="126">
        <f t="shared" si="165"/>
        <v>3.626328150675661E-2</v>
      </c>
      <c r="S178" s="126">
        <f>INDEX(S179:S181,MATCH($AA$150,$AC$150:$AC$152,0))</f>
        <v>3.3331158431214591E-2</v>
      </c>
      <c r="T178" s="126">
        <f>INDEX(T179:T181,MATCH($AA$150,$AC$150:$AC$152,0))</f>
        <v>3.2004702249600413E-2</v>
      </c>
      <c r="U178" s="126">
        <f>INDEX(U179:U181,MATCH($AA$150,$AC$150:$AC$152,0))</f>
        <v>1.5393899037344436E-2</v>
      </c>
      <c r="V178" s="5"/>
      <c r="W178" s="5"/>
      <c r="X178" s="5"/>
      <c r="Y178" s="5"/>
      <c r="Z178" s="5"/>
      <c r="AA178" s="5"/>
      <c r="AB178" s="5"/>
      <c r="AC178" s="5"/>
    </row>
    <row r="179" spans="1:29" outlineLevel="1">
      <c r="A179" s="394" t="s">
        <v>133</v>
      </c>
      <c r="B179" s="5"/>
      <c r="C179" s="401"/>
      <c r="D179" s="401"/>
      <c r="E179" s="401"/>
      <c r="F179" s="401"/>
      <c r="G179" s="401"/>
      <c r="H179" s="61"/>
      <c r="I179" s="61"/>
      <c r="J179" s="61"/>
      <c r="K179" s="61"/>
      <c r="L179" s="126">
        <f t="shared" ref="L179:R179" si="166">L81</f>
        <v>2.9676242384953505E-2</v>
      </c>
      <c r="M179" s="126">
        <f>M81</f>
        <v>4.0377396883223962E-2</v>
      </c>
      <c r="N179" s="126">
        <f t="shared" si="166"/>
        <v>1.4189589202737315E-2</v>
      </c>
      <c r="O179" s="126">
        <f t="shared" si="166"/>
        <v>2.2348052531241433E-2</v>
      </c>
      <c r="P179" s="126">
        <f t="shared" si="166"/>
        <v>6.07901603869654E-2</v>
      </c>
      <c r="Q179" s="126">
        <f t="shared" si="166"/>
        <v>3.7392339284693772E-2</v>
      </c>
      <c r="R179" s="126">
        <f t="shared" si="166"/>
        <v>4.1263281506756608E-2</v>
      </c>
      <c r="S179" s="126">
        <f>S81</f>
        <v>3.8331158431214589E-2</v>
      </c>
      <c r="T179" s="126">
        <f>T81</f>
        <v>3.700470224960041E-2</v>
      </c>
      <c r="U179" s="126">
        <f>U81</f>
        <v>2.0393899037344437E-2</v>
      </c>
      <c r="V179" s="5"/>
      <c r="W179" s="5"/>
      <c r="X179" s="5"/>
      <c r="Y179" s="5"/>
      <c r="Z179" s="5"/>
      <c r="AA179" s="5"/>
      <c r="AB179" s="5"/>
      <c r="AC179" s="5"/>
    </row>
    <row r="180" spans="1:29" outlineLevel="1">
      <c r="A180" s="394" t="s">
        <v>20</v>
      </c>
      <c r="B180" s="5"/>
      <c r="C180" s="401"/>
      <c r="D180" s="401"/>
      <c r="E180" s="401"/>
      <c r="F180" s="401"/>
      <c r="G180" s="401"/>
      <c r="H180" s="61"/>
      <c r="I180" s="61"/>
      <c r="J180" s="61"/>
      <c r="K180" s="61"/>
      <c r="L180" s="126">
        <f>L121</f>
        <v>2.9676242384953505E-2</v>
      </c>
      <c r="M180" s="126">
        <f>M121</f>
        <v>4.0377396883223962E-2</v>
      </c>
      <c r="N180" s="126">
        <f t="shared" ref="N180:P181" si="167">N121</f>
        <v>1.4189589202737315E-2</v>
      </c>
      <c r="O180" s="126">
        <f t="shared" si="167"/>
        <v>2.2348052531241433E-2</v>
      </c>
      <c r="P180" s="126">
        <f t="shared" si="167"/>
        <v>6.07901603869654E-2</v>
      </c>
      <c r="Q180" s="126">
        <f t="shared" ref="Q180:S181" si="168">Q121</f>
        <v>3.2392339284693775E-2</v>
      </c>
      <c r="R180" s="126">
        <f t="shared" si="168"/>
        <v>3.626328150675661E-2</v>
      </c>
      <c r="S180" s="126">
        <f t="shared" si="168"/>
        <v>3.3331158431214591E-2</v>
      </c>
      <c r="T180" s="126">
        <f>T121</f>
        <v>3.2004702249600413E-2</v>
      </c>
      <c r="U180" s="126">
        <f>U121</f>
        <v>1.5393899037344436E-2</v>
      </c>
      <c r="V180" s="5"/>
      <c r="W180" s="5"/>
      <c r="X180" s="5"/>
      <c r="Y180" s="5"/>
      <c r="Z180" s="5"/>
      <c r="AA180" s="5"/>
      <c r="AB180" s="5"/>
      <c r="AC180" s="5"/>
    </row>
    <row r="181" spans="1:29" outlineLevel="1">
      <c r="A181" s="394" t="s">
        <v>134</v>
      </c>
      <c r="B181" s="5"/>
      <c r="C181" s="401"/>
      <c r="D181" s="401"/>
      <c r="E181" s="401"/>
      <c r="F181" s="401"/>
      <c r="G181" s="401"/>
      <c r="H181" s="61"/>
      <c r="I181" s="61"/>
      <c r="J181" s="61"/>
      <c r="K181" s="61"/>
      <c r="L181" s="126">
        <f>L122</f>
        <v>2.9676242384953505E-2</v>
      </c>
      <c r="M181" s="126">
        <f>M122</f>
        <v>4.0377396883223962E-2</v>
      </c>
      <c r="N181" s="126">
        <f t="shared" si="167"/>
        <v>1.4189589202737315E-2</v>
      </c>
      <c r="O181" s="126">
        <f t="shared" si="167"/>
        <v>2.2348052531241433E-2</v>
      </c>
      <c r="P181" s="126">
        <f t="shared" si="167"/>
        <v>6.07901603869654E-2</v>
      </c>
      <c r="Q181" s="126">
        <f t="shared" si="168"/>
        <v>2.2392339284693773E-2</v>
      </c>
      <c r="R181" s="126">
        <f t="shared" si="168"/>
        <v>2.6263281506756608E-2</v>
      </c>
      <c r="S181" s="126">
        <f t="shared" si="168"/>
        <v>2.3331158431214589E-2</v>
      </c>
      <c r="T181" s="126">
        <f>T122</f>
        <v>2.2004702249600411E-2</v>
      </c>
      <c r="U181" s="126">
        <f>U122</f>
        <v>5.3938990373444354E-3</v>
      </c>
      <c r="V181" s="5"/>
      <c r="W181" s="5"/>
      <c r="X181" s="5"/>
      <c r="Y181" s="5"/>
      <c r="Z181" s="5"/>
      <c r="AA181" s="5"/>
      <c r="AB181" s="5"/>
      <c r="AC181" s="5"/>
    </row>
  </sheetData>
  <phoneticPr fontId="56" type="noConversion"/>
  <printOptions horizontalCentered="1" verticalCentered="1"/>
  <pageMargins left="0.25" right="0.25" top="0" bottom="0" header="0.5" footer="0.5"/>
  <pageSetup scale="56"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dimension ref="A1:L47"/>
  <sheetViews>
    <sheetView workbookViewId="0">
      <selection activeCell="A47" sqref="A47"/>
    </sheetView>
  </sheetViews>
  <sheetFormatPr defaultRowHeight="12.75" outlineLevelCol="1"/>
  <cols>
    <col min="1" max="1" width="21" bestFit="1" customWidth="1"/>
    <col min="2" max="2" width="8.140625" customWidth="1"/>
    <col min="3" max="4" width="8.42578125" customWidth="1"/>
    <col min="5" max="5" width="9.5703125" customWidth="1" outlineLevel="1"/>
    <col min="7" max="7" width="10.42578125" customWidth="1" outlineLevel="1"/>
    <col min="9" max="9" width="14.42578125" bestFit="1" customWidth="1"/>
    <col min="10" max="10" width="6.42578125" customWidth="1"/>
  </cols>
  <sheetData>
    <row r="1" spans="1:12">
      <c r="A1" s="404" t="s">
        <v>368</v>
      </c>
      <c r="B1" s="405"/>
      <c r="C1" s="405"/>
      <c r="D1" s="405"/>
      <c r="E1" s="448" t="s">
        <v>862</v>
      </c>
      <c r="F1" s="406"/>
      <c r="G1" s="406"/>
      <c r="H1" s="406"/>
      <c r="I1" s="406"/>
    </row>
    <row r="2" spans="1:12">
      <c r="A2" s="407"/>
      <c r="B2" s="408"/>
      <c r="C2" s="408"/>
      <c r="D2" s="409" t="s">
        <v>0</v>
      </c>
      <c r="E2" s="409" t="s">
        <v>278</v>
      </c>
      <c r="F2" s="406"/>
      <c r="G2" s="410" t="s">
        <v>1</v>
      </c>
      <c r="H2" s="411"/>
      <c r="I2" s="411"/>
    </row>
    <row r="3" spans="1:12">
      <c r="A3" s="409"/>
      <c r="B3" s="409" t="s">
        <v>812</v>
      </c>
      <c r="C3" s="409" t="s">
        <v>801</v>
      </c>
      <c r="D3" s="409" t="s">
        <v>813</v>
      </c>
      <c r="E3" s="409" t="s">
        <v>811</v>
      </c>
      <c r="F3" s="406"/>
      <c r="G3" s="409" t="str">
        <f>C3</f>
        <v>1Q16A</v>
      </c>
      <c r="H3" s="409" t="str">
        <f>D2&amp;" "&amp;D3</f>
        <v>MS 1Q17E</v>
      </c>
      <c r="I3" s="409" t="str">
        <f>E2&amp;" "&amp;E3</f>
        <v>Consensus 4Q16E</v>
      </c>
    </row>
    <row r="4" spans="1:12">
      <c r="A4" s="412" t="s">
        <v>431</v>
      </c>
      <c r="B4" s="413">
        <f>sumry!CO9</f>
        <v>7784.0240000000003</v>
      </c>
      <c r="C4" s="413">
        <f>sumry!CJ9</f>
        <v>7542.3559999999998</v>
      </c>
      <c r="D4" s="436">
        <v>7826.5665982901755</v>
      </c>
      <c r="E4" s="458">
        <f>_xll.ThomsonONEAddinShim.SpreadsheetFormulas.TF($A$1,"TF.ES.Sales.Mean(period=#1,scale=6)",,E1)</f>
        <v>10766.8</v>
      </c>
      <c r="F4" s="406"/>
      <c r="G4" s="414">
        <f>IF(ISERROR(B4-C4)=TRUE,"NA",B4-C4)</f>
        <v>241.66800000000057</v>
      </c>
      <c r="H4" s="414">
        <f>IF(ISERROR(B4-D4)=TRUE,"NA",B4-D4)</f>
        <v>-42.542598290175192</v>
      </c>
      <c r="I4" s="414">
        <f>IF(ISERROR(D4-E4)=TRUE,"NA",D4-E4)</f>
        <v>-2940.2334017098237</v>
      </c>
    </row>
    <row r="5" spans="1:12">
      <c r="A5" s="412"/>
      <c r="B5" s="415"/>
      <c r="C5" s="415"/>
      <c r="D5" s="437"/>
      <c r="E5" s="416"/>
      <c r="F5" s="406"/>
      <c r="G5" s="417"/>
      <c r="H5" s="417"/>
      <c r="I5" s="417"/>
    </row>
    <row r="6" spans="1:12">
      <c r="A6" s="412" t="s">
        <v>450</v>
      </c>
      <c r="B6" s="418">
        <f>sumry!CO11</f>
        <v>5530.0720000000001</v>
      </c>
      <c r="C6" s="418">
        <f>sumry!CJ11</f>
        <v>5372.143</v>
      </c>
      <c r="D6" s="433">
        <v>5572.515417982605</v>
      </c>
      <c r="E6" s="453">
        <f>+E4-E8</f>
        <v>7647.7999999999993</v>
      </c>
      <c r="F6" s="406"/>
      <c r="G6" s="419">
        <f>IF(ISERROR(B6-C6)=TRUE,"NA",B6-C6)</f>
        <v>157.92900000000009</v>
      </c>
      <c r="H6" s="419">
        <f>IF(ISERROR(B6-D6)=TRUE,"NA",B6-D6)</f>
        <v>-42.443417982604842</v>
      </c>
      <c r="I6" s="419">
        <f>IF(ISERROR(D6-E6)=TRUE,"NA",D6-E6)</f>
        <v>-2075.2845820173943</v>
      </c>
    </row>
    <row r="7" spans="1:12">
      <c r="A7" s="412"/>
      <c r="B7" s="418"/>
      <c r="C7" s="418"/>
      <c r="D7" s="433"/>
      <c r="E7" s="420"/>
      <c r="F7" s="406"/>
      <c r="G7" s="417"/>
      <c r="H7" s="417"/>
      <c r="I7" s="417"/>
    </row>
    <row r="8" spans="1:12">
      <c r="A8" s="412" t="s">
        <v>451</v>
      </c>
      <c r="B8" s="418">
        <f>sumry!CO13</f>
        <v>2253.9520000000002</v>
      </c>
      <c r="C8" s="418">
        <f>sumry!CJ13</f>
        <v>2170.2129999999997</v>
      </c>
      <c r="D8" s="433">
        <v>2254.0511803075706</v>
      </c>
      <c r="E8" s="418">
        <f>_xll.ThomsonONEAddinShim.SpreadsheetFormulas.TF($A$1,"TF.ES.GPM.Mean(period=#1)*TF.ES.Sales.Mean(period=#1,scale=6)",,E$1)</f>
        <v>3119</v>
      </c>
      <c r="F8" s="406"/>
      <c r="G8" s="419">
        <f>IF(ISERROR(B8-C8)=TRUE,"NA",B8-C8)</f>
        <v>83.739000000000487</v>
      </c>
      <c r="H8" s="419">
        <f>IF(ISERROR(B8-D8)=TRUE,"NA",B8-D8)</f>
        <v>-9.9180307570350124E-2</v>
      </c>
      <c r="I8" s="419">
        <f>IF(ISERROR(D8-E8)=TRUE,"NA",D8-E8)</f>
        <v>-864.94881969242942</v>
      </c>
      <c r="L8" s="1919"/>
    </row>
    <row r="9" spans="1:12">
      <c r="A9" s="412" t="s">
        <v>452</v>
      </c>
      <c r="B9" s="418">
        <f>sumry!CO14</f>
        <v>1411.6030000000001</v>
      </c>
      <c r="C9" s="418">
        <f>sumry!CJ14</f>
        <v>1335.05</v>
      </c>
      <c r="D9" s="433">
        <v>1421.8282499999998</v>
      </c>
      <c r="E9" s="418">
        <f>+E8-E11</f>
        <v>1810</v>
      </c>
      <c r="F9" s="406"/>
      <c r="G9" s="419">
        <f>IF(ISERROR(B9-C9)=TRUE,"NA",B9-C9)</f>
        <v>76.553000000000111</v>
      </c>
      <c r="H9" s="419">
        <f>IF(ISERROR(B9-D9)=TRUE,"NA",B9-D9)</f>
        <v>-10.225249999999733</v>
      </c>
      <c r="I9" s="419">
        <f>IF(ISERROR(D9-E9)=TRUE,"NA",D9-E9)</f>
        <v>-388.1717500000002</v>
      </c>
    </row>
    <row r="10" spans="1:12">
      <c r="A10" s="412"/>
      <c r="B10" s="418"/>
      <c r="C10" s="418"/>
      <c r="D10" s="433"/>
      <c r="E10" s="418"/>
      <c r="F10" s="406"/>
      <c r="G10" s="417"/>
      <c r="H10" s="417"/>
      <c r="I10" s="417"/>
    </row>
    <row r="11" spans="1:12">
      <c r="A11" s="412" t="s">
        <v>454</v>
      </c>
      <c r="B11" s="418">
        <f>sumry!CO17</f>
        <v>842.34900000000016</v>
      </c>
      <c r="C11" s="418">
        <f>sumry!CJ17</f>
        <v>835.16299999999978</v>
      </c>
      <c r="D11" s="433">
        <v>832.22293030757078</v>
      </c>
      <c r="E11" s="454">
        <f>_xll.ThomsonONEAddinShim.SpreadsheetFormulas.TF($A$1,"TF.ES.EBIT.Mean(period=#1,scale=6)",,E$1)</f>
        <v>1309</v>
      </c>
      <c r="F11" s="406"/>
      <c r="G11" s="419">
        <f>IF(ISERROR(B11-C11)=TRUE,"NA",B11-C11)</f>
        <v>7.1860000000003765</v>
      </c>
      <c r="H11" s="419">
        <f>IF(ISERROR(B11-D11)=TRUE,"NA",B11-D11)</f>
        <v>10.126069692429382</v>
      </c>
      <c r="I11" s="419">
        <f>IF(ISERROR(D11-E11)=TRUE,"NA",D11-E11)</f>
        <v>-476.77706969242922</v>
      </c>
    </row>
    <row r="12" spans="1:12">
      <c r="A12" s="412"/>
      <c r="B12" s="418"/>
      <c r="C12" s="418"/>
      <c r="D12" s="433"/>
      <c r="E12" s="418"/>
      <c r="F12" s="406"/>
      <c r="G12" s="419"/>
      <c r="H12" s="419"/>
      <c r="I12" s="419"/>
    </row>
    <row r="13" spans="1:12">
      <c r="A13" s="412" t="s">
        <v>178</v>
      </c>
      <c r="B13" s="418">
        <f>-sumry!CO19</f>
        <v>-9.8409999999999993</v>
      </c>
      <c r="C13" s="418">
        <f>-sumry!CJ19</f>
        <v>-10.194000000000001</v>
      </c>
      <c r="D13" s="433">
        <v>-10</v>
      </c>
      <c r="E13" s="453">
        <f>-(E11-E15)</f>
        <v>-7</v>
      </c>
      <c r="F13" s="406"/>
      <c r="G13" s="419">
        <f>IF(ISERROR(B13-C13)=TRUE,"NA",B13-C13)</f>
        <v>0.35300000000000153</v>
      </c>
      <c r="H13" s="419">
        <f>IF(ISERROR(B13-D13)=TRUE,"NA",B13-D13)</f>
        <v>0.1590000000000007</v>
      </c>
      <c r="I13" s="419">
        <f>IF(ISERROR(D13-E13)=TRUE,"NA",D13-E13)</f>
        <v>-3</v>
      </c>
    </row>
    <row r="14" spans="1:12">
      <c r="A14" s="412"/>
      <c r="B14" s="418"/>
      <c r="C14" s="418"/>
      <c r="D14" s="433"/>
      <c r="E14" s="418"/>
      <c r="F14" s="406"/>
      <c r="G14" s="419"/>
      <c r="H14" s="419"/>
      <c r="I14" s="419"/>
    </row>
    <row r="15" spans="1:12">
      <c r="A15" s="412" t="s">
        <v>455</v>
      </c>
      <c r="B15" s="418">
        <f>B13+B11</f>
        <v>832.50800000000015</v>
      </c>
      <c r="C15" s="418">
        <f>C13+C11</f>
        <v>824.96899999999982</v>
      </c>
      <c r="D15" s="433">
        <v>822.22293030757078</v>
      </c>
      <c r="E15" s="454">
        <f>_xll.ThomsonONEAddinShim.SpreadsheetFormulas.TF($A$1,"TF.ES.PBT.Mean(period=#1,scale=6)",,E$1)</f>
        <v>1302</v>
      </c>
      <c r="F15" s="406"/>
      <c r="G15" s="419">
        <f>IF(ISERROR(B15-C15)=TRUE,"NA",B15-C15)</f>
        <v>7.5390000000003283</v>
      </c>
      <c r="H15" s="419">
        <f>IF(ISERROR(B15-D15)=TRUE,"NA",B15-D15)</f>
        <v>10.285069692429374</v>
      </c>
      <c r="I15" s="419">
        <f>IF(ISERROR(D15-E15)=TRUE,"NA",D15-E15)</f>
        <v>-479.77706969242922</v>
      </c>
    </row>
    <row r="16" spans="1:12">
      <c r="A16" s="412"/>
      <c r="B16" s="418"/>
      <c r="C16" s="418"/>
      <c r="D16" s="433"/>
      <c r="E16" s="418"/>
      <c r="F16" s="406"/>
      <c r="G16" s="419"/>
      <c r="H16" s="419"/>
      <c r="I16" s="419"/>
    </row>
    <row r="17" spans="1:9">
      <c r="A17" s="412" t="s">
        <v>456</v>
      </c>
      <c r="B17" s="418">
        <f>sumry!CO23</f>
        <v>296.22899999999998</v>
      </c>
      <c r="C17" s="418">
        <f>sumry!CJ23</f>
        <v>316.62299999999999</v>
      </c>
      <c r="D17" s="433">
        <v>309.97804472595419</v>
      </c>
      <c r="E17" s="418">
        <f>+E15-E19</f>
        <v>491</v>
      </c>
      <c r="F17" s="406"/>
      <c r="G17" s="419">
        <f>IF(ISERROR(B17-C17)=TRUE,"NA",B17-C17)</f>
        <v>-20.394000000000005</v>
      </c>
      <c r="H17" s="419">
        <f>IF(ISERROR(B17-D17)=TRUE,"NA",B17-D17)</f>
        <v>-13.749044725954207</v>
      </c>
      <c r="I17" s="419">
        <f>IF(ISERROR(D17-E17)=TRUE,"NA",D17-E17)</f>
        <v>-181.02195527404581</v>
      </c>
    </row>
    <row r="18" spans="1:9">
      <c r="A18" s="412"/>
      <c r="B18" s="418"/>
      <c r="C18" s="418"/>
      <c r="D18" s="433"/>
      <c r="E18" s="418"/>
      <c r="F18" s="406"/>
      <c r="G18" s="419"/>
      <c r="H18" s="419"/>
      <c r="I18" s="419"/>
    </row>
    <row r="19" spans="1:9">
      <c r="A19" s="412" t="s">
        <v>457</v>
      </c>
      <c r="B19" s="418">
        <f>B15-B17</f>
        <v>536.27900000000022</v>
      </c>
      <c r="C19" s="418">
        <f>C15-C17</f>
        <v>508.34599999999983</v>
      </c>
      <c r="D19" s="433">
        <v>512.24488558161659</v>
      </c>
      <c r="E19" s="455" t="str">
        <f>_xll.ThomsonONEAddinShim.SpreadsheetFormulas.TF($A$1,"TF.ES.NetInc.Mean(period=#1,scale=6)",,E$1)</f>
        <v xml:space="preserve">$811 </v>
      </c>
      <c r="F19" s="406"/>
      <c r="G19" s="419">
        <f>IF(ISERROR(B19-C19)=TRUE,"NA",B19-C19)</f>
        <v>27.933000000000391</v>
      </c>
      <c r="H19" s="419">
        <f>IF(ISERROR(B19-D19)=TRUE,"NA",B19-D19)</f>
        <v>24.034114418383638</v>
      </c>
      <c r="I19" s="419">
        <f>IF(ISERROR(D19-E19)=TRUE,"NA",D19-E19)</f>
        <v>-298.75511441838341</v>
      </c>
    </row>
    <row r="20" spans="1:9">
      <c r="A20" s="412"/>
      <c r="B20" s="421"/>
      <c r="C20" s="421"/>
      <c r="D20" s="438"/>
      <c r="E20" s="418"/>
      <c r="F20" s="406"/>
      <c r="G20" s="414"/>
      <c r="H20" s="414"/>
      <c r="I20" s="414"/>
    </row>
    <row r="21" spans="1:9">
      <c r="A21" s="412" t="s">
        <v>458</v>
      </c>
      <c r="B21" s="421">
        <f>B19/B22</f>
        <v>0.81899789095585096</v>
      </c>
      <c r="C21" s="421">
        <f>C19/C22</f>
        <v>0.7582862461738572</v>
      </c>
      <c r="D21" s="438">
        <v>0.78388564430125229</v>
      </c>
      <c r="E21" s="456" t="str">
        <f>_xll.ThomsonONEAddinShim.SpreadsheetFormulas.TF($A$1,"TF.ES.EPS.Mean(period=#1)",,E$1)</f>
        <v xml:space="preserve">$1.27 </v>
      </c>
      <c r="F21" s="406"/>
      <c r="G21" s="422">
        <f>IF(ISERROR(B21-C21)=TRUE,"NA",B21-C21)</f>
        <v>6.0711644781993757E-2</v>
      </c>
      <c r="H21" s="422">
        <f>IF(ISERROR(B21-D21)=TRUE,"NA",B21-D21)</f>
        <v>3.5112246654598667E-2</v>
      </c>
      <c r="I21" s="422">
        <f>IF(ISERROR(D21-E21)=TRUE,"NA",D21-E21)</f>
        <v>-0.48611435569874772</v>
      </c>
    </row>
    <row r="22" spans="1:9">
      <c r="A22" s="412" t="s">
        <v>459</v>
      </c>
      <c r="B22" s="423">
        <f>sumry!CO28</f>
        <v>654.79899999999998</v>
      </c>
      <c r="C22" s="423">
        <f>sumry!CJ28</f>
        <v>670.38800000000003</v>
      </c>
      <c r="D22" s="434">
        <v>653.468894736842</v>
      </c>
      <c r="E22" s="459">
        <f>+E19/E21</f>
        <v>638.58267716535431</v>
      </c>
      <c r="F22" s="406"/>
      <c r="G22" s="424">
        <f>IF(ISERROR(B22-C22)=TRUE,"NA",B22-C22)</f>
        <v>-15.589000000000055</v>
      </c>
      <c r="H22" s="424">
        <f>IF(ISERROR(B22-D22)=TRUE,"NA",B22-D22)</f>
        <v>1.3301052631579751</v>
      </c>
      <c r="I22" s="424">
        <f>IF(ISERROR(D22-E22)=TRUE,"NA",D22-E22)</f>
        <v>14.886217571487691</v>
      </c>
    </row>
    <row r="23" spans="1:9">
      <c r="A23" s="412"/>
      <c r="B23" s="418"/>
      <c r="C23" s="418"/>
      <c r="D23" s="433"/>
      <c r="E23" s="457"/>
      <c r="F23" s="406"/>
      <c r="G23" s="419"/>
      <c r="H23" s="419"/>
      <c r="I23" s="419"/>
    </row>
    <row r="24" spans="1:9">
      <c r="A24" s="425" t="s">
        <v>461</v>
      </c>
      <c r="B24" s="423"/>
      <c r="C24" s="423"/>
      <c r="D24" s="434"/>
      <c r="E24" s="423"/>
      <c r="F24" s="406"/>
      <c r="G24" s="423"/>
      <c r="H24" s="423"/>
      <c r="I24" s="423"/>
    </row>
    <row r="25" spans="1:9">
      <c r="A25" s="412" t="s">
        <v>462</v>
      </c>
      <c r="B25" s="426">
        <f>sumry!CO35</f>
        <v>0.28956128603920028</v>
      </c>
      <c r="C25" s="426">
        <f>sumry!CJ35</f>
        <v>0.28773674963101714</v>
      </c>
      <c r="D25" s="435">
        <v>0.28799999999999998</v>
      </c>
      <c r="E25" s="426">
        <f>+E8/E4</f>
        <v>0.2896868150239626</v>
      </c>
      <c r="F25" s="406"/>
      <c r="G25" s="417">
        <f t="shared" ref="G25:G30" si="0">IF(ISERROR((B25-C25)*10000)=TRUE,"NA",(B25-C25)*10000)</f>
        <v>18.245364081831418</v>
      </c>
      <c r="H25" s="417">
        <f t="shared" ref="H25:H30" si="1">IF(ISERROR((B25-D25)*10000)=TRUE,"NA",(B25-D25)*10000)</f>
        <v>15.612860392003046</v>
      </c>
      <c r="I25" s="417">
        <f t="shared" ref="I25:I30" si="2">IF(ISERROR((D25-E25)*10000)=TRUE,"NA",(D25-E25)*10000)</f>
        <v>-16.868150239626178</v>
      </c>
    </row>
    <row r="26" spans="1:9">
      <c r="A26" s="412" t="s">
        <v>463</v>
      </c>
      <c r="B26" s="426">
        <f>sumry!CO36</f>
        <v>0.18134617776101411</v>
      </c>
      <c r="C26" s="426">
        <f>sumry!CJ36</f>
        <v>0.17700702539100516</v>
      </c>
      <c r="D26" s="435">
        <v>0.18166692024451928</v>
      </c>
      <c r="E26" s="426">
        <f>+E9/E4</f>
        <v>0.1681093732585355</v>
      </c>
      <c r="F26" s="406"/>
      <c r="G26" s="417">
        <f t="shared" si="0"/>
        <v>43.391523700089529</v>
      </c>
      <c r="H26" s="417">
        <f t="shared" si="1"/>
        <v>-3.2074248350516532</v>
      </c>
      <c r="I26" s="417">
        <f t="shared" si="2"/>
        <v>135.57546985983771</v>
      </c>
    </row>
    <row r="27" spans="1:9">
      <c r="A27" s="412" t="s">
        <v>441</v>
      </c>
      <c r="B27" s="427">
        <f>sumry!CO37</f>
        <v>0.10821510827818621</v>
      </c>
      <c r="C27" s="426">
        <f>sumry!CJ37</f>
        <v>0.11072972424001198</v>
      </c>
      <c r="D27" s="435">
        <v>0.10633307975548073</v>
      </c>
      <c r="E27" s="426">
        <f>+E11/E4</f>
        <v>0.12157744176542706</v>
      </c>
      <c r="F27" s="406"/>
      <c r="G27" s="417">
        <f t="shared" si="0"/>
        <v>-25.146159618257695</v>
      </c>
      <c r="H27" s="417">
        <f t="shared" si="1"/>
        <v>18.820285227054839</v>
      </c>
      <c r="I27" s="417">
        <f t="shared" si="2"/>
        <v>-152.44362009946332</v>
      </c>
    </row>
    <row r="28" spans="1:9">
      <c r="A28" s="412" t="s">
        <v>464</v>
      </c>
      <c r="B28" s="426">
        <f>sumry!CO38</f>
        <v>0.106950852155646</v>
      </c>
      <c r="C28" s="426">
        <f>sumry!CJ38</f>
        <v>0.10937815716998771</v>
      </c>
      <c r="D28" s="435">
        <v>0.10505538028478503</v>
      </c>
      <c r="E28" s="426">
        <f>+E15/E4</f>
        <v>0.12092729501801835</v>
      </c>
      <c r="F28" s="406"/>
      <c r="G28" s="417">
        <f t="shared" si="0"/>
        <v>-24.27305014341713</v>
      </c>
      <c r="H28" s="417">
        <f t="shared" si="1"/>
        <v>18.954718708609626</v>
      </c>
      <c r="I28" s="417">
        <f t="shared" si="2"/>
        <v>-158.71914733233322</v>
      </c>
    </row>
    <row r="29" spans="1:9">
      <c r="A29" s="412" t="s">
        <v>465</v>
      </c>
      <c r="B29" s="426">
        <f>sumry!CO39</f>
        <v>0.35582721127004174</v>
      </c>
      <c r="C29" s="426">
        <f>sumry!CJ39</f>
        <v>0.38379987611655719</v>
      </c>
      <c r="D29" s="435">
        <v>0.377</v>
      </c>
      <c r="E29" s="426">
        <f>+E17/E15</f>
        <v>0.37711213517665132</v>
      </c>
      <c r="F29" s="426"/>
      <c r="G29" s="417">
        <f t="shared" si="0"/>
        <v>-279.72664846515448</v>
      </c>
      <c r="H29" s="417">
        <f t="shared" si="1"/>
        <v>-211.72788729958259</v>
      </c>
      <c r="I29" s="417">
        <f t="shared" si="2"/>
        <v>-1.1213517665131789</v>
      </c>
    </row>
    <row r="30" spans="1:9">
      <c r="A30" s="412" t="s">
        <v>442</v>
      </c>
      <c r="B30" s="426">
        <f>sumry!CO40</f>
        <v>6.8894828690147944E-2</v>
      </c>
      <c r="C30" s="426">
        <f>sumry!CJ40</f>
        <v>6.7398833998289109E-2</v>
      </c>
      <c r="D30" s="435">
        <v>6.5449501917421077E-2</v>
      </c>
      <c r="E30" s="426">
        <f>+E19/E4</f>
        <v>7.532414459263663E-2</v>
      </c>
      <c r="F30" s="426"/>
      <c r="G30" s="417">
        <f t="shared" si="0"/>
        <v>14.959946918588345</v>
      </c>
      <c r="H30" s="417">
        <f t="shared" si="1"/>
        <v>34.453267727268674</v>
      </c>
      <c r="I30" s="417">
        <f t="shared" si="2"/>
        <v>-98.746426752155529</v>
      </c>
    </row>
    <row r="31" spans="1:9">
      <c r="A31" s="412"/>
      <c r="B31" s="426"/>
      <c r="C31" s="426"/>
      <c r="D31" s="435"/>
      <c r="E31" s="426"/>
      <c r="F31" s="426"/>
      <c r="G31" s="417"/>
      <c r="H31" s="417"/>
      <c r="I31" s="417"/>
    </row>
    <row r="32" spans="1:9">
      <c r="A32" s="425" t="s">
        <v>466</v>
      </c>
      <c r="B32" s="426"/>
      <c r="C32" s="426"/>
      <c r="D32" s="435"/>
      <c r="E32" s="426"/>
      <c r="F32" s="426"/>
      <c r="G32" s="417"/>
      <c r="H32" s="417"/>
      <c r="I32" s="417"/>
    </row>
    <row r="33" spans="1:9">
      <c r="A33" s="412" t="s">
        <v>556</v>
      </c>
      <c r="B33" s="426">
        <f>sumry!CO44</f>
        <v>3.2041446996137646E-2</v>
      </c>
      <c r="C33" s="426">
        <f>sumry!CJ44</f>
        <v>9.8566090808471341E-2</v>
      </c>
      <c r="D33" s="435">
        <v>3.7681938944565285E-2</v>
      </c>
      <c r="E33" s="426">
        <f>+E4/C4-1</f>
        <v>0.42751150966621032</v>
      </c>
      <c r="F33" s="426"/>
      <c r="G33" s="417"/>
      <c r="H33" s="428"/>
      <c r="I33" s="428"/>
    </row>
    <row r="34" spans="1:9">
      <c r="A34" s="412" t="s">
        <v>280</v>
      </c>
      <c r="B34" s="426">
        <f>sumry!CO45</f>
        <v>0.01</v>
      </c>
      <c r="C34" s="426">
        <f>sumry!CJ45</f>
        <v>7.0000000000000007E-2</v>
      </c>
      <c r="D34" s="435">
        <v>1.064003088772651E-2</v>
      </c>
      <c r="E34" s="435">
        <v>1.4999999999999999E-2</v>
      </c>
      <c r="F34" s="426"/>
      <c r="G34" s="417"/>
      <c r="H34" s="417"/>
      <c r="I34" s="417"/>
    </row>
    <row r="35" spans="1:9">
      <c r="A35" s="412" t="s">
        <v>468</v>
      </c>
      <c r="B35" s="426">
        <f>sumry!CO46</f>
        <v>5.7340923560915469E-2</v>
      </c>
      <c r="C35" s="426">
        <f>sumry!CJ46</f>
        <v>0.14237967170863652</v>
      </c>
      <c r="D35" s="435">
        <v>6.4999999999999947E-2</v>
      </c>
      <c r="E35" s="426">
        <f>+E9/C9-1</f>
        <v>0.35575446612486439</v>
      </c>
      <c r="F35" s="426"/>
      <c r="G35" s="417"/>
      <c r="H35" s="417"/>
      <c r="I35" s="417"/>
    </row>
    <row r="36" spans="1:9">
      <c r="A36" s="412" t="s">
        <v>469</v>
      </c>
      <c r="B36" s="426">
        <f>sumry!CO47</f>
        <v>8.6043083805202869E-3</v>
      </c>
      <c r="C36" s="426">
        <f>sumry!CJ47</f>
        <v>7.5217029143637593E-2</v>
      </c>
      <c r="D36" s="435">
        <v>-3.5203543409239035E-3</v>
      </c>
      <c r="E36" s="426">
        <f>+E11/C11-1</f>
        <v>0.56735870722242288</v>
      </c>
      <c r="F36" s="426"/>
      <c r="G36" s="417"/>
      <c r="H36" s="417"/>
      <c r="I36" s="417"/>
    </row>
    <row r="37" spans="1:9">
      <c r="A37" s="412" t="s">
        <v>470</v>
      </c>
      <c r="B37" s="426">
        <f>sumry!CO48</f>
        <v>8.0064283228571176E-2</v>
      </c>
      <c r="C37" s="426">
        <f>sumry!CJ48</f>
        <v>0.10436346125028684</v>
      </c>
      <c r="D37" s="435">
        <v>3.375954431003314E-2</v>
      </c>
      <c r="E37" s="426">
        <f>+E21/C21-1</f>
        <v>0.67482926982803115</v>
      </c>
      <c r="F37" s="426"/>
      <c r="G37" s="417"/>
      <c r="H37" s="417"/>
      <c r="I37" s="417"/>
    </row>
    <row r="38" spans="1:9">
      <c r="A38" s="406"/>
      <c r="B38" s="405"/>
      <c r="C38" s="405"/>
      <c r="D38" s="405"/>
      <c r="E38" s="405"/>
      <c r="F38" s="406"/>
      <c r="G38" s="406"/>
      <c r="H38" s="406"/>
      <c r="I38" s="406"/>
    </row>
    <row r="39" spans="1:9">
      <c r="A39" s="429" t="s">
        <v>279</v>
      </c>
      <c r="B39" s="406"/>
      <c r="C39" s="406"/>
      <c r="D39" s="406"/>
      <c r="E39" s="406"/>
      <c r="F39" s="406"/>
      <c r="G39" s="406"/>
      <c r="H39" s="406"/>
      <c r="I39" s="406"/>
    </row>
    <row r="40" spans="1:9">
      <c r="A40" s="430" t="s">
        <v>556</v>
      </c>
      <c r="B40" s="406"/>
      <c r="C40" s="406"/>
      <c r="D40" s="406"/>
      <c r="E40" s="406"/>
      <c r="F40" s="406"/>
      <c r="G40" s="406"/>
      <c r="H40" s="431">
        <f>(H4*(B19/B4))/B22</f>
        <v>-4.476129348449525E-3</v>
      </c>
      <c r="I40" s="431"/>
    </row>
    <row r="41" spans="1:9">
      <c r="A41" s="430" t="s">
        <v>439</v>
      </c>
      <c r="B41" s="406"/>
      <c r="C41" s="406"/>
      <c r="D41" s="406"/>
      <c r="E41" s="406"/>
      <c r="F41" s="406"/>
      <c r="G41" s="406"/>
      <c r="H41" s="431">
        <f>(((B25*D4)-D8)*(1-B29))/B22</f>
        <v>1.2021208486251173E-2</v>
      </c>
      <c r="I41" s="431"/>
    </row>
    <row r="42" spans="1:9">
      <c r="A42" s="430" t="s">
        <v>558</v>
      </c>
      <c r="B42" s="406"/>
      <c r="C42" s="406"/>
      <c r="D42" s="406"/>
      <c r="E42" s="406"/>
      <c r="F42" s="406"/>
      <c r="G42" s="406"/>
      <c r="H42" s="431">
        <f>-(((B26*D4)-D9)*(1-B29))/B22</f>
        <v>2.4695745480362149E-3</v>
      </c>
      <c r="I42" s="431"/>
    </row>
    <row r="43" spans="1:9">
      <c r="A43" s="430" t="s">
        <v>469</v>
      </c>
      <c r="B43" s="406"/>
      <c r="C43" s="406"/>
      <c r="D43" s="406"/>
      <c r="E43" s="406"/>
      <c r="F43" s="406"/>
      <c r="G43" s="406"/>
      <c r="H43" s="431">
        <f>(((B27*D4)-D11)*(1-B29))/B22</f>
        <v>1.4490783034287726E-2</v>
      </c>
      <c r="I43" s="431"/>
    </row>
    <row r="44" spans="1:9">
      <c r="A44" s="430" t="s">
        <v>178</v>
      </c>
      <c r="B44" s="406"/>
      <c r="C44" s="406"/>
      <c r="D44" s="406"/>
      <c r="E44" s="406"/>
      <c r="F44" s="406"/>
      <c r="G44" s="406"/>
      <c r="H44" s="431">
        <f>-(H13*(1-B29))/B22</f>
        <v>-1.5641971568078724E-4</v>
      </c>
      <c r="I44" s="431"/>
    </row>
    <row r="45" spans="1:9">
      <c r="A45" s="430" t="s">
        <v>465</v>
      </c>
      <c r="B45" s="406"/>
      <c r="C45" s="406"/>
      <c r="D45" s="406"/>
      <c r="E45" s="406"/>
      <c r="F45" s="406"/>
      <c r="G45" s="406"/>
      <c r="H45" s="431">
        <f>H21-H46-H44-H43-H40</f>
        <v>2.6921044449915481E-2</v>
      </c>
      <c r="I45" s="431"/>
    </row>
    <row r="46" spans="1:9">
      <c r="A46" s="430" t="s">
        <v>310</v>
      </c>
      <c r="B46" s="406"/>
      <c r="C46" s="406"/>
      <c r="D46" s="406"/>
      <c r="E46" s="406"/>
      <c r="F46" s="406"/>
      <c r="G46" s="406"/>
      <c r="H46" s="431">
        <f>B21-(B19/D22)</f>
        <v>-1.667031765474225E-3</v>
      </c>
      <c r="I46" s="431"/>
    </row>
    <row r="47" spans="1:9">
      <c r="A47" s="432" t="s">
        <v>438</v>
      </c>
      <c r="B47" s="406"/>
      <c r="C47" s="406"/>
      <c r="D47" s="406"/>
      <c r="E47" s="406"/>
      <c r="F47" s="406"/>
      <c r="G47" s="406"/>
      <c r="H47" s="422">
        <f>SUM(H40,H43:H46)</f>
        <v>3.5112246654598667E-2</v>
      </c>
      <c r="I47" s="422"/>
    </row>
  </sheetData>
  <phoneticPr fontId="56" type="noConversion"/>
  <pageMargins left="0.75" right="0.75" top="1" bottom="1" header="0.5" footer="0.5"/>
  <pageSetup paperSize="9"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7030A0"/>
    <pageSetUpPr fitToPage="1"/>
  </sheetPr>
  <dimension ref="A1:EK84"/>
  <sheetViews>
    <sheetView zoomScaleNormal="100" workbookViewId="0">
      <pane xSplit="1" topLeftCell="CN1" activePane="topRight" state="frozen"/>
      <selection pane="topRight" activeCell="EB20" sqref="EB20"/>
    </sheetView>
  </sheetViews>
  <sheetFormatPr defaultRowHeight="12.75" outlineLevelRow="1" outlineLevelCol="1"/>
  <cols>
    <col min="1" max="1" width="23.42578125" style="451" customWidth="1"/>
    <col min="2" max="2" width="2.140625" style="451" hidden="1" customWidth="1" outlineLevel="1"/>
    <col min="3" max="6" width="7.42578125" style="451" hidden="1" customWidth="1" outlineLevel="1"/>
    <col min="7" max="7" width="2.140625" style="451" hidden="1" customWidth="1" outlineLevel="1"/>
    <col min="8" max="11" width="7.42578125" style="451" hidden="1" customWidth="1" outlineLevel="1"/>
    <col min="12" max="12" width="2.140625" style="451" hidden="1" customWidth="1" outlineLevel="1"/>
    <col min="13" max="16" width="7.42578125" style="451" hidden="1" customWidth="1" outlineLevel="1"/>
    <col min="17" max="17" width="2.140625" style="451" hidden="1" customWidth="1" outlineLevel="1"/>
    <col min="18" max="21" width="7.42578125" style="451" hidden="1" customWidth="1" outlineLevel="1"/>
    <col min="22" max="22" width="2.140625" style="451" hidden="1" customWidth="1" outlineLevel="1"/>
    <col min="23" max="23" width="7.42578125" style="451" hidden="1" customWidth="1" outlineLevel="1" collapsed="1"/>
    <col min="24" max="26" width="7.42578125" style="451" hidden="1" customWidth="1" outlineLevel="1"/>
    <col min="27" max="27" width="2.140625" style="451" hidden="1" customWidth="1" outlineLevel="1"/>
    <col min="28" max="28" width="7.42578125" style="451" hidden="1" customWidth="1" outlineLevel="1" collapsed="1"/>
    <col min="29" max="31" width="7.42578125" style="451" hidden="1" customWidth="1" outlineLevel="1"/>
    <col min="32" max="32" width="1.28515625" style="451" hidden="1" customWidth="1" outlineLevel="1"/>
    <col min="33" max="36" width="7.42578125" style="451" hidden="1" customWidth="1" outlineLevel="1"/>
    <col min="37" max="37" width="1.28515625" style="451" hidden="1" customWidth="1" outlineLevel="1"/>
    <col min="38" max="41" width="7.42578125" style="451" hidden="1" customWidth="1" outlineLevel="1"/>
    <col min="42" max="42" width="1.28515625" style="451" hidden="1" customWidth="1" outlineLevel="1"/>
    <col min="43" max="46" width="7.42578125" style="451" hidden="1" customWidth="1" outlineLevel="1"/>
    <col min="47" max="47" width="1.28515625" style="451" hidden="1" customWidth="1" outlineLevel="1"/>
    <col min="48" max="51" width="7.42578125" style="451" hidden="1" customWidth="1" outlineLevel="1"/>
    <col min="52" max="52" width="1.28515625" style="451" hidden="1" customWidth="1" outlineLevel="1"/>
    <col min="53" max="56" width="7.42578125" style="451" hidden="1" customWidth="1" outlineLevel="1"/>
    <col min="57" max="57" width="1.28515625" style="451" hidden="1" customWidth="1" outlineLevel="1"/>
    <col min="58" max="58" width="7.42578125" style="451" hidden="1" customWidth="1" outlineLevel="1" collapsed="1"/>
    <col min="59" max="61" width="7.42578125" style="451" hidden="1" customWidth="1" outlineLevel="1"/>
    <col min="62" max="62" width="0.28515625" style="451" hidden="1" customWidth="1" outlineLevel="1"/>
    <col min="63" max="63" width="7.42578125" style="451" hidden="1" customWidth="1" outlineLevel="1" collapsed="1"/>
    <col min="64" max="66" width="7.42578125" style="451" hidden="1" customWidth="1" outlineLevel="1"/>
    <col min="67" max="67" width="0.28515625" style="451" hidden="1" customWidth="1" outlineLevel="1"/>
    <col min="68" max="71" width="7.42578125" style="451" hidden="1" customWidth="1" outlineLevel="1"/>
    <col min="72" max="72" width="0.28515625" style="451" hidden="1" customWidth="1" outlineLevel="1"/>
    <col min="73" max="73" width="7.42578125" style="451" hidden="1" customWidth="1" outlineLevel="1" collapsed="1"/>
    <col min="74" max="75" width="7.42578125" style="451" hidden="1" customWidth="1" outlineLevel="1"/>
    <col min="76" max="76" width="7.5703125" style="451" hidden="1" customWidth="1" outlineLevel="1"/>
    <col min="77" max="77" width="0.28515625" style="451" customWidth="1" collapsed="1"/>
    <col min="78" max="81" width="7.28515625" style="451" hidden="1" customWidth="1" outlineLevel="1"/>
    <col min="82" max="82" width="0.28515625" style="451" customWidth="1" collapsed="1"/>
    <col min="83" max="83" width="7.28515625" style="451" customWidth="1" outlineLevel="1"/>
    <col min="84" max="84" width="8.28515625" style="451" customWidth="1" outlineLevel="1"/>
    <col min="85" max="86" width="7.28515625" style="451" customWidth="1" outlineLevel="1"/>
    <col min="87" max="87" width="0.85546875" style="451" customWidth="1" outlineLevel="1"/>
    <col min="88" max="88" width="7.28515625" style="451" customWidth="1"/>
    <col min="89" max="89" width="8.28515625" style="451" customWidth="1"/>
    <col min="90" max="91" width="7.28515625" style="451" customWidth="1"/>
    <col min="92" max="92" width="0.85546875" style="451" customWidth="1"/>
    <col min="93" max="93" width="7.28515625" style="451" customWidth="1"/>
    <col min="94" max="94" width="8.28515625" style="451" customWidth="1"/>
    <col min="95" max="96" width="7.28515625" style="451" customWidth="1"/>
    <col min="97" max="97" width="0.85546875" style="451" customWidth="1"/>
    <col min="98" max="98" width="7.28515625" style="451" customWidth="1"/>
    <col min="99" max="99" width="8.28515625" style="451" customWidth="1"/>
    <col min="100" max="101" width="7.28515625" style="451" customWidth="1"/>
    <col min="102" max="103" width="0.85546875" style="451" customWidth="1"/>
    <col min="104" max="106" width="6.85546875" style="451" hidden="1" customWidth="1" outlineLevel="1"/>
    <col min="107" max="108" width="7.42578125" style="451" hidden="1" customWidth="1" outlineLevel="1"/>
    <col min="109" max="111" width="7.42578125" style="451" hidden="1" customWidth="1" outlineLevel="1" collapsed="1"/>
    <col min="112" max="114" width="7.42578125" style="451" hidden="1" customWidth="1" outlineLevel="1"/>
    <col min="115" max="115" width="7.42578125" style="451" hidden="1" customWidth="1" outlineLevel="1" collapsed="1"/>
    <col min="116" max="116" width="7.42578125" style="451" hidden="1" customWidth="1" outlineLevel="1"/>
    <col min="117" max="117" width="7.28515625" style="451" hidden="1" customWidth="1" outlineLevel="1" collapsed="1"/>
    <col min="118" max="118" width="7.28515625" style="451" hidden="1" customWidth="1" outlineLevel="1"/>
    <col min="119" max="119" width="7.28515625" style="451" customWidth="1" collapsed="1"/>
    <col min="120" max="123" width="7.28515625" style="451" customWidth="1"/>
    <col min="124" max="127" width="7.28515625" style="451" bestFit="1" customWidth="1"/>
    <col min="128" max="128" width="7.28515625" style="451" customWidth="1"/>
    <col min="129" max="129" width="7.28515625" style="451" customWidth="1" outlineLevel="1"/>
    <col min="130" max="131" width="9.140625" style="451"/>
    <col min="132" max="132" width="17.5703125" customWidth="1" outlineLevel="1"/>
    <col min="133" max="136" width="9.140625" customWidth="1" outlineLevel="1"/>
    <col min="137" max="137" width="9.140625" style="451" customWidth="1" outlineLevel="1"/>
    <col min="138" max="138" width="7.140625" style="451" customWidth="1"/>
    <col min="139" max="139" width="12.7109375" style="451" customWidth="1"/>
    <col min="140" max="16384" width="9.140625" style="451"/>
  </cols>
  <sheetData>
    <row r="1" spans="1:137">
      <c r="A1" s="464" t="s">
        <v>369</v>
      </c>
      <c r="B1" s="465"/>
      <c r="C1" s="465"/>
      <c r="D1" s="465"/>
      <c r="E1" s="465"/>
      <c r="F1" s="465"/>
      <c r="G1" s="465"/>
      <c r="H1" s="465"/>
      <c r="I1" s="465"/>
      <c r="J1" s="465"/>
      <c r="K1" s="465"/>
      <c r="L1" s="466"/>
      <c r="M1" s="465"/>
      <c r="N1" s="465"/>
      <c r="O1" s="465"/>
      <c r="P1" s="465"/>
      <c r="Q1" s="466"/>
      <c r="R1" s="465"/>
      <c r="S1" s="465"/>
      <c r="T1" s="465"/>
      <c r="U1" s="465"/>
      <c r="V1" s="466"/>
      <c r="W1" s="465"/>
      <c r="X1" s="465"/>
      <c r="Y1" s="465"/>
      <c r="Z1" s="465"/>
      <c r="AA1" s="466"/>
      <c r="AB1" s="465"/>
      <c r="AC1" s="465"/>
      <c r="AD1" s="465"/>
      <c r="AE1" s="465"/>
      <c r="AF1" s="466"/>
      <c r="AG1" s="465"/>
      <c r="AH1" s="465"/>
      <c r="AI1" s="465"/>
      <c r="AJ1" s="465"/>
      <c r="AK1" s="466"/>
      <c r="AL1" s="465"/>
      <c r="AM1" s="465"/>
      <c r="AN1" s="465"/>
      <c r="AO1" s="465"/>
      <c r="AP1" s="465"/>
      <c r="AQ1" s="465"/>
      <c r="AR1" s="465"/>
      <c r="AS1" s="465"/>
      <c r="AT1" s="465"/>
      <c r="AU1" s="465"/>
      <c r="AV1" s="465"/>
      <c r="AW1" s="465"/>
      <c r="AX1" s="465"/>
      <c r="AY1" s="465"/>
      <c r="AZ1" s="465"/>
      <c r="BA1" s="465"/>
      <c r="BB1" s="465"/>
      <c r="BC1" s="465"/>
      <c r="BD1" s="465"/>
      <c r="BE1" s="465"/>
      <c r="BF1" s="465"/>
      <c r="BG1" s="465"/>
      <c r="BH1" s="465"/>
      <c r="BI1" s="465"/>
      <c r="BJ1" s="465"/>
      <c r="BK1" s="465"/>
      <c r="BL1" s="465"/>
      <c r="BM1" s="465"/>
      <c r="BN1" s="465"/>
      <c r="BO1" s="466"/>
      <c r="BP1" s="465"/>
      <c r="BQ1" s="465"/>
      <c r="BR1" s="465"/>
      <c r="BS1" s="465"/>
      <c r="BT1" s="466"/>
      <c r="BU1" s="465"/>
      <c r="BV1" s="465"/>
      <c r="BW1" s="465"/>
      <c r="BX1" s="465"/>
      <c r="BY1" s="466"/>
      <c r="BZ1" s="465"/>
      <c r="CA1" s="465"/>
      <c r="CB1" s="465"/>
      <c r="CC1" s="465"/>
      <c r="CD1" s="466"/>
      <c r="CE1" s="465"/>
      <c r="CF1" s="465"/>
      <c r="CG1" s="465"/>
      <c r="CH1" s="465"/>
      <c r="CI1" s="466"/>
      <c r="CJ1" s="465"/>
      <c r="CK1" s="465"/>
      <c r="CL1" s="465"/>
      <c r="CM1" s="465"/>
      <c r="CN1" s="466"/>
      <c r="CO1" s="465"/>
      <c r="CP1" s="465"/>
      <c r="CQ1" s="465"/>
      <c r="CR1" s="465"/>
      <c r="CS1" s="466"/>
      <c r="CT1" s="465"/>
      <c r="CU1" s="465"/>
      <c r="CV1" s="465"/>
      <c r="CW1" s="465"/>
      <c r="CX1" s="466"/>
      <c r="CY1" s="466"/>
      <c r="CZ1" s="466"/>
      <c r="DA1" s="466"/>
      <c r="DB1" s="466"/>
      <c r="DC1" s="465"/>
      <c r="DD1" s="465"/>
      <c r="DE1" s="465"/>
      <c r="DF1" s="466"/>
      <c r="DG1" s="466"/>
      <c r="DH1" s="466"/>
      <c r="DI1" s="466"/>
      <c r="DJ1" s="466"/>
      <c r="DK1" s="466"/>
      <c r="DL1" s="466"/>
      <c r="DM1" s="466"/>
      <c r="DN1" s="467"/>
      <c r="DO1" s="467"/>
      <c r="DP1" s="467"/>
      <c r="DQ1" s="467"/>
      <c r="DR1" s="467"/>
      <c r="DS1" s="467"/>
      <c r="DT1" s="467"/>
      <c r="DU1" s="467"/>
      <c r="DV1" s="467"/>
      <c r="DW1" s="467"/>
      <c r="DX1" s="467"/>
      <c r="DY1" s="467"/>
      <c r="DZ1" s="467"/>
      <c r="EA1" s="467"/>
      <c r="EG1" s="467" t="s">
        <v>398</v>
      </c>
    </row>
    <row r="2" spans="1:137">
      <c r="A2" s="469" t="s">
        <v>806</v>
      </c>
      <c r="B2" s="470"/>
      <c r="C2" s="470"/>
      <c r="D2" s="470"/>
      <c r="E2" s="470"/>
      <c r="F2" s="470"/>
      <c r="G2" s="470"/>
      <c r="H2" s="470"/>
      <c r="I2" s="470"/>
      <c r="J2" s="470"/>
      <c r="K2" s="470"/>
      <c r="L2" s="471"/>
      <c r="M2" s="470"/>
      <c r="N2" s="470"/>
      <c r="O2" s="470"/>
      <c r="P2" s="470"/>
      <c r="Q2" s="471"/>
      <c r="R2" s="470"/>
      <c r="S2" s="470"/>
      <c r="T2" s="470"/>
      <c r="U2" s="470"/>
      <c r="V2" s="471"/>
      <c r="W2" s="470"/>
      <c r="X2" s="470"/>
      <c r="Y2" s="470"/>
      <c r="Z2" s="470"/>
      <c r="AA2" s="471"/>
      <c r="AB2" s="470"/>
      <c r="AC2" s="470"/>
      <c r="AD2" s="470"/>
      <c r="AE2" s="470"/>
      <c r="AF2" s="471"/>
      <c r="AG2" s="470"/>
      <c r="AH2" s="470"/>
      <c r="AI2" s="470"/>
      <c r="AJ2" s="470"/>
      <c r="AK2" s="471"/>
      <c r="AL2" s="470"/>
      <c r="AM2" s="470"/>
      <c r="AN2" s="470"/>
      <c r="AO2" s="470"/>
      <c r="AP2" s="470"/>
      <c r="AQ2" s="470"/>
      <c r="AR2" s="470"/>
      <c r="AS2" s="470"/>
      <c r="AT2" s="470"/>
      <c r="AU2" s="470"/>
      <c r="AV2" s="470"/>
      <c r="AW2" s="470"/>
      <c r="AX2" s="470"/>
      <c r="AY2" s="470"/>
      <c r="AZ2" s="470"/>
      <c r="BA2" s="470"/>
      <c r="BB2" s="470"/>
      <c r="BC2" s="470"/>
      <c r="BD2" s="470"/>
      <c r="BE2" s="470"/>
      <c r="BF2" s="470"/>
      <c r="BG2" s="470"/>
      <c r="BH2" s="470"/>
      <c r="BI2" s="470"/>
      <c r="BJ2" s="470"/>
      <c r="BK2" s="470"/>
      <c r="BL2" s="470"/>
      <c r="BM2" s="470"/>
      <c r="BN2" s="470"/>
      <c r="BO2" s="471"/>
      <c r="BP2" s="470"/>
      <c r="BQ2" s="470"/>
      <c r="BR2" s="470"/>
      <c r="BS2" s="470"/>
      <c r="BT2" s="471"/>
      <c r="BU2" s="470"/>
      <c r="BV2" s="470"/>
      <c r="BW2" s="472">
        <f>SUM(BU13:BW13)/SUM(BP13:BR13)-1</f>
        <v>9.9362742545968441E-2</v>
      </c>
      <c r="BX2" s="473"/>
      <c r="BY2" s="474"/>
      <c r="BZ2" s="473"/>
      <c r="CA2" s="473"/>
      <c r="CB2" s="475"/>
      <c r="CC2" s="476"/>
      <c r="CD2" s="477"/>
      <c r="CE2" s="476"/>
      <c r="CF2" s="476"/>
      <c r="CG2" s="475"/>
      <c r="CH2" s="476"/>
      <c r="CI2" s="477"/>
      <c r="CJ2" s="476"/>
      <c r="CK2" s="476"/>
      <c r="CL2" s="478"/>
      <c r="CM2" s="470"/>
      <c r="CN2" s="477"/>
      <c r="CO2" s="476"/>
      <c r="CP2" s="476"/>
      <c r="CQ2" s="478"/>
      <c r="CR2" s="470"/>
      <c r="CS2" s="477"/>
      <c r="CT2" s="476"/>
      <c r="CU2" s="476"/>
      <c r="CV2" s="478"/>
      <c r="CW2" s="470"/>
      <c r="CX2" s="471"/>
      <c r="CY2" s="471"/>
      <c r="CZ2" s="471"/>
      <c r="DA2" s="471"/>
      <c r="DB2" s="471"/>
      <c r="DC2" s="470"/>
      <c r="DD2" s="470"/>
      <c r="DE2" s="470"/>
      <c r="DF2" s="471"/>
      <c r="DG2" s="471"/>
      <c r="DH2" s="471"/>
      <c r="DI2" s="471"/>
      <c r="DJ2" s="471"/>
      <c r="DK2" s="471"/>
      <c r="DL2" s="471"/>
      <c r="DM2" s="471"/>
      <c r="DN2" s="479"/>
      <c r="DO2" s="479"/>
      <c r="DP2" s="479"/>
      <c r="DQ2" s="479"/>
      <c r="DR2" s="479"/>
      <c r="DS2" s="479"/>
      <c r="DT2" s="479"/>
      <c r="DU2" s="479"/>
      <c r="DV2" s="479"/>
      <c r="DW2" s="479"/>
      <c r="DX2" s="479"/>
      <c r="DY2" s="479"/>
      <c r="DZ2" s="467"/>
      <c r="EA2" s="467"/>
      <c r="EG2" s="467"/>
    </row>
    <row r="3" spans="1:137">
      <c r="A3" s="480" t="s">
        <v>445</v>
      </c>
      <c r="B3" s="481"/>
      <c r="C3" s="481"/>
      <c r="D3" s="481"/>
      <c r="E3" s="481"/>
      <c r="F3" s="481"/>
      <c r="G3" s="481"/>
      <c r="H3" s="481"/>
      <c r="I3" s="481"/>
      <c r="J3" s="481"/>
      <c r="K3" s="481"/>
      <c r="L3" s="480"/>
      <c r="M3" s="481"/>
      <c r="N3" s="481"/>
      <c r="O3" s="481"/>
      <c r="P3" s="481"/>
      <c r="Q3" s="480"/>
      <c r="R3" s="481"/>
      <c r="S3" s="481"/>
      <c r="T3" s="481"/>
      <c r="U3" s="481"/>
      <c r="V3" s="480"/>
      <c r="W3" s="481"/>
      <c r="X3" s="481"/>
      <c r="Y3" s="481"/>
      <c r="Z3" s="481"/>
      <c r="AA3" s="480"/>
      <c r="AB3" s="481"/>
      <c r="AC3" s="481"/>
      <c r="AD3" s="481"/>
      <c r="AE3" s="481"/>
      <c r="AF3" s="480"/>
      <c r="AG3" s="481"/>
      <c r="AH3" s="481"/>
      <c r="AI3" s="481"/>
      <c r="AJ3" s="481"/>
      <c r="AK3" s="480"/>
      <c r="AL3" s="481"/>
      <c r="AM3" s="481"/>
      <c r="AN3" s="481"/>
      <c r="AO3" s="481"/>
      <c r="AP3" s="481"/>
      <c r="AQ3" s="481"/>
      <c r="AR3" s="481"/>
      <c r="AS3" s="481"/>
      <c r="AT3" s="481"/>
      <c r="AU3" s="481"/>
      <c r="AV3" s="481"/>
      <c r="AW3" s="481"/>
      <c r="AX3" s="481"/>
      <c r="AY3" s="481"/>
      <c r="AZ3" s="481"/>
      <c r="BA3" s="481"/>
      <c r="BB3" s="481"/>
      <c r="BC3" s="481"/>
      <c r="BD3" s="481"/>
      <c r="BE3" s="481"/>
      <c r="BF3" s="481"/>
      <c r="BG3" s="481"/>
      <c r="BH3" s="481"/>
      <c r="BI3" s="481"/>
      <c r="BJ3" s="481"/>
      <c r="BK3" s="481"/>
      <c r="BL3" s="481"/>
      <c r="BM3" s="481"/>
      <c r="BN3" s="481"/>
      <c r="BO3" s="480"/>
      <c r="BP3" s="481"/>
      <c r="BQ3" s="481"/>
      <c r="BR3" s="481"/>
      <c r="BS3" s="481"/>
      <c r="BT3" s="480"/>
      <c r="BU3" s="481"/>
      <c r="BV3" s="481"/>
      <c r="BW3" s="482"/>
      <c r="BX3" s="482"/>
      <c r="BY3" s="483"/>
      <c r="BZ3" s="482"/>
      <c r="CA3" s="482"/>
      <c r="CB3" s="484"/>
      <c r="CC3" s="484"/>
      <c r="CD3" s="485"/>
      <c r="CE3" s="484"/>
      <c r="CF3" s="484"/>
      <c r="CG3" s="484"/>
      <c r="CH3" s="484"/>
      <c r="CI3" s="485"/>
      <c r="CJ3" s="486"/>
      <c r="CK3" s="484"/>
      <c r="CL3" s="482"/>
      <c r="CN3" s="485"/>
      <c r="CO3" s="486"/>
      <c r="CP3" s="484"/>
      <c r="CQ3" s="482"/>
      <c r="CS3" s="485"/>
      <c r="CT3" s="486"/>
      <c r="CU3" s="484"/>
      <c r="CV3" s="482"/>
      <c r="CX3" s="480"/>
      <c r="CY3" s="480"/>
      <c r="CZ3" s="480"/>
      <c r="DA3" s="480"/>
      <c r="DB3" s="480"/>
      <c r="DC3" s="481"/>
      <c r="DD3" s="481"/>
      <c r="DE3" s="481"/>
      <c r="DF3" s="480"/>
      <c r="DG3" s="480"/>
      <c r="DH3" s="480"/>
      <c r="DI3" s="480"/>
      <c r="DJ3" s="480"/>
      <c r="DK3" s="480"/>
      <c r="DL3" s="480"/>
      <c r="DM3" s="480"/>
      <c r="DN3" s="487"/>
      <c r="DO3" s="487"/>
      <c r="DP3" s="487"/>
      <c r="DQ3" s="487"/>
      <c r="DR3" s="487"/>
      <c r="DS3" s="487"/>
      <c r="DT3" s="487"/>
      <c r="DU3" s="487"/>
      <c r="DV3" s="487"/>
      <c r="DW3" s="487"/>
      <c r="DX3" s="487"/>
      <c r="DY3" s="487"/>
      <c r="DZ3" s="487"/>
      <c r="EA3" s="487"/>
      <c r="EG3" s="487"/>
    </row>
    <row r="4" spans="1:137">
      <c r="A4" s="480"/>
      <c r="B4" s="481"/>
      <c r="C4" s="481"/>
      <c r="D4" s="481"/>
      <c r="E4" s="481"/>
      <c r="F4" s="481"/>
      <c r="G4" s="481"/>
      <c r="H4" s="481"/>
      <c r="I4" s="481"/>
      <c r="J4" s="481"/>
      <c r="K4" s="481"/>
      <c r="L4" s="480"/>
      <c r="M4" s="481"/>
      <c r="N4" s="481"/>
      <c r="O4" s="481"/>
      <c r="P4" s="481"/>
      <c r="Q4" s="480"/>
      <c r="R4" s="481"/>
      <c r="S4" s="481"/>
      <c r="T4" s="481"/>
      <c r="U4" s="481"/>
      <c r="V4" s="480"/>
      <c r="W4" s="481"/>
      <c r="X4" s="481"/>
      <c r="Y4" s="481"/>
      <c r="Z4" s="481"/>
      <c r="AA4" s="480"/>
      <c r="AB4" s="481"/>
      <c r="AC4" s="481"/>
      <c r="AD4" s="481"/>
      <c r="AE4" s="481"/>
      <c r="AF4" s="480"/>
      <c r="AG4" s="481"/>
      <c r="AH4" s="481"/>
      <c r="AI4" s="481"/>
      <c r="AJ4" s="481"/>
      <c r="AK4" s="480"/>
      <c r="AL4" s="481"/>
      <c r="AM4" s="481"/>
      <c r="AN4" s="481"/>
      <c r="AO4" s="481"/>
      <c r="AP4" s="481"/>
      <c r="AQ4" s="481"/>
      <c r="AR4" s="481"/>
      <c r="AS4" s="481"/>
      <c r="AT4" s="481"/>
      <c r="AU4" s="481"/>
      <c r="AV4" s="481"/>
      <c r="AW4" s="481"/>
      <c r="AX4" s="481"/>
      <c r="AY4" s="481"/>
      <c r="AZ4" s="481"/>
      <c r="BA4" s="481"/>
      <c r="BB4" s="481"/>
      <c r="BC4" s="481"/>
      <c r="BD4" s="481"/>
      <c r="BE4" s="481"/>
      <c r="BF4" s="481"/>
      <c r="BG4" s="481"/>
      <c r="BH4" s="481"/>
      <c r="BI4" s="481"/>
      <c r="BJ4" s="481"/>
      <c r="BK4" s="481"/>
      <c r="BL4" s="481"/>
      <c r="BM4" s="481"/>
      <c r="BN4" s="481"/>
      <c r="BO4" s="480"/>
      <c r="BP4" s="481"/>
      <c r="BQ4" s="481"/>
      <c r="BR4" s="481"/>
      <c r="BS4" s="481"/>
      <c r="BT4" s="480"/>
      <c r="BU4" s="481"/>
      <c r="BV4" s="481"/>
      <c r="BW4" s="482"/>
      <c r="BX4" s="482"/>
      <c r="BY4" s="483"/>
      <c r="BZ4" s="482"/>
      <c r="CA4" s="482"/>
      <c r="CB4" s="468"/>
      <c r="CC4" s="484"/>
      <c r="CD4" s="485"/>
      <c r="CE4" s="488"/>
      <c r="CF4" s="488"/>
      <c r="CG4" s="488"/>
      <c r="CH4" s="488"/>
      <c r="CI4" s="485"/>
      <c r="CJ4" s="489"/>
      <c r="CK4" s="489"/>
      <c r="CL4" s="490"/>
      <c r="CM4" s="481"/>
      <c r="CN4" s="485"/>
      <c r="CO4" s="489"/>
      <c r="CP4" s="489"/>
      <c r="CQ4" s="490"/>
      <c r="CR4" s="481"/>
      <c r="CS4" s="485"/>
      <c r="CT4" s="489"/>
      <c r="CU4" s="489"/>
      <c r="CV4" s="490"/>
      <c r="CW4" s="481"/>
      <c r="CX4" s="480"/>
      <c r="CY4" s="480"/>
      <c r="CZ4" s="480"/>
      <c r="DA4" s="480"/>
      <c r="DB4" s="480"/>
      <c r="DC4" s="481"/>
      <c r="DD4" s="481"/>
      <c r="DE4" s="481"/>
      <c r="DF4" s="480"/>
      <c r="DG4" s="480"/>
      <c r="DH4" s="480"/>
      <c r="DI4" s="480"/>
      <c r="DJ4" s="480"/>
      <c r="DK4" s="480"/>
      <c r="DL4" s="480"/>
      <c r="DM4" s="480"/>
      <c r="DN4" s="487"/>
      <c r="DO4" s="487"/>
      <c r="DP4" s="487"/>
      <c r="DQ4" s="487"/>
      <c r="DR4" s="491"/>
      <c r="DS4" s="492"/>
      <c r="DT4" s="493"/>
      <c r="DU4" s="491"/>
      <c r="DV4" s="491"/>
      <c r="DW4" s="491"/>
      <c r="DX4" s="491"/>
      <c r="DY4" s="491"/>
      <c r="DZ4" s="487"/>
      <c r="EA4" s="487"/>
      <c r="EG4" s="487"/>
    </row>
    <row r="5" spans="1:137">
      <c r="A5" s="494"/>
      <c r="B5" s="495"/>
      <c r="C5" s="495" t="s">
        <v>446</v>
      </c>
      <c r="D5" s="495"/>
      <c r="E5" s="495"/>
      <c r="F5" s="495"/>
      <c r="G5" s="495"/>
      <c r="H5" s="495"/>
      <c r="I5" s="495"/>
      <c r="J5" s="495"/>
      <c r="K5" s="495"/>
      <c r="L5" s="496"/>
      <c r="M5" s="495"/>
      <c r="N5" s="495"/>
      <c r="O5" s="495"/>
      <c r="P5" s="495"/>
      <c r="Q5" s="496" t="s">
        <v>446</v>
      </c>
      <c r="R5" s="495"/>
      <c r="S5" s="495"/>
      <c r="T5" s="495"/>
      <c r="U5" s="495"/>
      <c r="V5" s="496" t="s">
        <v>446</v>
      </c>
      <c r="W5" s="495"/>
      <c r="X5" s="495"/>
      <c r="Y5" s="495"/>
      <c r="Z5" s="495"/>
      <c r="AA5" s="496" t="s">
        <v>446</v>
      </c>
      <c r="AB5" s="495"/>
      <c r="AC5" s="495"/>
      <c r="AD5" s="495"/>
      <c r="AE5" s="495"/>
      <c r="AF5" s="487"/>
      <c r="AG5" s="495" t="s">
        <v>446</v>
      </c>
      <c r="AH5" s="495"/>
      <c r="AI5" s="495"/>
      <c r="AJ5" s="495"/>
      <c r="AK5" s="497"/>
      <c r="AL5" s="495"/>
      <c r="AM5" s="495"/>
      <c r="AN5" s="495"/>
      <c r="AO5" s="495"/>
      <c r="AP5" s="495"/>
      <c r="AQ5" s="495"/>
      <c r="AR5" s="495"/>
      <c r="AS5" s="495"/>
      <c r="AT5" s="495"/>
      <c r="AU5" s="495"/>
      <c r="AV5" s="495"/>
      <c r="AW5" s="495"/>
      <c r="AX5" s="495"/>
      <c r="AY5" s="495"/>
      <c r="AZ5" s="495"/>
      <c r="BA5" s="495"/>
      <c r="BB5" s="495"/>
      <c r="BC5" s="495"/>
      <c r="BD5" s="495"/>
      <c r="BE5" s="495"/>
      <c r="BF5" s="495"/>
      <c r="BG5" s="495"/>
      <c r="BH5" s="495"/>
      <c r="BI5" s="495"/>
      <c r="BJ5" s="495"/>
      <c r="BK5" s="495"/>
      <c r="BL5" s="495"/>
      <c r="BM5" s="495"/>
      <c r="BN5" s="495"/>
      <c r="BO5" s="480"/>
      <c r="BP5" s="495"/>
      <c r="BQ5" s="495"/>
      <c r="BR5" s="495"/>
      <c r="BS5" s="495"/>
      <c r="BT5" s="480"/>
      <c r="BU5" s="495"/>
      <c r="BV5" s="495"/>
      <c r="BW5" s="495"/>
      <c r="BX5" s="495"/>
      <c r="BY5" s="480"/>
      <c r="BZ5" s="495"/>
      <c r="CA5" s="495"/>
      <c r="CB5" s="495"/>
      <c r="CC5" s="495"/>
      <c r="CD5" s="480"/>
      <c r="CE5" s="495"/>
      <c r="CF5" s="495"/>
      <c r="CG5" s="495"/>
      <c r="CH5" s="495"/>
      <c r="CI5" s="480"/>
      <c r="CM5" s="498"/>
      <c r="CN5" s="480"/>
      <c r="CR5" s="498"/>
      <c r="CS5" s="480"/>
      <c r="CW5" s="498"/>
      <c r="CX5" s="480"/>
      <c r="CY5" s="480"/>
      <c r="CZ5" s="495"/>
      <c r="DA5" s="495"/>
      <c r="DB5" s="495" t="s">
        <v>447</v>
      </c>
      <c r="DC5" s="495"/>
      <c r="DD5" s="495"/>
      <c r="DE5" s="495" t="s">
        <v>447</v>
      </c>
      <c r="DF5" s="495"/>
      <c r="DG5" s="495"/>
      <c r="DH5" s="495"/>
      <c r="DI5" s="495"/>
      <c r="DJ5" s="495"/>
      <c r="DK5" s="495"/>
      <c r="DL5" s="495"/>
      <c r="DM5" s="495"/>
      <c r="DN5" s="487"/>
      <c r="DO5" s="487"/>
      <c r="DP5" s="499"/>
      <c r="DQ5" s="487"/>
      <c r="DR5" s="487"/>
      <c r="DS5" s="487"/>
      <c r="DT5" s="487"/>
      <c r="DU5" s="487"/>
      <c r="DV5" s="487"/>
      <c r="DW5" s="487"/>
      <c r="DX5" s="487"/>
      <c r="DY5" s="487"/>
      <c r="DZ5" s="487"/>
      <c r="EG5" s="487"/>
    </row>
    <row r="6" spans="1:137">
      <c r="A6" s="500"/>
      <c r="B6" s="501" t="s">
        <v>448</v>
      </c>
      <c r="C6" s="502">
        <v>1999</v>
      </c>
      <c r="D6" s="503"/>
      <c r="E6" s="503"/>
      <c r="F6" s="503"/>
      <c r="G6" s="504"/>
      <c r="H6" s="505" t="s">
        <v>189</v>
      </c>
      <c r="I6" s="506"/>
      <c r="J6" s="506"/>
      <c r="K6" s="506"/>
      <c r="L6" s="507"/>
      <c r="M6" s="505" t="str">
        <f>+DE6</f>
        <v>2001A</v>
      </c>
      <c r="N6" s="506"/>
      <c r="O6" s="506"/>
      <c r="P6" s="506"/>
      <c r="Q6" s="507"/>
      <c r="R6" s="505">
        <f>DF6</f>
        <v>2002</v>
      </c>
      <c r="S6" s="506"/>
      <c r="T6" s="506"/>
      <c r="U6" s="506"/>
      <c r="V6" s="507"/>
      <c r="W6" s="505" t="s">
        <v>741</v>
      </c>
      <c r="X6" s="506"/>
      <c r="Y6" s="506"/>
      <c r="Z6" s="506"/>
      <c r="AA6" s="507"/>
      <c r="AB6" s="505">
        <f>+DH6</f>
        <v>2004</v>
      </c>
      <c r="AC6" s="506"/>
      <c r="AD6" s="506"/>
      <c r="AE6" s="506"/>
      <c r="AF6" s="507"/>
      <c r="AG6" s="505">
        <f>+DI6</f>
        <v>2005</v>
      </c>
      <c r="AH6" s="506"/>
      <c r="AI6" s="506"/>
      <c r="AJ6" s="506"/>
      <c r="AK6" s="507"/>
      <c r="AL6" s="505">
        <f>+DJ6</f>
        <v>2006</v>
      </c>
      <c r="AM6" s="506"/>
      <c r="AN6" s="506"/>
      <c r="AO6" s="506"/>
      <c r="AP6" s="507"/>
      <c r="AQ6" s="505">
        <f>+DK6</f>
        <v>2007</v>
      </c>
      <c r="AR6" s="506"/>
      <c r="AS6" s="506"/>
      <c r="AT6" s="506"/>
      <c r="AU6" s="507"/>
      <c r="AV6" s="505">
        <f>+DL6</f>
        <v>2008</v>
      </c>
      <c r="AW6" s="506"/>
      <c r="AX6" s="506"/>
      <c r="AY6" s="506"/>
      <c r="AZ6" s="507"/>
      <c r="BA6" s="505">
        <f>DM6</f>
        <v>2009</v>
      </c>
      <c r="BB6" s="506"/>
      <c r="BC6" s="506"/>
      <c r="BD6" s="506"/>
      <c r="BE6" s="507"/>
      <c r="BF6" s="505">
        <f>DN6</f>
        <v>2010</v>
      </c>
      <c r="BG6" s="506"/>
      <c r="BH6" s="506"/>
      <c r="BI6" s="506"/>
      <c r="BJ6" s="507"/>
      <c r="BK6" s="505">
        <f>DO6</f>
        <v>2011</v>
      </c>
      <c r="BL6" s="506"/>
      <c r="BM6" s="506"/>
      <c r="BN6" s="506"/>
      <c r="BO6" s="507"/>
      <c r="BP6" s="505">
        <f>DP6</f>
        <v>2012</v>
      </c>
      <c r="BQ6" s="506"/>
      <c r="BR6" s="506"/>
      <c r="BS6" s="506"/>
      <c r="BT6" s="507"/>
      <c r="BU6" s="505">
        <v>2013</v>
      </c>
      <c r="BV6" s="506"/>
      <c r="BW6" s="506"/>
      <c r="BX6" s="506"/>
      <c r="BY6" s="507"/>
      <c r="BZ6" s="505">
        <v>2014</v>
      </c>
      <c r="CA6" s="506"/>
      <c r="CB6" s="506"/>
      <c r="CC6" s="506"/>
      <c r="CD6" s="507"/>
      <c r="CE6" s="505">
        <v>2015</v>
      </c>
      <c r="CF6" s="506"/>
      <c r="CG6" s="506"/>
      <c r="CH6" s="506"/>
      <c r="CI6" s="507"/>
      <c r="CJ6" s="505">
        <v>2016</v>
      </c>
      <c r="CK6" s="506"/>
      <c r="CL6" s="506"/>
      <c r="CM6" s="506"/>
      <c r="CN6" s="507"/>
      <c r="CO6" s="2101">
        <v>2017</v>
      </c>
      <c r="CP6" s="506"/>
      <c r="CQ6" s="506"/>
      <c r="CR6" s="506"/>
      <c r="CS6" s="507"/>
      <c r="CT6" s="508">
        <v>2018</v>
      </c>
      <c r="CU6" s="506"/>
      <c r="CV6" s="506"/>
      <c r="CW6" s="506"/>
      <c r="CX6" s="507"/>
      <c r="CY6" s="507"/>
      <c r="CZ6" s="509">
        <v>1996</v>
      </c>
      <c r="DA6" s="509">
        <v>1997</v>
      </c>
      <c r="DB6" s="509">
        <v>1998</v>
      </c>
      <c r="DC6" s="510">
        <v>1999</v>
      </c>
      <c r="DD6" s="510">
        <v>2000</v>
      </c>
      <c r="DE6" s="511" t="s">
        <v>496</v>
      </c>
      <c r="DF6" s="511">
        <v>2002</v>
      </c>
      <c r="DG6" s="511">
        <v>2003</v>
      </c>
      <c r="DH6" s="511">
        <v>2004</v>
      </c>
      <c r="DI6" s="510">
        <v>2005</v>
      </c>
      <c r="DJ6" s="510">
        <v>2006</v>
      </c>
      <c r="DK6" s="511">
        <v>2007</v>
      </c>
      <c r="DL6" s="510">
        <v>2008</v>
      </c>
      <c r="DM6" s="511">
        <v>2009</v>
      </c>
      <c r="DN6" s="510">
        <v>2010</v>
      </c>
      <c r="DO6" s="511">
        <v>2011</v>
      </c>
      <c r="DP6" s="510">
        <v>2012</v>
      </c>
      <c r="DQ6" s="510">
        <v>2013</v>
      </c>
      <c r="DR6" s="510">
        <v>2014</v>
      </c>
      <c r="DS6" s="510">
        <v>2015</v>
      </c>
      <c r="DT6" s="510">
        <v>2016</v>
      </c>
      <c r="DU6" s="510">
        <v>2017</v>
      </c>
      <c r="DV6" s="509" t="s">
        <v>765</v>
      </c>
      <c r="DW6" s="509" t="s">
        <v>766</v>
      </c>
      <c r="DX6" s="509" t="s">
        <v>803</v>
      </c>
      <c r="DY6" s="509" t="s">
        <v>805</v>
      </c>
      <c r="DZ6" s="512"/>
      <c r="EA6" s="487"/>
      <c r="EG6" s="487"/>
    </row>
    <row r="7" spans="1:137">
      <c r="A7" s="513" t="s">
        <v>449</v>
      </c>
      <c r="B7" s="514"/>
      <c r="C7" s="515" t="s">
        <v>514</v>
      </c>
      <c r="D7" s="515" t="s">
        <v>515</v>
      </c>
      <c r="E7" s="515" t="s">
        <v>516</v>
      </c>
      <c r="F7" s="515" t="s">
        <v>517</v>
      </c>
      <c r="G7" s="514"/>
      <c r="H7" s="516" t="s">
        <v>342</v>
      </c>
      <c r="I7" s="516" t="str">
        <f>D7</f>
        <v>Jul</v>
      </c>
      <c r="J7" s="516" t="str">
        <f>E7</f>
        <v>Oct</v>
      </c>
      <c r="K7" s="516" t="str">
        <f>F7</f>
        <v>Jan</v>
      </c>
      <c r="L7" s="517"/>
      <c r="M7" s="516" t="str">
        <f>+H7</f>
        <v>Apr-A</v>
      </c>
      <c r="N7" s="516" t="str">
        <f>+I7</f>
        <v>Jul</v>
      </c>
      <c r="O7" s="516" t="str">
        <f>+J7</f>
        <v>Oct</v>
      </c>
      <c r="P7" s="516" t="str">
        <f>+K7</f>
        <v>Jan</v>
      </c>
      <c r="Q7" s="517"/>
      <c r="R7" s="516" t="s">
        <v>342</v>
      </c>
      <c r="S7" s="516" t="s">
        <v>366</v>
      </c>
      <c r="T7" s="516" t="str">
        <f>+O7</f>
        <v>Oct</v>
      </c>
      <c r="U7" s="516" t="str">
        <f>+P7</f>
        <v>Jan</v>
      </c>
      <c r="V7" s="517"/>
      <c r="W7" s="516" t="s">
        <v>514</v>
      </c>
      <c r="X7" s="516" t="s">
        <v>515</v>
      </c>
      <c r="Y7" s="516" t="str">
        <f>+T7</f>
        <v>Oct</v>
      </c>
      <c r="Z7" s="516" t="str">
        <f>+U7</f>
        <v>Jan</v>
      </c>
      <c r="AA7" s="517"/>
      <c r="AB7" s="516" t="s">
        <v>514</v>
      </c>
      <c r="AC7" s="516" t="s">
        <v>515</v>
      </c>
      <c r="AD7" s="516" t="str">
        <f>+Y7</f>
        <v>Oct</v>
      </c>
      <c r="AE7" s="516" t="str">
        <f>+Z7</f>
        <v>Jan</v>
      </c>
      <c r="AF7" s="517"/>
      <c r="AG7" s="516" t="s">
        <v>514</v>
      </c>
      <c r="AH7" s="516" t="s">
        <v>515</v>
      </c>
      <c r="AI7" s="516" t="str">
        <f>+AD7</f>
        <v>Oct</v>
      </c>
      <c r="AJ7" s="516" t="str">
        <f>+AE7</f>
        <v>Jan</v>
      </c>
      <c r="AK7" s="517"/>
      <c r="AL7" s="516" t="s">
        <v>735</v>
      </c>
      <c r="AM7" s="516" t="s">
        <v>515</v>
      </c>
      <c r="AN7" s="516" t="s">
        <v>614</v>
      </c>
      <c r="AO7" s="516" t="s">
        <v>517</v>
      </c>
      <c r="AP7" s="515"/>
      <c r="AQ7" s="515" t="s">
        <v>514</v>
      </c>
      <c r="AR7" s="515" t="s">
        <v>515</v>
      </c>
      <c r="AS7" s="515" t="s">
        <v>516</v>
      </c>
      <c r="AT7" s="515" t="s">
        <v>517</v>
      </c>
      <c r="AU7" s="515"/>
      <c r="AV7" s="516" t="s">
        <v>514</v>
      </c>
      <c r="AW7" s="516" t="s">
        <v>515</v>
      </c>
      <c r="AX7" s="516" t="s">
        <v>516</v>
      </c>
      <c r="AY7" s="516" t="s">
        <v>517</v>
      </c>
      <c r="AZ7" s="516"/>
      <c r="BA7" s="516" t="s">
        <v>514</v>
      </c>
      <c r="BB7" s="516" t="s">
        <v>515</v>
      </c>
      <c r="BC7" s="516" t="s">
        <v>516</v>
      </c>
      <c r="BD7" s="516" t="s">
        <v>517</v>
      </c>
      <c r="BE7" s="515"/>
      <c r="BF7" s="516" t="s">
        <v>514</v>
      </c>
      <c r="BG7" s="516" t="s">
        <v>515</v>
      </c>
      <c r="BH7" s="516" t="s">
        <v>516</v>
      </c>
      <c r="BI7" s="516" t="s">
        <v>517</v>
      </c>
      <c r="BJ7" s="515"/>
      <c r="BK7" s="516" t="s">
        <v>514</v>
      </c>
      <c r="BL7" s="516" t="s">
        <v>515</v>
      </c>
      <c r="BM7" s="516" t="s">
        <v>516</v>
      </c>
      <c r="BN7" s="516" t="s">
        <v>517</v>
      </c>
      <c r="BO7" s="517"/>
      <c r="BP7" s="516" t="s">
        <v>514</v>
      </c>
      <c r="BQ7" s="516" t="s">
        <v>515</v>
      </c>
      <c r="BR7" s="516" t="s">
        <v>516</v>
      </c>
      <c r="BS7" s="516" t="s">
        <v>517</v>
      </c>
      <c r="BT7" s="517"/>
      <c r="BU7" s="516" t="s">
        <v>514</v>
      </c>
      <c r="BV7" s="516" t="s">
        <v>515</v>
      </c>
      <c r="BW7" s="516" t="s">
        <v>516</v>
      </c>
      <c r="BX7" s="516" t="s">
        <v>517</v>
      </c>
      <c r="BY7" s="517"/>
      <c r="BZ7" s="516" t="s">
        <v>514</v>
      </c>
      <c r="CA7" s="516" t="s">
        <v>515</v>
      </c>
      <c r="CB7" s="516" t="s">
        <v>516</v>
      </c>
      <c r="CC7" s="516" t="s">
        <v>517</v>
      </c>
      <c r="CD7" s="517"/>
      <c r="CE7" s="516" t="s">
        <v>514</v>
      </c>
      <c r="CF7" s="516" t="s">
        <v>515</v>
      </c>
      <c r="CG7" s="516" t="s">
        <v>516</v>
      </c>
      <c r="CH7" s="516" t="s">
        <v>517</v>
      </c>
      <c r="CI7" s="517"/>
      <c r="CJ7" s="516" t="s">
        <v>514</v>
      </c>
      <c r="CK7" s="516" t="s">
        <v>515</v>
      </c>
      <c r="CL7" s="516" t="s">
        <v>516</v>
      </c>
      <c r="CM7" s="1929" t="s">
        <v>517</v>
      </c>
      <c r="CN7" s="517"/>
      <c r="CO7" s="516" t="s">
        <v>514</v>
      </c>
      <c r="CP7" s="516" t="s">
        <v>515</v>
      </c>
      <c r="CQ7" s="516" t="s">
        <v>516</v>
      </c>
      <c r="CR7" s="1929" t="s">
        <v>517</v>
      </c>
      <c r="CS7" s="517"/>
      <c r="CT7" s="518" t="s">
        <v>514</v>
      </c>
      <c r="CU7" s="518" t="s">
        <v>515</v>
      </c>
      <c r="CV7" s="518" t="s">
        <v>516</v>
      </c>
      <c r="CW7" s="2077" t="s">
        <v>517</v>
      </c>
      <c r="CX7" s="517"/>
      <c r="CY7" s="517"/>
      <c r="CZ7" s="515" t="s">
        <v>517</v>
      </c>
      <c r="DA7" s="515" t="s">
        <v>517</v>
      </c>
      <c r="DB7" s="515" t="s">
        <v>517</v>
      </c>
      <c r="DC7" s="516" t="str">
        <f>DB7</f>
        <v>Jan</v>
      </c>
      <c r="DD7" s="516" t="str">
        <f>DC7</f>
        <v>Jan</v>
      </c>
      <c r="DE7" s="519" t="str">
        <f>DD7</f>
        <v>Jan</v>
      </c>
      <c r="DF7" s="519" t="str">
        <f>DE7</f>
        <v>Jan</v>
      </c>
      <c r="DG7" s="519" t="str">
        <f>DF7</f>
        <v>Jan</v>
      </c>
      <c r="DH7" s="519" t="s">
        <v>599</v>
      </c>
      <c r="DI7" s="516" t="s">
        <v>607</v>
      </c>
      <c r="DJ7" s="520" t="s">
        <v>600</v>
      </c>
      <c r="DK7" s="521" t="s">
        <v>601</v>
      </c>
      <c r="DL7" s="520" t="s">
        <v>602</v>
      </c>
      <c r="DM7" s="521" t="s">
        <v>603</v>
      </c>
      <c r="DN7" s="520" t="s">
        <v>604</v>
      </c>
      <c r="DO7" s="521" t="s">
        <v>605</v>
      </c>
      <c r="DP7" s="520" t="s">
        <v>606</v>
      </c>
      <c r="DQ7" s="520" t="s">
        <v>131</v>
      </c>
      <c r="DR7" s="520" t="s">
        <v>132</v>
      </c>
      <c r="DS7" s="520" t="s">
        <v>125</v>
      </c>
      <c r="DT7" s="520" t="s">
        <v>126</v>
      </c>
      <c r="DU7" s="520" t="s">
        <v>795</v>
      </c>
      <c r="DV7" s="520" t="s">
        <v>796</v>
      </c>
      <c r="DW7" s="520" t="s">
        <v>797</v>
      </c>
      <c r="DX7" s="520" t="s">
        <v>797</v>
      </c>
      <c r="DY7" s="520" t="s">
        <v>797</v>
      </c>
      <c r="DZ7" s="512"/>
      <c r="EA7" s="487"/>
      <c r="EG7" s="487"/>
    </row>
    <row r="8" spans="1:137">
      <c r="A8" s="522"/>
      <c r="B8" s="523"/>
      <c r="C8" s="523"/>
      <c r="D8" s="523"/>
      <c r="E8" s="523"/>
      <c r="F8" s="523"/>
      <c r="G8" s="523"/>
      <c r="H8" s="523"/>
      <c r="I8" s="523"/>
      <c r="J8" s="523"/>
      <c r="K8" s="523"/>
      <c r="L8" s="524"/>
      <c r="M8" s="523"/>
      <c r="N8" s="523"/>
      <c r="O8" s="523"/>
      <c r="P8" s="523"/>
      <c r="Q8" s="524"/>
      <c r="R8" s="523"/>
      <c r="S8" s="523"/>
      <c r="T8" s="523"/>
      <c r="U8" s="523"/>
      <c r="V8" s="524"/>
      <c r="W8" s="523"/>
      <c r="X8" s="523"/>
      <c r="Y8" s="523"/>
      <c r="Z8" s="523"/>
      <c r="AA8" s="524"/>
      <c r="AB8" s="523"/>
      <c r="AC8" s="523"/>
      <c r="AD8" s="523"/>
      <c r="AE8" s="523"/>
      <c r="AF8" s="524"/>
      <c r="AG8" s="523"/>
      <c r="AH8" s="523"/>
      <c r="AI8" s="523"/>
      <c r="AJ8" s="523"/>
      <c r="AK8" s="524"/>
      <c r="AL8" s="523"/>
      <c r="AM8" s="523"/>
      <c r="AN8" s="523"/>
      <c r="AO8" s="523"/>
      <c r="AP8" s="523"/>
      <c r="AQ8" s="523"/>
      <c r="AR8" s="523"/>
      <c r="AS8" s="523"/>
      <c r="AT8" s="523"/>
      <c r="AU8" s="523"/>
      <c r="AV8" s="523"/>
      <c r="AW8" s="523"/>
      <c r="AX8" s="523"/>
      <c r="AY8" s="523"/>
      <c r="AZ8" s="523"/>
      <c r="BA8" s="523"/>
      <c r="BB8" s="523"/>
      <c r="BC8" s="523"/>
      <c r="BD8" s="523"/>
      <c r="BE8" s="523"/>
      <c r="BF8" s="523"/>
      <c r="BG8" s="523"/>
      <c r="BH8" s="523"/>
      <c r="BI8" s="523"/>
      <c r="BJ8" s="523"/>
      <c r="BK8" s="523"/>
      <c r="BL8" s="523"/>
      <c r="BM8" s="523"/>
      <c r="BN8" s="523"/>
      <c r="BO8" s="524"/>
      <c r="BP8" s="523"/>
      <c r="BQ8" s="523"/>
      <c r="BR8" s="523"/>
      <c r="BS8" s="523"/>
      <c r="BT8" s="524"/>
      <c r="BU8" s="523"/>
      <c r="BV8" s="523"/>
      <c r="BW8" s="523"/>
      <c r="BX8" s="523"/>
      <c r="BY8" s="524"/>
      <c r="BZ8" s="523"/>
      <c r="CA8" s="523"/>
      <c r="CB8" s="523"/>
      <c r="CC8" s="523"/>
      <c r="CD8" s="524"/>
      <c r="CE8" s="523"/>
      <c r="CF8" s="523"/>
      <c r="CG8" s="523"/>
      <c r="CH8" s="523"/>
      <c r="CI8" s="524"/>
      <c r="CJ8" s="523"/>
      <c r="CK8" s="523"/>
      <c r="CL8" s="523"/>
      <c r="CM8" s="523"/>
      <c r="CN8" s="524"/>
      <c r="CO8" s="523"/>
      <c r="CP8" s="523"/>
      <c r="CQ8" s="523"/>
      <c r="CR8" s="523"/>
      <c r="CS8" s="524"/>
      <c r="CT8" s="523"/>
      <c r="CU8" s="523"/>
      <c r="CV8" s="523"/>
      <c r="CW8" s="523"/>
      <c r="CX8" s="524"/>
      <c r="CY8" s="524"/>
      <c r="CZ8" s="525"/>
      <c r="DA8" s="525"/>
      <c r="DB8" s="525"/>
      <c r="DC8" s="525"/>
      <c r="DD8" s="525"/>
      <c r="DE8" s="522"/>
      <c r="DF8" s="522"/>
      <c r="DG8" s="522"/>
      <c r="DH8" s="522"/>
      <c r="DI8" s="525"/>
      <c r="DJ8" s="525"/>
      <c r="DK8" s="522"/>
      <c r="DL8" s="525"/>
      <c r="DM8" s="522"/>
      <c r="DN8" s="525"/>
      <c r="DO8" s="522"/>
      <c r="DP8" s="525"/>
      <c r="DQ8" s="525"/>
      <c r="DR8" s="525"/>
      <c r="DS8" s="525"/>
      <c r="DT8" s="525"/>
      <c r="DU8" s="525"/>
      <c r="DV8" s="525"/>
      <c r="DW8" s="525"/>
      <c r="DX8" s="525"/>
      <c r="DY8" s="525"/>
      <c r="DZ8" s="512"/>
      <c r="EA8" s="487"/>
      <c r="EG8" s="487"/>
    </row>
    <row r="9" spans="1:137">
      <c r="A9" s="526" t="s">
        <v>431</v>
      </c>
      <c r="B9" s="527"/>
      <c r="C9" s="527">
        <f>'qtrP&amp;L'!$AP10</f>
        <v>1930.5060000000001</v>
      </c>
      <c r="D9" s="527">
        <f>'qtrP&amp;L'!$AP11</f>
        <v>2102.8510000000001</v>
      </c>
      <c r="E9" s="527">
        <f>'qtrP&amp;L'!$AP12</f>
        <v>2235.0540000000001</v>
      </c>
      <c r="F9" s="527">
        <f>'qtrP&amp;L'!$AP13</f>
        <v>2526.9360000000001</v>
      </c>
      <c r="G9" s="527"/>
      <c r="H9" s="527">
        <f>'qtrP&amp;L'!$AT10</f>
        <v>2108.116</v>
      </c>
      <c r="I9" s="527">
        <f>'qtrP&amp;L'!$AT11</f>
        <v>2258.174</v>
      </c>
      <c r="J9" s="527">
        <f>'qtrP&amp;L'!$AT12</f>
        <v>2461.4110000000001</v>
      </c>
      <c r="K9" s="527">
        <f>'qtrP&amp;L'!$AT13</f>
        <v>2751.3049999999998</v>
      </c>
      <c r="L9" s="527"/>
      <c r="M9" s="527">
        <f>'qtrP&amp;L'!$AX10</f>
        <v>2270.895</v>
      </c>
      <c r="N9" s="527">
        <f>'qtrP&amp;L'!$AX11</f>
        <v>2487.6219999999998</v>
      </c>
      <c r="O9" s="527">
        <f>'qtrP&amp;L'!$AX12</f>
        <v>2741.7689999999998</v>
      </c>
      <c r="P9" s="527">
        <f>'qtrP&amp;L'!$AX13</f>
        <v>3208.712</v>
      </c>
      <c r="Q9" s="527"/>
      <c r="R9" s="527">
        <f>'qtrP&amp;L'!$BB10</f>
        <v>2665.6869999999999</v>
      </c>
      <c r="S9" s="527">
        <f>'qtrP&amp;L'!$BB11</f>
        <v>2765.0889999999999</v>
      </c>
      <c r="T9" s="527">
        <f>'qtrP&amp;L'!$BB12</f>
        <v>3044.95</v>
      </c>
      <c r="U9" s="527">
        <f>'qtrP&amp;L'!$BB13</f>
        <v>3505.4810000000002</v>
      </c>
      <c r="V9" s="527"/>
      <c r="W9" s="527">
        <f>'qtrP&amp;L'!$BF10</f>
        <v>2788.7049999999999</v>
      </c>
      <c r="X9" s="527">
        <f>'qtrP&amp;L'!$BF11</f>
        <v>3046.1840000000002</v>
      </c>
      <c r="Y9" s="527">
        <f>'qtrP&amp;L'!$BF12</f>
        <v>3387.4520000000002</v>
      </c>
      <c r="Z9" s="527">
        <f>'qtrP&amp;L'!$BF13</f>
        <v>4105.5969999999998</v>
      </c>
      <c r="AA9" s="527"/>
      <c r="AB9" s="527">
        <f>'qtrP&amp;L'!$BJ10</f>
        <v>3352.7370000000001</v>
      </c>
      <c r="AC9" s="527">
        <f>'qtrP&amp;L'!$BJ11</f>
        <v>3414.2869999999998</v>
      </c>
      <c r="AD9" s="527">
        <f>'qtrP&amp;L'!$BJ12</f>
        <v>3817.35</v>
      </c>
      <c r="AE9" s="527">
        <f>'qtrP&amp;L'!$BJ13</f>
        <v>4329.1090000000004</v>
      </c>
      <c r="AF9" s="527"/>
      <c r="AG9" s="527">
        <f>'qtrP&amp;L'!$BN10</f>
        <v>3651.83</v>
      </c>
      <c r="AH9" s="527">
        <f>'qtrP&amp;L'!$BN11</f>
        <v>3647.866</v>
      </c>
      <c r="AI9" s="527">
        <f>'qtrP&amp;L'!$BN12</f>
        <v>4041.9119999999998</v>
      </c>
      <c r="AJ9" s="527">
        <f>'qtrP&amp;L'!$BN13</f>
        <v>4716.3270000000002</v>
      </c>
      <c r="AK9" s="527"/>
      <c r="AL9" s="527">
        <f>'qtrP&amp;L'!$BR10</f>
        <v>3871.2559999999999</v>
      </c>
      <c r="AM9" s="527">
        <f>'qtrP&amp;L'!$BR11</f>
        <v>3963.6590000000001</v>
      </c>
      <c r="AN9" s="527">
        <f>'qtrP&amp;L'!$BR12</f>
        <v>4472.9430000000002</v>
      </c>
      <c r="AO9" s="527">
        <f>'qtrP&amp;L'!$BR13</f>
        <v>5096.7790000000005</v>
      </c>
      <c r="AP9" s="527"/>
      <c r="AQ9" s="527">
        <f>'qtrP&amp;L'!$BV10</f>
        <v>4108.0810000000001</v>
      </c>
      <c r="AR9" s="527">
        <f>'qtrP&amp;L'!$BV11</f>
        <v>4313.2979999999998</v>
      </c>
      <c r="AS9" s="527">
        <f>'qtrP&amp;L'!$BV12</f>
        <v>4658.7179999999998</v>
      </c>
      <c r="AT9" s="527">
        <f>'qtrP&amp;L'!$BV13</f>
        <v>5391.8760000000002</v>
      </c>
      <c r="AU9" s="527"/>
      <c r="AV9" s="527">
        <f>'qtrP&amp;L'!BZ10</f>
        <v>4303.5550000000003</v>
      </c>
      <c r="AW9" s="527">
        <f>'qtrP&amp;L'!BZ11</f>
        <v>4554.3950000000004</v>
      </c>
      <c r="AX9" s="527">
        <f>'qtrP&amp;L'!BZ12</f>
        <v>4761.53</v>
      </c>
      <c r="AY9" s="527">
        <f>'qtrP&amp;L'!BZ13</f>
        <v>5380.0249999999996</v>
      </c>
      <c r="AZ9" s="527"/>
      <c r="BA9" s="527">
        <f>'qtrP&amp;L'!$CD$10</f>
        <v>4354.2240000000002</v>
      </c>
      <c r="BB9" s="527">
        <f>'qtrP&amp;L'!$CD$11</f>
        <v>4747.5280000000002</v>
      </c>
      <c r="BC9" s="527">
        <f>'qtrP&amp;L'!$CD$12</f>
        <v>5244.9459999999999</v>
      </c>
      <c r="BD9" s="527">
        <f>'qtrP&amp;L'!$CD$13</f>
        <v>5941.7460000000001</v>
      </c>
      <c r="BE9" s="527"/>
      <c r="BF9" s="527">
        <f>'qtrP&amp;L'!$CH$10</f>
        <v>5016.54</v>
      </c>
      <c r="BG9" s="527">
        <f>'qtrP&amp;L'!$CH$11</f>
        <v>5068.08</v>
      </c>
      <c r="BH9" s="527">
        <f>'qtrP&amp;L'!$CH$12</f>
        <v>5525.8469999999998</v>
      </c>
      <c r="BI9" s="527">
        <f>'qtrP&amp;L'!$CH$13</f>
        <v>6052.7839999999997</v>
      </c>
      <c r="BJ9" s="527"/>
      <c r="BK9" s="527">
        <f>'qtrP&amp;L'!$CL$10</f>
        <v>5211.0659999999998</v>
      </c>
      <c r="BL9" s="527">
        <f>'qtrP&amp;L'!$CL$11</f>
        <v>5468.2740000000003</v>
      </c>
      <c r="BM9" s="527">
        <f>'qtrP&amp;L'!$CL$12</f>
        <v>5793.1279999999997</v>
      </c>
      <c r="BN9" s="527">
        <f>'qtrP&amp;L'!$CL$13</f>
        <v>6709.7579999999998</v>
      </c>
      <c r="BO9" s="527"/>
      <c r="BP9" s="527">
        <f>'qtrP&amp;L'!$CP$10</f>
        <v>5798.0860000000002</v>
      </c>
      <c r="BQ9" s="527">
        <f>'qtrP&amp;L'!$CP$11</f>
        <v>5945.5590000000002</v>
      </c>
      <c r="BR9" s="527">
        <f>'qtrP&amp;L'!$CP$12</f>
        <v>6410.9129999999996</v>
      </c>
      <c r="BS9" s="527">
        <f>'qtrP&amp;L'!$CP$13</f>
        <v>7723.8140000000003</v>
      </c>
      <c r="BT9" s="527"/>
      <c r="BU9" s="527">
        <f>INDEX('qtrP&amp;L'!$10:$10,MATCH($BU$6,'qtrP&amp;L'!$6:$6,0))</f>
        <v>6189.6090000000004</v>
      </c>
      <c r="BV9" s="527">
        <f>INDEX('qtrP&amp;L'!$11:$11,MATCH($BU$6,'qtrP&amp;L'!$6:$6,0))</f>
        <v>6442.424</v>
      </c>
      <c r="BW9" s="527">
        <f>INDEX('qtrP&amp;L'!$12:$12,MATCH($BU$6,'qtrP&amp;L'!$6:$6,0))</f>
        <v>6981.8760000000002</v>
      </c>
      <c r="BX9" s="527">
        <f>INDEX('qtrP&amp;L'!$13:$13,MATCH($BU$6,'qtrP&amp;L'!$6:$6,0))</f>
        <v>7808.7870000000003</v>
      </c>
      <c r="BY9" s="527"/>
      <c r="BZ9" s="527">
        <f>INDEX('qtrP&amp;L'!$10:$10,MATCH(BZ$6,'qtrP&amp;L'!$6:$6,0))</f>
        <v>6491.1760000000004</v>
      </c>
      <c r="CA9" s="527">
        <f>INDEX('qtrP&amp;L'!$11:$11,MATCH(BZ$6,'qtrP&amp;L'!$6:$6,0))</f>
        <v>6917.2120000000004</v>
      </c>
      <c r="CB9" s="527">
        <f>INDEX('qtrP&amp;L'!$12:$12,MATCH(BZ$6,'qtrP&amp;L'!$6:$6,0))</f>
        <v>7366.0659999999998</v>
      </c>
      <c r="CC9" s="527">
        <f>INDEX('qtrP&amp;L'!$13:$13,MATCH(BZ$6,'qtrP&amp;L'!$6:$6,0))</f>
        <v>8303.9529999999995</v>
      </c>
      <c r="CD9" s="527"/>
      <c r="CE9" s="527">
        <f>INDEX('qtrP&amp;L'!$10:$10,MATCH(CE$6,'qtrP&amp;L'!$6:$6,0))</f>
        <v>6865.6369999999997</v>
      </c>
      <c r="CF9" s="528">
        <f>INDEX('qtrP&amp;L'!$11:$11,MATCH(CE$6,'qtrP&amp;L'!$6:$6,0))</f>
        <v>7363.7309999999998</v>
      </c>
      <c r="CG9" s="527">
        <f>INDEX('qtrP&amp;L'!$12:$12,MATCH(CE$6,'qtrP&amp;L'!$6:$6,0))</f>
        <v>7753.4949999999999</v>
      </c>
      <c r="CH9" s="527">
        <f>INDEX('qtrP&amp;L'!$13:$13,MATCH(CE$6,'qtrP&amp;L'!$6:$6,0))</f>
        <v>8962.0750000000007</v>
      </c>
      <c r="CI9" s="527"/>
      <c r="CJ9" s="527">
        <f>INDEX('qtrP&amp;L'!$10:$10,MATCH(CJ$6,'qtrP&amp;L'!$6:$6,0))</f>
        <v>7542.3559999999998</v>
      </c>
      <c r="CK9" s="528">
        <f>INDEX('qtrP&amp;L'!$11:$11,MATCH(CJ$6,'qtrP&amp;L'!$6:$6,0))</f>
        <v>7882.0529999999999</v>
      </c>
      <c r="CL9" s="527">
        <f>INDEX('qtrP&amp;L'!$12:$12,MATCH(CJ$6,'qtrP&amp;L'!$6:$6,0))</f>
        <v>8291.6880000000001</v>
      </c>
      <c r="CM9" s="527">
        <f>INDEX('qtrP&amp;L'!$13:$13,MATCH(CJ$6,'qtrP&amp;L'!$6:$6,0))</f>
        <v>9467.6470000000008</v>
      </c>
      <c r="CN9" s="527"/>
      <c r="CO9" s="527">
        <f>INDEX('qtrP&amp;L'!$10:$10,MATCH(CO$6,'qtrP&amp;L'!$6:$6,0))</f>
        <v>7784.0240000000003</v>
      </c>
      <c r="CP9" s="528">
        <f>INDEX('qtrP&amp;L'!$11:$11,MATCH(CO$6,'qtrP&amp;L'!$6:$6,0))</f>
        <v>8357.7000000000007</v>
      </c>
      <c r="CQ9" s="527">
        <f>INDEX('qtrP&amp;L'!$12:$12,MATCH(CO$6,'qtrP&amp;L'!$6:$6,0))</f>
        <v>8762.2199999999993</v>
      </c>
      <c r="CR9" s="527">
        <f>INDEX('qtrP&amp;L'!$13:$13,MATCH(CO$6,'qtrP&amp;L'!$6:$6,0))</f>
        <v>10960.72</v>
      </c>
      <c r="CS9" s="527"/>
      <c r="CT9" s="527">
        <f>INDEX('qtrP&amp;L'!$10:$10,MATCH(CT$6,'qtrP&amp;L'!$6:$6,0))</f>
        <v>8507.9634800000003</v>
      </c>
      <c r="CU9" s="528">
        <f>INDEX('qtrP&amp;L'!$11:$11,MATCH(CT$6,'qtrP&amp;L'!$6:$6,0))</f>
        <v>8925.0015250000015</v>
      </c>
      <c r="CV9" s="527">
        <f>INDEX('qtrP&amp;L'!$12:$12,MATCH(CT$6,'qtrP&amp;L'!$6:$6,0))</f>
        <v>9338.8255104000018</v>
      </c>
      <c r="CW9" s="527">
        <f>INDEX('qtrP&amp;L'!$13:$13,MATCH(CT$6,'qtrP&amp;L'!$6:$6,0))</f>
        <v>11070.016059999998</v>
      </c>
      <c r="CX9" s="527"/>
      <c r="CY9" s="527"/>
      <c r="CZ9" s="527">
        <f>'yrP&amp;L'!H7</f>
        <v>6689.41</v>
      </c>
      <c r="DA9" s="527">
        <f>'yrP&amp;L'!I7</f>
        <v>7389.0690000000004</v>
      </c>
      <c r="DB9" s="527">
        <f>'yrP&amp;L'!J7</f>
        <v>7948.8710000000001</v>
      </c>
      <c r="DC9" s="527">
        <f>'yrP&amp;L'!K7</f>
        <v>8795.3469999999998</v>
      </c>
      <c r="DD9" s="527">
        <f>'yrP&amp;L'!L7</f>
        <v>9579.0059999999994</v>
      </c>
      <c r="DE9" s="529">
        <f>'yrP&amp;L'!M7</f>
        <v>10708.998</v>
      </c>
      <c r="DF9" s="529">
        <f>'yrP&amp;L'!N7</f>
        <v>11981.206999999999</v>
      </c>
      <c r="DG9" s="529">
        <f>'yrP&amp;L'!O7</f>
        <v>13327.938</v>
      </c>
      <c r="DH9" s="529">
        <f>'yrP&amp;L'!P7</f>
        <v>14913.483</v>
      </c>
      <c r="DI9" s="527">
        <f>'yrP&amp;L'!Q7</f>
        <v>16057.935000000001</v>
      </c>
      <c r="DJ9" s="527">
        <f>'yrP&amp;L'!R7</f>
        <v>17404.637000000002</v>
      </c>
      <c r="DK9" s="529">
        <f>'yrP&amp;L'!S7</f>
        <v>18471.973000000002</v>
      </c>
      <c r="DL9" s="527">
        <f>'yrP&amp;L'!T7</f>
        <v>18999.504999999997</v>
      </c>
      <c r="DM9" s="529">
        <f>'yrP&amp;L'!U7</f>
        <v>20288.444</v>
      </c>
      <c r="DN9" s="527">
        <f>'yrP&amp;L'!V7</f>
        <v>21663.250999999997</v>
      </c>
      <c r="DO9" s="529">
        <f>'yrP&amp;L'!W7</f>
        <v>23182.226000000002</v>
      </c>
      <c r="DP9" s="527">
        <f>'yrP&amp;L'!X7</f>
        <v>25878.372000000003</v>
      </c>
      <c r="DQ9" s="527">
        <f>'yrP&amp;L'!Y7</f>
        <v>27422.696</v>
      </c>
      <c r="DR9" s="527">
        <f>'yrP&amp;L'!Z7</f>
        <v>29078.406999999999</v>
      </c>
      <c r="DS9" s="527">
        <f>'yrP&amp;L'!AA7</f>
        <v>30944.937999999998</v>
      </c>
      <c r="DT9" s="527">
        <f>'yrP&amp;L'!AB7</f>
        <v>33183.744000000006</v>
      </c>
      <c r="DU9" s="527">
        <f>'yrP&amp;L'!AC7</f>
        <v>35864.664000000004</v>
      </c>
      <c r="DV9" s="527">
        <f>'yrP&amp;L'!AD7</f>
        <v>37841.806575399998</v>
      </c>
      <c r="DW9" s="527">
        <f>'yrP&amp;L'!AE7</f>
        <v>40349.954267377965</v>
      </c>
      <c r="DX9" s="527">
        <f>'yrP&amp;L'!AF7</f>
        <v>42916.398280294125</v>
      </c>
      <c r="DY9" s="527">
        <f>'yrP&amp;L'!AG7</f>
        <v>45594.715622506541</v>
      </c>
      <c r="DZ9" s="512"/>
      <c r="EA9" s="487"/>
      <c r="EG9" s="487"/>
    </row>
    <row r="10" spans="1:137">
      <c r="A10" s="522"/>
      <c r="B10" s="530"/>
      <c r="C10" s="527"/>
      <c r="D10" s="527"/>
      <c r="E10" s="527"/>
      <c r="F10" s="527"/>
      <c r="G10" s="530"/>
      <c r="H10" s="527"/>
      <c r="I10" s="527"/>
      <c r="J10" s="527"/>
      <c r="K10" s="527"/>
      <c r="L10" s="530"/>
      <c r="M10" s="527"/>
      <c r="N10" s="527"/>
      <c r="O10" s="527"/>
      <c r="P10" s="527"/>
      <c r="Q10" s="530"/>
      <c r="R10" s="527"/>
      <c r="S10" s="527"/>
      <c r="T10" s="527"/>
      <c r="U10" s="527"/>
      <c r="V10" s="530"/>
      <c r="W10" s="527"/>
      <c r="X10" s="527"/>
      <c r="Y10" s="527"/>
      <c r="Z10" s="527"/>
      <c r="AA10" s="530"/>
      <c r="AB10" s="527"/>
      <c r="AC10" s="527"/>
      <c r="AD10" s="527"/>
      <c r="AE10" s="527"/>
      <c r="AF10" s="530"/>
      <c r="AG10" s="527"/>
      <c r="AH10" s="527"/>
      <c r="AI10" s="527"/>
      <c r="AJ10" s="527"/>
      <c r="AK10" s="530"/>
      <c r="AL10" s="527"/>
      <c r="AM10" s="527"/>
      <c r="AN10" s="527"/>
      <c r="AO10" s="527"/>
      <c r="AP10" s="527"/>
      <c r="AQ10" s="527"/>
      <c r="AR10" s="527"/>
      <c r="AS10" s="527"/>
      <c r="AT10" s="527"/>
      <c r="AU10" s="527"/>
      <c r="AV10" s="527"/>
      <c r="AW10" s="527"/>
      <c r="AX10" s="527"/>
      <c r="AY10" s="527"/>
      <c r="AZ10" s="527"/>
      <c r="BA10" s="527"/>
      <c r="BB10" s="527"/>
      <c r="BC10" s="527"/>
      <c r="BD10" s="527"/>
      <c r="BE10" s="527"/>
      <c r="BF10" s="527"/>
      <c r="BG10" s="527"/>
      <c r="BH10" s="527"/>
      <c r="BI10" s="527"/>
      <c r="BJ10" s="527"/>
      <c r="BK10" s="527"/>
      <c r="BL10" s="527"/>
      <c r="BM10" s="527"/>
      <c r="BN10" s="527"/>
      <c r="BO10" s="530"/>
      <c r="BP10" s="527"/>
      <c r="BQ10" s="527"/>
      <c r="BR10" s="527"/>
      <c r="BS10" s="527"/>
      <c r="BT10" s="530"/>
      <c r="BU10" s="527"/>
      <c r="BV10" s="527"/>
      <c r="BW10" s="527"/>
      <c r="BX10" s="527"/>
      <c r="BY10" s="530"/>
      <c r="BZ10" s="527"/>
      <c r="CA10" s="527"/>
      <c r="CB10" s="527"/>
      <c r="CC10" s="527"/>
      <c r="CD10" s="530"/>
      <c r="CE10" s="527"/>
      <c r="CF10" s="527"/>
      <c r="CG10" s="527"/>
      <c r="CH10" s="527"/>
      <c r="CI10" s="530"/>
      <c r="CJ10" s="527"/>
      <c r="CK10" s="527"/>
      <c r="CL10" s="527"/>
      <c r="CM10" s="527"/>
      <c r="CN10" s="530"/>
      <c r="CO10" s="527"/>
      <c r="CP10" s="527"/>
      <c r="CQ10" s="527"/>
      <c r="CR10" s="527"/>
      <c r="CS10" s="530"/>
      <c r="CT10" s="527"/>
      <c r="CU10" s="527"/>
      <c r="CV10" s="527"/>
      <c r="CW10" s="527"/>
      <c r="CX10" s="530"/>
      <c r="CY10" s="530"/>
      <c r="CZ10" s="527"/>
      <c r="DA10" s="527"/>
      <c r="DB10" s="527"/>
      <c r="DC10" s="527"/>
      <c r="DD10" s="527"/>
      <c r="DE10" s="529"/>
      <c r="DF10" s="529"/>
      <c r="DG10" s="529"/>
      <c r="DH10" s="529"/>
      <c r="DI10" s="527"/>
      <c r="DJ10" s="527"/>
      <c r="DK10" s="529"/>
      <c r="DL10" s="527"/>
      <c r="DM10" s="529"/>
      <c r="DN10" s="527"/>
      <c r="DO10" s="529"/>
      <c r="DP10" s="527"/>
      <c r="DQ10" s="527"/>
      <c r="DR10" s="527"/>
      <c r="DS10" s="527"/>
      <c r="DT10" s="527"/>
      <c r="DU10" s="527"/>
      <c r="DV10" s="527"/>
      <c r="DW10" s="527"/>
      <c r="DX10" s="527"/>
      <c r="DY10" s="527"/>
      <c r="DZ10" s="512"/>
      <c r="EA10" s="487"/>
      <c r="EG10" s="487"/>
    </row>
    <row r="11" spans="1:137">
      <c r="A11" s="526" t="s">
        <v>450</v>
      </c>
      <c r="B11" s="527"/>
      <c r="C11" s="527">
        <f>'qtrP&amp;L'!$AP21</f>
        <v>1418.7919999999999</v>
      </c>
      <c r="D11" s="527">
        <f>'qtrP&amp;L'!$AP22</f>
        <v>1585.248</v>
      </c>
      <c r="E11" s="527">
        <f>'qtrP&amp;L'!$AP23</f>
        <v>1646.27</v>
      </c>
      <c r="F11" s="527">
        <f>'qtrP&amp;L'!$AP24</f>
        <v>1929.09</v>
      </c>
      <c r="G11" s="527"/>
      <c r="H11" s="527">
        <f>'qtrP&amp;L'!$AT21</f>
        <v>1554.04</v>
      </c>
      <c r="I11" s="527">
        <f>'qtrP&amp;L'!$AT22</f>
        <v>1702.298</v>
      </c>
      <c r="J11" s="527">
        <f>'qtrP&amp;L'!$AT23</f>
        <v>1807.748</v>
      </c>
      <c r="K11" s="527">
        <f>'qtrP&amp;L'!$AT24</f>
        <v>2124.038</v>
      </c>
      <c r="L11" s="527"/>
      <c r="M11" s="527">
        <f>'qtrP&amp;L'!$AX21</f>
        <v>1686.616</v>
      </c>
      <c r="N11" s="527">
        <f>'qtrP&amp;L'!$AX22</f>
        <v>1894.704</v>
      </c>
      <c r="O11" s="527">
        <f>'qtrP&amp;L'!$AX23</f>
        <v>2059.9960000000001</v>
      </c>
      <c r="P11" s="527">
        <f>'qtrP&amp;L'!$AX24</f>
        <v>2481.6060000000002</v>
      </c>
      <c r="Q11" s="527"/>
      <c r="R11" s="527">
        <f>'qtrP&amp;L'!$BB21</f>
        <v>1988.83</v>
      </c>
      <c r="S11" s="527">
        <f>'qtrP&amp;L'!$BB22</f>
        <v>2078.7359999999999</v>
      </c>
      <c r="T11" s="527">
        <f>'qtrP&amp;L'!$BB23</f>
        <v>2290.136</v>
      </c>
      <c r="U11" s="527">
        <f>'qtrP&amp;L'!$BB24</f>
        <v>2721.877</v>
      </c>
      <c r="V11" s="527"/>
      <c r="W11" s="527">
        <f>'qtrP&amp;L'!$BF21</f>
        <v>2120.1743333333334</v>
      </c>
      <c r="X11" s="527">
        <f>'qtrP&amp;L'!$BF22</f>
        <v>2333.5970000000002</v>
      </c>
      <c r="Y11" s="527">
        <f>'qtrP&amp;L'!$BF23</f>
        <v>2535.2840000000001</v>
      </c>
      <c r="Z11" s="527">
        <f>'qtrP&amp;L'!$BF24</f>
        <v>3115.3346666666666</v>
      </c>
      <c r="AA11" s="527"/>
      <c r="AB11" s="527">
        <f>'qtrP&amp;L'!$BJ21</f>
        <v>2525.6723333333334</v>
      </c>
      <c r="AC11" s="527">
        <f>'qtrP&amp;L'!$BJ22</f>
        <v>2636.2019999999998</v>
      </c>
      <c r="AD11" s="527">
        <f>'qtrP&amp;L'!$BJ23</f>
        <v>2866.0463333333332</v>
      </c>
      <c r="AE11" s="527">
        <f>'qtrP&amp;L'!$BJ24</f>
        <v>3373.3029999999999</v>
      </c>
      <c r="AF11" s="527"/>
      <c r="AG11" s="527">
        <f>'qtrP&amp;L'!$BN21</f>
        <v>2788.7689999999998</v>
      </c>
      <c r="AH11" s="527">
        <f>'qtrP&amp;L'!$BN22</f>
        <v>2807.8609999999999</v>
      </c>
      <c r="AI11" s="527">
        <f>'qtrP&amp;L'!$BN23</f>
        <v>3072.0160000000001</v>
      </c>
      <c r="AJ11" s="527">
        <f>'qtrP&amp;L'!$BN24</f>
        <v>3626.37</v>
      </c>
      <c r="AK11" s="527"/>
      <c r="AL11" s="527">
        <f>'qtrP&amp;L'!$BR21</f>
        <v>2922.8490000000002</v>
      </c>
      <c r="AM11" s="527">
        <f>'qtrP&amp;L'!$BR22</f>
        <v>3034.3229999999999</v>
      </c>
      <c r="AN11" s="527">
        <f>'qtrP&amp;L'!$BR23</f>
        <v>3334.085</v>
      </c>
      <c r="AO11" s="527">
        <f>'qtrP&amp;L'!$BR24</f>
        <v>3922.4459999999999</v>
      </c>
      <c r="AP11" s="527"/>
      <c r="AQ11" s="527">
        <f>'qtrP&amp;L'!$BV21</f>
        <v>3113.94</v>
      </c>
      <c r="AR11" s="527">
        <f>'qtrP&amp;L'!$BV22</f>
        <v>3275.9470000000001</v>
      </c>
      <c r="AS11" s="527">
        <f>'qtrP&amp;L'!$BV23</f>
        <v>3480.607</v>
      </c>
      <c r="AT11" s="527">
        <f>'qtrP&amp;L'!$BV24</f>
        <v>4072.797</v>
      </c>
      <c r="AU11" s="527"/>
      <c r="AV11" s="527">
        <f>'qtrP&amp;L'!BZ21</f>
        <v>3276.9430000000002</v>
      </c>
      <c r="AW11" s="527">
        <f>'qtrP&amp;L'!BZ22</f>
        <v>3447.4430000000002</v>
      </c>
      <c r="AX11" s="527">
        <f>'qtrP&amp;L'!BZ23</f>
        <v>3536.99</v>
      </c>
      <c r="AY11" s="527">
        <f>'qtrP&amp;L'!BZ24</f>
        <v>4167.8090000000002</v>
      </c>
      <c r="AZ11" s="527"/>
      <c r="BA11" s="527">
        <f>'qtrP&amp;L'!$CD$21</f>
        <v>3273.346</v>
      </c>
      <c r="BB11" s="527">
        <f>'qtrP&amp;L'!$CD$22</f>
        <v>3534.3020000000001</v>
      </c>
      <c r="BC11" s="527">
        <f>'qtrP&amp;L'!$CD$23</f>
        <v>3802.1790000000001</v>
      </c>
      <c r="BD11" s="527">
        <f>'qtrP&amp;L'!$CD$24</f>
        <v>4358.6019999999999</v>
      </c>
      <c r="BE11" s="527"/>
      <c r="BF11" s="527">
        <f>'qtrP&amp;L'!$CH$21</f>
        <v>3648.674</v>
      </c>
      <c r="BG11" s="527">
        <f>'qtrP&amp;L'!$CH$22</f>
        <v>3719.21</v>
      </c>
      <c r="BH11" s="527">
        <f>'qtrP&amp;L'!$CH$23</f>
        <v>4006.404</v>
      </c>
      <c r="BI11" s="527">
        <f>'qtrP&amp;L'!$CH$24</f>
        <v>4423.3729999999996</v>
      </c>
      <c r="BJ11" s="527"/>
      <c r="BK11" s="527">
        <f>'qtrP&amp;L'!$CL$21</f>
        <v>3811.2579999999998</v>
      </c>
      <c r="BL11" s="527">
        <f>'qtrP&amp;L'!$CL$22</f>
        <v>3976.0349999999999</v>
      </c>
      <c r="BM11" s="527">
        <f>'qtrP&amp;L'!$CL$23</f>
        <v>4166.5870000000004</v>
      </c>
      <c r="BN11" s="527">
        <f>'qtrP&amp;L'!$CL$24</f>
        <v>4884.3689999999997</v>
      </c>
      <c r="BO11" s="527"/>
      <c r="BP11" s="527">
        <f>'qtrP&amp;L'!$CP$21</f>
        <v>4165.7280000000001</v>
      </c>
      <c r="BQ11" s="527">
        <f>'qtrP&amp;L'!$CP$22</f>
        <v>4275.0730000000003</v>
      </c>
      <c r="BR11" s="527">
        <f>'qtrP&amp;L'!$CP$23</f>
        <v>4566.0730000000003</v>
      </c>
      <c r="BS11" s="527">
        <f>'qtrP&amp;L'!$CP$24</f>
        <v>5514.5259999999998</v>
      </c>
      <c r="BT11" s="527"/>
      <c r="BU11" s="527">
        <f>INDEX('qtrP&amp;L'!$21:$21,MATCH($BU$6,'qtrP&amp;L'!$6:$6,0))</f>
        <v>4433.5330000000004</v>
      </c>
      <c r="BV11" s="527">
        <f>INDEX('qtrP&amp;L'!$22:$22,MATCH($BU$6,'qtrP&amp;L'!$6:$6,0))</f>
        <v>4586.7389999999996</v>
      </c>
      <c r="BW11" s="527">
        <f>INDEX('qtrP&amp;L'!$23:$23,MATCH($BU$6,'qtrP&amp;L'!$6:$6,0))</f>
        <v>4934.4650000000001</v>
      </c>
      <c r="BX11" s="527">
        <f>INDEX('qtrP&amp;L'!$24:$24,MATCH($BU$6,'qtrP&amp;L'!$6:$6,0))</f>
        <v>5650.3</v>
      </c>
      <c r="BY11" s="527"/>
      <c r="BZ11" s="527">
        <f>INDEX('qtrP&amp;L'!$21:$21,MATCH(BZ$6,'qtrP&amp;L'!$6:$6,0))</f>
        <v>4678</v>
      </c>
      <c r="CA11" s="527">
        <f>INDEX('qtrP&amp;L'!$22:$22,MATCH(BZ$6,'qtrP&amp;L'!$6:$6,0))</f>
        <v>4935.8559999999998</v>
      </c>
      <c r="CB11" s="527">
        <f>INDEX('qtrP&amp;L'!$23:$23,MATCH(BZ$6,'qtrP&amp;L'!$6:$6,0))</f>
        <v>5203.6289999999999</v>
      </c>
      <c r="CC11" s="527">
        <f>INDEX('qtrP&amp;L'!$24:$24,MATCH(BZ$6,'qtrP&amp;L'!$6:$6,0))</f>
        <v>5959.0370000000003</v>
      </c>
      <c r="CD11" s="527"/>
      <c r="CE11" s="527">
        <f>INDEX('qtrP&amp;L'!$21:$21,MATCH(CE$6,'qtrP&amp;L'!$6:$6,0))</f>
        <v>4920.241</v>
      </c>
      <c r="CF11" s="527">
        <f>INDEX('qtrP&amp;L'!$22:$22,MATCH(CE$6,'qtrP&amp;L'!$6:$6,0))</f>
        <v>5219.1909999999998</v>
      </c>
      <c r="CG11" s="527">
        <f>INDEX('qtrP&amp;L'!$23:$23,MATCH(CE$6,'qtrP&amp;L'!$6:$6,0))</f>
        <v>5506.8990000000003</v>
      </c>
      <c r="CH11" s="527">
        <f>INDEX('qtrP&amp;L'!$24:$24,MATCH(CE$6,'qtrP&amp;L'!$6:$6,0))</f>
        <v>6388.192</v>
      </c>
      <c r="CI11" s="527"/>
      <c r="CJ11" s="527">
        <f>INDEX('qtrP&amp;L'!$21:$21,MATCH(CJ$6,'qtrP&amp;L'!$6:$6,0))</f>
        <v>5372.143</v>
      </c>
      <c r="CK11" s="527">
        <f>INDEX('qtrP&amp;L'!$22:$22,MATCH(CJ$6,'qtrP&amp;L'!$6:$6,0))</f>
        <v>5562.9610000000002</v>
      </c>
      <c r="CL11" s="527">
        <f>INDEX('qtrP&amp;L'!$23:$23,MATCH(CJ$6,'qtrP&amp;L'!$6:$6,0))</f>
        <v>5843.8729999999996</v>
      </c>
      <c r="CM11" s="527">
        <f>INDEX('qtrP&amp;L'!$24:$24,MATCH(CJ$6,'qtrP&amp;L'!$6:$6,0))</f>
        <v>6786.777</v>
      </c>
      <c r="CN11" s="527"/>
      <c r="CO11" s="527">
        <f>INDEX('qtrP&amp;L'!$21:$21,MATCH(CO$6,'qtrP&amp;L'!$6:$6,0))</f>
        <v>5530.0720000000001</v>
      </c>
      <c r="CP11" s="527">
        <f>INDEX('qtrP&amp;L'!$22:$22,MATCH(CO$6,'qtrP&amp;L'!$6:$6,0))</f>
        <v>5972.6750000000002</v>
      </c>
      <c r="CQ11" s="527">
        <f>INDEX('qtrP&amp;L'!$23:$23,MATCH(CO$6,'qtrP&amp;L'!$6:$6,0))</f>
        <v>6150.02</v>
      </c>
      <c r="CR11" s="527">
        <f>INDEX('qtrP&amp;L'!$24:$24,MATCH(CO$6,'qtrP&amp;L'!$6:$6,0))</f>
        <v>7849.4</v>
      </c>
      <c r="CS11" s="527"/>
      <c r="CT11" s="527">
        <f>INDEX('qtrP&amp;L'!$21:$21,MATCH(CT$6,'qtrP&amp;L'!$6:$6,0))</f>
        <v>6078.0891101120005</v>
      </c>
      <c r="CU11" s="527">
        <f>INDEX('qtrP&amp;L'!$22:$22,MATCH(CT$6,'qtrP&amp;L'!$6:$6,0))</f>
        <v>6399.2260934250007</v>
      </c>
      <c r="CV11" s="527">
        <f>INDEX('qtrP&amp;L'!$23:$23,MATCH(CT$6,'qtrP&amp;L'!$6:$6,0))</f>
        <v>6574.5331593216006</v>
      </c>
      <c r="CW11" s="527">
        <f>INDEX('qtrP&amp;L'!$24:$24,MATCH(CT$6,'qtrP&amp;L'!$6:$6,0))</f>
        <v>7926.1314989599987</v>
      </c>
      <c r="CX11" s="527"/>
      <c r="CY11" s="527"/>
      <c r="CZ11" s="527">
        <f>'yrP&amp;L'!H10</f>
        <v>5198.7829999999994</v>
      </c>
      <c r="DA11" s="527">
        <f>'yrP&amp;L'!I10</f>
        <v>5676.5410000000002</v>
      </c>
      <c r="DB11" s="527">
        <f>'yrP&amp;L'!J10</f>
        <v>5957.6849999999995</v>
      </c>
      <c r="DC11" s="527">
        <f>'yrP&amp;L'!K10</f>
        <v>6579.4</v>
      </c>
      <c r="DD11" s="527">
        <f>'yrP&amp;L'!L10</f>
        <v>7188.1239999999998</v>
      </c>
      <c r="DE11" s="529">
        <f>'yrP&amp;L'!M10</f>
        <v>8122.9220000000005</v>
      </c>
      <c r="DF11" s="529">
        <f>'yrP&amp;L'!N10</f>
        <v>9079.5789999999997</v>
      </c>
      <c r="DG11" s="529">
        <f>'yrP&amp;L'!O10</f>
        <v>10104.39</v>
      </c>
      <c r="DH11" s="529">
        <f>'yrP&amp;L'!P10</f>
        <v>11401.223666666667</v>
      </c>
      <c r="DI11" s="527">
        <f>'yrP&amp;L'!Q10</f>
        <v>12295.016</v>
      </c>
      <c r="DJ11" s="527">
        <f>'yrP&amp;L'!R10</f>
        <v>13213.703000000001</v>
      </c>
      <c r="DK11" s="529">
        <f>'yrP&amp;L'!S10</f>
        <v>13943.291000000001</v>
      </c>
      <c r="DL11" s="527">
        <f>'yrP&amp;L'!T10</f>
        <v>14429.185000000001</v>
      </c>
      <c r="DM11" s="529">
        <f>'yrP&amp;L'!U10</f>
        <v>14968.429</v>
      </c>
      <c r="DN11" s="527">
        <f>'yrP&amp;L'!V10</f>
        <v>15797.661</v>
      </c>
      <c r="DO11" s="529">
        <f>'yrP&amp;L'!W10</f>
        <v>16838.249</v>
      </c>
      <c r="DP11" s="527">
        <f>'yrP&amp;L'!X10</f>
        <v>18521.400000000001</v>
      </c>
      <c r="DQ11" s="527">
        <f>'yrP&amp;L'!Y10</f>
        <v>19605.037</v>
      </c>
      <c r="DR11" s="527">
        <f>'yrP&amp;L'!Z10</f>
        <v>20776.522000000001</v>
      </c>
      <c r="DS11" s="527">
        <f>'yrP&amp;L'!AA10</f>
        <v>22034.523000000001</v>
      </c>
      <c r="DT11" s="527">
        <f>'yrP&amp;L'!AB10</f>
        <v>23565.754000000001</v>
      </c>
      <c r="DU11" s="527">
        <f>'yrP&amp;L'!AC10</f>
        <v>25502.167000000001</v>
      </c>
      <c r="DV11" s="527">
        <f>'yrP&amp;L'!AD10</f>
        <v>26977.9798618186</v>
      </c>
      <c r="DW11" s="527">
        <f>'yrP&amp;L'!AE10</f>
        <v>28708.992461239421</v>
      </c>
      <c r="DX11" s="527">
        <f>'yrP&amp;L'!AF10</f>
        <v>30453.476219696713</v>
      </c>
      <c r="DY11" s="527">
        <f>'yrP&amp;L'!AG10</f>
        <v>32322.093904794881</v>
      </c>
      <c r="DZ11" s="512"/>
      <c r="EA11" s="487"/>
      <c r="EG11" s="487"/>
    </row>
    <row r="12" spans="1:137">
      <c r="A12" s="522"/>
      <c r="B12" s="527"/>
      <c r="C12" s="527"/>
      <c r="D12" s="527"/>
      <c r="E12" s="527"/>
      <c r="F12" s="527"/>
      <c r="G12" s="527"/>
      <c r="H12" s="527"/>
      <c r="I12" s="527"/>
      <c r="J12" s="527"/>
      <c r="K12" s="527"/>
      <c r="L12" s="527"/>
      <c r="M12" s="527"/>
      <c r="N12" s="527"/>
      <c r="O12" s="527"/>
      <c r="P12" s="527"/>
      <c r="Q12" s="527"/>
      <c r="R12" s="527"/>
      <c r="S12" s="527"/>
      <c r="T12" s="527"/>
      <c r="U12" s="527"/>
      <c r="V12" s="527"/>
      <c r="W12" s="527"/>
      <c r="X12" s="527"/>
      <c r="Y12" s="527"/>
      <c r="Z12" s="527"/>
      <c r="AA12" s="527"/>
      <c r="AB12" s="527"/>
      <c r="AC12" s="527"/>
      <c r="AD12" s="527"/>
      <c r="AE12" s="527"/>
      <c r="AF12" s="527"/>
      <c r="AG12" s="527"/>
      <c r="AH12" s="527"/>
      <c r="AI12" s="527"/>
      <c r="AJ12" s="527"/>
      <c r="AK12" s="527"/>
      <c r="AL12" s="527"/>
      <c r="AM12" s="527"/>
      <c r="AN12" s="527"/>
      <c r="AO12" s="527"/>
      <c r="AP12" s="527"/>
      <c r="AQ12" s="527"/>
      <c r="AR12" s="527"/>
      <c r="AS12" s="527"/>
      <c r="AT12" s="527"/>
      <c r="AU12" s="527"/>
      <c r="AV12" s="527"/>
      <c r="AW12" s="527"/>
      <c r="AX12" s="527"/>
      <c r="AY12" s="527"/>
      <c r="AZ12" s="527"/>
      <c r="BA12" s="527"/>
      <c r="BB12" s="527"/>
      <c r="BC12" s="527"/>
      <c r="BD12" s="527"/>
      <c r="BE12" s="527"/>
      <c r="BF12" s="527"/>
      <c r="BG12" s="527"/>
      <c r="BH12" s="527"/>
      <c r="BI12" s="527"/>
      <c r="BJ12" s="527"/>
      <c r="BK12" s="527"/>
      <c r="BL12" s="527"/>
      <c r="BM12" s="527"/>
      <c r="BN12" s="527"/>
      <c r="BO12" s="527"/>
      <c r="BP12" s="527"/>
      <c r="BQ12" s="527"/>
      <c r="BR12" s="527"/>
      <c r="BS12" s="527"/>
      <c r="BT12" s="527"/>
      <c r="BU12" s="527"/>
      <c r="BV12" s="527"/>
      <c r="BW12" s="527"/>
      <c r="BX12" s="527"/>
      <c r="BY12" s="527"/>
      <c r="BZ12" s="527"/>
      <c r="CA12" s="527"/>
      <c r="CB12" s="527"/>
      <c r="CC12" s="527"/>
      <c r="CD12" s="527"/>
      <c r="CE12" s="527"/>
      <c r="CF12" s="527"/>
      <c r="CG12" s="527"/>
      <c r="CH12" s="527"/>
      <c r="CI12" s="527"/>
      <c r="CJ12" s="527"/>
      <c r="CK12" s="527"/>
      <c r="CL12" s="527"/>
      <c r="CM12" s="527"/>
      <c r="CN12" s="527"/>
      <c r="CO12" s="527"/>
      <c r="CP12" s="527"/>
      <c r="CQ12" s="527"/>
      <c r="CR12" s="527"/>
      <c r="CS12" s="527"/>
      <c r="CT12" s="527"/>
      <c r="CU12" s="527"/>
      <c r="CV12" s="527"/>
      <c r="CW12" s="527"/>
      <c r="CX12" s="527"/>
      <c r="CY12" s="527"/>
      <c r="CZ12" s="527"/>
      <c r="DA12" s="527"/>
      <c r="DB12" s="527"/>
      <c r="DC12" s="527"/>
      <c r="DD12" s="527"/>
      <c r="DE12" s="529"/>
      <c r="DF12" s="529"/>
      <c r="DG12" s="529"/>
      <c r="DH12" s="529"/>
      <c r="DI12" s="527"/>
      <c r="DJ12" s="527"/>
      <c r="DK12" s="529"/>
      <c r="DL12" s="527"/>
      <c r="DM12" s="529"/>
      <c r="DN12" s="527"/>
      <c r="DO12" s="529"/>
      <c r="DP12" s="527"/>
      <c r="DQ12" s="527"/>
      <c r="DR12" s="527"/>
      <c r="DS12" s="527"/>
      <c r="DT12" s="527"/>
      <c r="DU12" s="527"/>
      <c r="DV12" s="527"/>
      <c r="DW12" s="527"/>
      <c r="DX12" s="527"/>
      <c r="DY12" s="527"/>
      <c r="DZ12" s="512"/>
      <c r="EA12" s="487"/>
      <c r="EG12" s="487"/>
    </row>
    <row r="13" spans="1:137">
      <c r="A13" s="526" t="s">
        <v>451</v>
      </c>
      <c r="B13" s="527"/>
      <c r="C13" s="527">
        <f>C9-C11</f>
        <v>511.71400000000017</v>
      </c>
      <c r="D13" s="527">
        <f>D9-D11</f>
        <v>517.60300000000007</v>
      </c>
      <c r="E13" s="527">
        <f>E9-E11</f>
        <v>588.78400000000011</v>
      </c>
      <c r="F13" s="527">
        <f>F9-F11</f>
        <v>597.84600000000023</v>
      </c>
      <c r="G13" s="527"/>
      <c r="H13" s="527">
        <f>H9-H11</f>
        <v>554.07600000000002</v>
      </c>
      <c r="I13" s="527">
        <f>I9-I11</f>
        <v>555.87599999999998</v>
      </c>
      <c r="J13" s="527">
        <f>J9-J11</f>
        <v>653.66300000000001</v>
      </c>
      <c r="K13" s="527">
        <f>K9-K11</f>
        <v>627.26699999999983</v>
      </c>
      <c r="L13" s="527"/>
      <c r="M13" s="527">
        <f>M9-M11</f>
        <v>584.279</v>
      </c>
      <c r="N13" s="527">
        <f>N9-N11</f>
        <v>592.91799999999989</v>
      </c>
      <c r="O13" s="527">
        <f>O9-O11</f>
        <v>681.77299999999968</v>
      </c>
      <c r="P13" s="527">
        <f>P9-P11</f>
        <v>727.10599999999977</v>
      </c>
      <c r="Q13" s="527"/>
      <c r="R13" s="527">
        <f>R9-R11</f>
        <v>676.85699999999997</v>
      </c>
      <c r="S13" s="527">
        <f>S9-S11</f>
        <v>686.35300000000007</v>
      </c>
      <c r="T13" s="527">
        <f>T9-T11</f>
        <v>754.81399999999985</v>
      </c>
      <c r="U13" s="527">
        <f>U9-U11</f>
        <v>783.60400000000027</v>
      </c>
      <c r="V13" s="527"/>
      <c r="W13" s="527">
        <f>W9-W11</f>
        <v>668.53066666666655</v>
      </c>
      <c r="X13" s="527">
        <f>X9-X11</f>
        <v>712.58699999999999</v>
      </c>
      <c r="Y13" s="527">
        <f>Y9-Y11</f>
        <v>852.16800000000012</v>
      </c>
      <c r="Z13" s="527">
        <f>Z9-Z11</f>
        <v>990.26233333333312</v>
      </c>
      <c r="AA13" s="527"/>
      <c r="AB13" s="527">
        <f>AB9-AB11</f>
        <v>827.06466666666665</v>
      </c>
      <c r="AC13" s="527">
        <f>AC9-AC11</f>
        <v>778.08500000000004</v>
      </c>
      <c r="AD13" s="527">
        <f>AD9-AD11</f>
        <v>951.30366666666669</v>
      </c>
      <c r="AE13" s="527">
        <f>AE9-AE11</f>
        <v>955.80600000000049</v>
      </c>
      <c r="AF13" s="527"/>
      <c r="AG13" s="527">
        <f>AG9-AG11</f>
        <v>863.06100000000015</v>
      </c>
      <c r="AH13" s="527">
        <f>AH9-AH11</f>
        <v>840.00500000000011</v>
      </c>
      <c r="AI13" s="527">
        <f>AI9-AI11</f>
        <v>969.89599999999973</v>
      </c>
      <c r="AJ13" s="527">
        <f>AJ9-AJ11</f>
        <v>1089.9570000000003</v>
      </c>
      <c r="AK13" s="527"/>
      <c r="AL13" s="527">
        <f>AL9-AL11</f>
        <v>948.4069999999997</v>
      </c>
      <c r="AM13" s="527">
        <f>AM9-AM11</f>
        <v>929.33600000000024</v>
      </c>
      <c r="AN13" s="527">
        <f>AN9-AN11</f>
        <v>1138.8580000000002</v>
      </c>
      <c r="AO13" s="527">
        <f>AO9-AO11</f>
        <v>1174.3330000000005</v>
      </c>
      <c r="AP13" s="527"/>
      <c r="AQ13" s="527">
        <f>AQ9-AQ11</f>
        <v>994.14100000000008</v>
      </c>
      <c r="AR13" s="527">
        <f>AR9-AR11</f>
        <v>1037.3509999999997</v>
      </c>
      <c r="AS13" s="527">
        <f>AS9-AS11</f>
        <v>1178.1109999999999</v>
      </c>
      <c r="AT13" s="527">
        <f>AT9-AT11</f>
        <v>1319.0790000000002</v>
      </c>
      <c r="AU13" s="527"/>
      <c r="AV13" s="527">
        <f>AV9-AV11</f>
        <v>1026.6120000000001</v>
      </c>
      <c r="AW13" s="527">
        <f>AW9-AW11</f>
        <v>1106.9520000000002</v>
      </c>
      <c r="AX13" s="527">
        <f>AX9-AX11</f>
        <v>1224.54</v>
      </c>
      <c r="AY13" s="527">
        <f>AY9-AY11</f>
        <v>1212.2159999999994</v>
      </c>
      <c r="AZ13" s="527"/>
      <c r="BA13" s="527">
        <f>BA9-BA11</f>
        <v>1080.8780000000002</v>
      </c>
      <c r="BB13" s="527">
        <f>BB9-BB11</f>
        <v>1213.2260000000001</v>
      </c>
      <c r="BC13" s="527">
        <f>BC9-BC11</f>
        <v>1442.7669999999998</v>
      </c>
      <c r="BD13" s="527">
        <f>BD9-BD11</f>
        <v>1583.1440000000002</v>
      </c>
      <c r="BE13" s="527"/>
      <c r="BF13" s="527">
        <f>BF9-BF11</f>
        <v>1367.866</v>
      </c>
      <c r="BG13" s="527">
        <f>BG9-BG11</f>
        <v>1348.87</v>
      </c>
      <c r="BH13" s="527">
        <f>BH9-BH11</f>
        <v>1519.4429999999998</v>
      </c>
      <c r="BI13" s="527">
        <f>BI9-BI11</f>
        <v>1629.4110000000001</v>
      </c>
      <c r="BJ13" s="527"/>
      <c r="BK13" s="527">
        <f>BK9-BK11</f>
        <v>1399.808</v>
      </c>
      <c r="BL13" s="527">
        <f>BL9-BL11</f>
        <v>1492.2390000000005</v>
      </c>
      <c r="BM13" s="527">
        <f>BM9-BM11</f>
        <v>1626.5409999999993</v>
      </c>
      <c r="BN13" s="527">
        <f>BN9-BN11</f>
        <v>1825.3890000000001</v>
      </c>
      <c r="BO13" s="527"/>
      <c r="BP13" s="527">
        <f>BP9-BP11</f>
        <v>1632.3580000000002</v>
      </c>
      <c r="BQ13" s="527">
        <f>BQ9-BQ11</f>
        <v>1670.4859999999999</v>
      </c>
      <c r="BR13" s="527">
        <f>BR9-BR11</f>
        <v>1844.8399999999992</v>
      </c>
      <c r="BS13" s="527">
        <f>BS9-BS11</f>
        <v>2209.2880000000005</v>
      </c>
      <c r="BT13" s="527"/>
      <c r="BU13" s="527">
        <f>BU9-BU11</f>
        <v>1756.076</v>
      </c>
      <c r="BV13" s="527">
        <f>BV9-BV11</f>
        <v>1855.6850000000004</v>
      </c>
      <c r="BW13" s="527">
        <f>BW9-BW11</f>
        <v>2047.4110000000001</v>
      </c>
      <c r="BX13" s="527">
        <f>BX9-BX11</f>
        <v>2158.4870000000001</v>
      </c>
      <c r="BY13" s="527"/>
      <c r="BZ13" s="527">
        <f>BZ9-BZ11</f>
        <v>1813.1760000000004</v>
      </c>
      <c r="CA13" s="527">
        <f>CA9-CA11</f>
        <v>1981.3560000000007</v>
      </c>
      <c r="CB13" s="527">
        <f>CB9-CB11</f>
        <v>2162.4369999999999</v>
      </c>
      <c r="CC13" s="527">
        <f>CC9-CC11</f>
        <v>2344.9159999999993</v>
      </c>
      <c r="CD13" s="527"/>
      <c r="CE13" s="527">
        <f>CE9-CE11</f>
        <v>1945.3959999999997</v>
      </c>
      <c r="CF13" s="527">
        <f>CF9-CF11</f>
        <v>2144.54</v>
      </c>
      <c r="CG13" s="527">
        <f>CG9-CG11</f>
        <v>2246.5959999999995</v>
      </c>
      <c r="CH13" s="527">
        <f>CH9-CH11</f>
        <v>2573.8830000000007</v>
      </c>
      <c r="CI13" s="527"/>
      <c r="CJ13" s="527">
        <f>CJ9-CJ11</f>
        <v>2170.2129999999997</v>
      </c>
      <c r="CK13" s="527">
        <f>CK9-CK11</f>
        <v>2319.0919999999996</v>
      </c>
      <c r="CL13" s="527">
        <f>CL9-CL11</f>
        <v>2447.8150000000005</v>
      </c>
      <c r="CM13" s="527">
        <f>CM9-CM11</f>
        <v>2680.8700000000008</v>
      </c>
      <c r="CN13" s="527"/>
      <c r="CO13" s="527">
        <f>CO9-CO11</f>
        <v>2253.9520000000002</v>
      </c>
      <c r="CP13" s="527">
        <f>CP9-CP11</f>
        <v>2385.0250000000005</v>
      </c>
      <c r="CQ13" s="527">
        <f>CQ9-CQ11</f>
        <v>2612.1999999999989</v>
      </c>
      <c r="CR13" s="527">
        <f>CR9-CR11</f>
        <v>3111.3199999999997</v>
      </c>
      <c r="CS13" s="527"/>
      <c r="CT13" s="527">
        <f>CT9-CT11</f>
        <v>2429.8743698879998</v>
      </c>
      <c r="CU13" s="527">
        <f>CU9-CU11</f>
        <v>2525.7754315750008</v>
      </c>
      <c r="CV13" s="527">
        <f>CV9-CV11</f>
        <v>2764.2923510784012</v>
      </c>
      <c r="CW13" s="527">
        <f>CW9-CW11</f>
        <v>3143.8845610399994</v>
      </c>
      <c r="CX13" s="527"/>
      <c r="CY13" s="527"/>
      <c r="CZ13" s="527">
        <f>CZ9-CZ11</f>
        <v>1490.6270000000004</v>
      </c>
      <c r="DA13" s="527">
        <f>DA9-DA11</f>
        <v>1712.5280000000002</v>
      </c>
      <c r="DB13" s="527">
        <f t="shared" ref="DB13:DH13" si="0">DB9-DB11</f>
        <v>1991.1860000000006</v>
      </c>
      <c r="DC13" s="527">
        <f t="shared" si="0"/>
        <v>2215.9470000000001</v>
      </c>
      <c r="DD13" s="527">
        <f t="shared" si="0"/>
        <v>2390.8819999999996</v>
      </c>
      <c r="DE13" s="529">
        <f t="shared" si="0"/>
        <v>2586.0759999999991</v>
      </c>
      <c r="DF13" s="529">
        <f t="shared" si="0"/>
        <v>2901.6279999999988</v>
      </c>
      <c r="DG13" s="529">
        <f t="shared" si="0"/>
        <v>3223.5480000000007</v>
      </c>
      <c r="DH13" s="529">
        <f t="shared" si="0"/>
        <v>3512.2593333333334</v>
      </c>
      <c r="DI13" s="527">
        <f t="shared" ref="DI13:DN13" si="1">DI9-DI11</f>
        <v>3762.9190000000017</v>
      </c>
      <c r="DJ13" s="527">
        <f t="shared" si="1"/>
        <v>4190.9340000000011</v>
      </c>
      <c r="DK13" s="529">
        <f t="shared" si="1"/>
        <v>4528.6820000000007</v>
      </c>
      <c r="DL13" s="527">
        <f t="shared" si="1"/>
        <v>4570.3199999999961</v>
      </c>
      <c r="DM13" s="529">
        <f t="shared" si="1"/>
        <v>5320.0149999999994</v>
      </c>
      <c r="DN13" s="527">
        <f t="shared" si="1"/>
        <v>5865.5899999999965</v>
      </c>
      <c r="DO13" s="529">
        <f t="shared" ref="DO13:DU13" si="2">DO9-DO11</f>
        <v>6343.9770000000026</v>
      </c>
      <c r="DP13" s="527">
        <f t="shared" si="2"/>
        <v>7356.9720000000016</v>
      </c>
      <c r="DQ13" s="527">
        <f t="shared" si="2"/>
        <v>7817.6589999999997</v>
      </c>
      <c r="DR13" s="527">
        <f t="shared" si="2"/>
        <v>8301.8849999999984</v>
      </c>
      <c r="DS13" s="527">
        <f t="shared" si="2"/>
        <v>8910.4149999999972</v>
      </c>
      <c r="DT13" s="527">
        <f t="shared" si="2"/>
        <v>9617.9900000000052</v>
      </c>
      <c r="DU13" s="527">
        <f t="shared" si="2"/>
        <v>10362.497000000003</v>
      </c>
      <c r="DV13" s="527">
        <f>DV9-DV11</f>
        <v>10863.826713581399</v>
      </c>
      <c r="DW13" s="527">
        <f>DW9-DW11</f>
        <v>11640.961806138544</v>
      </c>
      <c r="DX13" s="527">
        <f>DX9-DX11</f>
        <v>12462.922060597411</v>
      </c>
      <c r="DY13" s="527">
        <f>DY9-DY11</f>
        <v>13272.62171771166</v>
      </c>
      <c r="DZ13" s="512"/>
      <c r="EA13" s="487"/>
      <c r="EG13" s="487"/>
    </row>
    <row r="14" spans="1:137">
      <c r="A14" s="531" t="s">
        <v>452</v>
      </c>
      <c r="B14" s="532"/>
      <c r="C14" s="533">
        <f>'qtrP&amp;L'!$AP31</f>
        <v>310.67599999999999</v>
      </c>
      <c r="D14" s="533">
        <f>'qtrP&amp;L'!$AP32</f>
        <v>330.48099999999999</v>
      </c>
      <c r="E14" s="533">
        <f>'qtrP&amp;L'!$AP33</f>
        <v>338.31900000000002</v>
      </c>
      <c r="F14" s="533">
        <f>'qtrP&amp;L'!$AP34</f>
        <v>375.18900000000002</v>
      </c>
      <c r="G14" s="533"/>
      <c r="H14" s="533">
        <f>'qtrP&amp;L'!$AT31</f>
        <v>337.95699999999999</v>
      </c>
      <c r="I14" s="533">
        <f>'qtrP&amp;L'!$AT32</f>
        <v>364.47399999999999</v>
      </c>
      <c r="J14" s="533">
        <f>'qtrP&amp;L'!$AT33</f>
        <v>385.666</v>
      </c>
      <c r="K14" s="533">
        <f>'qtrP&amp;L'!$AT34</f>
        <v>414.93900000000002</v>
      </c>
      <c r="L14" s="533"/>
      <c r="M14" s="533">
        <f>'qtrP&amp;L'!$AX31</f>
        <v>380.27100000000002</v>
      </c>
      <c r="N14" s="533">
        <f>'qtrP&amp;L'!$AX32</f>
        <v>406.44200000000001</v>
      </c>
      <c r="O14" s="533">
        <f>'qtrP&amp;L'!$AX33</f>
        <v>431.721</v>
      </c>
      <c r="P14" s="533">
        <f>'qtrP&amp;L'!$AX34</f>
        <v>467.95499999999998</v>
      </c>
      <c r="Q14" s="533"/>
      <c r="R14" s="533">
        <f>'qtrP&amp;L'!$BB31</f>
        <v>433.01600000000002</v>
      </c>
      <c r="S14" s="533">
        <f>'qtrP&amp;L'!$BB32</f>
        <v>469.52800000000002</v>
      </c>
      <c r="T14" s="533">
        <f>'qtrP&amp;L'!$BB33</f>
        <v>508.34100000000001</v>
      </c>
      <c r="U14" s="533">
        <f>'qtrP&amp;L'!$BB34</f>
        <v>527.64599999999996</v>
      </c>
      <c r="V14" s="533"/>
      <c r="W14" s="533">
        <f>'qtrP&amp;L'!$BF31</f>
        <v>495.97966666666667</v>
      </c>
      <c r="X14" s="533">
        <f>'qtrP&amp;L'!$BF32</f>
        <v>523.89599999999996</v>
      </c>
      <c r="Y14" s="533">
        <f>'qtrP&amp;L'!$BF33</f>
        <v>566.61200000000008</v>
      </c>
      <c r="Z14" s="533">
        <f>'qtrP&amp;L'!$BF34</f>
        <v>623.07033333333334</v>
      </c>
      <c r="AA14" s="533"/>
      <c r="AB14" s="533">
        <f>'qtrP&amp;L'!$BJ31</f>
        <v>568.12666666666667</v>
      </c>
      <c r="AC14" s="533">
        <f>'qtrP&amp;L'!$BJ32</f>
        <v>598.74099999999999</v>
      </c>
      <c r="AD14" s="533">
        <f>'qtrP&amp;L'!$BJ33</f>
        <v>643.8696666666666</v>
      </c>
      <c r="AE14" s="533">
        <f>'qtrP&amp;L'!$BJ34</f>
        <v>686.81399999999996</v>
      </c>
      <c r="AF14" s="533"/>
      <c r="AG14" s="533">
        <f>'qtrP&amp;L'!$BN31</f>
        <v>637.245</v>
      </c>
      <c r="AH14" s="533">
        <f>'qtrP&amp;L'!$BN32</f>
        <v>652.14300000000003</v>
      </c>
      <c r="AI14" s="533">
        <f>'qtrP&amp;L'!$BN33</f>
        <v>702.46100000000001</v>
      </c>
      <c r="AJ14" s="533">
        <f>'qtrP&amp;L'!$BN34</f>
        <v>732.11099999999999</v>
      </c>
      <c r="AK14" s="533"/>
      <c r="AL14" s="533">
        <f>'qtrP&amp;L'!$BR31</f>
        <v>684.16600000000005</v>
      </c>
      <c r="AM14" s="533">
        <f>'qtrP&amp;L'!$BR32</f>
        <v>693.26400000000001</v>
      </c>
      <c r="AN14" s="533">
        <f>'qtrP&amp;L'!$BR33</f>
        <v>756.34799999999996</v>
      </c>
      <c r="AO14" s="533">
        <f>'qtrP&amp;L'!$BR34</f>
        <v>789.78200000000004</v>
      </c>
      <c r="AP14" s="533"/>
      <c r="AQ14" s="533">
        <f>'qtrP&amp;L'!$BV31</f>
        <v>706.00699999999995</v>
      </c>
      <c r="AR14" s="533">
        <f>'qtrP&amp;L'!$BV32</f>
        <v>747.30100000000004</v>
      </c>
      <c r="AS14" s="533">
        <f>'qtrP&amp;L'!$BV33</f>
        <v>771.73699999999997</v>
      </c>
      <c r="AT14" s="533">
        <f>'qtrP&amp;L'!$BV34+'qtrP&amp;L'!BV75</f>
        <v>829.226</v>
      </c>
      <c r="AU14" s="533"/>
      <c r="AV14" s="533">
        <f>'qtrP&amp;L'!BZ31</f>
        <v>728.38599999999997</v>
      </c>
      <c r="AW14" s="533">
        <f>'qtrP&amp;L'!BZ32</f>
        <v>766.93600000000004</v>
      </c>
      <c r="AX14" s="533">
        <f>'qtrP&amp;L'!BZ33</f>
        <v>807.83299999999997</v>
      </c>
      <c r="AY14" s="533">
        <f>'qtrP&amp;L'!BZ34</f>
        <v>832.43399999999997</v>
      </c>
      <c r="AZ14" s="533"/>
      <c r="BA14" s="533">
        <f>'qtrP&amp;L'!$CD$31</f>
        <v>735.05700000000002</v>
      </c>
      <c r="BB14" s="533">
        <f>'qtrP&amp;L'!$CD$32</f>
        <v>790.87599999999998</v>
      </c>
      <c r="BC14" s="533">
        <f>'qtrP&amp;L'!$CD$33</f>
        <v>864.09699999999998</v>
      </c>
      <c r="BD14" s="533">
        <f>'qtrP&amp;L'!$CD$34</f>
        <v>938.91399999999999</v>
      </c>
      <c r="BE14" s="533"/>
      <c r="BF14" s="533">
        <f>'qtrP&amp;L'!$CH$31</f>
        <v>821.36300000000006</v>
      </c>
      <c r="BG14" s="533">
        <f>'qtrP&amp;L'!$CH$32</f>
        <v>853.80100000000004</v>
      </c>
      <c r="BH14" s="533">
        <f>'qtrP&amp;L'!$CH$33</f>
        <v>912.80799999999999</v>
      </c>
      <c r="BI14" s="533">
        <f>'qtrP&amp;L'!$CH$34</f>
        <v>945.0809999999999</v>
      </c>
      <c r="BJ14" s="533"/>
      <c r="BK14" s="533">
        <f>'qtrP&amp;L'!$CL$31</f>
        <v>892.47400000000005</v>
      </c>
      <c r="BL14" s="533">
        <f>'qtrP&amp;L'!$CL$32</f>
        <v>923.69299999999998</v>
      </c>
      <c r="BM14" s="533">
        <f>'qtrP&amp;L'!$CL$33</f>
        <v>954.23800000000006</v>
      </c>
      <c r="BN14" s="533">
        <f>'qtrP&amp;L'!$CL$34</f>
        <v>1057.739</v>
      </c>
      <c r="BO14" s="533"/>
      <c r="BP14" s="533">
        <f>'qtrP&amp;L'!$CP$31</f>
        <v>942.12599999999998</v>
      </c>
      <c r="BQ14" s="533">
        <f>'qtrP&amp;L'!$CP$32</f>
        <v>978.51400000000001</v>
      </c>
      <c r="BR14" s="533">
        <f>'qtrP&amp;L'!$CP$33</f>
        <v>1090.2819999999999</v>
      </c>
      <c r="BS14" s="533">
        <f>'qtrP&amp;L'!$CP$34</f>
        <v>1239.5239999999999</v>
      </c>
      <c r="BT14" s="533"/>
      <c r="BU14" s="533">
        <f>INDEX('qtrP&amp;L'!$31:$31,MATCH($BU$6,'qtrP&amp;L'!$6:$6,0))</f>
        <v>1018.909</v>
      </c>
      <c r="BV14" s="533">
        <f>INDEX('qtrP&amp;L'!$32:$32,MATCH($BU$6,'qtrP&amp;L'!$6:$6,0))</f>
        <v>1074.32</v>
      </c>
      <c r="BW14" s="533">
        <f>INDEX('qtrP&amp;L'!$33:$33,MATCH($BU$6,'qtrP&amp;L'!$6:$6,0))</f>
        <v>1158.6679999999999</v>
      </c>
      <c r="BX14" s="533">
        <f>INDEX('qtrP&amp;L'!$34:$34,MATCH($BU$6,'qtrP&amp;L'!$6:$6,0))</f>
        <v>1215.192</v>
      </c>
      <c r="BY14" s="533"/>
      <c r="BZ14" s="533">
        <f>INDEX('qtrP&amp;L'!$31:$31,MATCH(BZ$6,'qtrP&amp;L'!$6:$6,0))</f>
        <v>1073.05</v>
      </c>
      <c r="CA14" s="533">
        <f>INDEX('qtrP&amp;L'!$32:$32,MATCH(BZ$6,'qtrP&amp;L'!$6:$6,0))</f>
        <v>1122.758</v>
      </c>
      <c r="CB14" s="533">
        <f>INDEX('qtrP&amp;L'!$33:$33,MATCH(BZ$6,'qtrP&amp;L'!$6:$6,0))</f>
        <v>1193.297</v>
      </c>
      <c r="CC14" s="533">
        <f>INDEX('qtrP&amp;L'!$34:$34,MATCH(BZ$6,'qtrP&amp;L'!$6:$6,0))</f>
        <v>1306.279</v>
      </c>
      <c r="CD14" s="533"/>
      <c r="CE14" s="533">
        <f>INDEX('qtrP&amp;L'!$31:$31,MATCH(CE$6,'qtrP&amp;L'!$6:$6,0))</f>
        <v>1168.6569999999999</v>
      </c>
      <c r="CF14" s="533">
        <f>INDEX('qtrP&amp;L'!$32:$32,MATCH(CE$6,'qtrP&amp;L'!$6:$6,0))</f>
        <v>1247.538</v>
      </c>
      <c r="CG14" s="533">
        <f>INDEX('qtrP&amp;L'!$33:$33,MATCH(CE$6,'qtrP&amp;L'!$6:$6,0))</f>
        <v>1292.4010000000001</v>
      </c>
      <c r="CH14" s="533">
        <f>INDEX('qtrP&amp;L'!$34:$34,MATCH(CE$6,'qtrP&amp;L'!$6:$6,0))</f>
        <v>1497.1189999999999</v>
      </c>
      <c r="CI14" s="533"/>
      <c r="CJ14" s="533">
        <f>INDEX('qtrP&amp;L'!$31:$31,MATCH(CJ$6,'qtrP&amp;L'!$6:$6,0))</f>
        <v>1335.05</v>
      </c>
      <c r="CK14" s="533">
        <f>INDEX('qtrP&amp;L'!$32:$32,MATCH(CJ$6,'qtrP&amp;L'!$6:$6,0))</f>
        <v>1393.248</v>
      </c>
      <c r="CL14" s="533">
        <f>INDEX('qtrP&amp;L'!$33:$33,MATCH(CJ$6,'qtrP&amp;L'!$6:$6,0))</f>
        <v>1462.5740000000001</v>
      </c>
      <c r="CM14" s="533">
        <f>INDEX('qtrP&amp;L'!$34:$34,MATCH(CJ$6,'qtrP&amp;L'!$6:$6,0))</f>
        <v>1577.595</v>
      </c>
      <c r="CN14" s="533"/>
      <c r="CO14" s="533">
        <f>INDEX('qtrP&amp;L'!$31:$31,MATCH(CO$6,'qtrP&amp;L'!$6:$6,0))</f>
        <v>1411.6030000000001</v>
      </c>
      <c r="CP14" s="533">
        <f>INDEX('qtrP&amp;L'!$32:$32,MATCH(CO$6,'qtrP&amp;L'!$6:$6,0))</f>
        <v>1483.6479999999999</v>
      </c>
      <c r="CQ14" s="533">
        <f>INDEX('qtrP&amp;L'!$33:$33,MATCH(CO$6,'qtrP&amp;L'!$6:$6,0))</f>
        <v>1584.2190000000001</v>
      </c>
      <c r="CR14" s="533">
        <f>INDEX('qtrP&amp;L'!$34:$34,MATCH(CO$6,'qtrP&amp;L'!$6:$6,0))</f>
        <v>1895.6010000000001</v>
      </c>
      <c r="CS14" s="533"/>
      <c r="CT14" s="533">
        <f>INDEX('qtrP&amp;L'!$31:$31,MATCH(CT$6,'qtrP&amp;L'!$6:$6,0))</f>
        <v>1552.7633000000003</v>
      </c>
      <c r="CU14" s="533">
        <f>INDEX('qtrP&amp;L'!$32:$32,MATCH(CT$6,'qtrP&amp;L'!$6:$6,0))</f>
        <v>1580.0851199999997</v>
      </c>
      <c r="CV14" s="533">
        <f>INDEX('qtrP&amp;L'!$33:$33,MATCH(CT$6,'qtrP&amp;L'!$6:$6,0))</f>
        <v>1687.193235</v>
      </c>
      <c r="CW14" s="533">
        <f>INDEX('qtrP&amp;L'!$34:$34,MATCH(CT$6,'qtrP&amp;L'!$6:$6,0))</f>
        <v>1933.5130200000001</v>
      </c>
      <c r="CX14" s="533"/>
      <c r="CY14" s="533"/>
      <c r="CZ14" s="533">
        <f>'yrP&amp;L'!H19</f>
        <v>1087.1369999999999</v>
      </c>
      <c r="DA14" s="533">
        <f>'yrP&amp;L'!I19</f>
        <v>1185.7550000000001</v>
      </c>
      <c r="DB14" s="533">
        <f>'yrP&amp;L'!J19</f>
        <v>1285.9879999999998</v>
      </c>
      <c r="DC14" s="533">
        <f>'yrP&amp;L'!K19</f>
        <v>1354.665</v>
      </c>
      <c r="DD14" s="533">
        <f>'yrP&amp;L'!L19</f>
        <v>1503.0360000000001</v>
      </c>
      <c r="DE14" s="531">
        <f>'yrP&amp;L'!M19</f>
        <v>1686.3889999999999</v>
      </c>
      <c r="DF14" s="531">
        <f>'yrP&amp;L'!N19</f>
        <v>1938.5310000000002</v>
      </c>
      <c r="DG14" s="531">
        <f>'yrP&amp;L'!O19</f>
        <v>2209.558</v>
      </c>
      <c r="DH14" s="531">
        <f>'yrP&amp;L'!P19</f>
        <v>2497.5513333333329</v>
      </c>
      <c r="DI14" s="534">
        <f>'yrP&amp;L'!Q19</f>
        <v>2723.96</v>
      </c>
      <c r="DJ14" s="534">
        <f>'yrP&amp;L'!R19</f>
        <v>2923.5600000000004</v>
      </c>
      <c r="DK14" s="535">
        <f>'yrP&amp;L'!S19</f>
        <v>3073.1710000000003</v>
      </c>
      <c r="DL14" s="534">
        <f>'yrP&amp;L'!T19</f>
        <v>3135.5889999999999</v>
      </c>
      <c r="DM14" s="535">
        <f>'yrP&amp;L'!U19</f>
        <v>3328.9439999999995</v>
      </c>
      <c r="DN14" s="534">
        <f>'yrP&amp;L'!V19</f>
        <v>3533.0529999999999</v>
      </c>
      <c r="DO14" s="531">
        <f>'yrP&amp;L'!W19</f>
        <v>3828.1439999999998</v>
      </c>
      <c r="DP14" s="533">
        <f>'yrP&amp;L'!X19</f>
        <v>4250.4459999999999</v>
      </c>
      <c r="DQ14" s="533">
        <f>'yrP&amp;L'!Y19</f>
        <v>4467.0889999999999</v>
      </c>
      <c r="DR14" s="533">
        <f>'yrP&amp;L'!Z19</f>
        <v>4695.384</v>
      </c>
      <c r="DS14" s="533">
        <f>'yrP&amp;L'!AA19</f>
        <v>5205.7149999999992</v>
      </c>
      <c r="DT14" s="533">
        <f>'yrP&amp;L'!AB19</f>
        <v>5768.4669999999996</v>
      </c>
      <c r="DU14" s="533">
        <f>'yrP&amp;L'!AC19</f>
        <v>6375.0709999999999</v>
      </c>
      <c r="DV14" s="533">
        <f>'yrP&amp;L'!AD19</f>
        <v>6753.5546750000003</v>
      </c>
      <c r="DW14" s="533">
        <f>'yrP&amp;L'!AE19</f>
        <v>7182.2918595932779</v>
      </c>
      <c r="DX14" s="533">
        <f>'yrP&amp;L'!AF19</f>
        <v>7634.8272540643247</v>
      </c>
      <c r="DY14" s="533">
        <f>'yrP&amp;L'!AG19</f>
        <v>8102.180966119412</v>
      </c>
      <c r="DZ14" s="512"/>
      <c r="EG14" s="487"/>
    </row>
    <row r="15" spans="1:137" outlineLevel="1">
      <c r="A15" s="531" t="s">
        <v>330</v>
      </c>
      <c r="B15" s="532"/>
      <c r="C15" s="533"/>
      <c r="D15" s="533"/>
      <c r="E15" s="533"/>
      <c r="F15" s="533"/>
      <c r="G15" s="533"/>
      <c r="H15" s="533"/>
      <c r="I15" s="533"/>
      <c r="J15" s="533"/>
      <c r="K15" s="533"/>
      <c r="L15" s="533"/>
      <c r="M15" s="533"/>
      <c r="N15" s="533"/>
      <c r="O15" s="533"/>
      <c r="P15" s="533"/>
      <c r="Q15" s="533"/>
      <c r="R15" s="533"/>
      <c r="S15" s="533"/>
      <c r="T15" s="533"/>
      <c r="U15" s="533"/>
      <c r="V15" s="533"/>
      <c r="W15" s="533"/>
      <c r="X15" s="533"/>
      <c r="Y15" s="533"/>
      <c r="Z15" s="533"/>
      <c r="AA15" s="533"/>
      <c r="AB15" s="533"/>
      <c r="AC15" s="533"/>
      <c r="AD15" s="533"/>
      <c r="AE15" s="533"/>
      <c r="AF15" s="533"/>
      <c r="AG15" s="533"/>
      <c r="AH15" s="533"/>
      <c r="AI15" s="533"/>
      <c r="AJ15" s="533"/>
      <c r="AK15" s="533"/>
      <c r="AL15" s="533"/>
      <c r="AM15" s="533"/>
      <c r="AN15" s="533"/>
      <c r="AO15" s="533"/>
      <c r="AP15" s="533"/>
      <c r="AQ15" s="533"/>
      <c r="AR15" s="533"/>
      <c r="AS15" s="533"/>
      <c r="AT15" s="533"/>
      <c r="AU15" s="533"/>
      <c r="AV15" s="533"/>
      <c r="AW15" s="533"/>
      <c r="AX15" s="533"/>
      <c r="AY15" s="533"/>
      <c r="AZ15" s="533"/>
      <c r="BA15" s="533"/>
      <c r="BB15" s="533"/>
      <c r="BC15" s="533"/>
      <c r="BD15" s="533"/>
      <c r="BE15" s="533"/>
      <c r="BF15" s="533"/>
      <c r="BG15" s="533"/>
      <c r="BH15" s="533"/>
      <c r="BI15" s="533"/>
      <c r="BJ15" s="533"/>
      <c r="BK15" s="533"/>
      <c r="BL15" s="533"/>
      <c r="BM15" s="533"/>
      <c r="BN15" s="533"/>
      <c r="BO15" s="533"/>
      <c r="BP15" s="533"/>
      <c r="BQ15" s="533"/>
      <c r="BR15" s="533"/>
      <c r="BS15" s="533"/>
      <c r="BT15" s="533"/>
      <c r="BU15" s="533"/>
      <c r="BV15" s="533"/>
      <c r="BW15" s="533"/>
      <c r="BX15" s="533"/>
      <c r="BY15" s="533"/>
      <c r="BZ15" s="533"/>
      <c r="CA15" s="533"/>
      <c r="CB15" s="533"/>
      <c r="CC15" s="533"/>
      <c r="CD15" s="533"/>
      <c r="CE15" s="533"/>
      <c r="CF15" s="533"/>
      <c r="CG15" s="533"/>
      <c r="CH15" s="533"/>
      <c r="CI15" s="533"/>
      <c r="CJ15" s="533"/>
      <c r="CK15" s="533"/>
      <c r="CL15" s="533"/>
      <c r="CM15" s="533"/>
      <c r="CN15" s="533"/>
      <c r="CO15" s="533"/>
      <c r="CP15" s="533"/>
      <c r="CQ15" s="533"/>
      <c r="CR15" s="533"/>
      <c r="CS15" s="533"/>
      <c r="CT15" s="533"/>
      <c r="CU15" s="533"/>
      <c r="CV15" s="533"/>
      <c r="CW15" s="533"/>
      <c r="CX15" s="533"/>
      <c r="CY15" s="533"/>
      <c r="CZ15" s="533"/>
      <c r="DA15" s="533"/>
      <c r="DB15" s="533"/>
      <c r="DC15" s="533"/>
      <c r="DD15" s="533"/>
      <c r="DE15" s="531"/>
      <c r="DF15" s="531"/>
      <c r="DG15" s="531"/>
      <c r="DH15" s="531"/>
      <c r="DI15" s="534"/>
      <c r="DJ15" s="534"/>
      <c r="DK15" s="535"/>
      <c r="DL15" s="534"/>
      <c r="DM15" s="535"/>
      <c r="DN15" s="534"/>
      <c r="DO15" s="531"/>
      <c r="DP15" s="533"/>
      <c r="DQ15" s="533"/>
      <c r="DR15" s="533"/>
      <c r="DS15" s="533"/>
      <c r="DT15" s="533"/>
      <c r="DU15" s="533"/>
      <c r="DV15" s="533"/>
      <c r="DW15" s="533"/>
      <c r="DX15" s="533"/>
      <c r="DY15" s="533"/>
      <c r="DZ15" s="512"/>
      <c r="EA15" s="487"/>
      <c r="EG15" s="487"/>
    </row>
    <row r="16" spans="1:137" outlineLevel="1">
      <c r="A16" s="531" t="s">
        <v>453</v>
      </c>
      <c r="B16" s="533"/>
      <c r="C16" s="533"/>
      <c r="D16" s="533"/>
      <c r="E16" s="533"/>
      <c r="F16" s="533"/>
      <c r="G16" s="533"/>
      <c r="H16" s="533"/>
      <c r="I16" s="533"/>
      <c r="J16" s="533"/>
      <c r="K16" s="533"/>
      <c r="L16" s="533"/>
      <c r="M16" s="533">
        <f>'qtrP&amp;L'!$AX51</f>
        <v>48.716000000000001</v>
      </c>
      <c r="N16" s="533">
        <f>'qtrP&amp;L'!$AX52</f>
        <v>51.160999999999994</v>
      </c>
      <c r="O16" s="533">
        <f>'qtrP&amp;L'!$AX53</f>
        <v>52.509</v>
      </c>
      <c r="P16" s="533">
        <f>'qtrP&amp;L'!$AX54</f>
        <v>51.694999999999993</v>
      </c>
      <c r="Q16" s="533"/>
      <c r="R16" s="533">
        <f>'qtrP&amp;L'!$BB51</f>
        <v>49.456000000000003</v>
      </c>
      <c r="S16" s="533">
        <f>'qtrP&amp;L'!$BB52</f>
        <v>52.05</v>
      </c>
      <c r="T16" s="533">
        <f>'qtrP&amp;L'!$BB53</f>
        <v>52.233000000000004</v>
      </c>
      <c r="U16" s="533">
        <f>'qtrP&amp;L'!$BB54</f>
        <v>54.137</v>
      </c>
      <c r="V16" s="533"/>
      <c r="W16" s="533">
        <f>'qtrP&amp;L'!$BF51</f>
        <v>55.557000000000002</v>
      </c>
      <c r="X16" s="533">
        <f>'qtrP&amp;L'!$BF52</f>
        <v>56.591999999999999</v>
      </c>
      <c r="Y16" s="533">
        <f>'qtrP&amp;L'!$BF53</f>
        <v>58.905000000000001</v>
      </c>
      <c r="Z16" s="533">
        <f>'qtrP&amp;L'!$BF54</f>
        <v>67.330999999999989</v>
      </c>
      <c r="AA16" s="533"/>
      <c r="AB16" s="533">
        <f>'qtrP&amp;L'!$BJ51</f>
        <v>67.356999999999999</v>
      </c>
      <c r="AC16" s="533">
        <f>'qtrP&amp;L'!$BJ52</f>
        <v>68.358000000000004</v>
      </c>
      <c r="AD16" s="533">
        <f>'qtrP&amp;L'!$BJ53</f>
        <v>69.36699999999999</v>
      </c>
      <c r="AE16" s="533">
        <f>'qtrP&amp;L'!$BJ54</f>
        <v>73.977000000000032</v>
      </c>
      <c r="AF16" s="533"/>
      <c r="AG16" s="533">
        <f>'qtrP&amp;L'!$BN51</f>
        <v>78.805000000000007</v>
      </c>
      <c r="AH16" s="533">
        <f>'qtrP&amp;L'!$BN52</f>
        <v>77.847999999999985</v>
      </c>
      <c r="AI16" s="533">
        <f>'qtrP&amp;L'!$BN53</f>
        <v>76.282000000000011</v>
      </c>
      <c r="AJ16" s="533">
        <f>'qtrP&amp;L'!$BN54</f>
        <v>81.350000000000023</v>
      </c>
      <c r="AK16" s="533"/>
      <c r="AL16" s="533">
        <f>'qtrP&amp;L'!$BR51</f>
        <v>86.024000000000001</v>
      </c>
      <c r="AM16" s="533">
        <f>'qtrP&amp;L'!$BR52</f>
        <v>86.557999999999993</v>
      </c>
      <c r="AN16" s="533">
        <f>'qtrP&amp;L'!$BR53</f>
        <v>88.988</v>
      </c>
      <c r="AO16" s="533">
        <f>'qtrP&amp;L'!$BR54</f>
        <v>91.54000000000002</v>
      </c>
      <c r="AP16" s="533"/>
      <c r="AQ16" s="533">
        <f>'qtrP&amp;L'!$BV51</f>
        <v>90.5</v>
      </c>
      <c r="AR16" s="533">
        <f>'qtrP&amp;L'!$BV52</f>
        <v>90.644000000000005</v>
      </c>
      <c r="AS16" s="533">
        <f>'qtrP&amp;L'!$BV53</f>
        <v>91.19599999999997</v>
      </c>
      <c r="AT16" s="533">
        <f>'qtrP&amp;L'!$BV54</f>
        <v>97.05600000000004</v>
      </c>
      <c r="AU16" s="533"/>
      <c r="AV16" s="533">
        <f>'qtrP&amp;L'!BZ51</f>
        <v>99.676000000000002</v>
      </c>
      <c r="AW16" s="533">
        <f>'qtrP&amp;L'!BZ52</f>
        <v>100.11899999999999</v>
      </c>
      <c r="AX16" s="533">
        <f>'qtrP&amp;L'!BZ53</f>
        <v>101.23</v>
      </c>
      <c r="AY16" s="533">
        <f>'qtrP&amp;L'!BZ54</f>
        <v>100.682</v>
      </c>
      <c r="AZ16" s="533"/>
      <c r="BA16" s="533">
        <f>'qtrP&amp;L'!$CD$51</f>
        <v>104.14700000000001</v>
      </c>
      <c r="BB16" s="533">
        <f>'qtrP&amp;L'!$CD$52</f>
        <v>105.27299999999998</v>
      </c>
      <c r="BC16" s="533">
        <f>'qtrP&amp;L'!$CD$53</f>
        <v>109.52000000000002</v>
      </c>
      <c r="BD16" s="533">
        <f>'qtrP&amp;L'!$CD$54</f>
        <v>116.27800000000001</v>
      </c>
      <c r="BE16" s="533"/>
      <c r="BF16" s="533">
        <f>'qtrP&amp;L'!$CH$51</f>
        <v>113.6</v>
      </c>
      <c r="BG16" s="533">
        <f>'qtrP&amp;L'!$CH$52</f>
        <v>113.6</v>
      </c>
      <c r="BH16" s="533">
        <f>'qtrP&amp;L'!$CH$53</f>
        <v>113.90000000000003</v>
      </c>
      <c r="BI16" s="533">
        <f>'qtrP&amp;L'!$CH$54</f>
        <v>116.952</v>
      </c>
      <c r="BJ16" s="533"/>
      <c r="BK16" s="533">
        <f>'qtrP&amp;L'!$CL$51</f>
        <v>116.22799999999999</v>
      </c>
      <c r="BL16" s="533">
        <f>'qtrP&amp;L'!$CL$52</f>
        <v>120.17200000000001</v>
      </c>
      <c r="BM16" s="533">
        <f>'qtrP&amp;L'!$CL$53</f>
        <v>120.5</v>
      </c>
      <c r="BN16" s="533">
        <f>'qtrP&amp;L'!$CL$54</f>
        <v>128.80100000000004</v>
      </c>
      <c r="BO16" s="533"/>
      <c r="BP16" s="533">
        <f>'qtrP&amp;L'!$CP$51</f>
        <v>120.63800000000001</v>
      </c>
      <c r="BQ16" s="533">
        <f>'qtrP&amp;L'!$CP$52</f>
        <v>125.86199999999999</v>
      </c>
      <c r="BR16" s="533">
        <f>'qtrP&amp;L'!$CP$53</f>
        <v>125.86700000000002</v>
      </c>
      <c r="BS16" s="533">
        <f>'qtrP&amp;L'!$CP$54</f>
        <v>113.33299999999997</v>
      </c>
      <c r="BT16" s="533"/>
      <c r="BU16" s="533">
        <f>INDEX('qtrP&amp;L'!$51:$51,MATCH($BU$6,'qtrP&amp;L'!$6:$6,0))</f>
        <v>120.6</v>
      </c>
      <c r="BV16" s="533">
        <f>INDEX('qtrP&amp;L'!$52:$52,MATCH($BU$6,'qtrP&amp;L'!$6:$6,0))</f>
        <v>145.4</v>
      </c>
      <c r="BW16" s="533">
        <f>INDEX('qtrP&amp;L'!$53:$53,MATCH($BU$6,'qtrP&amp;L'!$6:$6,0))</f>
        <v>145.89999999999995</v>
      </c>
      <c r="BX16" s="533">
        <f>INDEX('qtrP&amp;L'!$54:$54,MATCH($BU$6,'qtrP&amp;L'!$6:$6,0))</f>
        <v>136.9</v>
      </c>
      <c r="BY16" s="533"/>
      <c r="BZ16" s="533">
        <f>INDEX('qtrP&amp;L'!$51:$51,MATCH(BZ$6,'qtrP&amp;L'!$6:$6,0))</f>
        <v>144.19999999999999</v>
      </c>
      <c r="CA16" s="533">
        <f>INDEX('qtrP&amp;L'!$52:$52,MATCH(BZ$6,'qtrP&amp;L'!$6:$6,0))</f>
        <v>147.5</v>
      </c>
      <c r="CB16" s="533">
        <f>INDEX('qtrP&amp;L'!$53:$53,MATCH(BZ$6,'qtrP&amp;L'!$6:$6,0))</f>
        <v>146.5</v>
      </c>
      <c r="CC16" s="533">
        <f>INDEX('qtrP&amp;L'!$54:$54,MATCH(BZ$6,'qtrP&amp;L'!$6:$6,0))</f>
        <v>150.80000000000001</v>
      </c>
      <c r="CD16" s="533"/>
      <c r="CE16" s="533">
        <f>INDEX('qtrP&amp;L'!$51:$51,MATCH(CE$6,'qtrP&amp;L'!$6:$6,0))</f>
        <v>148.5</v>
      </c>
      <c r="CF16" s="533">
        <f>INDEX('qtrP&amp;L'!$52:$52,MATCH(CE$6,'qtrP&amp;L'!$6:$6,0))</f>
        <v>150</v>
      </c>
      <c r="CG16" s="533">
        <f>INDEX('qtrP&amp;L'!$53:$53,MATCH(CE$6,'qtrP&amp;L'!$6:$6,0))</f>
        <v>155.19999999999999</v>
      </c>
      <c r="CH16" s="533">
        <f>INDEX('qtrP&amp;L'!$54:$54,MATCH(CE$6,'qtrP&amp;L'!$6:$6,0))</f>
        <v>163.00000000000006</v>
      </c>
      <c r="CI16" s="533"/>
      <c r="CJ16" s="533">
        <f>INDEX('qtrP&amp;L'!$51:$51,MATCH(CJ$6,'qtrP&amp;L'!$6:$6,0))</f>
        <v>157</v>
      </c>
      <c r="CK16" s="533">
        <f>INDEX('qtrP&amp;L'!$52:$52,MATCH(CJ$6,'qtrP&amp;L'!$6:$6,0))</f>
        <v>167.8</v>
      </c>
      <c r="CL16" s="533">
        <f>INDEX('qtrP&amp;L'!$53:$53,MATCH(CJ$6,'qtrP&amp;L'!$6:$6,0))</f>
        <v>167.59999999999997</v>
      </c>
      <c r="CM16" s="533">
        <f>INDEX('qtrP&amp;L'!$54:$54,MATCH(CJ$6,'qtrP&amp;L'!$6:$6,0))</f>
        <v>166.39999999999998</v>
      </c>
      <c r="CN16" s="533"/>
      <c r="CO16" s="533">
        <f>INDEX('qtrP&amp;L'!$51:$51,MATCH(CO$6,'qtrP&amp;L'!$6:$6,0))</f>
        <v>172.5</v>
      </c>
      <c r="CP16" s="533">
        <f>INDEX('qtrP&amp;L'!$52:$52,MATCH(CO$6,'qtrP&amp;L'!$6:$6,0))</f>
        <v>175.60000000000002</v>
      </c>
      <c r="CQ16" s="533">
        <f>INDEX('qtrP&amp;L'!$53:$53,MATCH(CO$6,'qtrP&amp;L'!$6:$6,0))</f>
        <v>184.29999999999995</v>
      </c>
      <c r="CR16" s="533">
        <f>INDEX('qtrP&amp;L'!$54:$54,MATCH(CO$6,'qtrP&amp;L'!$6:$6,0))</f>
        <v>193.60000000000002</v>
      </c>
      <c r="CS16" s="533"/>
      <c r="CT16" s="533">
        <f>INDEX('qtrP&amp;L'!$51:$51,MATCH(CT$6,'qtrP&amp;L'!$6:$6,0))</f>
        <v>180</v>
      </c>
      <c r="CU16" s="533">
        <f>INDEX('qtrP&amp;L'!$52:$52,MATCH(CT$6,'qtrP&amp;L'!$6:$6,0))</f>
        <v>180</v>
      </c>
      <c r="CV16" s="533">
        <f>INDEX('qtrP&amp;L'!$53:$53,MATCH(CT$6,'qtrP&amp;L'!$6:$6,0))</f>
        <v>180</v>
      </c>
      <c r="CW16" s="533">
        <f>INDEX('qtrP&amp;L'!$54:$54,MATCH(CT$6,'qtrP&amp;L'!$6:$6,0))</f>
        <v>180</v>
      </c>
      <c r="CX16" s="533"/>
      <c r="CY16" s="533"/>
      <c r="CZ16" s="533">
        <f>flow!R9</f>
        <v>124.89100000000001</v>
      </c>
      <c r="DA16" s="533">
        <f>flow!S9</f>
        <v>0</v>
      </c>
      <c r="DB16" s="533">
        <f>flow!T9</f>
        <v>136.46899999999999</v>
      </c>
      <c r="DC16" s="533">
        <f>flow!V9</f>
        <v>160.46600000000001</v>
      </c>
      <c r="DD16" s="533">
        <f>flow!X9</f>
        <v>175.78100000000001</v>
      </c>
      <c r="DE16" s="531">
        <f>flow!Z9</f>
        <v>204.08099999999999</v>
      </c>
      <c r="DF16" s="531">
        <f>flow!AB9</f>
        <v>207.876</v>
      </c>
      <c r="DG16" s="531">
        <f>flow!AD9</f>
        <v>238.38499999999999</v>
      </c>
      <c r="DH16" s="531">
        <f>flow!AF9</f>
        <v>279.05900000000003</v>
      </c>
      <c r="DI16" s="534">
        <f>flow!AH9</f>
        <v>314.28500000000003</v>
      </c>
      <c r="DJ16" s="534">
        <f>flow!AJ9</f>
        <v>353.11</v>
      </c>
      <c r="DK16" s="535">
        <f>flow!AL9</f>
        <v>369.39600000000002</v>
      </c>
      <c r="DL16" s="534">
        <f>flow!AN9</f>
        <v>401.70699999999999</v>
      </c>
      <c r="DM16" s="535">
        <f>flow!AP9</f>
        <v>435.21800000000002</v>
      </c>
      <c r="DN16" s="534">
        <f>flow!$AR$9</f>
        <v>458.05200000000002</v>
      </c>
      <c r="DO16" s="535">
        <f>flow!$AT$9</f>
        <v>485.70100000000002</v>
      </c>
      <c r="DP16" s="534">
        <f>flow!AV$9</f>
        <v>508.92899999999997</v>
      </c>
      <c r="DQ16" s="534">
        <f>flow!AX$9</f>
        <v>548.79999999999995</v>
      </c>
      <c r="DR16" s="534">
        <f>flow!AZ$9</f>
        <v>589</v>
      </c>
      <c r="DS16" s="534">
        <f>flow!BB$9</f>
        <v>616.69600000000003</v>
      </c>
      <c r="DT16" s="534">
        <f>flow!BD$9</f>
        <v>658.79600000000005</v>
      </c>
      <c r="DU16" s="534">
        <f>flow!BF$9</f>
        <v>726</v>
      </c>
      <c r="DV16" s="534">
        <f>flow!BH$9</f>
        <v>720</v>
      </c>
      <c r="DW16" s="534">
        <f>flow!BJ$9</f>
        <v>763.2</v>
      </c>
      <c r="DX16" s="534">
        <f>flow!BL$9</f>
        <v>808.99200000000008</v>
      </c>
      <c r="DY16" s="534">
        <f>flow!BN$9</f>
        <v>857.53152000000011</v>
      </c>
      <c r="DZ16" s="512"/>
      <c r="EA16" s="536"/>
      <c r="EG16" s="487"/>
    </row>
    <row r="17" spans="1:140">
      <c r="A17" s="526" t="s">
        <v>454</v>
      </c>
      <c r="B17" s="527"/>
      <c r="C17" s="527">
        <f>C13-C14</f>
        <v>201.03800000000018</v>
      </c>
      <c r="D17" s="527">
        <f>D13-D14</f>
        <v>187.12200000000007</v>
      </c>
      <c r="E17" s="527">
        <f>E13-E14</f>
        <v>250.46500000000009</v>
      </c>
      <c r="F17" s="527">
        <f>F13-F14</f>
        <v>222.65700000000021</v>
      </c>
      <c r="G17" s="527"/>
      <c r="H17" s="527">
        <f>H13-H14</f>
        <v>216.11900000000003</v>
      </c>
      <c r="I17" s="527">
        <f>I13-I14</f>
        <v>191.40199999999999</v>
      </c>
      <c r="J17" s="527">
        <f>J13-J14</f>
        <v>267.99700000000001</v>
      </c>
      <c r="K17" s="527">
        <f>K13-K14</f>
        <v>212.3279999999998</v>
      </c>
      <c r="L17" s="527"/>
      <c r="M17" s="527">
        <f>M13-M14</f>
        <v>204.00799999999998</v>
      </c>
      <c r="N17" s="527">
        <f>N13-N14</f>
        <v>186.47599999999989</v>
      </c>
      <c r="O17" s="527">
        <f>O13-O14</f>
        <v>250.05199999999968</v>
      </c>
      <c r="P17" s="527">
        <f>P13-P14</f>
        <v>259.15099999999978</v>
      </c>
      <c r="Q17" s="527"/>
      <c r="R17" s="527">
        <f>R13-R14</f>
        <v>243.84099999999995</v>
      </c>
      <c r="S17" s="527">
        <f>S13-S14</f>
        <v>216.82500000000005</v>
      </c>
      <c r="T17" s="527">
        <f>T13-T14</f>
        <v>246.47299999999984</v>
      </c>
      <c r="U17" s="527">
        <f>U13-U14</f>
        <v>255.95800000000031</v>
      </c>
      <c r="V17" s="527"/>
      <c r="W17" s="527">
        <f>W13-W14</f>
        <v>172.55099999999987</v>
      </c>
      <c r="X17" s="527">
        <f>X13-X14</f>
        <v>188.69100000000003</v>
      </c>
      <c r="Y17" s="527">
        <f>Y13-Y14</f>
        <v>285.55600000000004</v>
      </c>
      <c r="Z17" s="527">
        <f>Z13-Z14</f>
        <v>367.19199999999978</v>
      </c>
      <c r="AA17" s="527"/>
      <c r="AB17" s="527">
        <f>AB13-AB14</f>
        <v>258.93799999999999</v>
      </c>
      <c r="AC17" s="527">
        <f>AC13-AC14</f>
        <v>179.34400000000005</v>
      </c>
      <c r="AD17" s="527">
        <f>AD13-AD14</f>
        <v>307.43400000000008</v>
      </c>
      <c r="AE17" s="527">
        <f>AE13-AE14</f>
        <v>268.99200000000053</v>
      </c>
      <c r="AF17" s="527"/>
      <c r="AG17" s="527">
        <f>AG13-AG14</f>
        <v>225.81600000000014</v>
      </c>
      <c r="AH17" s="527">
        <f>AH13-AH14</f>
        <v>187.86200000000008</v>
      </c>
      <c r="AI17" s="527">
        <f>AI13-AI14</f>
        <v>267.43499999999972</v>
      </c>
      <c r="AJ17" s="527">
        <f>AJ13-AJ14-AJ15</f>
        <v>357.84600000000034</v>
      </c>
      <c r="AK17" s="527"/>
      <c r="AL17" s="527">
        <f>AL13-AL14-AL15</f>
        <v>264.24099999999964</v>
      </c>
      <c r="AM17" s="527">
        <f>AM13-AM14-AM15</f>
        <v>236.07200000000023</v>
      </c>
      <c r="AN17" s="527">
        <f>AN13-AN14-AN15</f>
        <v>382.51000000000022</v>
      </c>
      <c r="AO17" s="527">
        <f>AO13-AO14-AO15</f>
        <v>384.5510000000005</v>
      </c>
      <c r="AP17" s="527"/>
      <c r="AQ17" s="527">
        <f>AQ13-AQ14-AQ15</f>
        <v>288.13400000000013</v>
      </c>
      <c r="AR17" s="527">
        <f>AR13-AR14-AR15</f>
        <v>290.04999999999961</v>
      </c>
      <c r="AS17" s="527">
        <f>AS13-AS14-AS15</f>
        <v>406.37399999999991</v>
      </c>
      <c r="AT17" s="527">
        <f>AT13-AT14-AT15</f>
        <v>489.85300000000018</v>
      </c>
      <c r="AU17" s="527"/>
      <c r="AV17" s="527">
        <f>AV13-AV14-AV15</f>
        <v>298.22600000000011</v>
      </c>
      <c r="AW17" s="527">
        <f>AW13-AW14-AW15</f>
        <v>340.01600000000019</v>
      </c>
      <c r="AX17" s="527">
        <f>AX13-AX14-AX15</f>
        <v>416.70699999999999</v>
      </c>
      <c r="AY17" s="527">
        <f>AY13-AY14-AY15</f>
        <v>379.78199999999947</v>
      </c>
      <c r="AZ17" s="527"/>
      <c r="BA17" s="527">
        <f>BA13-BA14-BA15</f>
        <v>345.82100000000014</v>
      </c>
      <c r="BB17" s="527">
        <f>BB13-BB14-BB15</f>
        <v>422.35000000000014</v>
      </c>
      <c r="BC17" s="527">
        <f>BC13-BC14-BC15</f>
        <v>578.66999999999985</v>
      </c>
      <c r="BD17" s="527">
        <f>BD13-BD14-BD15</f>
        <v>644.23000000000025</v>
      </c>
      <c r="BE17" s="527"/>
      <c r="BF17" s="527">
        <f>BF13-BF14-BF15</f>
        <v>546.50299999999993</v>
      </c>
      <c r="BG17" s="527">
        <f>BG13-BG14-BG15</f>
        <v>495.06899999999985</v>
      </c>
      <c r="BH17" s="527">
        <f>BH13-BH14-BH15</f>
        <v>606.63499999999976</v>
      </c>
      <c r="BI17" s="527">
        <f>BI13-BI14-BI15</f>
        <v>684.33000000000015</v>
      </c>
      <c r="BJ17" s="527"/>
      <c r="BK17" s="527">
        <f>BK13-BK14-BK15</f>
        <v>507.33399999999995</v>
      </c>
      <c r="BL17" s="527">
        <f>BL13-BL14-BL15</f>
        <v>568.5460000000005</v>
      </c>
      <c r="BM17" s="527">
        <f>BM13-BM14-BM15</f>
        <v>672.3029999999992</v>
      </c>
      <c r="BN17" s="527">
        <f>BN13-BN14-BN15</f>
        <v>767.65000000000009</v>
      </c>
      <c r="BO17" s="527"/>
      <c r="BP17" s="527">
        <f>BP13-BP14-BP15</f>
        <v>690.2320000000002</v>
      </c>
      <c r="BQ17" s="527">
        <f>BQ13-BQ14-BQ15</f>
        <v>691.97199999999987</v>
      </c>
      <c r="BR17" s="527">
        <f>BR13-BR14-BR15</f>
        <v>754.55799999999931</v>
      </c>
      <c r="BS17" s="527">
        <f>BS13-BS14-BS15</f>
        <v>969.76400000000058</v>
      </c>
      <c r="BT17" s="527"/>
      <c r="BU17" s="527">
        <f>BU13-BU14-BU15</f>
        <v>737.16700000000003</v>
      </c>
      <c r="BV17" s="527">
        <f>BV13-BV14-BV15</f>
        <v>781.36500000000046</v>
      </c>
      <c r="BW17" s="527">
        <f>BW13-BW14-BW15</f>
        <v>888.74300000000017</v>
      </c>
      <c r="BX17" s="527">
        <f>BX13-BX14-BX15</f>
        <v>943.29500000000007</v>
      </c>
      <c r="BY17" s="527"/>
      <c r="BZ17" s="527">
        <f>BZ13-BZ14-BZ15</f>
        <v>740.12600000000043</v>
      </c>
      <c r="CA17" s="527">
        <f>CA13-CA14-CA15</f>
        <v>858.59800000000064</v>
      </c>
      <c r="CB17" s="527">
        <f>CB13-CB14-CB15</f>
        <v>969.13999999999987</v>
      </c>
      <c r="CC17" s="527">
        <f>CC13-CC14-CC15</f>
        <v>1038.6369999999993</v>
      </c>
      <c r="CD17" s="527"/>
      <c r="CE17" s="527">
        <f>CE13-CE14-CE15</f>
        <v>776.73899999999981</v>
      </c>
      <c r="CF17" s="527">
        <f>CF13-CF14-CF15</f>
        <v>897.00199999999995</v>
      </c>
      <c r="CG17" s="527">
        <f>CG13-CG14-CG15</f>
        <v>954.19499999999948</v>
      </c>
      <c r="CH17" s="527">
        <f>CH13-CH14-CH15</f>
        <v>1076.7640000000008</v>
      </c>
      <c r="CI17" s="527"/>
      <c r="CJ17" s="527">
        <f>CJ13-CJ14-CJ15</f>
        <v>835.16299999999978</v>
      </c>
      <c r="CK17" s="527">
        <f>CK13-CK14-CK15</f>
        <v>925.8439999999996</v>
      </c>
      <c r="CL17" s="527">
        <f>CL13-CL14-CL15</f>
        <v>985.24100000000044</v>
      </c>
      <c r="CM17" s="527">
        <f>CM13-CM14-CM15</f>
        <v>1103.2750000000008</v>
      </c>
      <c r="CN17" s="527"/>
      <c r="CO17" s="527">
        <f>CO13-CO14-CO15</f>
        <v>842.34900000000016</v>
      </c>
      <c r="CP17" s="527">
        <f>CP13-CP14-CP15</f>
        <v>901.37700000000063</v>
      </c>
      <c r="CQ17" s="527">
        <f>CQ13-CQ14-CQ15</f>
        <v>1027.9809999999989</v>
      </c>
      <c r="CR17" s="527">
        <f>CR13-CR14-CR15</f>
        <v>1215.7189999999996</v>
      </c>
      <c r="CS17" s="527"/>
      <c r="CT17" s="527">
        <f>CT13-CT14-CT15</f>
        <v>877.11106988799952</v>
      </c>
      <c r="CU17" s="527">
        <f>CU13-CU14-CU15</f>
        <v>945.69031157500103</v>
      </c>
      <c r="CV17" s="527">
        <f>CV13-CV14-CV15</f>
        <v>1077.0991160784013</v>
      </c>
      <c r="CW17" s="527">
        <f>CW13-CW14-CW15</f>
        <v>1210.3715410399993</v>
      </c>
      <c r="CX17" s="527"/>
      <c r="CY17" s="527"/>
      <c r="CZ17" s="527">
        <f>CZ13-CZ14</f>
        <v>403.49000000000046</v>
      </c>
      <c r="DA17" s="527">
        <f>DA13-DA14</f>
        <v>526.77300000000014</v>
      </c>
      <c r="DB17" s="527">
        <f t="shared" ref="DB17:DH17" si="3">DB13-DB14</f>
        <v>705.19800000000077</v>
      </c>
      <c r="DC17" s="527">
        <f t="shared" si="3"/>
        <v>861.28200000000015</v>
      </c>
      <c r="DD17" s="527">
        <f t="shared" si="3"/>
        <v>887.84599999999955</v>
      </c>
      <c r="DE17" s="529">
        <f t="shared" si="3"/>
        <v>899.68699999999922</v>
      </c>
      <c r="DF17" s="529">
        <f t="shared" si="3"/>
        <v>963.09699999999862</v>
      </c>
      <c r="DG17" s="529">
        <f t="shared" si="3"/>
        <v>1013.9900000000007</v>
      </c>
      <c r="DH17" s="529">
        <f t="shared" si="3"/>
        <v>1014.7080000000005</v>
      </c>
      <c r="DI17" s="527">
        <f>DI13-DI14-DI15</f>
        <v>1038.9590000000017</v>
      </c>
      <c r="DJ17" s="527">
        <f>DJ13-DJ14-DJ15</f>
        <v>1267.3740000000007</v>
      </c>
      <c r="DK17" s="529">
        <f t="shared" ref="DK17:DP17" si="4">DK13-DK14</f>
        <v>1455.5110000000004</v>
      </c>
      <c r="DL17" s="527">
        <f t="shared" si="4"/>
        <v>1434.7309999999961</v>
      </c>
      <c r="DM17" s="529">
        <f t="shared" si="4"/>
        <v>1991.0709999999999</v>
      </c>
      <c r="DN17" s="527">
        <f>DN13-DN14</f>
        <v>2332.5369999999966</v>
      </c>
      <c r="DO17" s="529">
        <f t="shared" si="4"/>
        <v>2515.8330000000028</v>
      </c>
      <c r="DP17" s="527">
        <f t="shared" si="4"/>
        <v>3106.5260000000017</v>
      </c>
      <c r="DQ17" s="527">
        <f t="shared" ref="DQ17:DV17" si="5">DQ13-DQ14</f>
        <v>3350.5699999999997</v>
      </c>
      <c r="DR17" s="527">
        <f t="shared" si="5"/>
        <v>3606.5009999999984</v>
      </c>
      <c r="DS17" s="527">
        <f t="shared" si="5"/>
        <v>3704.699999999998</v>
      </c>
      <c r="DT17" s="527">
        <f t="shared" si="5"/>
        <v>3849.5230000000056</v>
      </c>
      <c r="DU17" s="527">
        <f t="shared" si="5"/>
        <v>3987.4260000000031</v>
      </c>
      <c r="DV17" s="527">
        <f t="shared" si="5"/>
        <v>4110.2720385813982</v>
      </c>
      <c r="DW17" s="527">
        <f>DW13-DW14</f>
        <v>4458.6699465452666</v>
      </c>
      <c r="DX17" s="527">
        <f>DX13-DX14</f>
        <v>4828.0948065330867</v>
      </c>
      <c r="DY17" s="527">
        <f>DY13-DY14</f>
        <v>5170.4407515922476</v>
      </c>
      <c r="DZ17" s="512"/>
      <c r="EA17" s="537"/>
      <c r="EG17" s="487"/>
    </row>
    <row r="18" spans="1:140">
      <c r="A18" s="522"/>
      <c r="B18" s="527"/>
      <c r="C18" s="527"/>
      <c r="D18" s="527"/>
      <c r="E18" s="527"/>
      <c r="F18" s="527"/>
      <c r="G18" s="527"/>
      <c r="H18" s="527"/>
      <c r="I18" s="527"/>
      <c r="J18" s="527"/>
      <c r="K18" s="527"/>
      <c r="L18" s="527"/>
      <c r="M18" s="527"/>
      <c r="N18" s="527"/>
      <c r="O18" s="527"/>
      <c r="P18" s="527"/>
      <c r="Q18" s="527"/>
      <c r="R18" s="527"/>
      <c r="S18" s="527"/>
      <c r="T18" s="527"/>
      <c r="U18" s="527"/>
      <c r="V18" s="527"/>
      <c r="W18" s="527"/>
      <c r="X18" s="527"/>
      <c r="Y18" s="527"/>
      <c r="Z18" s="527"/>
      <c r="AA18" s="527"/>
      <c r="AB18" s="527"/>
      <c r="AC18" s="527"/>
      <c r="AD18" s="527"/>
      <c r="AE18" s="527"/>
      <c r="AF18" s="527"/>
      <c r="AG18" s="527"/>
      <c r="AH18" s="527"/>
      <c r="AI18" s="527"/>
      <c r="AJ18" s="527"/>
      <c r="AK18" s="527"/>
      <c r="AL18" s="527"/>
      <c r="AM18" s="527"/>
      <c r="AN18" s="527"/>
      <c r="AO18" s="527"/>
      <c r="AP18" s="527"/>
      <c r="AQ18" s="527"/>
      <c r="AR18" s="527"/>
      <c r="AS18" s="527"/>
      <c r="AT18" s="527"/>
      <c r="AU18" s="527"/>
      <c r="AV18" s="527"/>
      <c r="AW18" s="527"/>
      <c r="AX18" s="527"/>
      <c r="AY18" s="527"/>
      <c r="AZ18" s="527"/>
      <c r="BA18" s="527"/>
      <c r="BB18" s="527"/>
      <c r="BC18" s="527"/>
      <c r="BD18" s="527"/>
      <c r="BE18" s="527"/>
      <c r="BF18" s="527"/>
      <c r="BG18" s="527"/>
      <c r="BH18" s="527"/>
      <c r="BI18" s="527"/>
      <c r="BJ18" s="527"/>
      <c r="BK18" s="527"/>
      <c r="BL18" s="527"/>
      <c r="BM18" s="527"/>
      <c r="BN18" s="527"/>
      <c r="BO18" s="527"/>
      <c r="BP18" s="527"/>
      <c r="BQ18" s="527"/>
      <c r="BR18" s="527"/>
      <c r="BS18" s="527"/>
      <c r="BT18" s="527"/>
      <c r="BU18" s="527"/>
      <c r="BV18" s="527"/>
      <c r="BW18" s="527"/>
      <c r="BX18" s="527"/>
      <c r="BY18" s="527"/>
      <c r="BZ18" s="527"/>
      <c r="CA18" s="527"/>
      <c r="CB18" s="527"/>
      <c r="CC18" s="527"/>
      <c r="CD18" s="527"/>
      <c r="CE18" s="527"/>
      <c r="CF18" s="527"/>
      <c r="CG18" s="527"/>
      <c r="CH18" s="527"/>
      <c r="CI18" s="527"/>
      <c r="CJ18" s="527"/>
      <c r="CK18" s="527"/>
      <c r="CL18" s="527"/>
      <c r="CM18" s="527"/>
      <c r="CN18" s="527"/>
      <c r="CO18" s="527"/>
      <c r="CP18" s="527"/>
      <c r="CQ18" s="527"/>
      <c r="CR18" s="527"/>
      <c r="CS18" s="527"/>
      <c r="CT18" s="527"/>
      <c r="CU18" s="527"/>
      <c r="CV18" s="527"/>
      <c r="CW18" s="527"/>
      <c r="CX18" s="527"/>
      <c r="CY18" s="527"/>
      <c r="CZ18" s="527"/>
      <c r="DA18" s="527"/>
      <c r="DB18" s="527"/>
      <c r="DC18" s="527"/>
      <c r="DD18" s="527"/>
      <c r="DE18" s="529"/>
      <c r="DF18" s="529"/>
      <c r="DG18" s="529"/>
      <c r="DH18" s="529"/>
      <c r="DI18" s="527"/>
      <c r="DJ18" s="527"/>
      <c r="DK18" s="529"/>
      <c r="DL18" s="527"/>
      <c r="DM18" s="529"/>
      <c r="DN18" s="527"/>
      <c r="DO18" s="529"/>
      <c r="DP18" s="527"/>
      <c r="DQ18" s="527"/>
      <c r="DR18" s="527"/>
      <c r="DS18" s="527"/>
      <c r="DT18" s="527"/>
      <c r="DU18" s="527"/>
      <c r="DV18" s="527"/>
      <c r="DW18" s="527"/>
      <c r="DX18" s="527"/>
      <c r="DY18" s="527"/>
      <c r="DZ18" s="512"/>
      <c r="EG18" s="487"/>
    </row>
    <row r="19" spans="1:140">
      <c r="A19" s="531" t="s">
        <v>178</v>
      </c>
      <c r="B19" s="533"/>
      <c r="C19" s="533">
        <f>'qtrP&amp;L'!$AP81</f>
        <v>-0.73399999999999999</v>
      </c>
      <c r="D19" s="533">
        <f>'qtrP&amp;L'!$AP82</f>
        <v>1.964</v>
      </c>
      <c r="E19" s="533">
        <f>'qtrP&amp;L'!$AP83</f>
        <v>4.274</v>
      </c>
      <c r="F19" s="533">
        <f>'qtrP&amp;L'!$AP84</f>
        <v>1.841</v>
      </c>
      <c r="G19" s="533"/>
      <c r="H19" s="533">
        <f>'qtrP&amp;L'!$AT81</f>
        <v>2.7530000000000001</v>
      </c>
      <c r="I19" s="533">
        <f>'qtrP&amp;L'!$AT82</f>
        <v>5.0739999999999998</v>
      </c>
      <c r="J19" s="533">
        <f>'qtrP&amp;L'!$AT83</f>
        <v>9.3789999999999996</v>
      </c>
      <c r="K19" s="533">
        <f>'qtrP&amp;L'!$AT84</f>
        <v>5.6980000000000004</v>
      </c>
      <c r="L19" s="533"/>
      <c r="M19" s="533">
        <f>'qtrP&amp;L'!$AX81</f>
        <v>4.2160000000000002</v>
      </c>
      <c r="N19" s="533">
        <f>'qtrP&amp;L'!$AX82</f>
        <v>5.6879999999999997</v>
      </c>
      <c r="O19" s="533">
        <f>'qtrP&amp;L'!$AX83</f>
        <v>8.5370000000000008</v>
      </c>
      <c r="P19" s="533">
        <f>'qtrP&amp;L'!$AX84</f>
        <v>7.202</v>
      </c>
      <c r="Q19" s="533"/>
      <c r="R19" s="533">
        <f>'qtrP&amp;L'!$BB81</f>
        <v>6.194</v>
      </c>
      <c r="S19" s="533">
        <f>'qtrP&amp;L'!$BB82</f>
        <v>5.9630000000000001</v>
      </c>
      <c r="T19" s="533">
        <f>'qtrP&amp;L'!$BB83</f>
        <v>7.3129999999999997</v>
      </c>
      <c r="U19" s="533">
        <f>'qtrP&amp;L'!$BB84</f>
        <v>5.9029999999999996</v>
      </c>
      <c r="V19" s="533"/>
      <c r="W19" s="533">
        <f>'qtrP&amp;L'!$BF81</f>
        <v>6.9779999999999998</v>
      </c>
      <c r="X19" s="533">
        <f>'qtrP&amp;L'!$BF82</f>
        <v>7.2279999999999998</v>
      </c>
      <c r="Y19" s="533">
        <f>'qtrP&amp;L'!$BF83</f>
        <v>7.23</v>
      </c>
      <c r="Z19" s="533">
        <f>'qtrP&amp;L'!$BF84</f>
        <v>5.8159999999999998</v>
      </c>
      <c r="AA19" s="533"/>
      <c r="AB19" s="533">
        <f>'qtrP&amp;L'!$BJ81</f>
        <v>6.5830000000000002</v>
      </c>
      <c r="AC19" s="533">
        <f>'qtrP&amp;L'!$BJ82</f>
        <v>6.9930000000000003</v>
      </c>
      <c r="AD19" s="533">
        <f>'qtrP&amp;L'!$BJ83</f>
        <v>7.1340000000000003</v>
      </c>
      <c r="AE19" s="533">
        <f>'qtrP&amp;L'!$BJ84</f>
        <v>5.0469999999999997</v>
      </c>
      <c r="AF19" s="533"/>
      <c r="AG19" s="533">
        <f>'qtrP&amp;L'!$BN81</f>
        <v>6.0359999999999996</v>
      </c>
      <c r="AH19" s="533">
        <f>'qtrP&amp;L'!$BN82</f>
        <v>7.9169999999999998</v>
      </c>
      <c r="AI19" s="533">
        <f>'qtrP&amp;L'!$BN83</f>
        <v>10.119</v>
      </c>
      <c r="AJ19" s="533">
        <f>'qtrP&amp;L'!$BN84</f>
        <v>5.56</v>
      </c>
      <c r="AK19" s="533"/>
      <c r="AL19" s="533">
        <f>'qtrP&amp;L'!$BR81</f>
        <v>3.7589999999999999</v>
      </c>
      <c r="AM19" s="533">
        <f>'qtrP&amp;L'!$BR82</f>
        <v>5.4130000000000003</v>
      </c>
      <c r="AN19" s="533">
        <f>'qtrP&amp;L'!$BR83</f>
        <v>6.7839999999999998</v>
      </c>
      <c r="AO19" s="533">
        <f>'qtrP&amp;L'!$BR84</f>
        <v>-0.39</v>
      </c>
      <c r="AP19" s="533"/>
      <c r="AQ19" s="533">
        <f>'qtrP&amp;L'!$BV81</f>
        <v>-2.0760000000000001</v>
      </c>
      <c r="AR19" s="533">
        <f>'qtrP&amp;L'!$BV82</f>
        <v>-1.4</v>
      </c>
      <c r="AS19" s="533">
        <f>'qtrP&amp;L'!$BV83</f>
        <v>3.0529999999999999</v>
      </c>
      <c r="AT19" s="533">
        <f>'qtrP&amp;L'!$BV84</f>
        <v>-1.175</v>
      </c>
      <c r="AU19" s="533"/>
      <c r="AV19" s="533">
        <f>'qtrP&amp;L'!BZ81</f>
        <v>1.6739999999999999</v>
      </c>
      <c r="AW19" s="533">
        <f>'qtrP&amp;L'!BZ82</f>
        <v>2.641</v>
      </c>
      <c r="AX19" s="533">
        <f>'qtrP&amp;L'!BZ83</f>
        <v>5.4489999999999998</v>
      </c>
      <c r="AY19" s="533">
        <f>'qtrP&amp;L'!BZ84</f>
        <v>4.5270000000000001</v>
      </c>
      <c r="AZ19" s="533"/>
      <c r="BA19" s="533">
        <f>'qtrP&amp;L'!$CD$81</f>
        <v>6.601</v>
      </c>
      <c r="BB19" s="533">
        <f>'qtrP&amp;L'!$CD$82</f>
        <v>9.2490000000000006</v>
      </c>
      <c r="BC19" s="533">
        <f>'qtrP&amp;L'!$CD$83</f>
        <v>12.664999999999999</v>
      </c>
      <c r="BD19" s="533">
        <f>'qtrP&amp;L'!$CD$84</f>
        <v>10.994</v>
      </c>
      <c r="BE19" s="533"/>
      <c r="BF19" s="533">
        <f>'qtrP&amp;L'!$CH$81</f>
        <v>10.202</v>
      </c>
      <c r="BG19" s="533">
        <f>'qtrP&amp;L'!$CH$82</f>
        <v>10.272</v>
      </c>
      <c r="BH19" s="533">
        <f>'qtrP&amp;L'!$CH$83</f>
        <v>9.5180000000000007</v>
      </c>
      <c r="BI19" s="533">
        <f>'qtrP&amp;L'!$CH$84</f>
        <v>9.1449999999999996</v>
      </c>
      <c r="BJ19" s="533"/>
      <c r="BK19" s="533">
        <f>'qtrP&amp;L'!$CL$81</f>
        <v>8.9169999999999998</v>
      </c>
      <c r="BL19" s="533">
        <f>'qtrP&amp;L'!$CL$82</f>
        <v>9.109</v>
      </c>
      <c r="BM19" s="533">
        <f>'qtrP&amp;L'!$CL$83</f>
        <v>8.5510000000000002</v>
      </c>
      <c r="BN19" s="533">
        <f>'qtrP&amp;L'!$CL$84</f>
        <v>9.0709999999999997</v>
      </c>
      <c r="BO19" s="533"/>
      <c r="BP19" s="533">
        <f>'qtrP&amp;L'!$CP$81</f>
        <v>8.827</v>
      </c>
      <c r="BQ19" s="533">
        <f>'qtrP&amp;L'!$CP$82</f>
        <v>9.1820000000000004</v>
      </c>
      <c r="BR19" s="533">
        <f>'qtrP&amp;L'!$CP$83</f>
        <v>6.0890000000000004</v>
      </c>
      <c r="BS19" s="533">
        <f>'qtrP&amp;L'!$CP$84</f>
        <v>5.077</v>
      </c>
      <c r="BT19" s="533"/>
      <c r="BU19" s="533">
        <f>INDEX('qtrP&amp;L'!$81:$81,MATCH($BU$6,'qtrP&amp;L'!$6:$6,0))</f>
        <v>5.282</v>
      </c>
      <c r="BV19" s="533">
        <f>INDEX('qtrP&amp;L'!$82:$82,MATCH($BU$6,'qtrP&amp;L'!$6:$6,0))</f>
        <v>8.9190000000000005</v>
      </c>
      <c r="BW19" s="533">
        <f>INDEX('qtrP&amp;L'!$83:$83,MATCH($BU$6,'qtrP&amp;L'!$6:$6,0))</f>
        <v>9.3710000000000004</v>
      </c>
      <c r="BX19" s="533">
        <f>INDEX('qtrP&amp;L'!$84:$84,MATCH($BU$6,'qtrP&amp;L'!$6:$6,0))</f>
        <v>7.5090000000000003</v>
      </c>
      <c r="BY19" s="533"/>
      <c r="BZ19" s="533">
        <f>INDEX('qtrP&amp;L'!$81:$81,MATCH(BZ$6,'qtrP&amp;L'!$6:$6,0))</f>
        <v>9.5950000000000006</v>
      </c>
      <c r="CA19" s="533">
        <f>INDEX('qtrP&amp;L'!$82:$82,MATCH(BZ$6,'qtrP&amp;L'!$6:$6,0))</f>
        <v>11.15</v>
      </c>
      <c r="CB19" s="533">
        <f>INDEX('qtrP&amp;L'!$83:$83,MATCH(BZ$6,'qtrP&amp;L'!$6:$6,0))</f>
        <v>10.039999999999999</v>
      </c>
      <c r="CC19" s="533">
        <f>INDEX('qtrP&amp;L'!$84:$84,MATCH(BZ$6,'qtrP&amp;L'!$6:$6,0))</f>
        <v>9.0020000000000007</v>
      </c>
      <c r="CD19" s="533"/>
      <c r="CE19" s="533">
        <f>INDEX('qtrP&amp;L'!$81:$81,MATCH(CE$6,'qtrP&amp;L'!$6:$6,0))</f>
        <v>11.624000000000001</v>
      </c>
      <c r="CF19" s="533">
        <f>INDEX('qtrP&amp;L'!$82:$82,MATCH(CE$6,'qtrP&amp;L'!$6:$6,0))</f>
        <v>10.808</v>
      </c>
      <c r="CG19" s="533">
        <f>INDEX('qtrP&amp;L'!$83:$83,MATCH(CE$6,'qtrP&amp;L'!$6:$6,0))</f>
        <v>13.005000000000001</v>
      </c>
      <c r="CH19" s="533">
        <f>INDEX('qtrP&amp;L'!$84:$84,MATCH(CE$6,'qtrP&amp;L'!$6:$6,0))</f>
        <v>10.962999999999999</v>
      </c>
      <c r="CI19" s="533"/>
      <c r="CJ19" s="533">
        <f>INDEX('qtrP&amp;L'!$81:$81,MATCH(CJ$6,'qtrP&amp;L'!$6:$6,0))</f>
        <v>10.194000000000001</v>
      </c>
      <c r="CK19" s="533">
        <f>INDEX('qtrP&amp;L'!$82:$82,MATCH(CJ$6,'qtrP&amp;L'!$6:$6,0))</f>
        <v>11.262</v>
      </c>
      <c r="CL19" s="533">
        <f>INDEX('qtrP&amp;L'!$83:$83,MATCH(CJ$6,'qtrP&amp;L'!$6:$6,0))</f>
        <v>12.462</v>
      </c>
      <c r="CM19" s="533">
        <f>INDEX('qtrP&amp;L'!$84:$84,MATCH(CJ$6,'qtrP&amp;L'!$6:$6,0))</f>
        <v>9.6159999999999997</v>
      </c>
      <c r="CN19" s="533"/>
      <c r="CO19" s="533">
        <f>INDEX('qtrP&amp;L'!$81:$81,MATCH(CO$6,'qtrP&amp;L'!$6:$6,0))</f>
        <v>9.8409999999999993</v>
      </c>
      <c r="CP19" s="533">
        <f>INDEX('qtrP&amp;L'!$82:$82,MATCH(CO$6,'qtrP&amp;L'!$6:$6,0))</f>
        <v>9.6769999999999996</v>
      </c>
      <c r="CQ19" s="533">
        <f>INDEX('qtrP&amp;L'!$83:$83,MATCH(CO$6,'qtrP&amp;L'!$6:$6,0))</f>
        <v>7.9809999999999999</v>
      </c>
      <c r="CR19" s="533">
        <f>INDEX('qtrP&amp;L'!$84:$84,MATCH(CO$6,'qtrP&amp;L'!$6:$6,0))</f>
        <v>4.0890000000000004</v>
      </c>
      <c r="CS19" s="533"/>
      <c r="CT19" s="533">
        <f>INDEX('qtrP&amp;L'!$81:$81,MATCH(CT$6,'qtrP&amp;L'!$6:$6,0))</f>
        <v>5</v>
      </c>
      <c r="CU19" s="533">
        <f>INDEX('qtrP&amp;L'!$82:$82,MATCH(CT$6,'qtrP&amp;L'!$6:$6,0))</f>
        <v>7</v>
      </c>
      <c r="CV19" s="533">
        <f>INDEX('qtrP&amp;L'!$83:$83,MATCH(CT$6,'qtrP&amp;L'!$6:$6,0))</f>
        <v>7</v>
      </c>
      <c r="CW19" s="533">
        <f>INDEX('qtrP&amp;L'!$84:$84,MATCH(CT$6,'qtrP&amp;L'!$6:$6,0))</f>
        <v>7</v>
      </c>
      <c r="CX19" s="533"/>
      <c r="CY19" s="533"/>
      <c r="CZ19" s="533">
        <f>'yrP&amp;L'!H34</f>
        <v>37.35</v>
      </c>
      <c r="DA19" s="533">
        <f>'yrP&amp;L'!I34</f>
        <v>4.5020000000000007</v>
      </c>
      <c r="DB19" s="533">
        <f>'yrP&amp;L'!J34</f>
        <v>1.6859999999999997</v>
      </c>
      <c r="DC19" s="533">
        <f>'yrP&amp;L'!K34</f>
        <v>7.3449999999999998</v>
      </c>
      <c r="DD19" s="533">
        <f>'yrP&amp;L'!L34</f>
        <v>22.904</v>
      </c>
      <c r="DE19" s="531">
        <f>'yrP&amp;L'!M34</f>
        <v>25.643000000000001</v>
      </c>
      <c r="DF19" s="531">
        <f>'yrP&amp;L'!N34</f>
        <v>25.372999999999998</v>
      </c>
      <c r="DG19" s="531">
        <f>'yrP&amp;L'!O34</f>
        <v>27.251999999999999</v>
      </c>
      <c r="DH19" s="531">
        <f>'yrP&amp;L'!P34</f>
        <v>25.757000000000001</v>
      </c>
      <c r="DI19" s="534">
        <f>'yrP&amp;L'!Q34</f>
        <v>29.631999999999998</v>
      </c>
      <c r="DJ19" s="534">
        <f>'yrP&amp;L'!R34</f>
        <v>15.565999999999999</v>
      </c>
      <c r="DK19" s="535">
        <f>'yrP&amp;L'!S34</f>
        <v>-1.5980000000000001</v>
      </c>
      <c r="DL19" s="534">
        <f>'yrP&amp;L'!T34</f>
        <v>14.291</v>
      </c>
      <c r="DM19" s="535">
        <f>'yrP&amp;L'!U34</f>
        <v>39.509</v>
      </c>
      <c r="DN19" s="534">
        <f>'yrP&amp;L'!V34</f>
        <v>39.137</v>
      </c>
      <c r="DO19" s="531">
        <f>'yrP&amp;L'!W34</f>
        <v>35.647999999999996</v>
      </c>
      <c r="DP19" s="533">
        <f>'yrP&amp;L'!X34</f>
        <v>29.174999999999997</v>
      </c>
      <c r="DQ19" s="533">
        <f>'yrP&amp;L'!Y34</f>
        <v>31.081000000000003</v>
      </c>
      <c r="DR19" s="533">
        <f>'yrP&amp;L'!Z34</f>
        <v>39.786999999999999</v>
      </c>
      <c r="DS19" s="533">
        <f>'yrP&amp;L'!AA34</f>
        <v>46.400000000000006</v>
      </c>
      <c r="DT19" s="533">
        <f>'yrP&amp;L'!AB34</f>
        <v>43.534000000000006</v>
      </c>
      <c r="DU19" s="533">
        <f>'yrP&amp;L'!AC34</f>
        <v>31.588000000000001</v>
      </c>
      <c r="DV19" s="533">
        <f>'yrP&amp;L'!AD34</f>
        <v>26</v>
      </c>
      <c r="DW19" s="533">
        <f>'yrP&amp;L'!AE34</f>
        <v>26</v>
      </c>
      <c r="DX19" s="533">
        <f>'yrP&amp;L'!AF34</f>
        <v>26</v>
      </c>
      <c r="DY19" s="533">
        <f>'yrP&amp;L'!AG34</f>
        <v>26</v>
      </c>
      <c r="DZ19" s="512"/>
      <c r="EA19" s="538"/>
      <c r="EG19" s="487"/>
    </row>
    <row r="20" spans="1:140" outlineLevel="1">
      <c r="A20" s="531" t="s">
        <v>504</v>
      </c>
      <c r="B20" s="533"/>
      <c r="C20" s="533"/>
      <c r="D20" s="533"/>
      <c r="E20" s="533"/>
      <c r="F20" s="533"/>
      <c r="G20" s="533"/>
      <c r="H20" s="533"/>
      <c r="I20" s="533"/>
      <c r="J20" s="533"/>
      <c r="K20" s="533"/>
      <c r="L20" s="533"/>
      <c r="M20" s="533"/>
      <c r="N20" s="533"/>
      <c r="O20" s="533"/>
      <c r="P20" s="533"/>
      <c r="Q20" s="533"/>
      <c r="R20" s="533"/>
      <c r="S20" s="533"/>
      <c r="T20" s="533"/>
      <c r="U20" s="533"/>
      <c r="V20" s="533"/>
      <c r="W20" s="533"/>
      <c r="X20" s="533"/>
      <c r="Y20" s="533"/>
      <c r="Z20" s="533"/>
      <c r="AA20" s="533"/>
      <c r="AB20" s="533"/>
      <c r="AC20" s="533"/>
      <c r="AD20" s="533"/>
      <c r="AE20" s="533"/>
      <c r="AF20" s="533"/>
      <c r="AG20" s="533"/>
      <c r="AH20" s="533"/>
      <c r="AI20" s="533"/>
      <c r="AJ20" s="533"/>
      <c r="AK20" s="533"/>
      <c r="AL20" s="533"/>
      <c r="AM20" s="533"/>
      <c r="AN20" s="533"/>
      <c r="AO20" s="533"/>
      <c r="AP20" s="533"/>
      <c r="AQ20" s="533"/>
      <c r="AR20" s="533"/>
      <c r="AS20" s="533"/>
      <c r="AT20" s="533"/>
      <c r="AU20" s="533"/>
      <c r="AV20" s="533"/>
      <c r="AW20" s="533"/>
      <c r="AX20" s="533"/>
      <c r="AY20" s="533"/>
      <c r="AZ20" s="533"/>
      <c r="BA20" s="533"/>
      <c r="BB20" s="533"/>
      <c r="BC20" s="533"/>
      <c r="BD20" s="533"/>
      <c r="BE20" s="533"/>
      <c r="BF20" s="533"/>
      <c r="BG20" s="533"/>
      <c r="BH20" s="533"/>
      <c r="BI20" s="533"/>
      <c r="BJ20" s="533"/>
      <c r="BK20" s="533"/>
      <c r="BL20" s="533"/>
      <c r="BM20" s="533"/>
      <c r="BN20" s="533"/>
      <c r="BO20" s="533"/>
      <c r="BP20" s="533"/>
      <c r="BQ20" s="533"/>
      <c r="BR20" s="533"/>
      <c r="BS20" s="533"/>
      <c r="BT20" s="533"/>
      <c r="BU20" s="533"/>
      <c r="BV20" s="533"/>
      <c r="BW20" s="533"/>
      <c r="BX20" s="533"/>
      <c r="BY20" s="533"/>
      <c r="BZ20" s="533"/>
      <c r="CA20" s="533"/>
      <c r="CB20" s="533"/>
      <c r="CC20" s="533"/>
      <c r="CD20" s="533"/>
      <c r="CE20" s="533"/>
      <c r="CF20" s="533"/>
      <c r="CG20" s="533"/>
      <c r="CH20" s="533"/>
      <c r="CI20" s="533"/>
      <c r="CJ20" s="533"/>
      <c r="CK20" s="533"/>
      <c r="CL20" s="533"/>
      <c r="CM20" s="533"/>
      <c r="CN20" s="533"/>
      <c r="CO20" s="533"/>
      <c r="CP20" s="533"/>
      <c r="CQ20" s="533"/>
      <c r="CR20" s="533">
        <f>'qtrP&amp;L'!DJ75</f>
        <v>99.25</v>
      </c>
      <c r="CS20" s="533"/>
      <c r="CT20" s="533"/>
      <c r="CU20" s="533"/>
      <c r="CV20" s="533"/>
      <c r="CW20" s="533"/>
      <c r="CX20" s="533"/>
      <c r="CY20" s="533"/>
      <c r="CZ20" s="533"/>
      <c r="DA20" s="533"/>
      <c r="DB20" s="533"/>
      <c r="DC20" s="533"/>
      <c r="DD20" s="533"/>
      <c r="DE20" s="531"/>
      <c r="DF20" s="531"/>
      <c r="DG20" s="531"/>
      <c r="DH20" s="531"/>
      <c r="DI20" s="534"/>
      <c r="DJ20" s="534"/>
      <c r="DK20" s="535"/>
      <c r="DL20" s="534"/>
      <c r="DM20" s="535"/>
      <c r="DN20" s="534"/>
      <c r="DO20" s="531"/>
      <c r="DP20" s="533"/>
      <c r="DQ20" s="533"/>
      <c r="DR20" s="533"/>
      <c r="DS20" s="533"/>
      <c r="DT20" s="533"/>
      <c r="DU20" s="533">
        <f>'qtrP&amp;L'!DJ76</f>
        <v>99.25</v>
      </c>
      <c r="DV20" s="533"/>
      <c r="DW20" s="533"/>
      <c r="DX20" s="533"/>
      <c r="DY20" s="533"/>
      <c r="DZ20" s="512"/>
      <c r="EA20" s="487"/>
      <c r="EG20" s="487"/>
    </row>
    <row r="21" spans="1:140">
      <c r="A21" s="531" t="s">
        <v>455</v>
      </c>
      <c r="B21" s="527"/>
      <c r="C21" s="527">
        <f>C17-C19</f>
        <v>201.77200000000019</v>
      </c>
      <c r="D21" s="527">
        <f>D17-D19</f>
        <v>185.15800000000007</v>
      </c>
      <c r="E21" s="527">
        <f>E17-E19</f>
        <v>246.19100000000009</v>
      </c>
      <c r="F21" s="527">
        <f>F17-F19</f>
        <v>220.8160000000002</v>
      </c>
      <c r="G21" s="527"/>
      <c r="H21" s="527">
        <f>H17-H19</f>
        <v>213.36600000000004</v>
      </c>
      <c r="I21" s="527">
        <f>I17-I19</f>
        <v>186.32799999999997</v>
      </c>
      <c r="J21" s="527">
        <f>J17-J19</f>
        <v>258.61799999999999</v>
      </c>
      <c r="K21" s="527">
        <f>K17-K19</f>
        <v>206.6299999999998</v>
      </c>
      <c r="L21" s="527"/>
      <c r="M21" s="527">
        <f>M17-M19</f>
        <v>199.79199999999997</v>
      </c>
      <c r="N21" s="527">
        <f>N17-N19</f>
        <v>180.7879999999999</v>
      </c>
      <c r="O21" s="527">
        <f>O17-O19</f>
        <v>241.51499999999967</v>
      </c>
      <c r="P21" s="527">
        <f>P17-P19</f>
        <v>251.94899999999978</v>
      </c>
      <c r="Q21" s="527"/>
      <c r="R21" s="527">
        <f>R17-R19</f>
        <v>237.64699999999996</v>
      </c>
      <c r="S21" s="527">
        <f>S17-S19</f>
        <v>210.86200000000005</v>
      </c>
      <c r="T21" s="527">
        <f>T17-T19</f>
        <v>239.15999999999985</v>
      </c>
      <c r="U21" s="527">
        <f>U17-U19</f>
        <v>250.05500000000032</v>
      </c>
      <c r="V21" s="527"/>
      <c r="W21" s="527">
        <f>W17-W19</f>
        <v>165.57299999999987</v>
      </c>
      <c r="X21" s="527">
        <f>X17-X19</f>
        <v>181.46300000000002</v>
      </c>
      <c r="Y21" s="527">
        <f>Y17-Y19</f>
        <v>278.32600000000002</v>
      </c>
      <c r="Z21" s="527">
        <f>Z17-Z19</f>
        <v>361.37599999999981</v>
      </c>
      <c r="AA21" s="527"/>
      <c r="AB21" s="527">
        <f>AB17-AB19</f>
        <v>252.35499999999999</v>
      </c>
      <c r="AC21" s="527">
        <f>AC17-AC19</f>
        <v>172.35100000000006</v>
      </c>
      <c r="AD21" s="527">
        <f>AD17-AD19</f>
        <v>300.30000000000007</v>
      </c>
      <c r="AE21" s="527">
        <f>AE17-AE19</f>
        <v>263.9450000000005</v>
      </c>
      <c r="AF21" s="527"/>
      <c r="AG21" s="527">
        <f>AG17-AG19</f>
        <v>219.78000000000014</v>
      </c>
      <c r="AH21" s="527">
        <f>AH17-AH19</f>
        <v>179.94500000000008</v>
      </c>
      <c r="AI21" s="527">
        <f>AI17-AI19</f>
        <v>257.31599999999969</v>
      </c>
      <c r="AJ21" s="527">
        <f>AJ17-AJ19</f>
        <v>352.28600000000034</v>
      </c>
      <c r="AK21" s="527"/>
      <c r="AL21" s="527">
        <f>AL17-AL19</f>
        <v>260.48199999999963</v>
      </c>
      <c r="AM21" s="527">
        <f>AM17-AM19</f>
        <v>230.65900000000022</v>
      </c>
      <c r="AN21" s="527">
        <f>AN17-AN19</f>
        <v>375.72600000000023</v>
      </c>
      <c r="AO21" s="527">
        <f>AO17-AO19-'qtrP&amp;L'!BR75</f>
        <v>379.98100000000051</v>
      </c>
      <c r="AP21" s="527"/>
      <c r="AQ21" s="527">
        <f>AQ17-AQ19</f>
        <v>290.21000000000015</v>
      </c>
      <c r="AR21" s="527">
        <f>AR17-AR19</f>
        <v>291.44999999999959</v>
      </c>
      <c r="AS21" s="527">
        <f>AS17-AS19</f>
        <v>403.32099999999991</v>
      </c>
      <c r="AT21" s="527">
        <f>AT17-AT19</f>
        <v>491.02800000000019</v>
      </c>
      <c r="AU21" s="527"/>
      <c r="AV21" s="527">
        <f>AV17-AV19</f>
        <v>296.55200000000013</v>
      </c>
      <c r="AW21" s="527">
        <f>AW17-AW19</f>
        <v>337.37500000000017</v>
      </c>
      <c r="AX21" s="527">
        <f>AX17-AX19</f>
        <v>411.25799999999998</v>
      </c>
      <c r="AY21" s="527">
        <f>AY17-AY19</f>
        <v>375.25499999999948</v>
      </c>
      <c r="AZ21" s="527"/>
      <c r="BA21" s="527">
        <f>BA17-BA19</f>
        <v>339.22000000000014</v>
      </c>
      <c r="BB21" s="527">
        <f>BB17-BB19</f>
        <v>413.10100000000011</v>
      </c>
      <c r="BC21" s="527">
        <f>BC17-BC19</f>
        <v>566.00499999999988</v>
      </c>
      <c r="BD21" s="527">
        <f>BD17-BD19</f>
        <v>633.23600000000022</v>
      </c>
      <c r="BE21" s="527"/>
      <c r="BF21" s="527">
        <f>BF17-BF19</f>
        <v>536.30099999999993</v>
      </c>
      <c r="BG21" s="527">
        <f>BG17-BG19-BG20</f>
        <v>484.79699999999985</v>
      </c>
      <c r="BH21" s="527">
        <f>BH17-BH19</f>
        <v>597.11699999999973</v>
      </c>
      <c r="BI21" s="527">
        <f>BI17-BI19</f>
        <v>675.18500000000017</v>
      </c>
      <c r="BJ21" s="527"/>
      <c r="BK21" s="527">
        <f>BK17-BK19</f>
        <v>498.41699999999997</v>
      </c>
      <c r="BL21" s="527">
        <f>BL17-BL19</f>
        <v>559.43700000000047</v>
      </c>
      <c r="BM21" s="527">
        <f>BM17-BM19</f>
        <v>663.75199999999916</v>
      </c>
      <c r="BN21" s="527">
        <f>BN17-BN19</f>
        <v>758.57900000000006</v>
      </c>
      <c r="BO21" s="527"/>
      <c r="BP21" s="527">
        <f>BP17-BP19</f>
        <v>681.4050000000002</v>
      </c>
      <c r="BQ21" s="527">
        <f>BQ17-BQ19</f>
        <v>682.78999999999985</v>
      </c>
      <c r="BR21" s="527">
        <f>BR17-BR19</f>
        <v>748.46899999999926</v>
      </c>
      <c r="BS21" s="527">
        <f>BS17-BS19</f>
        <v>964.68700000000058</v>
      </c>
      <c r="BT21" s="527"/>
      <c r="BU21" s="527">
        <f>BU17-BU19</f>
        <v>731.88499999999999</v>
      </c>
      <c r="BV21" s="527">
        <f>BV17-BV19</f>
        <v>772.44600000000048</v>
      </c>
      <c r="BW21" s="527">
        <f>BW17-BW19</f>
        <v>879.37200000000018</v>
      </c>
      <c r="BX21" s="527">
        <f>BX17-BX19</f>
        <v>935.78600000000006</v>
      </c>
      <c r="BY21" s="527"/>
      <c r="BZ21" s="527">
        <f>BZ17-BZ19</f>
        <v>730.5310000000004</v>
      </c>
      <c r="CA21" s="527">
        <f>CA17-CA19</f>
        <v>847.44800000000066</v>
      </c>
      <c r="CB21" s="527">
        <f>CB17-CB19</f>
        <v>959.09999999999991</v>
      </c>
      <c r="CC21" s="527">
        <f>CC17-CC19</f>
        <v>1029.6349999999993</v>
      </c>
      <c r="CD21" s="527"/>
      <c r="CE21" s="527">
        <f>CE17-CE19</f>
        <v>765.11499999999978</v>
      </c>
      <c r="CF21" s="527">
        <f>CF17-CF19</f>
        <v>886.19399999999996</v>
      </c>
      <c r="CG21" s="527">
        <f>CG17-CG19</f>
        <v>941.18999999999949</v>
      </c>
      <c r="CH21" s="527">
        <f>CH17-CH19</f>
        <v>1065.8010000000008</v>
      </c>
      <c r="CI21" s="527"/>
      <c r="CJ21" s="527">
        <f>CJ17-CJ19</f>
        <v>824.96899999999982</v>
      </c>
      <c r="CK21" s="527">
        <f>CK17-CK19</f>
        <v>914.58199999999965</v>
      </c>
      <c r="CL21" s="527">
        <f>CL17-CL19</f>
        <v>972.77900000000045</v>
      </c>
      <c r="CM21" s="527">
        <f>CM17-CM19</f>
        <v>1093.6590000000008</v>
      </c>
      <c r="CN21" s="527"/>
      <c r="CO21" s="527">
        <f>CO17-CO19</f>
        <v>832.50800000000015</v>
      </c>
      <c r="CP21" s="527">
        <f>CP17-CP19</f>
        <v>891.70000000000061</v>
      </c>
      <c r="CQ21" s="527">
        <f>CQ17-CQ19</f>
        <v>1019.9999999999989</v>
      </c>
      <c r="CR21" s="527">
        <f>CR17-CR19-CR20</f>
        <v>1112.3799999999997</v>
      </c>
      <c r="CS21" s="527"/>
      <c r="CT21" s="527">
        <f>CT17-CT19</f>
        <v>872.11106988799952</v>
      </c>
      <c r="CU21" s="527">
        <f>CU17-CU19</f>
        <v>938.69031157500103</v>
      </c>
      <c r="CV21" s="527">
        <f>CV17-CV19</f>
        <v>1070.0991160784013</v>
      </c>
      <c r="CW21" s="527">
        <f>CW17-CW19</f>
        <v>1203.3715410399993</v>
      </c>
      <c r="CX21" s="527"/>
      <c r="CY21" s="527"/>
      <c r="CZ21" s="527">
        <f>CZ17-CZ19</f>
        <v>366.14000000000044</v>
      </c>
      <c r="DA21" s="527">
        <f>DA17-DA19</f>
        <v>522.27100000000019</v>
      </c>
      <c r="DB21" s="527">
        <f>DB17-DB19</f>
        <v>703.51200000000074</v>
      </c>
      <c r="DC21" s="527">
        <f>DC17-DC19</f>
        <v>853.93700000000013</v>
      </c>
      <c r="DD21" s="527">
        <f t="shared" ref="DD21:DP21" si="6">DD17-DD19</f>
        <v>864.94199999999955</v>
      </c>
      <c r="DE21" s="529">
        <f t="shared" si="6"/>
        <v>874.04399999999919</v>
      </c>
      <c r="DF21" s="529">
        <f t="shared" si="6"/>
        <v>937.72399999999857</v>
      </c>
      <c r="DG21" s="529">
        <f t="shared" si="6"/>
        <v>986.73800000000074</v>
      </c>
      <c r="DH21" s="529">
        <f t="shared" si="6"/>
        <v>988.95100000000059</v>
      </c>
      <c r="DI21" s="527">
        <f t="shared" si="6"/>
        <v>1009.3270000000017</v>
      </c>
      <c r="DJ21" s="527">
        <f t="shared" si="6"/>
        <v>1251.8080000000007</v>
      </c>
      <c r="DK21" s="529">
        <f t="shared" si="6"/>
        <v>1457.1090000000004</v>
      </c>
      <c r="DL21" s="527">
        <f t="shared" si="6"/>
        <v>1420.4399999999962</v>
      </c>
      <c r="DM21" s="529">
        <f t="shared" si="6"/>
        <v>1951.5619999999999</v>
      </c>
      <c r="DN21" s="527">
        <f>DN17-DN19-DN20</f>
        <v>2293.3999999999965</v>
      </c>
      <c r="DO21" s="529">
        <f t="shared" si="6"/>
        <v>2480.1850000000027</v>
      </c>
      <c r="DP21" s="527">
        <f t="shared" si="6"/>
        <v>3077.3510000000015</v>
      </c>
      <c r="DQ21" s="527">
        <f t="shared" ref="DQ21:DV21" si="7">DQ17-DQ19</f>
        <v>3319.4889999999996</v>
      </c>
      <c r="DR21" s="527">
        <f t="shared" si="7"/>
        <v>3566.7139999999986</v>
      </c>
      <c r="DS21" s="527">
        <f t="shared" si="7"/>
        <v>3658.2999999999979</v>
      </c>
      <c r="DT21" s="527">
        <f t="shared" si="7"/>
        <v>3805.9890000000055</v>
      </c>
      <c r="DU21" s="527">
        <f>DU17-DU19-DU20</f>
        <v>3856.5880000000029</v>
      </c>
      <c r="DV21" s="527">
        <f t="shared" si="7"/>
        <v>4084.2720385813982</v>
      </c>
      <c r="DW21" s="527">
        <f>DW17-DW19</f>
        <v>4432.6699465452666</v>
      </c>
      <c r="DX21" s="527">
        <f>DX17-DX19</f>
        <v>4802.0948065330867</v>
      </c>
      <c r="DY21" s="527">
        <f>DY17-DY19</f>
        <v>5144.4407515922476</v>
      </c>
      <c r="DZ21" s="512"/>
      <c r="EA21" s="487"/>
      <c r="EG21" s="487"/>
    </row>
    <row r="22" spans="1:140">
      <c r="A22" s="531"/>
      <c r="B22" s="539"/>
      <c r="C22" s="539"/>
      <c r="D22" s="539"/>
      <c r="E22" s="539"/>
      <c r="F22" s="539"/>
      <c r="G22" s="539"/>
      <c r="H22" s="539"/>
      <c r="I22" s="539"/>
      <c r="J22" s="539"/>
      <c r="K22" s="539"/>
      <c r="L22" s="539"/>
      <c r="M22" s="539"/>
      <c r="N22" s="539"/>
      <c r="O22" s="539"/>
      <c r="P22" s="539"/>
      <c r="Q22" s="539"/>
      <c r="R22" s="539"/>
      <c r="S22" s="539"/>
      <c r="T22" s="539"/>
      <c r="U22" s="539"/>
      <c r="V22" s="539"/>
      <c r="W22" s="539"/>
      <c r="X22" s="539"/>
      <c r="Y22" s="539"/>
      <c r="Z22" s="539"/>
      <c r="AA22" s="539"/>
      <c r="AB22" s="539"/>
      <c r="AC22" s="539"/>
      <c r="AD22" s="539"/>
      <c r="AE22" s="539"/>
      <c r="AF22" s="539"/>
      <c r="AG22" s="539"/>
      <c r="AH22" s="539"/>
      <c r="AI22" s="539"/>
      <c r="AJ22" s="539"/>
      <c r="AK22" s="539"/>
      <c r="AL22" s="539"/>
      <c r="AM22" s="539"/>
      <c r="AN22" s="539"/>
      <c r="AO22" s="539"/>
      <c r="AP22" s="539"/>
      <c r="AQ22" s="539"/>
      <c r="AR22" s="539"/>
      <c r="AS22" s="539"/>
      <c r="AT22" s="539"/>
      <c r="AU22" s="539"/>
      <c r="AV22" s="539"/>
      <c r="AW22" s="539"/>
      <c r="AX22" s="539"/>
      <c r="AY22" s="539"/>
      <c r="AZ22" s="539"/>
      <c r="BA22" s="539"/>
      <c r="BB22" s="539"/>
      <c r="BC22" s="539"/>
      <c r="BD22" s="539"/>
      <c r="BE22" s="539"/>
      <c r="BF22" s="539"/>
      <c r="BG22" s="539"/>
      <c r="BH22" s="539"/>
      <c r="BI22" s="539"/>
      <c r="BJ22" s="539"/>
      <c r="BK22" s="539"/>
      <c r="BL22" s="539"/>
      <c r="BM22" s="539"/>
      <c r="BN22" s="539"/>
      <c r="BO22" s="539"/>
      <c r="BP22" s="539"/>
      <c r="BQ22" s="539"/>
      <c r="BR22" s="539"/>
      <c r="BS22" s="539"/>
      <c r="BT22" s="539"/>
      <c r="BU22" s="539"/>
      <c r="BV22" s="539"/>
      <c r="BW22" s="539"/>
      <c r="BX22" s="539"/>
      <c r="BY22" s="539"/>
      <c r="BZ22" s="539"/>
      <c r="CA22" s="539"/>
      <c r="CB22" s="539"/>
      <c r="CC22" s="539"/>
      <c r="CD22" s="539"/>
      <c r="CE22" s="539"/>
      <c r="CF22" s="539"/>
      <c r="CG22" s="539"/>
      <c r="CH22" s="539"/>
      <c r="CI22" s="539"/>
      <c r="CJ22" s="539"/>
      <c r="CK22" s="539"/>
      <c r="CL22" s="539"/>
      <c r="CM22" s="539"/>
      <c r="CN22" s="539"/>
      <c r="CO22" s="539"/>
      <c r="CP22" s="539"/>
      <c r="CQ22" s="539"/>
      <c r="CR22" s="539"/>
      <c r="CS22" s="539"/>
      <c r="CT22" s="539"/>
      <c r="CU22" s="539"/>
      <c r="CV22" s="539"/>
      <c r="CW22" s="539"/>
      <c r="CX22" s="539"/>
      <c r="CY22" s="539"/>
      <c r="CZ22" s="539"/>
      <c r="DA22" s="539"/>
      <c r="DB22" s="539"/>
      <c r="DC22" s="539"/>
      <c r="DD22" s="539"/>
      <c r="DE22" s="540"/>
      <c r="DF22" s="540"/>
      <c r="DG22" s="540"/>
      <c r="DH22" s="540"/>
      <c r="DI22" s="541"/>
      <c r="DJ22" s="541"/>
      <c r="DK22" s="542"/>
      <c r="DL22" s="541"/>
      <c r="DM22" s="542"/>
      <c r="DN22" s="541"/>
      <c r="DO22" s="540"/>
      <c r="DP22" s="539"/>
      <c r="DQ22" s="539"/>
      <c r="DR22" s="539"/>
      <c r="DS22" s="539"/>
      <c r="DT22" s="539"/>
      <c r="DU22" s="539"/>
      <c r="DV22" s="539"/>
      <c r="DW22" s="539"/>
      <c r="DX22" s="539"/>
      <c r="DY22" s="539"/>
      <c r="DZ22" s="512"/>
      <c r="EA22" s="487"/>
      <c r="EG22" s="487"/>
    </row>
    <row r="23" spans="1:140">
      <c r="A23" s="531" t="s">
        <v>456</v>
      </c>
      <c r="B23" s="533"/>
      <c r="C23" s="533">
        <f>'qtrP&amp;L'!$AP110</f>
        <v>79.498000000000005</v>
      </c>
      <c r="D23" s="533">
        <f>'qtrP&amp;L'!$AP111</f>
        <v>69.277000000000001</v>
      </c>
      <c r="E23" s="533">
        <f>'qtrP&amp;L'!$AP112</f>
        <v>94.474000000000004</v>
      </c>
      <c r="F23" s="533">
        <f>'qtrP&amp;L'!$AP113</f>
        <v>83.866</v>
      </c>
      <c r="G23" s="533"/>
      <c r="H23" s="533">
        <f>'qtrP&amp;L'!$AT$110</f>
        <v>82.786000000000001</v>
      </c>
      <c r="I23" s="533">
        <f>'qtrP&amp;L'!$AT111</f>
        <v>72.295000000000002</v>
      </c>
      <c r="J23" s="533">
        <f>'qtrP&amp;L'!$AT112</f>
        <v>100.34399999999999</v>
      </c>
      <c r="K23" s="533">
        <f>'qtrP&amp;L'!$AT113</f>
        <v>71.450999999999993</v>
      </c>
      <c r="L23" s="533"/>
      <c r="M23" s="533">
        <f>'qtrP&amp;L'!$AX$110</f>
        <v>76.120999999999995</v>
      </c>
      <c r="N23" s="533">
        <f>'qtrP&amp;L'!$AX111</f>
        <v>68.88</v>
      </c>
      <c r="O23" s="533">
        <f>'qtrP&amp;L'!$AX112</f>
        <v>92.016999999999996</v>
      </c>
      <c r="P23" s="533">
        <f>'qtrP&amp;L'!$AX113</f>
        <v>96.629000000000005</v>
      </c>
      <c r="Q23" s="533"/>
      <c r="R23" s="533">
        <f>'qtrP&amp;L'!$BB$110</f>
        <v>90.543999999999997</v>
      </c>
      <c r="S23" s="533">
        <f>'qtrP&amp;L'!$BB111</f>
        <v>81.234999999999999</v>
      </c>
      <c r="T23" s="533">
        <f>'qtrP&amp;L'!$BB112</f>
        <v>91.805000000000007</v>
      </c>
      <c r="U23" s="533">
        <f>'qtrP&amp;L'!$BB113</f>
        <v>95.751999999999995</v>
      </c>
      <c r="V23" s="533"/>
      <c r="W23" s="533">
        <f>'qtrP&amp;L'!$BF$110</f>
        <v>63.820999999999998</v>
      </c>
      <c r="X23" s="533">
        <f>'qtrP&amp;L'!$BF111</f>
        <v>69.971999999999994</v>
      </c>
      <c r="Y23" s="533">
        <f>'qtrP&amp;L'!$BF112</f>
        <v>108.51600000000001</v>
      </c>
      <c r="Z23" s="533">
        <f>'qtrP&amp;L'!$BF113</f>
        <v>135.017</v>
      </c>
      <c r="AA23" s="533"/>
      <c r="AB23" s="533">
        <f>'qtrP&amp;L'!$BJ$110</f>
        <v>97.430999999999997</v>
      </c>
      <c r="AC23" s="533">
        <f>'qtrP&amp;L'!$BJ111</f>
        <v>66.998000000000005</v>
      </c>
      <c r="AD23" s="533">
        <f>'qtrP&amp;L'!$BJ112</f>
        <v>115.858</v>
      </c>
      <c r="AE23" s="533">
        <f>'qtrP&amp;L'!$BJ113</f>
        <v>98.965000000000003</v>
      </c>
      <c r="AF23" s="533"/>
      <c r="AG23" s="533">
        <f>'qtrP&amp;L'!$BN$110</f>
        <v>84.198999999999998</v>
      </c>
      <c r="AH23" s="533">
        <f>'qtrP&amp;L'!$BN111</f>
        <v>69.131</v>
      </c>
      <c r="AI23" s="533">
        <f>'qtrP&amp;L'!$BN112</f>
        <v>101.991</v>
      </c>
      <c r="AJ23" s="533">
        <f>'qtrP&amp;L'!$BN113</f>
        <v>63.582999999999998</v>
      </c>
      <c r="AK23" s="533"/>
      <c r="AL23" s="533">
        <f>'qtrP&amp;L'!$BR$110</f>
        <v>96.62</v>
      </c>
      <c r="AM23" s="533">
        <f>'qtrP&amp;L'!$BR111</f>
        <v>91.834999999999994</v>
      </c>
      <c r="AN23" s="533">
        <f>'qtrP&amp;L'!$BR112</f>
        <v>144.90700000000001</v>
      </c>
      <c r="AO23" s="533">
        <f>'qtrP&amp;L'!$BR113</f>
        <v>136.72999999999999</v>
      </c>
      <c r="AP23" s="533"/>
      <c r="AQ23" s="533">
        <f>'qtrP&amp;L'!$BV$110</f>
        <v>104.09399999999999</v>
      </c>
      <c r="AR23" s="533">
        <f>'qtrP&amp;L'!$BV111</f>
        <v>34.335949999999997</v>
      </c>
      <c r="AS23" s="533">
        <f>'qtrP&amp;L'!$BV112</f>
        <v>152.06</v>
      </c>
      <c r="AT23" s="533">
        <f>'qtrP&amp;L'!$BV113</f>
        <v>187.16499999999999</v>
      </c>
      <c r="AU23" s="533"/>
      <c r="AV23" s="533">
        <f>'qtrP&amp;L'!BZ110</f>
        <v>98.552000000000007</v>
      </c>
      <c r="AW23" s="533">
        <f>'qtrP&amp;L'!BZ111</f>
        <v>125.30200000000001</v>
      </c>
      <c r="AX23" s="533">
        <f>'qtrP&amp;L'!BZ112</f>
        <v>161.411</v>
      </c>
      <c r="AY23" s="543">
        <f>'qtrP&amp;L'!BZ113</f>
        <v>138.89400000000001</v>
      </c>
      <c r="AZ23" s="533"/>
      <c r="BA23" s="533">
        <f>'qtrP&amp;L'!$CD$110</f>
        <v>130.006</v>
      </c>
      <c r="BB23" s="533">
        <f>'qtrP&amp;L'!$CD$111</f>
        <v>151.54</v>
      </c>
      <c r="BC23" s="533">
        <f>'qtrP&amp;L'!$CD$112</f>
        <v>218.20599999999999</v>
      </c>
      <c r="BD23" s="533">
        <f>'qtrP&amp;L'!$CD$113</f>
        <v>238.238</v>
      </c>
      <c r="BE23" s="533"/>
      <c r="BF23" s="533">
        <f>'qtrP&amp;L'!$CH$110</f>
        <v>204.86699999999999</v>
      </c>
      <c r="BG23" s="533">
        <f>'qtrP&amp;L'!$CH$111</f>
        <v>186.80074999999999</v>
      </c>
      <c r="BH23" s="533">
        <f>'qtrP&amp;L'!$CH$112</f>
        <v>224.80799999999999</v>
      </c>
      <c r="BI23" s="533">
        <f>'qtrP&amp;L'!$CH$113</f>
        <v>256.57030000000009</v>
      </c>
      <c r="BJ23" s="533"/>
      <c r="BK23" s="533">
        <f>'qtrP&amp;L'!$CL$110</f>
        <v>189.89687699999999</v>
      </c>
      <c r="BL23" s="533">
        <f>'qtrP&amp;L'!$CL$111</f>
        <v>211.09899999999999</v>
      </c>
      <c r="BM23" s="533">
        <f>'qtrP&amp;L'!$CL$112</f>
        <v>257.26499999999999</v>
      </c>
      <c r="BN23" s="533">
        <f>'qtrP&amp;L'!$CL$113</f>
        <v>283.26499999999999</v>
      </c>
      <c r="BO23" s="533"/>
      <c r="BP23" s="533">
        <f>'qtrP&amp;L'!$CP$110</f>
        <v>262.20499999999998</v>
      </c>
      <c r="BQ23" s="533">
        <f>'qtrP&amp;L'!$CP$111</f>
        <v>261.69799999999998</v>
      </c>
      <c r="BR23" s="533">
        <f>'qtrP&amp;L'!$CP$112</f>
        <v>286.91800000000001</v>
      </c>
      <c r="BS23" s="533">
        <f>'qtrP&amp;L'!$CP$113</f>
        <v>359.84300000000002</v>
      </c>
      <c r="BT23" s="533"/>
      <c r="BU23" s="533">
        <f>INDEX('qtrP&amp;L'!$110:$110,MATCH($BU$6,'qtrP&amp;L'!$6:$6,0))</f>
        <v>278.995</v>
      </c>
      <c r="BV23" s="533">
        <f>INDEX('qtrP&amp;L'!$111:$111,MATCH($BU$6,'qtrP&amp;L'!$6:$6,0))</f>
        <v>292.887</v>
      </c>
      <c r="BW23" s="533">
        <f>INDEX('qtrP&amp;L'!$112:$112,MATCH($BU$6,'qtrP&amp;L'!$6:$6,0))</f>
        <v>335.36887999999999</v>
      </c>
      <c r="BX23" s="533">
        <f>INDEX('qtrP&amp;L'!$113:$113,MATCH($BU$6,'qtrP&amp;L'!$6:$6,0))</f>
        <v>353.49400000000003</v>
      </c>
      <c r="BY23" s="533"/>
      <c r="BZ23" s="533">
        <f>INDEX('qtrP&amp;L'!$110:$110,MATCH(BZ$6,'qtrP&amp;L'!$6:$6,0))</f>
        <v>276.214</v>
      </c>
      <c r="CA23" s="533">
        <f>INDEX('qtrP&amp;L'!$111:$111,MATCH(BZ$6,'qtrP&amp;L'!$6:$6,0))</f>
        <v>319.33891000000006</v>
      </c>
      <c r="CB23" s="533">
        <f>INDEX('qtrP&amp;L'!$112:$112,MATCH(BZ$6,'qtrP&amp;L'!$6:$6,0))</f>
        <v>364.14299999999997</v>
      </c>
      <c r="CC23" s="533">
        <f>INDEX('qtrP&amp;L'!$113:$113,MATCH(BZ$6,'qtrP&amp;L'!$6:$6,0))</f>
        <v>381.40499999999997</v>
      </c>
      <c r="CD23" s="533"/>
      <c r="CE23" s="533">
        <f>INDEX('qtrP&amp;L'!$110:$110,MATCH(CE$6,'qtrP&amp;L'!$6:$6,0))</f>
        <v>290.51400000000001</v>
      </c>
      <c r="CF23" s="533">
        <f>INDEX('qtrP&amp;L'!$111:$111,MATCH(CE$6,'qtrP&amp;L'!$6:$6,0))</f>
        <v>336.85899999999998</v>
      </c>
      <c r="CG23" s="533">
        <f>INDEX('qtrP&amp;L'!$112:$112,MATCH(CE$6,'qtrP&amp;L'!$6:$6,0))</f>
        <v>353.93400000000003</v>
      </c>
      <c r="CH23" s="533">
        <f>INDEX('qtrP&amp;L'!$113:$113,MATCH(CE$6,'qtrP&amp;L'!$6:$6,0))</f>
        <v>399.33499999999998</v>
      </c>
      <c r="CI23" s="533"/>
      <c r="CJ23" s="533">
        <f>INDEX('qtrP&amp;L'!$110:$110,MATCH(CJ$6,'qtrP&amp;L'!$6:$6,0))</f>
        <v>316.62299999999999</v>
      </c>
      <c r="CK23" s="533">
        <f>INDEX('qtrP&amp;L'!$111:$111,MATCH(CJ$6,'qtrP&amp;L'!$6:$6,0))</f>
        <v>352.40800000000002</v>
      </c>
      <c r="CL23" s="533">
        <f>INDEX('qtrP&amp;L'!$112:$112,MATCH(CJ$6,'qtrP&amp;L'!$6:$6,0))</f>
        <v>370.73702000000003</v>
      </c>
      <c r="CM23" s="533">
        <f>INDEX('qtrP&amp;L'!$113:$113,MATCH(CJ$6,'qtrP&amp;L'!$6:$6,0))</f>
        <v>415.73099999999999</v>
      </c>
      <c r="CN23" s="533"/>
      <c r="CO23" s="533">
        <f>INDEX('qtrP&amp;L'!$110:$110,MATCH(CO$6,'qtrP&amp;L'!$6:$6,0))</f>
        <v>296.22899999999998</v>
      </c>
      <c r="CP23" s="533">
        <f>INDEX('qtrP&amp;L'!$111:$111,MATCH(CO$6,'qtrP&amp;L'!$6:$6,0))</f>
        <v>338.74299999999999</v>
      </c>
      <c r="CQ23" s="533">
        <f>INDEX('qtrP&amp;L'!$112:$112,MATCH(CO$6,'qtrP&amp;L'!$6:$6,0))</f>
        <v>378.56400000000002</v>
      </c>
      <c r="CR23" s="533">
        <f>INDEX('qtrP&amp;L'!$113:$113,MATCH(CO$6,'qtrP&amp;L'!$6:$6,0))</f>
        <v>235.10400000000001</v>
      </c>
      <c r="CS23" s="533"/>
      <c r="CT23" s="533">
        <f>INDEX('qtrP&amp;L'!$110:$110,MATCH(CT$6,'qtrP&amp;L'!$6:$6,0))</f>
        <v>224.13254496121587</v>
      </c>
      <c r="CU23" s="533">
        <f>INDEX('qtrP&amp;L'!$111:$111,MATCH(CT$6,'qtrP&amp;L'!$6:$6,0))</f>
        <v>244.05948100950027</v>
      </c>
      <c r="CV23" s="533">
        <f>INDEX('qtrP&amp;L'!$112:$112,MATCH(CT$6,'qtrP&amp;L'!$6:$6,0))</f>
        <v>278.2257701803843</v>
      </c>
      <c r="CW23" s="533">
        <f>INDEX('qtrP&amp;L'!$113:$113,MATCH(CT$6,'qtrP&amp;L'!$6:$6,0))</f>
        <v>312.8766006703998</v>
      </c>
      <c r="CX23" s="533"/>
      <c r="CY23" s="533"/>
      <c r="CZ23" s="533">
        <f>'yrP&amp;L'!H40</f>
        <v>152.31399999999999</v>
      </c>
      <c r="DA23" s="533">
        <f>'yrP&amp;L'!I40</f>
        <v>215.679</v>
      </c>
      <c r="DB23" s="533">
        <f>'yrP&amp;L'!J40</f>
        <v>270.61</v>
      </c>
      <c r="DC23" s="533">
        <f>'yrP&amp;L'!K40</f>
        <v>327.11500000000001</v>
      </c>
      <c r="DD23" s="533">
        <f>'yrP&amp;L'!L40</f>
        <v>326.87599999999998</v>
      </c>
      <c r="DE23" s="531">
        <f>'yrP&amp;L'!M40</f>
        <v>333.64699999999999</v>
      </c>
      <c r="DF23" s="531">
        <f>'yrP&amp;L'!N40</f>
        <v>359.33600000000001</v>
      </c>
      <c r="DG23" s="531">
        <f>'yrP&amp;L'!O40</f>
        <v>377.32600000000002</v>
      </c>
      <c r="DH23" s="531">
        <f>'yrP&amp;L'!P40</f>
        <v>379.25200000000007</v>
      </c>
      <c r="DI23" s="534">
        <f>'yrP&amp;L'!Q40</f>
        <v>318.904</v>
      </c>
      <c r="DJ23" s="534">
        <f>'yrP&amp;L'!R40</f>
        <v>470.09199999999998</v>
      </c>
      <c r="DK23" s="535">
        <f>'yrP&amp;L'!S40</f>
        <v>477.65494999999999</v>
      </c>
      <c r="DL23" s="534">
        <f>'yrP&amp;L'!T40</f>
        <v>524.15899999999999</v>
      </c>
      <c r="DM23" s="535">
        <f>'yrP&amp;L'!U40</f>
        <v>737.99</v>
      </c>
      <c r="DN23" s="534">
        <f>'yrP&amp;L'!V40</f>
        <v>873.04605000000004</v>
      </c>
      <c r="DO23" s="531">
        <f>'yrP&amp;L'!W40</f>
        <v>941.52587699999992</v>
      </c>
      <c r="DP23" s="533">
        <f>'yrP&amp;L'!X40</f>
        <v>1170.664</v>
      </c>
      <c r="DQ23" s="533">
        <f>'yrP&amp;L'!Y40</f>
        <v>1182.0948800000001</v>
      </c>
      <c r="DR23" s="533">
        <f>'yrP&amp;L'!Z40</f>
        <v>1341.1009100000001</v>
      </c>
      <c r="DS23" s="533">
        <f>'yrP&amp;L'!AA40</f>
        <v>1380.6420000000001</v>
      </c>
      <c r="DT23" s="533">
        <f>'yrP&amp;L'!AB40</f>
        <v>1455.49902</v>
      </c>
      <c r="DU23" s="533">
        <f>'yrP&amp;L'!AC40</f>
        <v>1248.6400000000001</v>
      </c>
      <c r="DV23" s="533">
        <f>'yrP&amp;L'!AD40</f>
        <v>1059.2943968215002</v>
      </c>
      <c r="DW23" s="533">
        <f>'yrP&amp;L'!AE40</f>
        <v>1149.6546735817728</v>
      </c>
      <c r="DX23" s="533">
        <f>'yrP&amp;L'!AF40</f>
        <v>1245.4684882677277</v>
      </c>
      <c r="DY23" s="533">
        <f>'yrP&amp;L'!AG40</f>
        <v>1334.2591314839638</v>
      </c>
      <c r="DZ23" s="512"/>
      <c r="EA23" s="487"/>
      <c r="EG23" s="487"/>
    </row>
    <row r="24" spans="1:140">
      <c r="A24" s="522" t="s">
        <v>612</v>
      </c>
      <c r="B24" s="539"/>
      <c r="C24" s="539"/>
      <c r="D24" s="539"/>
      <c r="E24" s="539"/>
      <c r="F24" s="539"/>
      <c r="G24" s="539"/>
      <c r="H24" s="539"/>
      <c r="I24" s="539"/>
      <c r="J24" s="539"/>
      <c r="K24" s="539"/>
      <c r="L24" s="539"/>
      <c r="M24" s="539"/>
      <c r="N24" s="539"/>
      <c r="O24" s="539"/>
      <c r="P24" s="539"/>
      <c r="Q24" s="539"/>
      <c r="R24" s="539"/>
      <c r="S24" s="539"/>
      <c r="T24" s="539"/>
      <c r="U24" s="539"/>
      <c r="V24" s="539"/>
      <c r="W24" s="539"/>
      <c r="X24" s="539"/>
      <c r="Y24" s="539"/>
      <c r="Z24" s="539"/>
      <c r="AA24" s="539"/>
      <c r="AB24" s="539"/>
      <c r="AC24" s="539"/>
      <c r="AD24" s="539"/>
      <c r="AE24" s="539"/>
      <c r="AF24" s="539"/>
      <c r="AG24" s="539"/>
      <c r="AH24" s="539"/>
      <c r="AI24" s="539"/>
      <c r="AJ24" s="539"/>
      <c r="AK24" s="539"/>
      <c r="AL24" s="539"/>
      <c r="AM24" s="539"/>
      <c r="AN24" s="539"/>
      <c r="AO24" s="539"/>
      <c r="AP24" s="539"/>
      <c r="AQ24" s="533">
        <f>'qtrP&amp;L'!BV72*0.31</f>
        <v>6.2012400000000003</v>
      </c>
      <c r="AR24" s="533">
        <f>'qtrP&amp;L'!BV73*0.398</f>
        <v>77.975364000000013</v>
      </c>
      <c r="AS24" s="539"/>
      <c r="AT24" s="544">
        <f>'qtrP&amp;L'!BV75*0.381</f>
        <v>-7.2008999999999999</v>
      </c>
      <c r="AU24" s="539"/>
      <c r="AV24" s="539"/>
      <c r="AW24" s="539"/>
      <c r="AX24" s="539"/>
      <c r="AY24" s="539"/>
      <c r="AZ24" s="539"/>
      <c r="BA24" s="539"/>
      <c r="BB24" s="539"/>
      <c r="BC24" s="539"/>
      <c r="BD24" s="539"/>
      <c r="BE24" s="539"/>
      <c r="BF24" s="539"/>
      <c r="BG24" s="539"/>
      <c r="BH24" s="539"/>
      <c r="BI24" s="539"/>
      <c r="BJ24" s="539"/>
      <c r="BK24" s="539"/>
      <c r="BL24" s="539"/>
      <c r="BM24" s="539"/>
      <c r="BN24" s="539"/>
      <c r="BO24" s="539"/>
      <c r="BP24" s="539"/>
      <c r="BQ24" s="539"/>
      <c r="BR24" s="539"/>
      <c r="BS24" s="539"/>
      <c r="BT24" s="539"/>
      <c r="BU24" s="539"/>
      <c r="BV24" s="539"/>
      <c r="BW24" s="539"/>
      <c r="BX24" s="539"/>
      <c r="BY24" s="539"/>
      <c r="BZ24" s="539"/>
      <c r="CA24" s="539"/>
      <c r="CB24" s="539"/>
      <c r="CC24" s="539"/>
      <c r="CD24" s="539"/>
      <c r="CE24" s="539"/>
      <c r="CF24" s="539"/>
      <c r="CG24" s="539"/>
      <c r="CH24" s="539"/>
      <c r="CI24" s="539"/>
      <c r="CJ24" s="539"/>
      <c r="CK24" s="539"/>
      <c r="CL24" s="539"/>
      <c r="CM24" s="539"/>
      <c r="CN24" s="539"/>
      <c r="CO24" s="539"/>
      <c r="CP24" s="539"/>
      <c r="CQ24" s="539"/>
      <c r="CR24" s="539"/>
      <c r="CS24" s="539"/>
      <c r="CT24" s="539"/>
      <c r="CU24" s="539"/>
      <c r="CV24" s="539"/>
      <c r="CW24" s="539"/>
      <c r="CX24" s="539"/>
      <c r="CY24" s="539"/>
      <c r="CZ24" s="539"/>
      <c r="DA24" s="539"/>
      <c r="DB24" s="539"/>
      <c r="DC24" s="539"/>
      <c r="DD24" s="539"/>
      <c r="DE24" s="540"/>
      <c r="DF24" s="540"/>
      <c r="DG24" s="540"/>
      <c r="DH24" s="540"/>
      <c r="DI24" s="541"/>
      <c r="DJ24" s="541"/>
      <c r="DK24" s="535">
        <f>SUM(AQ24:AT24)</f>
        <v>76.975704000000007</v>
      </c>
      <c r="DL24" s="541"/>
      <c r="DM24" s="542"/>
      <c r="DN24" s="541"/>
      <c r="DO24" s="540"/>
      <c r="DP24" s="539"/>
      <c r="DQ24" s="539"/>
      <c r="DR24" s="539"/>
      <c r="DS24" s="539"/>
      <c r="DT24" s="539"/>
      <c r="DU24" s="539"/>
      <c r="DV24" s="539"/>
      <c r="DW24" s="539"/>
      <c r="DX24" s="539"/>
      <c r="DY24" s="539"/>
      <c r="DZ24" s="512"/>
      <c r="EA24" s="487"/>
      <c r="EG24" s="487"/>
    </row>
    <row r="25" spans="1:140" ht="12" customHeight="1">
      <c r="A25" s="526" t="s">
        <v>457</v>
      </c>
      <c r="B25" s="527"/>
      <c r="C25" s="527">
        <f>C21-C23</f>
        <v>122.27400000000019</v>
      </c>
      <c r="D25" s="527">
        <f>D21-D23</f>
        <v>115.88100000000007</v>
      </c>
      <c r="E25" s="527">
        <f>E21-E23</f>
        <v>151.7170000000001</v>
      </c>
      <c r="F25" s="527">
        <f>F21-F23</f>
        <v>136.95000000000022</v>
      </c>
      <c r="G25" s="527"/>
      <c r="H25" s="527">
        <f>H21-H23</f>
        <v>130.58000000000004</v>
      </c>
      <c r="I25" s="527">
        <f>I21-I23</f>
        <v>114.03299999999997</v>
      </c>
      <c r="J25" s="527">
        <f>J21-J23</f>
        <v>158.274</v>
      </c>
      <c r="K25" s="527">
        <f>K21-K23</f>
        <v>135.1789999999998</v>
      </c>
      <c r="L25" s="527"/>
      <c r="M25" s="527">
        <f>M21-M23</f>
        <v>123.67099999999998</v>
      </c>
      <c r="N25" s="527">
        <f>N21-N23</f>
        <v>111.9079999999999</v>
      </c>
      <c r="O25" s="527">
        <f>O21-O23</f>
        <v>149.49799999999968</v>
      </c>
      <c r="P25" s="527">
        <f>P21-P23</f>
        <v>155.31999999999977</v>
      </c>
      <c r="Q25" s="527"/>
      <c r="R25" s="527">
        <f>R21-R23</f>
        <v>147.10299999999995</v>
      </c>
      <c r="S25" s="527">
        <f>S21-S23</f>
        <v>129.62700000000007</v>
      </c>
      <c r="T25" s="527">
        <f>T21-T23</f>
        <v>147.35499999999985</v>
      </c>
      <c r="U25" s="527">
        <f>U21-U23</f>
        <v>154.30300000000034</v>
      </c>
      <c r="V25" s="527"/>
      <c r="W25" s="527">
        <f>W21-W23</f>
        <v>101.75199999999987</v>
      </c>
      <c r="X25" s="527">
        <f>X21-X23</f>
        <v>111.49100000000003</v>
      </c>
      <c r="Y25" s="527">
        <f>Y21-Y23</f>
        <v>169.81</v>
      </c>
      <c r="Z25" s="527">
        <f>Z21-Z23</f>
        <v>226.35899999999981</v>
      </c>
      <c r="AA25" s="527"/>
      <c r="AB25" s="527">
        <f>AB21-AB23</f>
        <v>154.92399999999998</v>
      </c>
      <c r="AC25" s="527">
        <f>AC21-AC23</f>
        <v>105.35300000000005</v>
      </c>
      <c r="AD25" s="527">
        <f>AD21-AD23</f>
        <v>184.44200000000006</v>
      </c>
      <c r="AE25" s="527">
        <f>AE21-AE23</f>
        <v>164.9800000000005</v>
      </c>
      <c r="AF25" s="527"/>
      <c r="AG25" s="527">
        <f>AG21-AG23</f>
        <v>135.58100000000013</v>
      </c>
      <c r="AH25" s="527">
        <f>AH21-AH23</f>
        <v>110.81400000000008</v>
      </c>
      <c r="AI25" s="527">
        <f>AI21-AI23</f>
        <v>155.3249999999997</v>
      </c>
      <c r="AJ25" s="527">
        <f>AJ21-AJ23</f>
        <v>288.70300000000032</v>
      </c>
      <c r="AK25" s="527"/>
      <c r="AL25" s="527">
        <f>AL21-AL23</f>
        <v>163.86199999999963</v>
      </c>
      <c r="AM25" s="527">
        <f>AM21-AM23</f>
        <v>138.82400000000024</v>
      </c>
      <c r="AN25" s="527">
        <f>AN21-AN23</f>
        <v>230.81900000000022</v>
      </c>
      <c r="AO25" s="527">
        <f>AO21-AO23</f>
        <v>243.25100000000052</v>
      </c>
      <c r="AP25" s="527"/>
      <c r="AQ25" s="527">
        <f>AQ21-AQ23-AQ24</f>
        <v>179.91476000000014</v>
      </c>
      <c r="AR25" s="527">
        <f>AR21-AR23-AR24</f>
        <v>179.13868599999955</v>
      </c>
      <c r="AS25" s="527">
        <f>AS21-AS23</f>
        <v>251.26099999999991</v>
      </c>
      <c r="AT25" s="527">
        <f>'qtrP&amp;L'!BV123</f>
        <v>293.09000000000015</v>
      </c>
      <c r="AU25" s="527"/>
      <c r="AV25" s="527">
        <f>AV21-AV23</f>
        <v>198.00000000000011</v>
      </c>
      <c r="AW25" s="527">
        <f>AW21-AW23</f>
        <v>212.07300000000015</v>
      </c>
      <c r="AX25" s="527">
        <f>AX21-AX23</f>
        <v>249.84699999999998</v>
      </c>
      <c r="AY25" s="527">
        <f>AY21-AY23</f>
        <v>236.36099999999948</v>
      </c>
      <c r="AZ25" s="527"/>
      <c r="BA25" s="527">
        <f>BA21-BA23</f>
        <v>209.21400000000014</v>
      </c>
      <c r="BB25" s="527">
        <f>BB21-BB23</f>
        <v>261.56100000000015</v>
      </c>
      <c r="BC25" s="527">
        <f>BC21-BC23</f>
        <v>347.79899999999986</v>
      </c>
      <c r="BD25" s="527">
        <f>BD21-BD23</f>
        <v>394.99800000000022</v>
      </c>
      <c r="BE25" s="527"/>
      <c r="BF25" s="527">
        <f>BF21-BF23</f>
        <v>331.43399999999997</v>
      </c>
      <c r="BG25" s="527">
        <f>BG21-BG23</f>
        <v>297.99624999999986</v>
      </c>
      <c r="BH25" s="527">
        <f>BH21-BH23</f>
        <v>372.30899999999974</v>
      </c>
      <c r="BI25" s="527">
        <f>BI21-BI23</f>
        <v>418.61470000000008</v>
      </c>
      <c r="BJ25" s="527"/>
      <c r="BK25" s="527">
        <f>BK21-BK23</f>
        <v>308.52012300000001</v>
      </c>
      <c r="BL25" s="527">
        <f>BL21-BL23</f>
        <v>348.33800000000048</v>
      </c>
      <c r="BM25" s="527">
        <f>BM21-BM23</f>
        <v>406.48699999999917</v>
      </c>
      <c r="BN25" s="527">
        <f>BN21-BN23</f>
        <v>475.31400000000008</v>
      </c>
      <c r="BO25" s="527"/>
      <c r="BP25" s="527">
        <f>BP21-BP23</f>
        <v>419.20000000000022</v>
      </c>
      <c r="BQ25" s="527">
        <f>BQ21-BQ23</f>
        <v>421.09199999999987</v>
      </c>
      <c r="BR25" s="527">
        <f>BR21-BR23</f>
        <v>461.55099999999925</v>
      </c>
      <c r="BS25" s="527">
        <f>BS21-BS23</f>
        <v>604.84400000000051</v>
      </c>
      <c r="BT25" s="527"/>
      <c r="BU25" s="527">
        <f>BU21-BU23</f>
        <v>452.89</v>
      </c>
      <c r="BV25" s="527">
        <f>BV21-BV23</f>
        <v>479.55900000000048</v>
      </c>
      <c r="BW25" s="527">
        <f>BW21-BW23</f>
        <v>544.00312000000019</v>
      </c>
      <c r="BX25" s="527">
        <f>BX21-BX23</f>
        <v>582.29200000000003</v>
      </c>
      <c r="BY25" s="527"/>
      <c r="BZ25" s="527">
        <f>BZ21-BZ23</f>
        <v>454.31700000000041</v>
      </c>
      <c r="CA25" s="527">
        <f>CA21-CA23</f>
        <v>528.10909000000061</v>
      </c>
      <c r="CB25" s="527">
        <f>CB21-CB23</f>
        <v>594.95699999999988</v>
      </c>
      <c r="CC25" s="527">
        <f>CC21-CC23</f>
        <v>648.22999999999934</v>
      </c>
      <c r="CD25" s="527"/>
      <c r="CE25" s="527">
        <f>CE21-CE23</f>
        <v>474.60099999999977</v>
      </c>
      <c r="CF25" s="527">
        <f>CF21-CF23</f>
        <v>549.33500000000004</v>
      </c>
      <c r="CG25" s="527">
        <f>CG21-CG23</f>
        <v>587.2559999999994</v>
      </c>
      <c r="CH25" s="527">
        <f>CH21-CH23</f>
        <v>666.4660000000008</v>
      </c>
      <c r="CI25" s="527"/>
      <c r="CJ25" s="527">
        <f>CJ21-CJ23</f>
        <v>508.34599999999983</v>
      </c>
      <c r="CK25" s="527">
        <f>CK21-CK23</f>
        <v>562.17399999999964</v>
      </c>
      <c r="CL25" s="527">
        <f>CL21-CL23</f>
        <v>602.04198000000042</v>
      </c>
      <c r="CM25" s="527">
        <f>CM21-CM23</f>
        <v>677.92800000000079</v>
      </c>
      <c r="CN25" s="527"/>
      <c r="CO25" s="527">
        <f>CO21-CO23</f>
        <v>536.27900000000022</v>
      </c>
      <c r="CP25" s="527">
        <f>CP21-CP23</f>
        <v>552.95700000000056</v>
      </c>
      <c r="CQ25" s="527">
        <f>CQ21-CQ23</f>
        <v>641.43599999999878</v>
      </c>
      <c r="CR25" s="527">
        <f>CR21-CR23</f>
        <v>877.27599999999961</v>
      </c>
      <c r="CS25" s="527"/>
      <c r="CT25" s="527">
        <f>CT21-CT23</f>
        <v>647.97852492678362</v>
      </c>
      <c r="CU25" s="527">
        <f>CU21-CU23</f>
        <v>694.63083056550079</v>
      </c>
      <c r="CV25" s="527">
        <f>CV21-CV23</f>
        <v>791.87334589801696</v>
      </c>
      <c r="CW25" s="527">
        <f>CW21-CW23</f>
        <v>890.49494036959959</v>
      </c>
      <c r="CX25" s="527"/>
      <c r="CY25" s="527"/>
      <c r="CZ25" s="527">
        <f>CZ21-CZ23</f>
        <v>213.82600000000045</v>
      </c>
      <c r="DA25" s="527">
        <f>DA21-DA23</f>
        <v>306.59200000000021</v>
      </c>
      <c r="DB25" s="527">
        <f t="shared" ref="DB25:DH25" si="8">DB21-DB23</f>
        <v>432.90200000000073</v>
      </c>
      <c r="DC25" s="527">
        <f t="shared" si="8"/>
        <v>526.82200000000012</v>
      </c>
      <c r="DD25" s="527">
        <f t="shared" si="8"/>
        <v>538.06599999999958</v>
      </c>
      <c r="DE25" s="529">
        <f t="shared" si="8"/>
        <v>540.39699999999925</v>
      </c>
      <c r="DF25" s="529">
        <f t="shared" si="8"/>
        <v>578.38799999999856</v>
      </c>
      <c r="DG25" s="529">
        <f t="shared" si="8"/>
        <v>609.41200000000072</v>
      </c>
      <c r="DH25" s="529">
        <f t="shared" si="8"/>
        <v>609.69900000000052</v>
      </c>
      <c r="DI25" s="527">
        <f>DI21-DI23</f>
        <v>690.42300000000171</v>
      </c>
      <c r="DJ25" s="527">
        <f>DJ21-DJ23</f>
        <v>781.71600000000069</v>
      </c>
      <c r="DK25" s="529">
        <f>DK21-DK23-DK24</f>
        <v>902.47834600000033</v>
      </c>
      <c r="DL25" s="527">
        <f t="shared" ref="DL25:DU25" si="9">DL21-DL23</f>
        <v>896.2809999999962</v>
      </c>
      <c r="DM25" s="529">
        <f t="shared" si="9"/>
        <v>1213.5719999999999</v>
      </c>
      <c r="DN25" s="527">
        <f t="shared" si="9"/>
        <v>1420.3539499999965</v>
      </c>
      <c r="DO25" s="529">
        <f t="shared" si="9"/>
        <v>1538.6591230000026</v>
      </c>
      <c r="DP25" s="527">
        <f t="shared" si="9"/>
        <v>1906.6870000000015</v>
      </c>
      <c r="DQ25" s="527">
        <f t="shared" si="9"/>
        <v>2137.3941199999995</v>
      </c>
      <c r="DR25" s="527">
        <f t="shared" si="9"/>
        <v>2225.6130899999985</v>
      </c>
      <c r="DS25" s="527">
        <f t="shared" si="9"/>
        <v>2277.6579999999976</v>
      </c>
      <c r="DT25" s="527">
        <f t="shared" si="9"/>
        <v>2350.4899800000057</v>
      </c>
      <c r="DU25" s="527">
        <f t="shared" si="9"/>
        <v>2607.948000000003</v>
      </c>
      <c r="DV25" s="527">
        <f>DV21-DV23</f>
        <v>3024.9776417598978</v>
      </c>
      <c r="DW25" s="527">
        <f>DW21-DW23</f>
        <v>3283.0152729634938</v>
      </c>
      <c r="DX25" s="527">
        <f>DX21-DX23</f>
        <v>3556.6263182653593</v>
      </c>
      <c r="DY25" s="527">
        <f>DY21-DY23</f>
        <v>3810.1816201082838</v>
      </c>
      <c r="DZ25" s="512"/>
      <c r="EA25" s="487"/>
      <c r="EG25" s="487"/>
    </row>
    <row r="26" spans="1:140">
      <c r="A26" s="522"/>
      <c r="B26" s="545"/>
      <c r="C26" s="545"/>
      <c r="D26" s="545"/>
      <c r="E26" s="545"/>
      <c r="F26" s="545"/>
      <c r="G26" s="545"/>
      <c r="H26" s="545"/>
      <c r="I26" s="545"/>
      <c r="J26" s="545"/>
      <c r="K26" s="545"/>
      <c r="L26" s="545"/>
      <c r="M26" s="545"/>
      <c r="N26" s="545"/>
      <c r="O26" s="545"/>
      <c r="P26" s="545"/>
      <c r="Q26" s="545"/>
      <c r="R26" s="545"/>
      <c r="S26" s="545"/>
      <c r="T26" s="545"/>
      <c r="U26" s="545"/>
      <c r="V26" s="545"/>
      <c r="W26" s="545"/>
      <c r="X26" s="545"/>
      <c r="Y26" s="545"/>
      <c r="Z26" s="545"/>
      <c r="AA26" s="545"/>
      <c r="AB26" s="545"/>
      <c r="AC26" s="545"/>
      <c r="AD26" s="545"/>
      <c r="AE26" s="545"/>
      <c r="AF26" s="545"/>
      <c r="AG26" s="545"/>
      <c r="AH26" s="545"/>
      <c r="AI26" s="545"/>
      <c r="AJ26" s="545"/>
      <c r="AK26" s="545"/>
      <c r="AL26" s="545"/>
      <c r="AM26" s="545"/>
      <c r="AN26" s="545"/>
      <c r="AO26" s="545"/>
      <c r="AP26" s="545"/>
      <c r="AQ26" s="546"/>
      <c r="AR26" s="546"/>
      <c r="AS26" s="546"/>
      <c r="AT26" s="546"/>
      <c r="AU26" s="545"/>
      <c r="AV26" s="546"/>
      <c r="AW26" s="546"/>
      <c r="AX26" s="546"/>
      <c r="AY26" s="546"/>
      <c r="AZ26" s="545"/>
      <c r="BA26" s="546"/>
      <c r="BB26" s="546"/>
      <c r="BC26" s="546"/>
      <c r="BD26" s="546"/>
      <c r="BE26" s="545"/>
      <c r="BF26" s="546"/>
      <c r="BG26" s="546"/>
      <c r="BH26" s="546"/>
      <c r="BI26" s="546"/>
      <c r="BJ26" s="545"/>
      <c r="BK26" s="546"/>
      <c r="BL26" s="546"/>
      <c r="BM26" s="546"/>
      <c r="BN26" s="546"/>
      <c r="BO26" s="545"/>
      <c r="BP26" s="546"/>
      <c r="BQ26" s="546"/>
      <c r="BR26" s="546"/>
      <c r="BS26" s="546"/>
      <c r="BT26" s="545"/>
      <c r="BU26" s="546"/>
      <c r="BV26" s="546"/>
      <c r="BW26" s="546"/>
      <c r="BX26" s="546"/>
      <c r="BY26" s="545"/>
      <c r="BZ26" s="546"/>
      <c r="CA26" s="546"/>
      <c r="CB26" s="546"/>
      <c r="CC26" s="546"/>
      <c r="CD26" s="545"/>
      <c r="CE26" s="546"/>
      <c r="CF26" s="546"/>
      <c r="CG26" s="546"/>
      <c r="CH26" s="546"/>
      <c r="CI26" s="545"/>
      <c r="CJ26" s="546"/>
      <c r="CK26" s="546"/>
      <c r="CL26" s="546"/>
      <c r="CM26" s="546"/>
      <c r="CN26" s="545"/>
      <c r="CO26" s="546"/>
      <c r="CP26" s="546"/>
      <c r="CQ26" s="546"/>
      <c r="CR26" s="546"/>
      <c r="CS26" s="545"/>
      <c r="CT26" s="546"/>
      <c r="CU26" s="546"/>
      <c r="CV26" s="546"/>
      <c r="CW26" s="546"/>
      <c r="CX26" s="545"/>
      <c r="CY26" s="545"/>
      <c r="CZ26" s="545"/>
      <c r="DA26" s="545"/>
      <c r="DB26" s="545"/>
      <c r="DC26" s="545"/>
      <c r="DD26" s="545"/>
      <c r="DE26" s="547"/>
      <c r="DF26" s="547"/>
      <c r="DG26" s="547"/>
      <c r="DH26" s="547"/>
      <c r="DI26" s="530"/>
      <c r="DJ26" s="530"/>
      <c r="DK26" s="548"/>
      <c r="DL26" s="530"/>
      <c r="DM26" s="548"/>
      <c r="DN26" s="549"/>
      <c r="DO26" s="550"/>
      <c r="DP26" s="551"/>
      <c r="DQ26" s="551"/>
      <c r="DR26" s="551"/>
      <c r="DS26" s="551"/>
      <c r="DT26" s="551"/>
      <c r="DU26" s="551"/>
      <c r="DV26" s="551"/>
      <c r="DW26" s="551"/>
      <c r="DX26" s="551"/>
      <c r="DY26" s="551"/>
      <c r="DZ26" s="512"/>
      <c r="EA26" s="487"/>
      <c r="EG26" s="487"/>
    </row>
    <row r="27" spans="1:140">
      <c r="A27" s="687" t="s">
        <v>458</v>
      </c>
      <c r="B27" s="688"/>
      <c r="C27" s="689">
        <f>C25/C28</f>
        <v>9.3971294987218623E-2</v>
      </c>
      <c r="D27" s="689">
        <f>D25/D28</f>
        <v>9.0404652507190125E-2</v>
      </c>
      <c r="E27" s="689">
        <f>E25/E28</f>
        <v>0.11991050004267932</v>
      </c>
      <c r="F27" s="689">
        <f>F25/F28</f>
        <v>0.11105923030820117</v>
      </c>
      <c r="G27" s="689"/>
      <c r="H27" s="689">
        <f>H25/H28</f>
        <v>0.10880036148182716</v>
      </c>
      <c r="I27" s="689">
        <f>I25/I28</f>
        <v>9.7408935471403557E-2</v>
      </c>
      <c r="J27" s="689">
        <f>J25/J28</f>
        <v>0.13985077593332301</v>
      </c>
      <c r="K27" s="689">
        <f>K25/K28</f>
        <v>0.11962094488014373</v>
      </c>
      <c r="L27" s="689"/>
      <c r="M27" s="689">
        <f>M25/M28</f>
        <v>0.10958747754135034</v>
      </c>
      <c r="N27" s="689">
        <f>N25/N28</f>
        <v>0.10022701201481374</v>
      </c>
      <c r="O27" s="690">
        <f>O25/O28</f>
        <v>0.13537569814226749</v>
      </c>
      <c r="P27" s="689">
        <f>P25/P28</f>
        <v>0.14104291665709376</v>
      </c>
      <c r="Q27" s="689"/>
      <c r="R27" s="689">
        <f>R25/R28</f>
        <v>0.13040532431793428</v>
      </c>
      <c r="S27" s="689">
        <f>S25/S28</f>
        <v>0.11591963693547987</v>
      </c>
      <c r="T27" s="689">
        <f>T25/T28</f>
        <v>0.13414571296155511</v>
      </c>
      <c r="U27" s="689">
        <f>U25/U28</f>
        <v>0.14125330649893733</v>
      </c>
      <c r="V27" s="689"/>
      <c r="W27" s="689">
        <f>W25/W28</f>
        <v>9.4669896513648266E-2</v>
      </c>
      <c r="X27" s="689">
        <f>X25/X28</f>
        <v>0.10493458314970026</v>
      </c>
      <c r="Y27" s="689">
        <f>Y25/Y28</f>
        <v>0.16081639093842054</v>
      </c>
      <c r="Z27" s="689">
        <f>Z25/Z28</f>
        <v>0.21602542673641917</v>
      </c>
      <c r="AA27" s="689"/>
      <c r="AB27" s="689">
        <f>AB25/AB28</f>
        <v>0.14851393139552108</v>
      </c>
      <c r="AC27" s="689">
        <f>AC25/AC28</f>
        <v>0.10206969176677617</v>
      </c>
      <c r="AD27" s="689">
        <f>AD25/AD28</f>
        <v>0.18192601703451378</v>
      </c>
      <c r="AE27" s="689">
        <f>AE25/AE28</f>
        <v>0.16285872150624431</v>
      </c>
      <c r="AF27" s="689"/>
      <c r="AG27" s="689">
        <f>(AG25+'qtrP&amp;L'!BN239)/AG28</f>
        <v>0.13750049666619318</v>
      </c>
      <c r="AH27" s="689">
        <f>(AH25+'qtrP&amp;L'!BN240)/AH28</f>
        <v>0.11357461288876</v>
      </c>
      <c r="AI27" s="689">
        <f>(AI25+'qtrP&amp;L'!BN241)/AI28</f>
        <v>0.16080419987052755</v>
      </c>
      <c r="AJ27" s="689">
        <f>(AJ25+'qtrP&amp;L'!BN242)/AJ28</f>
        <v>0.29852471202663455</v>
      </c>
      <c r="AK27" s="689"/>
      <c r="AL27" s="689">
        <f>(AL25+'qtrP&amp;L'!BR239)/AL28</f>
        <v>0.17011945574179591</v>
      </c>
      <c r="AM27" s="689">
        <f>(AM25+'qtrP&amp;L'!BR240)/AM28</f>
        <v>0.1465763322408036</v>
      </c>
      <c r="AN27" s="689">
        <f>(AN25+'qtrP&amp;L'!BR241)/AN28</f>
        <v>0.24190022370426506</v>
      </c>
      <c r="AO27" s="689">
        <f>(AO25+'qtrP&amp;L'!BR242)/AO28</f>
        <v>0.25525385071543033</v>
      </c>
      <c r="AP27" s="689"/>
      <c r="AQ27" s="689">
        <f>(AQ25+'qtrP&amp;L'!BV239)/AQ28</f>
        <v>0.189014697473187</v>
      </c>
      <c r="AR27" s="689">
        <f>(AR25+'qtrP&amp;L'!BV240)/AR28</f>
        <v>0.1904779715160384</v>
      </c>
      <c r="AS27" s="689">
        <f>(AS25+'qtrP&amp;L'!BV241)/AS28</f>
        <v>0.27170885231220959</v>
      </c>
      <c r="AT27" s="689">
        <f>(AT25+'qtrP&amp;L'!BV242)/AT28</f>
        <v>0.32256986008252125</v>
      </c>
      <c r="AU27" s="689"/>
      <c r="AV27" s="689">
        <f>(AV25+'qtrP&amp;L'!BZ239)/AV28</f>
        <v>0.22113072573107087</v>
      </c>
      <c r="AW27" s="689">
        <f>(AW25+'qtrP&amp;L'!BZ240)/AW28</f>
        <v>0.23940726006515173</v>
      </c>
      <c r="AX27" s="689">
        <f>(AX25+'qtrP&amp;L'!BZ241)/AX28</f>
        <v>0.28472327787470869</v>
      </c>
      <c r="AY27" s="689">
        <f>(AY25+'qtrP&amp;L'!BZ242)/AY28</f>
        <v>0.27581613573809266</v>
      </c>
      <c r="AZ27" s="689"/>
      <c r="BA27" s="689">
        <f>(BA25+'qtrP&amp;L'!CD239)/BA28</f>
        <v>0.24334830524171158</v>
      </c>
      <c r="BB27" s="689">
        <f>(BB25)/BB28</f>
        <v>0.30382062617753874</v>
      </c>
      <c r="BC27" s="689">
        <f>(BC25)/BC28</f>
        <v>0.40621992468908535</v>
      </c>
      <c r="BD27" s="689">
        <f>(BD25)/BD28</f>
        <v>0.47115221752790576</v>
      </c>
      <c r="BE27" s="689"/>
      <c r="BF27" s="689">
        <f>(BF25+'qtrP&amp;L'!CI239)/BF28</f>
        <v>0.39989623552123549</v>
      </c>
      <c r="BG27" s="689">
        <f>(BG25)/BG28</f>
        <v>0.36363888739743527</v>
      </c>
      <c r="BH27" s="689">
        <f>(BH25)/BH28</f>
        <v>0.46187599245732397</v>
      </c>
      <c r="BI27" s="689">
        <f>(BI25)/BI28</f>
        <v>0.52645341817998903</v>
      </c>
      <c r="BJ27" s="689"/>
      <c r="BK27" s="689">
        <f>(BK25+'qtrP&amp;L'!CZ239)/BK28</f>
        <v>0.39151902391853888</v>
      </c>
      <c r="BL27" s="689">
        <f>(BL25)/BL28</f>
        <v>0.44932344405030694</v>
      </c>
      <c r="BM27" s="689">
        <f>(BM25)/BM28</f>
        <v>0.53062585829682474</v>
      </c>
      <c r="BN27" s="689">
        <f>(BN25)/BN28</f>
        <v>0.62310194161393473</v>
      </c>
      <c r="BO27" s="689"/>
      <c r="BP27" s="689">
        <f>(BP25+'qtrP&amp;L'!DQ239)/BP28</f>
        <v>0.55448561935197171</v>
      </c>
      <c r="BQ27" s="689">
        <f>(BQ25)/BQ28</f>
        <v>0.56052701988570919</v>
      </c>
      <c r="BR27" s="689">
        <f>(BR25)/BR28</f>
        <v>0.61891595071210947</v>
      </c>
      <c r="BS27" s="689">
        <f>(BS25)/BS28</f>
        <v>0.81966955409317166</v>
      </c>
      <c r="BT27" s="689"/>
      <c r="BU27" s="689">
        <f>(BU25+'qtrP&amp;L'!DV239)/BU28</f>
        <v>0.61823344322269325</v>
      </c>
      <c r="BV27" s="689">
        <f>(BV25)/BV28</f>
        <v>0.65819332719369705</v>
      </c>
      <c r="BW27" s="689">
        <f>(BW25)/BW28</f>
        <v>0.75127345644572385</v>
      </c>
      <c r="BX27" s="689">
        <f>(BX25)/BX28</f>
        <v>0.80930990198640163</v>
      </c>
      <c r="BY27" s="689"/>
      <c r="BZ27" s="689">
        <f>(BZ25)/BZ28</f>
        <v>0.63727833559170877</v>
      </c>
      <c r="CA27" s="689">
        <f>(CA25)/CA28</f>
        <v>0.74887846001134506</v>
      </c>
      <c r="CB27" s="689">
        <f>(CB25)/CB28</f>
        <v>0.84872005192544975</v>
      </c>
      <c r="CC27" s="689">
        <f>(CC25)/CC28</f>
        <v>0.93146130059431342</v>
      </c>
      <c r="CD27" s="689"/>
      <c r="CE27" s="689">
        <f>(CE25)/CE28</f>
        <v>0.68662743089614353</v>
      </c>
      <c r="CF27" s="689">
        <f>(CF25)/CF28</f>
        <v>0.80157210770995246</v>
      </c>
      <c r="CG27" s="689">
        <f>(CG25)/CG28</f>
        <v>0.8625411988649373</v>
      </c>
      <c r="CH27" s="689">
        <f>(CH25)/CH28</f>
        <v>0.98783119601112346</v>
      </c>
      <c r="CI27" s="689"/>
      <c r="CJ27" s="689">
        <f>(CJ25)/CJ28</f>
        <v>0.7582862461738572</v>
      </c>
      <c r="CK27" s="689">
        <f>(CK25)/CK28</f>
        <v>0.84333774373467929</v>
      </c>
      <c r="CL27" s="689">
        <f>(CL25)/CL28</f>
        <v>0.90981241338872487</v>
      </c>
      <c r="CM27" s="689">
        <f>(CM25)/CM28</f>
        <v>1.0312480034561138</v>
      </c>
      <c r="CN27" s="689"/>
      <c r="CO27" s="689">
        <f>(CO25)/CO28</f>
        <v>0.81899789095585096</v>
      </c>
      <c r="CP27" s="689">
        <f>(CP25)/CP28</f>
        <v>0.85291146152268194</v>
      </c>
      <c r="CQ27" s="689">
        <f>(CQ25)/CQ28</f>
        <v>0.99775230563665562</v>
      </c>
      <c r="CR27" s="689">
        <f>(CR25)/CR28</f>
        <v>1.3741727404163195</v>
      </c>
      <c r="CS27" s="689"/>
      <c r="CT27" s="689">
        <f>(CT25)/CT28</f>
        <v>1.0220907257831879</v>
      </c>
      <c r="CU27" s="689">
        <f>(CU25)/CU28</f>
        <v>1.1048425606649377</v>
      </c>
      <c r="CV27" s="689">
        <f>(CV25)/CV28</f>
        <v>1.2701352150141361</v>
      </c>
      <c r="CW27" s="689">
        <f>(CW25)/CW28</f>
        <v>1.4418428325982429</v>
      </c>
      <c r="CX27" s="689"/>
      <c r="CY27" s="689"/>
      <c r="CZ27" s="689">
        <f t="shared" ref="CZ27:DF27" si="10">CZ25/CZ28</f>
        <v>0.1524496927278792</v>
      </c>
      <c r="DA27" s="689">
        <f t="shared" si="10"/>
        <v>0.21923721056586531</v>
      </c>
      <c r="DB27" s="689">
        <f t="shared" si="10"/>
        <v>0.3234010547502239</v>
      </c>
      <c r="DC27" s="689">
        <f t="shared" si="10"/>
        <v>0.41444093069992438</v>
      </c>
      <c r="DD27" s="689">
        <f t="shared" si="10"/>
        <v>0.46513955933000417</v>
      </c>
      <c r="DE27" s="691">
        <f t="shared" si="10"/>
        <v>0.48573439421286074</v>
      </c>
      <c r="DF27" s="691">
        <f t="shared" si="10"/>
        <v>0.52329545454545323</v>
      </c>
      <c r="DG27" s="691">
        <f>(DG25+'qtrP&amp;L'!BF243)/DG28</f>
        <v>0.57778547377098921</v>
      </c>
      <c r="DH27" s="691">
        <f>(DH25+'qtrP&amp;L'!BJ243)/DH28</f>
        <v>0.606971310353425</v>
      </c>
      <c r="DI27" s="689">
        <f>(DI25+'qtrP&amp;L'!BN243)/DI28</f>
        <v>0.70745031901159816</v>
      </c>
      <c r="DJ27" s="689">
        <f>(DJ25+'qtrP&amp;L'!BR243)/DJ28</f>
        <v>0.81733587476174174</v>
      </c>
      <c r="DK27" s="691">
        <f>(DK25+'qtrP&amp;L'!BV243)/DK28</f>
        <v>0.96729631916521064</v>
      </c>
      <c r="DL27" s="689">
        <f>('qtrP&amp;L'!BZ243+DL25)/DL28</f>
        <v>1.0166996416094745</v>
      </c>
      <c r="DM27" s="691">
        <f t="shared" ref="DM27:DU27" si="11">(DM25)/DM28</f>
        <v>1.4189874631389154</v>
      </c>
      <c r="DN27" s="689">
        <f t="shared" si="11"/>
        <v>1.7474268170555525</v>
      </c>
      <c r="DO27" s="691">
        <f t="shared" si="11"/>
        <v>1.9885174482922652</v>
      </c>
      <c r="DP27" s="689">
        <f t="shared" si="11"/>
        <v>2.5505641725358021</v>
      </c>
      <c r="DQ27" s="689">
        <f t="shared" si="11"/>
        <v>2.942545073075101</v>
      </c>
      <c r="DR27" s="689">
        <f t="shared" si="11"/>
        <v>3.1624659586825721</v>
      </c>
      <c r="DS27" s="689">
        <f t="shared" si="11"/>
        <v>3.3347261834345479</v>
      </c>
      <c r="DT27" s="689">
        <f t="shared" si="11"/>
        <v>3.5375929816745817</v>
      </c>
      <c r="DU27" s="689">
        <f t="shared" si="11"/>
        <v>4.0364151337630929</v>
      </c>
      <c r="DV27" s="689">
        <f>(DV25)/DV28</f>
        <v>4.8327090228982597</v>
      </c>
      <c r="DW27" s="689">
        <f>(DW25)/DW28</f>
        <v>5.4956286975760573</v>
      </c>
      <c r="DX27" s="689">
        <f>(DX25)/DX28</f>
        <v>6.1497787484019293</v>
      </c>
      <c r="DY27" s="689">
        <f>(DY25)/DY28</f>
        <v>6.7998397847726739</v>
      </c>
      <c r="DZ27" s="512"/>
      <c r="EA27" s="754"/>
      <c r="EG27" s="553"/>
    </row>
    <row r="28" spans="1:140">
      <c r="A28" s="554" t="s">
        <v>459</v>
      </c>
      <c r="B28" s="555"/>
      <c r="C28" s="555">
        <f>'qtrP&amp;L'!$AP218</f>
        <v>1301.1845800000001</v>
      </c>
      <c r="D28" s="555">
        <f>'qtrP&amp;L'!$AP219</f>
        <v>1281.8035</v>
      </c>
      <c r="E28" s="555">
        <f>'qtrP&amp;L'!$AP220</f>
        <v>1265.252</v>
      </c>
      <c r="F28" s="555">
        <f>'qtrP&amp;L'!$AP221</f>
        <v>1233.1257800000001</v>
      </c>
      <c r="G28" s="555"/>
      <c r="H28" s="555">
        <f>'qtrP&amp;L'!$AT218</f>
        <v>1200.179836</v>
      </c>
      <c r="I28" s="555">
        <f>'qtrP&amp;L'!$AT219</f>
        <v>1170.6626240000001</v>
      </c>
      <c r="J28" s="555">
        <f>'qtrP&amp;L'!$AT220</f>
        <v>1131.734872</v>
      </c>
      <c r="K28" s="555">
        <f>'qtrP&amp;L'!$AT221</f>
        <v>1130.0612960000001</v>
      </c>
      <c r="L28" s="555"/>
      <c r="M28" s="555">
        <f>'qtrP&amp;L'!$AX218</f>
        <v>1128.513976</v>
      </c>
      <c r="N28" s="555">
        <f>'qtrP&amp;L'!$AX219</f>
        <v>1116.545308</v>
      </c>
      <c r="O28" s="555">
        <f>'qtrP&amp;L'!$AX220</f>
        <v>1104.319328</v>
      </c>
      <c r="P28" s="555">
        <f>'qtrP&amp;L'!$AX221</f>
        <v>1101.2251000000001</v>
      </c>
      <c r="Q28" s="555"/>
      <c r="R28" s="555">
        <f>'qtrP&amp;L'!$BB218</f>
        <v>1128.0444319999999</v>
      </c>
      <c r="S28" s="555">
        <f>'qtrP&amp;L'!$BB219</f>
        <v>1118.248844</v>
      </c>
      <c r="T28" s="555">
        <f>'qtrP&amp;L'!$BB220</f>
        <v>1098.4696919999999</v>
      </c>
      <c r="U28" s="555">
        <f>'qtrP&amp;L'!$BB221</f>
        <v>1092.3850479999999</v>
      </c>
      <c r="V28" s="555"/>
      <c r="W28" s="555">
        <f>'qtrP&amp;L'!$BF218</f>
        <v>1074.8083999999999</v>
      </c>
      <c r="X28" s="555">
        <f>'qtrP&amp;L'!$BF219</f>
        <v>1062.480992</v>
      </c>
      <c r="Y28" s="555">
        <f>'qtrP&amp;L'!$BF220</f>
        <v>1055.924704</v>
      </c>
      <c r="Z28" s="555">
        <f>'qtrP&amp;L'!$BF221</f>
        <v>1047.8349860000001</v>
      </c>
      <c r="AA28" s="555"/>
      <c r="AB28" s="555">
        <f>'qtrP&amp;L'!$BJ218</f>
        <v>1043.161396</v>
      </c>
      <c r="AC28" s="555">
        <f>'qtrP&amp;L'!$BJ219</f>
        <v>1032.167318</v>
      </c>
      <c r="AD28" s="555">
        <f>'qtrP&amp;L'!$BJ220</f>
        <v>1013.829704</v>
      </c>
      <c r="AE28" s="555">
        <f>'qtrP&amp;L'!$BJ221</f>
        <v>1013.025268</v>
      </c>
      <c r="AF28" s="555"/>
      <c r="AG28" s="555">
        <f>'qtrP&amp;L'!$BN218</f>
        <v>994.22913600000004</v>
      </c>
      <c r="AH28" s="555">
        <f>'qtrP&amp;L'!$BN219</f>
        <v>985.63400000000001</v>
      </c>
      <c r="AI28" s="555">
        <f>'qtrP&amp;L'!$BN220</f>
        <v>972.99075600000003</v>
      </c>
      <c r="AJ28" s="555">
        <f>'qtrP&amp;L'!$BN221</f>
        <v>970.90454599999998</v>
      </c>
      <c r="AK28" s="555"/>
      <c r="AL28" s="555">
        <f>'qtrP&amp;L'!$BR218</f>
        <v>969.89494400000001</v>
      </c>
      <c r="AM28" s="555">
        <f>'qtrP&amp;L'!$BR219</f>
        <v>954.97</v>
      </c>
      <c r="AN28" s="555">
        <f>'qtrP&amp;L'!$BR220</f>
        <v>958.98216400000001</v>
      </c>
      <c r="AO28" s="555">
        <f>'qtrP&amp;L'!$BR221</f>
        <v>957.42728</v>
      </c>
      <c r="AP28" s="555"/>
      <c r="AQ28" s="555">
        <f>'qtrP&amp;L'!$BV218</f>
        <v>958.05121199999996</v>
      </c>
      <c r="AR28" s="555">
        <f>'qtrP&amp;L'!$BV219</f>
        <v>946.63800000000003</v>
      </c>
      <c r="AS28" s="555">
        <f>'qtrP&amp;L'!$BV220</f>
        <v>929.06799999999998</v>
      </c>
      <c r="AT28" s="555">
        <f>'qtrP&amp;L'!$BV221</f>
        <v>912.25199999999995</v>
      </c>
      <c r="AU28" s="555"/>
      <c r="AV28" s="555">
        <f>'qtrP&amp;L'!BZ218</f>
        <v>900.80200000000002</v>
      </c>
      <c r="AW28" s="555">
        <f>'qtrP&amp;L'!BZ219</f>
        <v>890.846</v>
      </c>
      <c r="AX28" s="555">
        <f>'qtrP&amp;L'!BZ220</f>
        <v>881.49800000000005</v>
      </c>
      <c r="AY28" s="555">
        <f>'qtrP&amp;L'!BZ221</f>
        <v>861.07</v>
      </c>
      <c r="AZ28" s="555"/>
      <c r="BA28" s="555">
        <f>'qtrP&amp;L'!$CD$218</f>
        <v>863.84</v>
      </c>
      <c r="BB28" s="555">
        <f>'qtrP&amp;L'!$CD$219</f>
        <v>860.90599999999995</v>
      </c>
      <c r="BC28" s="555">
        <f>'qtrP&amp;L'!$CD$220</f>
        <v>856.18399999999997</v>
      </c>
      <c r="BD28" s="555">
        <f>'qtrP&amp;L'!$CD$221</f>
        <v>838.36599999999999</v>
      </c>
      <c r="BE28" s="555"/>
      <c r="BF28" s="555">
        <f>'qtrP&amp;L'!$CH$218</f>
        <v>828.8</v>
      </c>
      <c r="BG28" s="555">
        <f>'qtrP&amp;L'!$CH$219</f>
        <v>819.48400000000004</v>
      </c>
      <c r="BH28" s="555">
        <f>'qtrP&amp;L'!$CH$220</f>
        <v>806.08</v>
      </c>
      <c r="BI28" s="555">
        <f>'qtrP&amp;L'!$CH$221</f>
        <v>795.16</v>
      </c>
      <c r="BJ28" s="555"/>
      <c r="BK28" s="555">
        <f>'qtrP&amp;L'!$CL$218</f>
        <v>788.00800000000004</v>
      </c>
      <c r="BL28" s="555">
        <f>'qtrP&amp;L'!$CL$219</f>
        <v>775.25</v>
      </c>
      <c r="BM28" s="555">
        <f>'qtrP&amp;L'!$CL$220</f>
        <v>766.05200000000002</v>
      </c>
      <c r="BN28" s="555">
        <f>'qtrP&amp;L'!$CL$221</f>
        <v>762.81899999999996</v>
      </c>
      <c r="BO28" s="555"/>
      <c r="BP28" s="555">
        <f>'qtrP&amp;L'!$CP$218</f>
        <v>756.01599999999996</v>
      </c>
      <c r="BQ28" s="555">
        <f>'qtrP&amp;L'!$CP$219</f>
        <v>751.24300000000005</v>
      </c>
      <c r="BR28" s="555">
        <f>'qtrP&amp;L'!$CP$220</f>
        <v>745.74099999999999</v>
      </c>
      <c r="BS28" s="555">
        <f>'qtrP&amp;L'!$CP$221</f>
        <v>737.91200000000003</v>
      </c>
      <c r="BT28" s="555"/>
      <c r="BU28" s="555">
        <f>INDEX('qtrP&amp;L'!$218:$218,MATCH($BU$6,'qtrP&amp;L'!$6:$6,0))</f>
        <v>732.55499999999995</v>
      </c>
      <c r="BV28" s="555">
        <f>INDEX('qtrP&amp;L'!$219:$219,MATCH($BU$6,'qtrP&amp;L'!$6:$6,0))</f>
        <v>728.59900000000005</v>
      </c>
      <c r="BW28" s="555">
        <f>INDEX('qtrP&amp;L'!$220:$220,MATCH($BU$6,'qtrP&amp;L'!$6:$6,0))</f>
        <v>724.10799999999995</v>
      </c>
      <c r="BX28" s="555">
        <f>INDEX('qtrP&amp;L'!$221:$221,MATCH($BU$6,'qtrP&amp;L'!$6:$6,0))</f>
        <v>719.49199999999996</v>
      </c>
      <c r="BY28" s="555"/>
      <c r="BZ28" s="555">
        <f>INDEX('qtrP&amp;L'!$218:$218,MATCH(BZ$6,'qtrP&amp;L'!$6:$6,0))</f>
        <v>712.90200000000004</v>
      </c>
      <c r="CA28" s="555">
        <f>INDEX('qtrP&amp;L'!$219:$219,MATCH(BZ$6,'qtrP&amp;L'!$6:$6,0))</f>
        <v>705.2</v>
      </c>
      <c r="CB28" s="555">
        <f>INDEX('qtrP&amp;L'!$220:$220,MATCH(BZ$6,'qtrP&amp;L'!$6:$6,0))</f>
        <v>701.005</v>
      </c>
      <c r="CC28" s="555">
        <f>INDEX('qtrP&amp;L'!$221:$221,MATCH(BZ$6,'qtrP&amp;L'!$6:$6,0))</f>
        <v>695.928</v>
      </c>
      <c r="CD28" s="555"/>
      <c r="CE28" s="555">
        <f>INDEX('qtrP&amp;L'!$218:$218,MATCH(CE$6,'qtrP&amp;L'!$6:$6,0))</f>
        <v>691.20600000000002</v>
      </c>
      <c r="CF28" s="555">
        <f>INDEX('qtrP&amp;L'!$219:$219,MATCH(CE$6,'qtrP&amp;L'!$6:$6,0))</f>
        <v>685.322</v>
      </c>
      <c r="CG28" s="555">
        <f>INDEX('qtrP&amp;L'!$220:$220,MATCH(CE$6,'qtrP&amp;L'!$6:$6,0))</f>
        <v>680.84400000000005</v>
      </c>
      <c r="CH28" s="555">
        <f>INDEX('qtrP&amp;L'!$221:$221,MATCH(CE$6,'qtrP&amp;L'!$6:$6,0))</f>
        <v>674.67600000000004</v>
      </c>
      <c r="CI28" s="555"/>
      <c r="CJ28" s="555">
        <f>INDEX('qtrP&amp;L'!$218:$218,MATCH(CJ$6,'qtrP&amp;L'!$6:$6,0))</f>
        <v>670.38800000000003</v>
      </c>
      <c r="CK28" s="555">
        <f>INDEX('qtrP&amp;L'!$219:$219,MATCH(CJ$6,'qtrP&amp;L'!$6:$6,0))</f>
        <v>666.60599999999999</v>
      </c>
      <c r="CL28" s="555">
        <f>INDEX('qtrP&amp;L'!$220:$220,MATCH(CJ$6,'qtrP&amp;L'!$6:$6,0))</f>
        <v>661.721</v>
      </c>
      <c r="CM28" s="555">
        <f>INDEX('qtrP&amp;L'!$221:$221,MATCH(CJ$6,'qtrP&amp;L'!$6:$6,0))</f>
        <v>657.38599999999997</v>
      </c>
      <c r="CN28" s="555"/>
      <c r="CO28" s="555">
        <f>INDEX('qtrP&amp;L'!$218:$218,MATCH(CO$6,'qtrP&amp;L'!$6:$6,0))</f>
        <v>654.79899999999998</v>
      </c>
      <c r="CP28" s="555">
        <f>INDEX('qtrP&amp;L'!$219:$219,MATCH(CO$6,'qtrP&amp;L'!$6:$6,0))</f>
        <v>648.31700000000001</v>
      </c>
      <c r="CQ28" s="555">
        <f>INDEX('qtrP&amp;L'!$220:$220,MATCH(CO$6,'qtrP&amp;L'!$6:$6,0))</f>
        <v>642.88099999999997</v>
      </c>
      <c r="CR28" s="555">
        <f>INDEX('qtrP&amp;L'!$221:$221,MATCH(CO$6,'qtrP&amp;L'!$6:$6,0))</f>
        <v>638.40300000000002</v>
      </c>
      <c r="CS28" s="555"/>
      <c r="CT28" s="555">
        <f>INDEX('qtrP&amp;L'!$218:$218,MATCH(CT$6,'qtrP&amp;L'!$6:$6,0))</f>
        <v>633.97358823529407</v>
      </c>
      <c r="CU28" s="555">
        <f>INDEX('qtrP&amp;L'!$219:$219,MATCH(CT$6,'qtrP&amp;L'!$6:$6,0))</f>
        <v>628.71476470588232</v>
      </c>
      <c r="CV28" s="555">
        <f>INDEX('qtrP&amp;L'!$220:$220,MATCH(CT$6,'qtrP&amp;L'!$6:$6,0))</f>
        <v>623.45594117647056</v>
      </c>
      <c r="CW28" s="555">
        <f>INDEX('qtrP&amp;L'!$221:$221,MATCH(CT$6,'qtrP&amp;L'!$6:$6,0))</f>
        <v>617.60888235294112</v>
      </c>
      <c r="CX28" s="555"/>
      <c r="CY28" s="555"/>
      <c r="CZ28" s="555">
        <f>'yrP&amp;L'!H55</f>
        <v>1402.6004</v>
      </c>
      <c r="DA28" s="555">
        <f>'yrP&amp;L'!I55</f>
        <v>1398.4487360000001</v>
      </c>
      <c r="DB28" s="555">
        <f>'yrP&amp;L'!J55</f>
        <v>1338.5917999999999</v>
      </c>
      <c r="DC28" s="555">
        <f>'yrP&amp;L'!K55</f>
        <v>1271.1630560000001</v>
      </c>
      <c r="DD28" s="555">
        <f>'yrP&amp;L'!L55</f>
        <v>1156.7840000000001</v>
      </c>
      <c r="DE28" s="556">
        <f>'yrP&amp;L'!M55</f>
        <v>1112.5360000000001</v>
      </c>
      <c r="DF28" s="556">
        <f>'yrP&amp;L'!N55</f>
        <v>1105.28</v>
      </c>
      <c r="DG28" s="556">
        <f>'yrP&amp;L'!O55</f>
        <v>1062.6020000000001</v>
      </c>
      <c r="DH28" s="556">
        <f>'yrP&amp;L'!P55</f>
        <v>1019.321654</v>
      </c>
      <c r="DI28" s="555">
        <f>'yrP&amp;L'!Q55</f>
        <v>982.99906199999998</v>
      </c>
      <c r="DJ28" s="555">
        <f>'yrP&amp;L'!R55</f>
        <v>960.09</v>
      </c>
      <c r="DK28" s="556">
        <f>'yrP&amp;L'!S55</f>
        <v>936.09199999999998</v>
      </c>
      <c r="DL28" s="555">
        <f>'yrP&amp;L'!T55</f>
        <v>884.51</v>
      </c>
      <c r="DM28" s="556">
        <f>'yrP&amp;L'!U55</f>
        <v>855.23800000000006</v>
      </c>
      <c r="DN28" s="555">
        <f>'yrP&amp;L'!V55</f>
        <v>812.82600000000002</v>
      </c>
      <c r="DO28" s="1939">
        <f>'yrP&amp;L'!W55</f>
        <v>773.77200000000005</v>
      </c>
      <c r="DP28" s="555">
        <f>'yrP&amp;L'!X55</f>
        <v>747.55499999999995</v>
      </c>
      <c r="DQ28" s="557">
        <f>'yrP&amp;L'!Y55</f>
        <v>726.37599999999998</v>
      </c>
      <c r="DR28" s="557">
        <f>'yrP&amp;L'!Z55</f>
        <v>703.75874999999996</v>
      </c>
      <c r="DS28" s="557">
        <f>'yrP&amp;L'!AA55</f>
        <v>683.01200000000006</v>
      </c>
      <c r="DT28" s="557">
        <f>'yrP&amp;L'!AB55</f>
        <v>664.43200000000002</v>
      </c>
      <c r="DU28" s="557">
        <f>'yrP&amp;L'!AC55</f>
        <v>646.10500000000002</v>
      </c>
      <c r="DV28" s="557">
        <f>'yrP&amp;L'!AD55</f>
        <v>625.93829411764705</v>
      </c>
      <c r="DW28" s="557">
        <f>'yrP&amp;L'!AE55</f>
        <v>597.38666013071895</v>
      </c>
      <c r="DX28" s="557">
        <f>'yrP&amp;L'!AF55</f>
        <v>578.33402855177155</v>
      </c>
      <c r="DY28" s="557">
        <f>'yrP&amp;L'!AG55</f>
        <v>560.33402855177155</v>
      </c>
      <c r="DZ28" s="512"/>
      <c r="EA28" s="558"/>
      <c r="EG28" s="537"/>
      <c r="EH28" s="493"/>
    </row>
    <row r="29" spans="1:140" hidden="1" outlineLevel="1">
      <c r="A29" s="554" t="s">
        <v>390</v>
      </c>
      <c r="B29" s="555"/>
      <c r="C29" s="555">
        <f>+'qtrP&amp;L'!$AP279</f>
        <v>1301.1828</v>
      </c>
      <c r="D29" s="555">
        <f>+'qtrP&amp;L'!$AP280</f>
        <v>1281.8017199999999</v>
      </c>
      <c r="E29" s="555">
        <f>+'qtrP&amp;L'!$AP281</f>
        <v>1265.2502199999999</v>
      </c>
      <c r="F29" s="555">
        <f>+'qtrP&amp;L'!$AP282</f>
        <v>1233.124</v>
      </c>
      <c r="G29" s="555"/>
      <c r="H29" s="555">
        <f>+'qtrP&amp;L'!$AT279</f>
        <v>1193.124</v>
      </c>
      <c r="I29" s="555">
        <f>+'qtrP&amp;L'!$AT280</f>
        <v>1163.54</v>
      </c>
      <c r="J29" s="555">
        <f>+'qtrP&amp;L'!$AT281</f>
        <v>1123.9480000000001</v>
      </c>
      <c r="K29" s="555">
        <f>+'qtrP&amp;L'!$AT282</f>
        <v>1130.06</v>
      </c>
      <c r="L29" s="555"/>
      <c r="M29" s="555">
        <f>+'qtrP&amp;L'!$AX279</f>
        <v>1117.152</v>
      </c>
      <c r="N29" s="555">
        <f>+'qtrP&amp;L'!$AX280</f>
        <v>1105.0360000000001</v>
      </c>
      <c r="O29" s="555">
        <f>+'qtrP&amp;L'!$AX281</f>
        <v>1093.5360000000001</v>
      </c>
      <c r="P29" s="555">
        <f>+'qtrP&amp;L'!$AX282</f>
        <v>1077.9480000000001</v>
      </c>
      <c r="Q29" s="555"/>
      <c r="R29" s="555">
        <f>+'qtrP&amp;L'!$BB279</f>
        <v>1082.616</v>
      </c>
      <c r="S29" s="555">
        <f>+'qtrP&amp;L'!$BB280</f>
        <v>1072.742</v>
      </c>
      <c r="T29" s="555">
        <f>+'qtrP&amp;L'!$BB281</f>
        <v>1054.5719999999999</v>
      </c>
      <c r="U29" s="555">
        <f>+'qtrP&amp;L'!$BB282</f>
        <v>1058.5840000000001</v>
      </c>
      <c r="V29" s="555"/>
      <c r="W29" s="555">
        <f>+'qtrP&amp;L'!$BF279</f>
        <v>1033.2940000000001</v>
      </c>
      <c r="X29" s="555">
        <f>+'qtrP&amp;L'!$BF280</f>
        <v>1019.856</v>
      </c>
      <c r="Y29" s="555">
        <f>+'qtrP&amp;L'!$BF281</f>
        <v>1011.808</v>
      </c>
      <c r="Z29" s="555">
        <f>+'qtrP&amp;L'!$BF282</f>
        <v>1001.914</v>
      </c>
      <c r="AA29" s="555"/>
      <c r="AB29" s="555">
        <f>+'qtrP&amp;L'!$BJ279</f>
        <v>994.09</v>
      </c>
      <c r="AC29" s="555">
        <f>+'qtrP&amp;L'!$BJ280</f>
        <v>983.97400000000005</v>
      </c>
      <c r="AD29" s="555">
        <f>+'qtrP&amp;L'!$BJ281</f>
        <v>969.02599999999995</v>
      </c>
      <c r="AE29" s="555">
        <f>+'qtrP&amp;L'!$BJ282</f>
        <v>956.40540540540542</v>
      </c>
      <c r="AF29" s="555"/>
      <c r="AG29" s="555">
        <f>+'qtrP&amp;L'!$BN279</f>
        <v>953.95799999999997</v>
      </c>
      <c r="AH29" s="555">
        <f>+'qtrP&amp;L'!$BN280</f>
        <v>934.41200000000003</v>
      </c>
      <c r="AI29" s="555">
        <f>+'qtrP&amp;L'!$BN281</f>
        <v>923.87199999999996</v>
      </c>
      <c r="AJ29" s="555">
        <f>+'qtrP&amp;L'!$BN282</f>
        <v>931.3</v>
      </c>
      <c r="AK29" s="555"/>
      <c r="AL29" s="555">
        <f>+'qtrP&amp;L'!$BR279</f>
        <v>917.84</v>
      </c>
      <c r="AM29" s="555">
        <f>+'qtrP&amp;L'!$BR280</f>
        <v>904.26400000000001</v>
      </c>
      <c r="AN29" s="555">
        <f>+'qtrP&amp;L'!$BR281</f>
        <v>905.08799999999997</v>
      </c>
      <c r="AO29" s="555">
        <f>+'qtrP&amp;L'!$BR282</f>
        <v>900.92962962962963</v>
      </c>
      <c r="AP29" s="555"/>
      <c r="AQ29" s="555" t="e">
        <f>+'qtrP&amp;L'!#REF!</f>
        <v>#REF!</v>
      </c>
      <c r="AR29" s="555" t="e">
        <f>+'qtrP&amp;L'!#REF!</f>
        <v>#REF!</v>
      </c>
      <c r="AS29" s="555" t="e">
        <f>+'qtrP&amp;L'!#REF!</f>
        <v>#REF!</v>
      </c>
      <c r="AT29" s="555">
        <f>+'qtrP&amp;L'!$BV282</f>
        <v>860.42571428571432</v>
      </c>
      <c r="AU29" s="555"/>
      <c r="AV29" s="555">
        <f>+'qtrP&amp;L'!$BZ279</f>
        <v>851.24</v>
      </c>
      <c r="AW29" s="555">
        <f>+'qtrP&amp;L'!$BZ280</f>
        <v>842.57799999999997</v>
      </c>
      <c r="AX29" s="555">
        <f>+'qtrP&amp;L'!$BZ281</f>
        <v>834.21400000000006</v>
      </c>
      <c r="AY29" s="555">
        <f>+'qtrP&amp;L'!$BZ282</f>
        <v>821.95409836065573</v>
      </c>
      <c r="AZ29" s="555"/>
      <c r="BA29" s="555">
        <f>+'qtrP&amp;L'!$CD279</f>
        <v>825.08799999999997</v>
      </c>
      <c r="BB29" s="555">
        <f>+'qtrP&amp;L'!$CD280</f>
        <v>847.78200000000004</v>
      </c>
      <c r="BC29" s="555">
        <f>+'qtrP&amp;L'!$CD281</f>
        <v>843.30799999999999</v>
      </c>
      <c r="BD29" s="555">
        <f>+'qtrP&amp;L'!$CD282</f>
        <v>838.36</v>
      </c>
      <c r="BE29" s="555"/>
      <c r="BF29" s="555">
        <f>+'qtrP&amp;L'!$CH279</f>
        <v>816.1</v>
      </c>
      <c r="BG29" s="555">
        <f>+'qtrP&amp;L'!$CH280</f>
        <v>807.42</v>
      </c>
      <c r="BH29" s="555">
        <f>+'qtrP&amp;L'!$CH281</f>
        <v>794.01599999999996</v>
      </c>
      <c r="BI29" s="555">
        <f>+'qtrP&amp;L'!$CH282</f>
        <v>783.09599999999989</v>
      </c>
      <c r="BJ29" s="555"/>
      <c r="BK29" s="555">
        <f>+'qtrP&amp;L'!$CL279</f>
        <v>775.94399999999996</v>
      </c>
      <c r="BL29" s="555">
        <f>+'qtrP&amp;L'!$CL280</f>
        <v>763.18599999999992</v>
      </c>
      <c r="BM29" s="555">
        <f>+'qtrP&amp;L'!$CL281</f>
        <v>753.98799999999994</v>
      </c>
      <c r="BN29" s="555">
        <f>+'qtrP&amp;L'!$CL282</f>
        <v>750.75499999999988</v>
      </c>
      <c r="BO29" s="555"/>
      <c r="BP29" s="555">
        <f>+'qtrP&amp;L'!$CP$279</f>
        <v>742.23299999999995</v>
      </c>
      <c r="BQ29" s="555">
        <f>+'qtrP&amp;L'!$CP$280</f>
        <v>739.53099999999995</v>
      </c>
      <c r="BR29" s="555">
        <f>+'qtrP&amp;L'!$CP$281</f>
        <v>736.846</v>
      </c>
      <c r="BS29" s="555">
        <f>+'qtrP&amp;L'!$CP$282</f>
        <v>726.57735300000002</v>
      </c>
      <c r="BT29" s="555"/>
      <c r="BU29" s="555">
        <f>INDEX('qtrP&amp;L'!$218:$218,MATCH($BU$6,'qtrP&amp;L'!$6:$6,0))</f>
        <v>732.55499999999995</v>
      </c>
      <c r="BV29" s="555">
        <f>INDEX('qtrP&amp;L'!$219:$219,MATCH($BU$6,'qtrP&amp;L'!$6:$6,0))</f>
        <v>728.59900000000005</v>
      </c>
      <c r="BW29" s="555">
        <f>INDEX('qtrP&amp;L'!$220:$220,MATCH($BU$6,'qtrP&amp;L'!$6:$6,0))</f>
        <v>724.10799999999995</v>
      </c>
      <c r="BX29" s="555">
        <f>INDEX('qtrP&amp;L'!$221:$221,MATCH($BU$6,'qtrP&amp;L'!$6:$6,0))</f>
        <v>719.49199999999996</v>
      </c>
      <c r="BY29" s="555"/>
      <c r="BZ29" s="555">
        <f>INDEX('qtrP&amp;L'!$218:$218,MATCH(BZ$6,'qtrP&amp;L'!$6:$6,0))</f>
        <v>712.90200000000004</v>
      </c>
      <c r="CA29" s="555">
        <f>INDEX('qtrP&amp;L'!$219:$219,MATCH(BZ$6,'qtrP&amp;L'!$6:$6,0))</f>
        <v>705.2</v>
      </c>
      <c r="CB29" s="555">
        <f>INDEX('qtrP&amp;L'!$220:$220,MATCH(BZ$6,'qtrP&amp;L'!$6:$6,0))</f>
        <v>701.005</v>
      </c>
      <c r="CC29" s="555">
        <f>INDEX('qtrP&amp;L'!$221:$221,MATCH(BZ$6,'qtrP&amp;L'!$6:$6,0))</f>
        <v>695.928</v>
      </c>
      <c r="CD29" s="555"/>
      <c r="CE29" s="555">
        <f>INDEX('qtrP&amp;L'!$218:$218,MATCH(CE$6,'qtrP&amp;L'!$6:$6,0))</f>
        <v>691.20600000000002</v>
      </c>
      <c r="CF29" s="555">
        <f>INDEX('qtrP&amp;L'!$219:$219,MATCH(CE$6,'qtrP&amp;L'!$6:$6,0))</f>
        <v>685.322</v>
      </c>
      <c r="CG29" s="555">
        <f>INDEX('qtrP&amp;L'!$220:$220,MATCH(CE$6,'qtrP&amp;L'!$6:$6,0))</f>
        <v>680.84400000000005</v>
      </c>
      <c r="CH29" s="555">
        <f>INDEX('qtrP&amp;L'!$221:$221,MATCH(CE$6,'qtrP&amp;L'!$6:$6,0))</f>
        <v>674.67600000000004</v>
      </c>
      <c r="CI29" s="555"/>
      <c r="CJ29" s="555">
        <f>INDEX('qtrP&amp;L'!$218:$218,MATCH(CJ$6,'qtrP&amp;L'!$6:$6,0))</f>
        <v>670.38800000000003</v>
      </c>
      <c r="CK29" s="555">
        <f>INDEX('qtrP&amp;L'!$219:$219,MATCH(CJ$6,'qtrP&amp;L'!$6:$6,0))</f>
        <v>666.60599999999999</v>
      </c>
      <c r="CL29" s="555">
        <f>INDEX('qtrP&amp;L'!$220:$220,MATCH(CJ$6,'qtrP&amp;L'!$6:$6,0))</f>
        <v>661.721</v>
      </c>
      <c r="CM29" s="555">
        <f>INDEX('qtrP&amp;L'!$221:$221,MATCH(CJ$6,'qtrP&amp;L'!$6:$6,0))</f>
        <v>657.38599999999997</v>
      </c>
      <c r="CN29" s="555"/>
      <c r="CO29" s="555">
        <f>INDEX('qtrP&amp;L'!$218:$218,MATCH(CO$6,'qtrP&amp;L'!$6:$6,0))</f>
        <v>654.79899999999998</v>
      </c>
      <c r="CP29" s="555">
        <f>INDEX('qtrP&amp;L'!$219:$219,MATCH(CO$6,'qtrP&amp;L'!$6:$6,0))</f>
        <v>648.31700000000001</v>
      </c>
      <c r="CQ29" s="555">
        <f>INDEX('qtrP&amp;L'!$220:$220,MATCH(CO$6,'qtrP&amp;L'!$6:$6,0))</f>
        <v>642.88099999999997</v>
      </c>
      <c r="CR29" s="555">
        <f>INDEX('qtrP&amp;L'!$221:$221,MATCH(CO$6,'qtrP&amp;L'!$6:$6,0))</f>
        <v>638.40300000000002</v>
      </c>
      <c r="CS29" s="555"/>
      <c r="CT29" s="555">
        <f>INDEX('qtrP&amp;L'!$218:$218,MATCH(CT$6,'qtrP&amp;L'!$6:$6,0))</f>
        <v>633.97358823529407</v>
      </c>
      <c r="CU29" s="555">
        <f>INDEX('qtrP&amp;L'!$219:$219,MATCH(CT$6,'qtrP&amp;L'!$6:$6,0))</f>
        <v>628.71476470588232</v>
      </c>
      <c r="CV29" s="555">
        <f>INDEX('qtrP&amp;L'!$220:$220,MATCH(CT$6,'qtrP&amp;L'!$6:$6,0))</f>
        <v>623.45594117647056</v>
      </c>
      <c r="CW29" s="555">
        <f>INDEX('qtrP&amp;L'!$221:$221,MATCH(CT$6,'qtrP&amp;L'!$6:$6,0))</f>
        <v>617.60888235294112</v>
      </c>
      <c r="CX29" s="555"/>
      <c r="CY29" s="555"/>
      <c r="CZ29" s="555"/>
      <c r="DA29" s="555"/>
      <c r="DB29" s="555"/>
      <c r="DC29" s="555">
        <f>+'yrP&amp;L'!K67</f>
        <v>1270.3396849999999</v>
      </c>
      <c r="DD29" s="555">
        <f>+'yrP&amp;L'!L67</f>
        <v>1152.6680000000001</v>
      </c>
      <c r="DE29" s="556">
        <f>+'yrP&amp;L'!M67</f>
        <v>1098.4180000000001</v>
      </c>
      <c r="DF29" s="556">
        <f>+'yrP&amp;L'!N67</f>
        <v>1067.1285</v>
      </c>
      <c r="DG29" s="556">
        <f>+'yrP&amp;L'!O67</f>
        <v>1016.7180000000001</v>
      </c>
      <c r="DH29" s="556">
        <f>+'yrP&amp;L'!P67</f>
        <v>977.61199999999997</v>
      </c>
      <c r="DI29" s="555">
        <f>+'yrP&amp;L'!Q67</f>
        <v>933.07399999999996</v>
      </c>
      <c r="DJ29" s="555">
        <f>+'yrP&amp;L'!R67</f>
        <v>933.07399999999996</v>
      </c>
      <c r="DK29" s="556">
        <f>+'yrP&amp;L'!S67</f>
        <v>886.1</v>
      </c>
      <c r="DL29" s="555">
        <f>+'yrP&amp;L'!T67</f>
        <v>838.15200000000004</v>
      </c>
      <c r="DM29" s="556">
        <f>+'yrP&amp;L'!U67</f>
        <v>835.59199999999998</v>
      </c>
      <c r="DN29" s="555">
        <f>+'yrP&amp;L'!V67</f>
        <v>800.15800000000002</v>
      </c>
      <c r="DO29" s="556">
        <f>+'yrP&amp;L'!W67</f>
        <v>760.9682499999999</v>
      </c>
      <c r="DP29" s="555">
        <f>+'yrP&amp;L'!X67</f>
        <v>736.29683824999995</v>
      </c>
      <c r="DQ29" s="555">
        <f>+'yrP&amp;L'!Y67</f>
        <v>712.24943974999996</v>
      </c>
      <c r="DR29" s="555">
        <f>+'yrP&amp;L'!Z67</f>
        <v>684.99825299999998</v>
      </c>
      <c r="DS29" s="555">
        <f>+'yrP&amp;L'!AA67</f>
        <v>658.29825299999993</v>
      </c>
      <c r="DT29" s="555">
        <f>+'yrP&amp;L'!AB67</f>
        <v>634.23575299999993</v>
      </c>
      <c r="DU29" s="555">
        <f>+'yrP&amp;L'!AC67</f>
        <v>611.23575299999993</v>
      </c>
      <c r="DV29" s="555">
        <f>+'yrP&amp;L'!AD67</f>
        <v>585.80854711764721</v>
      </c>
      <c r="DW29" s="555">
        <f>+'yrP&amp;L'!AE67</f>
        <v>565.58632489542504</v>
      </c>
      <c r="DX29" s="555">
        <f>+'yrP&amp;L'!AF67</f>
        <v>546.53369331647764</v>
      </c>
      <c r="DY29" s="555">
        <f>+'yrP&amp;L'!AG67</f>
        <v>528.53369331647764</v>
      </c>
      <c r="DZ29" s="512"/>
      <c r="EA29" s="487"/>
      <c r="EG29" s="487"/>
    </row>
    <row r="30" spans="1:140" hidden="1" outlineLevel="1">
      <c r="A30" s="559" t="s">
        <v>745</v>
      </c>
      <c r="B30" s="560"/>
      <c r="C30" s="560">
        <f>+'qtrP&amp;L'!$AP268</f>
        <v>1301.1845800000001</v>
      </c>
      <c r="D30" s="560">
        <f>+'qtrP&amp;L'!$AP269</f>
        <v>1281.8035</v>
      </c>
      <c r="E30" s="560">
        <f>+'qtrP&amp;L'!$AP270</f>
        <v>1265.252</v>
      </c>
      <c r="F30" s="560">
        <f>+'qtrP&amp;L'!$AP271</f>
        <v>1233.1257800000001</v>
      </c>
      <c r="G30" s="560"/>
      <c r="H30" s="560">
        <f>+'qtrP&amp;L'!$AT268</f>
        <v>1200.179836</v>
      </c>
      <c r="I30" s="560">
        <f>+'qtrP&amp;L'!$AT269</f>
        <v>1170.6626240000001</v>
      </c>
      <c r="J30" s="560">
        <f>+'qtrP&amp;L'!$AT270</f>
        <v>1131.734872</v>
      </c>
      <c r="K30" s="560">
        <f>+'qtrP&amp;L'!$AT271</f>
        <v>1130.0612960000001</v>
      </c>
      <c r="L30" s="560"/>
      <c r="M30" s="560">
        <f>+'qtrP&amp;L'!$AX268</f>
        <v>1128.513976</v>
      </c>
      <c r="N30" s="560">
        <f>+'qtrP&amp;L'!$AX269</f>
        <v>1116.545308</v>
      </c>
      <c r="O30" s="560">
        <f>+'qtrP&amp;L'!$AX270</f>
        <v>1104.319328</v>
      </c>
      <c r="P30" s="560">
        <f>+'qtrP&amp;L'!$AX271</f>
        <v>1101.2251000000001</v>
      </c>
      <c r="Q30" s="560"/>
      <c r="R30" s="560">
        <f>+'qtrP&amp;L'!$BB268</f>
        <v>1094.244432</v>
      </c>
      <c r="S30" s="560">
        <f>+'qtrP&amp;L'!$BB269</f>
        <v>1084.448844</v>
      </c>
      <c r="T30" s="560">
        <f>+'qtrP&amp;L'!$BB270</f>
        <v>1064.6696919999999</v>
      </c>
      <c r="U30" s="560">
        <f>+'qtrP&amp;L'!$BB271</f>
        <v>1058.5850479999999</v>
      </c>
      <c r="V30" s="560"/>
      <c r="W30" s="560">
        <f>+'qtrP&amp;L'!$BF268</f>
        <v>1041.0083999999999</v>
      </c>
      <c r="X30" s="560">
        <f>+'qtrP&amp;L'!$BF269</f>
        <v>1028.6809920000001</v>
      </c>
      <c r="Y30" s="560">
        <f>+'qtrP&amp;L'!$BF270</f>
        <v>1022.124704</v>
      </c>
      <c r="Z30" s="560">
        <f>+'qtrP&amp;L'!$BF271</f>
        <v>1016.02464</v>
      </c>
      <c r="AA30" s="560"/>
      <c r="AB30" s="560">
        <f>+'qtrP&amp;L'!$BJ268</f>
        <v>1009.361396</v>
      </c>
      <c r="AC30" s="560">
        <f>+'qtrP&amp;L'!$BJ269</f>
        <v>998.36731799999995</v>
      </c>
      <c r="AD30" s="560">
        <f>+'qtrP&amp;L'!$BJ270</f>
        <v>963.74512000000004</v>
      </c>
      <c r="AE30" s="560">
        <f>+'qtrP&amp;L'!$BJ271</f>
        <v>961.39830800000004</v>
      </c>
      <c r="AF30" s="560"/>
      <c r="AG30" s="560">
        <f>+'qtrP&amp;L'!$BN268</f>
        <v>940.86290799999995</v>
      </c>
      <c r="AH30" s="560">
        <f>+'qtrP&amp;L'!$BN269</f>
        <v>931.84519399999999</v>
      </c>
      <c r="AI30" s="560">
        <f>+'qtrP&amp;L'!$BN270</f>
        <v>921.37900000000002</v>
      </c>
      <c r="AJ30" s="560">
        <f>+'qtrP&amp;L'!$BN271</f>
        <v>921.34119999999996</v>
      </c>
      <c r="AK30" s="560"/>
      <c r="AL30" s="560">
        <f>+'qtrP&amp;L'!$BR268</f>
        <v>914.05507999999998</v>
      </c>
      <c r="AM30" s="560">
        <f>+'qtrP&amp;L'!$BR269</f>
        <v>898.99801200000002</v>
      </c>
      <c r="AN30" s="560">
        <f>+'qtrP&amp;L'!$BR270</f>
        <v>910.19789400000002</v>
      </c>
      <c r="AO30" s="560">
        <f>+'qtrP&amp;L'!$BR271</f>
        <v>907.29962599999999</v>
      </c>
      <c r="AP30" s="560"/>
      <c r="AQ30" s="560">
        <f>+'qtrP&amp;L'!$BV268</f>
        <v>909.74080000000004</v>
      </c>
      <c r="AR30" s="560">
        <f>+'qtrP&amp;L'!$BV269</f>
        <v>889.24452399999996</v>
      </c>
      <c r="AS30" s="560">
        <f>+'qtrP&amp;L'!$BV270</f>
        <v>874.03527399999996</v>
      </c>
      <c r="AT30" s="560">
        <f>+'qtrP&amp;L'!$BV271</f>
        <v>855.89906599999995</v>
      </c>
      <c r="AU30" s="560"/>
      <c r="AV30" s="560">
        <f>+'qtrP&amp;L'!$BZ268</f>
        <v>849.40212199999996</v>
      </c>
      <c r="AW30" s="560">
        <f>+'qtrP&amp;L'!$BZ269</f>
        <v>838.82212600000003</v>
      </c>
      <c r="AX30" s="560">
        <f>+'qtrP&amp;L'!$BZ270</f>
        <v>832.68006200000002</v>
      </c>
      <c r="AY30" s="560">
        <f>+'qtrP&amp;L'!$BZ271</f>
        <v>825.64318400000002</v>
      </c>
      <c r="AZ30" s="560"/>
      <c r="BA30" s="560">
        <f>+'qtrP&amp;L'!$CD268</f>
        <v>827.06726800000001</v>
      </c>
      <c r="BB30" s="560">
        <f>+'qtrP&amp;L'!$CD269</f>
        <v>847.707854</v>
      </c>
      <c r="BC30" s="560">
        <f>+'qtrP&amp;L'!$CD270</f>
        <v>839.41726800000004</v>
      </c>
      <c r="BD30" s="560">
        <f>+'qtrP&amp;L'!$CD271</f>
        <v>818.77225199999998</v>
      </c>
      <c r="BE30" s="560"/>
      <c r="BF30" s="560">
        <f>+'qtrP&amp;L'!$CH268</f>
        <v>809.42982236588784</v>
      </c>
      <c r="BG30" s="560">
        <f>+'qtrP&amp;L'!$CH269</f>
        <v>807.41600000000005</v>
      </c>
      <c r="BH30" s="560">
        <f>+'qtrP&amp;L'!$CH270</f>
        <v>794.43399999999997</v>
      </c>
      <c r="BI30" s="560">
        <f>+'qtrP&amp;L'!$CH271</f>
        <v>783.67176885668914</v>
      </c>
      <c r="BJ30" s="560"/>
      <c r="BK30" s="560">
        <f>+'qtrP&amp;L'!$CL268</f>
        <v>775.95600000000002</v>
      </c>
      <c r="BL30" s="560">
        <f>+'qtrP&amp;L'!$CL269</f>
        <v>763.71400000000006</v>
      </c>
      <c r="BM30" s="560">
        <f>+'qtrP&amp;L'!$CL270</f>
        <v>754.274</v>
      </c>
      <c r="BN30" s="560">
        <f>+'qtrP&amp;L'!$CL271</f>
        <v>751.09070716609301</v>
      </c>
      <c r="BO30" s="560"/>
      <c r="BP30" s="560">
        <f>+'qtrP&amp;L'!$CP$268</f>
        <v>740.95210299999997</v>
      </c>
      <c r="BQ30" s="560">
        <f>+'qtrP&amp;L'!$CP$269</f>
        <v>733.85210299999994</v>
      </c>
      <c r="BR30" s="560">
        <f>+'qtrP&amp;L'!$CP$270</f>
        <v>729.25270499999999</v>
      </c>
      <c r="BS30" s="560">
        <f>+'qtrP&amp;L'!$CP$271</f>
        <v>723.90200100000004</v>
      </c>
      <c r="BT30" s="560"/>
      <c r="BU30" s="560">
        <f>+'qtrP&amp;L'!$CP$268</f>
        <v>740.95210299999997</v>
      </c>
      <c r="BV30" s="560">
        <f>+'qtrP&amp;L'!$CP$269</f>
        <v>733.85210299999994</v>
      </c>
      <c r="BW30" s="560">
        <f>+'qtrP&amp;L'!$CP$270</f>
        <v>729.25270499999999</v>
      </c>
      <c r="BX30" s="560">
        <f>+'qtrP&amp;L'!$CP$271</f>
        <v>723.90200100000004</v>
      </c>
      <c r="BY30" s="560"/>
      <c r="BZ30" s="560">
        <f>+'qtrP&amp;L'!$CP$268</f>
        <v>740.95210299999997</v>
      </c>
      <c r="CA30" s="560">
        <f>+'qtrP&amp;L'!$CP$269</f>
        <v>733.85210299999994</v>
      </c>
      <c r="CB30" s="560">
        <f>+'qtrP&amp;L'!$CP$270</f>
        <v>729.25270499999999</v>
      </c>
      <c r="CC30" s="560">
        <f>+'qtrP&amp;L'!$CP$271</f>
        <v>723.90200100000004</v>
      </c>
      <c r="CD30" s="560"/>
      <c r="CE30" s="560">
        <f>+'qtrP&amp;L'!$CP$268</f>
        <v>740.95210299999997</v>
      </c>
      <c r="CF30" s="560">
        <f>+'qtrP&amp;L'!$CP$269</f>
        <v>733.85210299999994</v>
      </c>
      <c r="CG30" s="560">
        <f>+'qtrP&amp;L'!$CP$270</f>
        <v>729.25270499999999</v>
      </c>
      <c r="CH30" s="560">
        <f>+'qtrP&amp;L'!$CP$271</f>
        <v>723.90200100000004</v>
      </c>
      <c r="CI30" s="560"/>
      <c r="CJ30" s="560">
        <f>+'qtrP&amp;L'!$CP$268</f>
        <v>740.95210299999997</v>
      </c>
      <c r="CK30" s="560">
        <f>+'qtrP&amp;L'!$CP$269</f>
        <v>733.85210299999994</v>
      </c>
      <c r="CL30" s="560">
        <f>+'qtrP&amp;L'!$CP$270</f>
        <v>729.25270499999999</v>
      </c>
      <c r="CM30" s="560">
        <f>+'qtrP&amp;L'!$CP$271</f>
        <v>723.90200100000004</v>
      </c>
      <c r="CN30" s="560"/>
      <c r="CO30" s="560">
        <f>+'qtrP&amp;L'!$CP$268</f>
        <v>740.95210299999997</v>
      </c>
      <c r="CP30" s="560">
        <f>+'qtrP&amp;L'!$CP$269</f>
        <v>733.85210299999994</v>
      </c>
      <c r="CQ30" s="560">
        <f>+'qtrP&amp;L'!$CP$270</f>
        <v>729.25270499999999</v>
      </c>
      <c r="CR30" s="560">
        <f>+'qtrP&amp;L'!$CP$271</f>
        <v>723.90200100000004</v>
      </c>
      <c r="CS30" s="560"/>
      <c r="CT30" s="560">
        <f>+'qtrP&amp;L'!$CP$268</f>
        <v>740.95210299999997</v>
      </c>
      <c r="CU30" s="560">
        <f>+'qtrP&amp;L'!$CP$269</f>
        <v>733.85210299999994</v>
      </c>
      <c r="CV30" s="560">
        <f>+'qtrP&amp;L'!$CP$270</f>
        <v>729.25270499999999</v>
      </c>
      <c r="CW30" s="560">
        <f>+'qtrP&amp;L'!$CP$271</f>
        <v>723.90200100000004</v>
      </c>
      <c r="CX30" s="560"/>
      <c r="CY30" s="560"/>
      <c r="CZ30" s="560"/>
      <c r="DA30" s="560"/>
      <c r="DB30" s="560"/>
      <c r="DC30" s="560">
        <f>+'yrP&amp;L'!K66</f>
        <v>1271.1630560000001</v>
      </c>
      <c r="DD30" s="560">
        <f>+'yrP&amp;L'!L66</f>
        <v>1156.7840000000001</v>
      </c>
      <c r="DE30" s="561">
        <f>+'yrP&amp;L'!M66</f>
        <v>1112.5360000000001</v>
      </c>
      <c r="DF30" s="561">
        <f>+'yrP&amp;L'!N66</f>
        <v>1075.48</v>
      </c>
      <c r="DG30" s="561">
        <f>+'yrP&amp;L'!O66</f>
        <v>1026.9596839999999</v>
      </c>
      <c r="DH30" s="561">
        <f>+'yrP&amp;L'!P66</f>
        <v>983.21803550000004</v>
      </c>
      <c r="DI30" s="560">
        <f>+'yrP&amp;L'!Q66</f>
        <v>921.34119999999996</v>
      </c>
      <c r="DJ30" s="560">
        <f>+'yrP&amp;L'!R66</f>
        <v>921.34119999999996</v>
      </c>
      <c r="DK30" s="561">
        <f>+'yrP&amp;L'!S66</f>
        <v>855.89906599999995</v>
      </c>
      <c r="DL30" s="560">
        <f>+'yrP&amp;L'!T66</f>
        <v>825.64318400000002</v>
      </c>
      <c r="DM30" s="561">
        <f>+'yrP&amp;L'!U66</f>
        <v>818.77225199999998</v>
      </c>
      <c r="DN30" s="560">
        <f>+'yrP&amp;L'!V66</f>
        <v>800.29</v>
      </c>
      <c r="DO30" s="561">
        <f>+'yrP&amp;L'!W66</f>
        <v>761.25867679152327</v>
      </c>
      <c r="DP30" s="560">
        <f>+'yrP&amp;L'!X66</f>
        <v>731.9897279999999</v>
      </c>
      <c r="DQ30" s="560">
        <f>+'yrP&amp;L'!Y66</f>
        <v>709.74825299999998</v>
      </c>
      <c r="DR30" s="560">
        <f>+'yrP&amp;L'!Z66</f>
        <v>681.473253</v>
      </c>
      <c r="DS30" s="560">
        <f>+'yrP&amp;L'!AA66</f>
        <v>654.99825299999998</v>
      </c>
      <c r="DT30" s="560">
        <f>+'yrP&amp;L'!AB66</f>
        <v>631.44825300000002</v>
      </c>
      <c r="DU30" s="560">
        <f>+'yrP&amp;L'!AC66</f>
        <v>608.44825300000002</v>
      </c>
      <c r="DV30" s="560">
        <f>+'yrP&amp;L'!AD66</f>
        <v>582.13207652941196</v>
      </c>
      <c r="DW30" s="560">
        <f>+'yrP&amp;L'!AE66</f>
        <v>561.90985430718979</v>
      </c>
      <c r="DX30" s="560">
        <f>+'yrP&amp;L'!AF66</f>
        <v>542.85722272824239</v>
      </c>
      <c r="DY30" s="560">
        <f>+'yrP&amp;L'!AG66</f>
        <v>524.85722272824239</v>
      </c>
      <c r="DZ30" s="512"/>
      <c r="EA30" s="562"/>
      <c r="EG30" s="562"/>
      <c r="EH30" s="562"/>
      <c r="EI30" s="563"/>
      <c r="EJ30" s="563"/>
    </row>
    <row r="31" spans="1:140" collapsed="1">
      <c r="A31" s="522"/>
      <c r="B31" s="480"/>
      <c r="C31" s="480"/>
      <c r="D31" s="480"/>
      <c r="E31" s="480"/>
      <c r="F31" s="564"/>
      <c r="G31" s="480"/>
      <c r="H31" s="480"/>
      <c r="I31" s="480"/>
      <c r="J31" s="480"/>
      <c r="K31" s="564"/>
      <c r="L31" s="480"/>
      <c r="M31" s="480"/>
      <c r="N31" s="480"/>
      <c r="O31" s="480"/>
      <c r="P31" s="564"/>
      <c r="Q31" s="480"/>
      <c r="R31" s="480"/>
      <c r="S31" s="480"/>
      <c r="T31" s="480"/>
      <c r="U31" s="564"/>
      <c r="V31" s="480"/>
      <c r="W31" s="480"/>
      <c r="X31" s="480"/>
      <c r="Y31" s="480"/>
      <c r="Z31" s="564"/>
      <c r="AA31" s="480"/>
      <c r="AB31" s="480"/>
      <c r="AC31" s="480"/>
      <c r="AD31" s="480"/>
      <c r="AE31" s="564"/>
      <c r="AF31" s="480"/>
      <c r="AG31" s="480"/>
      <c r="AH31" s="480"/>
      <c r="AI31" s="480"/>
      <c r="AJ31" s="564"/>
      <c r="AK31" s="480"/>
      <c r="AL31" s="480"/>
      <c r="AM31" s="480"/>
      <c r="AN31" s="480"/>
      <c r="AO31" s="564"/>
      <c r="AP31" s="564"/>
      <c r="AQ31" s="480"/>
      <c r="AR31" s="480"/>
      <c r="AS31" s="480"/>
      <c r="AT31" s="564"/>
      <c r="AU31" s="564"/>
      <c r="AV31" s="564"/>
      <c r="AW31" s="564"/>
      <c r="AX31" s="564"/>
      <c r="AY31" s="564"/>
      <c r="AZ31" s="564"/>
      <c r="BA31" s="564"/>
      <c r="BB31" s="564"/>
      <c r="BC31" s="564"/>
      <c r="BD31" s="564"/>
      <c r="BE31" s="564"/>
      <c r="BF31" s="564"/>
      <c r="BG31" s="564"/>
      <c r="BH31" s="564"/>
      <c r="BI31" s="564"/>
      <c r="BJ31" s="564"/>
      <c r="BK31" s="564"/>
      <c r="BL31" s="564"/>
      <c r="BM31" s="564"/>
      <c r="BN31" s="564"/>
      <c r="BO31" s="480"/>
      <c r="BP31" s="564"/>
      <c r="BQ31" s="564"/>
      <c r="BR31" s="564"/>
      <c r="BS31" s="564"/>
      <c r="BT31" s="480"/>
      <c r="BU31" s="564"/>
      <c r="BV31" s="564"/>
      <c r="BW31" s="564"/>
      <c r="BX31" s="564"/>
      <c r="BY31" s="480"/>
      <c r="BZ31" s="564"/>
      <c r="CA31" s="564"/>
      <c r="CB31" s="564"/>
      <c r="CC31" s="564"/>
      <c r="CD31" s="480"/>
      <c r="CE31" s="564"/>
      <c r="CF31" s="564"/>
      <c r="CG31" s="564"/>
      <c r="CH31" s="564"/>
      <c r="CI31" s="480"/>
      <c r="CJ31" s="564"/>
      <c r="CK31" s="564"/>
      <c r="CL31" s="564"/>
      <c r="CM31" s="564"/>
      <c r="CN31" s="480"/>
      <c r="CO31" s="564"/>
      <c r="CP31" s="564"/>
      <c r="CQ31" s="564"/>
      <c r="CR31" s="564"/>
      <c r="CS31" s="480"/>
      <c r="CT31" s="564"/>
      <c r="CU31" s="564"/>
      <c r="CV31" s="564"/>
      <c r="CW31" s="564"/>
      <c r="CX31" s="480"/>
      <c r="CY31" s="480"/>
      <c r="CZ31" s="525"/>
      <c r="DA31" s="525"/>
      <c r="DB31" s="525"/>
      <c r="DC31" s="525"/>
      <c r="DD31" s="525"/>
      <c r="DE31" s="522"/>
      <c r="DF31" s="522"/>
      <c r="DG31" s="522"/>
      <c r="DH31" s="522"/>
      <c r="DI31" s="565"/>
      <c r="DJ31" s="565"/>
      <c r="DK31" s="566"/>
      <c r="DL31" s="565"/>
      <c r="DM31" s="566"/>
      <c r="DN31" s="565"/>
      <c r="DO31" s="522"/>
      <c r="DP31" s="525"/>
      <c r="DQ31" s="525"/>
      <c r="DR31" s="525"/>
      <c r="DS31" s="525"/>
      <c r="DT31" s="525"/>
      <c r="DU31" s="525"/>
      <c r="DV31" s="525"/>
      <c r="DW31" s="525"/>
      <c r="DX31" s="525"/>
      <c r="DY31" s="525"/>
      <c r="DZ31" s="512"/>
      <c r="EA31" s="567"/>
    </row>
    <row r="32" spans="1:140">
      <c r="A32" s="526" t="s">
        <v>460</v>
      </c>
      <c r="B32" s="527"/>
      <c r="C32" s="568">
        <f>C17+C16</f>
        <v>201.03800000000018</v>
      </c>
      <c r="D32" s="568">
        <f>D17+D16</f>
        <v>187.12200000000007</v>
      </c>
      <c r="E32" s="568">
        <f>E17+E16</f>
        <v>250.46500000000009</v>
      </c>
      <c r="F32" s="568">
        <f>F17+F16</f>
        <v>222.65700000000021</v>
      </c>
      <c r="G32" s="569"/>
      <c r="H32" s="568">
        <f>H17+H16</f>
        <v>216.11900000000003</v>
      </c>
      <c r="I32" s="568">
        <f>I17+I16</f>
        <v>191.40199999999999</v>
      </c>
      <c r="J32" s="568">
        <f>J17+J16</f>
        <v>267.99700000000001</v>
      </c>
      <c r="K32" s="568">
        <f>K17+K16</f>
        <v>212.3279999999998</v>
      </c>
      <c r="L32" s="568"/>
      <c r="M32" s="568">
        <f>M17+M16</f>
        <v>252.72399999999999</v>
      </c>
      <c r="N32" s="568">
        <f>N17+N16</f>
        <v>237.63699999999989</v>
      </c>
      <c r="O32" s="568">
        <f>O17+O16</f>
        <v>302.56099999999969</v>
      </c>
      <c r="P32" s="568">
        <f>P17+P16</f>
        <v>310.84599999999978</v>
      </c>
      <c r="Q32" s="568"/>
      <c r="R32" s="568">
        <f>R17+M16</f>
        <v>292.55699999999996</v>
      </c>
      <c r="S32" s="568">
        <f>S17+S16</f>
        <v>268.87500000000006</v>
      </c>
      <c r="T32" s="568">
        <f>T17+T16</f>
        <v>298.70599999999985</v>
      </c>
      <c r="U32" s="568">
        <f>U17+U16</f>
        <v>310.09500000000031</v>
      </c>
      <c r="V32" s="568"/>
      <c r="W32" s="568">
        <f>W17+W16</f>
        <v>228.10799999999989</v>
      </c>
      <c r="X32" s="568">
        <f>X17+X16</f>
        <v>245.28300000000002</v>
      </c>
      <c r="Y32" s="568">
        <f>Y17+Y16</f>
        <v>344.46100000000001</v>
      </c>
      <c r="Z32" s="568">
        <f>Z17+Z16</f>
        <v>434.5229999999998</v>
      </c>
      <c r="AA32" s="568"/>
      <c r="AB32" s="568">
        <f>AB17+AB16</f>
        <v>326.29499999999996</v>
      </c>
      <c r="AC32" s="568">
        <f>AC17+AC16</f>
        <v>247.70200000000006</v>
      </c>
      <c r="AD32" s="568">
        <f>AD17+AD16</f>
        <v>376.80100000000004</v>
      </c>
      <c r="AE32" s="568">
        <f>AE17+AE16</f>
        <v>342.96900000000056</v>
      </c>
      <c r="AF32" s="568"/>
      <c r="AG32" s="568">
        <f>AG17+AG16</f>
        <v>304.62100000000015</v>
      </c>
      <c r="AH32" s="568">
        <f>AH17+AH16</f>
        <v>265.71000000000004</v>
      </c>
      <c r="AI32" s="568">
        <f>AI17+AI16</f>
        <v>343.71699999999976</v>
      </c>
      <c r="AJ32" s="568">
        <f>AJ17+AJ16</f>
        <v>439.19600000000037</v>
      </c>
      <c r="AK32" s="568"/>
      <c r="AL32" s="568">
        <f>AL17+AL16</f>
        <v>350.26499999999965</v>
      </c>
      <c r="AM32" s="568">
        <f>AM17+AM16</f>
        <v>322.63000000000022</v>
      </c>
      <c r="AN32" s="568">
        <f>AN17+AN16</f>
        <v>471.49800000000022</v>
      </c>
      <c r="AO32" s="568">
        <f>AO17+AO16</f>
        <v>476.09100000000052</v>
      </c>
      <c r="AP32" s="568"/>
      <c r="AQ32" s="568">
        <f>AQ17+AQ16</f>
        <v>378.63400000000013</v>
      </c>
      <c r="AR32" s="568">
        <f>AR17+AR16</f>
        <v>380.69399999999962</v>
      </c>
      <c r="AS32" s="568">
        <f>AS17+AS16</f>
        <v>497.56999999999988</v>
      </c>
      <c r="AT32" s="568">
        <f>AT17+AT16</f>
        <v>586.90900000000022</v>
      </c>
      <c r="AU32" s="568"/>
      <c r="AV32" s="568">
        <f>AV17+AV16</f>
        <v>397.9020000000001</v>
      </c>
      <c r="AW32" s="568">
        <f>AW17+AW16</f>
        <v>440.13500000000016</v>
      </c>
      <c r="AX32" s="568">
        <f>AX17+AX16</f>
        <v>517.93700000000001</v>
      </c>
      <c r="AY32" s="568">
        <f>AY17+AY16</f>
        <v>480.46399999999949</v>
      </c>
      <c r="AZ32" s="568"/>
      <c r="BA32" s="568">
        <f>BA17+BA16</f>
        <v>449.96800000000013</v>
      </c>
      <c r="BB32" s="568">
        <f>BB17+BB16</f>
        <v>527.62300000000016</v>
      </c>
      <c r="BC32" s="568">
        <f>BC17+BC16</f>
        <v>688.18999999999983</v>
      </c>
      <c r="BD32" s="568">
        <f>BD17+BD16</f>
        <v>760.50800000000027</v>
      </c>
      <c r="BE32" s="568"/>
      <c r="BF32" s="568">
        <f>BF17+BF16</f>
        <v>660.10299999999995</v>
      </c>
      <c r="BG32" s="568">
        <f>BG17+BG16</f>
        <v>608.66899999999987</v>
      </c>
      <c r="BH32" s="568">
        <f>BH17+BH16</f>
        <v>720.53499999999985</v>
      </c>
      <c r="BI32" s="568">
        <f>BI17+BI16</f>
        <v>801.28200000000015</v>
      </c>
      <c r="BJ32" s="568"/>
      <c r="BK32" s="568">
        <f>BK17+BK16</f>
        <v>623.5619999999999</v>
      </c>
      <c r="BL32" s="568">
        <f>BL17+BL16</f>
        <v>688.71800000000053</v>
      </c>
      <c r="BM32" s="568">
        <f>BM17+BM16</f>
        <v>792.8029999999992</v>
      </c>
      <c r="BN32" s="568">
        <f>BN17+BN16</f>
        <v>896.45100000000014</v>
      </c>
      <c r="BO32" s="568"/>
      <c r="BP32" s="568">
        <f>BP17+BP16</f>
        <v>810.87000000000023</v>
      </c>
      <c r="BQ32" s="568">
        <f>BQ17+BQ16</f>
        <v>817.83399999999983</v>
      </c>
      <c r="BR32" s="568">
        <f>BR17+BR16</f>
        <v>880.42499999999927</v>
      </c>
      <c r="BS32" s="568">
        <f>BS17+BS16</f>
        <v>1083.0970000000007</v>
      </c>
      <c r="BT32" s="568"/>
      <c r="BU32" s="568">
        <f>BU17+BU16</f>
        <v>857.76700000000005</v>
      </c>
      <c r="BV32" s="568">
        <f>BV17+BV16</f>
        <v>926.76500000000044</v>
      </c>
      <c r="BW32" s="568">
        <f>BW17+BW16</f>
        <v>1034.643</v>
      </c>
      <c r="BX32" s="568">
        <f>BX17+BX16</f>
        <v>1080.1950000000002</v>
      </c>
      <c r="BY32" s="568"/>
      <c r="BZ32" s="568">
        <f>BZ17+BZ16</f>
        <v>884.32600000000048</v>
      </c>
      <c r="CA32" s="568">
        <f>CA17+CA16</f>
        <v>1006.0980000000006</v>
      </c>
      <c r="CB32" s="568">
        <f>CB17+CB16</f>
        <v>1115.6399999999999</v>
      </c>
      <c r="CC32" s="568">
        <f>CC17+CC16</f>
        <v>1189.4369999999992</v>
      </c>
      <c r="CD32" s="568"/>
      <c r="CE32" s="568">
        <f>CE17+CE16</f>
        <v>925.23899999999981</v>
      </c>
      <c r="CF32" s="568">
        <f>CF17+CF16</f>
        <v>1047.002</v>
      </c>
      <c r="CG32" s="568">
        <f>CG17+CG16</f>
        <v>1109.3949999999995</v>
      </c>
      <c r="CH32" s="568">
        <f>CH17+CH16</f>
        <v>1239.7640000000008</v>
      </c>
      <c r="CI32" s="568"/>
      <c r="CJ32" s="568">
        <f>CJ17+CJ16</f>
        <v>992.16299999999978</v>
      </c>
      <c r="CK32" s="568">
        <f>CK17+CK16</f>
        <v>1093.6439999999996</v>
      </c>
      <c r="CL32" s="568">
        <f>CL17+CL16</f>
        <v>1152.8410000000003</v>
      </c>
      <c r="CM32" s="568">
        <f>CM17+CM16</f>
        <v>1269.6750000000006</v>
      </c>
      <c r="CN32" s="568"/>
      <c r="CO32" s="568">
        <f>CO17+CO16</f>
        <v>1014.8490000000002</v>
      </c>
      <c r="CP32" s="568">
        <f>CP17+CP16</f>
        <v>1076.9770000000008</v>
      </c>
      <c r="CQ32" s="568">
        <f>CQ17+CQ16</f>
        <v>1212.2809999999988</v>
      </c>
      <c r="CR32" s="568">
        <f>CR17+CR16</f>
        <v>1409.3189999999995</v>
      </c>
      <c r="CS32" s="568"/>
      <c r="CT32" s="568">
        <f>CT17+CT16</f>
        <v>1057.1110698879995</v>
      </c>
      <c r="CU32" s="568">
        <f>CU17+CU16</f>
        <v>1125.690311575001</v>
      </c>
      <c r="CV32" s="568">
        <f>CV17+CV16</f>
        <v>1257.0991160784013</v>
      </c>
      <c r="CW32" s="568">
        <f>CW17+CW16</f>
        <v>1390.3715410399993</v>
      </c>
      <c r="CX32" s="568"/>
      <c r="CY32" s="568"/>
      <c r="CZ32" s="527">
        <f>CZ17+CZ16</f>
        <v>528.38100000000043</v>
      </c>
      <c r="DA32" s="527">
        <f>DA17+DA16</f>
        <v>526.77300000000014</v>
      </c>
      <c r="DB32" s="527">
        <f t="shared" ref="DB32:DH32" si="12">DB17+DB16</f>
        <v>841.66700000000083</v>
      </c>
      <c r="DC32" s="527">
        <f t="shared" si="12"/>
        <v>1021.7480000000002</v>
      </c>
      <c r="DD32" s="527">
        <f t="shared" si="12"/>
        <v>1063.6269999999995</v>
      </c>
      <c r="DE32" s="529">
        <f t="shared" si="12"/>
        <v>1103.7679999999991</v>
      </c>
      <c r="DF32" s="529">
        <f t="shared" si="12"/>
        <v>1170.9729999999986</v>
      </c>
      <c r="DG32" s="529">
        <f t="shared" si="12"/>
        <v>1252.3750000000007</v>
      </c>
      <c r="DH32" s="529">
        <f t="shared" si="12"/>
        <v>1293.7670000000005</v>
      </c>
      <c r="DI32" s="527">
        <f t="shared" ref="DI32:DN32" si="13">DI17+DI16</f>
        <v>1353.2440000000017</v>
      </c>
      <c r="DJ32" s="527">
        <f t="shared" si="13"/>
        <v>1620.4840000000008</v>
      </c>
      <c r="DK32" s="529">
        <f t="shared" si="13"/>
        <v>1824.9070000000004</v>
      </c>
      <c r="DL32" s="527">
        <f t="shared" si="13"/>
        <v>1836.437999999996</v>
      </c>
      <c r="DM32" s="529">
        <f t="shared" si="13"/>
        <v>2426.2889999999998</v>
      </c>
      <c r="DN32" s="527">
        <f t="shared" si="13"/>
        <v>2790.5889999999968</v>
      </c>
      <c r="DO32" s="529">
        <f t="shared" ref="DO32:DU32" si="14">DO17+DO16</f>
        <v>3001.5340000000028</v>
      </c>
      <c r="DP32" s="527">
        <f t="shared" si="14"/>
        <v>3615.4550000000017</v>
      </c>
      <c r="DQ32" s="527">
        <f>DQ17+DQ16</f>
        <v>3899.37</v>
      </c>
      <c r="DR32" s="527">
        <f>DR17+DR16</f>
        <v>4195.5009999999984</v>
      </c>
      <c r="DS32" s="527">
        <f t="shared" si="14"/>
        <v>4321.3959999999979</v>
      </c>
      <c r="DT32" s="527">
        <f t="shared" si="14"/>
        <v>4508.3190000000059</v>
      </c>
      <c r="DU32" s="527">
        <f t="shared" si="14"/>
        <v>4713.4260000000031</v>
      </c>
      <c r="DV32" s="527">
        <f>DV17+DV16</f>
        <v>4830.2720385813982</v>
      </c>
      <c r="DW32" s="527">
        <f>DW17+DW16</f>
        <v>5221.8699465452664</v>
      </c>
      <c r="DX32" s="527">
        <f>DX17+DX16</f>
        <v>5637.0868065330869</v>
      </c>
      <c r="DY32" s="527">
        <f>DY17+DY16</f>
        <v>6027.972271592248</v>
      </c>
      <c r="DZ32" s="570"/>
      <c r="EA32" s="468" t="s">
        <v>798</v>
      </c>
      <c r="EI32" s="487"/>
    </row>
    <row r="33" spans="1:141">
      <c r="A33" s="522"/>
      <c r="B33" s="480"/>
      <c r="C33" s="480"/>
      <c r="D33" s="480"/>
      <c r="E33" s="480"/>
      <c r="F33" s="480"/>
      <c r="G33" s="480"/>
      <c r="H33" s="480"/>
      <c r="I33" s="480"/>
      <c r="J33" s="480"/>
      <c r="K33" s="480"/>
      <c r="L33" s="480"/>
      <c r="M33" s="480"/>
      <c r="N33" s="480"/>
      <c r="O33" s="480"/>
      <c r="P33" s="480"/>
      <c r="Q33" s="480"/>
      <c r="R33" s="480"/>
      <c r="S33" s="480"/>
      <c r="T33" s="480"/>
      <c r="U33" s="480"/>
      <c r="V33" s="480"/>
      <c r="W33" s="480"/>
      <c r="X33" s="480"/>
      <c r="Y33" s="480"/>
      <c r="Z33" s="480"/>
      <c r="AA33" s="480"/>
      <c r="AB33" s="480"/>
      <c r="AC33" s="480"/>
      <c r="AD33" s="480"/>
      <c r="AE33" s="480"/>
      <c r="AF33" s="480"/>
      <c r="AG33" s="480"/>
      <c r="AH33" s="480"/>
      <c r="AI33" s="480"/>
      <c r="AJ33" s="480"/>
      <c r="AK33" s="480"/>
      <c r="AL33" s="480"/>
      <c r="AM33" s="480"/>
      <c r="AN33" s="480"/>
      <c r="AO33" s="480"/>
      <c r="AP33" s="480"/>
      <c r="AQ33" s="480"/>
      <c r="AR33" s="480"/>
      <c r="AS33" s="480"/>
      <c r="AT33" s="480"/>
      <c r="AU33" s="480"/>
      <c r="AV33" s="480"/>
      <c r="AW33" s="480"/>
      <c r="AX33" s="480"/>
      <c r="AY33" s="480"/>
      <c r="AZ33" s="480"/>
      <c r="BA33" s="480"/>
      <c r="BB33" s="480"/>
      <c r="BC33" s="480"/>
      <c r="BD33" s="480"/>
      <c r="BE33" s="480"/>
      <c r="BF33" s="480"/>
      <c r="BG33" s="480"/>
      <c r="BH33" s="480"/>
      <c r="BI33" s="480"/>
      <c r="BJ33" s="480"/>
      <c r="BK33" s="480"/>
      <c r="BL33" s="480"/>
      <c r="BM33" s="480"/>
      <c r="BN33" s="480"/>
      <c r="BO33" s="480"/>
      <c r="BP33" s="480"/>
      <c r="BQ33" s="480"/>
      <c r="BR33" s="480"/>
      <c r="BS33" s="480"/>
      <c r="BT33" s="480"/>
      <c r="BU33" s="480"/>
      <c r="BV33" s="480"/>
      <c r="BW33" s="480"/>
      <c r="BX33" s="480"/>
      <c r="BY33" s="480"/>
      <c r="BZ33" s="480"/>
      <c r="CA33" s="480"/>
      <c r="CB33" s="480"/>
      <c r="CC33" s="480"/>
      <c r="CD33" s="480"/>
      <c r="CE33" s="480"/>
      <c r="CF33" s="480"/>
      <c r="CG33" s="480"/>
      <c r="CH33" s="480"/>
      <c r="CI33" s="480"/>
      <c r="CJ33" s="480"/>
      <c r="CK33" s="480"/>
      <c r="CL33" s="480"/>
      <c r="CM33" s="480"/>
      <c r="CN33" s="480"/>
      <c r="CO33" s="480"/>
      <c r="CP33" s="480"/>
      <c r="CQ33" s="480"/>
      <c r="CR33" s="480"/>
      <c r="CS33" s="480"/>
      <c r="CT33" s="480"/>
      <c r="CU33" s="480"/>
      <c r="CV33" s="480"/>
      <c r="CW33" s="480"/>
      <c r="CX33" s="480"/>
      <c r="CY33" s="480"/>
      <c r="CZ33" s="525"/>
      <c r="DA33" s="525"/>
      <c r="DB33" s="525"/>
      <c r="DC33" s="525"/>
      <c r="DD33" s="525"/>
      <c r="DE33" s="522"/>
      <c r="DF33" s="522"/>
      <c r="DG33" s="522"/>
      <c r="DH33" s="522"/>
      <c r="DI33" s="565"/>
      <c r="DJ33" s="565"/>
      <c r="DK33" s="566"/>
      <c r="DL33" s="565"/>
      <c r="DM33" s="566"/>
      <c r="DN33" s="565"/>
      <c r="DO33" s="522"/>
      <c r="DP33" s="525"/>
      <c r="DQ33" s="525"/>
      <c r="DR33" s="525"/>
      <c r="DS33" s="525"/>
      <c r="DT33" s="525"/>
      <c r="DU33" s="525"/>
      <c r="DV33" s="525"/>
      <c r="DW33" s="525"/>
      <c r="DX33" s="525"/>
      <c r="DY33" s="525"/>
      <c r="DZ33" s="512"/>
      <c r="EA33" s="487"/>
      <c r="EG33" s="487"/>
    </row>
    <row r="34" spans="1:141">
      <c r="A34" s="513" t="s">
        <v>461</v>
      </c>
      <c r="B34" s="480"/>
      <c r="C34" s="480"/>
      <c r="D34" s="480"/>
      <c r="E34" s="480"/>
      <c r="F34" s="480"/>
      <c r="G34" s="480"/>
      <c r="H34" s="480"/>
      <c r="I34" s="480"/>
      <c r="J34" s="480"/>
      <c r="K34" s="480"/>
      <c r="L34" s="480"/>
      <c r="M34" s="480"/>
      <c r="N34" s="480"/>
      <c r="O34" s="480"/>
      <c r="P34" s="480"/>
      <c r="Q34" s="480"/>
      <c r="R34" s="480"/>
      <c r="S34" s="480"/>
      <c r="T34" s="480"/>
      <c r="U34" s="480"/>
      <c r="V34" s="480"/>
      <c r="W34" s="480"/>
      <c r="X34" s="480"/>
      <c r="Y34" s="480"/>
      <c r="Z34" s="480"/>
      <c r="AA34" s="480"/>
      <c r="AB34" s="480"/>
      <c r="AC34" s="480"/>
      <c r="AD34" s="480"/>
      <c r="AE34" s="480"/>
      <c r="AF34" s="480"/>
      <c r="AG34" s="480"/>
      <c r="AH34" s="480"/>
      <c r="AI34" s="480"/>
      <c r="AJ34" s="480"/>
      <c r="AK34" s="480"/>
      <c r="AL34" s="480"/>
      <c r="AM34" s="480"/>
      <c r="AN34" s="480"/>
      <c r="AO34" s="480"/>
      <c r="AP34" s="480"/>
      <c r="AQ34" s="480"/>
      <c r="AR34" s="480"/>
      <c r="AS34" s="480"/>
      <c r="AT34" s="480"/>
      <c r="AU34" s="480"/>
      <c r="AV34" s="480"/>
      <c r="AW34" s="480"/>
      <c r="AX34" s="480"/>
      <c r="AY34" s="480"/>
      <c r="AZ34" s="480"/>
      <c r="BA34" s="480"/>
      <c r="BB34" s="480"/>
      <c r="BC34" s="480"/>
      <c r="BD34" s="480"/>
      <c r="BE34" s="480"/>
      <c r="BF34" s="480"/>
      <c r="BG34" s="480"/>
      <c r="BH34" s="480"/>
      <c r="BI34" s="480"/>
      <c r="BJ34" s="480"/>
      <c r="BK34" s="480"/>
      <c r="BL34" s="480"/>
      <c r="BM34" s="480"/>
      <c r="BN34" s="480"/>
      <c r="BO34" s="480"/>
      <c r="BP34" s="480"/>
      <c r="BQ34" s="480"/>
      <c r="BR34" s="480"/>
      <c r="BS34" s="480"/>
      <c r="BT34" s="480"/>
      <c r="BU34" s="480"/>
      <c r="BV34" s="480"/>
      <c r="BW34" s="480"/>
      <c r="BX34" s="480"/>
      <c r="BY34" s="480"/>
      <c r="BZ34" s="480"/>
      <c r="CA34" s="480"/>
      <c r="CB34" s="480"/>
      <c r="CC34" s="480"/>
      <c r="CD34" s="480"/>
      <c r="CE34" s="480"/>
      <c r="CF34" s="480"/>
      <c r="CG34" s="480"/>
      <c r="CH34" s="480"/>
      <c r="CI34" s="480"/>
      <c r="CJ34" s="480"/>
      <c r="CK34" s="480"/>
      <c r="CL34" s="480"/>
      <c r="CM34" s="571"/>
      <c r="CN34" s="480"/>
      <c r="CO34" s="480"/>
      <c r="CP34" s="480"/>
      <c r="CQ34" s="480"/>
      <c r="CR34" s="571"/>
      <c r="CS34" s="480"/>
      <c r="CT34" s="480"/>
      <c r="CU34" s="480"/>
      <c r="CV34" s="480"/>
      <c r="CW34" s="571"/>
      <c r="CX34" s="480"/>
      <c r="CY34" s="480"/>
      <c r="CZ34" s="525"/>
      <c r="DA34" s="525"/>
      <c r="DB34" s="525"/>
      <c r="DC34" s="525"/>
      <c r="DD34" s="525"/>
      <c r="DE34" s="522"/>
      <c r="DF34" s="522"/>
      <c r="DG34" s="522"/>
      <c r="DH34" s="522"/>
      <c r="DI34" s="565"/>
      <c r="DJ34" s="565"/>
      <c r="DK34" s="566"/>
      <c r="DL34" s="565"/>
      <c r="DM34" s="566"/>
      <c r="DN34" s="565"/>
      <c r="DO34" s="522"/>
      <c r="DP34" s="525"/>
      <c r="DQ34" s="525"/>
      <c r="DR34" s="525"/>
      <c r="DS34" s="525"/>
      <c r="DT34" s="525"/>
      <c r="DU34" s="525"/>
      <c r="DV34" s="525"/>
      <c r="DW34" s="525"/>
      <c r="DX34" s="525"/>
      <c r="DY34" s="525"/>
      <c r="DZ34" s="512"/>
      <c r="EA34" s="487"/>
      <c r="EG34" s="487"/>
      <c r="EJ34" s="572"/>
    </row>
    <row r="35" spans="1:141">
      <c r="A35" s="554" t="s">
        <v>462</v>
      </c>
      <c r="B35" s="573"/>
      <c r="C35" s="573">
        <f>C13/C9</f>
        <v>0.26506729323814593</v>
      </c>
      <c r="D35" s="573">
        <f>D13/D9</f>
        <v>0.24614345001143687</v>
      </c>
      <c r="E35" s="573">
        <f>E13/E9</f>
        <v>0.26343166652796757</v>
      </c>
      <c r="F35" s="573">
        <f>F13/F9</f>
        <v>0.23658929232873338</v>
      </c>
      <c r="G35" s="573"/>
      <c r="H35" s="574">
        <f>H13/H9</f>
        <v>0.26282993914945857</v>
      </c>
      <c r="I35" s="574">
        <f>I13/I9</f>
        <v>0.24616172181594509</v>
      </c>
      <c r="J35" s="574">
        <f>J13/J9</f>
        <v>0.26556434500373971</v>
      </c>
      <c r="K35" s="574">
        <f>K13/K9</f>
        <v>0.22798889981299778</v>
      </c>
      <c r="L35" s="574"/>
      <c r="M35" s="574">
        <f>M13/M9</f>
        <v>0.2572901873490408</v>
      </c>
      <c r="N35" s="574">
        <f>N13/N9</f>
        <v>0.23834730517739428</v>
      </c>
      <c r="O35" s="574">
        <f>O13/O9</f>
        <v>0.24866172168406592</v>
      </c>
      <c r="P35" s="574">
        <f>P13/P9</f>
        <v>0.2266036964364517</v>
      </c>
      <c r="Q35" s="574"/>
      <c r="R35" s="574">
        <f>R13/R9</f>
        <v>0.25391465689707754</v>
      </c>
      <c r="S35" s="574">
        <f>S13/S9</f>
        <v>0.24822094334034098</v>
      </c>
      <c r="T35" s="574">
        <f>T13/T9</f>
        <v>0.24789044155076434</v>
      </c>
      <c r="U35" s="574">
        <f>U13/U9</f>
        <v>0.22353679851638056</v>
      </c>
      <c r="V35" s="574"/>
      <c r="W35" s="574">
        <f>W13/W9</f>
        <v>0.2397279980014618</v>
      </c>
      <c r="X35" s="574">
        <f>X13/X9</f>
        <v>0.23392776010904132</v>
      </c>
      <c r="Y35" s="574">
        <f>Y13/Y9</f>
        <v>0.25156607385137858</v>
      </c>
      <c r="Z35" s="574">
        <f>Z13/Z9</f>
        <v>0.24119813350733965</v>
      </c>
      <c r="AA35" s="574"/>
      <c r="AB35" s="574">
        <f>AB13/AB9</f>
        <v>0.24668343107934401</v>
      </c>
      <c r="AC35" s="574">
        <f>AC13/AC9</f>
        <v>0.22789091836743663</v>
      </c>
      <c r="AD35" s="574">
        <f>AD13/AD9</f>
        <v>0.24920525146152872</v>
      </c>
      <c r="AE35" s="574">
        <f>AE13/AE9</f>
        <v>0.22078584761899051</v>
      </c>
      <c r="AF35" s="574"/>
      <c r="AG35" s="574">
        <f>AG13/AG9</f>
        <v>0.23633657645618777</v>
      </c>
      <c r="AH35" s="574">
        <f>AH13/AH9</f>
        <v>0.2302729870011673</v>
      </c>
      <c r="AI35" s="574">
        <f>AI13/AI9</f>
        <v>0.23995970223992996</v>
      </c>
      <c r="AJ35" s="574">
        <f>AJ13/AJ9</f>
        <v>0.23110293243025776</v>
      </c>
      <c r="AK35" s="573"/>
      <c r="AL35" s="574">
        <f>AL13/AL9</f>
        <v>0.24498689830897252</v>
      </c>
      <c r="AM35" s="574">
        <f>AM13/AM9</f>
        <v>0.23446416556015545</v>
      </c>
      <c r="AN35" s="574">
        <f>AN13/AN9</f>
        <v>0.25461044328085558</v>
      </c>
      <c r="AO35" s="574">
        <f>AO13/AO9</f>
        <v>0.23040689031248959</v>
      </c>
      <c r="AP35" s="574"/>
      <c r="AQ35" s="574">
        <f>AQ13/AQ9</f>
        <v>0.24199644554233474</v>
      </c>
      <c r="AR35" s="574">
        <f>AR13/AR9</f>
        <v>0.24050065634231618</v>
      </c>
      <c r="AS35" s="574">
        <f>AS13/AS9</f>
        <v>0.25288308929623987</v>
      </c>
      <c r="AT35" s="574">
        <f>AT13/AT9</f>
        <v>0.24464193909503856</v>
      </c>
      <c r="AU35" s="574"/>
      <c r="AV35" s="574">
        <f>AV13/AV9</f>
        <v>0.23854975711940477</v>
      </c>
      <c r="AW35" s="574">
        <f>AW13/AW9</f>
        <v>0.24305138223627948</v>
      </c>
      <c r="AX35" s="574">
        <f>AX13/AX9</f>
        <v>0.25717363956543382</v>
      </c>
      <c r="AY35" s="574">
        <f>AY13/AY9</f>
        <v>0.22531791209148647</v>
      </c>
      <c r="AZ35" s="574"/>
      <c r="BA35" s="574">
        <f>BA13/BA9</f>
        <v>0.24823665479773208</v>
      </c>
      <c r="BB35" s="574">
        <f>BB13/BB9</f>
        <v>0.25554899307597556</v>
      </c>
      <c r="BC35" s="574">
        <f>BC13/BC9</f>
        <v>0.27507756991206389</v>
      </c>
      <c r="BD35" s="574">
        <f>BD13/BD9</f>
        <v>0.26644424046399834</v>
      </c>
      <c r="BE35" s="574"/>
      <c r="BF35" s="574">
        <f>BF13/BF9</f>
        <v>0.27267120365829833</v>
      </c>
      <c r="BG35" s="574">
        <f>BG13/BG9</f>
        <v>0.26615010023519753</v>
      </c>
      <c r="BH35" s="574">
        <f>BH13/BH9</f>
        <v>0.2749701538967691</v>
      </c>
      <c r="BI35" s="574">
        <f>BI13/BI9</f>
        <v>0.26920025561791072</v>
      </c>
      <c r="BJ35" s="574"/>
      <c r="BK35" s="574">
        <f>BK13/BK9</f>
        <v>0.26862219745441718</v>
      </c>
      <c r="BL35" s="574">
        <f>BL13/BL9</f>
        <v>0.27289031237278899</v>
      </c>
      <c r="BM35" s="574">
        <f>BM13/BM9</f>
        <v>0.28077076840007664</v>
      </c>
      <c r="BN35" s="574">
        <f>BN13/BN9</f>
        <v>0.27204990105455373</v>
      </c>
      <c r="BO35" s="573"/>
      <c r="BP35" s="574">
        <f>BP13/BP9</f>
        <v>0.2815339406831841</v>
      </c>
      <c r="BQ35" s="574">
        <f>BQ13/BQ9</f>
        <v>0.28096365707581067</v>
      </c>
      <c r="BR35" s="574">
        <f>BR13/BR9</f>
        <v>0.28776556474873383</v>
      </c>
      <c r="BS35" s="574">
        <f>BS13/BS9</f>
        <v>0.28603588848721634</v>
      </c>
      <c r="BT35" s="573"/>
      <c r="BU35" s="574">
        <f>BU13/BU9</f>
        <v>0.28371355928944786</v>
      </c>
      <c r="BV35" s="574">
        <f>BV13/BV9</f>
        <v>0.28804142664313936</v>
      </c>
      <c r="BW35" s="574">
        <f>BW13/BW9</f>
        <v>0.2932465429062332</v>
      </c>
      <c r="BX35" s="574">
        <f>BX13/BX9</f>
        <v>0.27641770738528276</v>
      </c>
      <c r="BY35" s="573"/>
      <c r="BZ35" s="574">
        <f>BZ13/BZ9</f>
        <v>0.27932935418790067</v>
      </c>
      <c r="CA35" s="574">
        <f>CA13/CA9</f>
        <v>0.28643852465415265</v>
      </c>
      <c r="CB35" s="574">
        <f>CB13/CB9</f>
        <v>0.29356742119877827</v>
      </c>
      <c r="CC35" s="574">
        <f>CC13/CC9</f>
        <v>0.28238550964823611</v>
      </c>
      <c r="CD35" s="573"/>
      <c r="CE35" s="574">
        <f>CE13/CE9</f>
        <v>0.28335258622033177</v>
      </c>
      <c r="CF35" s="574">
        <f>CF13/CF9</f>
        <v>0.29123008431459541</v>
      </c>
      <c r="CG35" s="574">
        <f>CG13/CG9</f>
        <v>0.28975268572430879</v>
      </c>
      <c r="CH35" s="574">
        <f>CH13/CH9</f>
        <v>0.28719721716232016</v>
      </c>
      <c r="CI35" s="573"/>
      <c r="CJ35" s="574">
        <f>CJ13/CJ9</f>
        <v>0.28773674963101714</v>
      </c>
      <c r="CK35" s="574">
        <f>CK13/CK9</f>
        <v>0.29422436007471653</v>
      </c>
      <c r="CL35" s="574">
        <f>CL13/CL9</f>
        <v>0.29521310980345622</v>
      </c>
      <c r="CM35" s="574">
        <f>CM13/CM9</f>
        <v>0.28316116982392781</v>
      </c>
      <c r="CN35" s="573"/>
      <c r="CO35" s="574">
        <f>CO13/CO9</f>
        <v>0.28956128603920028</v>
      </c>
      <c r="CP35" s="574">
        <f>CP13/CP9</f>
        <v>0.28536858226545586</v>
      </c>
      <c r="CQ35" s="574">
        <f>CQ13/CQ9</f>
        <v>0.29812079587136581</v>
      </c>
      <c r="CR35" s="574">
        <f>CR13/CR9</f>
        <v>0.28386091424650933</v>
      </c>
      <c r="CS35" s="573"/>
      <c r="CT35" s="574">
        <f>CT13/CT9</f>
        <v>0.28559999999999997</v>
      </c>
      <c r="CU35" s="574">
        <f>CU13/CU9</f>
        <v>0.28300000000000003</v>
      </c>
      <c r="CV35" s="574">
        <f>CV13/CV9</f>
        <v>0.2960000000000001</v>
      </c>
      <c r="CW35" s="574">
        <f>CW13/CW9</f>
        <v>0.28399999999999997</v>
      </c>
      <c r="CX35" s="573"/>
      <c r="CY35" s="573"/>
      <c r="CZ35" s="575">
        <f>CZ13/CZ9</f>
        <v>0.22283385231283484</v>
      </c>
      <c r="DA35" s="575">
        <f>DA13/DA9</f>
        <v>0.23176505727582192</v>
      </c>
      <c r="DB35" s="575">
        <f t="shared" ref="DB35:DG35" si="15">DB13/DB9</f>
        <v>0.250499221839177</v>
      </c>
      <c r="DC35" s="575">
        <f t="shared" si="15"/>
        <v>0.25194537520805038</v>
      </c>
      <c r="DD35" s="575">
        <f t="shared" si="15"/>
        <v>0.24959604368135899</v>
      </c>
      <c r="DE35" s="576">
        <f t="shared" si="15"/>
        <v>0.24148627163811209</v>
      </c>
      <c r="DF35" s="576">
        <f t="shared" si="15"/>
        <v>0.24218160991626295</v>
      </c>
      <c r="DG35" s="576">
        <f t="shared" si="15"/>
        <v>0.24186397025556397</v>
      </c>
      <c r="DH35" s="576">
        <f t="shared" ref="DH35:DM35" si="16">DH13/DH9</f>
        <v>0.23550899098039896</v>
      </c>
      <c r="DI35" s="575">
        <f t="shared" si="16"/>
        <v>0.23433392898900146</v>
      </c>
      <c r="DJ35" s="575">
        <f t="shared" si="16"/>
        <v>0.24079410561679629</v>
      </c>
      <c r="DK35" s="576">
        <f t="shared" si="16"/>
        <v>0.24516504003118672</v>
      </c>
      <c r="DL35" s="575">
        <f t="shared" si="16"/>
        <v>0.24054942484027855</v>
      </c>
      <c r="DM35" s="576">
        <f t="shared" si="16"/>
        <v>0.26221897549166412</v>
      </c>
      <c r="DN35" s="575">
        <f t="shared" ref="DN35:DS35" si="17">DN13/DN9</f>
        <v>0.27076222308461445</v>
      </c>
      <c r="DO35" s="576">
        <f t="shared" si="17"/>
        <v>0.27365693872538394</v>
      </c>
      <c r="DP35" s="575">
        <f t="shared" si="17"/>
        <v>0.28429037189820133</v>
      </c>
      <c r="DQ35" s="575">
        <f t="shared" si="17"/>
        <v>0.28507988419519364</v>
      </c>
      <c r="DR35" s="575">
        <f t="shared" si="17"/>
        <v>0.28549999317362873</v>
      </c>
      <c r="DS35" s="575">
        <f t="shared" si="17"/>
        <v>0.28794418654191511</v>
      </c>
      <c r="DT35" s="575">
        <f t="shared" ref="DT35:DY35" si="18">DT13/DT9</f>
        <v>0.28984041101570707</v>
      </c>
      <c r="DU35" s="575">
        <f t="shared" si="18"/>
        <v>0.28893333560855339</v>
      </c>
      <c r="DV35" s="575">
        <f t="shared" si="18"/>
        <v>0.28708530846525965</v>
      </c>
      <c r="DW35" s="575">
        <f t="shared" si="18"/>
        <v>0.28850000000000003</v>
      </c>
      <c r="DX35" s="575">
        <f t="shared" si="18"/>
        <v>0.29039999999999994</v>
      </c>
      <c r="DY35" s="575">
        <f t="shared" si="18"/>
        <v>0.29110000000000014</v>
      </c>
      <c r="DZ35" s="512"/>
      <c r="EA35" s="487"/>
      <c r="EG35" s="487"/>
    </row>
    <row r="36" spans="1:141">
      <c r="A36" s="554" t="s">
        <v>463</v>
      </c>
      <c r="B36" s="577"/>
      <c r="C36" s="578">
        <f>(C14/C9)</f>
        <v>0.16092982875992096</v>
      </c>
      <c r="D36" s="573">
        <f>(D14/D9)</f>
        <v>0.15715854332998391</v>
      </c>
      <c r="E36" s="573">
        <f>(E14/E9)</f>
        <v>0.15136949711282144</v>
      </c>
      <c r="F36" s="573">
        <f>(F14/F9)</f>
        <v>0.14847586167595855</v>
      </c>
      <c r="G36" s="573"/>
      <c r="H36" s="574">
        <f>(H14/H9)</f>
        <v>0.16031233575382001</v>
      </c>
      <c r="I36" s="574">
        <f>(I14/I9)</f>
        <v>0.16140208859016178</v>
      </c>
      <c r="J36" s="574">
        <f>(J14/J9)</f>
        <v>0.15668492584131621</v>
      </c>
      <c r="K36" s="574">
        <f>(K14/K9)</f>
        <v>0.15081534035666713</v>
      </c>
      <c r="L36" s="574"/>
      <c r="M36" s="574">
        <f>(M14/M9)</f>
        <v>0.16745424160958566</v>
      </c>
      <c r="N36" s="574">
        <f>(N14/N9)</f>
        <v>0.1633857555528935</v>
      </c>
      <c r="O36" s="574">
        <f>(O14/O9)</f>
        <v>0.15746074888147032</v>
      </c>
      <c r="P36" s="574">
        <f>(P14/P9)</f>
        <v>0.1458388911189287</v>
      </c>
      <c r="Q36" s="574"/>
      <c r="R36" s="574">
        <f>(R14/R9)</f>
        <v>0.16244067664358194</v>
      </c>
      <c r="S36" s="574">
        <f>(S14/S9)</f>
        <v>0.16980574585483507</v>
      </c>
      <c r="T36" s="574">
        <f>(T14/T9)</f>
        <v>0.16694559844989246</v>
      </c>
      <c r="U36" s="574">
        <f>(U14/U9)</f>
        <v>0.15052028523332459</v>
      </c>
      <c r="V36" s="574"/>
      <c r="W36" s="574">
        <f>(W14/W9)</f>
        <v>0.17785304170454266</v>
      </c>
      <c r="X36" s="574">
        <f>(X14/X9)</f>
        <v>0.17198435813463661</v>
      </c>
      <c r="Y36" s="574">
        <f>(Y14/Y9)</f>
        <v>0.16726790519836149</v>
      </c>
      <c r="Z36" s="574">
        <f>(Z14/Z9)</f>
        <v>0.15176120143631569</v>
      </c>
      <c r="AA36" s="574"/>
      <c r="AB36" s="574">
        <f>(AB14/AB9)</f>
        <v>0.16945160526061742</v>
      </c>
      <c r="AC36" s="574">
        <f>(AC14/AC9)</f>
        <v>0.17536340676691797</v>
      </c>
      <c r="AD36" s="574">
        <f>(AD14/AD9)</f>
        <v>0.16866927755292718</v>
      </c>
      <c r="AE36" s="574">
        <f>(AE14/AE9)</f>
        <v>0.15865019799686261</v>
      </c>
      <c r="AF36" s="574"/>
      <c r="AG36" s="574">
        <f>(AG14/AG9)</f>
        <v>0.17450018210048113</v>
      </c>
      <c r="AH36" s="574">
        <f>(AH14/AH9)</f>
        <v>0.17877383653895182</v>
      </c>
      <c r="AI36" s="574">
        <f>(AI14/AI9)</f>
        <v>0.17379423401598057</v>
      </c>
      <c r="AJ36" s="574">
        <f>(AJ14/AJ9)</f>
        <v>0.15522905854492278</v>
      </c>
      <c r="AK36" s="573"/>
      <c r="AL36" s="574">
        <f>(AL14/AL9)</f>
        <v>0.17672972285997104</v>
      </c>
      <c r="AM36" s="574">
        <f>(AM14/AM9)</f>
        <v>0.17490505616149118</v>
      </c>
      <c r="AN36" s="574">
        <f>(AN14/AN9)</f>
        <v>0.16909403942773246</v>
      </c>
      <c r="AO36" s="574">
        <f>(AO14/AO9)</f>
        <v>0.15495708171768877</v>
      </c>
      <c r="AP36" s="574"/>
      <c r="AQ36" s="574">
        <f>(AQ14/AQ9)</f>
        <v>0.17185810114260161</v>
      </c>
      <c r="AR36" s="574">
        <f>(AR14/AR9)</f>
        <v>0.17325512867416071</v>
      </c>
      <c r="AS36" s="574">
        <f>(AS14/AS9)</f>
        <v>0.1656543710093635</v>
      </c>
      <c r="AT36" s="574">
        <f>(AT14/AT9)</f>
        <v>0.15379174150147371</v>
      </c>
      <c r="AU36" s="574"/>
      <c r="AV36" s="574">
        <f>(AV14/AV9)</f>
        <v>0.16925216478004809</v>
      </c>
      <c r="AW36" s="574">
        <f>(AW14/AW9)</f>
        <v>0.16839470445580587</v>
      </c>
      <c r="AX36" s="574">
        <f>(AX14/AX9)</f>
        <v>0.16965828210680181</v>
      </c>
      <c r="AY36" s="574">
        <f>(AY14/AY9)</f>
        <v>0.15472679030301903</v>
      </c>
      <c r="AZ36" s="574"/>
      <c r="BA36" s="574">
        <f>(BA14/BA9)</f>
        <v>0.16881469579883809</v>
      </c>
      <c r="BB36" s="574">
        <f>(BB14/BB9)</f>
        <v>0.16658690585921768</v>
      </c>
      <c r="BC36" s="574">
        <f>(BC14/BC9)</f>
        <v>0.16474850265379282</v>
      </c>
      <c r="BD36" s="574">
        <f>(BD14/BD9)</f>
        <v>0.15801988169807327</v>
      </c>
      <c r="BE36" s="574"/>
      <c r="BF36" s="574">
        <f>(BF14/BF9)</f>
        <v>0.16373097792502403</v>
      </c>
      <c r="BG36" s="574">
        <f>(BG14/BG9)</f>
        <v>0.16846636201480641</v>
      </c>
      <c r="BH36" s="574">
        <f>(BH14/BH9)</f>
        <v>0.16518879368176498</v>
      </c>
      <c r="BI36" s="574">
        <f>(BI14/BI9)</f>
        <v>0.15613988538166898</v>
      </c>
      <c r="BJ36" s="574"/>
      <c r="BK36" s="574">
        <f>(BK14/BK9)</f>
        <v>0.17126514997123432</v>
      </c>
      <c r="BL36" s="574">
        <f>(BL14/BL9)</f>
        <v>0.16891856552908649</v>
      </c>
      <c r="BM36" s="574">
        <f>(BM14/BM9)</f>
        <v>0.1647189566672789</v>
      </c>
      <c r="BN36" s="574">
        <f>(BN14/BN9)</f>
        <v>0.15764190005064266</v>
      </c>
      <c r="BO36" s="573"/>
      <c r="BP36" s="574">
        <f>(BP14/BP9)</f>
        <v>0.16248913865713616</v>
      </c>
      <c r="BQ36" s="574">
        <f>(BQ14/BQ9)</f>
        <v>0.16457897398713897</v>
      </c>
      <c r="BR36" s="574">
        <f>(BR14/BR9)</f>
        <v>0.17006657242112005</v>
      </c>
      <c r="BS36" s="574">
        <f>(BS14/BS9)</f>
        <v>0.16048081945007994</v>
      </c>
      <c r="BT36" s="573"/>
      <c r="BU36" s="574">
        <f>(BU14/BU9)</f>
        <v>0.16461605248409067</v>
      </c>
      <c r="BV36" s="574">
        <f>(BV14/BV9)</f>
        <v>0.16675710881494293</v>
      </c>
      <c r="BW36" s="574">
        <f>(BW14/BW9)</f>
        <v>0.1659536777794392</v>
      </c>
      <c r="BX36" s="574">
        <f>(BX14/BX9)</f>
        <v>0.15561853588784019</v>
      </c>
      <c r="BY36" s="573"/>
      <c r="BZ36" s="574">
        <f>(BZ14/BZ9)</f>
        <v>0.16530902874918196</v>
      </c>
      <c r="CA36" s="574">
        <f>(CA14/CA9)</f>
        <v>0.16231366047476931</v>
      </c>
      <c r="CB36" s="574">
        <f>(CB14/CB9)</f>
        <v>0.16199922726730931</v>
      </c>
      <c r="CC36" s="574">
        <f>(CC14/CC9)</f>
        <v>0.15730809170042268</v>
      </c>
      <c r="CD36" s="573"/>
      <c r="CE36" s="574">
        <f>(CE14/CE9)</f>
        <v>0.17021829147098805</v>
      </c>
      <c r="CF36" s="574">
        <f>(CF14/CF9)</f>
        <v>0.16941656342416636</v>
      </c>
      <c r="CG36" s="574">
        <f>(CG14/CG9)</f>
        <v>0.16668624923341024</v>
      </c>
      <c r="CH36" s="574">
        <f>(CH14/CH9)</f>
        <v>0.16705048774976775</v>
      </c>
      <c r="CI36" s="573"/>
      <c r="CJ36" s="574">
        <f>(CJ14/CJ9)</f>
        <v>0.17700702539100516</v>
      </c>
      <c r="CK36" s="574">
        <f>(CK14/CK9)</f>
        <v>0.17676206947606163</v>
      </c>
      <c r="CL36" s="574">
        <f>(CL14/CL9)</f>
        <v>0.17639038034233803</v>
      </c>
      <c r="CM36" s="574">
        <f>(CM14/CM9)</f>
        <v>0.16663010355160052</v>
      </c>
      <c r="CN36" s="573"/>
      <c r="CO36" s="574">
        <f>(CO14/CO9)</f>
        <v>0.18134617776101411</v>
      </c>
      <c r="CP36" s="574">
        <f>(CP14/CP9)</f>
        <v>0.17751869533484091</v>
      </c>
      <c r="CQ36" s="574">
        <f>(CQ14/CQ9)</f>
        <v>0.18080109835178759</v>
      </c>
      <c r="CR36" s="574">
        <f>(CR14/CR9)</f>
        <v>0.17294493427439075</v>
      </c>
      <c r="CS36" s="573"/>
      <c r="CT36" s="574">
        <f>(CT14/CT9)</f>
        <v>0.18250704809090226</v>
      </c>
      <c r="CU36" s="574">
        <f>(CU14/CU9)</f>
        <v>0.1770403193292451</v>
      </c>
      <c r="CV36" s="574">
        <f>(CV14/CV9)</f>
        <v>0.18066439223230907</v>
      </c>
      <c r="CW36" s="574">
        <f>(CW14/CW9)</f>
        <v>0.17466216936996931</v>
      </c>
      <c r="CX36" s="573"/>
      <c r="CY36" s="573"/>
      <c r="CZ36" s="575">
        <f>(CZ14/CZ9)</f>
        <v>0.16251612623534811</v>
      </c>
      <c r="DA36" s="575">
        <f>(DA14/DA9)</f>
        <v>0.16047420859109585</v>
      </c>
      <c r="DB36" s="575">
        <f t="shared" ref="DB36:DG36" si="19">(DB14/DB9)</f>
        <v>0.16178247200136972</v>
      </c>
      <c r="DC36" s="575">
        <f t="shared" si="19"/>
        <v>0.15402064296041987</v>
      </c>
      <c r="DD36" s="575">
        <f t="shared" si="19"/>
        <v>0.15690939122493505</v>
      </c>
      <c r="DE36" s="576">
        <f t="shared" si="19"/>
        <v>0.15747402324661933</v>
      </c>
      <c r="DF36" s="576">
        <f t="shared" si="19"/>
        <v>0.16179763858516094</v>
      </c>
      <c r="DG36" s="576">
        <f t="shared" si="19"/>
        <v>0.16578393446908291</v>
      </c>
      <c r="DH36" s="576">
        <f t="shared" ref="DH36:DM36" si="20">(DH14/DH9)</f>
        <v>0.16746935195040172</v>
      </c>
      <c r="DI36" s="575">
        <f t="shared" si="20"/>
        <v>0.16963326853670785</v>
      </c>
      <c r="DJ36" s="575">
        <f t="shared" si="20"/>
        <v>0.16797592503652906</v>
      </c>
      <c r="DK36" s="576">
        <f t="shared" si="20"/>
        <v>0.16636939649056437</v>
      </c>
      <c r="DL36" s="575">
        <f t="shared" si="20"/>
        <v>0.16503529960385813</v>
      </c>
      <c r="DM36" s="576">
        <f t="shared" si="20"/>
        <v>0.16408079397316028</v>
      </c>
      <c r="DN36" s="575">
        <f t="shared" ref="DN36:DW36" si="21">(DN14/DN9)</f>
        <v>0.1630896950785457</v>
      </c>
      <c r="DO36" s="576">
        <f t="shared" si="21"/>
        <v>0.16513271848872491</v>
      </c>
      <c r="DP36" s="575">
        <f t="shared" si="21"/>
        <v>0.16424703996062812</v>
      </c>
      <c r="DQ36" s="575">
        <f>(DQ14/DQ9)</f>
        <v>0.16289751379660117</v>
      </c>
      <c r="DR36" s="575">
        <f>(DR14/DR9)</f>
        <v>0.1614732196299474</v>
      </c>
      <c r="DS36" s="575">
        <f>(DS14/DS9)</f>
        <v>0.16822509064325802</v>
      </c>
      <c r="DT36" s="575">
        <f t="shared" si="21"/>
        <v>0.173834121912223</v>
      </c>
      <c r="DU36" s="575">
        <f t="shared" si="21"/>
        <v>0.17775354036496757</v>
      </c>
      <c r="DV36" s="575">
        <f t="shared" si="21"/>
        <v>0.17846808295326777</v>
      </c>
      <c r="DW36" s="575">
        <f t="shared" si="21"/>
        <v>0.17799999999999999</v>
      </c>
      <c r="DX36" s="575">
        <f>(DX14/DX9)</f>
        <v>0.1779</v>
      </c>
      <c r="DY36" s="575">
        <f>(DY14/DY9)</f>
        <v>0.1777</v>
      </c>
      <c r="DZ36" s="512"/>
      <c r="EA36" s="487"/>
      <c r="EG36" s="487"/>
    </row>
    <row r="37" spans="1:141">
      <c r="A37" s="554" t="s">
        <v>441</v>
      </c>
      <c r="B37" s="577"/>
      <c r="C37" s="578">
        <f>(C17/C9)</f>
        <v>0.10413746447822497</v>
      </c>
      <c r="D37" s="578">
        <f>(D17/D9)</f>
        <v>8.8984906681452966E-2</v>
      </c>
      <c r="E37" s="578">
        <f>(E17/E9)</f>
        <v>0.11206216941514616</v>
      </c>
      <c r="F37" s="578">
        <f>(F17/F9)</f>
        <v>8.8113430652774827E-2</v>
      </c>
      <c r="G37" s="573"/>
      <c r="H37" s="574">
        <f>(H17/H9)</f>
        <v>0.10251760339563859</v>
      </c>
      <c r="I37" s="574">
        <f>(I17/I9)</f>
        <v>8.475963322578331E-2</v>
      </c>
      <c r="J37" s="574">
        <f>(J17/J9)</f>
        <v>0.10887941916242351</v>
      </c>
      <c r="K37" s="574">
        <f>(K17/K9)</f>
        <v>7.7173559456330657E-2</v>
      </c>
      <c r="L37" s="574"/>
      <c r="M37" s="574">
        <f>(M17/M9)</f>
        <v>8.9835945739455136E-2</v>
      </c>
      <c r="N37" s="574">
        <f>(N17/N9)</f>
        <v>7.4961549624500787E-2</v>
      </c>
      <c r="O37" s="574">
        <f>(O17/O9)</f>
        <v>9.1200972802595592E-2</v>
      </c>
      <c r="P37" s="574">
        <f>(P17/P9)</f>
        <v>8.0764805317522975E-2</v>
      </c>
      <c r="Q37" s="574"/>
      <c r="R37" s="574">
        <f>(R17/R9)</f>
        <v>9.147398025349561E-2</v>
      </c>
      <c r="S37" s="574">
        <f>(S17/S9)</f>
        <v>7.8415197485505905E-2</v>
      </c>
      <c r="T37" s="574">
        <f>(T17/T9)</f>
        <v>8.0944843100871883E-2</v>
      </c>
      <c r="U37" s="574">
        <f>(U17/U9)</f>
        <v>7.3016513283055959E-2</v>
      </c>
      <c r="V37" s="574"/>
      <c r="W37" s="574">
        <f>(W17/W9)</f>
        <v>6.1874956296919137E-2</v>
      </c>
      <c r="X37" s="574">
        <f>(X17/X9)</f>
        <v>6.1943401974404705E-2</v>
      </c>
      <c r="Y37" s="574">
        <f>(Y17/Y9)</f>
        <v>8.4298168653017078E-2</v>
      </c>
      <c r="Z37" s="574">
        <f>(Z17/Z9)</f>
        <v>8.9436932071023975E-2</v>
      </c>
      <c r="AA37" s="574"/>
      <c r="AB37" s="574">
        <f>(AB17/AB9)</f>
        <v>7.7231825818726604E-2</v>
      </c>
      <c r="AC37" s="574">
        <f>(AC17/AC9)</f>
        <v>5.2527511600518662E-2</v>
      </c>
      <c r="AD37" s="574">
        <f>(AD17/AD9)</f>
        <v>8.0535973908601538E-2</v>
      </c>
      <c r="AE37" s="574">
        <f>(AE17/AE9)</f>
        <v>6.2135649622127906E-2</v>
      </c>
      <c r="AF37" s="574"/>
      <c r="AG37" s="574">
        <f>(AG17/AG9)</f>
        <v>6.1836394355706634E-2</v>
      </c>
      <c r="AH37" s="574">
        <f>(AH17/AH9)</f>
        <v>5.1499150462215468E-2</v>
      </c>
      <c r="AI37" s="574">
        <f>(AI17/AI9)</f>
        <v>6.6165468223949392E-2</v>
      </c>
      <c r="AJ37" s="574">
        <f>(AJ17/AJ9)</f>
        <v>7.5873873885334994E-2</v>
      </c>
      <c r="AK37" s="573"/>
      <c r="AL37" s="574">
        <f>(AL17/AL9)</f>
        <v>6.8257175449001478E-2</v>
      </c>
      <c r="AM37" s="574">
        <f>(AM17/AM9)</f>
        <v>5.9559109398664267E-2</v>
      </c>
      <c r="AN37" s="574">
        <f>(AN17/AN9)</f>
        <v>8.5516403853123146E-2</v>
      </c>
      <c r="AO37" s="574">
        <f>(AO17/AO9)</f>
        <v>7.5449808594800841E-2</v>
      </c>
      <c r="AP37" s="574"/>
      <c r="AQ37" s="574">
        <f>(AQ17/AQ9)</f>
        <v>7.0138344399733141E-2</v>
      </c>
      <c r="AR37" s="574">
        <f>(AR17/AR9)</f>
        <v>6.7245527668155461E-2</v>
      </c>
      <c r="AS37" s="574">
        <f>(AS17/AS9)</f>
        <v>8.7228718286876325E-2</v>
      </c>
      <c r="AT37" s="574">
        <f>(AT17/AT9)</f>
        <v>9.0850197593564871E-2</v>
      </c>
      <c r="AU37" s="574"/>
      <c r="AV37" s="574">
        <f>(AV17/AV9)</f>
        <v>6.9297592339356673E-2</v>
      </c>
      <c r="AW37" s="574">
        <f>(AW17/AW9)</f>
        <v>7.4656677780473621E-2</v>
      </c>
      <c r="AX37" s="574">
        <f>(AX17/AX9)</f>
        <v>8.7515357458631995E-2</v>
      </c>
      <c r="AY37" s="574">
        <f>(AY17/AY9)</f>
        <v>7.0591121788467437E-2</v>
      </c>
      <c r="AZ37" s="574"/>
      <c r="BA37" s="574">
        <f>(BA17/BA9)</f>
        <v>7.9421958998893982E-2</v>
      </c>
      <c r="BB37" s="574">
        <f>(BB17/BB9)</f>
        <v>8.8962087216757885E-2</v>
      </c>
      <c r="BC37" s="574">
        <f>(BC17/BC9)</f>
        <v>0.11032906725827107</v>
      </c>
      <c r="BD37" s="574">
        <f>(BD17/BD9)</f>
        <v>0.10842435876592507</v>
      </c>
      <c r="BE37" s="574"/>
      <c r="BF37" s="574">
        <f>(BF17/BF9)</f>
        <v>0.10894022573327432</v>
      </c>
      <c r="BG37" s="574">
        <f>(BG17/BG9)</f>
        <v>9.7683738220391128E-2</v>
      </c>
      <c r="BH37" s="574">
        <f>(BH17/BH9)</f>
        <v>0.10978136021500411</v>
      </c>
      <c r="BI37" s="574">
        <f>(BI17/BI9)</f>
        <v>0.11306037023624174</v>
      </c>
      <c r="BJ37" s="574"/>
      <c r="BK37" s="574">
        <f>(BK17/BK9)</f>
        <v>9.7357047483182899E-2</v>
      </c>
      <c r="BL37" s="574">
        <f>(BL17/BL9)</f>
        <v>0.1039717468437025</v>
      </c>
      <c r="BM37" s="574">
        <f>(BM17/BM9)</f>
        <v>0.11605181173279776</v>
      </c>
      <c r="BN37" s="574">
        <f>(BN17/BN9)</f>
        <v>0.11440800100391103</v>
      </c>
      <c r="BO37" s="573"/>
      <c r="BP37" s="574">
        <f>(BP17/BP9)</f>
        <v>0.11904480202604793</v>
      </c>
      <c r="BQ37" s="574">
        <f>(BQ17/BQ9)</f>
        <v>0.1163846830886717</v>
      </c>
      <c r="BR37" s="574">
        <f>(BR17/BR9)</f>
        <v>0.11769899232761377</v>
      </c>
      <c r="BS37" s="574">
        <f>(BS17/BS9)</f>
        <v>0.1255550690371364</v>
      </c>
      <c r="BT37" s="573"/>
      <c r="BU37" s="574">
        <f>(BU17/BU9)</f>
        <v>0.11909750680535718</v>
      </c>
      <c r="BV37" s="574">
        <f>(BV17/BV9)</f>
        <v>0.12128431782819642</v>
      </c>
      <c r="BW37" s="574">
        <f>(BW17/BW9)</f>
        <v>0.12729286512679402</v>
      </c>
      <c r="BX37" s="574">
        <f>(BX17/BX9)</f>
        <v>0.12079917149744257</v>
      </c>
      <c r="BY37" s="573"/>
      <c r="BZ37" s="574">
        <f>(BZ17/BZ9)</f>
        <v>0.11402032543871872</v>
      </c>
      <c r="CA37" s="574">
        <f>(CA17/CA9)</f>
        <v>0.12412486417938334</v>
      </c>
      <c r="CB37" s="574">
        <f>(CB17/CB9)</f>
        <v>0.13156819393146896</v>
      </c>
      <c r="CC37" s="574">
        <f>(CC17/CC9)</f>
        <v>0.12507741794781344</v>
      </c>
      <c r="CD37" s="573"/>
      <c r="CE37" s="574">
        <f>(CE17/CE9)</f>
        <v>0.11313429474934369</v>
      </c>
      <c r="CF37" s="574">
        <f>(CF17/CF9)</f>
        <v>0.12181352089042904</v>
      </c>
      <c r="CG37" s="574">
        <f>(CG17/CG9)</f>
        <v>0.12306643649089856</v>
      </c>
      <c r="CH37" s="574">
        <f>(CH17/CH9)</f>
        <v>0.12014672941255242</v>
      </c>
      <c r="CI37" s="573"/>
      <c r="CJ37" s="574">
        <f>(CJ17/CJ9)</f>
        <v>0.11072972424001198</v>
      </c>
      <c r="CK37" s="574">
        <f>(CK17/CK9)</f>
        <v>0.1174622905986549</v>
      </c>
      <c r="CL37" s="574">
        <f>(CL17/CL9)</f>
        <v>0.11882272946111823</v>
      </c>
      <c r="CM37" s="574">
        <f>(CM17/CM9)</f>
        <v>0.11653106627232729</v>
      </c>
      <c r="CN37" s="573"/>
      <c r="CO37" s="574">
        <f>(CO17/CO9)</f>
        <v>0.10821510827818621</v>
      </c>
      <c r="CP37" s="574">
        <f>(CP17/CP9)</f>
        <v>0.10784988693061495</v>
      </c>
      <c r="CQ37" s="574">
        <f>(CQ17/CQ9)</f>
        <v>0.11731969751957826</v>
      </c>
      <c r="CR37" s="574">
        <f>(CR17/CR9)</f>
        <v>0.11091597997211859</v>
      </c>
      <c r="CS37" s="573"/>
      <c r="CT37" s="574">
        <f>(CT17/CT9)</f>
        <v>0.1030929519090977</v>
      </c>
      <c r="CU37" s="574">
        <f>(CU17/CU9)</f>
        <v>0.10595968067075494</v>
      </c>
      <c r="CV37" s="574">
        <f>(CV17/CV9)</f>
        <v>0.115335607767691</v>
      </c>
      <c r="CW37" s="574">
        <f>(CW17/CW9)</f>
        <v>0.10933783063003068</v>
      </c>
      <c r="CX37" s="573"/>
      <c r="CY37" s="573"/>
      <c r="CZ37" s="575">
        <f>(CZ17/CZ9)</f>
        <v>6.0317726077486727E-2</v>
      </c>
      <c r="DA37" s="575">
        <f>(DA17/DA9)</f>
        <v>7.1290848684726058E-2</v>
      </c>
      <c r="DB37" s="575">
        <f t="shared" ref="DB37:DK37" si="22">(DB17/DB9)</f>
        <v>8.8716749837807252E-2</v>
      </c>
      <c r="DC37" s="575">
        <f t="shared" si="22"/>
        <v>9.79247322476305E-2</v>
      </c>
      <c r="DD37" s="575">
        <f t="shared" si="22"/>
        <v>9.2686652456423935E-2</v>
      </c>
      <c r="DE37" s="576">
        <f t="shared" si="22"/>
        <v>8.4012248391492766E-2</v>
      </c>
      <c r="DF37" s="576">
        <f t="shared" si="22"/>
        <v>8.0383971331102005E-2</v>
      </c>
      <c r="DG37" s="576">
        <f t="shared" si="22"/>
        <v>7.6080035786481051E-2</v>
      </c>
      <c r="DH37" s="576">
        <f t="shared" si="22"/>
        <v>6.8039639029997254E-2</v>
      </c>
      <c r="DI37" s="575">
        <f t="shared" si="22"/>
        <v>6.4700660452293626E-2</v>
      </c>
      <c r="DJ37" s="575">
        <f t="shared" si="22"/>
        <v>7.2818180580267233E-2</v>
      </c>
      <c r="DK37" s="576">
        <f t="shared" si="22"/>
        <v>7.8795643540622337E-2</v>
      </c>
      <c r="DL37" s="575">
        <f t="shared" ref="DL37:DR37" si="23">(DL17/DL9)</f>
        <v>7.551412523642044E-2</v>
      </c>
      <c r="DM37" s="576">
        <f t="shared" si="23"/>
        <v>9.8138181518503828E-2</v>
      </c>
      <c r="DN37" s="575">
        <f t="shared" si="23"/>
        <v>0.10767252800606876</v>
      </c>
      <c r="DO37" s="576">
        <f t="shared" si="23"/>
        <v>0.108524220236659</v>
      </c>
      <c r="DP37" s="575">
        <f t="shared" si="23"/>
        <v>0.12004333193757324</v>
      </c>
      <c r="DQ37" s="575">
        <f t="shared" si="23"/>
        <v>0.12218237039859245</v>
      </c>
      <c r="DR37" s="575">
        <f t="shared" si="23"/>
        <v>0.12402677354368134</v>
      </c>
      <c r="DS37" s="579">
        <f t="shared" ref="DS37:DX37" si="24">(DS17/DS9)</f>
        <v>0.1197190958986571</v>
      </c>
      <c r="DT37" s="575">
        <f t="shared" si="24"/>
        <v>0.11600628910348407</v>
      </c>
      <c r="DU37" s="575">
        <f t="shared" si="24"/>
        <v>0.11117979524358579</v>
      </c>
      <c r="DV37" s="575">
        <f t="shared" si="24"/>
        <v>0.10861722551199186</v>
      </c>
      <c r="DW37" s="575">
        <f t="shared" si="24"/>
        <v>0.11050000000000004</v>
      </c>
      <c r="DX37" s="575">
        <f t="shared" si="24"/>
        <v>0.11249999999999995</v>
      </c>
      <c r="DY37" s="575">
        <f>(DY17/DY9)</f>
        <v>0.11340000000000013</v>
      </c>
      <c r="DZ37" s="512"/>
      <c r="EA37" s="487"/>
      <c r="EG37" s="487"/>
    </row>
    <row r="38" spans="1:141">
      <c r="A38" s="554" t="s">
        <v>464</v>
      </c>
      <c r="B38" s="577"/>
      <c r="C38" s="578">
        <f>(C21/C9)</f>
        <v>0.10451767567673977</v>
      </c>
      <c r="D38" s="578">
        <f>(D21/D9)</f>
        <v>8.8050936561839169E-2</v>
      </c>
      <c r="E38" s="578">
        <f>(E21/E9)</f>
        <v>0.11014991136679475</v>
      </c>
      <c r="F38" s="578">
        <f>(F21/F9)</f>
        <v>8.7384880345208665E-2</v>
      </c>
      <c r="G38" s="573"/>
      <c r="H38" s="574">
        <f>(H21/H9)</f>
        <v>0.10121169802800227</v>
      </c>
      <c r="I38" s="574">
        <f>(I21/I9)</f>
        <v>8.2512685027814503E-2</v>
      </c>
      <c r="J38" s="574">
        <f>(J21/J9)</f>
        <v>0.10506900310431699</v>
      </c>
      <c r="K38" s="574">
        <f>(K21/K9)</f>
        <v>7.5102542248133092E-2</v>
      </c>
      <c r="L38" s="574"/>
      <c r="M38" s="574">
        <f>(M21/M9)</f>
        <v>8.7979408999535408E-2</v>
      </c>
      <c r="N38" s="574">
        <f>(N21/N9)</f>
        <v>7.2675028601612263E-2</v>
      </c>
      <c r="O38" s="574">
        <f>(O21/O9)</f>
        <v>8.8087289629432561E-2</v>
      </c>
      <c r="P38" s="574">
        <f>(P21/P9)</f>
        <v>7.8520291007731391E-2</v>
      </c>
      <c r="Q38" s="574"/>
      <c r="R38" s="574">
        <f>(R21/R9)</f>
        <v>8.9150376619610616E-2</v>
      </c>
      <c r="S38" s="574">
        <f>(S21/S9)</f>
        <v>7.6258666538400771E-2</v>
      </c>
      <c r="T38" s="574">
        <f>(T21/T9)</f>
        <v>7.8543161628269714E-2</v>
      </c>
      <c r="U38" s="574">
        <f>(U21/U9)</f>
        <v>7.1332578895735077E-2</v>
      </c>
      <c r="V38" s="574"/>
      <c r="W38" s="574">
        <f>(W21/W9)</f>
        <v>5.9372719595654565E-2</v>
      </c>
      <c r="X38" s="574">
        <f>(X21/X9)</f>
        <v>5.9570597179947109E-2</v>
      </c>
      <c r="Y38" s="574">
        <f>(Y21/Y9)</f>
        <v>8.2163821066689652E-2</v>
      </c>
      <c r="Z38" s="574">
        <f>(Z21/Z9)</f>
        <v>8.8020329321168114E-2</v>
      </c>
      <c r="AA38" s="574"/>
      <c r="AB38" s="574">
        <f>(AB21/AB9)</f>
        <v>7.5268355376517743E-2</v>
      </c>
      <c r="AC38" s="574">
        <f>(AC21/AC9)</f>
        <v>5.0479353375975734E-2</v>
      </c>
      <c r="AD38" s="574">
        <f>(AD21/AD9)</f>
        <v>7.8667138197964573E-2</v>
      </c>
      <c r="AE38" s="574">
        <f>(AE21/AE9)</f>
        <v>6.0969820810702728E-2</v>
      </c>
      <c r="AF38" s="574"/>
      <c r="AG38" s="574">
        <f>(AG21/AG9)</f>
        <v>6.0183524424740516E-2</v>
      </c>
      <c r="AH38" s="574">
        <f>(AH21/AH9)</f>
        <v>4.9328840478241272E-2</v>
      </c>
      <c r="AI38" s="574">
        <f>(AI21/AI9)</f>
        <v>6.3661950086988467E-2</v>
      </c>
      <c r="AJ38" s="574">
        <f>(AJ21/AJ9)</f>
        <v>7.4694990402489128E-2</v>
      </c>
      <c r="AK38" s="573"/>
      <c r="AL38" s="574">
        <f>(AL21/AL9)</f>
        <v>6.7286172756335319E-2</v>
      </c>
      <c r="AM38" s="574">
        <f>(AM21/AM9)</f>
        <v>5.8193452060331177E-2</v>
      </c>
      <c r="AN38" s="574">
        <f>(AN21/AN9)</f>
        <v>8.3999729037459281E-2</v>
      </c>
      <c r="AO38" s="574">
        <f>(AO21/AO9)</f>
        <v>7.4553163870750616E-2</v>
      </c>
      <c r="AP38" s="574"/>
      <c r="AQ38" s="574">
        <f>(AQ21/AQ9)</f>
        <v>7.0643689839611279E-2</v>
      </c>
      <c r="AR38" s="574">
        <f>(AR21/AR9)</f>
        <v>6.7570105288343077E-2</v>
      </c>
      <c r="AS38" s="574">
        <f>(AS21/AS9)</f>
        <v>8.657338778608191E-2</v>
      </c>
      <c r="AT38" s="574">
        <f>(AT21/AT9)</f>
        <v>9.1068118035355444E-2</v>
      </c>
      <c r="AU38" s="574"/>
      <c r="AV38" s="574">
        <f>(AV21/AV9)</f>
        <v>6.8908611601338918E-2</v>
      </c>
      <c r="AW38" s="574">
        <f>(AW21/AW9)</f>
        <v>7.4076798345334594E-2</v>
      </c>
      <c r="AX38" s="574">
        <f>(AX21/AX9)</f>
        <v>8.6370977395921061E-2</v>
      </c>
      <c r="AY38" s="574">
        <f>(AY21/AY9)</f>
        <v>6.9749675884405657E-2</v>
      </c>
      <c r="AZ38" s="574"/>
      <c r="BA38" s="574">
        <f>(BA21/BA9)</f>
        <v>7.7905959822002754E-2</v>
      </c>
      <c r="BB38" s="574">
        <f>(BB21/BB9)</f>
        <v>8.7013915452420737E-2</v>
      </c>
      <c r="BC38" s="574">
        <f>(BC21/BC9)</f>
        <v>0.10791436174938691</v>
      </c>
      <c r="BD38" s="574">
        <f>(BD21/BD9)</f>
        <v>0.10657406089051942</v>
      </c>
      <c r="BE38" s="574"/>
      <c r="BF38" s="574">
        <f>(BF21/BF9)</f>
        <v>0.10690655312227151</v>
      </c>
      <c r="BG38" s="574">
        <f>(BG21/BG9)</f>
        <v>9.565693517071551E-2</v>
      </c>
      <c r="BH38" s="574">
        <f>(BH21/BH9)</f>
        <v>0.10805890934005226</v>
      </c>
      <c r="BI38" s="574">
        <f>(BI21/BI9)</f>
        <v>0.11154949524053728</v>
      </c>
      <c r="BJ38" s="574"/>
      <c r="BK38" s="574">
        <f>(BK21/BK9)</f>
        <v>9.5645881284174866E-2</v>
      </c>
      <c r="BL38" s="574">
        <f>(BL21/BL9)</f>
        <v>0.10230595613899385</v>
      </c>
      <c r="BM38" s="574">
        <f>(BM21/BM9)</f>
        <v>0.11457575251228683</v>
      </c>
      <c r="BN38" s="574">
        <f>(BN21/BN9)</f>
        <v>0.11305608935523458</v>
      </c>
      <c r="BO38" s="573"/>
      <c r="BP38" s="574">
        <f>(BP21/BP9)</f>
        <v>0.11752240308267248</v>
      </c>
      <c r="BQ38" s="574">
        <f>(BQ21/BQ9)</f>
        <v>0.11484033713230325</v>
      </c>
      <c r="BR38" s="574">
        <f>(BR21/BR9)</f>
        <v>0.11674920561236743</v>
      </c>
      <c r="BS38" s="574">
        <f>(BS21/BS9)</f>
        <v>0.12489775129230203</v>
      </c>
      <c r="BT38" s="573"/>
      <c r="BU38" s="574">
        <f>(BU21/BU9)</f>
        <v>0.11824414110810552</v>
      </c>
      <c r="BV38" s="574">
        <f>(BV21/BV9)</f>
        <v>0.11989990103104056</v>
      </c>
      <c r="BW38" s="574">
        <f>(BW21/BW9)</f>
        <v>0.12595067572096671</v>
      </c>
      <c r="BX38" s="574">
        <f>(BX21/BX9)</f>
        <v>0.11983756247929417</v>
      </c>
      <c r="BY38" s="573"/>
      <c r="BZ38" s="574">
        <f>(BZ21/BZ9)</f>
        <v>0.11254216493282579</v>
      </c>
      <c r="CA38" s="574">
        <f>(CA21/CA9)</f>
        <v>0.12251294307590986</v>
      </c>
      <c r="CB38" s="574">
        <f>(CB21/CB9)</f>
        <v>0.13020518686636801</v>
      </c>
      <c r="CC38" s="574">
        <f>(CC21/CC9)</f>
        <v>0.12399335593542007</v>
      </c>
      <c r="CD38" s="573"/>
      <c r="CE38" s="574">
        <f>(CE21/CE9)</f>
        <v>0.11144122533713911</v>
      </c>
      <c r="CF38" s="574">
        <f>(CF21/CF9)</f>
        <v>0.1203457866671121</v>
      </c>
      <c r="CG38" s="574">
        <f>(CG21/CG9)</f>
        <v>0.12138912838661785</v>
      </c>
      <c r="CH38" s="574">
        <f>(CH21/CH9)</f>
        <v>0.11892346359520543</v>
      </c>
      <c r="CI38" s="573"/>
      <c r="CJ38" s="574">
        <f>(CJ21/CJ9)</f>
        <v>0.10937815716998771</v>
      </c>
      <c r="CK38" s="574">
        <f>(CK21/CK9)</f>
        <v>0.11603347503499402</v>
      </c>
      <c r="CL38" s="574">
        <f>(CL21/CL9)</f>
        <v>0.11731977855413764</v>
      </c>
      <c r="CM38" s="574">
        <f>(CM21/CM9)</f>
        <v>0.11551539680345081</v>
      </c>
      <c r="CN38" s="573"/>
      <c r="CO38" s="574">
        <f>(CO21/CO9)</f>
        <v>0.106950852155646</v>
      </c>
      <c r="CP38" s="574">
        <f>(CP21/CP9)</f>
        <v>0.10669203249697889</v>
      </c>
      <c r="CQ38" s="574">
        <f>(CQ21/CQ9)</f>
        <v>0.11640885529009759</v>
      </c>
      <c r="CR38" s="574">
        <f>(CR21/CR9)</f>
        <v>0.10148785846185285</v>
      </c>
      <c r="CS38" s="573"/>
      <c r="CT38" s="574">
        <f>(CT21/CT9)</f>
        <v>0.1025052672050256</v>
      </c>
      <c r="CU38" s="574">
        <f>(CU21/CU9)</f>
        <v>0.10517536707927912</v>
      </c>
      <c r="CV38" s="574">
        <f>(CV21/CV9)</f>
        <v>0.11458604884379799</v>
      </c>
      <c r="CW38" s="574">
        <f>(CW21/CW9)</f>
        <v>0.10870549189067749</v>
      </c>
      <c r="CX38" s="573"/>
      <c r="CY38" s="573"/>
      <c r="CZ38" s="575">
        <f>(CZ21/CZ9)</f>
        <v>5.473427402416662E-2</v>
      </c>
      <c r="DA38" s="575">
        <f>(DA21/DA9)</f>
        <v>7.0681570303376531E-2</v>
      </c>
      <c r="DB38" s="575">
        <f t="shared" ref="DB38:DM38" si="25">(DB21/DB9)</f>
        <v>8.8504644244446887E-2</v>
      </c>
      <c r="DC38" s="575">
        <f t="shared" si="25"/>
        <v>9.7089631597252521E-2</v>
      </c>
      <c r="DD38" s="575">
        <f t="shared" si="25"/>
        <v>9.0295590168750245E-2</v>
      </c>
      <c r="DE38" s="576">
        <f t="shared" si="25"/>
        <v>8.161771997716305E-2</v>
      </c>
      <c r="DF38" s="576">
        <f t="shared" si="25"/>
        <v>7.8266238117745454E-2</v>
      </c>
      <c r="DG38" s="576">
        <f t="shared" si="25"/>
        <v>7.4035308387539078E-2</v>
      </c>
      <c r="DH38" s="576">
        <f t="shared" si="25"/>
        <v>6.6312544158866213E-2</v>
      </c>
      <c r="DI38" s="575">
        <f t="shared" si="25"/>
        <v>6.2855342234228853E-2</v>
      </c>
      <c r="DJ38" s="575">
        <f t="shared" si="25"/>
        <v>7.1923821220747114E-2</v>
      </c>
      <c r="DK38" s="576">
        <f t="shared" si="25"/>
        <v>7.8882152978460948E-2</v>
      </c>
      <c r="DL38" s="575">
        <f t="shared" si="25"/>
        <v>7.4761947745480548E-2</v>
      </c>
      <c r="DM38" s="576">
        <f t="shared" si="25"/>
        <v>9.6190816801919363E-2</v>
      </c>
      <c r="DN38" s="575">
        <f t="shared" ref="DN38:DS38" si="26">(DN21/DN9)</f>
        <v>0.10586592012436161</v>
      </c>
      <c r="DO38" s="576">
        <f t="shared" si="26"/>
        <v>0.10698649042589795</v>
      </c>
      <c r="DP38" s="575">
        <f t="shared" si="26"/>
        <v>0.11891594262575718</v>
      </c>
      <c r="DQ38" s="575">
        <f t="shared" si="26"/>
        <v>0.12104896615562524</v>
      </c>
      <c r="DR38" s="575">
        <f t="shared" si="26"/>
        <v>0.12265850739347581</v>
      </c>
      <c r="DS38" s="575">
        <f t="shared" si="26"/>
        <v>0.11821965841392211</v>
      </c>
      <c r="DT38" s="575">
        <f t="shared" ref="DT38:DY38" si="27">(DT21/DT9)</f>
        <v>0.11469438168279036</v>
      </c>
      <c r="DU38" s="575">
        <f t="shared" si="27"/>
        <v>0.10753169191826256</v>
      </c>
      <c r="DV38" s="575">
        <f t="shared" si="27"/>
        <v>0.10793015472037427</v>
      </c>
      <c r="DW38" s="575">
        <f t="shared" si="27"/>
        <v>0.10985563743572768</v>
      </c>
      <c r="DX38" s="575">
        <f t="shared" si="27"/>
        <v>0.11189417096863087</v>
      </c>
      <c r="DY38" s="575">
        <f t="shared" si="27"/>
        <v>0.11282975847869615</v>
      </c>
      <c r="DZ38" s="512"/>
      <c r="EA38" s="487"/>
      <c r="EG38" s="487"/>
    </row>
    <row r="39" spans="1:141">
      <c r="A39" s="554" t="s">
        <v>465</v>
      </c>
      <c r="B39" s="577"/>
      <c r="C39" s="578">
        <f>(C23/C21)</f>
        <v>0.39399916737703911</v>
      </c>
      <c r="D39" s="578">
        <f>(D23/D21)</f>
        <v>0.37415072532647781</v>
      </c>
      <c r="E39" s="578">
        <f>(E23/E21)</f>
        <v>0.38374270383563969</v>
      </c>
      <c r="F39" s="578">
        <f>(F23/F21)</f>
        <v>0.37980037678429063</v>
      </c>
      <c r="G39" s="573"/>
      <c r="H39" s="574">
        <f>(H23/H21)</f>
        <v>0.38799996250574126</v>
      </c>
      <c r="I39" s="574">
        <f>(I23/I21)</f>
        <v>0.38799858314370361</v>
      </c>
      <c r="J39" s="574">
        <f>(J23/J21)</f>
        <v>0.38800083520868617</v>
      </c>
      <c r="K39" s="574">
        <f>(K23/K21)</f>
        <v>0.34579199535401473</v>
      </c>
      <c r="L39" s="574"/>
      <c r="M39" s="574">
        <f>(M23/M21)</f>
        <v>0.38100124129094259</v>
      </c>
      <c r="N39" s="574">
        <f>(N23/N21)</f>
        <v>0.38099873885434893</v>
      </c>
      <c r="O39" s="574" t="s">
        <v>145</v>
      </c>
      <c r="P39" s="574">
        <f>(P23/P21)</f>
        <v>0.38352603106184224</v>
      </c>
      <c r="Q39" s="574"/>
      <c r="R39" s="574">
        <f>(R23/R21)</f>
        <v>0.38100207450546403</v>
      </c>
      <c r="S39" s="574">
        <f>(S23/S21)</f>
        <v>0.38525196574062648</v>
      </c>
      <c r="T39" s="574">
        <f>(T23/T21)</f>
        <v>0.38386435858839296</v>
      </c>
      <c r="U39" s="574">
        <f>(U23/U21)</f>
        <v>0.38292375677350932</v>
      </c>
      <c r="V39" s="574"/>
      <c r="W39" s="574">
        <f>(W23/W21)</f>
        <v>0.38545535805958731</v>
      </c>
      <c r="X39" s="574">
        <f>(X23/X21)</f>
        <v>0.38559926817037071</v>
      </c>
      <c r="Y39" s="574">
        <f>(Y23/Y21)</f>
        <v>0.3898881168126585</v>
      </c>
      <c r="Z39" s="574">
        <f>(Z23/Z21)</f>
        <v>0.37361916674045886</v>
      </c>
      <c r="AA39" s="574"/>
      <c r="AB39" s="574">
        <f>(AB23/AB21)</f>
        <v>0.38608705989578174</v>
      </c>
      <c r="AC39" s="574">
        <f>(AC23/AC21)</f>
        <v>0.38872997545706134</v>
      </c>
      <c r="AD39" s="574">
        <f>(AD23/AD21)</f>
        <v>0.38580752580752575</v>
      </c>
      <c r="AE39" s="574">
        <f>(AE23/AE21)</f>
        <v>0.37494553789615193</v>
      </c>
      <c r="AF39" s="574"/>
      <c r="AG39" s="574">
        <f>(AG23/AG21)</f>
        <v>0.38310583310583285</v>
      </c>
      <c r="AH39" s="574">
        <f>(AH23/AH21)</f>
        <v>0.38417849898580103</v>
      </c>
      <c r="AI39" s="574">
        <f>(AI23/AI21)</f>
        <v>0.39636478104742856</v>
      </c>
      <c r="AJ39" s="574">
        <f>(AJ23/AJ21)</f>
        <v>0.18048687713959663</v>
      </c>
      <c r="AK39" s="573"/>
      <c r="AL39" s="574">
        <f>(AL23/AL21)</f>
        <v>0.37092774164817582</v>
      </c>
      <c r="AM39" s="574">
        <f>(AM23/AM21)</f>
        <v>0.39814184575498857</v>
      </c>
      <c r="AN39" s="574">
        <f>(AN23/AN21)</f>
        <v>0.38567200566370152</v>
      </c>
      <c r="AO39" s="574">
        <f>(AO23/AO21)</f>
        <v>0.35983378116274184</v>
      </c>
      <c r="AP39" s="574"/>
      <c r="AQ39" s="574">
        <f>(AQ23/AQ21)</f>
        <v>0.3586850901071636</v>
      </c>
      <c r="AR39" s="574">
        <f>(AR23/AR21)</f>
        <v>0.11781077371761896</v>
      </c>
      <c r="AS39" s="574">
        <f>(AS23/AS21)</f>
        <v>0.37701979316722917</v>
      </c>
      <c r="AT39" s="574">
        <f>(AT23/AT21)</f>
        <v>0.38116970926301541</v>
      </c>
      <c r="AU39" s="574"/>
      <c r="AV39" s="574">
        <f>(AV23/AV21)</f>
        <v>0.33232620248725336</v>
      </c>
      <c r="AW39" s="574">
        <f>(AW23/AW21)</f>
        <v>0.37140274175620586</v>
      </c>
      <c r="AX39" s="574">
        <f>(AX23/AX21)</f>
        <v>0.39248111890832521</v>
      </c>
      <c r="AY39" s="574">
        <f>(AY23/AY21)</f>
        <v>0.37013231002918068</v>
      </c>
      <c r="AZ39" s="574"/>
      <c r="BA39" s="574">
        <f>(BA23/BA21)</f>
        <v>0.38324980838393946</v>
      </c>
      <c r="BB39" s="574">
        <f>(BB23/BB21)</f>
        <v>0.36683522915703409</v>
      </c>
      <c r="BC39" s="574">
        <f>(BC23/BC21)</f>
        <v>0.3855195625480341</v>
      </c>
      <c r="BD39" s="574">
        <f>(BD23/BD21)</f>
        <v>0.37622308270534194</v>
      </c>
      <c r="BE39" s="574"/>
      <c r="BF39" s="574">
        <f>(BF23/BF21)</f>
        <v>0.38200003356324158</v>
      </c>
      <c r="BG39" s="574">
        <f>(BG23/BG21)</f>
        <v>0.38531746277307832</v>
      </c>
      <c r="BH39" s="574">
        <f>(BH23/BH21)</f>
        <v>0.37648902978813215</v>
      </c>
      <c r="BI39" s="574">
        <f>(BI23/BI21)</f>
        <v>0.38000000000000006</v>
      </c>
      <c r="BJ39" s="574"/>
      <c r="BK39" s="574">
        <f>(BK23/BK21)</f>
        <v>0.38100000000000001</v>
      </c>
      <c r="BL39" s="574">
        <f>(BL23/BL21)</f>
        <v>0.37734186333760517</v>
      </c>
      <c r="BM39" s="574">
        <f>(BM23/BM21)</f>
        <v>0.3875920524533264</v>
      </c>
      <c r="BN39" s="574">
        <f>(BN23/BN21)</f>
        <v>0.37341529359499798</v>
      </c>
      <c r="BO39" s="573"/>
      <c r="BP39" s="574">
        <f>(BP23/BP21)</f>
        <v>0.38480052244993784</v>
      </c>
      <c r="BQ39" s="574">
        <f>(BQ23/BQ21)</f>
        <v>0.383277435228987</v>
      </c>
      <c r="BR39" s="574">
        <f>(BR23/BR21)</f>
        <v>0.38333985776298057</v>
      </c>
      <c r="BS39" s="574">
        <f>(BS23/BS21)</f>
        <v>0.37301528889681296</v>
      </c>
      <c r="BT39" s="573"/>
      <c r="BU39" s="574">
        <f>(BU23/BU21)</f>
        <v>0.38120059845467524</v>
      </c>
      <c r="BV39" s="574">
        <f>(BV23/BV21)</f>
        <v>0.37916825253804126</v>
      </c>
      <c r="BW39" s="574">
        <f>(BW23/BW21)</f>
        <v>0.38137316175634423</v>
      </c>
      <c r="BX39" s="574">
        <f>(BX23/BX21)</f>
        <v>0.37775089603819678</v>
      </c>
      <c r="BY39" s="573"/>
      <c r="BZ39" s="574">
        <f>(BZ23/BZ21)</f>
        <v>0.37810031333372551</v>
      </c>
      <c r="CA39" s="574">
        <f>(CA23/CA21)</f>
        <v>0.37682419452284954</v>
      </c>
      <c r="CB39" s="574">
        <f>(CB23/CB21)</f>
        <v>0.37967156709415079</v>
      </c>
      <c r="CC39" s="574">
        <f>(CC23/CC21)</f>
        <v>0.37042738446148415</v>
      </c>
      <c r="CD39" s="573"/>
      <c r="CE39" s="574">
        <f>(CE23/CE21)</f>
        <v>0.37969978369264762</v>
      </c>
      <c r="CF39" s="574">
        <f>(CF23/CF21)</f>
        <v>0.38011880017242272</v>
      </c>
      <c r="CG39" s="574">
        <f>(CG23/CG21)</f>
        <v>0.37604946928887922</v>
      </c>
      <c r="CH39" s="574">
        <f>(CH23/CH21)</f>
        <v>0.37468063925629613</v>
      </c>
      <c r="CI39" s="573"/>
      <c r="CJ39" s="574">
        <f>(CJ23/CJ21)</f>
        <v>0.38379987611655719</v>
      </c>
      <c r="CK39" s="574">
        <f>(CK23/CK21)</f>
        <v>0.38532138178971392</v>
      </c>
      <c r="CL39" s="574">
        <f>(CL23/CL21)</f>
        <v>0.38111124931767631</v>
      </c>
      <c r="CM39" s="574">
        <f>(CM23/CM21)</f>
        <v>0.38012854098032356</v>
      </c>
      <c r="CN39" s="573"/>
      <c r="CO39" s="574">
        <f>(CO23/CO21)</f>
        <v>0.35582721127004174</v>
      </c>
      <c r="CP39" s="574">
        <f>(CP23/CP21)</f>
        <v>0.37988449029942778</v>
      </c>
      <c r="CQ39" s="574">
        <f>(CQ23/CQ21)</f>
        <v>0.3711411764705887</v>
      </c>
      <c r="CR39" s="574">
        <f>(CR23/CR21)</f>
        <v>0.21135223574677725</v>
      </c>
      <c r="CS39" s="573"/>
      <c r="CT39" s="574">
        <f>(CT23/CT21)</f>
        <v>0.25700000000000001</v>
      </c>
      <c r="CU39" s="574">
        <f>(CU23/CU21)</f>
        <v>0.26</v>
      </c>
      <c r="CV39" s="574">
        <f>(CV23/CV21)</f>
        <v>0.25999999999999995</v>
      </c>
      <c r="CW39" s="574">
        <f>(CW23/CW21)</f>
        <v>0.25999999999999995</v>
      </c>
      <c r="CX39" s="573"/>
      <c r="CY39" s="573"/>
      <c r="CZ39" s="575">
        <f>(CZ23/CZ21)</f>
        <v>0.41599934451302728</v>
      </c>
      <c r="DA39" s="575">
        <f>(DA23/DA21)</f>
        <v>0.41296376785232175</v>
      </c>
      <c r="DB39" s="575">
        <f t="shared" ref="DB39:DG39" si="28">(DB23/DB21)</f>
        <v>0.3846558409806794</v>
      </c>
      <c r="DC39" s="575">
        <f t="shared" si="28"/>
        <v>0.38306690071984228</v>
      </c>
      <c r="DD39" s="575">
        <f t="shared" si="28"/>
        <v>0.37791666955703407</v>
      </c>
      <c r="DE39" s="576">
        <f t="shared" si="28"/>
        <v>0.3817279221641019</v>
      </c>
      <c r="DF39" s="576">
        <f t="shared" si="28"/>
        <v>0.383200174038417</v>
      </c>
      <c r="DG39" s="576">
        <f t="shared" si="28"/>
        <v>0.38239735370483324</v>
      </c>
      <c r="DH39" s="576">
        <f t="shared" ref="DH39:DM39" si="29">(DH23/DH21)</f>
        <v>0.38348917185987963</v>
      </c>
      <c r="DI39" s="575">
        <f t="shared" si="29"/>
        <v>0.31595706842281984</v>
      </c>
      <c r="DJ39" s="575">
        <f t="shared" si="29"/>
        <v>0.37553043278202386</v>
      </c>
      <c r="DK39" s="576">
        <f t="shared" si="29"/>
        <v>0.327810033429208</v>
      </c>
      <c r="DL39" s="575">
        <f t="shared" si="29"/>
        <v>0.3690117146799593</v>
      </c>
      <c r="DM39" s="576">
        <f t="shared" si="29"/>
        <v>0.37815349960698152</v>
      </c>
      <c r="DN39" s="575">
        <f t="shared" ref="DN39:DS39" si="30">(DN23/DN21)</f>
        <v>0.38067761838318714</v>
      </c>
      <c r="DO39" s="576">
        <f t="shared" si="30"/>
        <v>0.37961921267969884</v>
      </c>
      <c r="DP39" s="575">
        <f t="shared" si="30"/>
        <v>0.3804128940767561</v>
      </c>
      <c r="DQ39" s="575">
        <f t="shared" si="30"/>
        <v>0.3561074852183575</v>
      </c>
      <c r="DR39" s="575">
        <f t="shared" si="30"/>
        <v>0.37600461096684529</v>
      </c>
      <c r="DS39" s="575">
        <f t="shared" si="30"/>
        <v>0.377399885192576</v>
      </c>
      <c r="DT39" s="575">
        <f t="shared" ref="DT39:DY39" si="31">(DT23/DT21)</f>
        <v>0.38242333858558125</v>
      </c>
      <c r="DU39" s="575">
        <f t="shared" si="31"/>
        <v>0.32376805611592402</v>
      </c>
      <c r="DV39" s="575">
        <f t="shared" si="31"/>
        <v>0.25935941259912448</v>
      </c>
      <c r="DW39" s="575">
        <f t="shared" si="31"/>
        <v>0.25935941259912448</v>
      </c>
      <c r="DX39" s="575">
        <f t="shared" si="31"/>
        <v>0.25935941259912448</v>
      </c>
      <c r="DY39" s="575">
        <f t="shared" si="31"/>
        <v>0.25935941259912448</v>
      </c>
      <c r="DZ39" s="512"/>
      <c r="EA39" s="487"/>
      <c r="EG39" s="487"/>
    </row>
    <row r="40" spans="1:141">
      <c r="A40" s="554" t="s">
        <v>442</v>
      </c>
      <c r="B40" s="577"/>
      <c r="C40" s="578">
        <f>(C25/C9)</f>
        <v>6.333779848392089E-2</v>
      </c>
      <c r="D40" s="578">
        <f>(D25/D9)</f>
        <v>5.5106614781551364E-2</v>
      </c>
      <c r="E40" s="578">
        <f>(E25/E9)</f>
        <v>6.7880686551644878E-2</v>
      </c>
      <c r="F40" s="578">
        <f>(F25/F9)</f>
        <v>5.4196069864848262E-2</v>
      </c>
      <c r="G40" s="573"/>
      <c r="H40" s="574">
        <f>(H25/H9)</f>
        <v>6.194156298799499E-2</v>
      </c>
      <c r="I40" s="574">
        <f>(I25/I9)</f>
        <v>5.0497880145639787E-2</v>
      </c>
      <c r="J40" s="574">
        <f>(J25/J9)</f>
        <v>6.4302142145297961E-2</v>
      </c>
      <c r="K40" s="574">
        <f>(K25/K9)</f>
        <v>4.9132684307991954E-2</v>
      </c>
      <c r="L40" s="574"/>
      <c r="M40" s="574">
        <f>(M25/M9)</f>
        <v>5.4459144962668897E-2</v>
      </c>
      <c r="N40" s="574">
        <f>(N25/N9)</f>
        <v>4.4985934358194257E-2</v>
      </c>
      <c r="O40" s="574">
        <f>(O25/O9)</f>
        <v>5.4526110697144685E-2</v>
      </c>
      <c r="P40" s="574">
        <f>(P25/P9)</f>
        <v>4.8405715439715301E-2</v>
      </c>
      <c r="Q40" s="574"/>
      <c r="R40" s="574">
        <f>(R25/R9)</f>
        <v>5.5183898184595549E-2</v>
      </c>
      <c r="S40" s="574">
        <f>(S25/S9)</f>
        <v>4.6879865349722945E-2</v>
      </c>
      <c r="T40" s="574">
        <f>(T25/T9)</f>
        <v>4.839324126832948E-2</v>
      </c>
      <c r="U40" s="574">
        <f>(U25/U9)</f>
        <v>4.4017639804637458E-2</v>
      </c>
      <c r="V40" s="574"/>
      <c r="W40" s="574">
        <f>(W25/W9)</f>
        <v>3.6487186704940062E-2</v>
      </c>
      <c r="X40" s="574">
        <f>(X25/X9)</f>
        <v>3.6600218502887555E-2</v>
      </c>
      <c r="Y40" s="574">
        <f>(Y25/Y9)</f>
        <v>5.0129123600865778E-2</v>
      </c>
      <c r="Z40" s="574">
        <f>(Z25/Z9)</f>
        <v>5.5134247223972498E-2</v>
      </c>
      <c r="AA40" s="574"/>
      <c r="AB40" s="574">
        <f>(AB25/AB9)</f>
        <v>4.6208217346007149E-2</v>
      </c>
      <c r="AC40" s="574">
        <f>(AC25/AC9)</f>
        <v>3.0856515577044361E-2</v>
      </c>
      <c r="AD40" s="574">
        <f>(AD25/AD9)</f>
        <v>4.8316764247449163E-2</v>
      </c>
      <c r="AE40" s="574">
        <f>(AE25/AE9)</f>
        <v>3.8109458551401798E-2</v>
      </c>
      <c r="AF40" s="574"/>
      <c r="AG40" s="574">
        <f>(AG25/AG9)</f>
        <v>3.7126865160755057E-2</v>
      </c>
      <c r="AH40" s="574">
        <f>(AH25/AH9)</f>
        <v>3.0377760586600515E-2</v>
      </c>
      <c r="AI40" s="574">
        <f>(AI25/AI9)</f>
        <v>3.8428595179706961E-2</v>
      </c>
      <c r="AJ40" s="574">
        <f>(AJ25/AJ9)</f>
        <v>6.1213524846771714E-2</v>
      </c>
      <c r="AK40" s="573"/>
      <c r="AL40" s="574">
        <f>(AL25/AL9)</f>
        <v>4.2327864651678843E-2</v>
      </c>
      <c r="AM40" s="574">
        <f>(AM25/AM9)</f>
        <v>3.5024203646176484E-2</v>
      </c>
      <c r="AN40" s="574">
        <f>(AN25/AN9)</f>
        <v>5.1603385064374889E-2</v>
      </c>
      <c r="AO40" s="574">
        <f>(AO25/AO9)</f>
        <v>4.772641701749291E-2</v>
      </c>
      <c r="AP40" s="574"/>
      <c r="AQ40" s="574">
        <f>(AQ25/AQ9)</f>
        <v>4.3795329254705577E-2</v>
      </c>
      <c r="AR40" s="574">
        <f>(AR25/AR9)</f>
        <v>4.1531720275297362E-2</v>
      </c>
      <c r="AS40" s="574">
        <f>(AS25/AS9)</f>
        <v>5.3933507029186985E-2</v>
      </c>
      <c r="AT40" s="574">
        <f>(AT25/AT9)</f>
        <v>5.435770407182957E-2</v>
      </c>
      <c r="AU40" s="574"/>
      <c r="AV40" s="574">
        <f>(AV25/AV9)</f>
        <v>4.6008474389196863E-2</v>
      </c>
      <c r="AW40" s="574">
        <f>(AW25/AW9)</f>
        <v>4.6564472339355747E-2</v>
      </c>
      <c r="AX40" s="574">
        <f>(AX25/AX9)</f>
        <v>5.2471999546364299E-2</v>
      </c>
      <c r="AY40" s="574">
        <f>(AY25/AY9)</f>
        <v>4.3933067225523953E-2</v>
      </c>
      <c r="AZ40" s="574"/>
      <c r="BA40" s="574">
        <f>(BA25/BA9)</f>
        <v>4.8048515648253312E-2</v>
      </c>
      <c r="BB40" s="574">
        <f>(BB25/BB9)</f>
        <v>5.5094145837581189E-2</v>
      </c>
      <c r="BC40" s="574">
        <f>(BC25/BC9)</f>
        <v>6.6311264215112964E-2</v>
      </c>
      <c r="BD40" s="574">
        <f>(BD25/BD9)</f>
        <v>6.647843916586138E-2</v>
      </c>
      <c r="BE40" s="574"/>
      <c r="BF40" s="574">
        <f>(BF25/BF9)</f>
        <v>6.6068246241433329E-2</v>
      </c>
      <c r="BG40" s="574">
        <f>(BG25/BG9)</f>
        <v>5.8798647614086569E-2</v>
      </c>
      <c r="BH40" s="574">
        <f>(BH25/BH9)</f>
        <v>6.7375915402652253E-2</v>
      </c>
      <c r="BI40" s="574">
        <f>(BI25/BI9)</f>
        <v>6.9160687049133113E-2</v>
      </c>
      <c r="BJ40" s="574"/>
      <c r="BK40" s="574">
        <f>(BK25/BK9)</f>
        <v>5.9204800514904246E-2</v>
      </c>
      <c r="BL40" s="574">
        <f>(BL25/BL9)</f>
        <v>6.3701636018970609E-2</v>
      </c>
      <c r="BM40" s="574">
        <f>(BM25/BM9)</f>
        <v>7.0167101434665202E-2</v>
      </c>
      <c r="BN40" s="574">
        <f>(BN25/BN9)</f>
        <v>7.083921655594734E-2</v>
      </c>
      <c r="BO40" s="573"/>
      <c r="BP40" s="574">
        <f>(BP25/BP9)</f>
        <v>7.229972097688793E-2</v>
      </c>
      <c r="BQ40" s="574">
        <f>(BQ25/BQ9)</f>
        <v>7.0824627255401867E-2</v>
      </c>
      <c r="BR40" s="574">
        <f>(BR25/BR9)</f>
        <v>7.1994581738981531E-2</v>
      </c>
      <c r="BS40" s="574">
        <f>(BS25/BS9)</f>
        <v>7.8308980511441695E-2</v>
      </c>
      <c r="BT40" s="573"/>
      <c r="BU40" s="574">
        <f>(BU25/BU9)</f>
        <v>7.3169403753936629E-2</v>
      </c>
      <c r="BV40" s="574">
        <f>(BV25/BV9)</f>
        <v>7.443766507761683E-2</v>
      </c>
      <c r="BW40" s="574">
        <f>(BW25/BW9)</f>
        <v>7.7916468295913616E-2</v>
      </c>
      <c r="BX40" s="574">
        <f>(BX25/BX9)</f>
        <v>7.4568815873707409E-2</v>
      </c>
      <c r="BY40" s="573"/>
      <c r="BZ40" s="574">
        <f>(BZ25/BZ9)</f>
        <v>6.9989937108468542E-2</v>
      </c>
      <c r="CA40" s="574">
        <f>(CA25/CA9)</f>
        <v>7.6347101982706417E-2</v>
      </c>
      <c r="CB40" s="574">
        <f>(CB25/CB9)</f>
        <v>8.0769979525027319E-2</v>
      </c>
      <c r="CC40" s="574">
        <f>(CC25/CC9)</f>
        <v>7.8062821405660579E-2</v>
      </c>
      <c r="CD40" s="573"/>
      <c r="CE40" s="574">
        <f>(CE25/CE9)</f>
        <v>6.9127016182183795E-2</v>
      </c>
      <c r="CF40" s="574">
        <f>(CF25/CF9)</f>
        <v>7.4600090633403102E-2</v>
      </c>
      <c r="CG40" s="574">
        <f>(CG25/CG9)</f>
        <v>7.5740811079390569E-2</v>
      </c>
      <c r="CH40" s="574">
        <f>(CH25/CH9)</f>
        <v>7.4365144232780997E-2</v>
      </c>
      <c r="CI40" s="573"/>
      <c r="CJ40" s="574">
        <f>(CJ25/CJ9)</f>
        <v>6.7398833998289109E-2</v>
      </c>
      <c r="CK40" s="574">
        <f>(CK25/CK9)</f>
        <v>7.1323296100647846E-2</v>
      </c>
      <c r="CL40" s="574">
        <f>(CL25/CL9)</f>
        <v>7.2607891179697112E-2</v>
      </c>
      <c r="CM40" s="574">
        <f>(CM25/CM9)</f>
        <v>7.1604697555791921E-2</v>
      </c>
      <c r="CN40" s="573"/>
      <c r="CO40" s="574">
        <f>(CO25/CO9)</f>
        <v>6.8894828690147944E-2</v>
      </c>
      <c r="CP40" s="574">
        <f>(CP25/CP9)</f>
        <v>6.6161384112854077E-2</v>
      </c>
      <c r="CQ40" s="574">
        <f>(CQ25/CQ9)</f>
        <v>7.320473578613626E-2</v>
      </c>
      <c r="CR40" s="574">
        <f>(CR25/CR9)</f>
        <v>8.0038172674787758E-2</v>
      </c>
      <c r="CS40" s="573"/>
      <c r="CT40" s="574">
        <f>(CT25/CT9)</f>
        <v>7.6161413533334013E-2</v>
      </c>
      <c r="CU40" s="574">
        <f>(CU25/CU9)</f>
        <v>7.7829771638666542E-2</v>
      </c>
      <c r="CV40" s="574">
        <f>(CV25/CV9)</f>
        <v>8.479367614441051E-2</v>
      </c>
      <c r="CW40" s="574">
        <f>(CW25/CW9)</f>
        <v>8.0442063999101351E-2</v>
      </c>
      <c r="CX40" s="573"/>
      <c r="CY40" s="573"/>
      <c r="CZ40" s="575">
        <f>(CZ25/CZ9)</f>
        <v>3.196485190771689E-2</v>
      </c>
      <c r="DA40" s="575">
        <f>(DA25/DA9)</f>
        <v>4.1492642713175397E-2</v>
      </c>
      <c r="DB40" s="575">
        <f t="shared" ref="DB40:DM40" si="32">(DB25/DB9)</f>
        <v>5.4460815881903317E-2</v>
      </c>
      <c r="DC40" s="575">
        <f t="shared" si="32"/>
        <v>5.9897807329261726E-2</v>
      </c>
      <c r="DD40" s="575">
        <f t="shared" si="32"/>
        <v>5.6171381456489283E-2</v>
      </c>
      <c r="DE40" s="576">
        <f t="shared" si="32"/>
        <v>5.0461957318509096E-2</v>
      </c>
      <c r="DF40" s="576">
        <f t="shared" si="32"/>
        <v>4.8274602049693208E-2</v>
      </c>
      <c r="DG40" s="576">
        <f t="shared" si="32"/>
        <v>4.5724402379422886E-2</v>
      </c>
      <c r="DH40" s="576">
        <f t="shared" si="32"/>
        <v>4.0882401515460909E-2</v>
      </c>
      <c r="DI40" s="575">
        <f t="shared" si="32"/>
        <v>4.299575256718885E-2</v>
      </c>
      <c r="DJ40" s="575">
        <f t="shared" si="32"/>
        <v>4.4914237510383044E-2</v>
      </c>
      <c r="DK40" s="576">
        <f t="shared" si="32"/>
        <v>4.885662977095085E-2</v>
      </c>
      <c r="DL40" s="575">
        <f t="shared" si="32"/>
        <v>4.7173913215107249E-2</v>
      </c>
      <c r="DM40" s="576">
        <f t="shared" si="32"/>
        <v>5.9815922798219512E-2</v>
      </c>
      <c r="DN40" s="575">
        <f t="shared" ref="DN40:DS40" si="33">(DN25/DN9)</f>
        <v>6.5565133783474921E-2</v>
      </c>
      <c r="DO40" s="576">
        <f t="shared" si="33"/>
        <v>6.6372363163054421E-2</v>
      </c>
      <c r="DP40" s="575">
        <f t="shared" si="33"/>
        <v>7.3678784739627412E-2</v>
      </c>
      <c r="DQ40" s="575">
        <f t="shared" si="33"/>
        <v>7.7942523229663468E-2</v>
      </c>
      <c r="DR40" s="575">
        <f t="shared" si="33"/>
        <v>7.6538343039218013E-2</v>
      </c>
      <c r="DS40" s="575">
        <f t="shared" si="33"/>
        <v>7.3603572901002348E-2</v>
      </c>
      <c r="DT40" s="575">
        <f t="shared" ref="DT40:DY40" si="34">(DT25/DT9)</f>
        <v>7.0832573322648737E-2</v>
      </c>
      <c r="DU40" s="575">
        <f t="shared" si="34"/>
        <v>7.2716365055030291E-2</v>
      </c>
      <c r="DV40" s="575">
        <f t="shared" si="34"/>
        <v>7.9937453190365368E-2</v>
      </c>
      <c r="DW40" s="575">
        <f t="shared" si="34"/>
        <v>8.1363543839694963E-2</v>
      </c>
      <c r="DX40" s="575">
        <f t="shared" si="34"/>
        <v>8.2873364512940764E-2</v>
      </c>
      <c r="DY40" s="575">
        <f t="shared" si="34"/>
        <v>8.3566298595960445E-2</v>
      </c>
      <c r="DZ40" s="512"/>
      <c r="EA40" s="487"/>
      <c r="EG40" s="487"/>
    </row>
    <row r="41" spans="1:141">
      <c r="A41" s="554" t="s">
        <v>440</v>
      </c>
      <c r="B41" s="577"/>
      <c r="C41" s="578">
        <f>(C32/C9)</f>
        <v>0.10413746447822497</v>
      </c>
      <c r="D41" s="578">
        <f>(D32/D9)</f>
        <v>8.8984906681452966E-2</v>
      </c>
      <c r="E41" s="578">
        <f>(E32/E9)</f>
        <v>0.11206216941514616</v>
      </c>
      <c r="F41" s="578">
        <f>(F32/F9)</f>
        <v>8.8113430652774827E-2</v>
      </c>
      <c r="G41" s="573"/>
      <c r="H41" s="574">
        <f>(H32/H9)</f>
        <v>0.10251760339563859</v>
      </c>
      <c r="I41" s="574">
        <f>(I32/I9)</f>
        <v>8.475963322578331E-2</v>
      </c>
      <c r="J41" s="574">
        <f>(J32/J9)</f>
        <v>0.10887941916242351</v>
      </c>
      <c r="K41" s="574">
        <f>(K32/K9)</f>
        <v>7.7173559456330657E-2</v>
      </c>
      <c r="L41" s="574"/>
      <c r="M41" s="574">
        <f>(M32/M9)</f>
        <v>0.11128828061182926</v>
      </c>
      <c r="N41" s="574">
        <f>(N32/N9)</f>
        <v>9.552777713012664E-2</v>
      </c>
      <c r="O41" s="574">
        <f>(O32/O9)</f>
        <v>0.11035247681332735</v>
      </c>
      <c r="P41" s="574">
        <f>(P32/P9)</f>
        <v>9.6875631094345577E-2</v>
      </c>
      <c r="Q41" s="574"/>
      <c r="R41" s="574">
        <f>(R32/R9)</f>
        <v>0.10974919411018622</v>
      </c>
      <c r="S41" s="574">
        <f>(S32/S9)</f>
        <v>9.723918470617042E-2</v>
      </c>
      <c r="T41" s="574">
        <f>(T32/T9)</f>
        <v>9.8098819356639638E-2</v>
      </c>
      <c r="U41" s="574">
        <f>(U32/U9)</f>
        <v>8.8460043001231586E-2</v>
      </c>
      <c r="V41" s="574"/>
      <c r="W41" s="574">
        <f>(W32/W9)</f>
        <v>8.1797106542283921E-2</v>
      </c>
      <c r="X41" s="574">
        <f>(X32/X9)</f>
        <v>8.0521399889172812E-2</v>
      </c>
      <c r="Y41" s="574">
        <f>(Y32/Y9)</f>
        <v>0.10168734494245232</v>
      </c>
      <c r="Z41" s="574">
        <f>(Z32/Z9)</f>
        <v>0.1058367394559183</v>
      </c>
      <c r="AA41" s="574"/>
      <c r="AB41" s="574">
        <f>(AB32/AB9)</f>
        <v>9.7321979027880784E-2</v>
      </c>
      <c r="AC41" s="574">
        <f>(AC32/AC9)</f>
        <v>7.2548675609285351E-2</v>
      </c>
      <c r="AD41" s="574">
        <f>(AD32/AD9)</f>
        <v>9.8707480320117377E-2</v>
      </c>
      <c r="AE41" s="574">
        <f>(AE32/AE9)</f>
        <v>7.9223923444755151E-2</v>
      </c>
      <c r="AF41" s="574"/>
      <c r="AG41" s="574">
        <f>(AG32/AG9)</f>
        <v>8.3415985957725342E-2</v>
      </c>
      <c r="AH41" s="574">
        <f>(AH32/AH9)</f>
        <v>7.2839846639103534E-2</v>
      </c>
      <c r="AI41" s="574">
        <f>(AI32/AI9)</f>
        <v>8.5038219535704826E-2</v>
      </c>
      <c r="AJ41" s="574">
        <f>(AJ32/AJ9)</f>
        <v>9.3122465851074435E-2</v>
      </c>
      <c r="AK41" s="573"/>
      <c r="AL41" s="574">
        <f>(AL32/AL9)</f>
        <v>9.0478387376086641E-2</v>
      </c>
      <c r="AM41" s="574">
        <f>(AM32/AM9)</f>
        <v>8.1397012205136773E-2</v>
      </c>
      <c r="AN41" s="574">
        <f>(AN32/AN9)</f>
        <v>0.10541113535316685</v>
      </c>
      <c r="AO41" s="574">
        <f>(AO32/AO9)</f>
        <v>9.3410171404332124E-2</v>
      </c>
      <c r="AP41" s="574"/>
      <c r="AQ41" s="574">
        <f>(AQ32/AQ9)</f>
        <v>9.2168095030258676E-2</v>
      </c>
      <c r="AR41" s="574">
        <f>(AR32/AR9)</f>
        <v>8.8260537528359884E-2</v>
      </c>
      <c r="AS41" s="574">
        <f>(AS32/AS9)</f>
        <v>0.10680406068794031</v>
      </c>
      <c r="AT41" s="574">
        <f>(AT32/AT9)</f>
        <v>0.10885061154967217</v>
      </c>
      <c r="AU41" s="574"/>
      <c r="AV41" s="574">
        <f>(AV32/AV9)</f>
        <v>9.24589089717687E-2</v>
      </c>
      <c r="AW41" s="574">
        <f>(AW32/AW9)</f>
        <v>9.6639619532341861E-2</v>
      </c>
      <c r="AX41" s="574">
        <f>(AX32/AX9)</f>
        <v>0.10877533061851968</v>
      </c>
      <c r="AY41" s="574">
        <f>(AY32/AY9)</f>
        <v>8.9305161221369694E-2</v>
      </c>
      <c r="AZ41" s="574"/>
      <c r="BA41" s="574">
        <f>(BA32/BA9)</f>
        <v>0.10334057228107697</v>
      </c>
      <c r="BB41" s="574">
        <f>(BB32/BB9)</f>
        <v>0.11113636401933809</v>
      </c>
      <c r="BC41" s="574">
        <f>(BC32/BC9)</f>
        <v>0.13121012113375424</v>
      </c>
      <c r="BD41" s="574">
        <f>(BD32/BD9)</f>
        <v>0.12799402734482426</v>
      </c>
      <c r="BE41" s="574"/>
      <c r="BF41" s="574">
        <f>(BF32/BF9)</f>
        <v>0.13158531577541491</v>
      </c>
      <c r="BG41" s="574">
        <f>(BG32/BG9)</f>
        <v>0.1200985383024735</v>
      </c>
      <c r="BH41" s="574">
        <f>(BH32/BH9)</f>
        <v>0.13039358491105524</v>
      </c>
      <c r="BI41" s="574">
        <f>(BI32/BI9)</f>
        <v>0.13238238800525515</v>
      </c>
      <c r="BJ41" s="574"/>
      <c r="BK41" s="574">
        <f>(BK32/BK9)</f>
        <v>0.1196611211602386</v>
      </c>
      <c r="BL41" s="574">
        <f>(BL32/BL9)</f>
        <v>0.12594796822544013</v>
      </c>
      <c r="BM41" s="574">
        <f>(BM32/BM9)</f>
        <v>0.13685231881636298</v>
      </c>
      <c r="BN41" s="574">
        <f>(BN32/BN9)</f>
        <v>0.13360407335108065</v>
      </c>
      <c r="BO41" s="573"/>
      <c r="BP41" s="574">
        <f>(BP32/BP9)</f>
        <v>0.1398513233504988</v>
      </c>
      <c r="BQ41" s="574">
        <f>(BQ32/BQ9)</f>
        <v>0.13755376071450973</v>
      </c>
      <c r="BR41" s="574">
        <f>(BR32/BR9)</f>
        <v>0.13733223333400396</v>
      </c>
      <c r="BS41" s="574">
        <f>(BS32/BS9)</f>
        <v>0.14022826028695157</v>
      </c>
      <c r="BT41" s="573"/>
      <c r="BU41" s="574">
        <f>(BU32/BU9)</f>
        <v>0.13858177471307154</v>
      </c>
      <c r="BV41" s="574">
        <f>(BV32/BV9)</f>
        <v>0.14385346260972584</v>
      </c>
      <c r="BW41" s="574">
        <f>(BW32/BW9)</f>
        <v>0.14818982749049109</v>
      </c>
      <c r="BX41" s="574">
        <f>(BX32/BX9)</f>
        <v>0.13833070360351743</v>
      </c>
      <c r="BY41" s="573"/>
      <c r="BZ41" s="574">
        <f>(BZ32/BZ9)</f>
        <v>0.13623509823181507</v>
      </c>
      <c r="CA41" s="574">
        <f>(CA32/CA9)</f>
        <v>0.14544848415806838</v>
      </c>
      <c r="CB41" s="574">
        <f>(CB32/CB9)</f>
        <v>0.15145669343717527</v>
      </c>
      <c r="CC41" s="574">
        <f>(CC32/CC9)</f>
        <v>0.14323744366086841</v>
      </c>
      <c r="CD41" s="573"/>
      <c r="CE41" s="574">
        <f>(CE32/CE9)</f>
        <v>0.13476375171014721</v>
      </c>
      <c r="CF41" s="574">
        <f>(CF32/CF9)</f>
        <v>0.14218362946718177</v>
      </c>
      <c r="CG41" s="574">
        <f>(CG32/CG9)</f>
        <v>0.14308321602064611</v>
      </c>
      <c r="CH41" s="574">
        <f>(CH32/CH9)</f>
        <v>0.13833448169090312</v>
      </c>
      <c r="CI41" s="573"/>
      <c r="CJ41" s="574">
        <f>(CJ32/CJ9)</f>
        <v>0.13154550116700933</v>
      </c>
      <c r="CK41" s="574">
        <f>(CK32/CK9)</f>
        <v>0.1387511603893046</v>
      </c>
      <c r="CL41" s="574">
        <f>(CL32/CL9)</f>
        <v>0.13903574278241057</v>
      </c>
      <c r="CM41" s="574">
        <f>(CM32/CM9)</f>
        <v>0.13410671099165405</v>
      </c>
      <c r="CN41" s="573"/>
      <c r="CO41" s="574">
        <f>(CO32/CO9)</f>
        <v>0.13037588270539763</v>
      </c>
      <c r="CP41" s="574">
        <f>(CP32/CP9)</f>
        <v>0.12886045203824026</v>
      </c>
      <c r="CQ41" s="574">
        <f>(CQ32/CQ9)</f>
        <v>0.13835317990189688</v>
      </c>
      <c r="CR41" s="574">
        <f>(CR32/CR9)</f>
        <v>0.12857905320088459</v>
      </c>
      <c r="CS41" s="573"/>
      <c r="CT41" s="574">
        <f>(CT32/CT9)</f>
        <v>0.12424960125569315</v>
      </c>
      <c r="CU41" s="574">
        <f>(CU32/CU9)</f>
        <v>0.12612774445156197</v>
      </c>
      <c r="CV41" s="574">
        <f>(CV32/CV9)</f>
        <v>0.13460998009636835</v>
      </c>
      <c r="CW41" s="574">
        <f>(CW32/CW9)</f>
        <v>0.12559796964196993</v>
      </c>
      <c r="CX41" s="573"/>
      <c r="CY41" s="573"/>
      <c r="CZ41" s="575">
        <f>(CZ32/CZ9)</f>
        <v>7.8987683517679499E-2</v>
      </c>
      <c r="DA41" s="575">
        <f>(DA32/DA9)</f>
        <v>7.1290848684726058E-2</v>
      </c>
      <c r="DB41" s="575">
        <f t="shared" ref="DB41:DM41" si="35">(DB32/DB9)</f>
        <v>0.10588509990915701</v>
      </c>
      <c r="DC41" s="575">
        <f t="shared" si="35"/>
        <v>0.11616915171169485</v>
      </c>
      <c r="DD41" s="575">
        <f t="shared" si="35"/>
        <v>0.11103730387056857</v>
      </c>
      <c r="DE41" s="576">
        <f t="shared" si="35"/>
        <v>0.10306921338485628</v>
      </c>
      <c r="DF41" s="576">
        <f t="shared" si="35"/>
        <v>9.7734143146011809E-2</v>
      </c>
      <c r="DG41" s="576">
        <f t="shared" si="35"/>
        <v>9.3966148401950902E-2</v>
      </c>
      <c r="DH41" s="576">
        <f t="shared" si="35"/>
        <v>8.6751498627114842E-2</v>
      </c>
      <c r="DI41" s="575">
        <f t="shared" si="35"/>
        <v>8.42726041673479E-2</v>
      </c>
      <c r="DJ41" s="575">
        <f t="shared" si="35"/>
        <v>9.3106452033443768E-2</v>
      </c>
      <c r="DK41" s="576">
        <f t="shared" si="35"/>
        <v>9.8793290787075105E-2</v>
      </c>
      <c r="DL41" s="575">
        <f t="shared" si="35"/>
        <v>9.6657149752059135E-2</v>
      </c>
      <c r="DM41" s="576">
        <f t="shared" si="35"/>
        <v>0.11958970337991419</v>
      </c>
      <c r="DN41" s="575">
        <f t="shared" ref="DN41:DS41" si="36">(DN32/DN9)</f>
        <v>0.12881672284552292</v>
      </c>
      <c r="DO41" s="576">
        <f t="shared" si="36"/>
        <v>0.12947565949879025</v>
      </c>
      <c r="DP41" s="575">
        <f t="shared" si="36"/>
        <v>0.13970952268558476</v>
      </c>
      <c r="DQ41" s="575">
        <f t="shared" si="36"/>
        <v>0.14219499060194518</v>
      </c>
      <c r="DR41" s="575">
        <f t="shared" si="36"/>
        <v>0.14428235356909333</v>
      </c>
      <c r="DS41" s="575">
        <f t="shared" si="36"/>
        <v>0.13964791268930635</v>
      </c>
      <c r="DT41" s="575">
        <f t="shared" ref="DT41:DY41" si="37">(DT32/DT9)</f>
        <v>0.13585926289691738</v>
      </c>
      <c r="DU41" s="575">
        <f t="shared" si="37"/>
        <v>0.13142256121512813</v>
      </c>
      <c r="DV41" s="575">
        <f t="shared" si="37"/>
        <v>0.12764380127986374</v>
      </c>
      <c r="DW41" s="575">
        <f t="shared" si="37"/>
        <v>0.12941451957894862</v>
      </c>
      <c r="DX41" s="575">
        <f t="shared" si="37"/>
        <v>0.13135041691328189</v>
      </c>
      <c r="DY41" s="575">
        <f t="shared" si="37"/>
        <v>0.13220769532811188</v>
      </c>
      <c r="DZ41" s="512"/>
      <c r="EA41" s="487"/>
      <c r="EG41" s="487"/>
    </row>
    <row r="42" spans="1:141">
      <c r="A42" s="554"/>
      <c r="B42" s="480"/>
      <c r="C42" s="580"/>
      <c r="D42" s="580"/>
      <c r="E42" s="580"/>
      <c r="F42" s="580"/>
      <c r="G42" s="580"/>
      <c r="H42" s="580"/>
      <c r="I42" s="580"/>
      <c r="J42" s="580"/>
      <c r="K42" s="580"/>
      <c r="L42" s="580"/>
      <c r="M42" s="580"/>
      <c r="N42" s="580"/>
      <c r="O42" s="580"/>
      <c r="P42" s="580"/>
      <c r="Q42" s="580"/>
      <c r="R42" s="580"/>
      <c r="S42" s="580"/>
      <c r="T42" s="580"/>
      <c r="U42" s="580"/>
      <c r="V42" s="580"/>
      <c r="W42" s="580"/>
      <c r="X42" s="580"/>
      <c r="Y42" s="580"/>
      <c r="Z42" s="580"/>
      <c r="AA42" s="580"/>
      <c r="AB42" s="580"/>
      <c r="AC42" s="580"/>
      <c r="AD42" s="580"/>
      <c r="AE42" s="580"/>
      <c r="AF42" s="580"/>
      <c r="AG42" s="580"/>
      <c r="AH42" s="580"/>
      <c r="AI42" s="580"/>
      <c r="AJ42" s="580"/>
      <c r="AK42" s="580"/>
      <c r="AL42" s="580"/>
      <c r="AM42" s="580"/>
      <c r="AN42" s="580"/>
      <c r="AO42" s="580"/>
      <c r="AP42" s="580"/>
      <c r="AQ42" s="580"/>
      <c r="AR42" s="580"/>
      <c r="AS42" s="580"/>
      <c r="AT42" s="580"/>
      <c r="AU42" s="580"/>
      <c r="AV42" s="580"/>
      <c r="AW42" s="580"/>
      <c r="AX42" s="580"/>
      <c r="AY42" s="580"/>
      <c r="AZ42" s="580"/>
      <c r="BA42" s="580"/>
      <c r="BB42" s="580"/>
      <c r="BC42" s="580"/>
      <c r="BD42" s="580"/>
      <c r="BE42" s="580"/>
      <c r="BF42" s="580"/>
      <c r="BG42" s="580"/>
      <c r="BH42" s="580"/>
      <c r="BI42" s="580"/>
      <c r="BJ42" s="580"/>
      <c r="BK42" s="580"/>
      <c r="BL42" s="580"/>
      <c r="BM42" s="580"/>
      <c r="BN42" s="580"/>
      <c r="BO42" s="580"/>
      <c r="BP42" s="580"/>
      <c r="BQ42" s="580"/>
      <c r="BR42" s="580"/>
      <c r="BS42" s="580"/>
      <c r="BT42" s="580"/>
      <c r="BU42" s="580"/>
      <c r="BV42" s="580"/>
      <c r="BW42" s="580"/>
      <c r="BX42" s="580"/>
      <c r="BY42" s="580"/>
      <c r="BZ42" s="580"/>
      <c r="CA42" s="580"/>
      <c r="CB42" s="580"/>
      <c r="CC42" s="580"/>
      <c r="CD42" s="580"/>
      <c r="CE42" s="580"/>
      <c r="CF42" s="580"/>
      <c r="CG42" s="580"/>
      <c r="CH42" s="580"/>
      <c r="CI42" s="580"/>
      <c r="CJ42" s="580"/>
      <c r="CK42" s="580"/>
      <c r="CL42" s="580"/>
      <c r="CM42" s="580"/>
      <c r="CN42" s="580"/>
      <c r="CO42" s="580"/>
      <c r="CP42" s="580"/>
      <c r="CQ42" s="580"/>
      <c r="CR42" s="580"/>
      <c r="CS42" s="580"/>
      <c r="CT42" s="580"/>
      <c r="CU42" s="580"/>
      <c r="CV42" s="580"/>
      <c r="CW42" s="580"/>
      <c r="CX42" s="580"/>
      <c r="CY42" s="580"/>
      <c r="CZ42" s="581"/>
      <c r="DA42" s="581"/>
      <c r="DB42" s="581"/>
      <c r="DC42" s="581"/>
      <c r="DD42" s="581"/>
      <c r="DE42" s="582"/>
      <c r="DF42" s="582"/>
      <c r="DG42" s="582"/>
      <c r="DH42" s="582"/>
      <c r="DI42" s="583"/>
      <c r="DJ42" s="583"/>
      <c r="DK42" s="584"/>
      <c r="DL42" s="583"/>
      <c r="DM42" s="584"/>
      <c r="DN42" s="583"/>
      <c r="DO42" s="582"/>
      <c r="DP42" s="581"/>
      <c r="DQ42" s="581"/>
      <c r="DR42" s="581"/>
      <c r="DS42" s="581"/>
      <c r="DT42" s="581"/>
      <c r="DU42" s="581"/>
      <c r="DV42" s="581"/>
      <c r="DW42" s="581"/>
      <c r="DX42" s="581"/>
      <c r="DY42" s="581"/>
      <c r="DZ42" s="512"/>
      <c r="EA42" s="487"/>
      <c r="EG42" s="487"/>
    </row>
    <row r="43" spans="1:141">
      <c r="A43" s="513" t="s">
        <v>466</v>
      </c>
      <c r="B43" s="585"/>
      <c r="C43" s="580"/>
      <c r="D43" s="580"/>
      <c r="E43" s="580"/>
      <c r="F43" s="580"/>
      <c r="G43" s="580"/>
      <c r="H43" s="580"/>
      <c r="I43" s="580"/>
      <c r="J43" s="580"/>
      <c r="K43" s="580"/>
      <c r="L43" s="580"/>
      <c r="M43" s="580"/>
      <c r="N43" s="580"/>
      <c r="O43" s="580"/>
      <c r="P43" s="580"/>
      <c r="Q43" s="580"/>
      <c r="R43" s="580"/>
      <c r="S43" s="580"/>
      <c r="T43" s="580"/>
      <c r="U43" s="580"/>
      <c r="V43" s="580"/>
      <c r="W43" s="580"/>
      <c r="X43" s="580"/>
      <c r="Y43" s="580"/>
      <c r="Z43" s="580"/>
      <c r="AA43" s="580"/>
      <c r="AB43" s="580"/>
      <c r="AC43" s="580"/>
      <c r="AD43" s="580"/>
      <c r="AE43" s="580"/>
      <c r="AF43" s="580"/>
      <c r="AG43" s="580"/>
      <c r="AH43" s="580"/>
      <c r="AI43" s="580"/>
      <c r="AJ43" s="580"/>
      <c r="AK43" s="580"/>
      <c r="AL43" s="580"/>
      <c r="AM43" s="580"/>
      <c r="AN43" s="580"/>
      <c r="AO43" s="580"/>
      <c r="AP43" s="580"/>
      <c r="AQ43" s="580"/>
      <c r="AR43" s="580"/>
      <c r="AS43" s="580"/>
      <c r="AT43" s="580"/>
      <c r="AU43" s="580"/>
      <c r="AV43" s="580"/>
      <c r="AW43" s="580"/>
      <c r="AX43" s="580"/>
      <c r="AY43" s="580"/>
      <c r="AZ43" s="580"/>
      <c r="BA43" s="580"/>
      <c r="BB43" s="580"/>
      <c r="BC43" s="580"/>
      <c r="BD43" s="580"/>
      <c r="BE43" s="580"/>
      <c r="BF43" s="580"/>
      <c r="BG43" s="580"/>
      <c r="BH43" s="580"/>
      <c r="BI43" s="580"/>
      <c r="BJ43" s="580"/>
      <c r="BK43" s="580"/>
      <c r="BL43" s="580"/>
      <c r="BM43" s="580"/>
      <c r="BN43" s="580"/>
      <c r="BO43" s="580"/>
      <c r="BP43" s="580"/>
      <c r="BQ43" s="580"/>
      <c r="BR43" s="580"/>
      <c r="BS43" s="580"/>
      <c r="BT43" s="580"/>
      <c r="BU43" s="580"/>
      <c r="BV43" s="580"/>
      <c r="BW43" s="580"/>
      <c r="BX43" s="580"/>
      <c r="BY43" s="580"/>
      <c r="BZ43" s="580"/>
      <c r="CA43" s="580"/>
      <c r="CB43" s="580"/>
      <c r="CC43" s="580"/>
      <c r="CD43" s="580"/>
      <c r="CE43" s="580"/>
      <c r="CF43" s="580"/>
      <c r="CG43" s="580"/>
      <c r="CH43" s="580"/>
      <c r="CI43" s="580"/>
      <c r="CJ43" s="580"/>
      <c r="CK43" s="580"/>
      <c r="CL43" s="580"/>
      <c r="CM43" s="586"/>
      <c r="CN43" s="580"/>
      <c r="CO43" s="580"/>
      <c r="CP43" s="580"/>
      <c r="CQ43" s="580"/>
      <c r="CR43" s="586"/>
      <c r="CS43" s="580"/>
      <c r="CT43" s="580"/>
      <c r="CU43" s="580"/>
      <c r="CV43" s="580"/>
      <c r="CW43" s="586"/>
      <c r="CX43" s="580"/>
      <c r="CY43" s="580"/>
      <c r="CZ43" s="581"/>
      <c r="DA43" s="581"/>
      <c r="DB43" s="581"/>
      <c r="DC43" s="581"/>
      <c r="DD43" s="581"/>
      <c r="DE43" s="582"/>
      <c r="DF43" s="582"/>
      <c r="DG43" s="582"/>
      <c r="DH43" s="582"/>
      <c r="DI43" s="581"/>
      <c r="DJ43" s="581"/>
      <c r="DK43" s="582"/>
      <c r="DL43" s="581"/>
      <c r="DM43" s="582"/>
      <c r="DN43" s="581"/>
      <c r="DO43" s="582"/>
      <c r="DP43" s="581"/>
      <c r="DQ43" s="581"/>
      <c r="DR43" s="581"/>
      <c r="DS43" s="581"/>
      <c r="DT43" s="581"/>
      <c r="DU43" s="581"/>
      <c r="DV43" s="581"/>
      <c r="DW43" s="581"/>
      <c r="DX43" s="581"/>
      <c r="DY43" s="581"/>
      <c r="DZ43" s="512"/>
      <c r="EA43" s="487"/>
      <c r="EG43" s="487"/>
    </row>
    <row r="44" spans="1:141">
      <c r="A44" s="554" t="s">
        <v>556</v>
      </c>
      <c r="B44" s="587"/>
      <c r="C44" s="588">
        <f>'qtrP&amp;L'!$AQ10/100</f>
        <v>0.10078871080679776</v>
      </c>
      <c r="D44" s="588">
        <f>'qtrP&amp;L'!$AQ11/100</f>
        <v>0.1259233439776235</v>
      </c>
      <c r="E44" s="588">
        <f>'qtrP&amp;L'!$AQ12/100</f>
        <v>0.11557307376130721</v>
      </c>
      <c r="F44" s="588">
        <f>'qtrP&amp;L'!$AQ13/100</f>
        <v>8.7344316922208343E-2</v>
      </c>
      <c r="G44" s="588"/>
      <c r="H44" s="574">
        <f>((H9/C9)-1)</f>
        <v>9.2001786060234902E-2</v>
      </c>
      <c r="I44" s="574">
        <f>((I9/D9)-1)</f>
        <v>7.386305544234939E-2</v>
      </c>
      <c r="J44" s="574">
        <f>((J9/E9)-1)</f>
        <v>0.10127585284292895</v>
      </c>
      <c r="K44" s="574">
        <f>((K9/F9)-1)</f>
        <v>8.8790930993107642E-2</v>
      </c>
      <c r="L44" s="574"/>
      <c r="M44" s="574">
        <f>((M9/H9)-1)</f>
        <v>7.7215390424435926E-2</v>
      </c>
      <c r="N44" s="574">
        <f>((N9/I9)-1)</f>
        <v>0.10160775918950438</v>
      </c>
      <c r="O44" s="574">
        <f>((O9/J9)-1)</f>
        <v>0.11390133545352632</v>
      </c>
      <c r="P44" s="574">
        <f>((P9/K9)-1)</f>
        <v>0.16625092456125379</v>
      </c>
      <c r="Q44" s="574"/>
      <c r="R44" s="574">
        <f>((R9/M9)-1)</f>
        <v>0.17384863677096463</v>
      </c>
      <c r="S44" s="574">
        <f>((S9/N9)-1)</f>
        <v>0.11153905215503013</v>
      </c>
      <c r="T44" s="574">
        <f>((T9/O9)-1)</f>
        <v>0.11057860819055154</v>
      </c>
      <c r="U44" s="574">
        <f>((U9/P9)-1)</f>
        <v>9.2488512524651734E-2</v>
      </c>
      <c r="V44" s="574"/>
      <c r="W44" s="574">
        <f>((W9/R9)-1)</f>
        <v>4.6148703880087849E-2</v>
      </c>
      <c r="X44" s="574">
        <f>((X9/S9)-1)</f>
        <v>0.10165857229188657</v>
      </c>
      <c r="Y44" s="574">
        <f>((Y9/T9)-1)</f>
        <v>0.11248197835760854</v>
      </c>
      <c r="Z44" s="574">
        <f>((Z9/U9)-1)</f>
        <v>0.17119362506885638</v>
      </c>
      <c r="AA44" s="574"/>
      <c r="AB44" s="574">
        <f>((AB9/W9)-1)</f>
        <v>0.20225588579645404</v>
      </c>
      <c r="AC44" s="574">
        <f>((AC9/X9)-1)</f>
        <v>0.12084069773854744</v>
      </c>
      <c r="AD44" s="574">
        <f>((AD9/Y9)-1)</f>
        <v>0.12690895693872561</v>
      </c>
      <c r="AE44" s="574">
        <f>((AE9/Z9)-1)</f>
        <v>5.4440803615162681E-2</v>
      </c>
      <c r="AF44" s="574"/>
      <c r="AG44" s="574">
        <f>((AG9/AB9)-1)</f>
        <v>8.920860777329076E-2</v>
      </c>
      <c r="AH44" s="574">
        <f>((AH9/AC9)-1)</f>
        <v>6.8412233652296983E-2</v>
      </c>
      <c r="AI44" s="574">
        <f>((AI9/AD9)-1)</f>
        <v>5.8826672953750547E-2</v>
      </c>
      <c r="AJ44" s="574">
        <f>((AJ9/AE9)-1)</f>
        <v>8.9445195304622693E-2</v>
      </c>
      <c r="AK44" s="573"/>
      <c r="AL44" s="574">
        <f>((AL9/AG9)-1)</f>
        <v>6.008658672501177E-2</v>
      </c>
      <c r="AM44" s="574">
        <f>((AM9/AH9)-1)</f>
        <v>8.6569243497431225E-2</v>
      </c>
      <c r="AN44" s="574">
        <f>((AN9/AI9)-1)</f>
        <v>0.10664037218029487</v>
      </c>
      <c r="AO44" s="574">
        <f>((AO9/AJ9)-1)</f>
        <v>8.06670105783589E-2</v>
      </c>
      <c r="AP44" s="574"/>
      <c r="AQ44" s="574">
        <f>((AQ9/AL9)-1)</f>
        <v>6.1175236150748047E-2</v>
      </c>
      <c r="AR44" s="574">
        <f>((AR9/AM9)-1)</f>
        <v>8.8211170537122241E-2</v>
      </c>
      <c r="AS44" s="574">
        <f>((AS9/AN9)-1)</f>
        <v>4.1533057765323456E-2</v>
      </c>
      <c r="AT44" s="574">
        <f>((AT9/AO9)-1)</f>
        <v>5.7898723880317249E-2</v>
      </c>
      <c r="AU44" s="574"/>
      <c r="AV44" s="574">
        <f>((AV9/AQ9)-1)</f>
        <v>4.7582800825981764E-2</v>
      </c>
      <c r="AW44" s="574">
        <f>((AW9/AR9)-1)</f>
        <v>5.5896207495981232E-2</v>
      </c>
      <c r="AX44" s="574">
        <f>((AX9/AS9)-1)</f>
        <v>2.2068732213454512E-2</v>
      </c>
      <c r="AY44" s="574">
        <f>((AY9/AT9)-1)</f>
        <v>-2.197936302689607E-3</v>
      </c>
      <c r="AZ44" s="574"/>
      <c r="BA44" s="574">
        <f>((BA9/AV9)-1)</f>
        <v>1.1773754489021293E-2</v>
      </c>
      <c r="BB44" s="574">
        <f>((BB9/AW9)-1)</f>
        <v>4.2405851929839145E-2</v>
      </c>
      <c r="BC44" s="574">
        <f>((BC9/AX9)-1)</f>
        <v>0.10152535004504859</v>
      </c>
      <c r="BD44" s="574">
        <f>((BD9/AY9)-1)</f>
        <v>0.10440862263651196</v>
      </c>
      <c r="BE44" s="574"/>
      <c r="BF44" s="574">
        <f>((BF9/BA9)-1)</f>
        <v>0.15210884878683317</v>
      </c>
      <c r="BG44" s="574">
        <f>((BG9/BB9)-1)</f>
        <v>6.751977028887457E-2</v>
      </c>
      <c r="BH44" s="574">
        <f>((BH9/BC9)-1)</f>
        <v>5.355650944738044E-2</v>
      </c>
      <c r="BI44" s="574">
        <f>((BI9/BD9)-1)</f>
        <v>1.8687772920619627E-2</v>
      </c>
      <c r="BJ44" s="574"/>
      <c r="BK44" s="574">
        <f>((BK9/BF9)-1)</f>
        <v>3.8776925929026707E-2</v>
      </c>
      <c r="BL44" s="574">
        <f>((BL9/BG9)-1)</f>
        <v>7.8963631197613404E-2</v>
      </c>
      <c r="BM44" s="574">
        <f>((BM9/BH9)-1)</f>
        <v>4.8369236426560436E-2</v>
      </c>
      <c r="BN44" s="574">
        <f>((BN9/BI9)-1)</f>
        <v>0.10854079709436193</v>
      </c>
      <c r="BO44" s="573"/>
      <c r="BP44" s="574">
        <f>((BP9/BK9)-1)</f>
        <v>0.11264873636219552</v>
      </c>
      <c r="BQ44" s="574">
        <f>((BQ9/BL9)-1)</f>
        <v>8.7282568503333824E-2</v>
      </c>
      <c r="BR44" s="574">
        <f>((BR9/BM9)-1)</f>
        <v>0.10664100637859208</v>
      </c>
      <c r="BS44" s="574">
        <f>((BS9/BN9)-1)</f>
        <v>0.15113153112228495</v>
      </c>
      <c r="BT44" s="573"/>
      <c r="BU44" s="574">
        <f>((BU9/BP9)-1)</f>
        <v>6.7526249179470588E-2</v>
      </c>
      <c r="BV44" s="574">
        <f>((BV9/BQ9)-1)</f>
        <v>8.3569097539861303E-2</v>
      </c>
      <c r="BW44" s="574">
        <f>((BW9/BR9)-1)</f>
        <v>8.906110564907066E-2</v>
      </c>
      <c r="BX44" s="574">
        <f>((BX9/BS9)-1)</f>
        <v>1.1001430122475675E-2</v>
      </c>
      <c r="BY44" s="573"/>
      <c r="BZ44" s="574">
        <f>((BZ9/BU9)-1)</f>
        <v>4.8721494362568007E-2</v>
      </c>
      <c r="CA44" s="574">
        <f>((CA9/BV9)-1)</f>
        <v>7.3697105313155431E-2</v>
      </c>
      <c r="CB44" s="574">
        <f>((CB9/BW9)-1)</f>
        <v>5.5026757851328156E-2</v>
      </c>
      <c r="CC44" s="574">
        <f>((CC9/BX9)-1)</f>
        <v>6.3411385148551158E-2</v>
      </c>
      <c r="CD44" s="573"/>
      <c r="CE44" s="574">
        <f>((CE9/BZ9)-1)</f>
        <v>5.7687697884019729E-2</v>
      </c>
      <c r="CF44" s="574">
        <f>((CF9/CA9)-1)</f>
        <v>6.4551874367881013E-2</v>
      </c>
      <c r="CG44" s="574">
        <f>((CG9/CB9)-1)</f>
        <v>5.2596460580179416E-2</v>
      </c>
      <c r="CH44" s="574">
        <f>((CH9/CC9)-1)</f>
        <v>7.9254061288641875E-2</v>
      </c>
      <c r="CI44" s="573"/>
      <c r="CJ44" s="574">
        <f>((CJ9/CE9)-1)</f>
        <v>9.8566090808471341E-2</v>
      </c>
      <c r="CK44" s="574">
        <f>((CK9/CF9)-1)</f>
        <v>7.0388502784797469E-2</v>
      </c>
      <c r="CL44" s="574">
        <f>((CL9/CG9)-1)</f>
        <v>6.9412955060911274E-2</v>
      </c>
      <c r="CM44" s="574">
        <f>((CM9/CH9)-1)</f>
        <v>5.6412382177118525E-2</v>
      </c>
      <c r="CN44" s="573"/>
      <c r="CO44" s="574">
        <f>((CO9/CJ9)-1)</f>
        <v>3.2041446996137646E-2</v>
      </c>
      <c r="CP44" s="574">
        <f>((CP9/CK9)-1)</f>
        <v>6.0345572403535108E-2</v>
      </c>
      <c r="CQ44" s="574">
        <f>((CQ9/CL9)-1)</f>
        <v>5.6747431886004396E-2</v>
      </c>
      <c r="CR44" s="574">
        <f>((CR9/CM9)-1)</f>
        <v>0.15770264776453935</v>
      </c>
      <c r="CS44" s="573"/>
      <c r="CT44" s="574">
        <f>((CT9/CO9)-1)</f>
        <v>9.300324356656664E-2</v>
      </c>
      <c r="CU44" s="574">
        <f>((CU9/CP9)-1)</f>
        <v>6.7877708580111884E-2</v>
      </c>
      <c r="CV44" s="574">
        <f>((CV9/CQ9)-1)</f>
        <v>6.5805870019241874E-2</v>
      </c>
      <c r="CW44" s="574">
        <f>((CW9/CR9)-1)</f>
        <v>9.9716131786962148E-3</v>
      </c>
      <c r="CX44" s="573"/>
      <c r="CY44" s="573"/>
      <c r="CZ44" s="589">
        <f>'yrP&amp;L'!H8</f>
        <v>0.68282175484231278</v>
      </c>
      <c r="DA44" s="589">
        <f>'yrP&amp;L'!I8</f>
        <v>0.10459203427507069</v>
      </c>
      <c r="DB44" s="589">
        <f>'yrP&amp;L'!J8</f>
        <v>7.5760829950295455E-2</v>
      </c>
      <c r="DC44" s="575">
        <f t="shared" ref="DC44:DY44" si="38">((DC9/DB9)-1)</f>
        <v>0.10649009148594812</v>
      </c>
      <c r="DD44" s="575">
        <f t="shared" si="38"/>
        <v>8.9099270330096125E-2</v>
      </c>
      <c r="DE44" s="576">
        <f t="shared" si="38"/>
        <v>0.11796547574978034</v>
      </c>
      <c r="DF44" s="576">
        <f t="shared" si="38"/>
        <v>0.11879813592270705</v>
      </c>
      <c r="DG44" s="576">
        <f t="shared" si="38"/>
        <v>0.11240361676415422</v>
      </c>
      <c r="DH44" s="576">
        <f t="shared" si="38"/>
        <v>0.11896401378817933</v>
      </c>
      <c r="DI44" s="575">
        <f t="shared" si="38"/>
        <v>7.6739417612907701E-2</v>
      </c>
      <c r="DJ44" s="575">
        <f t="shared" si="38"/>
        <v>8.3865204336672328E-2</v>
      </c>
      <c r="DK44" s="576">
        <f t="shared" si="38"/>
        <v>6.1324806716738678E-2</v>
      </c>
      <c r="DL44" s="575">
        <f t="shared" si="38"/>
        <v>2.8558508611938427E-2</v>
      </c>
      <c r="DM44" s="576">
        <f t="shared" si="38"/>
        <v>6.7840662164619703E-2</v>
      </c>
      <c r="DN44" s="575">
        <f t="shared" si="38"/>
        <v>6.7763057630245038E-2</v>
      </c>
      <c r="DO44" s="576">
        <f t="shared" si="38"/>
        <v>7.0117592230270809E-2</v>
      </c>
      <c r="DP44" s="575">
        <f t="shared" si="38"/>
        <v>0.11630229124675084</v>
      </c>
      <c r="DQ44" s="575">
        <f t="shared" si="38"/>
        <v>5.9676242384953504E-2</v>
      </c>
      <c r="DR44" s="575">
        <f t="shared" si="38"/>
        <v>6.0377396883223966E-2</v>
      </c>
      <c r="DS44" s="575">
        <f t="shared" si="38"/>
        <v>6.4189589202737318E-2</v>
      </c>
      <c r="DT44" s="575">
        <f t="shared" si="38"/>
        <v>7.2348052531241436E-2</v>
      </c>
      <c r="DU44" s="575">
        <f>((DU9/DT9)-1)</f>
        <v>8.0790160386965404E-2</v>
      </c>
      <c r="DV44" s="575">
        <f>((DV9/DU9)-1)</f>
        <v>5.5127871138008988E-2</v>
      </c>
      <c r="DW44" s="575">
        <f t="shared" si="38"/>
        <v>6.6279808470043999E-2</v>
      </c>
      <c r="DX44" s="575">
        <f t="shared" si="38"/>
        <v>6.360463250861903E-2</v>
      </c>
      <c r="DY44" s="575">
        <f t="shared" si="38"/>
        <v>6.2407784658905507E-2</v>
      </c>
      <c r="DZ44" s="512"/>
      <c r="EA44" s="487"/>
      <c r="EG44" s="487"/>
    </row>
    <row r="45" spans="1:141">
      <c r="A45" s="554" t="s">
        <v>467</v>
      </c>
      <c r="B45" s="590"/>
      <c r="C45" s="578">
        <f>'qtrP&amp;L'!$AR10/100</f>
        <v>0.05</v>
      </c>
      <c r="D45" s="578">
        <f>'qtrP&amp;L'!$AR11/100</f>
        <v>7.0000000000000007E-2</v>
      </c>
      <c r="E45" s="578">
        <f>'qtrP&amp;L'!$AR12/100</f>
        <v>0.05</v>
      </c>
      <c r="F45" s="578">
        <f>'qtrP&amp;L'!$AR13/100</f>
        <v>0.02</v>
      </c>
      <c r="G45" s="591"/>
      <c r="H45" s="592">
        <f>'qtrP&amp;L'!$AV10/100</f>
        <v>0.03</v>
      </c>
      <c r="I45" s="592">
        <f>'qtrP&amp;L'!$AV11/100</f>
        <v>0.01</v>
      </c>
      <c r="J45" s="592">
        <f>'qtrP&amp;L'!$AV12/100</f>
        <v>0.03</v>
      </c>
      <c r="K45" s="592">
        <f>'qtrP&amp;L'!$AV13/100</f>
        <v>0.02</v>
      </c>
      <c r="L45" s="592"/>
      <c r="M45" s="592">
        <f>'qtrP&amp;L'!$AZ10/100</f>
        <v>0</v>
      </c>
      <c r="N45" s="592">
        <f>'qtrP&amp;L'!$AZ11/100</f>
        <v>0.02</v>
      </c>
      <c r="O45" s="592">
        <f>'qtrP&amp;L'!$AZ12/100</f>
        <v>0.03</v>
      </c>
      <c r="P45" s="592">
        <f>'qtrP&amp;L'!$AZ13/100</f>
        <v>0.06</v>
      </c>
      <c r="Q45" s="592"/>
      <c r="R45" s="592">
        <f>'qtrP&amp;L'!$BD10/100</f>
        <v>7.0000000000000007E-2</v>
      </c>
      <c r="S45" s="592">
        <f>'qtrP&amp;L'!$BD11/100</f>
        <v>0.02</v>
      </c>
      <c r="T45" s="592">
        <f>'qtrP&amp;L'!$BD12/100</f>
        <v>0.02</v>
      </c>
      <c r="U45" s="592">
        <f>'qtrP&amp;L'!$BD13/100</f>
        <v>0</v>
      </c>
      <c r="V45" s="592"/>
      <c r="W45" s="592">
        <f>'qtrP&amp;L'!$BH10/100</f>
        <v>-0.02</v>
      </c>
      <c r="X45" s="592">
        <f>'qtrP&amp;L'!$BH11/100</f>
        <v>0.02</v>
      </c>
      <c r="Y45" s="592">
        <f>'qtrP&amp;L'!$BH12/100</f>
        <v>0.03</v>
      </c>
      <c r="Z45" s="592">
        <f>'qtrP&amp;L'!$BH13/100</f>
        <v>0.03</v>
      </c>
      <c r="AA45" s="592"/>
      <c r="AB45" s="592">
        <f>'qtrP&amp;L'!$BL10/100</f>
        <v>0.08</v>
      </c>
      <c r="AC45" s="592">
        <f>'qtrP&amp;L'!$BL11/100</f>
        <v>0.03</v>
      </c>
      <c r="AD45" s="592">
        <f>'qtrP&amp;L'!$BL12/100</f>
        <v>0.04</v>
      </c>
      <c r="AE45" s="592">
        <f>'qtrP&amp;L'!$BL13/100</f>
        <v>0.04</v>
      </c>
      <c r="AF45" s="592"/>
      <c r="AG45" s="592">
        <f>'qtrP&amp;L'!$BP10/100</f>
        <v>0.03</v>
      </c>
      <c r="AH45" s="592">
        <f>'qtrP&amp;L'!$BP11/100</f>
        <v>0.01</v>
      </c>
      <c r="AI45" s="592">
        <f>'qtrP&amp;L'!$BP12/100</f>
        <v>0</v>
      </c>
      <c r="AJ45" s="592">
        <f>'qtrP&amp;L'!$BP13/100</f>
        <v>0.03</v>
      </c>
      <c r="AK45" s="593"/>
      <c r="AL45" s="592">
        <f>'qtrP&amp;L'!$BT10/100</f>
        <v>0.01</v>
      </c>
      <c r="AM45" s="592">
        <f>'qtrP&amp;L'!$BT11/100</f>
        <v>0.04</v>
      </c>
      <c r="AN45" s="592">
        <f>'qtrP&amp;L'!$BT12/100</f>
        <v>0.06</v>
      </c>
      <c r="AO45" s="592">
        <f>'qtrP&amp;L'!$BT13/100</f>
        <v>0.05</v>
      </c>
      <c r="AP45" s="592"/>
      <c r="AQ45" s="592">
        <f>'qtrP&amp;L'!$BX10/100</f>
        <v>0.02</v>
      </c>
      <c r="AR45" s="592">
        <f>'qtrP&amp;L'!$BX11/100</f>
        <v>0.05</v>
      </c>
      <c r="AS45" s="592">
        <f>'qtrP&amp;L'!$BX12/100</f>
        <v>0.03</v>
      </c>
      <c r="AT45" s="592">
        <f>'qtrP&amp;L'!$BX13/100</f>
        <v>0.04</v>
      </c>
      <c r="AU45" s="592"/>
      <c r="AV45" s="592">
        <f>'qtrP&amp;L'!CB10/100</f>
        <v>0.02</v>
      </c>
      <c r="AW45" s="592">
        <f>'qtrP&amp;L'!CB11/100</f>
        <v>0.03</v>
      </c>
      <c r="AX45" s="592">
        <f>'qtrP&amp;L'!CB12/100</f>
        <v>0.01</v>
      </c>
      <c r="AY45" s="592">
        <f>'qtrP&amp;L'!CB13/100</f>
        <v>-0.02</v>
      </c>
      <c r="AZ45" s="592"/>
      <c r="BA45" s="592">
        <f>0.01*'qtrP&amp;L'!$CF$10</f>
        <v>0.02</v>
      </c>
      <c r="BB45" s="592">
        <f>0.01*'qtrP&amp;L'!$CF$11</f>
        <v>0.04</v>
      </c>
      <c r="BC45" s="592">
        <f>0.01*'qtrP&amp;L'!$CF$12</f>
        <v>7.0000000000000007E-2</v>
      </c>
      <c r="BD45" s="592">
        <f>0.01*'qtrP&amp;L'!$CF$13</f>
        <v>0.12</v>
      </c>
      <c r="BE45" s="592"/>
      <c r="BF45" s="592">
        <f>0.01*'qtrP&amp;L'!$CJ$10</f>
        <v>0.09</v>
      </c>
      <c r="BG45" s="592">
        <f>0.01*'qtrP&amp;L'!$CJ$11</f>
        <v>0.03</v>
      </c>
      <c r="BH45" s="592">
        <f>0.01*'qtrP&amp;L'!$CJ$12</f>
        <v>0.01</v>
      </c>
      <c r="BI45" s="592">
        <f>0.01*'qtrP&amp;L'!$CJ$13</f>
        <v>0.02</v>
      </c>
      <c r="BJ45" s="592"/>
      <c r="BK45" s="592">
        <f>'qtrP&amp;L'!$CN$10/100</f>
        <v>0.02</v>
      </c>
      <c r="BL45" s="592">
        <f>0.01*'qtrP&amp;L'!$CN$11</f>
        <v>0.04</v>
      </c>
      <c r="BM45" s="592">
        <f>0.01*'qtrP&amp;L'!$CN$12</f>
        <v>0.03</v>
      </c>
      <c r="BN45" s="592">
        <f>0.01*'qtrP&amp;L'!$CN$13</f>
        <v>7.0000000000000007E-2</v>
      </c>
      <c r="BO45" s="593"/>
      <c r="BP45" s="592">
        <f>'qtrP&amp;L'!$CR$10/100</f>
        <v>0.08</v>
      </c>
      <c r="BQ45" s="592">
        <f>0.01*'qtrP&amp;L'!$CR$11</f>
        <v>7.0000000000000007E-2</v>
      </c>
      <c r="BR45" s="592">
        <f>0.01*'qtrP&amp;L'!$CR$12</f>
        <v>7.0000000000000007E-2</v>
      </c>
      <c r="BS45" s="592">
        <f>0.01*'qtrP&amp;L'!$CR$13</f>
        <v>0.04</v>
      </c>
      <c r="BT45" s="593"/>
      <c r="BU45" s="592">
        <f>'qtrP&amp;L'!$CV$10/100</f>
        <v>0.02</v>
      </c>
      <c r="BV45" s="592">
        <f>'qtrP&amp;L'!$CV$11/100</f>
        <v>0.04</v>
      </c>
      <c r="BW45" s="592">
        <f>'qtrP&amp;L'!$CV$12/100</f>
        <v>0.05</v>
      </c>
      <c r="BX45" s="592">
        <f>'qtrP&amp;L'!$CV$13/100</f>
        <v>0.03</v>
      </c>
      <c r="BY45" s="593"/>
      <c r="BZ45" s="592">
        <f>'qtrP&amp;L'!$CZ$10/100</f>
        <v>0.01</v>
      </c>
      <c r="CA45" s="592">
        <f>'qtrP&amp;L'!$CZ$11/100</f>
        <v>0.03</v>
      </c>
      <c r="CB45" s="592">
        <f>'qtrP&amp;L'!$CZ$12/100</f>
        <v>0.02</v>
      </c>
      <c r="CC45" s="592">
        <f>'qtrP&amp;L'!$CZ$13/100</f>
        <v>0.04</v>
      </c>
      <c r="CD45" s="593"/>
      <c r="CE45" s="592">
        <f>'qtrP&amp;L'!DD10/100</f>
        <v>0.05</v>
      </c>
      <c r="CF45" s="592">
        <f>'qtrP&amp;L'!DD11/100</f>
        <v>0.06</v>
      </c>
      <c r="CG45" s="592">
        <f>'qtrP&amp;L'!DD12/100</f>
        <v>0.05</v>
      </c>
      <c r="CH45" s="592">
        <f>'qtrP&amp;L'!DD13/100</f>
        <v>0.06</v>
      </c>
      <c r="CI45" s="593"/>
      <c r="CJ45" s="592">
        <f>'qtrP&amp;L'!DH10*0.01</f>
        <v>7.0000000000000007E-2</v>
      </c>
      <c r="CK45" s="592">
        <f>'qtrP&amp;L'!DH11*0.01</f>
        <v>0.04</v>
      </c>
      <c r="CL45" s="592">
        <f>'qtrP&amp;L'!DH12*0.01</f>
        <v>0.05</v>
      </c>
      <c r="CM45" s="592">
        <f>'qtrP&amp;L'!DH13*0.01</f>
        <v>0.03</v>
      </c>
      <c r="CN45" s="593"/>
      <c r="CO45" s="592">
        <f>'qtrP&amp;L'!DL10*0.01</f>
        <v>0.01</v>
      </c>
      <c r="CP45" s="592">
        <f>'qtrP&amp;L'!DL11*0.01</f>
        <v>0.03</v>
      </c>
      <c r="CQ45" s="592">
        <f>'qtrP&amp;L'!DL12*0.01</f>
        <v>0</v>
      </c>
      <c r="CR45" s="592">
        <f>'qtrP&amp;L'!DL13*0.01</f>
        <v>0.04</v>
      </c>
      <c r="CS45" s="593"/>
      <c r="CT45" s="592">
        <f>'qtrP&amp;L'!DP10*0.01</f>
        <v>2.4885815283259772E-2</v>
      </c>
      <c r="CU45" s="592">
        <f>'qtrP&amp;L'!DP11*0.01</f>
        <v>2.0367859640225663E-2</v>
      </c>
      <c r="CV45" s="592">
        <f>'qtrP&amp;L'!DP12*0.01</f>
        <v>2.3781622246252604E-2</v>
      </c>
      <c r="CW45" s="592">
        <f>'qtrP&amp;L'!DP13*0.01</f>
        <v>2.2109307790832606E-2</v>
      </c>
      <c r="CX45" s="593"/>
      <c r="CY45" s="593"/>
      <c r="CZ45" s="594">
        <f>yrSales!H41</f>
        <v>7.5263349084597891E-2</v>
      </c>
      <c r="DA45" s="594">
        <f>yrSales!I41</f>
        <v>6.2E-2</v>
      </c>
      <c r="DB45" s="594">
        <f>yrSales!J41</f>
        <v>4.6106199232570262E-2</v>
      </c>
      <c r="DC45" s="594">
        <f>yrSales!K41</f>
        <v>0.05</v>
      </c>
      <c r="DD45" s="594">
        <f>yrSales!L41</f>
        <v>0.02</v>
      </c>
      <c r="DE45" s="595">
        <f>yrSales!M41</f>
        <v>0.03</v>
      </c>
      <c r="DF45" s="596">
        <f>yrSales!N41</f>
        <v>0.03</v>
      </c>
      <c r="DG45" s="596">
        <f>yrSales!O41</f>
        <v>0.01</v>
      </c>
      <c r="DH45" s="596">
        <f>yrSales!P41</f>
        <v>0.05</v>
      </c>
      <c r="DI45" s="597">
        <f>yrSales!Q41</f>
        <v>0.02</v>
      </c>
      <c r="DJ45" s="597">
        <f>yrSales!R41</f>
        <v>0.03</v>
      </c>
      <c r="DK45" s="596">
        <f>yrSales!S41</f>
        <v>0.02</v>
      </c>
      <c r="DL45" s="597">
        <f>yrSales!T41</f>
        <v>0.01</v>
      </c>
      <c r="DM45" s="596">
        <f>yrSales!U41</f>
        <v>0.06</v>
      </c>
      <c r="DN45" s="597">
        <f>yrSales!V41</f>
        <v>0.04</v>
      </c>
      <c r="DO45" s="596">
        <f>yrSales!W41</f>
        <v>0.04</v>
      </c>
      <c r="DP45" s="597">
        <f>yrSales!X41</f>
        <v>7.0000000000000007E-2</v>
      </c>
      <c r="DQ45" s="597">
        <f>yrSales!Y41</f>
        <v>0.03</v>
      </c>
      <c r="DR45" s="597">
        <f>yrSales!Z41</f>
        <v>0.02</v>
      </c>
      <c r="DS45" s="597">
        <f>yrSales!AA41</f>
        <v>0.05</v>
      </c>
      <c r="DT45" s="597">
        <f>yrSales!AB41</f>
        <v>0.05</v>
      </c>
      <c r="DU45" s="597">
        <f>yrSales!AC41</f>
        <v>0.02</v>
      </c>
      <c r="DV45" s="597">
        <f>yrSales!AD41</f>
        <v>2.2735531853315217E-2</v>
      </c>
      <c r="DW45" s="597">
        <f>yrSales!AE41</f>
        <v>3.0016526963287389E-2</v>
      </c>
      <c r="DX45" s="597">
        <f>yrSales!AF41</f>
        <v>3.0273474077404442E-2</v>
      </c>
      <c r="DY45" s="597">
        <f>yrSales!AG41</f>
        <v>3.0403082409305095E-2</v>
      </c>
      <c r="DZ45" s="512"/>
      <c r="EA45" s="487"/>
      <c r="EG45" s="487"/>
    </row>
    <row r="46" spans="1:141">
      <c r="A46" s="554" t="s">
        <v>468</v>
      </c>
      <c r="B46" s="577"/>
      <c r="C46" s="578">
        <f>'qtrP&amp;L'!$AR31/100</f>
        <v>3.6156552770690631E-2</v>
      </c>
      <c r="D46" s="578">
        <f>'qtrP&amp;L'!$AR32/100</f>
        <v>8.9502591220181227E-2</v>
      </c>
      <c r="E46" s="578">
        <f>'qtrP&amp;L'!$AR33/100</f>
        <v>4.8950333456319051E-2</v>
      </c>
      <c r="F46" s="578">
        <f>'qtrP&amp;L'!$AR34/100</f>
        <v>4.1352799134031004E-2</v>
      </c>
      <c r="G46" s="573"/>
      <c r="H46" s="574">
        <f>((H14/C14)-1)</f>
        <v>8.7811739561472368E-2</v>
      </c>
      <c r="I46" s="574">
        <f>((I14/D14)-1)</f>
        <v>0.10285916588245625</v>
      </c>
      <c r="J46" s="574">
        <f>((J14/E14)-1)</f>
        <v>0.13994780074426783</v>
      </c>
      <c r="K46" s="574">
        <f>((K14/F14)-1)</f>
        <v>0.10594660291213231</v>
      </c>
      <c r="L46" s="574"/>
      <c r="M46" s="574">
        <f>((M14/H14)-1)</f>
        <v>0.12520527759448696</v>
      </c>
      <c r="N46" s="574">
        <f>((N14/I14)-1)</f>
        <v>0.11514675943963093</v>
      </c>
      <c r="O46" s="574">
        <f>((O14/J14)-1)</f>
        <v>0.11941680106620756</v>
      </c>
      <c r="P46" s="574">
        <f>((P14/K14)-1)</f>
        <v>0.12776817797314766</v>
      </c>
      <c r="Q46" s="574"/>
      <c r="R46" s="574">
        <f>((R14/M14)-1)</f>
        <v>0.13870371393032865</v>
      </c>
      <c r="S46" s="574">
        <f>((S14/N14)-1)</f>
        <v>0.15521525826563209</v>
      </c>
      <c r="T46" s="574">
        <f>((T14/O14)-1)</f>
        <v>0.17747573085395429</v>
      </c>
      <c r="U46" s="574">
        <f>((U14/P14)-1)</f>
        <v>0.12755713690418946</v>
      </c>
      <c r="V46" s="574"/>
      <c r="W46" s="574">
        <f>((W14/R14)-1)</f>
        <v>0.14540725207998473</v>
      </c>
      <c r="X46" s="574">
        <f>((X14/S14)-1)</f>
        <v>0.11579288136170773</v>
      </c>
      <c r="Y46" s="574">
        <f>((Y14/T14)-1)</f>
        <v>0.11462974656775682</v>
      </c>
      <c r="Z46" s="574">
        <f>((Z14/U14)-1)</f>
        <v>0.18084915517853517</v>
      </c>
      <c r="AA46" s="574"/>
      <c r="AB46" s="574">
        <f>((AB14/W14)-1)</f>
        <v>0.14546362451686523</v>
      </c>
      <c r="AC46" s="574">
        <f>((AC14/X14)-1)</f>
        <v>0.14286232381999486</v>
      </c>
      <c r="AD46" s="574">
        <f>((AD14/Y14)-1)</f>
        <v>0.13635021260874547</v>
      </c>
      <c r="AE46" s="574">
        <f>((AE14/Z14)-1)</f>
        <v>0.10230573220465744</v>
      </c>
      <c r="AF46" s="574"/>
      <c r="AG46" s="574">
        <f>((AG14/AB14)-1)</f>
        <v>0.12166007580469151</v>
      </c>
      <c r="AH46" s="574">
        <f>((AH14/AC14)-1)</f>
        <v>8.9190484700396366E-2</v>
      </c>
      <c r="AI46" s="574">
        <f>((AI14/AD14)-1)</f>
        <v>9.099874767616023E-2</v>
      </c>
      <c r="AJ46" s="574">
        <f>((AJ14/AE14)-1)</f>
        <v>6.5952353912412942E-2</v>
      </c>
      <c r="AK46" s="573"/>
      <c r="AL46" s="574">
        <f>((AL14/AG14)-1)</f>
        <v>7.3631021035865496E-2</v>
      </c>
      <c r="AM46" s="574">
        <f>((AM14/AH14)-1)</f>
        <v>6.3055188815949847E-2</v>
      </c>
      <c r="AN46" s="574">
        <f>((AN14/AI14)-1)</f>
        <v>7.6711732039216329E-2</v>
      </c>
      <c r="AO46" s="574">
        <f>((AO14/AJ14)-1)</f>
        <v>7.8773573952583664E-2</v>
      </c>
      <c r="AP46" s="574"/>
      <c r="AQ46" s="574">
        <f>((AQ14/AL14)-1)</f>
        <v>3.192353902415479E-2</v>
      </c>
      <c r="AR46" s="574">
        <f>((AR14/AM14)-1)</f>
        <v>7.7945775346765389E-2</v>
      </c>
      <c r="AS46" s="574">
        <f>((AS14/AN14)-1)</f>
        <v>2.0346454277660575E-2</v>
      </c>
      <c r="AT46" s="574">
        <f>((AT14/AO14)-1)</f>
        <v>4.9942895634491391E-2</v>
      </c>
      <c r="AU46" s="574"/>
      <c r="AV46" s="574">
        <f>((AV14/AQ14)-1)</f>
        <v>3.1697985997306111E-2</v>
      </c>
      <c r="AW46" s="574">
        <f>((AW14/AR14)-1)</f>
        <v>2.6274553359355801E-2</v>
      </c>
      <c r="AX46" s="574">
        <f>((AX14/AS14)-1)</f>
        <v>4.6772410808345377E-2</v>
      </c>
      <c r="AY46" s="574">
        <f>((AY14/AT14)-1)</f>
        <v>3.8686678902977167E-3</v>
      </c>
      <c r="AZ46" s="574"/>
      <c r="BA46" s="574">
        <f>((BA14/AV14)-1)</f>
        <v>9.1586054646850545E-3</v>
      </c>
      <c r="BB46" s="574">
        <f>((BB14/AW14)-1)</f>
        <v>3.1215120948814512E-2</v>
      </c>
      <c r="BC46" s="574">
        <f>((BC14/AX14)-1)</f>
        <v>6.9648058447723704E-2</v>
      </c>
      <c r="BD46" s="574">
        <f>((BD14/AY14)-1)</f>
        <v>0.12791404483718827</v>
      </c>
      <c r="BE46" s="574"/>
      <c r="BF46" s="574">
        <f>((BF14/BA14)-1)</f>
        <v>0.11741402367435461</v>
      </c>
      <c r="BG46" s="574">
        <f>((BG14/BB14)-1)</f>
        <v>7.95636736985319E-2</v>
      </c>
      <c r="BH46" s="574">
        <f>((BH14/BC14)-1)</f>
        <v>5.6372143405196473E-2</v>
      </c>
      <c r="BI46" s="574">
        <f>((BI14/BD14)-1)</f>
        <v>6.5682266959485869E-3</v>
      </c>
      <c r="BJ46" s="574"/>
      <c r="BK46" s="574">
        <f>((BK14/BF14)-1)</f>
        <v>8.6576824132569952E-2</v>
      </c>
      <c r="BL46" s="574">
        <f>((BL14/BG14)-1)</f>
        <v>8.1859824479006082E-2</v>
      </c>
      <c r="BM46" s="574">
        <f>((BM14/BH14)-1)</f>
        <v>4.5387419917441552E-2</v>
      </c>
      <c r="BN46" s="574">
        <f>((BN14/BI14)-1)</f>
        <v>0.11920459727790544</v>
      </c>
      <c r="BO46" s="573"/>
      <c r="BP46" s="574">
        <f>((BP14/BK14)-1)</f>
        <v>5.5634113710875566E-2</v>
      </c>
      <c r="BQ46" s="574">
        <f>((BQ14/BL14)-1)</f>
        <v>5.9349805617234352E-2</v>
      </c>
      <c r="BR46" s="574">
        <f>((BR14/BM14)-1)</f>
        <v>0.14256820625462385</v>
      </c>
      <c r="BS46" s="574">
        <f>((BS14/BN14)-1)</f>
        <v>0.17186186762518907</v>
      </c>
      <c r="BT46" s="573"/>
      <c r="BU46" s="574">
        <f>((BU14/BP14)-1)</f>
        <v>8.1499714475558482E-2</v>
      </c>
      <c r="BV46" s="574">
        <f>((BV14/BQ14)-1)</f>
        <v>9.7909687546626767E-2</v>
      </c>
      <c r="BW46" s="574">
        <f>((BW14/BR14)-1)</f>
        <v>6.2723222065483863E-2</v>
      </c>
      <c r="BX46" s="574">
        <f>((BX14/BS14)-1)</f>
        <v>-1.9630116076816528E-2</v>
      </c>
      <c r="BY46" s="573"/>
      <c r="BZ46" s="574">
        <f>((BZ14/BU14)-1)</f>
        <v>5.3136246710942636E-2</v>
      </c>
      <c r="CA46" s="574">
        <f>((CA14/BV14)-1)</f>
        <v>4.5087124878993246E-2</v>
      </c>
      <c r="CB46" s="574">
        <f>((CB14/BW14)-1)</f>
        <v>2.9886904618061649E-2</v>
      </c>
      <c r="CC46" s="574">
        <f>((CC14/BX14)-1)</f>
        <v>7.4956879242128016E-2</v>
      </c>
      <c r="CD46" s="573"/>
      <c r="CE46" s="574">
        <f>((CE14/BZ14)-1)</f>
        <v>8.9098364475094227E-2</v>
      </c>
      <c r="CF46" s="574">
        <f>((CF14/CA14)-1)</f>
        <v>0.11113703932637309</v>
      </c>
      <c r="CG46" s="574">
        <f>((CG14/CB14)-1)</f>
        <v>8.3050573327511978E-2</v>
      </c>
      <c r="CH46" s="574">
        <f>((CH14/CC14)-1)</f>
        <v>0.14609436422081346</v>
      </c>
      <c r="CI46" s="573"/>
      <c r="CJ46" s="574">
        <f>((CJ14/CE14)-1)</f>
        <v>0.14237967170863652</v>
      </c>
      <c r="CK46" s="574">
        <f>((CK14/CF14)-1)</f>
        <v>0.1167980454302795</v>
      </c>
      <c r="CL46" s="574">
        <f>((CL14/CG14)-1)</f>
        <v>0.13167198106470046</v>
      </c>
      <c r="CM46" s="574">
        <f>((CM14/CH14)-1)</f>
        <v>5.3753910009825656E-2</v>
      </c>
      <c r="CN46" s="573"/>
      <c r="CO46" s="574">
        <f>((CO14/CJ14)-1)</f>
        <v>5.7340923560915469E-2</v>
      </c>
      <c r="CP46" s="574">
        <f>((CP14/CK14)-1)</f>
        <v>6.4884356553894129E-2</v>
      </c>
      <c r="CQ46" s="574">
        <f>((CQ14/CL14)-1)</f>
        <v>8.3171860022125399E-2</v>
      </c>
      <c r="CR46" s="574">
        <f>((CR14/CM14)-1)</f>
        <v>0.20157645022962178</v>
      </c>
      <c r="CS46" s="573"/>
      <c r="CT46" s="574">
        <f>((CT14/CO14)-1)</f>
        <v>0.10000000000000009</v>
      </c>
      <c r="CU46" s="574">
        <f>((CU14/CP14)-1)</f>
        <v>6.4999999999999947E-2</v>
      </c>
      <c r="CV46" s="574">
        <f>((CV14/CQ14)-1)</f>
        <v>6.4999999999999947E-2</v>
      </c>
      <c r="CW46" s="574">
        <f>((CW14/CR14)-1)</f>
        <v>2.0000000000000018E-2</v>
      </c>
      <c r="CX46" s="573"/>
      <c r="CY46" s="573"/>
      <c r="CZ46" s="599">
        <f>CZ14/'yrP&amp;L'!G19-1</f>
        <v>0.54230956934269292</v>
      </c>
      <c r="DA46" s="575">
        <f t="shared" ref="DA46:DY46" si="39">((DA14/CZ14)-1)</f>
        <v>9.0713497930803744E-2</v>
      </c>
      <c r="DB46" s="575">
        <f t="shared" si="39"/>
        <v>8.4530952852823527E-2</v>
      </c>
      <c r="DC46" s="575">
        <f t="shared" si="39"/>
        <v>5.3404075310189647E-2</v>
      </c>
      <c r="DD46" s="575">
        <f t="shared" si="39"/>
        <v>0.10952597136561448</v>
      </c>
      <c r="DE46" s="576">
        <f t="shared" si="39"/>
        <v>0.12198842875353599</v>
      </c>
      <c r="DF46" s="576">
        <f t="shared" si="39"/>
        <v>0.14951591833201028</v>
      </c>
      <c r="DG46" s="576">
        <f t="shared" si="39"/>
        <v>0.13981050599655087</v>
      </c>
      <c r="DH46" s="576">
        <f t="shared" si="39"/>
        <v>0.13033979344888569</v>
      </c>
      <c r="DI46" s="575">
        <f t="shared" si="39"/>
        <v>9.0652257531176783E-2</v>
      </c>
      <c r="DJ46" s="575">
        <f t="shared" si="39"/>
        <v>7.3275672183145346E-2</v>
      </c>
      <c r="DK46" s="576">
        <f t="shared" si="39"/>
        <v>5.1174253307611162E-2</v>
      </c>
      <c r="DL46" s="575">
        <f t="shared" si="39"/>
        <v>2.0310617274469811E-2</v>
      </c>
      <c r="DM46" s="576">
        <f t="shared" si="39"/>
        <v>6.1664650564853929E-2</v>
      </c>
      <c r="DN46" s="575">
        <f t="shared" si="39"/>
        <v>6.1313437534545656E-2</v>
      </c>
      <c r="DO46" s="576">
        <f t="shared" si="39"/>
        <v>8.352294743384836E-2</v>
      </c>
      <c r="DP46" s="575">
        <f t="shared" si="39"/>
        <v>0.11031507696680176</v>
      </c>
      <c r="DQ46" s="575">
        <f t="shared" si="39"/>
        <v>5.0969474732769138E-2</v>
      </c>
      <c r="DR46" s="575">
        <f t="shared" si="39"/>
        <v>5.1105988709873484E-2</v>
      </c>
      <c r="DS46" s="575">
        <f t="shared" si="39"/>
        <v>0.1086878091333956</v>
      </c>
      <c r="DT46" s="575">
        <f t="shared" si="39"/>
        <v>0.10810272940412613</v>
      </c>
      <c r="DU46" s="575">
        <f t="shared" si="39"/>
        <v>0.10515861493183554</v>
      </c>
      <c r="DV46" s="575">
        <f t="shared" si="39"/>
        <v>5.936932702396569E-2</v>
      </c>
      <c r="DW46" s="575">
        <f t="shared" si="39"/>
        <v>6.3483188517057032E-2</v>
      </c>
      <c r="DX46" s="575">
        <f t="shared" si="39"/>
        <v>6.3007101816198396E-2</v>
      </c>
      <c r="DY46" s="575">
        <f t="shared" si="39"/>
        <v>6.1213397042650275E-2</v>
      </c>
      <c r="DZ46" s="512"/>
      <c r="EA46" s="487"/>
      <c r="EG46" s="487"/>
      <c r="EJ46" s="1193"/>
      <c r="EK46" s="1193"/>
    </row>
    <row r="47" spans="1:141">
      <c r="A47" s="554" t="s">
        <v>469</v>
      </c>
      <c r="B47" s="577"/>
      <c r="C47" s="578">
        <f>'qtrP&amp;L'!$AR61/100</f>
        <v>0.46871712448860281</v>
      </c>
      <c r="D47" s="600">
        <f>'qtrP&amp;L'!$AR62/100</f>
        <v>0.29987357072398324</v>
      </c>
      <c r="E47" s="578">
        <f>'qtrP&amp;L'!$AR63/100</f>
        <v>0.16662474614797085</v>
      </c>
      <c r="F47" s="578">
        <f>'qtrP&amp;L'!$AR64/100</f>
        <v>6.1930062192376623E-2</v>
      </c>
      <c r="G47" s="573"/>
      <c r="H47" s="574">
        <f>((H17/C17)-1)</f>
        <v>7.5015668679552228E-2</v>
      </c>
      <c r="I47" s="574">
        <f>((I17/D17)-1)</f>
        <v>2.2872778187492226E-2</v>
      </c>
      <c r="J47" s="574">
        <f>((J17/E17)-1)</f>
        <v>6.9997804084402704E-2</v>
      </c>
      <c r="K47" s="574">
        <f>((K17/F17)-1)</f>
        <v>-4.638973847667216E-2</v>
      </c>
      <c r="L47" s="574"/>
      <c r="M47" s="574">
        <f>((M17/H17)-1)</f>
        <v>-5.603857134264012E-2</v>
      </c>
      <c r="N47" s="574">
        <f>((N17/I17)-1)</f>
        <v>-2.5736408188002713E-2</v>
      </c>
      <c r="O47" s="574">
        <f>((O17/J17)-1)</f>
        <v>-6.6959704772815876E-2</v>
      </c>
      <c r="P47" s="574">
        <f>((P17/K17)-1)</f>
        <v>0.22052202253117836</v>
      </c>
      <c r="Q47" s="574"/>
      <c r="R47" s="574">
        <f>((R17/M17)-1)</f>
        <v>0.19525214697462823</v>
      </c>
      <c r="S47" s="574">
        <f>((S17/N17)-1)</f>
        <v>0.16275016624123317</v>
      </c>
      <c r="T47" s="574" t="s">
        <v>145</v>
      </c>
      <c r="U47" s="574">
        <f>((U17/P17)-1)</f>
        <v>-1.232100204127895E-2</v>
      </c>
      <c r="V47" s="574"/>
      <c r="W47" s="574">
        <f>((W17/R17)-1)</f>
        <v>-0.29236264615056573</v>
      </c>
      <c r="X47" s="574">
        <f>((X17/S17)-1)</f>
        <v>-0.12975441023867174</v>
      </c>
      <c r="Y47" s="574">
        <f>((Y17/T17)-1)</f>
        <v>0.15856909276066844</v>
      </c>
      <c r="Z47" s="574">
        <f>((Z17/U17)-1)</f>
        <v>0.43457911063533605</v>
      </c>
      <c r="AA47" s="574"/>
      <c r="AB47" s="574">
        <f>((AB17/W17)-1)</f>
        <v>0.50064618576536901</v>
      </c>
      <c r="AC47" s="574">
        <f>((AC17/X17)-1)</f>
        <v>-4.9536013906333554E-2</v>
      </c>
      <c r="AD47" s="574">
        <f>((AD17/Y17)-1)</f>
        <v>7.6615444956505963E-2</v>
      </c>
      <c r="AE47" s="574">
        <f>((AE17/Z17)-1)</f>
        <v>-0.26743502037081235</v>
      </c>
      <c r="AF47" s="574"/>
      <c r="AG47" s="574">
        <f>((AG17/AB17)-1)</f>
        <v>-0.12791479041314846</v>
      </c>
      <c r="AH47" s="574">
        <f>((AH17/AC17)-1)</f>
        <v>4.7495316263716836E-2</v>
      </c>
      <c r="AI47" s="574">
        <f>((AI17/AD17)-1)</f>
        <v>-0.13010597396514489</v>
      </c>
      <c r="AJ47" s="574">
        <f>((AJ17/AE17)-1)</f>
        <v>0.33032209136331048</v>
      </c>
      <c r="AK47" s="573"/>
      <c r="AL47" s="574">
        <f>((AL17/AG17)-1)</f>
        <v>0.17016066177772826</v>
      </c>
      <c r="AM47" s="574">
        <f>((AM17/AH17)-1)</f>
        <v>0.25662454354792419</v>
      </c>
      <c r="AN47" s="574">
        <f>((AN17/AI17)-1)</f>
        <v>0.4302914726943019</v>
      </c>
      <c r="AO47" s="574">
        <f>((AO17/AJ17)-1)</f>
        <v>7.462707421628334E-2</v>
      </c>
      <c r="AP47" s="574"/>
      <c r="AQ47" s="574">
        <f>((AQ17/AL17)-1)</f>
        <v>9.0421244242946841E-2</v>
      </c>
      <c r="AR47" s="574">
        <f>((AR17/AM17)-1)</f>
        <v>0.22865058117862058</v>
      </c>
      <c r="AS47" s="574">
        <f>((AS17/AN17)-1)</f>
        <v>6.2387911427151499E-2</v>
      </c>
      <c r="AT47" s="574">
        <f>((AT17/AO17)-1)</f>
        <v>0.27383103931598041</v>
      </c>
      <c r="AU47" s="574"/>
      <c r="AV47" s="574">
        <f>((AV17/AQ17)-1)</f>
        <v>3.5025370140281842E-2</v>
      </c>
      <c r="AW47" s="574">
        <f>((AW17/AR17)-1)</f>
        <v>0.17226685054301205</v>
      </c>
      <c r="AX47" s="574">
        <f>((AX17/AS17)-1)</f>
        <v>2.5427315723939303E-2</v>
      </c>
      <c r="AY47" s="574">
        <f>((AY17/AT17)-1)</f>
        <v>-0.22470210450890504</v>
      </c>
      <c r="AZ47" s="574"/>
      <c r="BA47" s="574">
        <f>((BA17/AV17)-1)</f>
        <v>0.15959373092889284</v>
      </c>
      <c r="BB47" s="574">
        <f>((BB17/AW17)-1)</f>
        <v>0.24214742835631231</v>
      </c>
      <c r="BC47" s="574">
        <f>((BC17/AX17)-1)</f>
        <v>0.38867357639780442</v>
      </c>
      <c r="BD47" s="574">
        <f>((BD17/AY17)-1)</f>
        <v>0.69631525454076582</v>
      </c>
      <c r="BE47" s="574"/>
      <c r="BF47" s="574">
        <f>((BF17/BA17)-1)</f>
        <v>0.58030599645481251</v>
      </c>
      <c r="BG47" s="574">
        <f>((BG17/BB17)-1)</f>
        <v>0.17217710429738298</v>
      </c>
      <c r="BH47" s="574">
        <f>((BH17/BC17)-1)</f>
        <v>4.8326334525722547E-2</v>
      </c>
      <c r="BI47" s="574">
        <f>((BI17/BD17)-1)</f>
        <v>6.2244850441612209E-2</v>
      </c>
      <c r="BJ47" s="574"/>
      <c r="BK47" s="574">
        <f>((BK17/BF17)-1)</f>
        <v>-7.1672067673919426E-2</v>
      </c>
      <c r="BL47" s="574">
        <f>((BL17/BG17)-1)</f>
        <v>0.14841769531116</v>
      </c>
      <c r="BM47" s="574">
        <f>((BM17/BH17)-1)</f>
        <v>0.10824960643549986</v>
      </c>
      <c r="BN47" s="574">
        <f>((BN17/BI17)-1)</f>
        <v>0.1217541244721112</v>
      </c>
      <c r="BO47" s="573"/>
      <c r="BP47" s="574">
        <f>((BP17/BK17)-1)</f>
        <v>0.36050806766351218</v>
      </c>
      <c r="BQ47" s="574">
        <f>((BQ17/BL17)-1)</f>
        <v>0.21709061360030546</v>
      </c>
      <c r="BR47" s="574">
        <f>((BR17/BM17)-1)</f>
        <v>0.12234810792157735</v>
      </c>
      <c r="BS47" s="574">
        <f>((BS17/BN17)-1)</f>
        <v>0.26328925942812531</v>
      </c>
      <c r="BT47" s="573"/>
      <c r="BU47" s="574">
        <f>((BU17/BP17)-1)</f>
        <v>6.7998875740330478E-2</v>
      </c>
      <c r="BV47" s="574">
        <f>((BV17/BQ17)-1)</f>
        <v>0.12918586301179902</v>
      </c>
      <c r="BW47" s="574">
        <f>((BW17/BR17)-1)</f>
        <v>0.17783258543412295</v>
      </c>
      <c r="BX47" s="574">
        <f>((BX17/BS17)-1)</f>
        <v>-2.729426953361902E-2</v>
      </c>
      <c r="BY47" s="573"/>
      <c r="BZ47" s="574">
        <f>((BZ17/BU17)-1)</f>
        <v>4.0140158200250298E-3</v>
      </c>
      <c r="CA47" s="574">
        <f>((CA17/BV17)-1)</f>
        <v>9.884369020880146E-2</v>
      </c>
      <c r="CB47" s="574">
        <f>((CB17/BW17)-1)</f>
        <v>9.0461471989089937E-2</v>
      </c>
      <c r="CC47" s="574">
        <f>((CC17/BX17)-1)</f>
        <v>0.1010733651720821</v>
      </c>
      <c r="CD47" s="573"/>
      <c r="CE47" s="574">
        <f>((CE17/BZ17)-1)</f>
        <v>4.9468603994454075E-2</v>
      </c>
      <c r="CF47" s="574">
        <f>((CF17/CA17)-1)</f>
        <v>4.4728732188986431E-2</v>
      </c>
      <c r="CG47" s="574">
        <f>((CG17/CB17)-1)</f>
        <v>-1.5420888622903139E-2</v>
      </c>
      <c r="CH47" s="574">
        <f>((CH17/CC17)-1)</f>
        <v>3.6708686480456221E-2</v>
      </c>
      <c r="CI47" s="573"/>
      <c r="CJ47" s="574">
        <f>((CJ17/CE17)-1)</f>
        <v>7.5217029143637593E-2</v>
      </c>
      <c r="CK47" s="574">
        <f>((CK17/CF17)-1)</f>
        <v>3.215377446204104E-2</v>
      </c>
      <c r="CL47" s="574">
        <f>((CL17/CG17)-1)</f>
        <v>3.2536326432229146E-2</v>
      </c>
      <c r="CM47" s="574">
        <f>((CM17/CH17)-1)</f>
        <v>2.4620994015401632E-2</v>
      </c>
      <c r="CN47" s="573"/>
      <c r="CO47" s="574">
        <f>((CO17/CJ17)-1)</f>
        <v>8.6043083805202869E-3</v>
      </c>
      <c r="CP47" s="574">
        <f>((CP17/CK17)-1)</f>
        <v>-2.6426698234258694E-2</v>
      </c>
      <c r="CQ47" s="574">
        <f>((CQ17/CL17)-1)</f>
        <v>4.338024909641236E-2</v>
      </c>
      <c r="CR47" s="574">
        <f>((CR17/CM17)-1)</f>
        <v>0.1019183793705094</v>
      </c>
      <c r="CS47" s="573"/>
      <c r="CT47" s="574">
        <f>((CT17/CO17)-1)</f>
        <v>4.1268013481347232E-2</v>
      </c>
      <c r="CU47" s="574">
        <f>((CU17/CP17)-1)</f>
        <v>4.9161795314280665E-2</v>
      </c>
      <c r="CV47" s="574">
        <f>((CV17/CQ17)-1)</f>
        <v>4.7781151673428335E-2</v>
      </c>
      <c r="CW47" s="574">
        <f>((CW17/CR17)-1)</f>
        <v>-4.3985978338746401E-3</v>
      </c>
      <c r="CX47" s="573"/>
      <c r="CY47" s="573"/>
      <c r="CZ47" s="599">
        <f>CZ17/'yrP&amp;L'!G28-1</f>
        <v>2.1775369737443091</v>
      </c>
      <c r="DA47" s="575">
        <f t="shared" ref="DA47:DY47" si="40">((DA17/CZ17)-1)</f>
        <v>0.30554164911150106</v>
      </c>
      <c r="DB47" s="575">
        <f t="shared" si="40"/>
        <v>0.33871325979122058</v>
      </c>
      <c r="DC47" s="575">
        <f t="shared" si="40"/>
        <v>0.2213335829086287</v>
      </c>
      <c r="DD47" s="575">
        <f t="shared" si="40"/>
        <v>3.0842395405917378E-2</v>
      </c>
      <c r="DE47" s="576">
        <f t="shared" si="40"/>
        <v>1.3336772368180538E-2</v>
      </c>
      <c r="DF47" s="576">
        <f t="shared" si="40"/>
        <v>7.0480066956618792E-2</v>
      </c>
      <c r="DG47" s="576">
        <f t="shared" si="40"/>
        <v>5.2843067728382653E-2</v>
      </c>
      <c r="DH47" s="576">
        <f t="shared" si="40"/>
        <v>7.0809376818292691E-4</v>
      </c>
      <c r="DI47" s="575">
        <f t="shared" si="40"/>
        <v>2.3899486354696187E-2</v>
      </c>
      <c r="DJ47" s="575">
        <f t="shared" si="40"/>
        <v>0.21984986895536651</v>
      </c>
      <c r="DK47" s="576">
        <f t="shared" si="40"/>
        <v>0.14844631497884575</v>
      </c>
      <c r="DL47" s="575">
        <f t="shared" si="40"/>
        <v>-1.4276772899692425E-2</v>
      </c>
      <c r="DM47" s="576">
        <f t="shared" si="40"/>
        <v>0.38776606904012345</v>
      </c>
      <c r="DN47" s="575">
        <f t="shared" si="40"/>
        <v>0.17149865574858802</v>
      </c>
      <c r="DO47" s="576">
        <f t="shared" si="40"/>
        <v>7.858224756992338E-2</v>
      </c>
      <c r="DP47" s="575">
        <f t="shared" si="40"/>
        <v>0.2347902265372932</v>
      </c>
      <c r="DQ47" s="575">
        <f t="shared" si="40"/>
        <v>7.85584926699463E-2</v>
      </c>
      <c r="DR47" s="575">
        <f t="shared" si="40"/>
        <v>7.6384316698352439E-2</v>
      </c>
      <c r="DS47" s="575">
        <f t="shared" si="40"/>
        <v>2.7228330173761028E-2</v>
      </c>
      <c r="DT47" s="575">
        <f t="shared" si="40"/>
        <v>3.9091694334226101E-2</v>
      </c>
      <c r="DU47" s="575">
        <f t="shared" si="40"/>
        <v>3.5823399418576596E-2</v>
      </c>
      <c r="DV47" s="575">
        <f t="shared" si="40"/>
        <v>3.0808355711527957E-2</v>
      </c>
      <c r="DW47" s="575">
        <f t="shared" si="40"/>
        <v>8.4762737038717617E-2</v>
      </c>
      <c r="DX47" s="575">
        <f t="shared" si="40"/>
        <v>8.2855395087959582E-2</v>
      </c>
      <c r="DY47" s="575">
        <f t="shared" si="40"/>
        <v>7.0907046936178331E-2</v>
      </c>
      <c r="DZ47" s="512"/>
      <c r="EA47" s="487"/>
      <c r="EG47" s="487"/>
      <c r="EJ47" s="1193"/>
      <c r="EK47" s="1193"/>
    </row>
    <row r="48" spans="1:141">
      <c r="A48" s="554" t="s">
        <v>470</v>
      </c>
      <c r="B48" s="555"/>
      <c r="C48" s="575">
        <f>'qtrP&amp;L'!$AQ177/100</f>
        <v>0.55188974055435081</v>
      </c>
      <c r="D48" s="601">
        <f>'qtrP&amp;L'!$AQ178/100</f>
        <v>0.42087132582464171</v>
      </c>
      <c r="E48" s="575">
        <f>'qtrP&amp;L'!$AQ179/100</f>
        <v>0.23993262664357418</v>
      </c>
      <c r="F48" s="575">
        <f>'qtrP&amp;L'!$AQ180/100</f>
        <v>7.1369201864849963E-2</v>
      </c>
      <c r="G48" s="583"/>
      <c r="H48" s="602">
        <f>((H27/C27)-1)</f>
        <v>0.15780421560249325</v>
      </c>
      <c r="I48" s="602">
        <f>((I27/D27)-1)</f>
        <v>7.7477018825511834E-2</v>
      </c>
      <c r="J48" s="602">
        <f>((J27/E27)-1)</f>
        <v>0.16629299255316599</v>
      </c>
      <c r="K48" s="602">
        <f>((K27/F27)-1)</f>
        <v>7.7091427233764387E-2</v>
      </c>
      <c r="L48" s="602"/>
      <c r="M48" s="602">
        <f>((M27/H27)-1)</f>
        <v>7.2344985697005981E-3</v>
      </c>
      <c r="N48" s="602">
        <f>((N27/I27)-1)</f>
        <v>2.8930369988875215E-2</v>
      </c>
      <c r="O48" s="602">
        <f>((O27/J27)-1)</f>
        <v>-3.1998948602109389E-2</v>
      </c>
      <c r="P48" s="602">
        <f>((P27/K27)-1)</f>
        <v>0.17908211474515734</v>
      </c>
      <c r="Q48" s="602"/>
      <c r="R48" s="602">
        <f>((R27/M27)-1)</f>
        <v>0.18996556215767257</v>
      </c>
      <c r="S48" s="602">
        <f>((S27/N27)-1)</f>
        <v>0.15657081464572364</v>
      </c>
      <c r="T48" s="602">
        <f>((T27/O27)-1)</f>
        <v>-9.0857162518177548E-3</v>
      </c>
      <c r="U48" s="602">
        <f>((U27/P27)-1)</f>
        <v>1.4916725123819141E-3</v>
      </c>
      <c r="V48" s="602"/>
      <c r="W48" s="602">
        <f>((W27/R27)-1)</f>
        <v>-0.27403350278215155</v>
      </c>
      <c r="X48" s="602">
        <f>((X27/S27)-1)</f>
        <v>-9.4764390884814587E-2</v>
      </c>
      <c r="Y48" s="602">
        <f>((Y27/T27)-1)</f>
        <v>0.19881871278666208</v>
      </c>
      <c r="Z48" s="602">
        <f>((Z27/U27)-1)</f>
        <v>0.52934775185630323</v>
      </c>
      <c r="AA48" s="602"/>
      <c r="AB48" s="602">
        <f>((AB27/W27)-1)</f>
        <v>0.56875561149589182</v>
      </c>
      <c r="AC48" s="602">
        <f>((AC27/X27)-1)</f>
        <v>-2.7301689270895713E-2</v>
      </c>
      <c r="AD48" s="602">
        <f>((AD27/Y27)-1)</f>
        <v>0.13126538888798023</v>
      </c>
      <c r="AE48" s="602">
        <f>((AE27/Z27)-1)</f>
        <v>-0.24611318229240475</v>
      </c>
      <c r="AF48" s="602"/>
      <c r="AG48" s="602">
        <f>((AG27/AB27)-1)</f>
        <v>-7.4157586603757708E-2</v>
      </c>
      <c r="AH48" s="602">
        <f>((AH27/AC27)-1)</f>
        <v>0.11271633060548436</v>
      </c>
      <c r="AI48" s="602">
        <f>((AI27/AD27)-1)</f>
        <v>-0.11610113555104729</v>
      </c>
      <c r="AJ48" s="602">
        <f>((AJ27/AE27)-1)</f>
        <v>0.83302870896716796</v>
      </c>
      <c r="AK48" s="583"/>
      <c r="AL48" s="602">
        <f>((AL27/AG27)-1)</f>
        <v>0.23722793638186657</v>
      </c>
      <c r="AM48" s="602">
        <f>((AM27/AH27)-1)</f>
        <v>0.29057302959391951</v>
      </c>
      <c r="AN48" s="602">
        <f>((AN27/AI27)-1)</f>
        <v>0.50431533441932763</v>
      </c>
      <c r="AO48" s="602">
        <f>((AO27/AJ27)-1)</f>
        <v>-0.14494900947209877</v>
      </c>
      <c r="AP48" s="602"/>
      <c r="AQ48" s="602">
        <f>((AQ27/AL27)-1)</f>
        <v>0.11107043370788783</v>
      </c>
      <c r="AR48" s="602">
        <f>((AR27/AM27)-1)</f>
        <v>0.29951383421922984</v>
      </c>
      <c r="AS48" s="602">
        <f>((AS27/AN27)-1)</f>
        <v>0.12322695759218094</v>
      </c>
      <c r="AT48" s="602">
        <f>((AT27/AO27)-1)</f>
        <v>0.26372181723572963</v>
      </c>
      <c r="AU48" s="602"/>
      <c r="AV48" s="602">
        <f>((AV27/AQ27)-1)</f>
        <v>0.16991286226532587</v>
      </c>
      <c r="AW48" s="602">
        <f>((AW27/AR27)-1)</f>
        <v>0.25687636297089322</v>
      </c>
      <c r="AX48" s="602">
        <f>((AX27/AS27)-1)</f>
        <v>4.7898423079512975E-2</v>
      </c>
      <c r="AY48" s="602">
        <f>((AY27/AT27)-1)</f>
        <v>-0.14494139140113038</v>
      </c>
      <c r="AZ48" s="602"/>
      <c r="BA48" s="602">
        <f>((BA27/AV27)-1)</f>
        <v>0.10047260251685119</v>
      </c>
      <c r="BB48" s="602">
        <f>((BB27/AW27)-1)</f>
        <v>0.26905352032706831</v>
      </c>
      <c r="BC48" s="602">
        <f>((BC27/AX27)-1)</f>
        <v>0.42671834814939436</v>
      </c>
      <c r="BD48" s="602">
        <f>((BD27/AY27)-1)</f>
        <v>0.70821121928594777</v>
      </c>
      <c r="BE48" s="602"/>
      <c r="BF48" s="602">
        <f>((BF27/BA27)-1)</f>
        <v>0.64330807697234182</v>
      </c>
      <c r="BG48" s="602">
        <f>((BG27/BB27)-1)</f>
        <v>0.19688676826352625</v>
      </c>
      <c r="BH48" s="602">
        <f>((BH27/BC27)-1)</f>
        <v>0.13700969446744127</v>
      </c>
      <c r="BI48" s="602">
        <f>((BI27/BD27)-1)</f>
        <v>0.11737438261936628</v>
      </c>
      <c r="BJ48" s="602"/>
      <c r="BK48" s="602">
        <f>((BK27/BF27)-1)</f>
        <v>-2.0948463272672524E-2</v>
      </c>
      <c r="BL48" s="602">
        <f>((BL27/BG27)-1)</f>
        <v>0.23563089543617388</v>
      </c>
      <c r="BM48" s="602">
        <f>((BM27/BH27)-1)</f>
        <v>0.14884918671293157</v>
      </c>
      <c r="BN48" s="602">
        <f>((BN27/BI27)-1)</f>
        <v>0.18358418826127276</v>
      </c>
      <c r="BO48" s="583"/>
      <c r="BP48" s="602">
        <f>((BP27/BK27)-1)</f>
        <v>0.41624183111812307</v>
      </c>
      <c r="BQ48" s="602">
        <f>((BQ27/BL27)-1)</f>
        <v>0.24749114987855325</v>
      </c>
      <c r="BR48" s="602">
        <f>((BR27/BM27)-1)</f>
        <v>0.16638859760561564</v>
      </c>
      <c r="BS48" s="602">
        <f>((BS27/BN27)-1)</f>
        <v>0.31546621724543988</v>
      </c>
      <c r="BT48" s="583"/>
      <c r="BU48" s="602">
        <f>((BU27/BP27)-1)</f>
        <v>0.11496749716471233</v>
      </c>
      <c r="BV48" s="602">
        <f>((BV27/BQ27)-1)</f>
        <v>0.17424014158657664</v>
      </c>
      <c r="BW48" s="602">
        <f>((BW27/BR27)-1)</f>
        <v>0.213853764119873</v>
      </c>
      <c r="BX48" s="602">
        <f>((BX27/BS27)-1)</f>
        <v>-1.2638815306774798E-2</v>
      </c>
      <c r="BY48" s="583"/>
      <c r="BZ48" s="602">
        <f>((BZ27/BU27)-1)</f>
        <v>3.0805341538528541E-2</v>
      </c>
      <c r="CA48" s="602">
        <f>((CA27/BV27)-1)</f>
        <v>0.13777886993217825</v>
      </c>
      <c r="CB48" s="602">
        <f>((CB27/BW27)-1)</f>
        <v>0.12970855637672329</v>
      </c>
      <c r="CC48" s="602">
        <f>((CC27/BX27)-1)</f>
        <v>0.15093278644941654</v>
      </c>
      <c r="CD48" s="583"/>
      <c r="CE48" s="602">
        <f>((CE27/BZ27)-1)</f>
        <v>7.743727120209476E-2</v>
      </c>
      <c r="CF48" s="602">
        <f>((CF27/CA27)-1)</f>
        <v>7.0363417446682952E-2</v>
      </c>
      <c r="CG48" s="602">
        <f>((CG27/CB27)-1)</f>
        <v>1.6284694709559622E-2</v>
      </c>
      <c r="CH48" s="602">
        <f>((CH27/CC27)-1)</f>
        <v>6.0517699855961338E-2</v>
      </c>
      <c r="CI48" s="573"/>
      <c r="CJ48" s="602">
        <f>((CJ27/CE27)-1)</f>
        <v>0.10436346125028684</v>
      </c>
      <c r="CK48" s="602">
        <f>((CK27/CF27)-1)</f>
        <v>5.2104652373757165E-2</v>
      </c>
      <c r="CL48" s="602">
        <f>((CL27/CG27)-1)</f>
        <v>5.4804587405209437E-2</v>
      </c>
      <c r="CM48" s="602">
        <f>((CM27/CH27)-1)</f>
        <v>4.3951646415205436E-2</v>
      </c>
      <c r="CN48" s="573"/>
      <c r="CO48" s="602">
        <f>((CO27/CJ27)-1)</f>
        <v>8.0064283228571176E-2</v>
      </c>
      <c r="CP48" s="602">
        <f>((CP27/CK27)-1)</f>
        <v>1.135217516247522E-2</v>
      </c>
      <c r="CQ48" s="602">
        <f>((CQ27/CL27)-1)</f>
        <v>9.6657169053548264E-2</v>
      </c>
      <c r="CR48" s="602">
        <f>((CR27/CM27)-1)</f>
        <v>0.33253372206387932</v>
      </c>
      <c r="CS48" s="573"/>
      <c r="CT48" s="602">
        <f>((CT27/CO27)-1)</f>
        <v>0.24797723787824122</v>
      </c>
      <c r="CU48" s="602">
        <f>((CU27/CP27)-1)</f>
        <v>0.29537778598084419</v>
      </c>
      <c r="CV48" s="602">
        <f>((CV27/CQ27)-1)</f>
        <v>0.27299652212146541</v>
      </c>
      <c r="CW48" s="602">
        <f>((CW27/CR27)-1)</f>
        <v>4.9244239964636449E-2</v>
      </c>
      <c r="CX48" s="573"/>
      <c r="CY48" s="573"/>
      <c r="CZ48" s="599">
        <f>CZ27/'yrP&amp;L'!G50-1</f>
        <v>2.4371367001359774</v>
      </c>
      <c r="DA48" s="575">
        <f t="shared" ref="DA48:DY48" si="41">((DA27/CZ27)-1)</f>
        <v>0.43809545721552223</v>
      </c>
      <c r="DB48" s="575">
        <f t="shared" si="41"/>
        <v>0.47511936461654947</v>
      </c>
      <c r="DC48" s="575">
        <f t="shared" si="41"/>
        <v>0.28150766552080153</v>
      </c>
      <c r="DD48" s="575">
        <f t="shared" si="41"/>
        <v>0.12233016788293072</v>
      </c>
      <c r="DE48" s="576">
        <f t="shared" si="41"/>
        <v>4.4276678837039229E-2</v>
      </c>
      <c r="DF48" s="576">
        <f t="shared" si="41"/>
        <v>7.7328393418507391E-2</v>
      </c>
      <c r="DG48" s="576">
        <f t="shared" si="41"/>
        <v>0.10412859265683339</v>
      </c>
      <c r="DH48" s="576">
        <f t="shared" si="41"/>
        <v>5.0513275094907995E-2</v>
      </c>
      <c r="DI48" s="575">
        <f t="shared" si="41"/>
        <v>0.16554161118367627</v>
      </c>
      <c r="DJ48" s="575">
        <f t="shared" si="41"/>
        <v>0.155326180223748</v>
      </c>
      <c r="DK48" s="576">
        <f t="shared" si="41"/>
        <v>0.1834746877434974</v>
      </c>
      <c r="DL48" s="575">
        <f t="shared" si="41"/>
        <v>5.1073617737840138E-2</v>
      </c>
      <c r="DM48" s="576">
        <f t="shared" si="41"/>
        <v>0.3956801055743504</v>
      </c>
      <c r="DN48" s="575">
        <f t="shared" si="41"/>
        <v>0.23146036342710352</v>
      </c>
      <c r="DO48" s="576">
        <f t="shared" si="41"/>
        <v>0.1379689431818123</v>
      </c>
      <c r="DP48" s="575">
        <f t="shared" si="41"/>
        <v>0.28264611141643314</v>
      </c>
      <c r="DQ48" s="575">
        <f t="shared" si="41"/>
        <v>0.15368399852868109</v>
      </c>
      <c r="DR48" s="575">
        <f t="shared" si="41"/>
        <v>7.4738323507698379E-2</v>
      </c>
      <c r="DS48" s="575">
        <f t="shared" si="41"/>
        <v>5.4470222605569552E-2</v>
      </c>
      <c r="DT48" s="575">
        <f t="shared" si="41"/>
        <v>6.0834619420265135E-2</v>
      </c>
      <c r="DU48" s="575">
        <f t="shared" si="41"/>
        <v>0.14100608935864201</v>
      </c>
      <c r="DV48" s="575">
        <f t="shared" si="41"/>
        <v>0.19727750064022609</v>
      </c>
      <c r="DW48" s="575">
        <f t="shared" si="41"/>
        <v>0.13717351314485571</v>
      </c>
      <c r="DX48" s="575">
        <f t="shared" si="41"/>
        <v>0.11903097658588102</v>
      </c>
      <c r="DY48" s="575">
        <f t="shared" si="41"/>
        <v>0.10570478434523656</v>
      </c>
      <c r="DZ48" s="512"/>
      <c r="EA48" s="487"/>
      <c r="EG48" s="487"/>
      <c r="EJ48" s="1193"/>
      <c r="EK48" s="1193"/>
    </row>
    <row r="49" spans="1:141">
      <c r="A49" s="1" t="s">
        <v>436</v>
      </c>
      <c r="B49" s="560"/>
      <c r="C49" s="603"/>
      <c r="D49" s="603"/>
      <c r="E49" s="603"/>
      <c r="F49" s="603"/>
      <c r="G49" s="604"/>
      <c r="H49" s="605">
        <f>((H32/C32)-1)</f>
        <v>7.5015668679552228E-2</v>
      </c>
      <c r="I49" s="605">
        <f>((I32/D32)-1)</f>
        <v>2.2872778187492226E-2</v>
      </c>
      <c r="J49" s="605">
        <f>((J32/E32)-1)</f>
        <v>6.9997804084402704E-2</v>
      </c>
      <c r="K49" s="605">
        <f>((K32/F32)-1)</f>
        <v>-4.638973847667216E-2</v>
      </c>
      <c r="L49" s="605"/>
      <c r="M49" s="605">
        <f>((M32/H32)-1)</f>
        <v>0.16937427991060461</v>
      </c>
      <c r="N49" s="605">
        <f>((N32/I32)-1)</f>
        <v>0.24155964932445806</v>
      </c>
      <c r="O49" s="605">
        <f>((O32/J32)-1)</f>
        <v>0.12897159296559169</v>
      </c>
      <c r="P49" s="605">
        <f>((P32/K32)-1)</f>
        <v>0.46398967634979882</v>
      </c>
      <c r="Q49" s="605"/>
      <c r="R49" s="605">
        <f>((R32/M32)-1)</f>
        <v>0.15761463098083284</v>
      </c>
      <c r="S49" s="605">
        <f>((S32/N32)-1)</f>
        <v>0.1314525936617621</v>
      </c>
      <c r="T49" s="605">
        <f>((T32/O32)-1)</f>
        <v>-1.274123234653457E-2</v>
      </c>
      <c r="U49" s="605">
        <f>((U32/P32)-1)</f>
        <v>-2.4159873377797014E-3</v>
      </c>
      <c r="V49" s="605"/>
      <c r="W49" s="605">
        <f>((W32/R32)-1)</f>
        <v>-0.22029553215270892</v>
      </c>
      <c r="X49" s="605">
        <f>((X32/S32)-1)</f>
        <v>-8.7743375174337612E-2</v>
      </c>
      <c r="Y49" s="605">
        <f>((Y32/T32)-1)</f>
        <v>0.15317737173006307</v>
      </c>
      <c r="Z49" s="605">
        <f>((Z32/U32)-1)</f>
        <v>0.40125767909833887</v>
      </c>
      <c r="AA49" s="605"/>
      <c r="AB49" s="605">
        <f>((AB32/W32)-1)</f>
        <v>0.43044084381082692</v>
      </c>
      <c r="AC49" s="605">
        <f>((AC32/X32)-1)</f>
        <v>9.8620776816984446E-3</v>
      </c>
      <c r="AD49" s="605">
        <f>((AD32/Y32)-1)</f>
        <v>9.3885810004616044E-2</v>
      </c>
      <c r="AE49" s="605">
        <f>((AE32/Z32)-1)</f>
        <v>-0.21070000897535757</v>
      </c>
      <c r="AF49" s="605"/>
      <c r="AG49" s="605">
        <f>((AG32/AB32)-1)</f>
        <v>-6.6424554467582442E-2</v>
      </c>
      <c r="AH49" s="605">
        <f>((AH32/AC32)-1)</f>
        <v>7.2700260797248228E-2</v>
      </c>
      <c r="AI49" s="605">
        <f>((AI32/AD32)-1)</f>
        <v>-8.7802314749696242E-2</v>
      </c>
      <c r="AJ49" s="605">
        <f>((AJ32/AE32)-1)</f>
        <v>0.28057054719231078</v>
      </c>
      <c r="AK49" s="604"/>
      <c r="AL49" s="605">
        <f>((AL32/AG32)-1)</f>
        <v>0.14983865196424229</v>
      </c>
      <c r="AM49" s="605">
        <f>((AM32/AH32)-1)</f>
        <v>0.21421850890068184</v>
      </c>
      <c r="AN49" s="605">
        <f>((AN32/AI32)-1)</f>
        <v>0.37176223462907143</v>
      </c>
      <c r="AO49" s="605">
        <f>((AO32/AJ32)-1)</f>
        <v>8.4005774187378979E-2</v>
      </c>
      <c r="AP49" s="605"/>
      <c r="AQ49" s="605">
        <f>((AQ32/AL32)-1)</f>
        <v>8.09929624712733E-2</v>
      </c>
      <c r="AR49" s="605">
        <f>((AR32/AM32)-1)</f>
        <v>0.17997086445773602</v>
      </c>
      <c r="AS49" s="605">
        <f>((AS32/AN32)-1)</f>
        <v>5.5296098816961292E-2</v>
      </c>
      <c r="AT49" s="605">
        <f>((AT32/AO32)-1)</f>
        <v>0.23276642490616206</v>
      </c>
      <c r="AU49" s="605"/>
      <c r="AV49" s="605">
        <f>((AV32/AQ32)-1)</f>
        <v>5.0888192819450895E-2</v>
      </c>
      <c r="AW49" s="605">
        <f>((AW32/AR32)-1)</f>
        <v>0.15613852595523081</v>
      </c>
      <c r="AX49" s="605">
        <f>((AX32/AS32)-1)</f>
        <v>4.0932934059529691E-2</v>
      </c>
      <c r="AY49" s="605">
        <f>((AY32/AT32)-1)</f>
        <v>-0.1813654246228984</v>
      </c>
      <c r="AZ49" s="605"/>
      <c r="BA49" s="605">
        <f>((BA32/AV32)-1)</f>
        <v>0.13085131514795112</v>
      </c>
      <c r="BB49" s="605">
        <f>((BB32/AW32)-1)</f>
        <v>0.19877537573698967</v>
      </c>
      <c r="BC49" s="605">
        <f>((BC32/AX32)-1)</f>
        <v>0.32871372386989117</v>
      </c>
      <c r="BD49" s="605">
        <f>((BD32/AY32)-1)</f>
        <v>0.58286156715175563</v>
      </c>
      <c r="BE49" s="605"/>
      <c r="BF49" s="605">
        <f>((BF32/BA32)-1)</f>
        <v>0.46699987554670508</v>
      </c>
      <c r="BG49" s="605">
        <f>((BG32/BB32)-1)</f>
        <v>0.15360588905335759</v>
      </c>
      <c r="BH49" s="605">
        <f>((BH32/BC32)-1)</f>
        <v>4.7000101716095921E-2</v>
      </c>
      <c r="BI49" s="605">
        <f>((BI32/BD32)-1)</f>
        <v>5.361416316462142E-2</v>
      </c>
      <c r="BJ49" s="605"/>
      <c r="BK49" s="605">
        <f>((BK32/BF32)-1)</f>
        <v>-5.5356512544254555E-2</v>
      </c>
      <c r="BL49" s="605">
        <f>((BL32/BG32)-1)</f>
        <v>0.13151482989933894</v>
      </c>
      <c r="BM49" s="605">
        <f>((BM32/BH32)-1)</f>
        <v>0.10029769546239864</v>
      </c>
      <c r="BN49" s="605">
        <f>((BN32/BI32)-1)</f>
        <v>0.1187709196013389</v>
      </c>
      <c r="BO49" s="604"/>
      <c r="BP49" s="605">
        <f>((BP32/BK32)-1)</f>
        <v>0.30038392333080011</v>
      </c>
      <c r="BQ49" s="605">
        <f>((BQ32/BL32)-1)</f>
        <v>0.18747295700126787</v>
      </c>
      <c r="BR49" s="605">
        <f>((BR32/BM32)-1)</f>
        <v>0.11052178157751702</v>
      </c>
      <c r="BS49" s="605">
        <f>((BS32/BN32)-1)</f>
        <v>0.20820546800661766</v>
      </c>
      <c r="BT49" s="604"/>
      <c r="BU49" s="605">
        <f>((BU32/BP32)-1)</f>
        <v>5.7835411348304611E-2</v>
      </c>
      <c r="BV49" s="605">
        <f>((BV32/BQ32)-1)</f>
        <v>0.13319451135560589</v>
      </c>
      <c r="BW49" s="605">
        <f>((BW32/BR32)-1)</f>
        <v>0.17516313144220219</v>
      </c>
      <c r="BX49" s="605">
        <f>((BX32/BS32)-1)</f>
        <v>-2.6793537420937152E-3</v>
      </c>
      <c r="BY49" s="604"/>
      <c r="BZ49" s="605">
        <f>((BZ32/BU32)-1)</f>
        <v>3.0962953809135163E-2</v>
      </c>
      <c r="CA49" s="605">
        <f>((CA32/BV32)-1)</f>
        <v>8.5602067406516325E-2</v>
      </c>
      <c r="CB49" s="605">
        <f>((CB32/BW32)-1)</f>
        <v>7.8284973657580359E-2</v>
      </c>
      <c r="CC49" s="605">
        <f>((CC32/BX32)-1)</f>
        <v>0.10113174010248049</v>
      </c>
      <c r="CD49" s="604"/>
      <c r="CE49" s="605">
        <f>((CE32/BZ32)-1)</f>
        <v>4.6264612823776918E-2</v>
      </c>
      <c r="CF49" s="605">
        <f>((CF32/CA32)-1)</f>
        <v>4.0656079228861719E-2</v>
      </c>
      <c r="CG49" s="605">
        <f>((CG32/CB32)-1)</f>
        <v>-5.5976838406657237E-3</v>
      </c>
      <c r="CH49" s="605">
        <f>((CH32/CC32)-1)</f>
        <v>4.2311614654665819E-2</v>
      </c>
      <c r="CI49" s="573"/>
      <c r="CJ49" s="605">
        <f>((CJ32/CE32)-1)</f>
        <v>7.2331581353574537E-2</v>
      </c>
      <c r="CK49" s="605">
        <f>((CK32/CF32)-1)</f>
        <v>4.4548147950051353E-2</v>
      </c>
      <c r="CL49" s="605">
        <f>((CL32/CG32)-1)</f>
        <v>3.9161885532205343E-2</v>
      </c>
      <c r="CM49" s="605">
        <f>((CM32/CH32)-1)</f>
        <v>2.4126365985784215E-2</v>
      </c>
      <c r="CN49" s="604"/>
      <c r="CO49" s="605">
        <f>((CO32/CJ32)-1)</f>
        <v>2.2865194529528399E-2</v>
      </c>
      <c r="CP49" s="605">
        <f>((CP32/CK32)-1)</f>
        <v>-1.5239876961788967E-2</v>
      </c>
      <c r="CQ49" s="605">
        <f>((CQ32/CL32)-1)</f>
        <v>5.1559581937143495E-2</v>
      </c>
      <c r="CR49" s="605">
        <f>((CR32/CM32)-1)</f>
        <v>0.10998405103668163</v>
      </c>
      <c r="CS49" s="604"/>
      <c r="CT49" s="605">
        <f>((CT32/CO32)-1)</f>
        <v>4.1643702548851413E-2</v>
      </c>
      <c r="CU49" s="605">
        <f>((CU32/CP32)-1)</f>
        <v>4.5231524512594268E-2</v>
      </c>
      <c r="CV49" s="605">
        <f>((CV32/CQ32)-1)</f>
        <v>3.6970072184916214E-2</v>
      </c>
      <c r="CW49" s="605">
        <f>((CW32/CR32)-1)</f>
        <v>-1.3444407518808821E-2</v>
      </c>
      <c r="CX49" s="573"/>
      <c r="CY49" s="573"/>
      <c r="CZ49" s="599">
        <f>CZ32/('yrP&amp;L'!G28+flow!P9)-1</f>
        <v>1.0817810032622575</v>
      </c>
      <c r="DA49" s="575">
        <f t="shared" ref="DA49:DY49" si="42">((DA32/CZ32)-1)</f>
        <v>-3.0432585577457871E-3</v>
      </c>
      <c r="DB49" s="575">
        <f t="shared" si="42"/>
        <v>0.59777930911417365</v>
      </c>
      <c r="DC49" s="575">
        <f t="shared" si="42"/>
        <v>0.21395753902671633</v>
      </c>
      <c r="DD49" s="575">
        <f t="shared" si="42"/>
        <v>4.0987601639542515E-2</v>
      </c>
      <c r="DE49" s="606">
        <f t="shared" si="42"/>
        <v>3.7739733948084941E-2</v>
      </c>
      <c r="DF49" s="606">
        <f t="shared" si="42"/>
        <v>6.0886889273832567E-2</v>
      </c>
      <c r="DG49" s="606">
        <f t="shared" si="42"/>
        <v>6.9516547349940838E-2</v>
      </c>
      <c r="DH49" s="606">
        <f t="shared" si="42"/>
        <v>3.3050803473400281E-2</v>
      </c>
      <c r="DI49" s="607">
        <f t="shared" si="42"/>
        <v>4.5971956310526751E-2</v>
      </c>
      <c r="DJ49" s="607">
        <f t="shared" si="42"/>
        <v>0.19748101598824652</v>
      </c>
      <c r="DK49" s="606">
        <f t="shared" si="42"/>
        <v>0.12614934797258059</v>
      </c>
      <c r="DL49" s="607">
        <f t="shared" si="42"/>
        <v>6.3186781572954764E-3</v>
      </c>
      <c r="DM49" s="606">
        <f t="shared" si="42"/>
        <v>0.32119298337325031</v>
      </c>
      <c r="DN49" s="607">
        <f t="shared" si="42"/>
        <v>0.15014699403080045</v>
      </c>
      <c r="DO49" s="606">
        <f t="shared" si="42"/>
        <v>7.5591568661671937E-2</v>
      </c>
      <c r="DP49" s="607">
        <f t="shared" si="42"/>
        <v>0.20453574738783509</v>
      </c>
      <c r="DQ49" s="607">
        <f t="shared" si="42"/>
        <v>7.852815205831587E-2</v>
      </c>
      <c r="DR49" s="607">
        <f t="shared" si="42"/>
        <v>7.5943293403805789E-2</v>
      </c>
      <c r="DS49" s="607">
        <f t="shared" si="42"/>
        <v>3.000714336619148E-2</v>
      </c>
      <c r="DT49" s="607">
        <f t="shared" si="42"/>
        <v>4.3255235113839996E-2</v>
      </c>
      <c r="DU49" s="607">
        <f t="shared" si="42"/>
        <v>4.5495227822165418E-2</v>
      </c>
      <c r="DV49" s="607">
        <f t="shared" si="42"/>
        <v>2.4790044138041978E-2</v>
      </c>
      <c r="DW49" s="607">
        <f t="shared" si="42"/>
        <v>8.1071605250390144E-2</v>
      </c>
      <c r="DX49" s="607">
        <f t="shared" si="42"/>
        <v>7.9514975332260818E-2</v>
      </c>
      <c r="DY49" s="607">
        <f t="shared" si="42"/>
        <v>6.9341750176020955E-2</v>
      </c>
      <c r="DZ49" s="512"/>
      <c r="EA49" s="487"/>
      <c r="EG49" s="487"/>
      <c r="EH49" s="467"/>
      <c r="EI49" s="493"/>
      <c r="EJ49" s="2061"/>
      <c r="EK49" s="2062"/>
    </row>
    <row r="50" spans="1:141">
      <c r="A50" s="608"/>
      <c r="B50" s="609"/>
      <c r="C50" s="568"/>
      <c r="D50" s="608"/>
      <c r="E50" s="608"/>
      <c r="F50" s="608"/>
      <c r="G50" s="608"/>
      <c r="H50" s="574"/>
      <c r="I50" s="574"/>
      <c r="J50" s="574"/>
      <c r="K50" s="574"/>
      <c r="L50" s="574"/>
      <c r="M50" s="574"/>
      <c r="N50" s="574"/>
      <c r="O50" s="574"/>
      <c r="P50" s="574"/>
      <c r="Q50" s="574"/>
      <c r="R50" s="574"/>
      <c r="S50" s="574"/>
      <c r="T50" s="574"/>
      <c r="U50" s="574"/>
      <c r="V50" s="574"/>
      <c r="W50" s="574"/>
      <c r="X50" s="574"/>
      <c r="Y50" s="574"/>
      <c r="Z50" s="574"/>
      <c r="AA50" s="574"/>
      <c r="AB50" s="574"/>
      <c r="AC50" s="574"/>
      <c r="AD50" s="574"/>
      <c r="AE50" s="574"/>
      <c r="AF50" s="574"/>
      <c r="AG50" s="574"/>
      <c r="AH50" s="574"/>
      <c r="AI50" s="574"/>
      <c r="AJ50" s="574"/>
      <c r="AK50" s="608"/>
      <c r="AL50" s="574"/>
      <c r="AM50" s="574"/>
      <c r="AN50" s="574"/>
      <c r="AO50" s="574"/>
      <c r="AP50" s="574"/>
      <c r="AQ50" s="574"/>
      <c r="AR50" s="574"/>
      <c r="AS50" s="574"/>
      <c r="AT50" s="574"/>
      <c r="AU50" s="574"/>
      <c r="AV50" s="574"/>
      <c r="AW50" s="574"/>
      <c r="AX50" s="574"/>
      <c r="AY50" s="574"/>
      <c r="AZ50" s="574"/>
      <c r="BA50" s="574"/>
      <c r="BB50" s="574"/>
      <c r="BC50" s="574"/>
      <c r="BD50" s="574"/>
      <c r="BE50" s="574"/>
      <c r="BF50" s="574"/>
      <c r="BG50" s="574"/>
      <c r="BH50" s="574"/>
      <c r="BI50" s="574"/>
      <c r="BJ50" s="574"/>
      <c r="BK50" s="574"/>
      <c r="BL50" s="574"/>
      <c r="BM50" s="574"/>
      <c r="BN50" s="574"/>
      <c r="BO50" s="608"/>
      <c r="BP50" s="574"/>
      <c r="BQ50" s="574"/>
      <c r="BR50" s="574"/>
      <c r="BS50" s="574"/>
      <c r="BT50" s="608"/>
      <c r="BU50" s="574"/>
      <c r="BV50" s="574"/>
      <c r="BW50" s="574"/>
      <c r="BX50" s="574"/>
      <c r="BY50" s="608"/>
      <c r="BZ50" s="574"/>
      <c r="CA50" s="574"/>
      <c r="CB50" s="574"/>
      <c r="CC50" s="574"/>
      <c r="CD50" s="608"/>
      <c r="CE50" s="574"/>
      <c r="CF50" s="574"/>
      <c r="CG50" s="574"/>
      <c r="CH50" s="574"/>
      <c r="CI50" s="608"/>
      <c r="CJ50" s="574"/>
      <c r="CK50" s="574"/>
      <c r="CL50" s="574"/>
      <c r="CM50" s="574"/>
      <c r="CN50" s="608"/>
      <c r="CO50" s="574"/>
      <c r="CP50" s="574"/>
      <c r="CQ50" s="574"/>
      <c r="CR50" s="574"/>
      <c r="CS50" s="608"/>
      <c r="CT50" s="574"/>
      <c r="CU50" s="574"/>
      <c r="CV50" s="574"/>
      <c r="CW50" s="574"/>
      <c r="CX50" s="608"/>
      <c r="CY50" s="608"/>
      <c r="CZ50" s="610"/>
      <c r="DA50" s="610"/>
      <c r="DB50" s="610"/>
      <c r="DC50" s="609"/>
      <c r="DD50" s="609"/>
      <c r="DE50" s="609"/>
      <c r="DF50" s="609"/>
      <c r="DG50" s="609"/>
      <c r="DH50" s="609"/>
      <c r="DI50" s="609"/>
      <c r="DJ50" s="609"/>
      <c r="DK50" s="609"/>
      <c r="DL50" s="609"/>
      <c r="DM50" s="609"/>
      <c r="DN50" s="499"/>
      <c r="DO50" s="499"/>
      <c r="DP50" s="499"/>
      <c r="DQ50" s="499"/>
      <c r="DR50" s="499"/>
      <c r="DS50" s="499"/>
      <c r="DT50" s="499"/>
      <c r="DU50" s="499"/>
      <c r="DV50" s="499"/>
      <c r="DW50" s="499"/>
      <c r="DX50" s="499"/>
      <c r="DY50" s="499"/>
      <c r="DZ50" s="487"/>
      <c r="EA50" s="487"/>
      <c r="EG50" s="487"/>
      <c r="EH50" s="467"/>
      <c r="EI50" s="493"/>
      <c r="EJ50" s="2061"/>
      <c r="EK50" s="2062"/>
    </row>
    <row r="51" spans="1:141" ht="7.5" customHeight="1">
      <c r="A51" s="611"/>
      <c r="B51" s="611"/>
      <c r="C51" s="612"/>
      <c r="D51" s="612"/>
      <c r="E51" s="612"/>
      <c r="F51" s="612"/>
      <c r="G51" s="612"/>
      <c r="H51" s="612"/>
      <c r="I51" s="612"/>
      <c r="J51" s="612"/>
      <c r="K51" s="612"/>
      <c r="L51" s="612"/>
      <c r="M51" s="612"/>
      <c r="N51" s="612"/>
      <c r="O51" s="612"/>
      <c r="P51" s="612"/>
      <c r="Q51" s="612"/>
      <c r="R51" s="612"/>
      <c r="S51" s="612"/>
      <c r="T51" s="612"/>
      <c r="U51" s="612"/>
      <c r="V51" s="612"/>
      <c r="W51" s="612"/>
      <c r="X51" s="612"/>
      <c r="Y51" s="612"/>
      <c r="Z51" s="612"/>
      <c r="AA51" s="612"/>
      <c r="AB51" s="612"/>
      <c r="AC51" s="612"/>
      <c r="AD51" s="612"/>
      <c r="AE51" s="612"/>
      <c r="AF51" s="612"/>
      <c r="AG51" s="612"/>
      <c r="AH51" s="612"/>
      <c r="AI51" s="612"/>
      <c r="AJ51" s="612"/>
      <c r="AK51" s="612"/>
      <c r="AL51" s="612"/>
      <c r="AM51" s="612"/>
      <c r="AN51" s="612"/>
      <c r="AO51" s="612"/>
      <c r="AP51" s="612"/>
      <c r="AQ51" s="612"/>
      <c r="AR51" s="612"/>
      <c r="AS51" s="612"/>
      <c r="AT51" s="612"/>
      <c r="AU51" s="612"/>
      <c r="AV51" s="612"/>
      <c r="AW51" s="612"/>
      <c r="AX51" s="612"/>
      <c r="AY51" s="612"/>
      <c r="AZ51" s="612"/>
      <c r="BA51" s="612"/>
      <c r="BB51" s="612"/>
      <c r="BC51" s="612"/>
      <c r="BD51" s="612"/>
      <c r="BE51" s="612"/>
      <c r="BF51" s="612"/>
      <c r="BG51" s="612"/>
      <c r="BH51" s="612"/>
      <c r="BI51" s="612"/>
      <c r="BJ51" s="612"/>
      <c r="BK51" s="612"/>
      <c r="BL51" s="612"/>
      <c r="BM51" s="612"/>
      <c r="BN51" s="612"/>
      <c r="BO51" s="612"/>
      <c r="BP51" s="612"/>
      <c r="BQ51" s="612"/>
      <c r="BR51" s="612"/>
      <c r="BS51" s="612"/>
      <c r="BT51" s="612"/>
      <c r="BU51" s="612"/>
      <c r="BV51" s="612"/>
      <c r="BW51" s="612"/>
      <c r="BX51" s="612"/>
      <c r="BY51" s="612"/>
      <c r="BZ51" s="612"/>
      <c r="CA51" s="612"/>
      <c r="CB51" s="612"/>
      <c r="CC51" s="612"/>
      <c r="CD51" s="612"/>
      <c r="CE51" s="612"/>
      <c r="CF51" s="613"/>
      <c r="CG51" s="585"/>
      <c r="CH51" s="585"/>
      <c r="CI51" s="585"/>
      <c r="CJ51" s="585"/>
      <c r="CK51" s="614"/>
      <c r="CL51" s="614"/>
      <c r="CM51" s="614"/>
      <c r="CN51" s="585"/>
      <c r="CO51" s="614"/>
      <c r="CP51" s="614"/>
      <c r="CQ51" s="614"/>
      <c r="CR51" s="614"/>
      <c r="CS51" s="585"/>
      <c r="CT51" s="585"/>
      <c r="CU51" s="585"/>
      <c r="CV51" s="585"/>
      <c r="CW51" s="585"/>
      <c r="CX51" s="585"/>
      <c r="CY51" s="585"/>
      <c r="CZ51" s="614"/>
      <c r="DA51" s="614"/>
      <c r="DB51" s="614"/>
      <c r="DC51" s="614"/>
      <c r="DD51" s="614"/>
      <c r="DE51" s="614"/>
      <c r="DF51" s="614"/>
      <c r="DG51" s="614"/>
      <c r="DH51" s="614"/>
      <c r="DI51" s="614"/>
      <c r="DJ51" s="614"/>
      <c r="DK51" s="614"/>
      <c r="DL51" s="614"/>
      <c r="DM51" s="614"/>
      <c r="DN51" s="499"/>
      <c r="DO51" s="499"/>
      <c r="DP51" s="499"/>
      <c r="DQ51" s="499"/>
      <c r="DR51" s="499"/>
      <c r="DS51" s="499"/>
      <c r="DT51" s="499"/>
      <c r="DU51" s="499"/>
      <c r="DV51" s="499"/>
      <c r="DW51" s="499"/>
      <c r="DX51" s="499"/>
      <c r="DY51" s="499"/>
      <c r="DZ51" s="487"/>
      <c r="EA51" s="487"/>
      <c r="EG51" s="487"/>
      <c r="EH51" s="467"/>
      <c r="EI51" s="493"/>
      <c r="EJ51" s="2061"/>
      <c r="EK51" s="2062"/>
    </row>
    <row r="52" spans="1:141">
      <c r="A52" s="615" t="s">
        <v>621</v>
      </c>
      <c r="B52" s="616"/>
      <c r="C52" s="617"/>
      <c r="D52" s="617"/>
      <c r="E52" s="617"/>
      <c r="F52" s="617"/>
      <c r="G52" s="617"/>
      <c r="H52" s="617"/>
      <c r="I52" s="617"/>
      <c r="J52" s="618"/>
      <c r="K52" s="618"/>
      <c r="L52" s="617"/>
      <c r="M52" s="617"/>
      <c r="N52" s="617"/>
      <c r="O52" s="617"/>
      <c r="P52" s="617"/>
      <c r="Q52" s="616"/>
      <c r="R52" s="618"/>
      <c r="S52" s="618"/>
      <c r="T52" s="617"/>
      <c r="U52" s="617"/>
      <c r="V52" s="616"/>
      <c r="W52" s="617"/>
      <c r="X52" s="617"/>
      <c r="Y52" s="617"/>
      <c r="Z52" s="617"/>
      <c r="AA52" s="616"/>
      <c r="AB52" s="617"/>
      <c r="AC52" s="617"/>
      <c r="AD52" s="617"/>
      <c r="AE52" s="617"/>
      <c r="AF52" s="617"/>
      <c r="AG52" s="617"/>
      <c r="AH52" s="617"/>
      <c r="AI52" s="617"/>
      <c r="AJ52" s="617"/>
      <c r="AK52" s="617"/>
      <c r="AL52" s="619"/>
      <c r="AM52" s="619"/>
      <c r="AN52" s="619"/>
      <c r="AO52" s="619"/>
      <c r="AP52" s="619"/>
      <c r="AQ52" s="619"/>
      <c r="AR52" s="619"/>
      <c r="AS52" s="619"/>
      <c r="AT52" s="619"/>
      <c r="AU52" s="619"/>
      <c r="AV52" s="619"/>
      <c r="AW52" s="619"/>
      <c r="AX52" s="619"/>
      <c r="AY52" s="619"/>
      <c r="AZ52" s="620"/>
      <c r="BA52" s="619"/>
      <c r="BB52" s="619"/>
      <c r="BC52" s="619"/>
      <c r="BD52" s="619"/>
      <c r="BE52" s="619"/>
      <c r="BF52" s="619"/>
      <c r="BG52" s="619"/>
      <c r="BH52" s="619"/>
      <c r="BI52" s="619"/>
      <c r="BJ52" s="619"/>
      <c r="BK52" s="620">
        <f>DF6</f>
        <v>2002</v>
      </c>
      <c r="BL52" s="620">
        <f>DG6</f>
        <v>2003</v>
      </c>
      <c r="BM52" s="620">
        <f>DH6</f>
        <v>2004</v>
      </c>
      <c r="BN52" s="620">
        <f>DI6</f>
        <v>2005</v>
      </c>
      <c r="BO52" s="617"/>
      <c r="BP52" s="620">
        <f>DJ6</f>
        <v>2006</v>
      </c>
      <c r="BQ52" s="620">
        <f>DK6</f>
        <v>2007</v>
      </c>
      <c r="BR52" s="620">
        <f>DL6</f>
        <v>2008</v>
      </c>
      <c r="BS52" s="620">
        <f>DM6</f>
        <v>2009</v>
      </c>
      <c r="BT52" s="620"/>
      <c r="BU52" s="620">
        <f>DN6</f>
        <v>2010</v>
      </c>
      <c r="BV52" s="620">
        <f>DO6</f>
        <v>2011</v>
      </c>
      <c r="BW52" s="620">
        <f>DP6</f>
        <v>2012</v>
      </c>
      <c r="BX52" s="620">
        <f>DQ6</f>
        <v>2013</v>
      </c>
      <c r="BY52" s="620"/>
      <c r="BZ52" s="2079"/>
      <c r="CA52" s="2079"/>
      <c r="CB52" s="2079"/>
      <c r="CC52" s="2079"/>
      <c r="CD52" s="617"/>
      <c r="CE52" s="620">
        <f>DQ6</f>
        <v>2013</v>
      </c>
      <c r="CF52" s="2079"/>
      <c r="CG52" s="2079"/>
      <c r="CH52" s="2079"/>
      <c r="CI52" s="623"/>
      <c r="CJ52" s="620">
        <f>DR6</f>
        <v>2014</v>
      </c>
      <c r="CK52" s="620">
        <f>DS6</f>
        <v>2015</v>
      </c>
      <c r="CL52" s="620">
        <v>2016</v>
      </c>
      <c r="CM52" s="620" t="s">
        <v>154</v>
      </c>
      <c r="CN52" s="2080"/>
      <c r="CO52" s="499"/>
      <c r="CP52" s="621"/>
      <c r="CQ52" s="614"/>
      <c r="CR52" s="614"/>
      <c r="CS52" s="525"/>
      <c r="CT52" s="499"/>
      <c r="CU52" s="622" t="s">
        <v>621</v>
      </c>
      <c r="CV52" s="507"/>
      <c r="CW52" s="507"/>
      <c r="CX52" s="623"/>
      <c r="CY52" s="623"/>
      <c r="CZ52" s="623"/>
      <c r="DA52" s="623"/>
      <c r="DB52" s="623"/>
      <c r="DC52" s="623"/>
      <c r="DD52" s="623"/>
      <c r="DE52" s="624" t="str">
        <f t="shared" ref="DE52:DJ52" si="43">DE6</f>
        <v>2001A</v>
      </c>
      <c r="DF52" s="624">
        <f t="shared" si="43"/>
        <v>2002</v>
      </c>
      <c r="DG52" s="624">
        <f t="shared" si="43"/>
        <v>2003</v>
      </c>
      <c r="DH52" s="624">
        <f t="shared" si="43"/>
        <v>2004</v>
      </c>
      <c r="DI52" s="624">
        <f t="shared" si="43"/>
        <v>2005</v>
      </c>
      <c r="DJ52" s="624">
        <f t="shared" si="43"/>
        <v>2006</v>
      </c>
      <c r="DK52" s="624">
        <f t="shared" ref="DK52:DP52" si="44">DK6</f>
        <v>2007</v>
      </c>
      <c r="DL52" s="624">
        <f t="shared" si="44"/>
        <v>2008</v>
      </c>
      <c r="DM52" s="624">
        <f t="shared" si="44"/>
        <v>2009</v>
      </c>
      <c r="DN52" s="624">
        <f t="shared" si="44"/>
        <v>2010</v>
      </c>
      <c r="DO52" s="624">
        <f t="shared" si="44"/>
        <v>2011</v>
      </c>
      <c r="DP52" s="624">
        <f t="shared" si="44"/>
        <v>2012</v>
      </c>
      <c r="DQ52" s="625">
        <f t="shared" ref="DQ52:DV52" si="45">DQ6</f>
        <v>2013</v>
      </c>
      <c r="DR52" s="625">
        <f t="shared" si="45"/>
        <v>2014</v>
      </c>
      <c r="DS52" s="625">
        <f t="shared" si="45"/>
        <v>2015</v>
      </c>
      <c r="DT52" s="625">
        <f t="shared" si="45"/>
        <v>2016</v>
      </c>
      <c r="DU52" s="625">
        <f t="shared" si="45"/>
        <v>2017</v>
      </c>
      <c r="DV52" s="625" t="str">
        <f t="shared" si="45"/>
        <v>2018E</v>
      </c>
      <c r="DW52" s="625" t="str">
        <f>DW6</f>
        <v>2019E</v>
      </c>
      <c r="DX52" s="626" t="str">
        <f>DX6</f>
        <v>2020E</v>
      </c>
      <c r="DY52" s="626" t="str">
        <f>DY6</f>
        <v>2021E</v>
      </c>
      <c r="DZ52" s="627"/>
      <c r="EA52" s="627"/>
      <c r="EG52" s="627"/>
      <c r="EH52" s="467"/>
      <c r="EI52" s="628"/>
      <c r="EJ52" s="1226"/>
      <c r="EK52" s="2062"/>
    </row>
    <row r="53" spans="1:141">
      <c r="A53" s="630" t="s">
        <v>471</v>
      </c>
      <c r="B53" s="631"/>
      <c r="C53" s="632"/>
      <c r="D53" s="632"/>
      <c r="E53" s="632"/>
      <c r="F53" s="632"/>
      <c r="G53" s="632"/>
      <c r="H53" s="632"/>
      <c r="I53" s="632"/>
      <c r="J53" s="633"/>
      <c r="K53" s="633"/>
      <c r="L53" s="632"/>
      <c r="M53" s="632"/>
      <c r="N53" s="632"/>
      <c r="O53" s="632"/>
      <c r="P53" s="632"/>
      <c r="Q53" s="631"/>
      <c r="R53" s="633"/>
      <c r="S53" s="633"/>
      <c r="T53" s="632"/>
      <c r="U53" s="632"/>
      <c r="V53" s="631"/>
      <c r="W53" s="632"/>
      <c r="X53" s="632"/>
      <c r="Y53" s="632"/>
      <c r="Z53" s="632"/>
      <c r="AA53" s="631"/>
      <c r="AB53" s="632"/>
      <c r="AC53" s="632"/>
      <c r="AD53" s="632"/>
      <c r="AE53" s="632"/>
      <c r="AF53" s="632"/>
      <c r="AG53" s="632"/>
      <c r="AH53" s="632"/>
      <c r="AI53" s="632"/>
      <c r="AJ53" s="632"/>
      <c r="AK53" s="632"/>
      <c r="AL53" s="634"/>
      <c r="AM53" s="634"/>
      <c r="AN53" s="634"/>
      <c r="AO53" s="634"/>
      <c r="AP53" s="634"/>
      <c r="AQ53" s="634"/>
      <c r="AR53" s="634"/>
      <c r="AS53" s="634"/>
      <c r="AT53" s="634"/>
      <c r="AU53" s="634"/>
      <c r="AV53" s="634"/>
      <c r="AW53" s="634"/>
      <c r="AX53" s="634"/>
      <c r="AY53" s="634"/>
      <c r="AZ53" s="632"/>
      <c r="BA53" s="634"/>
      <c r="BB53" s="634"/>
      <c r="BC53" s="634"/>
      <c r="BD53" s="634"/>
      <c r="BE53" s="634"/>
      <c r="BF53" s="634"/>
      <c r="BG53" s="634"/>
      <c r="BH53" s="634"/>
      <c r="BI53" s="634"/>
      <c r="BJ53" s="634"/>
      <c r="BK53" s="635">
        <f>turn!$R99</f>
        <v>5.3316212241834879</v>
      </c>
      <c r="BL53" s="635">
        <f>turn!$R106</f>
        <v>5.1187463810735272</v>
      </c>
      <c r="BM53" s="635">
        <f>turn!$R113</f>
        <v>4.9790117511353786</v>
      </c>
      <c r="BN53" s="635">
        <f>turn!$R120</f>
        <v>4.6627128468048156</v>
      </c>
      <c r="BO53" s="632"/>
      <c r="BP53" s="635">
        <f>turn!$R$127</f>
        <v>4.7196225288640932</v>
      </c>
      <c r="BQ53" s="635">
        <f>turn!$R$134</f>
        <v>4.6853741410162169</v>
      </c>
      <c r="BR53" s="635">
        <f>turn!$R$141</f>
        <v>4.8249038622059368</v>
      </c>
      <c r="BS53" s="635">
        <f>turn!$R$148</f>
        <v>5.0906846592679615</v>
      </c>
      <c r="BT53" s="632"/>
      <c r="BU53" s="635">
        <f>turn!$R$155</f>
        <v>5.5325518497437622</v>
      </c>
      <c r="BV53" s="635">
        <f>turn!$R$162</f>
        <v>5.2022442572500776</v>
      </c>
      <c r="BW53" s="635">
        <f>turn!$R$169</f>
        <v>6.0740994780793285</v>
      </c>
      <c r="BX53" s="635">
        <f>turn!$R$176</f>
        <v>6.0633109914430312</v>
      </c>
      <c r="BY53" s="635"/>
      <c r="BZ53" s="1193"/>
      <c r="CA53" s="1193"/>
      <c r="CB53" s="1193"/>
      <c r="CC53" s="1193"/>
      <c r="CD53" s="632"/>
      <c r="CE53" s="635">
        <f>turn!$R$176</f>
        <v>6.0633109914430312</v>
      </c>
      <c r="CF53" s="1193"/>
      <c r="CG53" s="1193"/>
      <c r="CH53" s="1193"/>
      <c r="CI53" s="632"/>
      <c r="CJ53" s="635">
        <f>turn!$R$183</f>
        <v>6.0894756143893076</v>
      </c>
      <c r="CK53" s="635">
        <f>turn!$R$190</f>
        <v>5.5386480627935724</v>
      </c>
      <c r="CL53" s="635">
        <f>turn!$R$197</f>
        <v>5.9547612449929668</v>
      </c>
      <c r="CM53" s="635">
        <f>turn!$R$204</f>
        <v>6.2803551177466526</v>
      </c>
      <c r="CN53" s="2078"/>
      <c r="CO53" s="632"/>
      <c r="CP53" s="636"/>
      <c r="CQ53" s="632"/>
      <c r="CR53" s="632"/>
      <c r="CS53" s="632"/>
      <c r="CT53" s="632"/>
      <c r="CU53" s="637" t="s">
        <v>708</v>
      </c>
      <c r="CV53" s="632"/>
      <c r="CW53" s="632"/>
      <c r="CX53" s="632"/>
      <c r="CY53" s="632"/>
      <c r="CZ53" s="632"/>
      <c r="DA53" s="632"/>
      <c r="DB53" s="632"/>
      <c r="DC53" s="638"/>
      <c r="DD53" s="638"/>
      <c r="DE53" s="638">
        <f>yrSales!M20</f>
        <v>1665</v>
      </c>
      <c r="DF53" s="638">
        <f>yrSales!N20</f>
        <v>1843</v>
      </c>
      <c r="DG53" s="638">
        <f>yrSales!O20</f>
        <v>2062</v>
      </c>
      <c r="DH53" s="638">
        <f>yrSales!P20</f>
        <v>2224</v>
      </c>
      <c r="DI53" s="638">
        <f>yrSales!Q20</f>
        <v>2381</v>
      </c>
      <c r="DJ53" s="638">
        <f>yrSales!R20</f>
        <v>2466</v>
      </c>
      <c r="DK53" s="638">
        <f>yrSales!S20</f>
        <v>2563</v>
      </c>
      <c r="DL53" s="638">
        <f>yrSales!T20</f>
        <v>2652</v>
      </c>
      <c r="DM53" s="638">
        <f>yrSales!U20</f>
        <v>2743</v>
      </c>
      <c r="DN53" s="638">
        <f>yrSales!V20</f>
        <v>2859</v>
      </c>
      <c r="DO53" s="638">
        <f>yrSales!W20</f>
        <v>2905</v>
      </c>
      <c r="DP53" s="638">
        <f>yrSales!X20</f>
        <v>3050</v>
      </c>
      <c r="DQ53" s="638">
        <f>yrSales!Y20</f>
        <v>3219</v>
      </c>
      <c r="DR53" s="638">
        <f>yrSales!Z20</f>
        <v>3395</v>
      </c>
      <c r="DS53" s="638">
        <f>yrSales!AA20</f>
        <v>3614</v>
      </c>
      <c r="DT53" s="638">
        <f>yrSales!AB20</f>
        <v>3812</v>
      </c>
      <c r="DU53" s="638">
        <f>yrSales!AC20</f>
        <v>4070</v>
      </c>
      <c r="DV53" s="638">
        <f>yrSales!AD20</f>
        <v>4308</v>
      </c>
      <c r="DW53" s="638">
        <f>yrSales!AE20</f>
        <v>4513</v>
      </c>
      <c r="DX53" s="639">
        <f>yrSales!AF20</f>
        <v>4718</v>
      </c>
      <c r="DY53" s="639">
        <f>yrSales!AG20</f>
        <v>4923</v>
      </c>
      <c r="DZ53" s="627"/>
      <c r="EA53" s="627"/>
      <c r="EG53" s="627"/>
      <c r="EJ53" s="1180"/>
      <c r="EK53" s="1180"/>
    </row>
    <row r="54" spans="1:141">
      <c r="A54" s="630" t="s">
        <v>473</v>
      </c>
      <c r="B54" s="631"/>
      <c r="C54" s="632"/>
      <c r="D54" s="632"/>
      <c r="E54" s="632"/>
      <c r="F54" s="632"/>
      <c r="G54" s="632"/>
      <c r="H54" s="632"/>
      <c r="I54" s="632"/>
      <c r="J54" s="633"/>
      <c r="K54" s="633"/>
      <c r="L54" s="632"/>
      <c r="M54" s="632"/>
      <c r="N54" s="632"/>
      <c r="O54" s="632"/>
      <c r="P54" s="632"/>
      <c r="Q54" s="631"/>
      <c r="R54" s="633"/>
      <c r="S54" s="633"/>
      <c r="T54" s="632"/>
      <c r="U54" s="632"/>
      <c r="V54" s="631"/>
      <c r="W54" s="632"/>
      <c r="X54" s="632"/>
      <c r="Y54" s="632"/>
      <c r="Z54" s="632"/>
      <c r="AA54" s="631"/>
      <c r="AB54" s="632"/>
      <c r="AC54" s="632"/>
      <c r="AD54" s="632"/>
      <c r="AE54" s="632"/>
      <c r="AF54" s="632"/>
      <c r="AG54" s="632"/>
      <c r="AH54" s="632"/>
      <c r="AI54" s="632"/>
      <c r="AJ54" s="632"/>
      <c r="AK54" s="632"/>
      <c r="AL54" s="634"/>
      <c r="AM54" s="634"/>
      <c r="AN54" s="634"/>
      <c r="AO54" s="634"/>
      <c r="AP54" s="634"/>
      <c r="AQ54" s="634"/>
      <c r="AR54" s="634"/>
      <c r="AS54" s="634"/>
      <c r="AT54" s="634"/>
      <c r="AU54" s="634"/>
      <c r="AV54" s="634"/>
      <c r="AW54" s="634"/>
      <c r="AX54" s="634"/>
      <c r="AY54" s="634"/>
      <c r="AZ54" s="634"/>
      <c r="BA54" s="634"/>
      <c r="BB54" s="634"/>
      <c r="BC54" s="634"/>
      <c r="BD54" s="634"/>
      <c r="BE54" s="634"/>
      <c r="BF54" s="634"/>
      <c r="BG54" s="634"/>
      <c r="BH54" s="634"/>
      <c r="BI54" s="634"/>
      <c r="BJ54" s="634"/>
      <c r="BK54" s="640">
        <f>bal!AD31/bal!AD12</f>
        <v>0.52296715596917076</v>
      </c>
      <c r="BL54" s="640">
        <f>bal!AF31/bal!AF12</f>
        <v>0.49460935737689377</v>
      </c>
      <c r="BM54" s="640">
        <f>bal!AH31/bal!AH12</f>
        <v>0.54252450646929973</v>
      </c>
      <c r="BN54" s="640">
        <f>bal!AJ31/bal!AJ12</f>
        <v>0.55517716383168747</v>
      </c>
      <c r="BO54" s="632"/>
      <c r="BP54" s="640">
        <f>bal!AL31/bal!AL12</f>
        <v>0.53151374009525287</v>
      </c>
      <c r="BQ54" s="640">
        <f>bal!AN31/bal!AN12</f>
        <v>0.5540900818228246</v>
      </c>
      <c r="BR54" s="640">
        <f>bal!AP31/bal!AP12</f>
        <v>0.48718377481926722</v>
      </c>
      <c r="BS54" s="640">
        <f>bal!AR31/bal!AR12</f>
        <v>0.59545918008717702</v>
      </c>
      <c r="BT54" s="634"/>
      <c r="BU54" s="640">
        <f>bal!AT31/bal!AT12</f>
        <v>0.60891373020946937</v>
      </c>
      <c r="BV54" s="640">
        <f>bal!AV31/bal!AV12</f>
        <v>0.55763808653584468</v>
      </c>
      <c r="BW54" s="640">
        <f>bal!AX31/bal!AX12</f>
        <v>0.64048803435986956</v>
      </c>
      <c r="BX54" s="640">
        <f>bal!AZ31/bal!AZ12</f>
        <v>0.59710095095550642</v>
      </c>
      <c r="BY54" s="640"/>
      <c r="BZ54" s="1193"/>
      <c r="CA54" s="1193"/>
      <c r="CB54" s="1193"/>
      <c r="CC54" s="1193"/>
      <c r="CD54" s="632"/>
      <c r="CE54" s="640">
        <f>bal!AZ31/bal!AZ12</f>
        <v>0.59710095095550642</v>
      </c>
      <c r="CF54" s="1193"/>
      <c r="CG54" s="1193"/>
      <c r="CH54" s="1193"/>
      <c r="CI54" s="632"/>
      <c r="CJ54" s="640">
        <f>bal!BB31/bal!BB12</f>
        <v>0.62385406631654183</v>
      </c>
      <c r="CK54" s="640">
        <f>bal!BD31/bal!BD12</f>
        <v>0.59620639477060655</v>
      </c>
      <c r="CL54" s="640">
        <f>bal!BF31/bal!BF12</f>
        <v>0.61205187767544167</v>
      </c>
      <c r="CM54" s="640">
        <f>bal!BH31/bal!BH12</f>
        <v>0.59428735192969051</v>
      </c>
      <c r="CN54" s="2078"/>
      <c r="CO54" s="632"/>
      <c r="CP54" s="636"/>
      <c r="CQ54" s="632"/>
      <c r="CR54" s="632"/>
      <c r="CS54" s="632"/>
      <c r="CT54" s="632"/>
      <c r="CU54" s="637" t="s">
        <v>306</v>
      </c>
      <c r="CV54" s="632"/>
      <c r="CW54" s="632"/>
      <c r="CX54" s="632"/>
      <c r="CY54" s="632"/>
      <c r="CZ54" s="632"/>
      <c r="DA54" s="632"/>
      <c r="DB54" s="632"/>
      <c r="DC54" s="632"/>
      <c r="DD54" s="632"/>
      <c r="DE54" s="638">
        <f>yrSales!M92</f>
        <v>1269</v>
      </c>
      <c r="DF54" s="638">
        <f>yrSales!N92</f>
        <v>1342</v>
      </c>
      <c r="DG54" s="638">
        <f>yrSales!O92</f>
        <v>1418</v>
      </c>
      <c r="DH54" s="638">
        <f>yrSales!P92</f>
        <v>1468</v>
      </c>
      <c r="DI54" s="638">
        <f>yrSales!Q92</f>
        <v>1514</v>
      </c>
      <c r="DJ54" s="638">
        <f>yrSales!R92</f>
        <v>1569</v>
      </c>
      <c r="DK54" s="638">
        <f>yrSales!S92</f>
        <v>1623</v>
      </c>
      <c r="DL54" s="638">
        <f>yrSales!T92</f>
        <v>1680</v>
      </c>
      <c r="DM54" s="638">
        <f>yrSales!U92</f>
        <v>1703</v>
      </c>
      <c r="DN54" s="638">
        <f>yrSales!V92</f>
        <v>1753</v>
      </c>
      <c r="DO54" s="638">
        <f>yrSales!W92</f>
        <v>1867</v>
      </c>
      <c r="DP54" s="638">
        <f>yrSales!X92</f>
        <v>1940</v>
      </c>
      <c r="DQ54" s="638">
        <f>yrSales!Y92</f>
        <v>2021</v>
      </c>
      <c r="DR54" s="638">
        <f>yrSales!Z92</f>
        <v>2094</v>
      </c>
      <c r="DS54" s="638">
        <f>yrSales!AA92</f>
        <v>2163</v>
      </c>
      <c r="DT54" s="638">
        <f>yrSales!AB92</f>
        <v>2221</v>
      </c>
      <c r="DU54" s="638">
        <f>yrSales!AC92</f>
        <v>2285</v>
      </c>
      <c r="DV54" s="638">
        <f>yrSales!AD92</f>
        <v>2350</v>
      </c>
      <c r="DW54" s="638">
        <f>yrSales!AE92</f>
        <v>2410</v>
      </c>
      <c r="DX54" s="639">
        <f>yrSales!AF92</f>
        <v>2470</v>
      </c>
      <c r="DY54" s="639">
        <f>yrSales!AG92</f>
        <v>2530</v>
      </c>
      <c r="DZ54" s="627"/>
      <c r="EA54" s="627"/>
      <c r="EG54" s="627"/>
      <c r="EJ54" s="1193"/>
      <c r="EK54" s="1193"/>
    </row>
    <row r="55" spans="1:141">
      <c r="A55" s="630" t="s">
        <v>475</v>
      </c>
      <c r="B55" s="631"/>
      <c r="C55" s="632"/>
      <c r="D55" s="632"/>
      <c r="E55" s="632"/>
      <c r="F55" s="632"/>
      <c r="G55" s="632"/>
      <c r="H55" s="632"/>
      <c r="I55" s="632"/>
      <c r="J55" s="633"/>
      <c r="K55" s="633"/>
      <c r="L55" s="632"/>
      <c r="M55" s="632"/>
      <c r="N55" s="632"/>
      <c r="O55" s="632"/>
      <c r="P55" s="632"/>
      <c r="Q55" s="631"/>
      <c r="R55" s="633"/>
      <c r="S55" s="633"/>
      <c r="T55" s="632"/>
      <c r="U55" s="632"/>
      <c r="V55" s="631"/>
      <c r="W55" s="632"/>
      <c r="X55" s="632"/>
      <c r="Y55" s="632"/>
      <c r="Z55" s="632"/>
      <c r="AA55" s="631"/>
      <c r="AB55" s="632"/>
      <c r="AC55" s="632"/>
      <c r="AD55" s="632"/>
      <c r="AE55" s="632"/>
      <c r="AF55" s="632"/>
      <c r="AG55" s="632"/>
      <c r="AH55" s="632"/>
      <c r="AI55" s="632"/>
      <c r="AJ55" s="632"/>
      <c r="AK55" s="632"/>
      <c r="AL55" s="634"/>
      <c r="AM55" s="634"/>
      <c r="AN55" s="634"/>
      <c r="AO55" s="634"/>
      <c r="AP55" s="634"/>
      <c r="AQ55" s="634"/>
      <c r="AR55" s="634"/>
      <c r="AS55" s="634"/>
      <c r="AT55" s="634"/>
      <c r="AU55" s="634"/>
      <c r="AV55" s="634"/>
      <c r="AW55" s="634"/>
      <c r="AX55" s="634"/>
      <c r="AY55" s="634"/>
      <c r="AZ55" s="634"/>
      <c r="BA55" s="634"/>
      <c r="BB55" s="634"/>
      <c r="BC55" s="634"/>
      <c r="BD55" s="634"/>
      <c r="BE55" s="634"/>
      <c r="BF55" s="634"/>
      <c r="BG55" s="634"/>
      <c r="BH55" s="634"/>
      <c r="BI55" s="634"/>
      <c r="BJ55" s="634"/>
      <c r="BK55" s="640">
        <f>dtc!AB53</f>
        <v>0.32541936682204181</v>
      </c>
      <c r="BL55" s="640">
        <f>(bal!AF39+bal!AF34)/(bal!AF56+bal!AF39+bal!AF34)</f>
        <v>0.30141244120078425</v>
      </c>
      <c r="BM55" s="640">
        <f>(bal!AH39+bal!AH34)/(bal!AH56+bal!AH39+bal!AH34)</f>
        <v>0.27802726914974879</v>
      </c>
      <c r="BN55" s="640">
        <f>(bal!AJ39+bal!AJ34)/(bal!AJ56+bal!AJ39+bal!AJ34)</f>
        <v>0.29261599779934583</v>
      </c>
      <c r="BO55" s="632"/>
      <c r="BP55" s="640">
        <f>(bal!AL39+bal!AL34)/(bal!AL56+bal!AL39+bal!AL34)</f>
        <v>0.25543067970710387</v>
      </c>
      <c r="BQ55" s="640">
        <f>(bal!AN39+bal!AN34)/(bal!AN56+bal!AN39+bal!AN34)</f>
        <v>0.2810367668118034</v>
      </c>
      <c r="BR55" s="640">
        <f>(bal!AP39+bal!AP34)/(bal!AP56+bal!AP39+bal!AP34)</f>
        <v>0.26216284040882237</v>
      </c>
      <c r="BS55" s="640">
        <f>(bal!AR39+bal!AR34)/(bal!AR56+bal!AR39+bal!AR34)</f>
        <v>0.21135625850085746</v>
      </c>
      <c r="BT55" s="634"/>
      <c r="BU55" s="640">
        <f>(bal!AT39+bal!AT34)/(bal!AT56+bal!AT39+bal!AT34)</f>
        <v>0.19988132046597332</v>
      </c>
      <c r="BV55" s="640">
        <f>(bal!AV39+bal!AV34)/(bal!AV56+bal!AV39+bal!AV34)</f>
        <v>0.19440800488783727</v>
      </c>
      <c r="BW55" s="640">
        <f>(bal!AX39+bal!AX34)/(bal!AX56+bal!AX39+bal!AX34)</f>
        <v>0.17442943783894069</v>
      </c>
      <c r="BX55" s="640">
        <f>(bal!AZ39+bal!AZ34)/(bal!AZ56+bal!AZ39+bal!AZ34)</f>
        <v>0.23150268281387593</v>
      </c>
      <c r="BY55" s="640"/>
      <c r="BZ55" s="1193"/>
      <c r="CA55" s="1193"/>
      <c r="CB55" s="1193"/>
      <c r="CC55" s="1193"/>
      <c r="CD55" s="632"/>
      <c r="CE55" s="640">
        <f>(bal!AZ39+bal!AZ34)/(bal!AZ56+bal!AZ39+bal!AZ34)</f>
        <v>0.23150268281387593</v>
      </c>
      <c r="CF55" s="1193"/>
      <c r="CG55" s="1193"/>
      <c r="CH55" s="1193"/>
      <c r="CI55" s="632"/>
      <c r="CJ55" s="640">
        <f>(bal!BB39+bal!BB34)/(bal!BB56+bal!BB39+bal!BB34)</f>
        <v>0.27579490757534192</v>
      </c>
      <c r="CK55" s="640">
        <f>(bal!BD39+bal!BD34)/(bal!BD56+bal!BD39+bal!BD34)</f>
        <v>0.27270902006170639</v>
      </c>
      <c r="CL55" s="640">
        <f>(bal!BF39+bal!BF34)/(bal!BF56+bal!BF39+bal!BF34)</f>
        <v>0.33059268961820354</v>
      </c>
      <c r="CM55" s="640">
        <f>(bal!BH39+bal!BH34)/(bal!BH56+bal!BH39+bal!BH34)</f>
        <v>0.30229437992112645</v>
      </c>
      <c r="CN55" s="2078"/>
      <c r="CO55" s="632"/>
      <c r="CP55" s="636"/>
      <c r="CQ55" s="632"/>
      <c r="CR55" s="632"/>
      <c r="CS55" s="632"/>
      <c r="CT55" s="632"/>
      <c r="CU55" s="637" t="s">
        <v>383</v>
      </c>
      <c r="CV55" s="632"/>
      <c r="CW55" s="632"/>
      <c r="CX55" s="632"/>
      <c r="CY55" s="632"/>
      <c r="CZ55" s="632"/>
      <c r="DA55" s="632"/>
      <c r="DB55" s="632"/>
      <c r="DC55" s="632"/>
      <c r="DD55" s="632"/>
      <c r="DE55" s="638">
        <f>yrSales!M157</f>
        <v>131</v>
      </c>
      <c r="DF55" s="638">
        <f>yrSales!N157</f>
        <v>146</v>
      </c>
      <c r="DG55" s="638">
        <f>yrSales!O157</f>
        <v>160</v>
      </c>
      <c r="DH55" s="638">
        <f>yrSales!P157</f>
        <v>168</v>
      </c>
      <c r="DI55" s="638">
        <f>yrSales!Q157</f>
        <v>174</v>
      </c>
      <c r="DJ55" s="638">
        <f>yrSales!R157</f>
        <v>184</v>
      </c>
      <c r="DK55" s="638">
        <f>yrSales!S157</f>
        <v>191</v>
      </c>
      <c r="DL55" s="638">
        <f>yrSales!T157</f>
        <v>202</v>
      </c>
      <c r="DM55" s="638">
        <f>yrSales!U157</f>
        <v>211</v>
      </c>
      <c r="DN55" s="638">
        <f>yrSales!V157</f>
        <v>215</v>
      </c>
      <c r="DO55" s="638">
        <f>yrSales!W157</f>
        <v>216</v>
      </c>
      <c r="DP55" s="638">
        <f>yrSales!X157</f>
        <v>222</v>
      </c>
      <c r="DQ55" s="638">
        <f>yrSales!Y157</f>
        <v>227</v>
      </c>
      <c r="DR55" s="638">
        <f>yrSales!Z157</f>
        <v>234</v>
      </c>
      <c r="DS55" s="638">
        <f>yrSales!AA157</f>
        <v>245</v>
      </c>
      <c r="DT55" s="638">
        <f>yrSales!AB157</f>
        <v>255</v>
      </c>
      <c r="DU55" s="638">
        <f>yrSales!AC157</f>
        <v>264</v>
      </c>
      <c r="DV55" s="638">
        <f>yrSales!AD157</f>
        <v>279</v>
      </c>
      <c r="DW55" s="638">
        <f>yrSales!AE157</f>
        <v>294</v>
      </c>
      <c r="DX55" s="639">
        <f>yrSales!AF157</f>
        <v>309</v>
      </c>
      <c r="DY55" s="639">
        <f>yrSales!AG157</f>
        <v>324</v>
      </c>
      <c r="DZ55" s="627"/>
      <c r="EA55" s="627"/>
      <c r="EG55" s="627"/>
      <c r="EJ55" s="1193"/>
      <c r="EK55" s="1193"/>
    </row>
    <row r="56" spans="1:141">
      <c r="A56" s="630" t="s">
        <v>367</v>
      </c>
      <c r="B56" s="631"/>
      <c r="C56" s="632"/>
      <c r="D56" s="632"/>
      <c r="E56" s="632"/>
      <c r="F56" s="632"/>
      <c r="G56" s="632"/>
      <c r="H56" s="632"/>
      <c r="I56" s="632"/>
      <c r="J56" s="633"/>
      <c r="K56" s="633"/>
      <c r="L56" s="632"/>
      <c r="M56" s="632"/>
      <c r="N56" s="632"/>
      <c r="O56" s="632"/>
      <c r="P56" s="632"/>
      <c r="Q56" s="631"/>
      <c r="R56" s="633"/>
      <c r="S56" s="633"/>
      <c r="T56" s="632"/>
      <c r="U56" s="632"/>
      <c r="V56" s="631"/>
      <c r="W56" s="632"/>
      <c r="X56" s="632"/>
      <c r="Y56" s="632"/>
      <c r="Z56" s="632"/>
      <c r="AA56" s="631"/>
      <c r="AB56" s="632"/>
      <c r="AC56" s="632"/>
      <c r="AD56" s="632"/>
      <c r="AE56" s="632"/>
      <c r="AF56" s="632"/>
      <c r="AG56" s="632"/>
      <c r="AH56" s="632"/>
      <c r="AI56" s="632"/>
      <c r="AJ56" s="632"/>
      <c r="AK56" s="632"/>
      <c r="AL56" s="634"/>
      <c r="AM56" s="634"/>
      <c r="AN56" s="634"/>
      <c r="AO56" s="634"/>
      <c r="AP56" s="634"/>
      <c r="AQ56" s="634"/>
      <c r="AR56" s="634"/>
      <c r="AS56" s="634"/>
      <c r="AT56" s="634"/>
      <c r="AU56" s="634"/>
      <c r="AV56" s="634"/>
      <c r="AW56" s="634"/>
      <c r="AX56" s="634"/>
      <c r="AY56" s="634"/>
      <c r="AZ56" s="634"/>
      <c r="BA56" s="634"/>
      <c r="BB56" s="634"/>
      <c r="BC56" s="634"/>
      <c r="BD56" s="634"/>
      <c r="BE56" s="634"/>
      <c r="BF56" s="634"/>
      <c r="BG56" s="634"/>
      <c r="BH56" s="634"/>
      <c r="BI56" s="634"/>
      <c r="BJ56" s="634"/>
      <c r="BK56" s="640">
        <f>flow!AB8/AVERAGE(bal!AB56,bal!AD56)</f>
        <v>0.4206695286461602</v>
      </c>
      <c r="BL56" s="640">
        <f>flow!AD8/AVERAGE(bal!AD56,bal!AF56)</f>
        <v>0.41155144207311462</v>
      </c>
      <c r="BM56" s="640">
        <f>flow!AF8/AVERAGE(bal!AF56,bal!AH56)</f>
        <v>0.36963282795949276</v>
      </c>
      <c r="BN56" s="640">
        <f>flow!AH8/AVERAGE(bal!AH56,bal!AJ56)</f>
        <v>0.37943564674750935</v>
      </c>
      <c r="BO56" s="632"/>
      <c r="BP56" s="640">
        <f>flow!AJ8/AVERAGE(bal!AJ56,bal!AL56)</f>
        <v>0.35289443013310579</v>
      </c>
      <c r="BQ56" s="640">
        <f>flow!AL8/AVERAGE(bal!AL56,bal!AN56)</f>
        <v>0.34910025544141787</v>
      </c>
      <c r="BR56" s="640">
        <f>flow!AN8/AVERAGE(bal!AN56,bal!AP56)</f>
        <v>0.41287289002161848</v>
      </c>
      <c r="BS56" s="640">
        <f>flow!AP8/AVERAGE(bal!AP56,bal!AR56)</f>
        <v>0.48312593193284881</v>
      </c>
      <c r="BT56" s="634"/>
      <c r="BU56" s="640">
        <f>flow!AR8/AVERAGE(bal!AR56,bal!AT56)</f>
        <v>0.4485228599932376</v>
      </c>
      <c r="BV56" s="640">
        <f>flow!AT8/AVERAGE(bal!AT56,bal!AV56)</f>
        <v>0.47425748380655569</v>
      </c>
      <c r="BW56" s="640">
        <f>flow!AV8/AVERAGE(bal!AV56,bal!AX56)</f>
        <v>0.55465426814270991</v>
      </c>
      <c r="BX56" s="640">
        <f>flow!AX8/AVERAGE(bal!AX56,bal!AZ56)</f>
        <v>0.54139821146098621</v>
      </c>
      <c r="BY56" s="640"/>
      <c r="BZ56" s="1193"/>
      <c r="CA56" s="1193"/>
      <c r="CB56" s="1193"/>
      <c r="CC56" s="1193"/>
      <c r="CD56" s="632"/>
      <c r="CE56" s="640">
        <f>flow!AX8/AVERAGE(bal!AX56,bal!AZ56)</f>
        <v>0.54139821146098621</v>
      </c>
      <c r="CF56" s="1193"/>
      <c r="CG56" s="1193"/>
      <c r="CH56" s="1193"/>
      <c r="CI56" s="632"/>
      <c r="CJ56" s="640">
        <f>flow!AZ8/AVERAGE(bal!AZ56,bal!BB56)</f>
        <v>0.52156731745655838</v>
      </c>
      <c r="CK56" s="640">
        <f>flow!BB8/AVERAGE(bal!BB56,bal!BD56)</f>
        <v>0.53146510031693106</v>
      </c>
      <c r="CL56" s="640">
        <f>flow!BD8/AVERAGE(bal!BD56,bal!BF56)</f>
        <v>0.52127920355232382</v>
      </c>
      <c r="CM56" s="640">
        <f>flow!BF8/AVERAGE(bal!BF56,bal!BH56)</f>
        <v>0.54000937373918134</v>
      </c>
      <c r="CN56" s="2078"/>
      <c r="CO56" s="632"/>
      <c r="CP56" s="636"/>
      <c r="CQ56" s="632"/>
      <c r="CR56" s="632"/>
      <c r="CS56" s="632"/>
      <c r="CT56" s="632"/>
      <c r="CU56" s="637" t="s">
        <v>380</v>
      </c>
      <c r="CV56" s="632"/>
      <c r="CW56" s="632"/>
      <c r="CX56" s="632"/>
      <c r="CY56" s="632"/>
      <c r="CZ56" s="632"/>
      <c r="DA56" s="632"/>
      <c r="DB56" s="632"/>
      <c r="DC56" s="632"/>
      <c r="DD56" s="632"/>
      <c r="DE56" s="638">
        <f>yrSales!M204</f>
        <v>101</v>
      </c>
      <c r="DF56" s="638">
        <f>yrSales!N204</f>
        <v>123</v>
      </c>
      <c r="DG56" s="638">
        <f>yrSales!O204</f>
        <v>147</v>
      </c>
      <c r="DH56" s="638">
        <f>yrSales!P204</f>
        <v>170</v>
      </c>
      <c r="DI56" s="638">
        <f>yrSales!Q204</f>
        <v>197</v>
      </c>
      <c r="DJ56" s="638">
        <f>yrSales!R204</f>
        <v>210</v>
      </c>
      <c r="DK56" s="638">
        <f>yrSales!S204</f>
        <v>226</v>
      </c>
      <c r="DL56" s="638">
        <f>yrSales!T204</f>
        <v>242</v>
      </c>
      <c r="DM56" s="638">
        <f>yrSales!U204</f>
        <v>277</v>
      </c>
      <c r="DN56" s="638">
        <f>yrSales!V204</f>
        <v>331</v>
      </c>
      <c r="DO56" s="638">
        <f>yrSales!W204</f>
        <v>356</v>
      </c>
      <c r="DP56" s="638">
        <f>yrSales!X204</f>
        <v>367</v>
      </c>
      <c r="DQ56" s="638">
        <f>yrSales!Y204</f>
        <v>399</v>
      </c>
      <c r="DR56" s="638">
        <f>yrSales!Z204</f>
        <v>440</v>
      </c>
      <c r="DS56" s="638">
        <f>yrSales!AA204</f>
        <v>495</v>
      </c>
      <c r="DT56" s="638">
        <f>yrSales!AB204</f>
        <v>547</v>
      </c>
      <c r="DU56" s="638">
        <f>yrSales!AC204</f>
        <v>595</v>
      </c>
      <c r="DV56" s="638">
        <f>yrSales!AD204</f>
        <v>625</v>
      </c>
      <c r="DW56" s="638">
        <f>yrSales!AE204</f>
        <v>675</v>
      </c>
      <c r="DX56" s="639">
        <f>yrSales!AF204</f>
        <v>725</v>
      </c>
      <c r="DY56" s="639">
        <f>yrSales!AG204</f>
        <v>775</v>
      </c>
      <c r="DZ56" s="627"/>
      <c r="EA56" s="627"/>
      <c r="EG56" s="627"/>
      <c r="EJ56" s="2063"/>
      <c r="EK56" s="1193"/>
    </row>
    <row r="57" spans="1:141">
      <c r="A57" s="641"/>
      <c r="B57" s="642"/>
      <c r="C57" s="643"/>
      <c r="D57" s="643"/>
      <c r="E57" s="643"/>
      <c r="F57" s="643"/>
      <c r="G57" s="643"/>
      <c r="H57" s="643"/>
      <c r="I57" s="643"/>
      <c r="J57" s="644"/>
      <c r="K57" s="644"/>
      <c r="L57" s="643"/>
      <c r="M57" s="643"/>
      <c r="N57" s="643"/>
      <c r="O57" s="643"/>
      <c r="P57" s="643"/>
      <c r="Q57" s="642"/>
      <c r="R57" s="644"/>
      <c r="S57" s="644"/>
      <c r="T57" s="643"/>
      <c r="U57" s="643"/>
      <c r="V57" s="642"/>
      <c r="W57" s="643"/>
      <c r="X57" s="643"/>
      <c r="Y57" s="643"/>
      <c r="Z57" s="643"/>
      <c r="AA57" s="642"/>
      <c r="AB57" s="643"/>
      <c r="AC57" s="643"/>
      <c r="AD57" s="645"/>
      <c r="AE57" s="643"/>
      <c r="AF57" s="642"/>
      <c r="AG57" s="643"/>
      <c r="AH57" s="643"/>
      <c r="AI57" s="645"/>
      <c r="AJ57" s="643"/>
      <c r="AK57" s="643"/>
      <c r="AL57" s="643"/>
      <c r="AM57" s="643"/>
      <c r="AN57" s="645"/>
      <c r="AO57" s="643"/>
      <c r="AP57" s="643"/>
      <c r="AQ57" s="643"/>
      <c r="AR57" s="643"/>
      <c r="AS57" s="643"/>
      <c r="AT57" s="643"/>
      <c r="AU57" s="643"/>
      <c r="AV57" s="645"/>
      <c r="AW57" s="643"/>
      <c r="AX57" s="643"/>
      <c r="AY57" s="643"/>
      <c r="AZ57" s="643"/>
      <c r="BA57" s="645"/>
      <c r="BB57" s="643"/>
      <c r="BC57" s="643"/>
      <c r="BD57" s="643"/>
      <c r="BE57" s="643"/>
      <c r="BF57" s="643"/>
      <c r="BG57" s="643"/>
      <c r="BH57" s="643"/>
      <c r="BI57" s="643"/>
      <c r="BJ57" s="643"/>
      <c r="BK57" s="643"/>
      <c r="BL57" s="645"/>
      <c r="BM57" s="643"/>
      <c r="BN57" s="643"/>
      <c r="BO57" s="643"/>
      <c r="BP57" s="643"/>
      <c r="BQ57" s="643"/>
      <c r="BR57" s="643"/>
      <c r="BS57" s="643"/>
      <c r="BT57" s="643"/>
      <c r="BU57" s="643"/>
      <c r="BV57" s="643"/>
      <c r="BW57" s="643"/>
      <c r="BX57" s="643"/>
      <c r="BY57" s="643"/>
      <c r="BZ57" s="2081"/>
      <c r="CA57" s="2081"/>
      <c r="CB57" s="2081"/>
      <c r="CC57" s="2081"/>
      <c r="CD57" s="643"/>
      <c r="CE57" s="643"/>
      <c r="CF57" s="2081"/>
      <c r="CG57" s="2081"/>
      <c r="CH57" s="2081"/>
      <c r="CI57" s="643"/>
      <c r="CJ57" s="643"/>
      <c r="CK57" s="643"/>
      <c r="CL57" s="643"/>
      <c r="CM57" s="643"/>
      <c r="CN57" s="646"/>
      <c r="CO57" s="632"/>
      <c r="CP57" s="636"/>
      <c r="CQ57" s="632"/>
      <c r="CR57" s="632"/>
      <c r="CS57" s="632"/>
      <c r="CT57" s="632"/>
      <c r="CU57" s="637" t="s">
        <v>381</v>
      </c>
      <c r="CV57" s="632"/>
      <c r="CW57" s="632"/>
      <c r="CX57" s="632"/>
      <c r="CY57" s="632"/>
      <c r="CZ57" s="632"/>
      <c r="DA57" s="632"/>
      <c r="DB57" s="632"/>
      <c r="DC57" s="632"/>
      <c r="DD57" s="632"/>
      <c r="DE57" s="638">
        <f>yrSales!M246</f>
        <v>112</v>
      </c>
      <c r="DF57" s="638">
        <f>yrSales!N246</f>
        <v>142</v>
      </c>
      <c r="DG57" s="638">
        <f>yrSales!O246</f>
        <v>182</v>
      </c>
      <c r="DH57" s="638">
        <f>yrSales!P246</f>
        <v>216</v>
      </c>
      <c r="DI57" s="638">
        <f>yrSales!Q246</f>
        <v>251</v>
      </c>
      <c r="DJ57" s="638">
        <f>yrSales!R246</f>
        <v>270</v>
      </c>
      <c r="DK57" s="638">
        <f>yrSales!S246</f>
        <v>289</v>
      </c>
      <c r="DL57" s="638">
        <f>yrSales!T246</f>
        <v>318</v>
      </c>
      <c r="DM57" s="638">
        <f>yrSales!U246</f>
        <v>323</v>
      </c>
      <c r="DN57" s="638">
        <f>yrSales!V246</f>
        <v>336</v>
      </c>
      <c r="DO57" s="638">
        <f>yrSales!W246</f>
        <v>374</v>
      </c>
      <c r="DP57" s="638">
        <f>yrSales!X246</f>
        <v>415</v>
      </c>
      <c r="DQ57" s="638">
        <f>yrSales!Y246</f>
        <v>450</v>
      </c>
      <c r="DR57" s="638">
        <f>yrSales!Z246</f>
        <v>487</v>
      </c>
      <c r="DS57" s="638">
        <f>yrSales!AA246</f>
        <v>526</v>
      </c>
      <c r="DT57" s="638">
        <f>yrSales!AB246</f>
        <v>579</v>
      </c>
      <c r="DU57" s="638">
        <f>yrSales!AC246</f>
        <v>671</v>
      </c>
      <c r="DV57" s="638">
        <f>yrSales!AD246</f>
        <v>771</v>
      </c>
      <c r="DW57" s="638">
        <f>yrSales!AE246</f>
        <v>811</v>
      </c>
      <c r="DX57" s="639">
        <f>yrSales!AF246</f>
        <v>851</v>
      </c>
      <c r="DY57" s="639">
        <f>yrSales!AG246</f>
        <v>891</v>
      </c>
      <c r="DZ57" s="627"/>
      <c r="EA57" s="627"/>
      <c r="EG57" s="627"/>
      <c r="EJ57" s="1193"/>
      <c r="EK57" s="1193"/>
    </row>
    <row r="58" spans="1:141" hidden="1" outlineLevel="1">
      <c r="A58" s="632"/>
      <c r="B58" s="631"/>
      <c r="C58" s="632"/>
      <c r="D58" s="632"/>
      <c r="E58" s="632"/>
      <c r="F58" s="632"/>
      <c r="G58" s="632"/>
      <c r="H58" s="632"/>
      <c r="I58" s="632"/>
      <c r="J58" s="633"/>
      <c r="K58" s="633"/>
      <c r="L58" s="632"/>
      <c r="M58" s="632"/>
      <c r="N58" s="632"/>
      <c r="O58" s="632"/>
      <c r="P58" s="632"/>
      <c r="Q58" s="631"/>
      <c r="R58" s="633"/>
      <c r="S58" s="633"/>
      <c r="T58" s="632"/>
      <c r="U58" s="632"/>
      <c r="V58" s="631"/>
      <c r="W58" s="632"/>
      <c r="X58" s="632"/>
      <c r="Y58" s="632"/>
      <c r="Z58" s="632"/>
      <c r="AA58" s="631"/>
      <c r="AB58" s="632"/>
      <c r="AC58" s="632"/>
      <c r="AD58" s="647"/>
      <c r="AE58" s="632"/>
      <c r="AF58" s="631"/>
      <c r="AG58" s="632"/>
      <c r="AH58" s="632"/>
      <c r="AI58" s="647"/>
      <c r="AJ58" s="632"/>
      <c r="AK58" s="632"/>
      <c r="AL58" s="632"/>
      <c r="AM58" s="632"/>
      <c r="AN58" s="647"/>
      <c r="AO58" s="632"/>
      <c r="AP58" s="632"/>
      <c r="AQ58" s="632"/>
      <c r="AR58" s="632"/>
      <c r="AS58" s="632"/>
      <c r="AT58" s="632"/>
      <c r="AU58" s="632"/>
      <c r="AV58" s="647"/>
      <c r="AW58" s="632"/>
      <c r="AX58" s="632"/>
      <c r="AY58" s="632"/>
      <c r="AZ58" s="632"/>
      <c r="BA58" s="647"/>
      <c r="BB58" s="632"/>
      <c r="BC58" s="632"/>
      <c r="BD58" s="632"/>
      <c r="BE58" s="632"/>
      <c r="BF58" s="632"/>
      <c r="BG58" s="632"/>
      <c r="BH58" s="632"/>
      <c r="BI58" s="632"/>
      <c r="BJ58" s="632"/>
      <c r="BK58" s="632"/>
      <c r="BL58" s="647"/>
      <c r="BM58" s="632"/>
      <c r="BN58" s="632"/>
      <c r="BO58" s="632"/>
      <c r="BP58" s="632"/>
      <c r="BQ58" s="632"/>
      <c r="BR58" s="632"/>
      <c r="BS58" s="632"/>
      <c r="BT58" s="632"/>
      <c r="BU58" s="632"/>
      <c r="BV58" s="632"/>
      <c r="BW58" s="632"/>
      <c r="BX58" s="632"/>
      <c r="BY58" s="632"/>
      <c r="BZ58" s="632"/>
      <c r="CA58" s="632"/>
      <c r="CB58" s="632"/>
      <c r="CC58" s="632"/>
      <c r="CD58" s="632"/>
      <c r="CE58" s="632"/>
      <c r="CF58" s="647"/>
      <c r="CG58" s="632"/>
      <c r="CH58" s="632"/>
      <c r="CI58" s="632"/>
      <c r="CJ58" s="632"/>
      <c r="CK58" s="636"/>
      <c r="CL58" s="632"/>
      <c r="CM58" s="632"/>
      <c r="CN58" s="632"/>
      <c r="CO58" s="632"/>
      <c r="CP58" s="636"/>
      <c r="CQ58" s="632"/>
      <c r="CR58" s="632"/>
      <c r="CS58" s="632"/>
      <c r="CT58" s="632"/>
      <c r="CU58" s="637" t="s">
        <v>374</v>
      </c>
      <c r="CV58" s="632"/>
      <c r="CW58" s="632"/>
      <c r="CX58" s="632"/>
      <c r="CY58" s="632"/>
      <c r="CZ58" s="632"/>
      <c r="DA58" s="632"/>
      <c r="DB58" s="632"/>
      <c r="DC58" s="632"/>
      <c r="DD58" s="632"/>
      <c r="DE58" s="638">
        <f>yrSales!M287</f>
        <v>45</v>
      </c>
      <c r="DF58" s="638">
        <f>yrSales!N287</f>
        <v>75</v>
      </c>
      <c r="DG58" s="638">
        <f>yrSales!O287</f>
        <v>99</v>
      </c>
      <c r="DH58" s="638">
        <f>yrSales!P287</f>
        <v>130</v>
      </c>
      <c r="DI58" s="638">
        <f>yrSales!Q287</f>
        <v>152</v>
      </c>
      <c r="DJ58" s="638">
        <f>yrSales!R287</f>
        <v>129</v>
      </c>
      <c r="DK58" s="638">
        <f>yrSales!S287</f>
        <v>129</v>
      </c>
      <c r="DL58" s="638">
        <f>yrSales!T287</f>
        <v>135</v>
      </c>
      <c r="DM58" s="638">
        <f>yrSales!U287</f>
        <v>150</v>
      </c>
      <c r="DN58" s="638">
        <f>yrSales!V287</f>
        <v>142</v>
      </c>
      <c r="DO58" s="638">
        <f>yrSales!W287</f>
        <v>0</v>
      </c>
      <c r="DP58" s="638">
        <f>yrSales!X287</f>
        <v>0</v>
      </c>
      <c r="DQ58" s="638">
        <f>yrSales!Y287</f>
        <v>0</v>
      </c>
      <c r="DR58" s="638">
        <f>yrSales!Z287</f>
        <v>0</v>
      </c>
      <c r="DS58" s="638">
        <f>yrSales!AA287</f>
        <v>0</v>
      </c>
      <c r="DT58" s="638">
        <f>yrSales!AB287</f>
        <v>0</v>
      </c>
      <c r="DU58" s="638">
        <f>yrSales!AC287</f>
        <v>0</v>
      </c>
      <c r="DV58" s="638">
        <f>yrSales!AD287</f>
        <v>0</v>
      </c>
      <c r="DW58" s="638">
        <f>yrSales!AE287</f>
        <v>0</v>
      </c>
      <c r="DX58" s="639">
        <f>yrSales!AF287</f>
        <v>0</v>
      </c>
      <c r="DY58" s="639">
        <f>yrSales!AG287</f>
        <v>0</v>
      </c>
      <c r="DZ58" s="627"/>
      <c r="EA58" s="627"/>
      <c r="EG58" s="627"/>
      <c r="EJ58" s="1193"/>
      <c r="EK58" s="1193"/>
    </row>
    <row r="59" spans="1:141" collapsed="1">
      <c r="A59" s="632"/>
      <c r="B59" s="631"/>
      <c r="C59" s="632"/>
      <c r="D59" s="632"/>
      <c r="E59" s="632"/>
      <c r="F59" s="632"/>
      <c r="G59" s="632"/>
      <c r="H59" s="632"/>
      <c r="I59" s="632"/>
      <c r="J59" s="633"/>
      <c r="K59" s="633"/>
      <c r="L59" s="632"/>
      <c r="M59" s="632"/>
      <c r="N59" s="632"/>
      <c r="O59" s="632"/>
      <c r="P59" s="632"/>
      <c r="Q59" s="631"/>
      <c r="R59" s="633"/>
      <c r="S59" s="633"/>
      <c r="T59" s="632"/>
      <c r="U59" s="632"/>
      <c r="V59" s="631"/>
      <c r="W59" s="632"/>
      <c r="X59" s="632"/>
      <c r="Y59" s="632"/>
      <c r="Z59" s="632"/>
      <c r="AA59" s="631"/>
      <c r="AB59" s="632"/>
      <c r="AC59" s="632"/>
      <c r="AD59" s="647"/>
      <c r="AE59" s="632"/>
      <c r="AF59" s="631"/>
      <c r="AG59" s="632"/>
      <c r="AH59" s="632"/>
      <c r="AI59" s="647"/>
      <c r="AJ59" s="632"/>
      <c r="AK59" s="632"/>
      <c r="AL59" s="632"/>
      <c r="AM59" s="632"/>
      <c r="AN59" s="647"/>
      <c r="AO59" s="632"/>
      <c r="AP59" s="632"/>
      <c r="AQ59" s="632"/>
      <c r="AR59" s="632"/>
      <c r="AS59" s="632"/>
      <c r="AT59" s="632"/>
      <c r="AU59" s="632"/>
      <c r="AV59" s="647"/>
      <c r="AW59" s="632"/>
      <c r="AX59" s="632"/>
      <c r="AY59" s="632"/>
      <c r="AZ59" s="632"/>
      <c r="BA59" s="647"/>
      <c r="BB59" s="632"/>
      <c r="BC59" s="632"/>
      <c r="BD59" s="632"/>
      <c r="BE59" s="632"/>
      <c r="BF59" s="632"/>
      <c r="BG59" s="632"/>
      <c r="BH59" s="632"/>
      <c r="BI59" s="632"/>
      <c r="BJ59" s="632"/>
      <c r="BK59" s="632"/>
      <c r="BL59" s="647"/>
      <c r="BM59" s="632"/>
      <c r="BN59" s="632"/>
      <c r="BO59" s="632"/>
      <c r="BP59" s="632"/>
      <c r="BQ59" s="632"/>
      <c r="BR59" s="632"/>
      <c r="BS59" s="632"/>
      <c r="BT59" s="632"/>
      <c r="BU59" s="632"/>
      <c r="BV59" s="632"/>
      <c r="BW59" s="632"/>
      <c r="BX59" s="632"/>
      <c r="BY59" s="632"/>
      <c r="BZ59" s="632"/>
      <c r="CA59" s="632"/>
      <c r="CB59" s="632"/>
      <c r="CC59" s="632"/>
      <c r="CD59" s="632"/>
      <c r="CE59" s="632"/>
      <c r="CF59" s="647"/>
      <c r="CG59" s="632"/>
      <c r="CH59" s="632"/>
      <c r="CI59" s="632"/>
      <c r="CJ59" s="632"/>
      <c r="CK59" s="636"/>
      <c r="CL59" s="632"/>
      <c r="CM59" s="632"/>
      <c r="CN59" s="632"/>
      <c r="CO59" s="632"/>
      <c r="CP59" s="636"/>
      <c r="CQ59" s="632"/>
      <c r="CR59" s="632"/>
      <c r="CS59" s="632"/>
      <c r="CT59" s="632"/>
      <c r="CU59" s="637" t="s">
        <v>709</v>
      </c>
      <c r="CV59" s="632"/>
      <c r="CW59" s="632"/>
      <c r="CX59" s="632"/>
      <c r="CY59" s="632"/>
      <c r="CZ59" s="632"/>
      <c r="DA59" s="632"/>
      <c r="DB59" s="632"/>
      <c r="DC59" s="632"/>
      <c r="DD59" s="632"/>
      <c r="DE59" s="638">
        <f>yrSales!M158</f>
        <v>7</v>
      </c>
      <c r="DF59" s="638">
        <f>yrSales!N158</f>
        <v>15</v>
      </c>
      <c r="DG59" s="638">
        <f>yrSales!O158</f>
        <v>25</v>
      </c>
      <c r="DH59" s="638">
        <f>yrSales!P158</f>
        <v>40</v>
      </c>
      <c r="DI59" s="638">
        <f>yrSales!Q158</f>
        <v>58</v>
      </c>
      <c r="DJ59" s="638">
        <f>yrSales!R158</f>
        <v>68</v>
      </c>
      <c r="DK59" s="638">
        <f>yrSales!S158</f>
        <v>71</v>
      </c>
      <c r="DL59" s="638">
        <f>yrSales!T158</f>
        <v>75</v>
      </c>
      <c r="DM59" s="638">
        <f>yrSales!U158</f>
        <v>79</v>
      </c>
      <c r="DN59" s="638">
        <f>yrSales!V158</f>
        <v>82</v>
      </c>
      <c r="DO59" s="638">
        <f>yrSales!W158</f>
        <v>86</v>
      </c>
      <c r="DP59" s="638">
        <f>yrSales!X158</f>
        <v>88</v>
      </c>
      <c r="DQ59" s="638">
        <f>yrSales!Y158</f>
        <v>91</v>
      </c>
      <c r="DR59" s="638">
        <f>yrSales!Z158</f>
        <v>96</v>
      </c>
      <c r="DS59" s="638">
        <f>yrSales!AA158</f>
        <v>101</v>
      </c>
      <c r="DT59" s="638">
        <f>yrSales!AB158</f>
        <v>106</v>
      </c>
      <c r="DU59" s="638">
        <f>yrSales!AC158</f>
        <v>117</v>
      </c>
      <c r="DV59" s="638">
        <f>yrSales!AD158</f>
        <v>122</v>
      </c>
      <c r="DW59" s="638">
        <f>yrSales!AE158</f>
        <v>127</v>
      </c>
      <c r="DX59" s="639">
        <f>yrSales!AF158</f>
        <v>132</v>
      </c>
      <c r="DY59" s="639">
        <f>yrSales!AG158</f>
        <v>137</v>
      </c>
      <c r="DZ59" s="627"/>
      <c r="EA59" s="627"/>
      <c r="EG59" s="627"/>
      <c r="EJ59" s="1193"/>
      <c r="EK59" s="1193"/>
    </row>
    <row r="60" spans="1:141" hidden="1" outlineLevel="1">
      <c r="A60" s="632"/>
      <c r="B60" s="648"/>
      <c r="C60" s="632"/>
      <c r="D60" s="632"/>
      <c r="E60" s="632"/>
      <c r="F60" s="632"/>
      <c r="G60" s="632"/>
      <c r="H60" s="632"/>
      <c r="I60" s="632"/>
      <c r="J60" s="649"/>
      <c r="K60" s="649"/>
      <c r="L60" s="632"/>
      <c r="M60" s="632"/>
      <c r="N60" s="632"/>
      <c r="O60" s="632"/>
      <c r="P60" s="632"/>
      <c r="Q60" s="648"/>
      <c r="R60" s="649"/>
      <c r="S60" s="649"/>
      <c r="T60" s="632"/>
      <c r="U60" s="632"/>
      <c r="V60" s="648"/>
      <c r="W60" s="632"/>
      <c r="X60" s="627"/>
      <c r="Y60" s="627"/>
      <c r="Z60" s="627"/>
      <c r="AA60" s="648"/>
      <c r="AB60" s="632"/>
      <c r="AC60" s="627"/>
      <c r="AD60" s="650"/>
      <c r="AE60" s="632"/>
      <c r="AF60" s="648"/>
      <c r="AG60" s="632"/>
      <c r="AH60" s="627"/>
      <c r="AI60" s="647"/>
      <c r="AJ60" s="632"/>
      <c r="AK60" s="632"/>
      <c r="AL60" s="632"/>
      <c r="AM60" s="627"/>
      <c r="AN60" s="647"/>
      <c r="AO60" s="632"/>
      <c r="AP60" s="632"/>
      <c r="AQ60" s="632"/>
      <c r="AR60" s="627"/>
      <c r="AS60" s="627"/>
      <c r="AT60" s="632"/>
      <c r="AU60" s="632"/>
      <c r="AV60" s="647"/>
      <c r="AW60" s="632"/>
      <c r="AX60" s="632"/>
      <c r="AY60" s="632"/>
      <c r="AZ60" s="632"/>
      <c r="BA60" s="647"/>
      <c r="BB60" s="632"/>
      <c r="BC60" s="632"/>
      <c r="BD60" s="632"/>
      <c r="BE60" s="632"/>
      <c r="BF60" s="627"/>
      <c r="BG60" s="632"/>
      <c r="BH60" s="632"/>
      <c r="BI60" s="632"/>
      <c r="BJ60" s="632"/>
      <c r="BK60" s="627"/>
      <c r="BL60" s="647"/>
      <c r="BM60" s="632"/>
      <c r="BN60" s="632"/>
      <c r="BO60" s="632"/>
      <c r="BP60" s="627"/>
      <c r="BQ60" s="627"/>
      <c r="BR60" s="627"/>
      <c r="BS60" s="627"/>
      <c r="BT60" s="627"/>
      <c r="BU60" s="627"/>
      <c r="BV60" s="627"/>
      <c r="BW60" s="627"/>
      <c r="BX60" s="627"/>
      <c r="BY60" s="627"/>
      <c r="BZ60" s="627"/>
      <c r="CA60" s="627"/>
      <c r="CB60" s="627"/>
      <c r="CC60" s="627"/>
      <c r="CD60" s="627"/>
      <c r="CE60" s="627"/>
      <c r="CF60" s="647"/>
      <c r="CG60" s="632"/>
      <c r="CH60" s="632"/>
      <c r="CI60" s="632"/>
      <c r="CJ60" s="632"/>
      <c r="CK60" s="636"/>
      <c r="CL60" s="632"/>
      <c r="CM60" s="632"/>
      <c r="CN60" s="632"/>
      <c r="CO60" s="632"/>
      <c r="CP60" s="636"/>
      <c r="CQ60" s="632"/>
      <c r="CR60" s="632"/>
      <c r="CS60" s="632"/>
      <c r="CT60" s="632"/>
      <c r="CU60" s="637" t="s">
        <v>701</v>
      </c>
      <c r="CV60" s="632"/>
      <c r="CW60" s="632"/>
      <c r="CX60" s="632"/>
      <c r="CY60" s="632"/>
      <c r="CZ60" s="632"/>
      <c r="DA60" s="632"/>
      <c r="DB60" s="632"/>
      <c r="DC60" s="632"/>
      <c r="DD60" s="632"/>
      <c r="DE60" s="638"/>
      <c r="DF60" s="638"/>
      <c r="DG60" s="638">
        <f>yrSales!O328</f>
        <v>31</v>
      </c>
      <c r="DH60" s="638">
        <f>yrSales!P328</f>
        <v>32</v>
      </c>
      <c r="DI60" s="638">
        <f>yrSales!Q328</f>
        <v>35</v>
      </c>
      <c r="DJ60" s="638">
        <f>yrSales!R328</f>
        <v>36</v>
      </c>
      <c r="DK60" s="638">
        <f>yrSales!S328</f>
        <v>34</v>
      </c>
      <c r="DL60" s="638">
        <v>0</v>
      </c>
      <c r="DM60" s="638">
        <v>0</v>
      </c>
      <c r="DN60" s="638">
        <v>0</v>
      </c>
      <c r="DO60" s="638">
        <v>0</v>
      </c>
      <c r="DP60" s="638">
        <v>0</v>
      </c>
      <c r="DQ60" s="638">
        <v>0</v>
      </c>
      <c r="DR60" s="638">
        <v>0</v>
      </c>
      <c r="DS60" s="638">
        <v>0</v>
      </c>
      <c r="DT60" s="638">
        <v>0</v>
      </c>
      <c r="DU60" s="638">
        <v>0</v>
      </c>
      <c r="DV60" s="638">
        <v>0</v>
      </c>
      <c r="DW60" s="638">
        <v>0</v>
      </c>
      <c r="DX60" s="639">
        <v>0</v>
      </c>
      <c r="DY60" s="639">
        <v>0</v>
      </c>
      <c r="DZ60" s="627"/>
      <c r="EA60" s="627"/>
      <c r="EG60" s="627"/>
      <c r="EJ60" s="1193"/>
      <c r="EK60" s="1193"/>
    </row>
    <row r="61" spans="1:141" collapsed="1">
      <c r="A61" s="632"/>
      <c r="B61" s="648"/>
      <c r="C61" s="632"/>
      <c r="D61" s="632"/>
      <c r="E61" s="632"/>
      <c r="F61" s="632"/>
      <c r="G61" s="632"/>
      <c r="H61" s="632"/>
      <c r="I61" s="632"/>
      <c r="J61" s="649"/>
      <c r="K61" s="649"/>
      <c r="L61" s="632"/>
      <c r="M61" s="632"/>
      <c r="N61" s="632"/>
      <c r="O61" s="632"/>
      <c r="P61" s="632"/>
      <c r="Q61" s="648"/>
      <c r="R61" s="640"/>
      <c r="S61" s="640"/>
      <c r="T61" s="632"/>
      <c r="U61" s="632"/>
      <c r="V61" s="648"/>
      <c r="W61" s="632"/>
      <c r="X61" s="627"/>
      <c r="Y61" s="627"/>
      <c r="Z61" s="627"/>
      <c r="AA61" s="648"/>
      <c r="AB61" s="632"/>
      <c r="AC61" s="627"/>
      <c r="AD61" s="650"/>
      <c r="AE61" s="632"/>
      <c r="AF61" s="648"/>
      <c r="AG61" s="632"/>
      <c r="AH61" s="627"/>
      <c r="AI61" s="650"/>
      <c r="AJ61" s="632"/>
      <c r="AK61" s="632"/>
      <c r="AL61" s="632"/>
      <c r="AM61" s="627"/>
      <c r="AN61" s="650"/>
      <c r="AO61" s="632"/>
      <c r="AP61" s="632"/>
      <c r="AQ61" s="632"/>
      <c r="AR61" s="627"/>
      <c r="AS61" s="627"/>
      <c r="AT61" s="632"/>
      <c r="AU61" s="632"/>
      <c r="AV61" s="650"/>
      <c r="AW61" s="632"/>
      <c r="AX61" s="632"/>
      <c r="AY61" s="632"/>
      <c r="AZ61" s="632"/>
      <c r="BA61" s="650"/>
      <c r="BB61" s="632"/>
      <c r="BC61" s="632"/>
      <c r="BD61" s="632"/>
      <c r="BE61" s="632"/>
      <c r="BF61" s="627"/>
      <c r="BG61" s="632"/>
      <c r="BH61" s="632"/>
      <c r="BI61" s="632"/>
      <c r="BJ61" s="632"/>
      <c r="BK61" s="627"/>
      <c r="BL61" s="650"/>
      <c r="BM61" s="632"/>
      <c r="BN61" s="632"/>
      <c r="BO61" s="632"/>
      <c r="BP61" s="627"/>
      <c r="BQ61" s="627"/>
      <c r="BR61" s="627"/>
      <c r="BS61" s="627"/>
      <c r="BT61" s="627"/>
      <c r="BU61" s="627"/>
      <c r="BV61" s="627"/>
      <c r="BW61" s="627"/>
      <c r="BX61" s="627"/>
      <c r="BY61" s="627"/>
      <c r="BZ61" s="627"/>
      <c r="CA61" s="627"/>
      <c r="CB61" s="627"/>
      <c r="CC61" s="627"/>
      <c r="CD61" s="627"/>
      <c r="CE61" s="627"/>
      <c r="CF61" s="650"/>
      <c r="CG61" s="632"/>
      <c r="CH61" s="632"/>
      <c r="CI61" s="632"/>
      <c r="CJ61" s="632"/>
      <c r="CK61" s="651"/>
      <c r="CL61" s="632"/>
      <c r="CM61" s="632"/>
      <c r="CN61" s="632"/>
      <c r="CO61" s="632"/>
      <c r="CP61" s="651"/>
      <c r="CQ61" s="632"/>
      <c r="CR61" s="632"/>
      <c r="CS61" s="632"/>
      <c r="CT61" s="632"/>
      <c r="CU61" s="652" t="s">
        <v>472</v>
      </c>
      <c r="CV61" s="632"/>
      <c r="CW61" s="632"/>
      <c r="CX61" s="632"/>
      <c r="CY61" s="632"/>
      <c r="CZ61" s="632"/>
      <c r="DA61" s="632"/>
      <c r="DB61" s="632"/>
      <c r="DC61" s="653"/>
      <c r="DD61" s="653"/>
      <c r="DE61" s="653">
        <f>yrSales!M31</f>
        <v>48.988999999999997</v>
      </c>
      <c r="DF61" s="653">
        <f>yrSales!N31</f>
        <v>53.826000000000001</v>
      </c>
      <c r="DG61" s="653">
        <f>yrSales!O31</f>
        <v>60.49</v>
      </c>
      <c r="DH61" s="653">
        <f>yrSales!P31</f>
        <v>64.709434678384909</v>
      </c>
      <c r="DI61" s="653">
        <f>yrSales!Q31</f>
        <v>70.575000000000017</v>
      </c>
      <c r="DJ61" s="653">
        <f>yrSales!R31</f>
        <v>73.699999999999989</v>
      </c>
      <c r="DK61" s="653">
        <f>yrSales!S31</f>
        <v>76.240000000000009</v>
      </c>
      <c r="DL61" s="653">
        <f>yrSales!T31</f>
        <v>78</v>
      </c>
      <c r="DM61" s="653">
        <f>yrSales!U31</f>
        <v>80.7</v>
      </c>
      <c r="DN61" s="653">
        <f>yrSales!V31</f>
        <v>84.1</v>
      </c>
      <c r="DO61" s="653">
        <f>yrSales!W31</f>
        <v>85.3</v>
      </c>
      <c r="DP61" s="653">
        <f>yrSales!X31</f>
        <v>89.1</v>
      </c>
      <c r="DQ61" s="653">
        <f>yrSales!Y31</f>
        <v>93.3</v>
      </c>
      <c r="DR61" s="653">
        <f>yrSales!Z31</f>
        <v>97.6</v>
      </c>
      <c r="DS61" s="653">
        <f>yrSales!AA31</f>
        <v>102.60846790271133</v>
      </c>
      <c r="DT61" s="653">
        <f>yrSales!AB31</f>
        <v>106.9</v>
      </c>
      <c r="DU61" s="653">
        <f>yrSales!AC31</f>
        <v>115.27169501574629</v>
      </c>
      <c r="DV61" s="653">
        <f>yrSales!AD31</f>
        <v>121.75520996176284</v>
      </c>
      <c r="DW61" s="653">
        <f>yrSales!AE31</f>
        <v>127.50374686998886</v>
      </c>
      <c r="DX61" s="654">
        <f>yrSales!AF31</f>
        <v>133.25228377821486</v>
      </c>
      <c r="DY61" s="654">
        <f>yrSales!AG31</f>
        <v>139.00082068644087</v>
      </c>
      <c r="DZ61" s="627"/>
      <c r="EA61" s="627"/>
      <c r="EG61" s="627"/>
      <c r="EJ61" s="1193"/>
      <c r="EK61" s="1193"/>
    </row>
    <row r="62" spans="1:141">
      <c r="A62" s="632"/>
      <c r="B62" s="655"/>
      <c r="C62" s="632"/>
      <c r="D62" s="632"/>
      <c r="E62" s="632"/>
      <c r="F62" s="632"/>
      <c r="G62" s="632"/>
      <c r="H62" s="632"/>
      <c r="I62" s="632"/>
      <c r="J62" s="633"/>
      <c r="K62" s="633"/>
      <c r="L62" s="632"/>
      <c r="M62" s="632"/>
      <c r="N62" s="632"/>
      <c r="O62" s="632"/>
      <c r="P62" s="632"/>
      <c r="Q62" s="655"/>
      <c r="R62" s="633"/>
      <c r="S62" s="633"/>
      <c r="T62" s="632"/>
      <c r="U62" s="632"/>
      <c r="V62" s="655"/>
      <c r="W62" s="632"/>
      <c r="X62" s="627"/>
      <c r="Y62" s="627"/>
      <c r="Z62" s="627"/>
      <c r="AA62" s="655"/>
      <c r="AB62" s="656"/>
      <c r="AC62" s="627"/>
      <c r="AD62" s="657"/>
      <c r="AE62" s="632"/>
      <c r="AF62" s="655"/>
      <c r="AG62" s="657"/>
      <c r="AH62" s="627"/>
      <c r="AI62" s="650"/>
      <c r="AJ62" s="632"/>
      <c r="AK62" s="632"/>
      <c r="AL62" s="657"/>
      <c r="AM62" s="627"/>
      <c r="AN62" s="650"/>
      <c r="AO62" s="632"/>
      <c r="AP62" s="632"/>
      <c r="AQ62" s="657"/>
      <c r="AR62" s="627"/>
      <c r="AS62" s="627"/>
      <c r="AT62" s="632"/>
      <c r="AU62" s="632"/>
      <c r="AV62" s="650"/>
      <c r="AW62" s="632"/>
      <c r="AX62" s="632"/>
      <c r="AY62" s="632"/>
      <c r="AZ62" s="632"/>
      <c r="BA62" s="650"/>
      <c r="BB62" s="632"/>
      <c r="BC62" s="632"/>
      <c r="BD62" s="632"/>
      <c r="BE62" s="632"/>
      <c r="BF62" s="627"/>
      <c r="BG62" s="632"/>
      <c r="BH62" s="632"/>
      <c r="BI62" s="632"/>
      <c r="BJ62" s="632"/>
      <c r="BK62" s="627"/>
      <c r="BL62" s="650"/>
      <c r="BM62" s="632"/>
      <c r="BN62" s="632"/>
      <c r="BO62" s="632"/>
      <c r="BP62" s="627"/>
      <c r="BQ62" s="627"/>
      <c r="BR62" s="627"/>
      <c r="BS62" s="627"/>
      <c r="BT62" s="627"/>
      <c r="BU62" s="627"/>
      <c r="BV62" s="627"/>
      <c r="BW62" s="627"/>
      <c r="BX62" s="627"/>
      <c r="BY62" s="627"/>
      <c r="BZ62" s="627"/>
      <c r="CA62" s="627"/>
      <c r="CB62" s="627"/>
      <c r="CC62" s="627"/>
      <c r="CD62" s="627"/>
      <c r="CE62" s="627"/>
      <c r="CF62" s="650"/>
      <c r="CG62" s="632"/>
      <c r="CH62" s="632"/>
      <c r="CI62" s="632"/>
      <c r="CJ62" s="632"/>
      <c r="CK62" s="651"/>
      <c r="CL62" s="632"/>
      <c r="CM62" s="632"/>
      <c r="CN62" s="632"/>
      <c r="CO62" s="632"/>
      <c r="CP62" s="651"/>
      <c r="CQ62" s="632"/>
      <c r="CR62" s="632"/>
      <c r="CS62" s="632"/>
      <c r="CT62" s="632"/>
      <c r="CU62" s="652" t="s">
        <v>710</v>
      </c>
      <c r="CV62" s="632"/>
      <c r="CW62" s="632"/>
      <c r="CX62" s="632"/>
      <c r="CY62" s="632"/>
      <c r="CZ62" s="632"/>
      <c r="DA62" s="632"/>
      <c r="DB62" s="632"/>
      <c r="DC62" s="632"/>
      <c r="DD62" s="632"/>
      <c r="DE62" s="658">
        <f>yrSales!M32</f>
        <v>0.11391800632119864</v>
      </c>
      <c r="DF62" s="658">
        <f>yrSales!N32</f>
        <v>9.8736451040029483E-2</v>
      </c>
      <c r="DG62" s="658">
        <f t="shared" ref="DG62:DY62" si="46">+DG61/DF61-1</f>
        <v>0.12380633894400472</v>
      </c>
      <c r="DH62" s="658">
        <f t="shared" si="46"/>
        <v>6.9754251585136595E-2</v>
      </c>
      <c r="DI62" s="658">
        <f t="shared" si="46"/>
        <v>9.0644669525669741E-2</v>
      </c>
      <c r="DJ62" s="658">
        <f t="shared" si="46"/>
        <v>4.4279135671271286E-2</v>
      </c>
      <c r="DK62" s="658">
        <f t="shared" si="46"/>
        <v>3.4464043419267565E-2</v>
      </c>
      <c r="DL62" s="658">
        <f t="shared" si="46"/>
        <v>2.3084994753410193E-2</v>
      </c>
      <c r="DM62" s="658">
        <f t="shared" si="46"/>
        <v>3.4615384615384714E-2</v>
      </c>
      <c r="DN62" s="658">
        <f t="shared" si="46"/>
        <v>4.2131350681536395E-2</v>
      </c>
      <c r="DO62" s="658">
        <f t="shared" si="46"/>
        <v>1.4268727705113005E-2</v>
      </c>
      <c r="DP62" s="658">
        <f t="shared" si="46"/>
        <v>4.4548651817116092E-2</v>
      </c>
      <c r="DQ62" s="658">
        <f t="shared" si="46"/>
        <v>4.7138047138047146E-2</v>
      </c>
      <c r="DR62" s="658">
        <f t="shared" si="46"/>
        <v>4.6087888531618493E-2</v>
      </c>
      <c r="DS62" s="658">
        <f t="shared" si="46"/>
        <v>5.1316269494993128E-2</v>
      </c>
      <c r="DT62" s="658">
        <f t="shared" si="46"/>
        <v>4.1824346323519057E-2</v>
      </c>
      <c r="DU62" s="658">
        <f t="shared" si="46"/>
        <v>7.831333036245347E-2</v>
      </c>
      <c r="DV62" s="658">
        <f t="shared" si="46"/>
        <v>5.6245507148401819E-2</v>
      </c>
      <c r="DW62" s="658">
        <f t="shared" si="46"/>
        <v>4.7213888506548063E-2</v>
      </c>
      <c r="DX62" s="659">
        <f t="shared" si="46"/>
        <v>4.5085239056445792E-2</v>
      </c>
      <c r="DY62" s="659">
        <f t="shared" si="46"/>
        <v>4.3140250547554437E-2</v>
      </c>
      <c r="DZ62" s="627"/>
      <c r="EA62" s="627"/>
      <c r="EG62" s="627"/>
      <c r="EJ62" s="1193"/>
      <c r="EK62" s="1193"/>
    </row>
    <row r="63" spans="1:141">
      <c r="A63" s="627"/>
      <c r="B63" s="650"/>
      <c r="C63" s="632"/>
      <c r="D63" s="632"/>
      <c r="E63" s="632"/>
      <c r="F63" s="632"/>
      <c r="G63" s="632"/>
      <c r="H63" s="632"/>
      <c r="I63" s="632"/>
      <c r="J63" s="660"/>
      <c r="K63" s="660"/>
      <c r="L63" s="632"/>
      <c r="M63" s="632"/>
      <c r="N63" s="632"/>
      <c r="O63" s="632"/>
      <c r="P63" s="632"/>
      <c r="Q63" s="661"/>
      <c r="R63" s="660"/>
      <c r="S63" s="660"/>
      <c r="T63" s="632"/>
      <c r="U63" s="632"/>
      <c r="V63" s="661"/>
      <c r="W63" s="632"/>
      <c r="X63" s="627"/>
      <c r="Y63" s="627"/>
      <c r="Z63" s="627"/>
      <c r="AA63" s="661"/>
      <c r="AB63" s="662"/>
      <c r="AC63" s="627"/>
      <c r="AD63" s="650"/>
      <c r="AE63" s="632"/>
      <c r="AF63" s="661"/>
      <c r="AG63" s="663"/>
      <c r="AH63" s="627"/>
      <c r="AI63" s="657"/>
      <c r="AJ63" s="632"/>
      <c r="AK63" s="632"/>
      <c r="AL63" s="663"/>
      <c r="AM63" s="627"/>
      <c r="AN63" s="657"/>
      <c r="AO63" s="632"/>
      <c r="AP63" s="632"/>
      <c r="AQ63" s="663"/>
      <c r="AR63" s="627"/>
      <c r="AS63" s="627"/>
      <c r="AT63" s="632"/>
      <c r="AU63" s="632"/>
      <c r="AV63" s="657"/>
      <c r="AW63" s="632"/>
      <c r="AX63" s="632"/>
      <c r="AY63" s="632"/>
      <c r="AZ63" s="632"/>
      <c r="BA63" s="657"/>
      <c r="BB63" s="632"/>
      <c r="BC63" s="632"/>
      <c r="BD63" s="632"/>
      <c r="BE63" s="632"/>
      <c r="BF63" s="627"/>
      <c r="BG63" s="632"/>
      <c r="BH63" s="632"/>
      <c r="BI63" s="632"/>
      <c r="BJ63" s="632"/>
      <c r="BK63" s="627"/>
      <c r="BL63" s="657"/>
      <c r="BM63" s="632"/>
      <c r="BN63" s="632"/>
      <c r="BO63" s="632"/>
      <c r="BP63" s="627"/>
      <c r="BQ63" s="627"/>
      <c r="BR63" s="627"/>
      <c r="BS63" s="627"/>
      <c r="BT63" s="627"/>
      <c r="BU63" s="627"/>
      <c r="BV63" s="627"/>
      <c r="BW63" s="627"/>
      <c r="BX63" s="627"/>
      <c r="BY63" s="627"/>
      <c r="BZ63" s="627"/>
      <c r="CA63" s="627"/>
      <c r="CB63" s="627"/>
      <c r="CC63" s="627"/>
      <c r="CD63" s="627"/>
      <c r="CE63" s="627"/>
      <c r="CF63" s="657"/>
      <c r="CG63" s="632"/>
      <c r="CH63" s="632"/>
      <c r="CI63" s="632"/>
      <c r="CJ63" s="632"/>
      <c r="CK63" s="664"/>
      <c r="CL63" s="632"/>
      <c r="CM63" s="632"/>
      <c r="CN63" s="632"/>
      <c r="CO63" s="632"/>
      <c r="CP63" s="664"/>
      <c r="CQ63" s="632"/>
      <c r="CR63" s="632"/>
      <c r="CS63" s="632"/>
      <c r="CT63" s="632"/>
      <c r="CU63" s="665" t="s">
        <v>474</v>
      </c>
      <c r="CV63" s="632"/>
      <c r="CW63" s="632"/>
      <c r="CX63" s="632"/>
      <c r="CY63" s="632"/>
      <c r="CZ63" s="632"/>
      <c r="DA63" s="632"/>
      <c r="DB63" s="632"/>
      <c r="DC63" s="632"/>
      <c r="DD63" s="632"/>
      <c r="DE63" s="638">
        <f>yrSales!M35</f>
        <v>29422.822822822822</v>
      </c>
      <c r="DF63" s="638">
        <f>yrSales!N35</f>
        <v>29205.642973412912</v>
      </c>
      <c r="DG63" s="638">
        <f>yrSales!O35</f>
        <v>29335.596508244424</v>
      </c>
      <c r="DH63" s="638">
        <f>yrSales!P35</f>
        <v>29095.96883020904</v>
      </c>
      <c r="DI63" s="638">
        <f>yrSales!Q35</f>
        <v>29640.907181856372</v>
      </c>
      <c r="DJ63" s="638">
        <f>yrSales!R35</f>
        <v>29886.455798864554</v>
      </c>
      <c r="DK63" s="638">
        <f>yrSales!S35</f>
        <v>29746.390948107692</v>
      </c>
      <c r="DL63" s="638">
        <f>yrSales!T35</f>
        <v>29411.764705882353</v>
      </c>
      <c r="DM63" s="638">
        <f>yrSales!U35</f>
        <v>29420.342690484871</v>
      </c>
      <c r="DN63" s="638">
        <f>yrSales!V35</f>
        <v>29415.879678209163</v>
      </c>
      <c r="DO63" s="638">
        <f>yrSales!W35</f>
        <v>29363.166953528398</v>
      </c>
      <c r="DP63" s="638">
        <f>yrSales!X35</f>
        <v>29213.114754098358</v>
      </c>
      <c r="DQ63" s="638">
        <f>yrSales!Y35</f>
        <v>28984.156570363466</v>
      </c>
      <c r="DR63" s="638">
        <f>yrSales!Z35</f>
        <v>28748.15905743741</v>
      </c>
      <c r="DS63" s="638">
        <f>yrSales!AA35</f>
        <v>28391.939098702635</v>
      </c>
      <c r="DT63" s="638">
        <f>yrSales!AB35</f>
        <v>28043.022035676811</v>
      </c>
      <c r="DU63" s="638">
        <f>yrSales!AC35</f>
        <v>28420.043149838828</v>
      </c>
      <c r="DV63" s="638">
        <f>yrSales!AD35</f>
        <v>28354.729846707694</v>
      </c>
      <c r="DW63" s="638">
        <f>yrSales!AE35</f>
        <v>28340.463851964629</v>
      </c>
      <c r="DX63" s="639">
        <f>yrSales!AF35</f>
        <v>28327.441279382412</v>
      </c>
      <c r="DY63" s="639">
        <f>yrSales!AG35</f>
        <v>28315.506352911158</v>
      </c>
      <c r="DZ63" s="627"/>
      <c r="EA63" s="627"/>
      <c r="EG63" s="627"/>
    </row>
    <row r="64" spans="1:141">
      <c r="A64" s="666"/>
      <c r="B64" s="664"/>
      <c r="C64" s="666"/>
      <c r="D64" s="666"/>
      <c r="E64" s="666"/>
      <c r="F64" s="666"/>
      <c r="G64" s="664"/>
      <c r="H64" s="666"/>
      <c r="I64" s="666"/>
      <c r="J64" s="666"/>
      <c r="K64" s="666"/>
      <c r="L64" s="666"/>
      <c r="M64" s="666"/>
      <c r="N64" s="664"/>
      <c r="O64" s="664"/>
      <c r="P64" s="664"/>
      <c r="Q64" s="666"/>
      <c r="R64" s="666"/>
      <c r="S64" s="666"/>
      <c r="T64" s="666"/>
      <c r="U64" s="666"/>
      <c r="V64" s="666"/>
      <c r="W64" s="627"/>
      <c r="X64" s="627"/>
      <c r="Y64" s="627"/>
      <c r="Z64" s="627"/>
      <c r="AA64" s="666"/>
      <c r="AB64" s="627"/>
      <c r="AC64" s="627"/>
      <c r="AD64" s="632"/>
      <c r="AE64" s="632"/>
      <c r="AF64" s="664"/>
      <c r="AG64" s="632"/>
      <c r="AH64" s="627"/>
      <c r="AI64" s="651"/>
      <c r="AJ64" s="632"/>
      <c r="AK64" s="632"/>
      <c r="AL64" s="632"/>
      <c r="AM64" s="627"/>
      <c r="AN64" s="651"/>
      <c r="AO64" s="632"/>
      <c r="AP64" s="632"/>
      <c r="AQ64" s="632"/>
      <c r="AR64" s="627"/>
      <c r="AS64" s="627"/>
      <c r="AT64" s="632"/>
      <c r="AU64" s="632"/>
      <c r="AV64" s="651"/>
      <c r="AW64" s="632"/>
      <c r="AX64" s="632"/>
      <c r="AY64" s="632"/>
      <c r="AZ64" s="632"/>
      <c r="BA64" s="651"/>
      <c r="BB64" s="632"/>
      <c r="BC64" s="632"/>
      <c r="BD64" s="632"/>
      <c r="BE64" s="632"/>
      <c r="BF64" s="627"/>
      <c r="BG64" s="632"/>
      <c r="BH64" s="632"/>
      <c r="BI64" s="632"/>
      <c r="BJ64" s="632"/>
      <c r="BK64" s="627"/>
      <c r="BL64" s="651"/>
      <c r="BM64" s="632"/>
      <c r="BN64" s="632"/>
      <c r="BO64" s="632"/>
      <c r="BP64" s="627"/>
      <c r="BQ64" s="627"/>
      <c r="BR64" s="627"/>
      <c r="BS64" s="627"/>
      <c r="BT64" s="627"/>
      <c r="BU64" s="627"/>
      <c r="BV64" s="627"/>
      <c r="BW64" s="627"/>
      <c r="BX64" s="627"/>
      <c r="BY64" s="627"/>
      <c r="BZ64" s="627"/>
      <c r="CA64" s="627"/>
      <c r="CB64" s="627"/>
      <c r="CC64" s="627"/>
      <c r="CD64" s="627"/>
      <c r="CE64" s="627"/>
      <c r="CF64" s="651"/>
      <c r="CG64" s="632"/>
      <c r="CH64" s="632"/>
      <c r="CI64" s="632"/>
      <c r="CJ64" s="632"/>
      <c r="CK64" s="651"/>
      <c r="CL64" s="632"/>
      <c r="CM64" s="632"/>
      <c r="CN64" s="632"/>
      <c r="CO64" s="632"/>
      <c r="CP64" s="651"/>
      <c r="CQ64" s="632"/>
      <c r="CR64" s="632"/>
      <c r="CS64" s="632"/>
      <c r="CT64" s="632"/>
      <c r="CU64" s="667" t="s">
        <v>476</v>
      </c>
      <c r="CV64" s="643"/>
      <c r="CW64" s="643"/>
      <c r="CX64" s="643"/>
      <c r="CY64" s="643"/>
      <c r="CZ64" s="643"/>
      <c r="DA64" s="643"/>
      <c r="DB64" s="643"/>
      <c r="DC64" s="643"/>
      <c r="DD64" s="643"/>
      <c r="DE64" s="668">
        <f>yrSales!M38</f>
        <v>230.38030289992258</v>
      </c>
      <c r="DF64" s="668">
        <f>yrSales!N38</f>
        <v>233.06340514516361</v>
      </c>
      <c r="DG64" s="668">
        <f>yrSales!O38</f>
        <v>233.17712306238846</v>
      </c>
      <c r="DH64" s="668">
        <f>yrSales!P38</f>
        <v>238.23562843250988</v>
      </c>
      <c r="DI64" s="668">
        <f>yrSales!Q38</f>
        <v>237.39515988184351</v>
      </c>
      <c r="DJ64" s="668">
        <f>yrSales!R38</f>
        <v>241.27031017154741</v>
      </c>
      <c r="DK64" s="668">
        <f>yrSales!S38</f>
        <v>246.39152994531148</v>
      </c>
      <c r="DL64" s="668">
        <f>yrSales!T38</f>
        <v>246.36287603734436</v>
      </c>
      <c r="DM64" s="668">
        <f>yrSales!U38</f>
        <v>255.68297416509137</v>
      </c>
      <c r="DN64" s="668">
        <f>yrSales!V38</f>
        <v>262.90353155339801</v>
      </c>
      <c r="DO64" s="668">
        <f>yrSales!W38</f>
        <v>273.69806375442744</v>
      </c>
      <c r="DP64" s="668">
        <f>yrSales!X38</f>
        <v>296.7703211009175</v>
      </c>
      <c r="DQ64" s="668">
        <f>yrSales!Y38</f>
        <v>300.68745614035089</v>
      </c>
      <c r="DR64" s="668">
        <f>yrSales!Z38</f>
        <v>304.64543740178107</v>
      </c>
      <c r="DS64" s="668">
        <f>yrSales!AA38</f>
        <v>309.12716454168446</v>
      </c>
      <c r="DT64" s="668">
        <f>yrSales!AB38</f>
        <v>316.7771148554188</v>
      </c>
      <c r="DU64" s="668">
        <f>yrSales!AC38</f>
        <v>322.85538441301549</v>
      </c>
      <c r="DV64" s="668">
        <f>yrSales!AD38</f>
        <v>319.30389150540282</v>
      </c>
      <c r="DW64" s="668">
        <f>yrSales!AE38</f>
        <v>323.75931264619663</v>
      </c>
      <c r="DX64" s="669">
        <f>yrSales!AF38</f>
        <v>329.16897970574138</v>
      </c>
      <c r="DY64" s="669">
        <f>yrSales!AG38</f>
        <v>334.94358649949356</v>
      </c>
      <c r="DZ64" s="627"/>
      <c r="EA64" s="627"/>
      <c r="EG64" s="627"/>
    </row>
    <row r="65" spans="1:137">
      <c r="A65" s="666"/>
      <c r="B65" s="664"/>
      <c r="C65" s="666"/>
      <c r="D65" s="666"/>
      <c r="E65" s="666"/>
      <c r="F65" s="666"/>
      <c r="G65" s="664"/>
      <c r="H65" s="666"/>
      <c r="I65" s="666"/>
      <c r="J65" s="666"/>
      <c r="K65" s="666"/>
      <c r="L65" s="666"/>
      <c r="M65" s="666"/>
      <c r="N65" s="664"/>
      <c r="O65" s="664"/>
      <c r="P65" s="664"/>
      <c r="Q65" s="666"/>
      <c r="R65" s="666"/>
      <c r="S65" s="666"/>
      <c r="T65" s="666"/>
      <c r="U65" s="666"/>
      <c r="V65" s="666"/>
      <c r="W65" s="627"/>
      <c r="X65" s="627"/>
      <c r="Y65" s="627"/>
      <c r="Z65" s="627"/>
      <c r="AA65" s="666"/>
      <c r="AB65" s="627"/>
      <c r="AC65" s="627"/>
      <c r="AD65" s="632"/>
      <c r="AE65" s="632"/>
      <c r="AF65" s="664"/>
      <c r="AG65" s="632"/>
      <c r="AH65" s="627"/>
      <c r="AI65" s="651"/>
      <c r="AJ65" s="632"/>
      <c r="AK65" s="632"/>
      <c r="AL65" s="632"/>
      <c r="AM65" s="627"/>
      <c r="AN65" s="651"/>
      <c r="AO65" s="632"/>
      <c r="AP65" s="632"/>
      <c r="AQ65" s="632"/>
      <c r="AR65" s="627"/>
      <c r="AS65" s="627"/>
      <c r="AT65" s="632"/>
      <c r="AU65" s="632"/>
      <c r="AV65" s="651"/>
      <c r="AW65" s="632"/>
      <c r="AX65" s="632"/>
      <c r="AY65" s="632"/>
      <c r="AZ65" s="632"/>
      <c r="BA65" s="651"/>
      <c r="BB65" s="632"/>
      <c r="BC65" s="632"/>
      <c r="BD65" s="632"/>
      <c r="BE65" s="632"/>
      <c r="BF65" s="627"/>
      <c r="BG65" s="651"/>
      <c r="BH65" s="632"/>
      <c r="BI65" s="632"/>
      <c r="BJ65" s="632"/>
      <c r="BK65" s="627"/>
      <c r="BL65" s="651"/>
      <c r="BM65" s="632"/>
      <c r="BN65" s="632"/>
      <c r="BO65" s="632"/>
      <c r="BP65" s="627"/>
      <c r="BQ65" s="627"/>
      <c r="BR65" s="627"/>
      <c r="BS65" s="627"/>
      <c r="BT65" s="627"/>
      <c r="BU65" s="627"/>
      <c r="BV65" s="651"/>
      <c r="BW65" s="632"/>
      <c r="BX65" s="632"/>
      <c r="BY65" s="627"/>
      <c r="BZ65" s="627"/>
      <c r="CA65" s="651"/>
      <c r="CB65" s="632"/>
      <c r="CC65" s="632"/>
      <c r="CD65" s="627"/>
      <c r="CE65" s="627"/>
      <c r="CF65" s="651"/>
      <c r="CG65" s="632"/>
      <c r="CH65" s="632"/>
      <c r="CI65" s="632"/>
      <c r="CJ65" s="627"/>
      <c r="CK65" s="651"/>
      <c r="CL65" s="632"/>
      <c r="CM65" s="632"/>
      <c r="CN65" s="632"/>
      <c r="CO65" s="632"/>
      <c r="CP65" s="651"/>
      <c r="CQ65" s="632"/>
      <c r="CR65" s="632"/>
      <c r="CS65" s="632"/>
      <c r="CT65" s="627"/>
      <c r="CU65" s="651"/>
      <c r="CV65" s="632"/>
      <c r="CW65" s="632"/>
      <c r="CX65" s="632"/>
      <c r="CY65" s="632"/>
      <c r="CZ65" s="632"/>
      <c r="DA65" s="632"/>
      <c r="DB65" s="632"/>
      <c r="DC65" s="632"/>
      <c r="DD65" s="632"/>
      <c r="DE65" s="670"/>
      <c r="DF65" s="670"/>
      <c r="DG65" s="670"/>
      <c r="DH65" s="670"/>
      <c r="DI65" s="670"/>
      <c r="DJ65" s="670"/>
      <c r="DK65" s="670"/>
      <c r="DL65" s="670"/>
      <c r="DM65" s="670"/>
      <c r="DN65" s="670"/>
      <c r="DO65" s="670"/>
      <c r="DP65" s="670"/>
      <c r="DQ65" s="670"/>
      <c r="DR65" s="670"/>
      <c r="DS65" s="670"/>
      <c r="DT65" s="670"/>
      <c r="DU65" s="670"/>
      <c r="DV65" s="670"/>
      <c r="DW65" s="670"/>
      <c r="DX65" s="670"/>
      <c r="DY65" s="670"/>
      <c r="DZ65" s="627"/>
      <c r="EA65" s="627"/>
      <c r="EG65" s="627"/>
    </row>
    <row r="66" spans="1:137" outlineLevel="1">
      <c r="A66" s="671" t="s">
        <v>391</v>
      </c>
      <c r="B66" s="672"/>
      <c r="C66" s="673">
        <f>+qtrSales!$Z75</f>
        <v>37.940000000000005</v>
      </c>
      <c r="D66" s="673">
        <f>+qtrSales!$Z76</f>
        <v>38.219999999999992</v>
      </c>
      <c r="E66" s="673">
        <f>+qtrSales!$Z77</f>
        <v>39.423999999999999</v>
      </c>
      <c r="F66" s="673">
        <f>+qtrSales!$Z78</f>
        <v>40.165000000000006</v>
      </c>
      <c r="G66" s="672"/>
      <c r="H66" s="673">
        <f>+qtrSales!$Z82</f>
        <v>40.797999999999988</v>
      </c>
      <c r="I66" s="673">
        <f>+qtrSales!$Z83</f>
        <v>41.548000000000002</v>
      </c>
      <c r="J66" s="673">
        <f>+qtrSales!$Z84</f>
        <v>43.182000000000009</v>
      </c>
      <c r="K66" s="673">
        <f>+qtrSales!$Z85</f>
        <v>43.978999999999999</v>
      </c>
      <c r="L66" s="673"/>
      <c r="M66" s="673">
        <f>+qtrSales!$Z89</f>
        <v>45.125000000000014</v>
      </c>
      <c r="N66" s="673">
        <f>+qtrSales!$Z90</f>
        <v>45.894000000000005</v>
      </c>
      <c r="O66" s="673">
        <f>+qtrSales!$Z91</f>
        <v>48.143999999999991</v>
      </c>
      <c r="P66" s="673">
        <f>+qtrSales!$Z92</f>
        <v>48.988999999999997</v>
      </c>
      <c r="Q66" s="673"/>
      <c r="R66" s="673">
        <f>+qtrSales!$Z96</f>
        <v>50.465999999999994</v>
      </c>
      <c r="S66" s="673">
        <f>+qtrSales!$Z97</f>
        <v>51.216000000000001</v>
      </c>
      <c r="T66" s="673">
        <f>+qtrSales!$Z98</f>
        <v>53.49</v>
      </c>
      <c r="U66" s="673">
        <f>+qtrSales!$Z99</f>
        <v>53.826000000000001</v>
      </c>
      <c r="V66" s="673"/>
      <c r="W66" s="673">
        <f>+qtrSales!$Z103</f>
        <v>54.983999999999995</v>
      </c>
      <c r="X66" s="673">
        <f>+qtrSales!$Z104</f>
        <v>56.17799999999999</v>
      </c>
      <c r="Y66" s="673">
        <f>+qtrSales!$Z105</f>
        <v>58.358000000000004</v>
      </c>
      <c r="Z66" s="673">
        <f>+qtrSales!$Z106</f>
        <v>59.405000000000001</v>
      </c>
      <c r="AA66" s="673"/>
      <c r="AB66" s="673">
        <f>+qtrSales!$Z110</f>
        <v>61.759642821891049</v>
      </c>
      <c r="AC66" s="673">
        <f>+qtrSales!$Z111</f>
        <v>62.439078551011711</v>
      </c>
      <c r="AD66" s="673">
        <f>+qtrSales!$Z112</f>
        <v>64.455907542124834</v>
      </c>
      <c r="AE66" s="673">
        <f>+qtrSales!$Z113</f>
        <v>65.408555980019372</v>
      </c>
      <c r="AF66" s="672"/>
      <c r="AG66" s="673">
        <f>+qtrSales!$Z117</f>
        <v>66.483042579757083</v>
      </c>
      <c r="AH66" s="673">
        <f>+qtrSales!$Z118</f>
        <v>67.315692340815303</v>
      </c>
      <c r="AI66" s="673">
        <f>+qtrSales!$Z119</f>
        <v>69.855357762568985</v>
      </c>
      <c r="AJ66" s="673">
        <f>+qtrSales!$Z120</f>
        <v>70.575000000000017</v>
      </c>
      <c r="AK66" s="674"/>
      <c r="AL66" s="673">
        <f>+qtrSales!$Z124</f>
        <v>71.7</v>
      </c>
      <c r="AM66" s="673">
        <f>+qtrSales!$Z125</f>
        <v>72.099999999999994</v>
      </c>
      <c r="AN66" s="673">
        <f>+qtrSales!$Z126</f>
        <v>74.599999999999994</v>
      </c>
      <c r="AO66" s="673">
        <f>+qtrSales!$Z127</f>
        <v>73.699999999999989</v>
      </c>
      <c r="AP66" s="674"/>
      <c r="AQ66" s="673">
        <f>+qtrSales!$Z131</f>
        <v>74.499999999999986</v>
      </c>
      <c r="AR66" s="673">
        <f>+qtrSales!$Z132</f>
        <v>74.599999999999994</v>
      </c>
      <c r="AS66" s="673">
        <f>+qtrSales!$Z133</f>
        <v>76.899999999999991</v>
      </c>
      <c r="AT66" s="673">
        <f>+qtrSales!$Z134</f>
        <v>76.240000000000009</v>
      </c>
      <c r="AU66" s="674"/>
      <c r="AV66" s="673">
        <f>+qtrSales!$Z138</f>
        <v>77.099999999999994</v>
      </c>
      <c r="AW66" s="673">
        <f>+qtrSales!$Z139</f>
        <v>76.100000000000009</v>
      </c>
      <c r="AX66" s="673">
        <f>+qtrSales!$Z140</f>
        <v>77.999999999999986</v>
      </c>
      <c r="AY66" s="673">
        <f>+qtrSales!$Z141</f>
        <v>78</v>
      </c>
      <c r="AZ66" s="674"/>
      <c r="BA66" s="673">
        <f>+qtrSales!$Z145</f>
        <v>78.8</v>
      </c>
      <c r="BB66" s="673">
        <f>+qtrSales!$Z146</f>
        <v>79.2</v>
      </c>
      <c r="BC66" s="673">
        <f>+qtrSales!$Z147</f>
        <v>81.5</v>
      </c>
      <c r="BD66" s="673">
        <f>+qtrSales!$Z148</f>
        <v>80.7</v>
      </c>
      <c r="BE66" s="674"/>
      <c r="BF66" s="673">
        <f>+qtrSales!$Z152</f>
        <v>81.099999999999994</v>
      </c>
      <c r="BG66" s="673">
        <f>+qtrSales!$Z153</f>
        <v>82.2</v>
      </c>
      <c r="BH66" s="673">
        <f>+qtrSales!$Z154</f>
        <v>84.3</v>
      </c>
      <c r="BI66" s="673">
        <f>+qtrSales!$Z155</f>
        <v>84</v>
      </c>
      <c r="BJ66" s="674"/>
      <c r="BK66" s="673">
        <f>+qtrSales!$Z152</f>
        <v>81.099999999999994</v>
      </c>
      <c r="BL66" s="673">
        <f>+qtrSales!$Z153</f>
        <v>82.2</v>
      </c>
      <c r="BM66" s="673">
        <f>+qtrSales!$Z154</f>
        <v>84.3</v>
      </c>
      <c r="BN66" s="673">
        <f>+qtrSales!$Z155</f>
        <v>84</v>
      </c>
      <c r="BO66" s="674"/>
      <c r="BP66" s="673">
        <f>+qtrSales!$Z152</f>
        <v>81.099999999999994</v>
      </c>
      <c r="BQ66" s="673">
        <f>+qtrSales!$Z153</f>
        <v>82.2</v>
      </c>
      <c r="BR66" s="673">
        <f>+qtrSales!$Z154</f>
        <v>84.3</v>
      </c>
      <c r="BS66" s="673">
        <f>+qtrSales!$Z155</f>
        <v>84</v>
      </c>
      <c r="BT66" s="674"/>
      <c r="BU66" s="673">
        <f>+qtrSales!$Z152</f>
        <v>81.099999999999994</v>
      </c>
      <c r="BV66" s="673">
        <f>+qtrSales!$Z153</f>
        <v>82.2</v>
      </c>
      <c r="BW66" s="673">
        <f>+qtrSales!$Z154</f>
        <v>84.3</v>
      </c>
      <c r="BX66" s="673">
        <f>+qtrSales!$Z155</f>
        <v>84</v>
      </c>
      <c r="BY66" s="674"/>
      <c r="BZ66" s="673">
        <f>+qtrSales!$Z152</f>
        <v>81.099999999999994</v>
      </c>
      <c r="CA66" s="673">
        <f>+qtrSales!$Z153</f>
        <v>82.2</v>
      </c>
      <c r="CB66" s="673">
        <f>+qtrSales!$Z154</f>
        <v>84.3</v>
      </c>
      <c r="CC66" s="673">
        <f>+qtrSales!$Z155</f>
        <v>84</v>
      </c>
      <c r="CD66" s="674"/>
      <c r="CE66" s="673">
        <f>+qtrSales!$Z152</f>
        <v>81.099999999999994</v>
      </c>
      <c r="CF66" s="673">
        <f>+qtrSales!$Z153</f>
        <v>82.2</v>
      </c>
      <c r="CG66" s="673">
        <f>+qtrSales!$Z154</f>
        <v>84.3</v>
      </c>
      <c r="CH66" s="673">
        <f>+qtrSales!$Z155</f>
        <v>84</v>
      </c>
      <c r="CI66" s="674"/>
      <c r="CJ66" s="673">
        <f>+qtrSales!$Z152</f>
        <v>81.099999999999994</v>
      </c>
      <c r="CK66" s="673">
        <f>+qtrSales!$Z153</f>
        <v>82.2</v>
      </c>
      <c r="CL66" s="673">
        <f>+qtrSales!$Z154</f>
        <v>84.3</v>
      </c>
      <c r="CM66" s="673">
        <f>+qtrSales!$Z155</f>
        <v>84</v>
      </c>
      <c r="CN66" s="674"/>
      <c r="CO66" s="673">
        <f>+qtrSales!$Z152</f>
        <v>81.099999999999994</v>
      </c>
      <c r="CP66" s="673">
        <f>+qtrSales!$Z153</f>
        <v>82.2</v>
      </c>
      <c r="CQ66" s="673">
        <f>+qtrSales!$Z154</f>
        <v>84.3</v>
      </c>
      <c r="CR66" s="673">
        <f>+qtrSales!$Z155</f>
        <v>84</v>
      </c>
      <c r="CS66" s="674"/>
      <c r="CT66" s="673">
        <f>+qtrSales!$Z152</f>
        <v>81.099999999999994</v>
      </c>
      <c r="CU66" s="673">
        <f>+qtrSales!$Z153</f>
        <v>82.2</v>
      </c>
      <c r="CV66" s="673">
        <f>+qtrSales!$Z154</f>
        <v>84.3</v>
      </c>
      <c r="CW66" s="673">
        <f>+qtrSales!$Z155</f>
        <v>84</v>
      </c>
      <c r="CX66" s="674"/>
      <c r="CY66" s="674"/>
      <c r="CZ66" s="674"/>
      <c r="DA66" s="674"/>
      <c r="DB66" s="674"/>
      <c r="DC66" s="673">
        <f>yrSales!K31</f>
        <v>40.165000000000006</v>
      </c>
      <c r="DD66" s="673">
        <f>yrSales!L31</f>
        <v>43.978999999999999</v>
      </c>
      <c r="DE66" s="673">
        <f>+DE61</f>
        <v>48.988999999999997</v>
      </c>
      <c r="DF66" s="673">
        <f t="shared" ref="DF66:DP66" si="47">+DF61</f>
        <v>53.826000000000001</v>
      </c>
      <c r="DG66" s="673">
        <f t="shared" si="47"/>
        <v>60.49</v>
      </c>
      <c r="DH66" s="673">
        <f t="shared" si="47"/>
        <v>64.709434678384909</v>
      </c>
      <c r="DI66" s="673">
        <f t="shared" si="47"/>
        <v>70.575000000000017</v>
      </c>
      <c r="DJ66" s="673">
        <f t="shared" si="47"/>
        <v>73.699999999999989</v>
      </c>
      <c r="DK66" s="673">
        <f t="shared" si="47"/>
        <v>76.240000000000009</v>
      </c>
      <c r="DL66" s="673">
        <f t="shared" si="47"/>
        <v>78</v>
      </c>
      <c r="DM66" s="673">
        <f t="shared" si="47"/>
        <v>80.7</v>
      </c>
      <c r="DN66" s="673">
        <f t="shared" si="47"/>
        <v>84.1</v>
      </c>
      <c r="DO66" s="673">
        <f t="shared" si="47"/>
        <v>85.3</v>
      </c>
      <c r="DP66" s="673">
        <f t="shared" si="47"/>
        <v>89.1</v>
      </c>
      <c r="DQ66" s="673">
        <f t="shared" ref="DQ66:DV66" si="48">+DQ61</f>
        <v>93.3</v>
      </c>
      <c r="DR66" s="673">
        <f t="shared" si="48"/>
        <v>97.6</v>
      </c>
      <c r="DS66" s="673">
        <f t="shared" si="48"/>
        <v>102.60846790271133</v>
      </c>
      <c r="DT66" s="673">
        <f t="shared" si="48"/>
        <v>106.9</v>
      </c>
      <c r="DU66" s="673">
        <f t="shared" si="48"/>
        <v>115.27169501574629</v>
      </c>
      <c r="DV66" s="673">
        <f t="shared" si="48"/>
        <v>121.75520996176284</v>
      </c>
      <c r="DW66" s="673">
        <f>+DW61</f>
        <v>127.50374686998886</v>
      </c>
      <c r="DX66" s="673">
        <f>+DX61</f>
        <v>133.25228377821486</v>
      </c>
      <c r="DY66" s="673">
        <f>+DY61</f>
        <v>139.00082068644087</v>
      </c>
      <c r="DZ66" s="671"/>
      <c r="EA66" s="671"/>
      <c r="EG66" s="671"/>
    </row>
    <row r="67" spans="1:137" outlineLevel="1">
      <c r="A67" s="671" t="s">
        <v>578</v>
      </c>
      <c r="B67" s="672"/>
      <c r="C67" s="673">
        <f>+qtrSales!$J75</f>
        <v>1273</v>
      </c>
      <c r="D67" s="673">
        <f>+qtrSales!$J76</f>
        <v>1288</v>
      </c>
      <c r="E67" s="673">
        <f>+qtrSales!$J77</f>
        <v>1332</v>
      </c>
      <c r="F67" s="673">
        <f>+qtrSales!$J78</f>
        <v>1357</v>
      </c>
      <c r="G67" s="672"/>
      <c r="H67" s="673">
        <f>+qtrSales!$J82</f>
        <v>1382</v>
      </c>
      <c r="I67" s="673">
        <f>+qtrSales!$J83</f>
        <v>1407</v>
      </c>
      <c r="J67" s="673">
        <f>+qtrSales!$J84</f>
        <v>1466</v>
      </c>
      <c r="K67" s="673">
        <f>+qtrSales!$J85</f>
        <v>1493</v>
      </c>
      <c r="L67" s="673"/>
      <c r="M67" s="673">
        <f>+qtrSales!$J89</f>
        <v>1535</v>
      </c>
      <c r="N67" s="673">
        <f>+qtrSales!$J90</f>
        <v>1559</v>
      </c>
      <c r="O67" s="673">
        <f>+qtrSales!$J91</f>
        <v>1638</v>
      </c>
      <c r="P67" s="673">
        <f>+qtrSales!$J92</f>
        <v>1665</v>
      </c>
      <c r="Q67" s="673"/>
      <c r="R67" s="673">
        <f>+qtrSales!$J96</f>
        <v>1720</v>
      </c>
      <c r="S67" s="673">
        <f>+qtrSales!$J97</f>
        <v>1749</v>
      </c>
      <c r="T67" s="673">
        <f>+qtrSales!$J98</f>
        <v>1826</v>
      </c>
      <c r="U67" s="673">
        <f>+qtrSales!$J99</f>
        <v>1843</v>
      </c>
      <c r="V67" s="673"/>
      <c r="W67" s="673">
        <f>+qtrSales!$J103</f>
        <v>1883</v>
      </c>
      <c r="X67" s="673">
        <f>+qtrSales!$J104</f>
        <v>1927</v>
      </c>
      <c r="Y67" s="673">
        <f>+qtrSales!$J105</f>
        <v>2004</v>
      </c>
      <c r="Z67" s="673">
        <f>+qtrSales!$J106</f>
        <v>2062</v>
      </c>
      <c r="AA67" s="673"/>
      <c r="AB67" s="673">
        <f>+qtrSales!$J110</f>
        <v>2091</v>
      </c>
      <c r="AC67" s="673">
        <f>+qtrSales!$J111</f>
        <v>2116</v>
      </c>
      <c r="AD67" s="673">
        <f>+qtrSales!$J112</f>
        <v>2188</v>
      </c>
      <c r="AE67" s="673">
        <f>+qtrSales!$J113</f>
        <v>2224</v>
      </c>
      <c r="AF67" s="672"/>
      <c r="AG67" s="673">
        <f>+qtrSales!$J117</f>
        <v>2251</v>
      </c>
      <c r="AH67" s="673">
        <f>+qtrSales!$J118</f>
        <v>2282</v>
      </c>
      <c r="AI67" s="673">
        <f>+qtrSales!$J119</f>
        <v>2371</v>
      </c>
      <c r="AJ67" s="673">
        <f>+qtrSales!$J120</f>
        <v>2381</v>
      </c>
      <c r="AK67" s="674"/>
      <c r="AL67" s="673">
        <f>+qtrSales!$J124</f>
        <v>2380</v>
      </c>
      <c r="AM67" s="673">
        <f>+qtrSales!$J125</f>
        <v>2395</v>
      </c>
      <c r="AN67" s="673">
        <f>+qtrSales!$J126</f>
        <v>2471</v>
      </c>
      <c r="AO67" s="673">
        <f>+qtrSales!$J127</f>
        <v>2466</v>
      </c>
      <c r="AP67" s="674"/>
      <c r="AQ67" s="673">
        <f>+qtrSales!$J131</f>
        <v>2491</v>
      </c>
      <c r="AR67" s="673">
        <f>+qtrSales!$J132</f>
        <v>2496</v>
      </c>
      <c r="AS67" s="673">
        <f>+qtrSales!$J133</f>
        <v>2565</v>
      </c>
      <c r="AT67" s="673">
        <f>+qtrSales!$J134</f>
        <v>2563</v>
      </c>
      <c r="AU67" s="674"/>
      <c r="AV67" s="673">
        <f>+qtrSales!$J138</f>
        <v>2562</v>
      </c>
      <c r="AW67" s="673">
        <f>+qtrSales!$J139</f>
        <v>2580</v>
      </c>
      <c r="AX67" s="673">
        <f>+qtrSales!$J140</f>
        <v>2648</v>
      </c>
      <c r="AY67" s="673">
        <f>+qtrSales!$J141</f>
        <v>2652</v>
      </c>
      <c r="AZ67" s="674"/>
      <c r="BA67" s="673">
        <f>+qtrSales!$J145</f>
        <v>2680</v>
      </c>
      <c r="BB67" s="673">
        <f>+qtrSales!$J146</f>
        <v>2690</v>
      </c>
      <c r="BC67" s="673">
        <f>+qtrSales!$J147</f>
        <v>2747</v>
      </c>
      <c r="BD67" s="673">
        <f>+qtrSales!$J148</f>
        <v>2743</v>
      </c>
      <c r="BE67" s="674"/>
      <c r="BF67" s="673">
        <f>+qtrSales!$J152</f>
        <v>2766</v>
      </c>
      <c r="BG67" s="673">
        <f>+qtrSales!$J153</f>
        <v>2799</v>
      </c>
      <c r="BH67" s="673">
        <f>+qtrSales!$J154</f>
        <v>2873</v>
      </c>
      <c r="BI67" s="673">
        <f>+qtrSales!$J155</f>
        <v>2859</v>
      </c>
      <c r="BJ67" s="674"/>
      <c r="BK67" s="673">
        <f>+qtrSales!$J152</f>
        <v>2766</v>
      </c>
      <c r="BL67" s="673">
        <f>+qtrSales!$J153</f>
        <v>2799</v>
      </c>
      <c r="BM67" s="673">
        <f>+qtrSales!$J154</f>
        <v>2873</v>
      </c>
      <c r="BN67" s="673">
        <f>+qtrSales!$J155</f>
        <v>2859</v>
      </c>
      <c r="BO67" s="674"/>
      <c r="BP67" s="673">
        <f>+qtrSales!$J152</f>
        <v>2766</v>
      </c>
      <c r="BQ67" s="673">
        <f>+qtrSales!$J153</f>
        <v>2799</v>
      </c>
      <c r="BR67" s="673">
        <f>+qtrSales!$J154</f>
        <v>2873</v>
      </c>
      <c r="BS67" s="673">
        <f>+qtrSales!$J155</f>
        <v>2859</v>
      </c>
      <c r="BT67" s="674"/>
      <c r="BU67" s="673">
        <f>+qtrSales!$J152</f>
        <v>2766</v>
      </c>
      <c r="BV67" s="673">
        <f>+qtrSales!$J153</f>
        <v>2799</v>
      </c>
      <c r="BW67" s="673">
        <f>+qtrSales!$J154</f>
        <v>2873</v>
      </c>
      <c r="BX67" s="673">
        <f>+qtrSales!$J155</f>
        <v>2859</v>
      </c>
      <c r="BY67" s="674"/>
      <c r="BZ67" s="673">
        <f>+qtrSales!$J152</f>
        <v>2766</v>
      </c>
      <c r="CA67" s="673">
        <f>+qtrSales!$J153</f>
        <v>2799</v>
      </c>
      <c r="CB67" s="673">
        <f>+qtrSales!$J154</f>
        <v>2873</v>
      </c>
      <c r="CC67" s="673">
        <f>+qtrSales!$J155</f>
        <v>2859</v>
      </c>
      <c r="CD67" s="674"/>
      <c r="CE67" s="673">
        <f>+qtrSales!$J152</f>
        <v>2766</v>
      </c>
      <c r="CF67" s="673">
        <f>+qtrSales!$J153</f>
        <v>2799</v>
      </c>
      <c r="CG67" s="673">
        <f>+qtrSales!$J154</f>
        <v>2873</v>
      </c>
      <c r="CH67" s="673">
        <f>+qtrSales!$J155</f>
        <v>2859</v>
      </c>
      <c r="CI67" s="674"/>
      <c r="CJ67" s="673">
        <f>+qtrSales!$J152</f>
        <v>2766</v>
      </c>
      <c r="CK67" s="673">
        <f>+qtrSales!$J153</f>
        <v>2799</v>
      </c>
      <c r="CL67" s="673">
        <f>+qtrSales!$J154</f>
        <v>2873</v>
      </c>
      <c r="CM67" s="673">
        <f>+qtrSales!$J155</f>
        <v>2859</v>
      </c>
      <c r="CN67" s="674"/>
      <c r="CO67" s="673">
        <f>+qtrSales!$J152</f>
        <v>2766</v>
      </c>
      <c r="CP67" s="673">
        <f>+qtrSales!$J153</f>
        <v>2799</v>
      </c>
      <c r="CQ67" s="673">
        <f>+qtrSales!$J154</f>
        <v>2873</v>
      </c>
      <c r="CR67" s="673">
        <f>+qtrSales!$J155</f>
        <v>2859</v>
      </c>
      <c r="CS67" s="674"/>
      <c r="CT67" s="673">
        <f>+qtrSales!$J152</f>
        <v>2766</v>
      </c>
      <c r="CU67" s="673">
        <f>+qtrSales!$J153</f>
        <v>2799</v>
      </c>
      <c r="CV67" s="673">
        <f>+qtrSales!$J154</f>
        <v>2873</v>
      </c>
      <c r="CW67" s="673">
        <f>+qtrSales!$J155</f>
        <v>2859</v>
      </c>
      <c r="CX67" s="674"/>
      <c r="CY67" s="674"/>
      <c r="CZ67" s="674"/>
      <c r="DA67" s="674"/>
      <c r="DB67" s="674"/>
      <c r="DC67" s="674">
        <f>yrSales!K20</f>
        <v>1357</v>
      </c>
      <c r="DD67" s="674">
        <f>yrSales!L20</f>
        <v>1493</v>
      </c>
      <c r="DE67" s="675">
        <f>+DE53</f>
        <v>1665</v>
      </c>
      <c r="DF67" s="675">
        <f t="shared" ref="DF67:DP67" si="49">+DF53</f>
        <v>1843</v>
      </c>
      <c r="DG67" s="675">
        <f t="shared" si="49"/>
        <v>2062</v>
      </c>
      <c r="DH67" s="675">
        <f t="shared" si="49"/>
        <v>2224</v>
      </c>
      <c r="DI67" s="675">
        <f t="shared" si="49"/>
        <v>2381</v>
      </c>
      <c r="DJ67" s="675">
        <f t="shared" si="49"/>
        <v>2466</v>
      </c>
      <c r="DK67" s="675">
        <f t="shared" si="49"/>
        <v>2563</v>
      </c>
      <c r="DL67" s="675">
        <f t="shared" si="49"/>
        <v>2652</v>
      </c>
      <c r="DM67" s="675">
        <f t="shared" si="49"/>
        <v>2743</v>
      </c>
      <c r="DN67" s="675">
        <f t="shared" si="49"/>
        <v>2859</v>
      </c>
      <c r="DO67" s="675">
        <f t="shared" si="49"/>
        <v>2905</v>
      </c>
      <c r="DP67" s="675">
        <f t="shared" si="49"/>
        <v>3050</v>
      </c>
      <c r="DQ67" s="675">
        <f t="shared" ref="DQ67:DV67" si="50">+DQ53</f>
        <v>3219</v>
      </c>
      <c r="DR67" s="675">
        <f t="shared" si="50"/>
        <v>3395</v>
      </c>
      <c r="DS67" s="675">
        <f t="shared" si="50"/>
        <v>3614</v>
      </c>
      <c r="DT67" s="675">
        <f t="shared" si="50"/>
        <v>3812</v>
      </c>
      <c r="DU67" s="675">
        <f t="shared" si="50"/>
        <v>4070</v>
      </c>
      <c r="DV67" s="675">
        <f t="shared" si="50"/>
        <v>4308</v>
      </c>
      <c r="DW67" s="675">
        <f>+DW53</f>
        <v>4513</v>
      </c>
      <c r="DX67" s="675">
        <f>+DX53</f>
        <v>4718</v>
      </c>
      <c r="DY67" s="675">
        <f>+DY53</f>
        <v>4923</v>
      </c>
      <c r="DZ67" s="671"/>
      <c r="EA67" s="671"/>
      <c r="EG67" s="671"/>
    </row>
    <row r="68" spans="1:137" outlineLevel="1">
      <c r="A68" s="676" t="s">
        <v>392</v>
      </c>
      <c r="B68" s="677"/>
      <c r="C68" s="678">
        <f>+SUM(C69:C70)</f>
        <v>0.39199999999999996</v>
      </c>
      <c r="D68" s="678">
        <f>+SUM(D69:D70)</f>
        <v>0.39199999999999996</v>
      </c>
      <c r="E68" s="678">
        <f>+SUM(E69:E70)</f>
        <v>0.39199999999999996</v>
      </c>
      <c r="F68" s="678">
        <f>+SUM(F69:F70)</f>
        <v>0.39199999999999996</v>
      </c>
      <c r="G68" s="677"/>
      <c r="H68" s="678">
        <f>+SUM(H69:H70)</f>
        <v>0.38999999999999996</v>
      </c>
      <c r="I68" s="678">
        <f>+SUM(I69:I70)</f>
        <v>0.38999999999999996</v>
      </c>
      <c r="J68" s="678">
        <f>+SUM(J69:J70)</f>
        <v>0.38999999999999996</v>
      </c>
      <c r="K68" s="678">
        <f>+SUM(K69:K70)</f>
        <v>0.38999999999999996</v>
      </c>
      <c r="L68" s="678"/>
      <c r="M68" s="678">
        <f>+SUM(M69:M70)</f>
        <v>0.38799999999999996</v>
      </c>
      <c r="N68" s="678">
        <f>+SUM(N69:N70)</f>
        <v>0.38799999999999996</v>
      </c>
      <c r="O68" s="678">
        <f>+SUM(O69:O70)</f>
        <v>0.38799999999999996</v>
      </c>
      <c r="P68" s="678">
        <f>+SUM(P69:P70)</f>
        <v>0.38799999999999996</v>
      </c>
      <c r="Q68" s="678"/>
      <c r="R68" s="678">
        <f>+SUM(R69:R70)</f>
        <v>0.39099999999999996</v>
      </c>
      <c r="S68" s="678">
        <f>+SUM(S69:S70)</f>
        <v>0.39099999999999996</v>
      </c>
      <c r="T68" s="678">
        <f>+SUM(T69:T70)</f>
        <v>0.39099999999999996</v>
      </c>
      <c r="U68" s="678">
        <f>+SUM(U69:U70)</f>
        <v>0.39099999999999996</v>
      </c>
      <c r="V68" s="678"/>
      <c r="W68" s="678">
        <f>+SUM(W69:W70)</f>
        <v>0.39199999999999996</v>
      </c>
      <c r="X68" s="678">
        <f>+SUM(X69:X70)</f>
        <v>0.39199999999999996</v>
      </c>
      <c r="Y68" s="678">
        <f>+SUM(Y69:Y70)</f>
        <v>0.39199999999999996</v>
      </c>
      <c r="Z68" s="678">
        <f>+SUM(Z69:Z70)</f>
        <v>0.39199999999999996</v>
      </c>
      <c r="AA68" s="678"/>
      <c r="AB68" s="678">
        <f>+SUM(AB69:AB70)</f>
        <v>0.39299999999999996</v>
      </c>
      <c r="AC68" s="678">
        <f>+SUM(AC69:AC70)</f>
        <v>0.39299999999999996</v>
      </c>
      <c r="AD68" s="678">
        <f>+SUM(AD69:AD70)</f>
        <v>0.39299999999999996</v>
      </c>
      <c r="AE68" s="678">
        <f>+SUM(AE69:AE70)</f>
        <v>0.39299999999999996</v>
      </c>
      <c r="AF68" s="677"/>
      <c r="AG68" s="678">
        <f>+SUM(AG69:AG70)</f>
        <v>0.38899999999999996</v>
      </c>
      <c r="AH68" s="678">
        <f>+SUM(AH69:AH70)</f>
        <v>0.38899999999999996</v>
      </c>
      <c r="AI68" s="678">
        <f>+SUM(AI69:AI70)</f>
        <v>0.38899999999999996</v>
      </c>
      <c r="AJ68" s="678">
        <f>+SUM(AJ69:AJ70)</f>
        <v>0.38899999999999996</v>
      </c>
      <c r="AK68" s="679"/>
      <c r="AL68" s="678">
        <f>+SUM(AL69:AL70)</f>
        <v>0.38999999999999996</v>
      </c>
      <c r="AM68" s="678">
        <f>+SUM(AM69:AM70)</f>
        <v>0.38999999999999996</v>
      </c>
      <c r="AN68" s="678">
        <f>+SUM(AN69:AN70)</f>
        <v>0.38999999999999996</v>
      </c>
      <c r="AO68" s="678">
        <f>+SUM(AO69:AO70)</f>
        <v>0.38999999999999996</v>
      </c>
      <c r="AP68" s="679"/>
      <c r="AQ68" s="678">
        <f>+SUM(AQ69:AQ70)</f>
        <v>0.39099999999999996</v>
      </c>
      <c r="AR68" s="678">
        <f>+SUM(AR69:AR70)</f>
        <v>0.39099999999999996</v>
      </c>
      <c r="AS68" s="678">
        <f>+SUM(AS69:AS70)</f>
        <v>0.39099999999999996</v>
      </c>
      <c r="AT68" s="678">
        <f>+SUM(AT69:AT70)</f>
        <v>0.39099999999999996</v>
      </c>
      <c r="AU68" s="679"/>
      <c r="AV68" s="678">
        <f>+SUM(AV69:AV70)</f>
        <v>0.378</v>
      </c>
      <c r="AW68" s="678">
        <f>+SUM(AW69:AW70)</f>
        <v>0.378</v>
      </c>
      <c r="AX68" s="678">
        <f>+SUM(AX69:AX70)</f>
        <v>0.378</v>
      </c>
      <c r="AY68" s="678">
        <f>+SUM(AY69:AY70)</f>
        <v>0.378</v>
      </c>
      <c r="AZ68" s="679"/>
      <c r="BA68" s="678">
        <f>+SUM(BA69:BA70)</f>
        <v>0.39299999999999996</v>
      </c>
      <c r="BB68" s="678">
        <f>+SUM(BB69:BB70)</f>
        <v>0.39299999999999996</v>
      </c>
      <c r="BC68" s="678">
        <f>+SUM(BC69:BC70)</f>
        <v>0.39299999999999996</v>
      </c>
      <c r="BD68" s="678">
        <f>+SUM(BD69:BD70)</f>
        <v>0.39299999999999996</v>
      </c>
      <c r="BE68" s="679"/>
      <c r="BF68" s="680">
        <f>+$DN$68</f>
        <v>0.38067761838318714</v>
      </c>
      <c r="BG68" s="680">
        <f>+$DN$68</f>
        <v>0.38067761838318714</v>
      </c>
      <c r="BH68" s="680">
        <f>+$DN$68</f>
        <v>0.38067761838318714</v>
      </c>
      <c r="BI68" s="680">
        <f>+$DN$68</f>
        <v>0.38067761838318714</v>
      </c>
      <c r="BJ68" s="679"/>
      <c r="BK68" s="680">
        <f>+$DN$68</f>
        <v>0.38067761838318714</v>
      </c>
      <c r="BL68" s="680">
        <f>+$DN$68</f>
        <v>0.38067761838318714</v>
      </c>
      <c r="BM68" s="680">
        <f>+$DN$68</f>
        <v>0.38067761838318714</v>
      </c>
      <c r="BN68" s="680">
        <f>+$DN$68</f>
        <v>0.38067761838318714</v>
      </c>
      <c r="BO68" s="632"/>
      <c r="BP68" s="680">
        <f>+$DN$68</f>
        <v>0.38067761838318714</v>
      </c>
      <c r="BQ68" s="680">
        <f>+$DN$68</f>
        <v>0.38067761838318714</v>
      </c>
      <c r="BR68" s="680">
        <f>+$DN$68</f>
        <v>0.38067761838318714</v>
      </c>
      <c r="BS68" s="680">
        <f>+$DN$68</f>
        <v>0.38067761838318714</v>
      </c>
      <c r="BT68" s="632"/>
      <c r="BU68" s="680">
        <f>+$DN$68</f>
        <v>0.38067761838318714</v>
      </c>
      <c r="BV68" s="680">
        <f>+$DN$68</f>
        <v>0.38067761838318714</v>
      </c>
      <c r="BW68" s="680">
        <f>+$DN$68</f>
        <v>0.38067761838318714</v>
      </c>
      <c r="BX68" s="680">
        <f>+$DN$68</f>
        <v>0.38067761838318714</v>
      </c>
      <c r="BY68" s="632"/>
      <c r="BZ68" s="680">
        <f>+$DN$68</f>
        <v>0.38067761838318714</v>
      </c>
      <c r="CA68" s="680">
        <f>+$DN$68</f>
        <v>0.38067761838318714</v>
      </c>
      <c r="CB68" s="680">
        <f>+$DN$68</f>
        <v>0.38067761838318714</v>
      </c>
      <c r="CC68" s="680">
        <f>+$DN$68</f>
        <v>0.38067761838318714</v>
      </c>
      <c r="CD68" s="632"/>
      <c r="CE68" s="680">
        <f>+$DN$68</f>
        <v>0.38067761838318714</v>
      </c>
      <c r="CF68" s="680">
        <f>+$DN$68</f>
        <v>0.38067761838318714</v>
      </c>
      <c r="CG68" s="680">
        <f>+$DN$68</f>
        <v>0.38067761838318714</v>
      </c>
      <c r="CH68" s="680">
        <f>+$DN$68</f>
        <v>0.38067761838318714</v>
      </c>
      <c r="CI68" s="632"/>
      <c r="CJ68" s="680">
        <f>+$DN$68</f>
        <v>0.38067761838318714</v>
      </c>
      <c r="CK68" s="680">
        <f>+$DN$68</f>
        <v>0.38067761838318714</v>
      </c>
      <c r="CL68" s="680">
        <f>+$DN$68</f>
        <v>0.38067761838318714</v>
      </c>
      <c r="CM68" s="680">
        <f>+$DN$68</f>
        <v>0.38067761838318714</v>
      </c>
      <c r="CN68" s="632"/>
      <c r="CO68" s="680">
        <f>+$DN$68</f>
        <v>0.38067761838318714</v>
      </c>
      <c r="CP68" s="680">
        <f>+$DN$68</f>
        <v>0.38067761838318714</v>
      </c>
      <c r="CQ68" s="680">
        <f>+$DN$68</f>
        <v>0.38067761838318714</v>
      </c>
      <c r="CR68" s="680">
        <f>+$DN$68</f>
        <v>0.38067761838318714</v>
      </c>
      <c r="CS68" s="632"/>
      <c r="CT68" s="680">
        <v>0.21</v>
      </c>
      <c r="CU68" s="680">
        <v>0.21</v>
      </c>
      <c r="CV68" s="680">
        <v>0.21</v>
      </c>
      <c r="CW68" s="680">
        <v>0.21</v>
      </c>
      <c r="CX68" s="632"/>
      <c r="CY68" s="632"/>
      <c r="CZ68" s="681"/>
      <c r="DA68" s="681"/>
      <c r="DB68" s="681"/>
      <c r="DC68" s="658">
        <f t="shared" ref="DC68:DL68" si="51">+SUM(DC69:DC70)</f>
        <v>0.39199999999999996</v>
      </c>
      <c r="DD68" s="658">
        <f t="shared" si="51"/>
        <v>0.38999999999999996</v>
      </c>
      <c r="DE68" s="658">
        <f t="shared" si="51"/>
        <v>0.38799999999999996</v>
      </c>
      <c r="DF68" s="658">
        <f t="shared" si="51"/>
        <v>0.39099999999999996</v>
      </c>
      <c r="DG68" s="658">
        <f t="shared" si="51"/>
        <v>0.39199999999999996</v>
      </c>
      <c r="DH68" s="658">
        <f t="shared" si="51"/>
        <v>0.39299999999999996</v>
      </c>
      <c r="DI68" s="658">
        <f t="shared" si="51"/>
        <v>0.38899999999999996</v>
      </c>
      <c r="DJ68" s="658">
        <f t="shared" si="51"/>
        <v>0.38999999999999996</v>
      </c>
      <c r="DK68" s="658">
        <f t="shared" si="51"/>
        <v>0.39099999999999996</v>
      </c>
      <c r="DL68" s="658">
        <f t="shared" si="51"/>
        <v>0.378</v>
      </c>
      <c r="DM68" s="658">
        <f>+SUM(DM69:DM70)</f>
        <v>0.39299999999999996</v>
      </c>
      <c r="DN68" s="658">
        <f>+'yrP&amp;L'!V41</f>
        <v>0.38067761838318714</v>
      </c>
      <c r="DO68" s="658">
        <f>+'yrP&amp;L'!W41</f>
        <v>0.37961921267969884</v>
      </c>
      <c r="DP68" s="658">
        <f>+'yrP&amp;L'!X41</f>
        <v>0.3804128940767561</v>
      </c>
      <c r="DQ68" s="658">
        <f>+'yrP&amp;L'!Y41</f>
        <v>0.3561074852183575</v>
      </c>
      <c r="DR68" s="658">
        <f>+'yrP&amp;L'!Z41</f>
        <v>0.37600461096684529</v>
      </c>
      <c r="DS68" s="658">
        <f>+'yrP&amp;L'!AA41</f>
        <v>0.377399885192576</v>
      </c>
      <c r="DT68" s="658">
        <f>+'yrP&amp;L'!AB41</f>
        <v>0.38242333858558125</v>
      </c>
      <c r="DU68" s="658">
        <f>+'yrP&amp;L'!AC41</f>
        <v>0.32376805611592402</v>
      </c>
      <c r="DV68" s="658">
        <v>0.21</v>
      </c>
      <c r="DW68" s="658">
        <v>0.21</v>
      </c>
      <c r="DX68" s="658">
        <v>0.21</v>
      </c>
      <c r="DY68" s="658">
        <f>+'yrP&amp;L'!AG41</f>
        <v>0.25935941259912448</v>
      </c>
      <c r="DZ68" s="627"/>
      <c r="EA68" s="627"/>
      <c r="EG68" s="627"/>
    </row>
    <row r="69" spans="1:137" outlineLevel="1">
      <c r="A69" s="676" t="s">
        <v>393</v>
      </c>
      <c r="B69" s="677"/>
      <c r="C69" s="678">
        <f>+$DC$69</f>
        <v>0.35</v>
      </c>
      <c r="D69" s="678">
        <f>+$DC$69</f>
        <v>0.35</v>
      </c>
      <c r="E69" s="678">
        <f>+$DC$69</f>
        <v>0.35</v>
      </c>
      <c r="F69" s="678">
        <f>+$DC$69</f>
        <v>0.35</v>
      </c>
      <c r="G69" s="677"/>
      <c r="H69" s="678">
        <f>+$DD$69</f>
        <v>0.35</v>
      </c>
      <c r="I69" s="678">
        <f>+$DD$69</f>
        <v>0.35</v>
      </c>
      <c r="J69" s="678">
        <f>+$DD$69</f>
        <v>0.35</v>
      </c>
      <c r="K69" s="678">
        <f>+$DD$69</f>
        <v>0.35</v>
      </c>
      <c r="L69" s="678"/>
      <c r="M69" s="678">
        <f>+$DE$69</f>
        <v>0.35</v>
      </c>
      <c r="N69" s="678">
        <f>+$DE$69</f>
        <v>0.35</v>
      </c>
      <c r="O69" s="678">
        <f>+$DE$69</f>
        <v>0.35</v>
      </c>
      <c r="P69" s="678">
        <f>+$DE$69</f>
        <v>0.35</v>
      </c>
      <c r="Q69" s="678"/>
      <c r="R69" s="678">
        <f>+$DF$69</f>
        <v>0.35</v>
      </c>
      <c r="S69" s="678">
        <f>+$DF$69</f>
        <v>0.35</v>
      </c>
      <c r="T69" s="678">
        <f>+$DF$69</f>
        <v>0.35</v>
      </c>
      <c r="U69" s="678">
        <f>+$DF$69</f>
        <v>0.35</v>
      </c>
      <c r="V69" s="678"/>
      <c r="W69" s="678">
        <f>+$DG$69</f>
        <v>0.35</v>
      </c>
      <c r="X69" s="678">
        <f>+$DG$69</f>
        <v>0.35</v>
      </c>
      <c r="Y69" s="678">
        <f>+$DG$69</f>
        <v>0.35</v>
      </c>
      <c r="Z69" s="678">
        <f>+$DG$69</f>
        <v>0.35</v>
      </c>
      <c r="AA69" s="678"/>
      <c r="AB69" s="678">
        <f>+$DH$69</f>
        <v>0.35</v>
      </c>
      <c r="AC69" s="678">
        <f>+$DH$69</f>
        <v>0.35</v>
      </c>
      <c r="AD69" s="678">
        <f>+$DH$69</f>
        <v>0.35</v>
      </c>
      <c r="AE69" s="678">
        <f>+$DH$69</f>
        <v>0.35</v>
      </c>
      <c r="AF69" s="677"/>
      <c r="AG69" s="678">
        <f>+$DI$69</f>
        <v>0.35</v>
      </c>
      <c r="AH69" s="678">
        <f>+$DI$69</f>
        <v>0.35</v>
      </c>
      <c r="AI69" s="678">
        <f>+$DI$69</f>
        <v>0.35</v>
      </c>
      <c r="AJ69" s="678">
        <f>+$DI$69</f>
        <v>0.35</v>
      </c>
      <c r="AK69" s="679"/>
      <c r="AL69" s="678">
        <f>+$DJ$69</f>
        <v>0.35</v>
      </c>
      <c r="AM69" s="678">
        <f>+$DJ$69</f>
        <v>0.35</v>
      </c>
      <c r="AN69" s="678">
        <f>+$DJ$69</f>
        <v>0.35</v>
      </c>
      <c r="AO69" s="678">
        <f>+$DJ$69</f>
        <v>0.35</v>
      </c>
      <c r="AP69" s="679"/>
      <c r="AQ69" s="678">
        <f>+$DK$69</f>
        <v>0.35</v>
      </c>
      <c r="AR69" s="678">
        <f>+$DK$69</f>
        <v>0.35</v>
      </c>
      <c r="AS69" s="678">
        <f>+$DK$69</f>
        <v>0.35</v>
      </c>
      <c r="AT69" s="678">
        <f>+$DK$69</f>
        <v>0.35</v>
      </c>
      <c r="AU69" s="679"/>
      <c r="AV69" s="678">
        <f>+$DL$69</f>
        <v>0.35</v>
      </c>
      <c r="AW69" s="678">
        <f>+$DL$69</f>
        <v>0.35</v>
      </c>
      <c r="AX69" s="678">
        <f>+$DL$69</f>
        <v>0.35</v>
      </c>
      <c r="AY69" s="678">
        <f>+$DL$69</f>
        <v>0.35</v>
      </c>
      <c r="AZ69" s="679"/>
      <c r="BA69" s="678">
        <f>+$DM$69</f>
        <v>0.35</v>
      </c>
      <c r="BB69" s="678">
        <f>+$DM$69</f>
        <v>0.35</v>
      </c>
      <c r="BC69" s="678">
        <f>+$DM$69</f>
        <v>0.35</v>
      </c>
      <c r="BD69" s="678">
        <f>+$DM$69</f>
        <v>0.35</v>
      </c>
      <c r="BE69" s="679"/>
      <c r="BF69" s="680"/>
      <c r="BG69" s="677"/>
      <c r="BH69" s="679"/>
      <c r="BI69" s="679"/>
      <c r="BJ69" s="679"/>
      <c r="BK69" s="680"/>
      <c r="BL69" s="677"/>
      <c r="BM69" s="679"/>
      <c r="BN69" s="679"/>
      <c r="BO69" s="632"/>
      <c r="BP69" s="680"/>
      <c r="BQ69" s="677"/>
      <c r="BR69" s="679"/>
      <c r="BS69" s="679"/>
      <c r="BT69" s="632"/>
      <c r="BU69" s="680"/>
      <c r="BV69" s="677"/>
      <c r="BW69" s="679"/>
      <c r="BX69" s="679"/>
      <c r="BY69" s="632"/>
      <c r="BZ69" s="680"/>
      <c r="CA69" s="677"/>
      <c r="CB69" s="679"/>
      <c r="CC69" s="679"/>
      <c r="CD69" s="632"/>
      <c r="CE69" s="680"/>
      <c r="CF69" s="677"/>
      <c r="CG69" s="679"/>
      <c r="CH69" s="679"/>
      <c r="CI69" s="632"/>
      <c r="CJ69" s="680"/>
      <c r="CK69" s="677"/>
      <c r="CL69" s="679"/>
      <c r="CM69" s="679"/>
      <c r="CN69" s="632"/>
      <c r="CO69" s="680"/>
      <c r="CP69" s="677"/>
      <c r="CQ69" s="679"/>
      <c r="CR69" s="679"/>
      <c r="CS69" s="632"/>
      <c r="CT69" s="680"/>
      <c r="CU69" s="677"/>
      <c r="CV69" s="679"/>
      <c r="CW69" s="679"/>
      <c r="CX69" s="632"/>
      <c r="CY69" s="632"/>
      <c r="CZ69" s="681"/>
      <c r="DA69" s="681"/>
      <c r="DB69" s="681"/>
      <c r="DC69" s="658">
        <v>0.35</v>
      </c>
      <c r="DD69" s="658">
        <v>0.35</v>
      </c>
      <c r="DE69" s="658">
        <v>0.35</v>
      </c>
      <c r="DF69" s="658">
        <v>0.35</v>
      </c>
      <c r="DG69" s="658">
        <v>0.35</v>
      </c>
      <c r="DH69" s="658">
        <v>0.35</v>
      </c>
      <c r="DI69" s="658">
        <v>0.35</v>
      </c>
      <c r="DJ69" s="658">
        <v>0.35</v>
      </c>
      <c r="DK69" s="658">
        <v>0.35</v>
      </c>
      <c r="DL69" s="658">
        <v>0.35</v>
      </c>
      <c r="DM69" s="658">
        <v>0.35</v>
      </c>
      <c r="DN69" s="682"/>
      <c r="DO69" s="682"/>
      <c r="DP69" s="682"/>
      <c r="DQ69" s="682"/>
      <c r="DR69" s="682"/>
      <c r="DS69" s="682"/>
      <c r="DT69" s="682"/>
      <c r="DU69" s="682"/>
      <c r="DV69" s="682"/>
      <c r="DW69" s="682"/>
      <c r="DX69" s="682"/>
      <c r="DY69" s="682"/>
      <c r="DZ69" s="627"/>
      <c r="EA69" s="627"/>
      <c r="EG69" s="627"/>
    </row>
    <row r="70" spans="1:137" outlineLevel="1">
      <c r="A70" s="676" t="s">
        <v>394</v>
      </c>
      <c r="B70" s="677"/>
      <c r="C70" s="678">
        <f>+$DC$70</f>
        <v>4.2000000000000003E-2</v>
      </c>
      <c r="D70" s="678">
        <f>+$DC$70</f>
        <v>4.2000000000000003E-2</v>
      </c>
      <c r="E70" s="678">
        <f>+$DC$70</f>
        <v>4.2000000000000003E-2</v>
      </c>
      <c r="F70" s="678">
        <f>+$DC$70</f>
        <v>4.2000000000000003E-2</v>
      </c>
      <c r="G70" s="677"/>
      <c r="H70" s="678">
        <f>+$DD$70</f>
        <v>0.04</v>
      </c>
      <c r="I70" s="678">
        <f>+$DD$70</f>
        <v>0.04</v>
      </c>
      <c r="J70" s="678">
        <f>+$DD$70</f>
        <v>0.04</v>
      </c>
      <c r="K70" s="678">
        <f>+$DD$70</f>
        <v>0.04</v>
      </c>
      <c r="L70" s="678"/>
      <c r="M70" s="678">
        <f>+$DE$70</f>
        <v>3.7999999999999999E-2</v>
      </c>
      <c r="N70" s="678">
        <f>+$DE$70</f>
        <v>3.7999999999999999E-2</v>
      </c>
      <c r="O70" s="678">
        <f>+$DE$70</f>
        <v>3.7999999999999999E-2</v>
      </c>
      <c r="P70" s="678">
        <f>+$DE$70</f>
        <v>3.7999999999999999E-2</v>
      </c>
      <c r="Q70" s="678"/>
      <c r="R70" s="678">
        <f>+$DF$70</f>
        <v>4.1000000000000002E-2</v>
      </c>
      <c r="S70" s="678">
        <f>+$DF$70</f>
        <v>4.1000000000000002E-2</v>
      </c>
      <c r="T70" s="678">
        <f>+$DF$70</f>
        <v>4.1000000000000002E-2</v>
      </c>
      <c r="U70" s="678">
        <f>+$DF$70</f>
        <v>4.1000000000000002E-2</v>
      </c>
      <c r="V70" s="678"/>
      <c r="W70" s="678">
        <f>+$DG$70</f>
        <v>4.2000000000000003E-2</v>
      </c>
      <c r="X70" s="678">
        <f>+$DG$70</f>
        <v>4.2000000000000003E-2</v>
      </c>
      <c r="Y70" s="678">
        <f>+$DG$70</f>
        <v>4.2000000000000003E-2</v>
      </c>
      <c r="Z70" s="678">
        <f>+$DG$70</f>
        <v>4.2000000000000003E-2</v>
      </c>
      <c r="AA70" s="678"/>
      <c r="AB70" s="678">
        <f>+$DH$70</f>
        <v>4.2999999999999997E-2</v>
      </c>
      <c r="AC70" s="678">
        <f>+$DH$70</f>
        <v>4.2999999999999997E-2</v>
      </c>
      <c r="AD70" s="678">
        <f>+$DH$70</f>
        <v>4.2999999999999997E-2</v>
      </c>
      <c r="AE70" s="678">
        <f>+$DH$70</f>
        <v>4.2999999999999997E-2</v>
      </c>
      <c r="AF70" s="677"/>
      <c r="AG70" s="678">
        <f>+$DI$70</f>
        <v>3.9E-2</v>
      </c>
      <c r="AH70" s="678">
        <f>+$DI$70</f>
        <v>3.9E-2</v>
      </c>
      <c r="AI70" s="678">
        <f>+$DI$70</f>
        <v>3.9E-2</v>
      </c>
      <c r="AJ70" s="678">
        <f>+$DI$70</f>
        <v>3.9E-2</v>
      </c>
      <c r="AK70" s="679"/>
      <c r="AL70" s="678">
        <f>+$DJ$70</f>
        <v>0.04</v>
      </c>
      <c r="AM70" s="678">
        <f>+$DJ$70</f>
        <v>0.04</v>
      </c>
      <c r="AN70" s="678">
        <f>+$DJ$70</f>
        <v>0.04</v>
      </c>
      <c r="AO70" s="678">
        <f>+$DJ$70</f>
        <v>0.04</v>
      </c>
      <c r="AP70" s="679"/>
      <c r="AQ70" s="678">
        <f>+$DK$70</f>
        <v>4.1000000000000002E-2</v>
      </c>
      <c r="AR70" s="678">
        <f>+$DK$70</f>
        <v>4.1000000000000002E-2</v>
      </c>
      <c r="AS70" s="678">
        <f>+$DK$70</f>
        <v>4.1000000000000002E-2</v>
      </c>
      <c r="AT70" s="678">
        <f>+$DK$70</f>
        <v>4.1000000000000002E-2</v>
      </c>
      <c r="AU70" s="679"/>
      <c r="AV70" s="678">
        <f>+$DL$70</f>
        <v>2.8000000000000001E-2</v>
      </c>
      <c r="AW70" s="678">
        <f>+$DL$70</f>
        <v>2.8000000000000001E-2</v>
      </c>
      <c r="AX70" s="678">
        <f>+$DL$70</f>
        <v>2.8000000000000001E-2</v>
      </c>
      <c r="AY70" s="678">
        <f>+$DL$70</f>
        <v>2.8000000000000001E-2</v>
      </c>
      <c r="AZ70" s="679"/>
      <c r="BA70" s="678">
        <f>+$DM$70</f>
        <v>4.2999999999999997E-2</v>
      </c>
      <c r="BB70" s="678">
        <f>+$DM$70</f>
        <v>4.2999999999999997E-2</v>
      </c>
      <c r="BC70" s="678">
        <f>+$DM$70</f>
        <v>4.2999999999999997E-2</v>
      </c>
      <c r="BD70" s="678">
        <f>+$DM$70</f>
        <v>4.2999999999999997E-2</v>
      </c>
      <c r="BE70" s="679"/>
      <c r="BF70" s="680"/>
      <c r="BG70" s="677"/>
      <c r="BH70" s="679"/>
      <c r="BI70" s="679"/>
      <c r="BJ70" s="679"/>
      <c r="BK70" s="680"/>
      <c r="BL70" s="677"/>
      <c r="BM70" s="679"/>
      <c r="BN70" s="679"/>
      <c r="BO70" s="632"/>
      <c r="BP70" s="680"/>
      <c r="BQ70" s="677"/>
      <c r="BR70" s="679"/>
      <c r="BS70" s="679"/>
      <c r="BT70" s="632"/>
      <c r="BU70" s="680"/>
      <c r="BV70" s="677"/>
      <c r="BW70" s="679"/>
      <c r="BX70" s="679"/>
      <c r="BY70" s="632"/>
      <c r="BZ70" s="680"/>
      <c r="CA70" s="677"/>
      <c r="CB70" s="679"/>
      <c r="CC70" s="679"/>
      <c r="CD70" s="632"/>
      <c r="CE70" s="680"/>
      <c r="CF70" s="677"/>
      <c r="CG70" s="679"/>
      <c r="CH70" s="679"/>
      <c r="CI70" s="632"/>
      <c r="CJ70" s="680"/>
      <c r="CK70" s="677"/>
      <c r="CL70" s="679"/>
      <c r="CM70" s="679"/>
      <c r="CN70" s="632"/>
      <c r="CO70" s="680"/>
      <c r="CP70" s="677"/>
      <c r="CQ70" s="679"/>
      <c r="CR70" s="679"/>
      <c r="CS70" s="632"/>
      <c r="CT70" s="680"/>
      <c r="CU70" s="677"/>
      <c r="CV70" s="679"/>
      <c r="CW70" s="679"/>
      <c r="CX70" s="632"/>
      <c r="CY70" s="632"/>
      <c r="CZ70" s="681"/>
      <c r="DA70" s="681"/>
      <c r="DB70" s="681"/>
      <c r="DC70" s="658">
        <v>4.2000000000000003E-2</v>
      </c>
      <c r="DD70" s="658">
        <v>0.04</v>
      </c>
      <c r="DE70" s="658">
        <v>3.7999999999999999E-2</v>
      </c>
      <c r="DF70" s="658">
        <v>4.1000000000000002E-2</v>
      </c>
      <c r="DG70" s="658">
        <v>4.2000000000000003E-2</v>
      </c>
      <c r="DH70" s="658">
        <v>4.2999999999999997E-2</v>
      </c>
      <c r="DI70" s="658">
        <v>3.9E-2</v>
      </c>
      <c r="DJ70" s="658">
        <v>0.04</v>
      </c>
      <c r="DK70" s="658">
        <v>4.1000000000000002E-2</v>
      </c>
      <c r="DL70" s="658">
        <v>2.8000000000000001E-2</v>
      </c>
      <c r="DM70" s="658">
        <v>4.2999999999999997E-2</v>
      </c>
      <c r="DN70" s="682"/>
      <c r="DO70" s="682"/>
      <c r="DP70" s="682"/>
      <c r="DQ70" s="682"/>
      <c r="DR70" s="682"/>
      <c r="DS70" s="682"/>
      <c r="DT70" s="682"/>
      <c r="DU70" s="682"/>
      <c r="DV70" s="682"/>
      <c r="DW70" s="682"/>
      <c r="DX70" s="682"/>
      <c r="DY70" s="682"/>
      <c r="DZ70" s="627"/>
      <c r="EA70" s="627"/>
      <c r="EG70" s="627"/>
    </row>
    <row r="71" spans="1:137">
      <c r="A71" s="666"/>
      <c r="B71" s="664"/>
      <c r="C71" s="666"/>
      <c r="D71" s="666"/>
      <c r="E71" s="666"/>
      <c r="F71" s="666"/>
      <c r="G71" s="664"/>
      <c r="H71" s="666"/>
      <c r="I71" s="666"/>
      <c r="J71" s="666"/>
      <c r="K71" s="666"/>
      <c r="L71" s="666"/>
      <c r="M71" s="666"/>
      <c r="N71" s="664"/>
      <c r="O71" s="664"/>
      <c r="P71" s="664"/>
      <c r="Q71" s="666"/>
      <c r="R71" s="666"/>
      <c r="S71" s="666"/>
      <c r="T71" s="666"/>
      <c r="U71" s="666"/>
      <c r="V71" s="666"/>
      <c r="W71" s="627"/>
      <c r="X71" s="627"/>
      <c r="Y71" s="627"/>
      <c r="Z71" s="627"/>
      <c r="AA71" s="666"/>
      <c r="AB71" s="627"/>
      <c r="AC71" s="627"/>
      <c r="AD71" s="632"/>
      <c r="AE71" s="632"/>
      <c r="AF71" s="664"/>
      <c r="AG71" s="632"/>
      <c r="AH71" s="627"/>
      <c r="AI71" s="651"/>
      <c r="AJ71" s="632"/>
      <c r="AK71" s="632"/>
      <c r="AL71" s="632"/>
      <c r="AM71" s="627"/>
      <c r="AN71" s="651"/>
      <c r="AO71" s="632"/>
      <c r="AP71" s="632"/>
      <c r="AQ71" s="632"/>
      <c r="AR71" s="627"/>
      <c r="AS71" s="627"/>
      <c r="AT71" s="632"/>
      <c r="AU71" s="632"/>
      <c r="AV71" s="651"/>
      <c r="AW71" s="632"/>
      <c r="AX71" s="632"/>
      <c r="AY71" s="632"/>
      <c r="AZ71" s="632"/>
      <c r="BA71" s="651"/>
      <c r="BB71" s="632"/>
      <c r="BC71" s="632"/>
      <c r="BD71" s="632"/>
      <c r="BE71" s="632"/>
      <c r="BF71" s="627"/>
      <c r="BG71" s="651"/>
      <c r="BH71" s="632"/>
      <c r="BI71" s="632"/>
      <c r="BJ71" s="632"/>
      <c r="BK71" s="627"/>
      <c r="BL71" s="651"/>
      <c r="BM71" s="632"/>
      <c r="BN71" s="632"/>
      <c r="BO71" s="632"/>
      <c r="BP71" s="627"/>
      <c r="BQ71" s="651"/>
      <c r="BR71" s="632"/>
      <c r="BS71" s="632"/>
      <c r="BT71" s="632"/>
      <c r="BU71" s="627"/>
      <c r="BV71" s="651"/>
      <c r="BW71" s="632"/>
      <c r="BX71" s="632"/>
      <c r="BY71" s="632"/>
      <c r="BZ71" s="627"/>
      <c r="CA71" s="651"/>
      <c r="CB71" s="632"/>
      <c r="CC71" s="632"/>
      <c r="CD71" s="632"/>
      <c r="CE71" s="627"/>
      <c r="CF71" s="651"/>
      <c r="CG71" s="632"/>
      <c r="CH71" s="632"/>
      <c r="CI71" s="632"/>
      <c r="CJ71" s="627"/>
      <c r="CK71" s="651"/>
      <c r="CL71" s="632"/>
      <c r="CM71" s="632"/>
      <c r="CN71" s="632"/>
      <c r="CO71" s="627"/>
      <c r="CP71" s="651"/>
      <c r="CQ71" s="632"/>
      <c r="CR71" s="632"/>
      <c r="CS71" s="632"/>
      <c r="CT71" s="627"/>
      <c r="CU71" s="651"/>
      <c r="CV71" s="632"/>
      <c r="CW71" s="632"/>
      <c r="CX71" s="632"/>
      <c r="CY71" s="632"/>
      <c r="CZ71" s="632"/>
      <c r="DA71" s="632"/>
      <c r="DB71" s="632"/>
      <c r="DC71" s="632"/>
      <c r="DD71" s="632"/>
      <c r="DE71" s="670"/>
      <c r="DF71" s="670"/>
      <c r="DG71" s="670"/>
      <c r="DH71" s="670"/>
      <c r="DI71" s="670"/>
      <c r="DJ71" s="670"/>
      <c r="DK71" s="670"/>
      <c r="DL71" s="670"/>
      <c r="DM71" s="670"/>
      <c r="DN71" s="670"/>
      <c r="DO71" s="670"/>
      <c r="DP71" s="670"/>
      <c r="DQ71" s="670"/>
      <c r="DR71" s="682"/>
      <c r="DS71" s="670"/>
      <c r="DT71" s="670"/>
      <c r="DU71" s="670"/>
      <c r="DV71" s="670"/>
      <c r="DW71" s="670"/>
      <c r="DX71" s="670"/>
      <c r="DY71" s="670"/>
      <c r="DZ71" s="627"/>
      <c r="EA71" s="627"/>
      <c r="EG71" s="627"/>
    </row>
    <row r="72" spans="1:137">
      <c r="A72" s="627" t="s">
        <v>255</v>
      </c>
      <c r="B72" s="664"/>
      <c r="C72" s="666"/>
      <c r="D72" s="666"/>
      <c r="E72" s="666"/>
      <c r="F72" s="666"/>
      <c r="G72" s="664"/>
      <c r="H72" s="666"/>
      <c r="I72" s="666"/>
      <c r="J72" s="666"/>
      <c r="K72" s="666"/>
      <c r="L72" s="666"/>
      <c r="M72" s="666"/>
      <c r="N72" s="664"/>
      <c r="O72" s="664"/>
      <c r="P72" s="664"/>
      <c r="Q72" s="666"/>
      <c r="R72" s="666"/>
      <c r="S72" s="666"/>
      <c r="T72" s="666"/>
      <c r="U72" s="666"/>
      <c r="V72" s="666"/>
      <c r="W72" s="627"/>
      <c r="X72" s="627"/>
      <c r="Y72" s="627"/>
      <c r="Z72" s="627"/>
      <c r="AA72" s="666"/>
      <c r="AB72" s="627"/>
      <c r="AC72" s="627"/>
      <c r="AD72" s="632"/>
      <c r="AE72" s="632"/>
      <c r="AF72" s="664"/>
      <c r="AG72" s="632"/>
      <c r="AH72" s="627"/>
      <c r="AI72" s="651"/>
      <c r="AJ72" s="632"/>
      <c r="AK72" s="632"/>
      <c r="AL72" s="632"/>
      <c r="AM72" s="627"/>
      <c r="AN72" s="651"/>
      <c r="AO72" s="632"/>
      <c r="AP72" s="632"/>
      <c r="AQ72" s="632"/>
      <c r="AR72" s="627"/>
      <c r="AS72" s="651"/>
      <c r="AT72" s="632"/>
      <c r="AU72" s="632"/>
      <c r="AV72" s="632"/>
      <c r="AW72" s="632"/>
      <c r="AX72" s="632"/>
      <c r="AY72" s="632"/>
      <c r="AZ72" s="632"/>
      <c r="BA72" s="632"/>
      <c r="BB72" s="632"/>
      <c r="BC72" s="632"/>
      <c r="BD72" s="632"/>
      <c r="BE72" s="632"/>
      <c r="BF72" s="632"/>
      <c r="BG72" s="632"/>
      <c r="BH72" s="632"/>
      <c r="BI72" s="632"/>
      <c r="BJ72" s="632"/>
      <c r="BK72" s="632"/>
      <c r="BL72" s="632"/>
      <c r="BM72" s="632"/>
      <c r="BN72" s="632"/>
      <c r="BO72" s="632"/>
      <c r="BP72" s="632"/>
      <c r="BQ72" s="632"/>
      <c r="BR72" s="632"/>
      <c r="BS72" s="632"/>
      <c r="BT72" s="632"/>
      <c r="BU72" s="632"/>
      <c r="BV72" s="632"/>
      <c r="BW72" s="632"/>
      <c r="BX72" s="632"/>
      <c r="BY72" s="632"/>
      <c r="BZ72" s="632"/>
      <c r="CA72" s="632"/>
      <c r="CB72" s="632"/>
      <c r="CC72" s="632"/>
      <c r="CD72" s="632"/>
      <c r="CE72" s="632"/>
      <c r="CF72" s="632"/>
      <c r="CG72" s="632"/>
      <c r="CH72" s="632"/>
      <c r="CI72" s="632"/>
      <c r="CJ72" s="632"/>
      <c r="CK72" s="632"/>
      <c r="CL72" s="632"/>
      <c r="CM72" s="632"/>
      <c r="CN72" s="632"/>
      <c r="CO72" s="632"/>
      <c r="CP72" s="632"/>
      <c r="CQ72" s="632"/>
      <c r="CR72" s="632"/>
      <c r="CS72" s="632"/>
      <c r="CT72" s="632"/>
      <c r="CU72" s="632"/>
      <c r="CV72" s="632"/>
      <c r="CW72" s="632"/>
      <c r="CX72" s="632"/>
      <c r="CY72" s="632"/>
      <c r="CZ72" s="632"/>
      <c r="DA72" s="632"/>
      <c r="DB72" s="632"/>
      <c r="DC72" s="632"/>
      <c r="DD72" s="632"/>
      <c r="DE72" s="670"/>
      <c r="DF72" s="670"/>
      <c r="DG72" s="670"/>
      <c r="DH72" s="670"/>
      <c r="DI72" s="670"/>
      <c r="DJ72" s="670"/>
      <c r="DK72" s="670"/>
      <c r="DL72" s="670"/>
      <c r="DM72" s="670"/>
      <c r="DN72" s="670"/>
      <c r="DO72" s="670"/>
      <c r="DP72" s="670"/>
      <c r="DQ72" s="670"/>
      <c r="DR72" s="670"/>
      <c r="DS72" s="670"/>
      <c r="DT72" s="670"/>
      <c r="DU72" s="670"/>
      <c r="DV72" s="670"/>
      <c r="DW72" s="670"/>
      <c r="DX72" s="670"/>
      <c r="DY72" s="670"/>
      <c r="DZ72" s="627"/>
      <c r="EA72" s="627"/>
      <c r="EG72" s="627"/>
    </row>
    <row r="73" spans="1:137">
      <c r="A73" s="627" t="s">
        <v>256</v>
      </c>
      <c r="B73" s="683"/>
      <c r="C73" s="684"/>
      <c r="D73" s="684"/>
      <c r="E73" s="684"/>
      <c r="F73" s="684"/>
      <c r="G73" s="684"/>
      <c r="H73" s="684"/>
      <c r="I73" s="684"/>
      <c r="J73" s="684"/>
      <c r="K73" s="684"/>
      <c r="L73" s="666"/>
      <c r="M73" s="684"/>
      <c r="N73" s="684"/>
      <c r="O73" s="684"/>
      <c r="P73" s="684"/>
      <c r="Q73" s="666"/>
      <c r="R73" s="684"/>
      <c r="S73" s="684"/>
      <c r="T73" s="684"/>
      <c r="U73" s="684"/>
      <c r="V73" s="666"/>
      <c r="W73" s="627"/>
      <c r="X73" s="627"/>
      <c r="Y73" s="627"/>
      <c r="Z73" s="627"/>
      <c r="AA73" s="666"/>
      <c r="AB73" s="627"/>
      <c r="AC73" s="627"/>
      <c r="AD73" s="627"/>
      <c r="AE73" s="627"/>
      <c r="AF73" s="666"/>
      <c r="AG73" s="627"/>
      <c r="AH73" s="627"/>
      <c r="AI73" s="627"/>
      <c r="AJ73" s="627"/>
      <c r="AK73" s="627"/>
      <c r="AL73" s="627"/>
      <c r="AM73" s="627"/>
      <c r="AN73" s="627"/>
      <c r="AO73" s="627"/>
      <c r="AP73" s="627"/>
      <c r="AQ73" s="627"/>
      <c r="AR73" s="627"/>
      <c r="AS73" s="627"/>
      <c r="AT73" s="627"/>
      <c r="AU73" s="627"/>
      <c r="AV73" s="627"/>
      <c r="AW73" s="627"/>
      <c r="AX73" s="627"/>
      <c r="AY73" s="627"/>
      <c r="AZ73" s="627"/>
      <c r="BA73" s="627"/>
      <c r="BB73" s="627"/>
      <c r="BC73" s="627"/>
      <c r="BD73" s="627"/>
      <c r="BE73" s="627"/>
      <c r="BF73" s="627"/>
      <c r="BG73" s="627"/>
      <c r="BH73" s="627"/>
      <c r="BI73" s="627"/>
      <c r="BJ73" s="627"/>
      <c r="BK73" s="627"/>
      <c r="BL73" s="627"/>
      <c r="BM73" s="627"/>
      <c r="BN73" s="627"/>
      <c r="BO73" s="627"/>
      <c r="BP73" s="627"/>
      <c r="BQ73" s="627"/>
      <c r="BR73" s="627"/>
      <c r="BS73" s="627"/>
      <c r="BT73" s="627"/>
      <c r="BU73" s="627"/>
      <c r="BV73" s="627"/>
      <c r="BW73" s="627"/>
      <c r="BX73" s="627"/>
      <c r="BY73" s="627"/>
      <c r="BZ73" s="627"/>
      <c r="CA73" s="627"/>
      <c r="CB73" s="627"/>
      <c r="CC73" s="627"/>
      <c r="CD73" s="627"/>
      <c r="CE73" s="627"/>
      <c r="CF73" s="627"/>
      <c r="CG73" s="627"/>
      <c r="CH73" s="627"/>
      <c r="CI73" s="627"/>
      <c r="CJ73" s="627"/>
      <c r="CK73" s="627"/>
      <c r="CL73" s="627"/>
      <c r="CM73" s="627"/>
      <c r="CN73" s="627"/>
      <c r="CO73" s="627"/>
      <c r="CP73" s="627"/>
      <c r="CQ73" s="627"/>
      <c r="CR73" s="627"/>
      <c r="CS73" s="627"/>
      <c r="CT73" s="627"/>
      <c r="CU73" s="627"/>
      <c r="CV73" s="627"/>
      <c r="CW73" s="627"/>
      <c r="CX73" s="627"/>
      <c r="CY73" s="627"/>
      <c r="CZ73" s="627"/>
      <c r="DA73" s="627"/>
      <c r="DB73" s="627"/>
      <c r="DC73" s="627"/>
      <c r="DD73" s="627"/>
      <c r="DE73" s="627"/>
      <c r="DF73" s="627"/>
      <c r="DG73" s="627"/>
      <c r="DH73" s="627"/>
      <c r="DI73" s="627"/>
      <c r="DJ73" s="627"/>
      <c r="DK73" s="627"/>
      <c r="DL73" s="627"/>
      <c r="DM73" s="627"/>
      <c r="DN73" s="627"/>
      <c r="DO73" s="627"/>
      <c r="DP73" s="627"/>
      <c r="DQ73" s="627"/>
      <c r="DR73" s="627"/>
      <c r="DS73" s="627"/>
      <c r="DT73" s="627"/>
      <c r="DU73" s="627"/>
      <c r="DV73" s="627"/>
      <c r="DW73" s="627"/>
      <c r="DX73" s="627"/>
      <c r="DY73" s="627"/>
      <c r="DZ73" s="627"/>
      <c r="EA73" s="627"/>
      <c r="EG73" s="627"/>
    </row>
    <row r="74" spans="1:137">
      <c r="A74" s="685" t="s">
        <v>500</v>
      </c>
      <c r="B74" s="627"/>
      <c r="C74" s="627"/>
      <c r="D74" s="627"/>
      <c r="E74" s="627"/>
      <c r="F74" s="627"/>
      <c r="G74" s="627"/>
      <c r="H74" s="627"/>
      <c r="I74" s="627"/>
      <c r="J74" s="627"/>
      <c r="K74" s="627"/>
      <c r="L74" s="627"/>
      <c r="M74" s="627"/>
      <c r="N74" s="627"/>
      <c r="O74" s="627"/>
      <c r="P74" s="627"/>
      <c r="Q74" s="627"/>
      <c r="R74" s="627"/>
      <c r="S74" s="627"/>
      <c r="T74" s="627"/>
      <c r="U74" s="627"/>
      <c r="V74" s="627"/>
      <c r="W74" s="627"/>
      <c r="X74" s="627"/>
      <c r="Y74" s="627"/>
      <c r="Z74" s="627"/>
      <c r="AA74" s="627"/>
      <c r="AB74" s="627"/>
      <c r="AC74" s="627"/>
      <c r="AD74" s="627"/>
      <c r="AE74" s="627"/>
      <c r="AF74" s="627"/>
      <c r="AG74" s="627"/>
      <c r="AH74" s="627"/>
      <c r="AI74" s="627"/>
      <c r="AJ74" s="627"/>
      <c r="AK74" s="627"/>
      <c r="AL74" s="627"/>
      <c r="AM74" s="627"/>
      <c r="AN74" s="627"/>
      <c r="AO74" s="627"/>
      <c r="AP74" s="627"/>
      <c r="AQ74" s="627"/>
      <c r="AR74" s="627"/>
      <c r="AS74" s="627"/>
      <c r="AT74" s="627"/>
      <c r="AU74" s="627"/>
      <c r="AV74" s="627"/>
      <c r="AW74" s="627"/>
      <c r="AX74" s="627"/>
      <c r="AY74" s="627"/>
      <c r="AZ74" s="627"/>
      <c r="BA74" s="627"/>
      <c r="BB74" s="627"/>
      <c r="BC74" s="627"/>
      <c r="BD74" s="627"/>
      <c r="BE74" s="627"/>
      <c r="BF74" s="627"/>
      <c r="BG74" s="627"/>
      <c r="BH74" s="627"/>
      <c r="BI74" s="627"/>
      <c r="BJ74" s="627"/>
      <c r="BK74" s="627"/>
      <c r="BL74" s="627"/>
      <c r="BM74" s="627"/>
      <c r="BN74" s="627"/>
      <c r="BO74" s="627"/>
      <c r="BP74" s="627"/>
      <c r="BQ74" s="627"/>
      <c r="BR74" s="627"/>
      <c r="BS74" s="627"/>
      <c r="BT74" s="627"/>
      <c r="BU74" s="627"/>
      <c r="BV74" s="627"/>
      <c r="BW74" s="627"/>
      <c r="BX74" s="627"/>
      <c r="BY74" s="627"/>
      <c r="BZ74" s="627"/>
      <c r="CA74" s="627"/>
      <c r="CB74" s="627"/>
      <c r="CC74" s="627"/>
      <c r="CD74" s="627"/>
      <c r="CE74" s="627"/>
      <c r="CF74" s="627"/>
      <c r="CG74" s="627"/>
      <c r="CH74" s="627"/>
      <c r="CI74" s="627"/>
      <c r="CJ74" s="627"/>
      <c r="CK74" s="627"/>
      <c r="CL74" s="627"/>
      <c r="CM74" s="627"/>
      <c r="CN74" s="627"/>
      <c r="CO74" s="627"/>
      <c r="CP74" s="627"/>
      <c r="CQ74" s="627"/>
      <c r="CR74" s="627"/>
      <c r="CS74" s="627"/>
      <c r="CT74" s="627"/>
      <c r="CU74" s="627"/>
      <c r="CV74" s="627"/>
      <c r="CW74" s="627"/>
      <c r="CX74" s="627"/>
      <c r="CY74" s="627"/>
      <c r="CZ74" s="627"/>
      <c r="DA74" s="627"/>
      <c r="DB74" s="627"/>
      <c r="DC74" s="627"/>
      <c r="DD74" s="627"/>
      <c r="DE74" s="627"/>
      <c r="DF74" s="627"/>
      <c r="DG74" s="627"/>
      <c r="DH74" s="627"/>
      <c r="DI74" s="627"/>
      <c r="DJ74" s="627"/>
      <c r="DK74" s="627"/>
      <c r="DL74" s="627"/>
      <c r="DM74" s="627"/>
      <c r="DN74" s="627"/>
      <c r="DO74" s="627"/>
      <c r="DP74" s="627"/>
      <c r="DQ74" s="627"/>
      <c r="DR74" s="627"/>
      <c r="DS74" s="627"/>
      <c r="DT74" s="627"/>
      <c r="DU74" s="627"/>
      <c r="DV74" s="627"/>
      <c r="DW74" s="627"/>
      <c r="DX74" s="627"/>
      <c r="DY74" s="627"/>
      <c r="DZ74" s="627"/>
      <c r="EA74" s="627"/>
      <c r="EG74" s="627"/>
    </row>
    <row r="75" spans="1:137">
      <c r="A75" s="627"/>
      <c r="B75" s="627"/>
      <c r="C75" s="627"/>
      <c r="D75" s="627"/>
      <c r="E75" s="627"/>
      <c r="F75" s="627"/>
      <c r="G75" s="627"/>
      <c r="H75" s="627"/>
      <c r="I75" s="627"/>
      <c r="J75" s="627"/>
      <c r="K75" s="627"/>
      <c r="L75" s="627"/>
      <c r="M75" s="627"/>
      <c r="N75" s="627"/>
      <c r="O75" s="627"/>
      <c r="P75" s="627"/>
      <c r="Q75" s="627"/>
      <c r="R75" s="627"/>
      <c r="S75" s="627"/>
      <c r="T75" s="627"/>
      <c r="U75" s="627"/>
      <c r="V75" s="627"/>
      <c r="W75" s="627"/>
      <c r="X75" s="627"/>
      <c r="Y75" s="627"/>
      <c r="Z75" s="627"/>
      <c r="AA75" s="627"/>
      <c r="AB75" s="627"/>
      <c r="AC75" s="627"/>
      <c r="AD75" s="627"/>
      <c r="AE75" s="627"/>
      <c r="AF75" s="627"/>
      <c r="AG75" s="627"/>
      <c r="AH75" s="627"/>
      <c r="AI75" s="627"/>
      <c r="AJ75" s="627"/>
      <c r="AK75" s="627"/>
      <c r="AL75" s="627"/>
      <c r="AM75" s="627"/>
      <c r="AN75" s="627"/>
      <c r="AO75" s="627"/>
      <c r="AP75" s="627"/>
      <c r="AQ75" s="627"/>
      <c r="AR75" s="627"/>
      <c r="AS75" s="627"/>
      <c r="AT75" s="627"/>
      <c r="AU75" s="627"/>
      <c r="AV75" s="627"/>
      <c r="AW75" s="627"/>
      <c r="AX75" s="627"/>
      <c r="AY75" s="627"/>
      <c r="AZ75" s="627"/>
      <c r="BA75" s="627"/>
      <c r="BB75" s="627"/>
      <c r="BC75" s="627"/>
      <c r="BD75" s="627"/>
      <c r="BE75" s="627"/>
      <c r="BF75" s="627"/>
      <c r="BG75" s="627"/>
      <c r="BH75" s="627"/>
      <c r="BI75" s="627"/>
      <c r="BJ75" s="627"/>
      <c r="BK75" s="627"/>
      <c r="BL75" s="627"/>
      <c r="BM75" s="627"/>
      <c r="BN75" s="627"/>
      <c r="BO75" s="627"/>
      <c r="BP75" s="627"/>
      <c r="BQ75" s="627"/>
      <c r="BR75" s="627"/>
      <c r="BS75" s="627"/>
      <c r="BT75" s="627"/>
      <c r="BU75" s="627"/>
      <c r="BV75" s="627"/>
      <c r="BW75" s="627"/>
      <c r="BX75" s="627"/>
      <c r="BY75" s="627"/>
      <c r="BZ75" s="627"/>
      <c r="CA75" s="627"/>
      <c r="CB75" s="627"/>
      <c r="CC75" s="627"/>
      <c r="CD75" s="627"/>
      <c r="CE75" s="627"/>
      <c r="CF75" s="627"/>
      <c r="CG75" s="627"/>
      <c r="CH75" s="627"/>
      <c r="CI75" s="627"/>
      <c r="CJ75" s="627"/>
      <c r="CK75" s="627"/>
      <c r="CL75" s="627"/>
      <c r="CM75" s="627"/>
      <c r="CN75" s="627"/>
      <c r="CO75" s="627"/>
      <c r="CP75" s="627"/>
      <c r="CQ75" s="627"/>
      <c r="CR75" s="627"/>
      <c r="CS75" s="627"/>
      <c r="CT75" s="627"/>
      <c r="CU75" s="627"/>
      <c r="CV75" s="627"/>
      <c r="CW75" s="627"/>
      <c r="CX75" s="627"/>
      <c r="CY75" s="627"/>
      <c r="CZ75" s="627"/>
      <c r="DA75" s="627"/>
      <c r="DB75" s="627"/>
      <c r="DC75" s="627"/>
      <c r="DD75" s="627"/>
      <c r="DE75" s="627"/>
      <c r="DF75" s="627"/>
      <c r="DG75" s="627"/>
      <c r="DH75" s="627"/>
      <c r="DI75" s="627"/>
      <c r="DJ75" s="627"/>
      <c r="DK75" s="627"/>
      <c r="DL75" s="627"/>
      <c r="DM75" s="627"/>
      <c r="DN75" s="627"/>
      <c r="DO75" s="627"/>
      <c r="DP75" s="627"/>
      <c r="DQ75" s="627"/>
      <c r="DR75" s="627"/>
      <c r="DS75" s="627"/>
      <c r="DT75" s="627"/>
      <c r="DU75" s="627"/>
      <c r="DV75" s="627"/>
      <c r="DW75" s="627"/>
      <c r="DX75" s="627"/>
      <c r="DY75" s="627"/>
      <c r="DZ75" s="627"/>
      <c r="EA75" s="627"/>
      <c r="EG75" s="627"/>
    </row>
    <row r="76" spans="1:137">
      <c r="A76" s="627"/>
      <c r="B76" s="627"/>
      <c r="C76" s="627"/>
      <c r="D76" s="627"/>
      <c r="E76" s="627"/>
      <c r="F76" s="627"/>
      <c r="G76" s="627"/>
      <c r="H76" s="627"/>
      <c r="I76" s="627"/>
      <c r="J76" s="627"/>
      <c r="K76" s="627"/>
      <c r="L76" s="627"/>
      <c r="M76" s="627"/>
      <c r="N76" s="627"/>
      <c r="O76" s="627"/>
      <c r="P76" s="627"/>
      <c r="Q76" s="627"/>
      <c r="R76" s="627"/>
      <c r="S76" s="627"/>
      <c r="T76" s="627"/>
      <c r="U76" s="627"/>
      <c r="V76" s="627"/>
      <c r="W76" s="627"/>
      <c r="X76" s="627"/>
      <c r="Y76" s="627"/>
      <c r="Z76" s="627"/>
      <c r="AA76" s="627"/>
      <c r="AB76" s="627"/>
      <c r="AC76" s="627"/>
      <c r="AD76" s="627"/>
      <c r="AE76" s="627"/>
      <c r="AF76" s="627"/>
      <c r="AG76" s="627"/>
      <c r="AH76" s="627"/>
      <c r="AI76" s="627"/>
      <c r="AJ76" s="627"/>
      <c r="AK76" s="627"/>
      <c r="AL76" s="627"/>
      <c r="AM76" s="627"/>
      <c r="AN76" s="627"/>
      <c r="AO76" s="627"/>
      <c r="AP76" s="627"/>
      <c r="AQ76" s="627"/>
      <c r="AR76" s="627"/>
      <c r="AS76" s="627"/>
      <c r="AT76" s="627"/>
      <c r="AU76" s="627"/>
      <c r="AV76" s="627"/>
      <c r="AW76" s="627"/>
      <c r="AX76" s="627"/>
      <c r="AY76" s="627"/>
      <c r="AZ76" s="627"/>
      <c r="BA76" s="627"/>
      <c r="BB76" s="627"/>
      <c r="BC76" s="627"/>
      <c r="BD76" s="627"/>
      <c r="BE76" s="627"/>
      <c r="BF76" s="627"/>
      <c r="BG76" s="627"/>
      <c r="BH76" s="627"/>
      <c r="BI76" s="627"/>
      <c r="BJ76" s="627"/>
      <c r="BK76" s="627"/>
      <c r="BL76" s="627"/>
      <c r="BM76" s="627"/>
      <c r="BN76" s="627"/>
      <c r="BO76" s="627"/>
      <c r="BP76" s="627"/>
      <c r="BQ76" s="627"/>
      <c r="BR76" s="627"/>
      <c r="BS76" s="627"/>
      <c r="BT76" s="627"/>
      <c r="BU76" s="627"/>
      <c r="BV76" s="627"/>
      <c r="BW76" s="627"/>
      <c r="BX76" s="627"/>
      <c r="BY76" s="627"/>
      <c r="BZ76" s="627"/>
      <c r="CA76" s="627"/>
      <c r="CB76" s="627"/>
      <c r="CC76" s="627"/>
      <c r="CD76" s="627"/>
      <c r="CE76" s="627"/>
      <c r="CF76" s="627"/>
      <c r="CG76" s="627"/>
      <c r="CH76" s="627"/>
      <c r="CI76" s="627"/>
      <c r="CJ76" s="627"/>
      <c r="CK76" s="627"/>
      <c r="CL76" s="627"/>
      <c r="CM76" s="627"/>
      <c r="CN76" s="627"/>
      <c r="CO76" s="627"/>
      <c r="CP76" s="627"/>
      <c r="CQ76" s="627"/>
      <c r="CR76" s="627"/>
      <c r="CS76" s="627"/>
      <c r="CT76" s="627"/>
      <c r="CU76" s="627"/>
      <c r="CV76" s="627"/>
      <c r="CW76" s="627"/>
      <c r="CX76" s="627"/>
      <c r="CY76" s="627"/>
      <c r="CZ76" s="627"/>
      <c r="DA76" s="627"/>
      <c r="DB76" s="627"/>
      <c r="DC76" s="627"/>
      <c r="DD76" s="627"/>
      <c r="DE76" s="627"/>
      <c r="DF76" s="627"/>
      <c r="DG76" s="627"/>
      <c r="DH76" s="627"/>
      <c r="DI76" s="627"/>
      <c r="DJ76" s="627"/>
      <c r="DK76" s="627"/>
      <c r="DL76" s="627"/>
      <c r="DM76" s="627"/>
      <c r="DN76" s="627"/>
      <c r="DO76" s="627"/>
      <c r="DP76" s="627"/>
      <c r="DQ76" s="627"/>
      <c r="DR76" s="627"/>
      <c r="DS76" s="627"/>
      <c r="DT76" s="627"/>
      <c r="DU76" s="627"/>
      <c r="DV76" s="627"/>
      <c r="DW76" s="627"/>
      <c r="DX76" s="627"/>
      <c r="DY76" s="627"/>
      <c r="DZ76" s="627"/>
      <c r="EA76" s="627"/>
      <c r="EG76" s="627"/>
    </row>
    <row r="77" spans="1:137">
      <c r="A77" s="627"/>
      <c r="B77" s="627"/>
      <c r="C77" s="627"/>
      <c r="D77" s="627"/>
      <c r="E77" s="627"/>
      <c r="F77" s="627"/>
      <c r="G77" s="627"/>
      <c r="H77" s="627"/>
      <c r="I77" s="627"/>
      <c r="J77" s="627"/>
      <c r="K77" s="627"/>
      <c r="L77" s="627"/>
      <c r="M77" s="627"/>
      <c r="N77" s="627"/>
      <c r="O77" s="627"/>
      <c r="P77" s="627"/>
      <c r="Q77" s="627"/>
      <c r="R77" s="627"/>
      <c r="S77" s="627"/>
      <c r="T77" s="627"/>
      <c r="U77" s="627"/>
      <c r="V77" s="627"/>
      <c r="W77" s="627"/>
      <c r="X77" s="627"/>
      <c r="Y77" s="627"/>
      <c r="Z77" s="627"/>
      <c r="AA77" s="627"/>
      <c r="AB77" s="627"/>
      <c r="AC77" s="627"/>
      <c r="AD77" s="627"/>
      <c r="AE77" s="627"/>
      <c r="AF77" s="627"/>
      <c r="AG77" s="627"/>
      <c r="AH77" s="627"/>
      <c r="AI77" s="627"/>
      <c r="AJ77" s="627"/>
      <c r="AK77" s="627"/>
      <c r="AL77" s="627"/>
      <c r="AM77" s="627"/>
      <c r="AN77" s="627"/>
      <c r="AO77" s="627"/>
      <c r="AP77" s="627"/>
      <c r="AQ77" s="627"/>
      <c r="AR77" s="627"/>
      <c r="AS77" s="627"/>
      <c r="AT77" s="627"/>
      <c r="AU77" s="627"/>
      <c r="AV77" s="627"/>
      <c r="AW77" s="627"/>
      <c r="AX77" s="627"/>
      <c r="AY77" s="627"/>
      <c r="AZ77" s="627"/>
      <c r="BA77" s="627"/>
      <c r="BB77" s="627"/>
      <c r="BC77" s="627"/>
      <c r="BD77" s="627"/>
      <c r="BE77" s="627"/>
      <c r="BF77" s="627"/>
      <c r="BG77" s="627"/>
      <c r="BH77" s="627"/>
      <c r="BI77" s="627"/>
      <c r="BJ77" s="627"/>
      <c r="BK77" s="627"/>
      <c r="BL77" s="627"/>
      <c r="BM77" s="627"/>
      <c r="BN77" s="627"/>
      <c r="BO77" s="627"/>
      <c r="BP77" s="627"/>
      <c r="BQ77" s="627"/>
      <c r="BR77" s="627"/>
      <c r="BS77" s="627"/>
      <c r="BT77" s="627"/>
      <c r="BU77" s="627"/>
      <c r="BV77" s="627"/>
      <c r="BW77" s="627"/>
      <c r="BX77" s="627"/>
      <c r="BY77" s="627"/>
      <c r="BZ77" s="627"/>
      <c r="CA77" s="627"/>
      <c r="CB77" s="627"/>
      <c r="CC77" s="627"/>
      <c r="CD77" s="627"/>
      <c r="CE77" s="627"/>
      <c r="CF77" s="627"/>
      <c r="CG77" s="627"/>
      <c r="CH77" s="627"/>
      <c r="CI77" s="627"/>
      <c r="CJ77" s="627"/>
      <c r="CK77" s="627"/>
      <c r="CL77" s="627"/>
      <c r="CM77" s="627"/>
      <c r="CN77" s="627"/>
      <c r="CO77" s="627"/>
      <c r="CP77" s="627"/>
      <c r="CQ77" s="627"/>
      <c r="CR77" s="627"/>
      <c r="CS77" s="627"/>
      <c r="CT77" s="627"/>
      <c r="CU77" s="627"/>
      <c r="CV77" s="627"/>
      <c r="CW77" s="627"/>
      <c r="CX77" s="627"/>
      <c r="CY77" s="627"/>
      <c r="CZ77" s="627"/>
      <c r="DA77" s="627"/>
      <c r="DB77" s="627"/>
      <c r="DC77" s="627"/>
      <c r="DD77" s="627"/>
      <c r="DE77" s="627"/>
      <c r="DF77" s="627"/>
      <c r="DG77" s="627"/>
      <c r="DH77" s="627"/>
      <c r="DI77" s="627"/>
      <c r="DJ77" s="627"/>
      <c r="DK77" s="627"/>
      <c r="DL77" s="627"/>
      <c r="DM77" s="627"/>
      <c r="DN77" s="627"/>
      <c r="DO77" s="627"/>
      <c r="DP77" s="627"/>
      <c r="DQ77" s="627"/>
      <c r="DR77" s="627"/>
      <c r="DS77" s="627"/>
      <c r="DT77" s="627"/>
      <c r="DU77" s="627"/>
      <c r="DV77" s="627"/>
      <c r="DW77" s="627"/>
      <c r="DX77" s="627"/>
      <c r="DY77" s="627"/>
      <c r="DZ77" s="627"/>
      <c r="EA77" s="627"/>
      <c r="EG77" s="627"/>
    </row>
    <row r="78" spans="1:137">
      <c r="A78" s="627"/>
      <c r="B78" s="627"/>
      <c r="C78" s="627"/>
      <c r="D78" s="627"/>
      <c r="E78" s="627"/>
      <c r="F78" s="627"/>
      <c r="G78" s="627"/>
      <c r="H78" s="627"/>
      <c r="I78" s="627"/>
      <c r="J78" s="627"/>
      <c r="K78" s="627"/>
      <c r="L78" s="627"/>
      <c r="M78" s="627"/>
      <c r="N78" s="627"/>
      <c r="O78" s="627"/>
      <c r="P78" s="627"/>
      <c r="Q78" s="627"/>
      <c r="R78" s="627"/>
      <c r="S78" s="627"/>
      <c r="T78" s="627"/>
      <c r="U78" s="627"/>
      <c r="V78" s="627"/>
      <c r="W78" s="627"/>
      <c r="X78" s="627"/>
      <c r="Y78" s="627"/>
      <c r="Z78" s="627"/>
      <c r="AA78" s="627"/>
      <c r="AB78" s="627"/>
      <c r="AC78" s="627"/>
      <c r="AD78" s="627"/>
      <c r="AE78" s="627"/>
      <c r="AF78" s="627"/>
      <c r="AG78" s="627"/>
      <c r="AH78" s="627"/>
      <c r="AI78" s="627"/>
      <c r="AJ78" s="627"/>
      <c r="AK78" s="627"/>
      <c r="AL78" s="627"/>
      <c r="AM78" s="627"/>
      <c r="AN78" s="627"/>
      <c r="AO78" s="627"/>
      <c r="AP78" s="627"/>
      <c r="AQ78" s="627"/>
      <c r="AR78" s="627"/>
      <c r="AS78" s="627"/>
      <c r="AT78" s="627"/>
      <c r="AU78" s="627"/>
      <c r="AV78" s="627"/>
      <c r="AW78" s="627"/>
      <c r="AX78" s="627"/>
      <c r="AY78" s="627"/>
      <c r="AZ78" s="627"/>
      <c r="BA78" s="627"/>
      <c r="BB78" s="627"/>
      <c r="BC78" s="627"/>
      <c r="BD78" s="627"/>
      <c r="BE78" s="627"/>
      <c r="BF78" s="627"/>
      <c r="BG78" s="627"/>
      <c r="BH78" s="627"/>
      <c r="BI78" s="627"/>
      <c r="BJ78" s="627"/>
      <c r="BK78" s="627"/>
      <c r="BL78" s="627"/>
      <c r="BM78" s="627"/>
      <c r="BN78" s="627"/>
      <c r="BO78" s="627"/>
      <c r="BP78" s="627"/>
      <c r="BQ78" s="627"/>
      <c r="BR78" s="627"/>
      <c r="BS78" s="627"/>
      <c r="BT78" s="627"/>
      <c r="BU78" s="627"/>
      <c r="BV78" s="627"/>
      <c r="BW78" s="627"/>
      <c r="BX78" s="627"/>
      <c r="BY78" s="627"/>
      <c r="BZ78" s="627"/>
      <c r="CA78" s="627"/>
      <c r="CB78" s="627"/>
      <c r="CC78" s="627"/>
      <c r="CD78" s="627"/>
      <c r="CE78" s="627"/>
      <c r="CF78" s="627"/>
      <c r="CG78" s="627"/>
      <c r="CH78" s="627"/>
      <c r="CI78" s="627"/>
      <c r="CJ78" s="627"/>
      <c r="CK78" s="627"/>
      <c r="CL78" s="627"/>
      <c r="CM78" s="627"/>
      <c r="CN78" s="627"/>
      <c r="CO78" s="627"/>
      <c r="CP78" s="627"/>
      <c r="CQ78" s="627"/>
      <c r="CR78" s="627"/>
      <c r="CS78" s="627"/>
      <c r="CT78" s="627"/>
      <c r="CU78" s="627"/>
      <c r="CV78" s="627"/>
      <c r="CW78" s="627"/>
      <c r="CX78" s="627"/>
      <c r="CY78" s="627"/>
      <c r="CZ78" s="627"/>
      <c r="DA78" s="627"/>
      <c r="DB78" s="627"/>
      <c r="DC78" s="627"/>
      <c r="DD78" s="627"/>
      <c r="DE78" s="627"/>
      <c r="DF78" s="627"/>
      <c r="DG78" s="627"/>
      <c r="DH78" s="627"/>
      <c r="DI78" s="627"/>
      <c r="DJ78" s="627"/>
      <c r="DK78" s="627"/>
      <c r="DL78" s="627"/>
      <c r="DM78" s="627"/>
      <c r="DN78" s="627"/>
      <c r="DO78" s="627"/>
      <c r="DP78" s="627"/>
      <c r="DQ78" s="627"/>
      <c r="DR78" s="627"/>
      <c r="DS78" s="627"/>
      <c r="DT78" s="627"/>
      <c r="DU78" s="627"/>
      <c r="DV78" s="627"/>
      <c r="DW78" s="627"/>
      <c r="DX78" s="627"/>
      <c r="DY78" s="627"/>
      <c r="DZ78" s="627"/>
      <c r="EA78" s="627"/>
      <c r="EG78" s="627"/>
    </row>
    <row r="79" spans="1:137">
      <c r="A79" s="627"/>
      <c r="B79" s="627"/>
      <c r="C79" s="627"/>
      <c r="D79" s="627"/>
      <c r="E79" s="627"/>
      <c r="F79" s="627"/>
      <c r="G79" s="627"/>
      <c r="H79" s="627"/>
      <c r="I79" s="627"/>
      <c r="J79" s="627"/>
      <c r="K79" s="627"/>
      <c r="L79" s="627"/>
      <c r="M79" s="627"/>
      <c r="N79" s="627"/>
      <c r="O79" s="627"/>
      <c r="P79" s="627"/>
      <c r="Q79" s="627"/>
      <c r="R79" s="627"/>
      <c r="S79" s="627"/>
      <c r="T79" s="627"/>
      <c r="U79" s="627"/>
      <c r="V79" s="627"/>
      <c r="W79" s="627"/>
      <c r="X79" s="627"/>
      <c r="Y79" s="627"/>
      <c r="Z79" s="627"/>
      <c r="AA79" s="627"/>
      <c r="AB79" s="627"/>
      <c r="AC79" s="627"/>
      <c r="AD79" s="627"/>
      <c r="AE79" s="627"/>
      <c r="AF79" s="627"/>
      <c r="AG79" s="627"/>
      <c r="AH79" s="627"/>
      <c r="AI79" s="627"/>
      <c r="AJ79" s="627"/>
      <c r="AK79" s="627"/>
      <c r="AL79" s="627"/>
      <c r="AM79" s="627"/>
      <c r="AN79" s="627"/>
      <c r="AO79" s="627"/>
      <c r="AP79" s="627"/>
      <c r="AQ79" s="627"/>
      <c r="AR79" s="627"/>
      <c r="AS79" s="627"/>
      <c r="AT79" s="627"/>
      <c r="AU79" s="627"/>
      <c r="AV79" s="627"/>
      <c r="AW79" s="627"/>
      <c r="AX79" s="627"/>
      <c r="AY79" s="627"/>
      <c r="AZ79" s="627"/>
      <c r="BA79" s="627"/>
      <c r="BB79" s="627"/>
      <c r="BC79" s="627"/>
      <c r="BD79" s="627"/>
      <c r="BE79" s="627"/>
      <c r="BF79" s="627"/>
      <c r="BG79" s="627"/>
      <c r="BH79" s="627"/>
      <c r="BI79" s="627"/>
      <c r="BJ79" s="627"/>
      <c r="BK79" s="627"/>
      <c r="BL79" s="627"/>
      <c r="BM79" s="627"/>
      <c r="BN79" s="627"/>
      <c r="BO79" s="627"/>
      <c r="BP79" s="627"/>
      <c r="BQ79" s="627"/>
      <c r="BR79" s="627"/>
      <c r="BS79" s="627"/>
      <c r="BT79" s="627"/>
      <c r="BU79" s="627"/>
      <c r="BV79" s="627"/>
      <c r="BW79" s="627"/>
      <c r="BX79" s="627"/>
      <c r="BY79" s="627"/>
      <c r="BZ79" s="627"/>
      <c r="CA79" s="627"/>
      <c r="CB79" s="627"/>
      <c r="CC79" s="627"/>
      <c r="CD79" s="627"/>
      <c r="CE79" s="627"/>
      <c r="CF79" s="627"/>
      <c r="CG79" s="627"/>
      <c r="CH79" s="627"/>
      <c r="CI79" s="627"/>
      <c r="CJ79" s="627"/>
      <c r="CK79" s="627"/>
      <c r="CL79" s="627"/>
      <c r="CM79" s="627"/>
      <c r="CN79" s="627"/>
      <c r="CO79" s="627"/>
      <c r="CP79" s="627"/>
      <c r="CQ79" s="627"/>
      <c r="CR79" s="627"/>
      <c r="CS79" s="627"/>
      <c r="CT79" s="627"/>
      <c r="CU79" s="627"/>
      <c r="CV79" s="627"/>
      <c r="CW79" s="627"/>
      <c r="CX79" s="627"/>
      <c r="CY79" s="627"/>
      <c r="CZ79" s="627"/>
      <c r="DA79" s="627"/>
      <c r="DB79" s="627"/>
      <c r="DC79" s="627"/>
      <c r="DD79" s="627"/>
      <c r="DE79" s="627"/>
      <c r="DF79" s="627"/>
      <c r="DG79" s="627"/>
      <c r="DH79" s="627"/>
      <c r="DI79" s="627"/>
      <c r="DJ79" s="627"/>
      <c r="DK79" s="627"/>
      <c r="DL79" s="627"/>
      <c r="DM79" s="627"/>
      <c r="DN79" s="627"/>
      <c r="DO79" s="627"/>
      <c r="DP79" s="627"/>
      <c r="DQ79" s="627"/>
      <c r="DR79" s="627"/>
      <c r="DS79" s="627"/>
      <c r="DT79" s="627"/>
      <c r="DU79" s="627"/>
      <c r="DV79" s="627"/>
      <c r="DW79" s="627"/>
      <c r="DX79" s="627"/>
      <c r="DY79" s="627"/>
      <c r="DZ79" s="627"/>
      <c r="EA79" s="627"/>
      <c r="EG79" s="627"/>
    </row>
    <row r="80" spans="1:137">
      <c r="A80" s="627"/>
      <c r="B80" s="627"/>
      <c r="C80" s="627"/>
      <c r="D80" s="627"/>
      <c r="E80" s="627"/>
      <c r="F80" s="627"/>
      <c r="G80" s="627"/>
      <c r="H80" s="627"/>
      <c r="I80" s="627"/>
      <c r="J80" s="627"/>
      <c r="K80" s="627"/>
      <c r="L80" s="627"/>
      <c r="M80" s="627"/>
      <c r="N80" s="627"/>
      <c r="O80" s="627"/>
      <c r="P80" s="627"/>
      <c r="Q80" s="627"/>
      <c r="R80" s="627"/>
      <c r="S80" s="627"/>
      <c r="T80" s="627"/>
      <c r="U80" s="627"/>
      <c r="V80" s="627"/>
      <c r="W80" s="627"/>
      <c r="X80" s="627"/>
      <c r="Y80" s="627"/>
      <c r="Z80" s="627"/>
      <c r="AA80" s="627"/>
      <c r="AB80" s="627"/>
      <c r="AC80" s="627"/>
      <c r="AD80" s="627"/>
      <c r="AE80" s="627"/>
      <c r="AF80" s="627"/>
      <c r="AG80" s="627"/>
      <c r="AH80" s="627"/>
      <c r="AI80" s="627"/>
      <c r="AJ80" s="627"/>
      <c r="AK80" s="627"/>
      <c r="AL80" s="627"/>
      <c r="AM80" s="627"/>
      <c r="AN80" s="627"/>
      <c r="AO80" s="627"/>
      <c r="AP80" s="627"/>
      <c r="AQ80" s="627"/>
      <c r="AR80" s="627"/>
      <c r="AS80" s="627"/>
      <c r="AT80" s="627"/>
      <c r="AU80" s="627"/>
      <c r="AV80" s="627"/>
      <c r="AW80" s="627"/>
      <c r="AX80" s="627"/>
      <c r="AY80" s="627"/>
      <c r="AZ80" s="627"/>
      <c r="BA80" s="627"/>
      <c r="BB80" s="627"/>
      <c r="BC80" s="627"/>
      <c r="BD80" s="627"/>
      <c r="BE80" s="627"/>
      <c r="BF80" s="627"/>
      <c r="BG80" s="627"/>
      <c r="BH80" s="627"/>
      <c r="BI80" s="627"/>
      <c r="BJ80" s="627"/>
      <c r="BK80" s="627"/>
      <c r="BL80" s="627"/>
      <c r="BM80" s="627"/>
      <c r="BN80" s="627"/>
      <c r="BO80" s="627"/>
      <c r="BP80" s="627"/>
      <c r="BQ80" s="627"/>
      <c r="BR80" s="627"/>
      <c r="BS80" s="627"/>
      <c r="BT80" s="627"/>
      <c r="BU80" s="627"/>
      <c r="BV80" s="627"/>
      <c r="BW80" s="627"/>
      <c r="BX80" s="627"/>
      <c r="BY80" s="627"/>
      <c r="BZ80" s="627"/>
      <c r="CA80" s="627"/>
      <c r="CB80" s="627"/>
      <c r="CC80" s="627"/>
      <c r="CD80" s="627"/>
      <c r="CE80" s="627"/>
      <c r="CF80" s="627"/>
      <c r="CG80" s="627"/>
      <c r="CH80" s="627"/>
      <c r="CI80" s="627"/>
      <c r="CJ80" s="627"/>
      <c r="CK80" s="627"/>
      <c r="CL80" s="627"/>
      <c r="CM80" s="627"/>
      <c r="CN80" s="627"/>
      <c r="CO80" s="627"/>
      <c r="CP80" s="627"/>
      <c r="CQ80" s="627"/>
      <c r="CR80" s="627"/>
      <c r="CS80" s="627"/>
      <c r="CT80" s="627"/>
      <c r="CU80" s="627"/>
      <c r="CV80" s="627"/>
      <c r="CW80" s="627"/>
      <c r="CX80" s="627"/>
      <c r="CY80" s="627"/>
      <c r="CZ80" s="627"/>
      <c r="DA80" s="627"/>
      <c r="DB80" s="627"/>
      <c r="DC80" s="627"/>
      <c r="DD80" s="627"/>
      <c r="DE80" s="627"/>
      <c r="DF80" s="627"/>
      <c r="DG80" s="627"/>
      <c r="DH80" s="627"/>
      <c r="DI80" s="627"/>
      <c r="DJ80" s="627"/>
      <c r="DK80" s="627"/>
      <c r="DL80" s="627"/>
      <c r="DM80" s="627"/>
      <c r="DN80" s="627"/>
      <c r="DO80" s="627"/>
      <c r="DP80" s="627"/>
      <c r="DQ80" s="627"/>
      <c r="DR80" s="627"/>
      <c r="DS80" s="627"/>
      <c r="DT80" s="627"/>
      <c r="DU80" s="627"/>
      <c r="DV80" s="627"/>
      <c r="DW80" s="627"/>
      <c r="DX80" s="627"/>
      <c r="DY80" s="627"/>
      <c r="DZ80" s="627"/>
      <c r="EA80" s="627"/>
      <c r="EG80" s="627"/>
    </row>
    <row r="81" spans="1:137">
      <c r="A81" s="627"/>
      <c r="B81" s="627"/>
      <c r="C81" s="627"/>
      <c r="D81" s="627"/>
      <c r="E81" s="627"/>
      <c r="F81" s="627"/>
      <c r="G81" s="627"/>
      <c r="H81" s="627"/>
      <c r="I81" s="627"/>
      <c r="J81" s="627"/>
      <c r="K81" s="627"/>
      <c r="L81" s="627"/>
      <c r="M81" s="627"/>
      <c r="N81" s="627"/>
      <c r="O81" s="627"/>
      <c r="P81" s="627"/>
      <c r="Q81" s="627"/>
      <c r="R81" s="627"/>
      <c r="S81" s="627"/>
      <c r="T81" s="627"/>
      <c r="U81" s="627"/>
      <c r="V81" s="627"/>
      <c r="W81" s="627"/>
      <c r="X81" s="627"/>
      <c r="Y81" s="627"/>
      <c r="Z81" s="627"/>
      <c r="AA81" s="627"/>
      <c r="AB81" s="627"/>
      <c r="AC81" s="627"/>
      <c r="AD81" s="627"/>
      <c r="AE81" s="627"/>
      <c r="AF81" s="627"/>
      <c r="AG81" s="627"/>
      <c r="AH81" s="627"/>
      <c r="AI81" s="627"/>
      <c r="AJ81" s="627"/>
      <c r="AK81" s="627"/>
      <c r="AL81" s="627"/>
      <c r="AM81" s="627"/>
      <c r="AN81" s="627"/>
      <c r="AO81" s="627"/>
      <c r="AP81" s="627"/>
      <c r="AQ81" s="627"/>
      <c r="AR81" s="627"/>
      <c r="AS81" s="627"/>
      <c r="AT81" s="627"/>
      <c r="AU81" s="627"/>
      <c r="AV81" s="627"/>
      <c r="AW81" s="627"/>
      <c r="AX81" s="627"/>
      <c r="AY81" s="627"/>
      <c r="AZ81" s="627"/>
      <c r="BA81" s="627"/>
      <c r="BB81" s="627"/>
      <c r="BC81" s="627"/>
      <c r="BD81" s="627"/>
      <c r="BE81" s="627"/>
      <c r="BF81" s="627"/>
      <c r="BG81" s="627"/>
      <c r="BH81" s="627"/>
      <c r="BI81" s="627"/>
      <c r="BJ81" s="627"/>
      <c r="BK81" s="627"/>
      <c r="BL81" s="627"/>
      <c r="BM81" s="627"/>
      <c r="BN81" s="627"/>
      <c r="BO81" s="627"/>
      <c r="BP81" s="627"/>
      <c r="BQ81" s="627"/>
      <c r="BR81" s="627"/>
      <c r="BS81" s="627"/>
      <c r="BT81" s="627"/>
      <c r="BU81" s="627"/>
      <c r="BV81" s="627"/>
      <c r="BW81" s="627"/>
      <c r="BX81" s="627"/>
      <c r="BY81" s="627"/>
      <c r="BZ81" s="627"/>
      <c r="CA81" s="627"/>
      <c r="CB81" s="627"/>
      <c r="CC81" s="627"/>
      <c r="CD81" s="627"/>
      <c r="CE81" s="627"/>
      <c r="CF81" s="627"/>
      <c r="CG81" s="627"/>
      <c r="CH81" s="627"/>
      <c r="CI81" s="627"/>
      <c r="CJ81" s="627"/>
      <c r="CK81" s="627"/>
      <c r="CL81" s="627"/>
      <c r="CM81" s="627"/>
      <c r="CN81" s="627"/>
      <c r="CO81" s="627"/>
      <c r="CP81" s="627"/>
      <c r="CQ81" s="627"/>
      <c r="CR81" s="627"/>
      <c r="CS81" s="627"/>
      <c r="CT81" s="627"/>
      <c r="CU81" s="627"/>
      <c r="CV81" s="627"/>
      <c r="CW81" s="627"/>
      <c r="CX81" s="627"/>
      <c r="CY81" s="627"/>
      <c r="CZ81" s="627"/>
      <c r="DA81" s="627"/>
      <c r="DB81" s="627"/>
      <c r="DC81" s="627"/>
      <c r="DD81" s="627"/>
      <c r="DE81" s="627"/>
      <c r="DF81" s="627"/>
      <c r="DG81" s="627"/>
      <c r="DH81" s="627"/>
      <c r="DI81" s="627"/>
      <c r="DJ81" s="627"/>
      <c r="DK81" s="627"/>
      <c r="DL81" s="627"/>
      <c r="DM81" s="627"/>
      <c r="DN81" s="627"/>
      <c r="DO81" s="627"/>
      <c r="DP81" s="627"/>
      <c r="DQ81" s="627"/>
      <c r="DR81" s="627"/>
      <c r="DS81" s="627"/>
      <c r="DT81" s="627"/>
      <c r="DU81" s="627"/>
      <c r="DV81" s="627"/>
      <c r="DW81" s="627"/>
      <c r="DX81" s="627"/>
      <c r="DY81" s="627"/>
      <c r="DZ81" s="627"/>
      <c r="EA81" s="627"/>
      <c r="EG81" s="627"/>
    </row>
    <row r="82" spans="1:137">
      <c r="A82" s="627"/>
      <c r="B82" s="627"/>
      <c r="C82" s="627"/>
      <c r="D82" s="627"/>
      <c r="E82" s="627"/>
      <c r="F82" s="627"/>
      <c r="G82" s="627"/>
      <c r="H82" s="627"/>
      <c r="I82" s="627"/>
      <c r="J82" s="627"/>
      <c r="K82" s="627"/>
      <c r="L82" s="627"/>
      <c r="M82" s="627"/>
      <c r="N82" s="627"/>
      <c r="O82" s="627"/>
      <c r="P82" s="627"/>
      <c r="Q82" s="627"/>
      <c r="R82" s="627"/>
      <c r="S82" s="627"/>
      <c r="T82" s="627"/>
      <c r="U82" s="627"/>
      <c r="V82" s="627"/>
      <c r="W82" s="627"/>
      <c r="X82" s="627"/>
      <c r="Y82" s="627"/>
      <c r="Z82" s="627"/>
      <c r="AA82" s="627"/>
      <c r="AB82" s="627"/>
      <c r="AC82" s="627"/>
      <c r="AD82" s="627"/>
      <c r="AE82" s="627"/>
      <c r="AF82" s="627"/>
      <c r="AG82" s="627"/>
      <c r="AH82" s="627"/>
      <c r="AI82" s="627"/>
      <c r="AJ82" s="627"/>
      <c r="AK82" s="627"/>
      <c r="AL82" s="627"/>
      <c r="AM82" s="627"/>
      <c r="AN82" s="627"/>
      <c r="AO82" s="627"/>
      <c r="AP82" s="627"/>
      <c r="AQ82" s="627"/>
      <c r="AR82" s="627"/>
      <c r="AS82" s="627"/>
      <c r="AT82" s="627"/>
      <c r="AU82" s="627"/>
      <c r="AV82" s="627"/>
      <c r="AW82" s="627"/>
      <c r="AX82" s="627"/>
      <c r="AY82" s="627"/>
      <c r="AZ82" s="627"/>
      <c r="BA82" s="627"/>
      <c r="BB82" s="627"/>
      <c r="BC82" s="627"/>
      <c r="BD82" s="627"/>
      <c r="BE82" s="627"/>
      <c r="BF82" s="627"/>
      <c r="BG82" s="627"/>
      <c r="BH82" s="627"/>
      <c r="BI82" s="627"/>
      <c r="BJ82" s="627"/>
      <c r="BK82" s="627"/>
      <c r="BL82" s="627"/>
      <c r="BM82" s="627"/>
      <c r="BN82" s="627"/>
      <c r="BO82" s="627"/>
      <c r="BP82" s="627"/>
      <c r="BQ82" s="627"/>
      <c r="BR82" s="627"/>
      <c r="BS82" s="627"/>
      <c r="BT82" s="627"/>
      <c r="BU82" s="627"/>
      <c r="BV82" s="627"/>
      <c r="BW82" s="627"/>
      <c r="BX82" s="627"/>
      <c r="BY82" s="627"/>
      <c r="BZ82" s="627"/>
      <c r="CA82" s="627"/>
      <c r="CB82" s="627"/>
      <c r="CC82" s="627"/>
      <c r="CD82" s="627"/>
      <c r="CE82" s="627"/>
      <c r="CF82" s="627"/>
      <c r="CG82" s="627"/>
      <c r="CH82" s="627"/>
      <c r="CI82" s="627"/>
      <c r="CJ82" s="627"/>
      <c r="CK82" s="627"/>
      <c r="CL82" s="627"/>
      <c r="CM82" s="627"/>
      <c r="CN82" s="627"/>
      <c r="CO82" s="627"/>
      <c r="CP82" s="627"/>
      <c r="CQ82" s="627"/>
      <c r="CR82" s="627"/>
      <c r="CS82" s="627"/>
      <c r="CT82" s="627"/>
      <c r="CU82" s="627"/>
      <c r="CV82" s="627"/>
      <c r="CW82" s="627"/>
      <c r="CX82" s="627"/>
      <c r="CY82" s="627"/>
      <c r="CZ82" s="627"/>
      <c r="DA82" s="627"/>
      <c r="DB82" s="627"/>
      <c r="DC82" s="627"/>
      <c r="DD82" s="627"/>
      <c r="DE82" s="627"/>
      <c r="DF82" s="627"/>
      <c r="DG82" s="627"/>
      <c r="DH82" s="627"/>
      <c r="DI82" s="627"/>
      <c r="DJ82" s="627"/>
      <c r="DK82" s="627"/>
      <c r="DL82" s="627"/>
      <c r="DM82" s="627"/>
      <c r="DN82" s="627"/>
      <c r="DO82" s="627"/>
      <c r="DP82" s="627"/>
      <c r="DQ82" s="627"/>
      <c r="DR82" s="627"/>
      <c r="DS82" s="627"/>
      <c r="DT82" s="627"/>
      <c r="DU82" s="627"/>
      <c r="DV82" s="627"/>
      <c r="DW82" s="627"/>
      <c r="DX82" s="627"/>
      <c r="DY82" s="627"/>
      <c r="DZ82" s="627"/>
      <c r="EA82" s="627"/>
      <c r="EG82" s="627"/>
    </row>
    <row r="83" spans="1:137">
      <c r="A83" s="627"/>
      <c r="B83" s="627"/>
      <c r="C83" s="627"/>
      <c r="D83" s="627"/>
      <c r="E83" s="627"/>
      <c r="F83" s="627"/>
      <c r="G83" s="627"/>
      <c r="H83" s="627"/>
      <c r="I83" s="627"/>
      <c r="J83" s="627"/>
      <c r="K83" s="627"/>
      <c r="L83" s="627"/>
      <c r="M83" s="627"/>
      <c r="N83" s="627"/>
      <c r="O83" s="627"/>
      <c r="P83" s="627"/>
      <c r="Q83" s="627"/>
      <c r="R83" s="627"/>
      <c r="S83" s="627"/>
      <c r="T83" s="627"/>
      <c r="U83" s="627"/>
      <c r="V83" s="627"/>
      <c r="W83" s="627"/>
      <c r="X83" s="627"/>
      <c r="Y83" s="627"/>
      <c r="Z83" s="627"/>
      <c r="AA83" s="627"/>
      <c r="AB83" s="627"/>
      <c r="AC83" s="627"/>
      <c r="AD83" s="627"/>
      <c r="AE83" s="627"/>
      <c r="AF83" s="627"/>
      <c r="AG83" s="627"/>
      <c r="AH83" s="627"/>
      <c r="AI83" s="627"/>
      <c r="AJ83" s="627"/>
      <c r="AK83" s="627"/>
      <c r="AL83" s="627"/>
      <c r="AM83" s="627"/>
      <c r="AN83" s="627"/>
      <c r="AO83" s="627"/>
      <c r="AP83" s="627"/>
      <c r="AQ83" s="627"/>
      <c r="AR83" s="627"/>
      <c r="AS83" s="627"/>
      <c r="AT83" s="627"/>
      <c r="AU83" s="627"/>
      <c r="AV83" s="627"/>
      <c r="AW83" s="627"/>
      <c r="AX83" s="627"/>
      <c r="AY83" s="627"/>
      <c r="AZ83" s="627"/>
      <c r="BA83" s="627"/>
      <c r="BB83" s="627"/>
      <c r="BC83" s="627"/>
      <c r="BD83" s="627"/>
      <c r="BE83" s="627"/>
      <c r="BF83" s="627"/>
      <c r="BG83" s="627"/>
      <c r="BH83" s="627"/>
      <c r="BI83" s="627"/>
      <c r="BJ83" s="627"/>
      <c r="BK83" s="627"/>
      <c r="BL83" s="627"/>
      <c r="BM83" s="627"/>
      <c r="BN83" s="627"/>
      <c r="BO83" s="627"/>
      <c r="BP83" s="627"/>
      <c r="BQ83" s="627"/>
      <c r="BR83" s="627"/>
      <c r="BS83" s="627"/>
      <c r="BT83" s="627"/>
      <c r="BU83" s="627"/>
      <c r="BV83" s="627"/>
      <c r="BW83" s="627"/>
      <c r="BX83" s="627"/>
      <c r="BY83" s="627"/>
      <c r="BZ83" s="627"/>
      <c r="CA83" s="627"/>
      <c r="CB83" s="627"/>
      <c r="CC83" s="627"/>
      <c r="CD83" s="627"/>
      <c r="CE83" s="627"/>
      <c r="CF83" s="627"/>
      <c r="CG83" s="627"/>
      <c r="CH83" s="627"/>
      <c r="CI83" s="627"/>
      <c r="CJ83" s="627"/>
      <c r="CK83" s="627"/>
      <c r="CL83" s="627"/>
      <c r="CM83" s="627"/>
      <c r="CN83" s="627"/>
      <c r="CO83" s="627"/>
      <c r="CP83" s="627"/>
      <c r="CQ83" s="627"/>
      <c r="CR83" s="627"/>
      <c r="CS83" s="627"/>
      <c r="CT83" s="627"/>
      <c r="CU83" s="627"/>
      <c r="CV83" s="627"/>
      <c r="CW83" s="627"/>
      <c r="CX83" s="627"/>
      <c r="CY83" s="627"/>
      <c r="CZ83" s="627"/>
      <c r="DA83" s="627"/>
      <c r="DB83" s="627"/>
      <c r="DC83" s="627"/>
      <c r="DD83" s="627"/>
      <c r="DE83" s="627"/>
      <c r="DF83" s="627"/>
      <c r="DG83" s="627"/>
      <c r="DH83" s="627"/>
      <c r="DI83" s="627"/>
      <c r="DJ83" s="627"/>
      <c r="DK83" s="627"/>
      <c r="DL83" s="627"/>
      <c r="DM83" s="627"/>
      <c r="DN83" s="627"/>
      <c r="DO83" s="627"/>
      <c r="DP83" s="627"/>
      <c r="DQ83" s="627"/>
      <c r="DR83" s="627"/>
      <c r="DS83" s="627"/>
      <c r="DT83" s="627"/>
      <c r="DU83" s="627"/>
      <c r="DV83" s="627"/>
      <c r="DW83" s="627"/>
      <c r="DX83" s="627"/>
      <c r="DY83" s="627"/>
      <c r="DZ83" s="627"/>
      <c r="EA83" s="627"/>
      <c r="EG83" s="627"/>
    </row>
    <row r="84" spans="1:137" customFormat="1"/>
  </sheetData>
  <phoneticPr fontId="0" type="noConversion"/>
  <dataValidations count="1">
    <dataValidation type="custom" allowBlank="1" showInputMessage="1" showErrorMessage="1" sqref="BT52:BT53 BM53:BM56 BK52:BL56 BJ57:BJ71 AZ52:AZ53 DH25:DY25 BP54:BS56 AT57:AT65 V64:V66 AQ85:AQ65536 BF1:BI15 BM69:BN71 AU57:AU71 AW57:AY65 DC53:DD53 AQ62:AQ65 BN54:BN56 AO57:AO65 AT71 AL62:AL65 AJ57:AJ65 AG62:AG65 AB62:AB65 W64:Z65 S64:U65 R46:R65 M64:P65 AL17:BN18 BE7:BE15 BE1:BE5 AJ71:AJ72 M50:P51 R31:U44 AB46:AJ51 W31:Z44 S46:U51 J52:K63 AB31:AJ44 S52:S63 W46:Z51 AW71:AY71 AE57:AF63 R24:U27 R1:U15 H17:K17 C17:F17 M17:P17 R17:U18 V1:V51 W17:Z18 W1:Z15 AA1:AA51 AB17:AJ18 M1:P8 AF6:AG15 AF1:AG4 AB1:AE15 AG5 AH1:AJ15 Q1:Q51 AB22:AJ22 AB24:AJ27 AL1:AT15 W22:Z22 W24:Z27 R22:U22 AU7:AU15 AU1:AU5 BA1:BD15 AL22:BN22 AV1:AY15 AL24:BN27 AL31:BN44 AL46:BN51 BE57:BE71 AT72:BN72 AZ7:AZ15 AZ1:AZ5 A29:A30 BU22:BX22 L85:L65536 AR78:BN83 AL85:AL65536 AB71:AB83 AG71:AG83 AM78:AP83 BA69:BD70 AC78:AF83 AH78:AJ83 AM85:AP65536 BP78:BS83 BH69:BI71 BU78:BX83 BU85:BX65536 AL69:AO70 BB71:BD71 AA64:AA83 C69:L70 Q64:Q83 M69:P83 R69:U83 W69:Z83 L1:L68 AP57:AP68 AO71:AP72 V68:V83 AZ57:AZ71 BK1:BN15 BM57:BN65 BJ7:BJ15 BJ1:BJ5 BH65:BI65 BB57:BD65 BG57:BI64 BU24:BX27 BU31:BX44 BU46:BX51 BU72:BX72 BP85:BS65536 DH35:DY41 BW3:BW19 BP1:BS15 BZ85:CC65536 BP72:BS72 BP46:BS51 BP31:BS44 BP24:BS27 BP22:BS22 BP17:BS18 BR69:BS71 DC61:DD61 DF79:DG83 DE52:DY63 DH32:DY32 DH44:DY49 DF10 DF12:DF13 CZ17:DE17 CB65:CC65 DH9:DY9 DH11:DY11 DG1:DG15 DF17:DG20 DF6:DF8 DF1:DF4 DH13:DY15 DH23:DY23 DG22:DG51 DF24:DF51 BZ22:CC22 DH19:DY20 DF22 DP27:DY29 DH17:DY17 DH27:DO30 BW69:BX71 CE31:CH44 BW65:BX65 BZ46:CC51 BZ72:CC72 CE85:CH65536 CG69:CH71 CG3:CG19 BZ24:CC27 BU54:BX56 CG58:CH65 CB69:CC71 CE22:CH22 CL3:CL4 CE46:CH51 CE72:CH72 CJ85:CM65536 CQ69:CR71 CL69:CM71 CE24:CH27 BZ31:CC44 CJ22:CM22 CJ31:CM44 CJ46:CM51 CJ72:CM72 CO85:CR65536 CZ16:DY16 CM4:CM19 CJ1:CK4 CJ6:CL19 CM1:CM2 CE54:CE56 CB3 CL1 CE1:CF19 CH1:CH19 CG1 BZ1:CA19 CC1:CC19 CB1 BU1:BV19 BX1:BX19 BW1 CB5:CB19 CJ24:CM27 CQ3:CQ4 CO22:CR22 CO31:CR44 CO46:CR51 CO72:CR72 CT85:CW65536 CQ52:CR65 CR4:CR19 CR1:CR2 CO1:CP4 CO6:CQ19 CT24:CW27 CQ1 CL58:CL65 CO24:CR27 CV69:CW71 CV3:CV4 CT22:CW22 CT31:CW44 CT46:CW51 CT72:CW72 CM57:CM65 CV52:CW65 CW4:CW19 CW1:CW2 CT1:CU4 CT6:CV19 CV1 CT78:CW83 CO78:CR83 CJ78:CM83 CE78:CH83 BZ78:CC83 AL71:AL83 L71:L83 AQ71:AQ83">
      <formula1>-1</formula1>
    </dataValidation>
  </dataValidations>
  <printOptions horizontalCentered="1" verticalCentered="1"/>
  <pageMargins left="0" right="0" top="0" bottom="0" header="0" footer="0"/>
  <pageSetup scale="66" orientation="landscape" r:id="rId1"/>
  <headerFooter alignWithMargins="0"/>
  <colBreaks count="1" manualBreakCount="1">
    <brk id="120" min="1" max="63" man="1"/>
  </colBreak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7030A0"/>
    <pageSetUpPr fitToPage="1"/>
  </sheetPr>
  <dimension ref="A1:BG230"/>
  <sheetViews>
    <sheetView zoomScaleNormal="100" workbookViewId="0">
      <pane xSplit="3" ySplit="9" topLeftCell="D184" activePane="bottomRight" state="frozen"/>
      <selection pane="topRight" activeCell="D1" sqref="D1"/>
      <selection pane="bottomLeft" activeCell="A10" sqref="A10"/>
      <selection pane="bottomRight" activeCell="Q203" sqref="Q203"/>
    </sheetView>
  </sheetViews>
  <sheetFormatPr defaultRowHeight="12.75" outlineLevelRow="1"/>
  <cols>
    <col min="1" max="1" width="2.7109375" style="451" customWidth="1"/>
    <col min="2" max="2" width="6" style="451" customWidth="1"/>
    <col min="3" max="3" width="1.28515625" style="451" customWidth="1"/>
    <col min="4" max="4" width="6.140625" style="451" customWidth="1"/>
    <col min="5" max="5" width="1.7109375" style="451" customWidth="1"/>
    <col min="6" max="6" width="6.140625" style="451" customWidth="1"/>
    <col min="7" max="7" width="2.42578125" style="451" customWidth="1"/>
    <col min="8" max="8" width="7" style="451" customWidth="1"/>
    <col min="9" max="9" width="1.7109375" style="451" customWidth="1"/>
    <col min="10" max="10" width="6.7109375" style="451" customWidth="1"/>
    <col min="11" max="11" width="1.28515625" style="451" customWidth="1"/>
    <col min="12" max="12" width="6.85546875" style="451" customWidth="1"/>
    <col min="13" max="13" width="1.28515625" style="451" customWidth="1"/>
    <col min="14" max="14" width="5.85546875" style="451" customWidth="1"/>
    <col min="15" max="15" width="1.7109375" style="451" customWidth="1"/>
    <col min="16" max="16" width="7.85546875" style="451" bestFit="1" customWidth="1"/>
    <col min="17" max="17" width="2.42578125" style="451" bestFit="1" customWidth="1"/>
    <col min="18" max="18" width="1.28515625" style="451" customWidth="1"/>
    <col min="19" max="19" width="7.85546875" style="451" customWidth="1"/>
    <col min="20" max="20" width="1.5703125" style="451" customWidth="1"/>
    <col min="21" max="21" width="6.42578125" style="451" customWidth="1"/>
    <col min="22" max="22" width="1.28515625" style="451" customWidth="1"/>
    <col min="23" max="23" width="6.42578125" style="451" customWidth="1"/>
    <col min="24" max="25" width="1.7109375" style="451" customWidth="1"/>
    <col min="26" max="26" width="6.42578125" style="451" customWidth="1"/>
    <col min="27" max="27" width="1.7109375" style="451" customWidth="1"/>
    <col min="28" max="28" width="6.28515625" style="451" customWidth="1"/>
    <col min="29" max="29" width="1.28515625" style="451" customWidth="1"/>
    <col min="30" max="30" width="7.85546875" style="451" customWidth="1"/>
    <col min="31" max="31" width="1.7109375" style="451" customWidth="1"/>
    <col min="32" max="32" width="4.85546875" style="451" customWidth="1"/>
    <col min="33" max="33" width="2.42578125" style="451" bestFit="1" customWidth="1"/>
    <col min="34" max="34" width="1.140625" style="451" customWidth="1"/>
    <col min="35" max="35" width="7.7109375" style="451" customWidth="1"/>
    <col min="36" max="36" width="1.28515625" style="451" customWidth="1"/>
    <col min="37" max="37" width="6.5703125" style="451" customWidth="1"/>
    <col min="38" max="38" width="1.28515625" style="451" customWidth="1"/>
    <col min="39" max="39" width="6.140625" style="451" customWidth="1"/>
    <col min="40" max="41" width="1.7109375" style="451" customWidth="1"/>
    <col min="42" max="42" width="7.7109375" style="451" customWidth="1"/>
    <col min="43" max="57" width="9.140625" style="451"/>
    <col min="58" max="59" width="7.28515625" style="451" customWidth="1"/>
    <col min="60" max="16384" width="9.140625" style="451"/>
  </cols>
  <sheetData>
    <row r="1" spans="1:59">
      <c r="A1" s="464" t="str">
        <f>sumry!A1</f>
        <v>TJX Companies</v>
      </c>
      <c r="B1" s="692"/>
      <c r="C1" s="693"/>
      <c r="D1" s="693"/>
      <c r="E1" s="694"/>
      <c r="F1" s="693"/>
      <c r="G1" s="693"/>
      <c r="H1" s="693"/>
      <c r="I1" s="694"/>
      <c r="J1" s="695"/>
      <c r="K1" s="695"/>
      <c r="L1" s="695"/>
      <c r="M1" s="696"/>
      <c r="N1" s="695"/>
      <c r="O1" s="694"/>
      <c r="P1" s="695"/>
      <c r="Q1" s="695"/>
      <c r="R1" s="696"/>
      <c r="S1" s="695"/>
      <c r="T1" s="695"/>
      <c r="U1" s="696"/>
      <c r="V1" s="696"/>
      <c r="W1" s="695"/>
      <c r="X1" s="697"/>
      <c r="Y1" s="695"/>
      <c r="Z1" s="695"/>
      <c r="AA1" s="695"/>
      <c r="AB1" s="695"/>
      <c r="AC1" s="696"/>
      <c r="AD1" s="695"/>
      <c r="AE1" s="696"/>
      <c r="AF1" s="695"/>
      <c r="AG1" s="695"/>
      <c r="AH1" s="696"/>
      <c r="AI1" s="695"/>
      <c r="AJ1" s="695"/>
      <c r="AK1" s="696"/>
      <c r="AL1" s="696"/>
      <c r="AM1" s="695"/>
      <c r="AN1" s="697"/>
      <c r="AO1" s="697"/>
      <c r="AP1" s="695"/>
      <c r="AQ1" s="695"/>
      <c r="AR1" s="695"/>
      <c r="AS1" s="695"/>
      <c r="AT1" s="695"/>
      <c r="AU1" s="695"/>
      <c r="AV1" s="695"/>
      <c r="AW1" s="693"/>
      <c r="AX1" s="693"/>
      <c r="AY1" s="693"/>
      <c r="AZ1" s="693"/>
      <c r="BA1" s="693"/>
      <c r="BB1" s="693"/>
      <c r="BC1" s="693"/>
      <c r="BD1" s="693"/>
      <c r="BE1" s="693"/>
      <c r="BF1" s="693"/>
      <c r="BG1" s="693"/>
    </row>
    <row r="2" spans="1:59">
      <c r="A2" s="450" t="s">
        <v>857</v>
      </c>
      <c r="B2" s="698"/>
      <c r="C2" s="450"/>
      <c r="D2" s="450"/>
      <c r="E2" s="699"/>
      <c r="F2" s="450"/>
      <c r="G2" s="450"/>
      <c r="H2" s="450"/>
      <c r="I2" s="699"/>
      <c r="J2" s="450"/>
      <c r="K2" s="450"/>
      <c r="L2" s="450"/>
      <c r="M2" s="699"/>
      <c r="N2" s="450"/>
      <c r="O2" s="699"/>
      <c r="P2" s="450"/>
      <c r="Q2" s="450"/>
      <c r="R2" s="699"/>
      <c r="S2" s="450"/>
      <c r="T2" s="450"/>
      <c r="U2" s="699"/>
      <c r="V2" s="699"/>
      <c r="W2" s="450"/>
      <c r="X2" s="700"/>
      <c r="Y2" s="450"/>
      <c r="Z2" s="450"/>
      <c r="AA2" s="450"/>
      <c r="AB2" s="450"/>
      <c r="AC2" s="699"/>
      <c r="AD2" s="450"/>
      <c r="AE2" s="699"/>
      <c r="AF2" s="450"/>
      <c r="AG2" s="450"/>
      <c r="AH2" s="699"/>
      <c r="AI2" s="450"/>
      <c r="AJ2" s="450"/>
      <c r="AK2" s="699"/>
      <c r="AL2" s="699"/>
      <c r="AM2" s="450"/>
      <c r="AN2" s="697"/>
      <c r="AO2" s="697"/>
      <c r="AP2" s="695"/>
      <c r="AQ2" s="695"/>
      <c r="AR2" s="695"/>
      <c r="AS2" s="695"/>
      <c r="AT2" s="695"/>
      <c r="AU2" s="695"/>
      <c r="AV2" s="695"/>
      <c r="AW2" s="693"/>
      <c r="AX2" s="693"/>
      <c r="AY2" s="693"/>
      <c r="AZ2" s="693"/>
      <c r="BA2" s="693"/>
      <c r="BB2" s="693"/>
      <c r="BC2" s="693"/>
      <c r="BD2" s="693"/>
      <c r="BE2" s="693"/>
      <c r="BF2" s="693"/>
      <c r="BG2" s="693"/>
    </row>
    <row r="3" spans="1:59">
      <c r="A3" s="487"/>
      <c r="B3" s="701"/>
      <c r="C3" s="487"/>
      <c r="D3" s="487"/>
      <c r="E3" s="487"/>
      <c r="F3" s="487"/>
      <c r="G3" s="487"/>
      <c r="H3" s="487"/>
      <c r="I3" s="487"/>
      <c r="J3" s="487"/>
      <c r="K3" s="487"/>
      <c r="L3" s="487"/>
      <c r="M3" s="487"/>
      <c r="N3" s="487"/>
      <c r="O3" s="487"/>
      <c r="P3" s="487"/>
      <c r="Q3" s="487"/>
      <c r="R3" s="487"/>
      <c r="S3" s="487"/>
      <c r="T3" s="487"/>
      <c r="U3" s="487"/>
      <c r="V3" s="487"/>
      <c r="W3" s="487"/>
      <c r="X3" s="702"/>
      <c r="Y3" s="487"/>
      <c r="Z3" s="487"/>
      <c r="AA3" s="487"/>
      <c r="AB3" s="487"/>
      <c r="AC3" s="487"/>
      <c r="AD3" s="487"/>
      <c r="AE3" s="487"/>
      <c r="AF3" s="487"/>
      <c r="AG3" s="487"/>
      <c r="AH3" s="487"/>
      <c r="AI3" s="487"/>
      <c r="AJ3" s="487"/>
      <c r="AK3" s="487"/>
      <c r="AL3" s="487"/>
      <c r="AM3" s="487"/>
      <c r="AN3" s="702"/>
      <c r="AO3" s="702"/>
      <c r="AP3" s="487"/>
      <c r="AQ3" s="487"/>
      <c r="AR3" s="487"/>
      <c r="AS3" s="487"/>
      <c r="AT3" s="487"/>
      <c r="AU3" s="487"/>
      <c r="AV3" s="487"/>
      <c r="AW3" s="487"/>
      <c r="AX3" s="487"/>
      <c r="AY3" s="487"/>
      <c r="AZ3" s="487"/>
      <c r="BA3" s="487"/>
      <c r="BB3" s="487"/>
      <c r="BC3" s="487"/>
      <c r="BD3" s="487"/>
      <c r="BE3" s="487"/>
      <c r="BF3" s="487"/>
      <c r="BG3" s="487"/>
    </row>
    <row r="4" spans="1:59">
      <c r="A4" s="487"/>
      <c r="B4" s="701"/>
      <c r="C4" s="487"/>
      <c r="D4" s="487"/>
      <c r="E4" s="487"/>
      <c r="F4" s="487"/>
      <c r="G4" s="487"/>
      <c r="H4" s="487"/>
      <c r="I4" s="487"/>
      <c r="J4" s="487"/>
      <c r="K4" s="487"/>
      <c r="L4" s="487"/>
      <c r="M4" s="487"/>
      <c r="N4" s="487"/>
      <c r="O4" s="487"/>
      <c r="P4" s="487"/>
      <c r="Q4" s="487"/>
      <c r="R4" s="487"/>
      <c r="S4" s="487"/>
      <c r="T4" s="487"/>
      <c r="U4" s="487"/>
      <c r="V4" s="487"/>
      <c r="W4" s="487"/>
      <c r="X4" s="702"/>
      <c r="Y4" s="487"/>
      <c r="Z4" s="487"/>
      <c r="AA4" s="487"/>
      <c r="AB4" s="487"/>
      <c r="AC4" s="487"/>
      <c r="AD4" s="487"/>
      <c r="AE4" s="487"/>
      <c r="AF4" s="487"/>
      <c r="AG4" s="487"/>
      <c r="AH4" s="487"/>
      <c r="AI4" s="487"/>
      <c r="AJ4" s="487"/>
      <c r="AK4" s="487"/>
      <c r="AL4" s="487"/>
      <c r="AM4" s="487"/>
      <c r="AN4" s="702"/>
      <c r="AO4" s="702"/>
      <c r="AP4" s="487"/>
      <c r="AQ4" s="487"/>
      <c r="AR4" s="487"/>
      <c r="AS4" s="487"/>
      <c r="AT4" s="487"/>
      <c r="AU4" s="487"/>
      <c r="AV4" s="487"/>
      <c r="AW4" s="487"/>
      <c r="AX4" s="487"/>
      <c r="AY4" s="487"/>
      <c r="AZ4" s="487"/>
      <c r="BA4" s="487"/>
      <c r="BB4" s="487"/>
      <c r="BC4" s="487"/>
      <c r="BD4" s="487"/>
      <c r="BE4" s="487"/>
      <c r="BF4" s="487"/>
      <c r="BG4" s="487"/>
    </row>
    <row r="5" spans="1:59">
      <c r="A5" s="487"/>
      <c r="B5" s="701"/>
      <c r="C5" s="487"/>
      <c r="D5" s="487"/>
      <c r="E5" s="487"/>
      <c r="F5" s="487"/>
      <c r="G5" s="487"/>
      <c r="H5" s="487"/>
      <c r="I5" s="487"/>
      <c r="J5" s="703" t="s">
        <v>343</v>
      </c>
      <c r="K5" s="704"/>
      <c r="L5" s="704"/>
      <c r="M5" s="704"/>
      <c r="N5" s="704"/>
      <c r="O5" s="704"/>
      <c r="P5" s="704"/>
      <c r="Q5" s="704"/>
      <c r="R5" s="704"/>
      <c r="S5" s="704"/>
      <c r="T5" s="704"/>
      <c r="U5" s="704"/>
      <c r="V5" s="704"/>
      <c r="W5" s="704"/>
      <c r="X5" s="705"/>
      <c r="Y5" s="487"/>
      <c r="Z5" s="703" t="s">
        <v>344</v>
      </c>
      <c r="AA5" s="704"/>
      <c r="AB5" s="704"/>
      <c r="AC5" s="704"/>
      <c r="AD5" s="704"/>
      <c r="AE5" s="704"/>
      <c r="AF5" s="704"/>
      <c r="AG5" s="704"/>
      <c r="AH5" s="704"/>
      <c r="AI5" s="704"/>
      <c r="AJ5" s="704"/>
      <c r="AK5" s="704"/>
      <c r="AL5" s="704"/>
      <c r="AM5" s="704"/>
      <c r="AN5" s="705"/>
      <c r="AO5" s="706"/>
      <c r="AP5" s="487"/>
      <c r="AQ5" s="487"/>
      <c r="AR5" s="487"/>
      <c r="AS5" s="487"/>
      <c r="AT5" s="487"/>
      <c r="AU5" s="487"/>
      <c r="AV5" s="487"/>
      <c r="AW5" s="487"/>
      <c r="AX5" s="487"/>
      <c r="AY5" s="487"/>
      <c r="AZ5" s="487"/>
      <c r="BA5" s="487"/>
      <c r="BB5" s="487"/>
      <c r="BC5" s="487"/>
      <c r="BD5" s="487"/>
      <c r="BE5" s="487"/>
      <c r="BF5" s="487"/>
      <c r="BG5" s="487"/>
    </row>
    <row r="6" spans="1:59">
      <c r="A6" s="487"/>
      <c r="B6" s="701"/>
      <c r="C6" s="487"/>
      <c r="D6" s="707"/>
      <c r="E6" s="708" t="s">
        <v>556</v>
      </c>
      <c r="F6" s="707"/>
      <c r="G6" s="487"/>
      <c r="H6" s="709" t="s">
        <v>25</v>
      </c>
      <c r="I6" s="487"/>
      <c r="J6" s="487"/>
      <c r="K6" s="487"/>
      <c r="L6" s="487"/>
      <c r="M6" s="487"/>
      <c r="N6" s="487"/>
      <c r="O6" s="487"/>
      <c r="P6" s="706" t="s">
        <v>36</v>
      </c>
      <c r="Q6" s="706"/>
      <c r="R6" s="487"/>
      <c r="S6" s="710"/>
      <c r="T6" s="710"/>
      <c r="U6" s="707" t="s">
        <v>340</v>
      </c>
      <c r="V6" s="710"/>
      <c r="W6" s="710"/>
      <c r="X6" s="702"/>
      <c r="Y6" s="487"/>
      <c r="Z6" s="487"/>
      <c r="AA6" s="487"/>
      <c r="AB6" s="487"/>
      <c r="AC6" s="487"/>
      <c r="AD6" s="487"/>
      <c r="AE6" s="487"/>
      <c r="AF6" s="706" t="s">
        <v>36</v>
      </c>
      <c r="AG6" s="706"/>
      <c r="AH6" s="487"/>
      <c r="AI6" s="710"/>
      <c r="AJ6" s="710"/>
      <c r="AK6" s="708" t="s">
        <v>341</v>
      </c>
      <c r="AL6" s="710"/>
      <c r="AM6" s="710"/>
      <c r="AN6" s="702"/>
      <c r="AO6" s="702"/>
      <c r="AP6" s="487"/>
      <c r="AQ6" s="487"/>
      <c r="AR6" s="487"/>
      <c r="AS6" s="487"/>
      <c r="AT6" s="487"/>
      <c r="AU6" s="487"/>
      <c r="AV6" s="487"/>
      <c r="AW6" s="487"/>
      <c r="AX6" s="487"/>
      <c r="AY6" s="487"/>
      <c r="AZ6" s="487"/>
      <c r="BA6" s="487"/>
      <c r="BB6" s="487"/>
      <c r="BC6" s="487"/>
      <c r="BD6" s="487"/>
      <c r="BE6" s="487"/>
      <c r="BF6" s="487"/>
      <c r="BG6" s="487"/>
    </row>
    <row r="7" spans="1:59">
      <c r="A7" s="487"/>
      <c r="B7" s="701"/>
      <c r="C7" s="487"/>
      <c r="D7" s="709"/>
      <c r="E7" s="709"/>
      <c r="F7" s="709" t="s">
        <v>24</v>
      </c>
      <c r="G7" s="709"/>
      <c r="H7" s="708" t="s">
        <v>26</v>
      </c>
      <c r="I7" s="487"/>
      <c r="J7" s="708"/>
      <c r="K7" s="708" t="s">
        <v>31</v>
      </c>
      <c r="L7" s="708"/>
      <c r="M7" s="709"/>
      <c r="N7" s="709" t="s">
        <v>34</v>
      </c>
      <c r="O7" s="487"/>
      <c r="P7" s="706" t="s">
        <v>37</v>
      </c>
      <c r="Q7" s="706"/>
      <c r="R7" s="487"/>
      <c r="S7" s="487"/>
      <c r="T7" s="487"/>
      <c r="U7" s="709" t="s">
        <v>41</v>
      </c>
      <c r="V7" s="487"/>
      <c r="W7" s="709" t="s">
        <v>43</v>
      </c>
      <c r="X7" s="702"/>
      <c r="Y7" s="487"/>
      <c r="Z7" s="708"/>
      <c r="AA7" s="708" t="s">
        <v>433</v>
      </c>
      <c r="AB7" s="708"/>
      <c r="AC7" s="709"/>
      <c r="AD7" s="709" t="s">
        <v>34</v>
      </c>
      <c r="AE7" s="487"/>
      <c r="AF7" s="706" t="s">
        <v>37</v>
      </c>
      <c r="AG7" s="706"/>
      <c r="AH7" s="487"/>
      <c r="AI7" s="487"/>
      <c r="AJ7" s="487"/>
      <c r="AK7" s="709" t="s">
        <v>41</v>
      </c>
      <c r="AL7" s="487"/>
      <c r="AM7" s="709" t="s">
        <v>43</v>
      </c>
      <c r="AN7" s="702"/>
      <c r="AO7" s="702"/>
      <c r="AP7" s="487"/>
      <c r="AQ7" s="487"/>
      <c r="AR7" s="487"/>
      <c r="AS7" s="487"/>
      <c r="AT7" s="487"/>
      <c r="AU7" s="487"/>
      <c r="AV7" s="487"/>
      <c r="AW7" s="487"/>
      <c r="AX7" s="487"/>
      <c r="AY7" s="487"/>
      <c r="AZ7" s="487"/>
      <c r="BA7" s="487"/>
      <c r="BB7" s="487"/>
      <c r="BC7" s="487"/>
      <c r="BD7" s="487"/>
      <c r="BE7" s="487"/>
      <c r="BF7" s="487"/>
      <c r="BG7" s="487"/>
    </row>
    <row r="8" spans="1:59">
      <c r="A8" s="487"/>
      <c r="B8" s="701"/>
      <c r="C8" s="487"/>
      <c r="D8" s="708" t="s">
        <v>610</v>
      </c>
      <c r="E8" s="709"/>
      <c r="F8" s="708" t="s">
        <v>578</v>
      </c>
      <c r="G8" s="709"/>
      <c r="H8" s="709" t="s">
        <v>27</v>
      </c>
      <c r="I8" s="487"/>
      <c r="J8" s="708" t="s">
        <v>610</v>
      </c>
      <c r="K8" s="709"/>
      <c r="L8" s="708" t="s">
        <v>594</v>
      </c>
      <c r="M8" s="709"/>
      <c r="N8" s="708" t="s">
        <v>190</v>
      </c>
      <c r="O8" s="487"/>
      <c r="P8" s="711" t="s">
        <v>38</v>
      </c>
      <c r="Q8" s="711"/>
      <c r="R8" s="487"/>
      <c r="S8" s="708" t="s">
        <v>610</v>
      </c>
      <c r="T8" s="487"/>
      <c r="U8" s="708" t="s">
        <v>596</v>
      </c>
      <c r="V8" s="487"/>
      <c r="W8" s="708" t="s">
        <v>597</v>
      </c>
      <c r="X8" s="702"/>
      <c r="Y8" s="487"/>
      <c r="Z8" s="708" t="s">
        <v>610</v>
      </c>
      <c r="AA8" s="709"/>
      <c r="AB8" s="708" t="s">
        <v>594</v>
      </c>
      <c r="AC8" s="709"/>
      <c r="AD8" s="708" t="s">
        <v>190</v>
      </c>
      <c r="AE8" s="487"/>
      <c r="AF8" s="711" t="s">
        <v>339</v>
      </c>
      <c r="AG8" s="711"/>
      <c r="AH8" s="487"/>
      <c r="AI8" s="708" t="s">
        <v>610</v>
      </c>
      <c r="AJ8" s="487"/>
      <c r="AK8" s="708" t="s">
        <v>334</v>
      </c>
      <c r="AL8" s="487"/>
      <c r="AM8" s="708" t="s">
        <v>597</v>
      </c>
      <c r="AN8" s="702"/>
      <c r="AO8" s="702"/>
      <c r="AP8" s="487"/>
      <c r="AQ8" s="487"/>
      <c r="AR8" s="487"/>
      <c r="AS8" s="487"/>
      <c r="AT8" s="487"/>
      <c r="AU8" s="487"/>
      <c r="AV8" s="487"/>
      <c r="AW8" s="487"/>
      <c r="AX8" s="487"/>
      <c r="AY8" s="487"/>
      <c r="AZ8" s="2110" t="s">
        <v>673</v>
      </c>
      <c r="BA8" s="2110"/>
      <c r="BB8" s="2110"/>
      <c r="BC8" s="2110"/>
      <c r="BD8" s="2110"/>
      <c r="BE8" s="2110"/>
      <c r="BF8" s="2110"/>
      <c r="BG8" s="2110"/>
    </row>
    <row r="9" spans="1:59">
      <c r="A9" s="487"/>
      <c r="B9" s="701"/>
      <c r="C9" s="487"/>
      <c r="D9" s="712" t="s">
        <v>29</v>
      </c>
      <c r="E9" s="709"/>
      <c r="F9" s="712" t="s">
        <v>30</v>
      </c>
      <c r="G9" s="709"/>
      <c r="H9" s="712" t="s">
        <v>28</v>
      </c>
      <c r="I9" s="487"/>
      <c r="J9" s="712" t="s">
        <v>32</v>
      </c>
      <c r="K9" s="709"/>
      <c r="L9" s="712" t="s">
        <v>33</v>
      </c>
      <c r="M9" s="709"/>
      <c r="N9" s="712" t="s">
        <v>35</v>
      </c>
      <c r="O9" s="487"/>
      <c r="P9" s="713" t="s">
        <v>39</v>
      </c>
      <c r="Q9" s="713"/>
      <c r="R9" s="487"/>
      <c r="S9" s="712" t="s">
        <v>40</v>
      </c>
      <c r="T9" s="487"/>
      <c r="U9" s="712" t="s">
        <v>42</v>
      </c>
      <c r="V9" s="487"/>
      <c r="W9" s="712" t="s">
        <v>44</v>
      </c>
      <c r="X9" s="702"/>
      <c r="Y9" s="487"/>
      <c r="Z9" s="712" t="s">
        <v>331</v>
      </c>
      <c r="AA9" s="709"/>
      <c r="AB9" s="712" t="s">
        <v>332</v>
      </c>
      <c r="AC9" s="709"/>
      <c r="AD9" s="712" t="s">
        <v>333</v>
      </c>
      <c r="AE9" s="487"/>
      <c r="AF9" s="713" t="s">
        <v>335</v>
      </c>
      <c r="AG9" s="713"/>
      <c r="AH9" s="487"/>
      <c r="AI9" s="712" t="s">
        <v>336</v>
      </c>
      <c r="AJ9" s="487"/>
      <c r="AK9" s="712" t="s">
        <v>337</v>
      </c>
      <c r="AL9" s="487"/>
      <c r="AM9" s="712" t="s">
        <v>338</v>
      </c>
      <c r="AN9" s="702"/>
      <c r="AO9" s="702"/>
      <c r="AP9" s="487"/>
      <c r="AQ9" s="487"/>
      <c r="AR9" s="708" t="s">
        <v>377</v>
      </c>
      <c r="AS9" s="708" t="s">
        <v>383</v>
      </c>
      <c r="AT9" s="708" t="s">
        <v>373</v>
      </c>
      <c r="AU9" s="708" t="s">
        <v>378</v>
      </c>
      <c r="AV9" s="708" t="s">
        <v>376</v>
      </c>
      <c r="AW9" s="714" t="s">
        <v>352</v>
      </c>
      <c r="AX9" s="487"/>
      <c r="AY9" s="487"/>
      <c r="AZ9" s="708" t="s">
        <v>377</v>
      </c>
      <c r="BA9" s="708" t="s">
        <v>383</v>
      </c>
      <c r="BB9" s="708" t="s">
        <v>373</v>
      </c>
      <c r="BC9" s="708" t="s">
        <v>378</v>
      </c>
      <c r="BD9" s="708"/>
      <c r="BE9" s="714"/>
      <c r="BF9" s="709" t="s">
        <v>610</v>
      </c>
      <c r="BG9" s="709" t="s">
        <v>675</v>
      </c>
    </row>
    <row r="10" spans="1:59">
      <c r="A10" s="487"/>
      <c r="B10" s="701"/>
      <c r="C10" s="487"/>
      <c r="D10" s="487"/>
      <c r="E10" s="487"/>
      <c r="F10" s="487"/>
      <c r="G10" s="487"/>
      <c r="H10" s="487"/>
      <c r="I10" s="487"/>
      <c r="J10" s="487"/>
      <c r="K10" s="487"/>
      <c r="L10" s="487"/>
      <c r="M10" s="487"/>
      <c r="N10" s="487"/>
      <c r="O10" s="487"/>
      <c r="P10" s="499"/>
      <c r="Q10" s="499"/>
      <c r="R10" s="487"/>
      <c r="S10" s="487"/>
      <c r="T10" s="487"/>
      <c r="U10" s="487"/>
      <c r="V10" s="487"/>
      <c r="W10" s="487"/>
      <c r="X10" s="702"/>
      <c r="Y10" s="487"/>
      <c r="Z10" s="487"/>
      <c r="AA10" s="487"/>
      <c r="AB10" s="487"/>
      <c r="AC10" s="487"/>
      <c r="AD10" s="487"/>
      <c r="AE10" s="487"/>
      <c r="AF10" s="499"/>
      <c r="AG10" s="499"/>
      <c r="AH10" s="487"/>
      <c r="AI10" s="487"/>
      <c r="AJ10" s="487"/>
      <c r="AK10" s="487"/>
      <c r="AL10" s="487"/>
      <c r="AM10" s="487"/>
      <c r="AN10" s="702"/>
      <c r="AO10" s="702"/>
      <c r="AP10" s="487"/>
      <c r="AQ10" s="487"/>
      <c r="AR10" s="487"/>
      <c r="AS10" s="487"/>
      <c r="AT10" s="487"/>
      <c r="AU10" s="487"/>
      <c r="AV10" s="487"/>
      <c r="AW10" s="487"/>
      <c r="AX10" s="487"/>
      <c r="AY10" s="487"/>
      <c r="AZ10" s="487"/>
      <c r="BA10" s="487"/>
      <c r="BB10" s="487"/>
      <c r="BC10" s="487"/>
      <c r="BD10" s="487"/>
      <c r="BE10" s="487"/>
      <c r="BF10" s="487"/>
      <c r="BG10" s="487"/>
    </row>
    <row r="11" spans="1:59" hidden="1" outlineLevel="1" collapsed="1">
      <c r="A11" s="715"/>
      <c r="B11" s="736">
        <v>1990</v>
      </c>
      <c r="C11" s="487"/>
      <c r="D11" s="487"/>
      <c r="E11" s="487"/>
      <c r="F11" s="487"/>
      <c r="G11" s="487"/>
      <c r="H11" s="487"/>
      <c r="I11" s="487"/>
      <c r="J11" s="487"/>
      <c r="K11" s="487"/>
      <c r="L11" s="487"/>
      <c r="M11" s="487"/>
      <c r="N11" s="487"/>
      <c r="O11" s="487"/>
      <c r="P11" s="499"/>
      <c r="Q11" s="499"/>
      <c r="R11" s="487"/>
      <c r="S11" s="487"/>
      <c r="T11" s="487"/>
      <c r="U11" s="487"/>
      <c r="V11" s="487"/>
      <c r="W11" s="487"/>
      <c r="X11" s="702"/>
      <c r="Y11" s="487"/>
      <c r="Z11" s="487"/>
      <c r="AA11" s="487"/>
      <c r="AB11" s="487"/>
      <c r="AC11" s="487"/>
      <c r="AD11" s="487"/>
      <c r="AE11" s="487"/>
      <c r="AF11" s="499"/>
      <c r="AG11" s="499"/>
      <c r="AH11" s="487"/>
      <c r="AI11" s="487"/>
      <c r="AJ11" s="487"/>
      <c r="AK11" s="487"/>
      <c r="AL11" s="487"/>
      <c r="AM11" s="487"/>
      <c r="AN11" s="702"/>
      <c r="AO11" s="702"/>
      <c r="AP11" s="487"/>
      <c r="AQ11" s="487"/>
      <c r="AR11" s="487"/>
      <c r="AS11" s="487"/>
      <c r="AT11" s="487"/>
      <c r="AU11" s="487"/>
      <c r="AV11" s="487"/>
      <c r="AW11" s="487"/>
      <c r="AX11" s="487"/>
      <c r="AY11" s="487"/>
      <c r="AZ11" s="487"/>
      <c r="BA11" s="487"/>
      <c r="BB11" s="487"/>
      <c r="BC11" s="487"/>
      <c r="BD11" s="487"/>
      <c r="BE11" s="487"/>
      <c r="BF11" s="487"/>
      <c r="BG11" s="487"/>
    </row>
    <row r="12" spans="1:59" hidden="1" outlineLevel="1">
      <c r="A12" s="487" t="str">
        <f>$A$40</f>
        <v>1Q</v>
      </c>
      <c r="B12" s="701" t="str">
        <f>$B$40</f>
        <v>Apr</v>
      </c>
      <c r="C12" s="487"/>
      <c r="D12" s="716">
        <f>'qtrP&amp;L'!G10</f>
        <v>65.768169718480252</v>
      </c>
      <c r="E12" s="487" t="s">
        <v>190</v>
      </c>
      <c r="F12" s="717">
        <f>'qtrP&amp;L'!H10</f>
        <v>2.4</v>
      </c>
      <c r="G12" s="487" t="s">
        <v>190</v>
      </c>
      <c r="H12" s="716">
        <f>D12-F12</f>
        <v>63.368169718480253</v>
      </c>
      <c r="I12" s="702" t="s">
        <v>190</v>
      </c>
      <c r="J12" s="718">
        <f>+Stores!CW17</f>
        <v>357</v>
      </c>
      <c r="K12" s="487"/>
      <c r="L12" s="487"/>
      <c r="M12" s="487"/>
      <c r="N12" s="716"/>
      <c r="O12" s="702" t="s">
        <v>190</v>
      </c>
      <c r="P12" s="719"/>
      <c r="Q12" s="499" t="s">
        <v>190</v>
      </c>
      <c r="R12" s="487"/>
      <c r="S12" s="720">
        <f>'qtrP&amp;L'!F$10</f>
        <v>513.75699999999995</v>
      </c>
      <c r="T12" s="487"/>
      <c r="U12" s="721"/>
      <c r="V12" s="487"/>
      <c r="W12" s="717"/>
      <c r="X12" s="702" t="s">
        <v>190</v>
      </c>
      <c r="Y12" s="487"/>
      <c r="Z12" s="562">
        <f>Stores!DB17</f>
        <v>8.9168244274809165</v>
      </c>
      <c r="AA12" s="487"/>
      <c r="AB12" s="722">
        <f>AVERAGE(Z12,Z8)</f>
        <v>8.9168244274809165</v>
      </c>
      <c r="AC12" s="487"/>
      <c r="AD12" s="716"/>
      <c r="AE12" s="702"/>
      <c r="AF12" s="719"/>
      <c r="AG12" s="499" t="s">
        <v>190</v>
      </c>
      <c r="AH12" s="487"/>
      <c r="AI12" s="720">
        <f>+S12</f>
        <v>513.75699999999995</v>
      </c>
      <c r="AJ12" s="487"/>
      <c r="AK12" s="723">
        <f>AI12/AB12</f>
        <v>57.616588077773891</v>
      </c>
      <c r="AL12" s="487"/>
      <c r="AM12" s="716"/>
      <c r="AN12" s="702" t="s">
        <v>190</v>
      </c>
      <c r="AO12" s="702"/>
      <c r="AP12" s="487"/>
      <c r="AQ12" s="487"/>
      <c r="AR12" s="487"/>
      <c r="AS12" s="487"/>
      <c r="AT12" s="487"/>
      <c r="AU12" s="487"/>
      <c r="AV12" s="487"/>
      <c r="AW12" s="487"/>
      <c r="AX12" s="487"/>
      <c r="AY12" s="487"/>
      <c r="AZ12" s="487"/>
      <c r="BA12" s="487"/>
      <c r="BB12" s="487"/>
      <c r="BC12" s="487"/>
      <c r="BD12" s="487"/>
      <c r="BE12" s="487"/>
      <c r="BF12" s="487"/>
      <c r="BG12" s="487"/>
    </row>
    <row r="13" spans="1:59" hidden="1" outlineLevel="1">
      <c r="A13" s="487" t="str">
        <f>$A$41</f>
        <v>2Q</v>
      </c>
      <c r="B13" s="701" t="str">
        <f>$B$41</f>
        <v>Jul</v>
      </c>
      <c r="C13" s="487"/>
      <c r="D13" s="716">
        <f>'qtrP&amp;L'!G11</f>
        <v>75.640227159069639</v>
      </c>
      <c r="E13" s="487"/>
      <c r="F13" s="717">
        <f>'qtrP&amp;L'!H11</f>
        <v>6</v>
      </c>
      <c r="G13" s="487"/>
      <c r="H13" s="716">
        <f>D13-F13</f>
        <v>69.640227159069639</v>
      </c>
      <c r="I13" s="702"/>
      <c r="J13" s="718">
        <f>+Stores!CW18</f>
        <v>372</v>
      </c>
      <c r="K13" s="487"/>
      <c r="L13" s="724">
        <f>AVERAGE(J13,J12)</f>
        <v>364.5</v>
      </c>
      <c r="M13" s="487"/>
      <c r="N13" s="716"/>
      <c r="O13" s="702"/>
      <c r="P13" s="719"/>
      <c r="Q13" s="499"/>
      <c r="R13" s="487"/>
      <c r="S13" s="725">
        <f>'qtrP&amp;L'!F$11</f>
        <v>572.48</v>
      </c>
      <c r="T13" s="487"/>
      <c r="U13" s="726"/>
      <c r="V13" s="487"/>
      <c r="W13" s="717"/>
      <c r="X13" s="702"/>
      <c r="Y13" s="487"/>
      <c r="Z13" s="562">
        <f>Stores!DB18</f>
        <v>9.2914809160305349</v>
      </c>
      <c r="AA13" s="487"/>
      <c r="AB13" s="722">
        <f>AVERAGE(Z13,Z12)</f>
        <v>9.1041526717557257</v>
      </c>
      <c r="AC13" s="487"/>
      <c r="AD13" s="716"/>
      <c r="AE13" s="702"/>
      <c r="AF13" s="719"/>
      <c r="AG13" s="499"/>
      <c r="AH13" s="487"/>
      <c r="AI13" s="725">
        <f>+S13</f>
        <v>572.48</v>
      </c>
      <c r="AJ13" s="487"/>
      <c r="AK13" s="727">
        <f>AI13/AB13</f>
        <v>62.881195059045282</v>
      </c>
      <c r="AL13" s="487"/>
      <c r="AM13" s="717"/>
      <c r="AN13" s="702"/>
      <c r="AO13" s="702"/>
      <c r="AP13" s="487"/>
      <c r="AQ13" s="487"/>
      <c r="AR13" s="487"/>
      <c r="AS13" s="487"/>
      <c r="AT13" s="487"/>
      <c r="AU13" s="487"/>
      <c r="AV13" s="487"/>
      <c r="AW13" s="487"/>
      <c r="AX13" s="487"/>
      <c r="AY13" s="487"/>
      <c r="AZ13" s="487"/>
      <c r="BA13" s="487"/>
      <c r="BB13" s="487"/>
      <c r="BC13" s="487"/>
      <c r="BD13" s="487"/>
      <c r="BE13" s="487"/>
      <c r="BF13" s="487"/>
      <c r="BG13" s="487"/>
    </row>
    <row r="14" spans="1:59" hidden="1" outlineLevel="1">
      <c r="A14" s="487" t="str">
        <f>$A$42</f>
        <v>3Q</v>
      </c>
      <c r="B14" s="701" t="str">
        <f>$B$42</f>
        <v>Oct</v>
      </c>
      <c r="C14" s="487"/>
      <c r="D14" s="716">
        <f>'qtrP&amp;L'!G12</f>
        <v>59.26489333113085</v>
      </c>
      <c r="E14" s="487"/>
      <c r="F14" s="717">
        <f>'qtrP&amp;L'!H12</f>
        <v>6.2</v>
      </c>
      <c r="G14" s="487"/>
      <c r="H14" s="716">
        <f>D14-F14</f>
        <v>53.064893331130847</v>
      </c>
      <c r="I14" s="702"/>
      <c r="J14" s="718">
        <f>+Stores!CW19</f>
        <v>384</v>
      </c>
      <c r="K14" s="487"/>
      <c r="L14" s="724">
        <f>AVERAGE(J14,J13)</f>
        <v>378</v>
      </c>
      <c r="M14" s="487"/>
      <c r="N14" s="716"/>
      <c r="O14" s="702"/>
      <c r="P14" s="719"/>
      <c r="Q14" s="499"/>
      <c r="R14" s="487"/>
      <c r="S14" s="725">
        <f>'qtrP&amp;L'!F$12</f>
        <v>645.98</v>
      </c>
      <c r="T14" s="487"/>
      <c r="U14" s="726"/>
      <c r="V14" s="487"/>
      <c r="W14" s="717"/>
      <c r="X14" s="702"/>
      <c r="Y14" s="487"/>
      <c r="Z14" s="562">
        <f>Stores!DB19</f>
        <v>9.5912061068702297</v>
      </c>
      <c r="AA14" s="487"/>
      <c r="AB14" s="722">
        <f>AVERAGE(Z14,Z13)</f>
        <v>9.4413435114503823</v>
      </c>
      <c r="AC14" s="487"/>
      <c r="AD14" s="716"/>
      <c r="AE14" s="702"/>
      <c r="AF14" s="719"/>
      <c r="AG14" s="499"/>
      <c r="AH14" s="487"/>
      <c r="AI14" s="725">
        <f>+S14</f>
        <v>645.98</v>
      </c>
      <c r="AJ14" s="487"/>
      <c r="AK14" s="727">
        <f>AI14/AB14</f>
        <v>68.420347084772516</v>
      </c>
      <c r="AL14" s="487"/>
      <c r="AM14" s="717"/>
      <c r="AN14" s="702"/>
      <c r="AO14" s="702"/>
      <c r="AP14" s="487"/>
      <c r="AQ14" s="487"/>
      <c r="AR14" s="487"/>
      <c r="AS14" s="487"/>
      <c r="AT14" s="487"/>
      <c r="AU14" s="487"/>
      <c r="AV14" s="487"/>
      <c r="AW14" s="487"/>
      <c r="AX14" s="487"/>
      <c r="AY14" s="487"/>
      <c r="AZ14" s="487"/>
      <c r="BA14" s="487"/>
      <c r="BB14" s="487"/>
      <c r="BC14" s="487"/>
      <c r="BD14" s="487"/>
      <c r="BE14" s="487"/>
      <c r="BF14" s="487"/>
      <c r="BG14" s="487"/>
    </row>
    <row r="15" spans="1:59" hidden="1" outlineLevel="1">
      <c r="A15" s="487" t="str">
        <f>$A$43</f>
        <v>4Q</v>
      </c>
      <c r="B15" s="701" t="str">
        <f>$B$43</f>
        <v>Jan</v>
      </c>
      <c r="C15" s="487"/>
      <c r="D15" s="728">
        <f>'qtrP&amp;L'!G13</f>
        <v>30.989065013730645</v>
      </c>
      <c r="E15" s="487"/>
      <c r="F15" s="729">
        <f>'qtrP&amp;L'!H13</f>
        <v>6.9</v>
      </c>
      <c r="G15" s="487"/>
      <c r="H15" s="728">
        <f>D15-F15</f>
        <v>24.089065013730647</v>
      </c>
      <c r="I15" s="702"/>
      <c r="J15" s="727">
        <f>yrSales!B$20</f>
        <v>398</v>
      </c>
      <c r="K15" s="487"/>
      <c r="L15" s="730">
        <f>AVERAGE(J15,J14)</f>
        <v>391</v>
      </c>
      <c r="M15" s="487"/>
      <c r="N15" s="728"/>
      <c r="O15" s="702"/>
      <c r="P15" s="730"/>
      <c r="Q15" s="499"/>
      <c r="R15" s="487"/>
      <c r="S15" s="731">
        <f>'qtrP&amp;L'!F$13</f>
        <v>714.06200000000001</v>
      </c>
      <c r="T15" s="487"/>
      <c r="U15" s="732">
        <f>S15/L15</f>
        <v>1.8262455242966753</v>
      </c>
      <c r="V15" s="487"/>
      <c r="W15" s="729"/>
      <c r="X15" s="702"/>
      <c r="Y15" s="487"/>
      <c r="Z15" s="562">
        <f>yrSales!B$31</f>
        <v>9.89</v>
      </c>
      <c r="AA15" s="487"/>
      <c r="AB15" s="733">
        <f>AVERAGE(Z15,Z14)</f>
        <v>9.740603053435116</v>
      </c>
      <c r="AC15" s="487"/>
      <c r="AD15" s="728"/>
      <c r="AE15" s="702"/>
      <c r="AF15" s="730"/>
      <c r="AG15" s="499"/>
      <c r="AH15" s="487"/>
      <c r="AI15" s="731">
        <f>+S15</f>
        <v>714.06200000000001</v>
      </c>
      <c r="AJ15" s="487"/>
      <c r="AK15" s="734">
        <f>AI15/AB15</f>
        <v>73.307781467203853</v>
      </c>
      <c r="AL15" s="487"/>
      <c r="AM15" s="729"/>
      <c r="AN15" s="702"/>
      <c r="AO15" s="702"/>
      <c r="AP15" s="487"/>
      <c r="AQ15" s="487"/>
      <c r="AR15" s="487"/>
      <c r="AS15" s="487"/>
      <c r="AT15" s="487"/>
      <c r="AU15" s="487"/>
      <c r="AV15" s="487"/>
      <c r="AW15" s="487"/>
      <c r="AX15" s="487"/>
      <c r="AY15" s="487"/>
      <c r="AZ15" s="487"/>
      <c r="BA15" s="487"/>
      <c r="BB15" s="487"/>
      <c r="BC15" s="487"/>
      <c r="BD15" s="487"/>
      <c r="BE15" s="487"/>
      <c r="BF15" s="487"/>
      <c r="BG15" s="487"/>
    </row>
    <row r="16" spans="1:59" hidden="1" outlineLevel="1">
      <c r="A16" s="487"/>
      <c r="B16" s="701" t="str">
        <f>$B$44</f>
        <v>Year</v>
      </c>
      <c r="C16" s="487"/>
      <c r="D16" s="716">
        <f>+'qtrP&amp;L'!G14</f>
        <v>54.184114922765467</v>
      </c>
      <c r="E16" s="487"/>
      <c r="F16" s="717">
        <f>'qtrP&amp;L'!H14</f>
        <v>5.5</v>
      </c>
      <c r="G16" s="487"/>
      <c r="H16" s="716">
        <f>D16-F16</f>
        <v>48.684114922765467</v>
      </c>
      <c r="I16" s="702"/>
      <c r="J16" s="487"/>
      <c r="K16" s="487"/>
      <c r="L16" s="724">
        <f>AVERAGE(L12:L15)</f>
        <v>377.83333333333331</v>
      </c>
      <c r="M16" s="487"/>
      <c r="N16" s="716"/>
      <c r="O16" s="702"/>
      <c r="P16" s="719"/>
      <c r="Q16" s="499"/>
      <c r="R16" s="487"/>
      <c r="S16" s="720">
        <f>SUM(S12:S15)</f>
        <v>2446.279</v>
      </c>
      <c r="T16" s="487"/>
      <c r="U16" s="721">
        <f>SUM(U12:U15)</f>
        <v>1.8262455242966753</v>
      </c>
      <c r="V16" s="487"/>
      <c r="W16" s="717"/>
      <c r="X16" s="702"/>
      <c r="Y16" s="487"/>
      <c r="Z16" s="735"/>
      <c r="AA16" s="487"/>
      <c r="AB16" s="722">
        <f>AVERAGE(AB12:AB15)</f>
        <v>9.3007309160305347</v>
      </c>
      <c r="AC16" s="487"/>
      <c r="AD16" s="716"/>
      <c r="AE16" s="702"/>
      <c r="AF16" s="719"/>
      <c r="AG16" s="499"/>
      <c r="AH16" s="487"/>
      <c r="AI16" s="720">
        <f>SUM(AI12:AI15)</f>
        <v>2446.279</v>
      </c>
      <c r="AJ16" s="487"/>
      <c r="AK16" s="723">
        <f>SUM(AK12:AK15)</f>
        <v>262.22591168879558</v>
      </c>
      <c r="AL16" s="487"/>
      <c r="AM16" s="717"/>
      <c r="AN16" s="702"/>
      <c r="AO16" s="702"/>
      <c r="AP16" s="487"/>
      <c r="AQ16" s="487"/>
      <c r="AR16" s="487"/>
      <c r="AS16" s="487"/>
      <c r="AT16" s="487"/>
      <c r="AU16" s="487"/>
      <c r="AV16" s="487"/>
      <c r="AW16" s="487"/>
      <c r="AX16" s="487"/>
      <c r="AY16" s="487"/>
      <c r="AZ16" s="487"/>
      <c r="BA16" s="487"/>
      <c r="BB16" s="487"/>
      <c r="BC16" s="487"/>
      <c r="BD16" s="487"/>
      <c r="BE16" s="487"/>
      <c r="BF16" s="487"/>
      <c r="BG16" s="487"/>
    </row>
    <row r="17" spans="1:59" hidden="1" outlineLevel="1">
      <c r="A17" s="487"/>
      <c r="B17" s="701"/>
      <c r="C17" s="487"/>
      <c r="D17" s="487"/>
      <c r="E17" s="487"/>
      <c r="F17" s="487"/>
      <c r="G17" s="487"/>
      <c r="H17" s="487"/>
      <c r="I17" s="702"/>
      <c r="J17" s="487"/>
      <c r="K17" s="487"/>
      <c r="L17" s="487"/>
      <c r="M17" s="487"/>
      <c r="N17" s="487"/>
      <c r="O17" s="702"/>
      <c r="P17" s="499"/>
      <c r="Q17" s="499"/>
      <c r="R17" s="487"/>
      <c r="S17" s="487"/>
      <c r="T17" s="487"/>
      <c r="U17" s="487"/>
      <c r="V17" s="487"/>
      <c r="W17" s="487"/>
      <c r="X17" s="702"/>
      <c r="Y17" s="487"/>
      <c r="Z17" s="735"/>
      <c r="AA17" s="487"/>
      <c r="AB17" s="487"/>
      <c r="AC17" s="487"/>
      <c r="AD17" s="487"/>
      <c r="AE17" s="702"/>
      <c r="AF17" s="499"/>
      <c r="AG17" s="499"/>
      <c r="AH17" s="487"/>
      <c r="AI17" s="487"/>
      <c r="AJ17" s="487"/>
      <c r="AK17" s="487"/>
      <c r="AL17" s="487"/>
      <c r="AM17" s="487"/>
      <c r="AN17" s="702"/>
      <c r="AO17" s="702"/>
      <c r="AP17" s="487"/>
      <c r="AQ17" s="487"/>
      <c r="AR17" s="487"/>
      <c r="AS17" s="487"/>
      <c r="AT17" s="487"/>
      <c r="AU17" s="487"/>
      <c r="AV17" s="487"/>
      <c r="AW17" s="487"/>
      <c r="AX17" s="487"/>
      <c r="AY17" s="487"/>
      <c r="AZ17" s="487"/>
      <c r="BA17" s="487"/>
      <c r="BB17" s="487"/>
      <c r="BC17" s="487"/>
      <c r="BD17" s="487"/>
      <c r="BE17" s="487"/>
      <c r="BF17" s="487"/>
      <c r="BG17" s="487"/>
    </row>
    <row r="18" spans="1:59" hidden="1" outlineLevel="1" collapsed="1">
      <c r="A18" s="715"/>
      <c r="B18" s="736">
        <f>B11+1</f>
        <v>1991</v>
      </c>
      <c r="C18" s="487"/>
      <c r="D18" s="487"/>
      <c r="E18" s="487"/>
      <c r="F18" s="487"/>
      <c r="G18" s="487"/>
      <c r="H18" s="487"/>
      <c r="I18" s="487"/>
      <c r="J18" s="487"/>
      <c r="K18" s="487"/>
      <c r="L18" s="487"/>
      <c r="M18" s="487"/>
      <c r="N18" s="487"/>
      <c r="O18" s="487"/>
      <c r="P18" s="499"/>
      <c r="Q18" s="499"/>
      <c r="R18" s="487"/>
      <c r="S18" s="487"/>
      <c r="T18" s="487"/>
      <c r="U18" s="487"/>
      <c r="V18" s="487"/>
      <c r="W18" s="487"/>
      <c r="X18" s="702"/>
      <c r="Y18" s="487"/>
      <c r="Z18" s="487"/>
      <c r="AA18" s="487"/>
      <c r="AB18" s="487"/>
      <c r="AC18" s="487"/>
      <c r="AD18" s="487"/>
      <c r="AE18" s="487"/>
      <c r="AF18" s="499"/>
      <c r="AG18" s="499"/>
      <c r="AH18" s="487"/>
      <c r="AI18" s="487"/>
      <c r="AJ18" s="487"/>
      <c r="AK18" s="487"/>
      <c r="AL18" s="487"/>
      <c r="AM18" s="487"/>
      <c r="AN18" s="702"/>
      <c r="AO18" s="702"/>
      <c r="AP18" s="487"/>
      <c r="AQ18" s="487"/>
      <c r="AR18" s="487"/>
      <c r="AS18" s="487"/>
      <c r="AT18" s="487"/>
      <c r="AU18" s="487"/>
      <c r="AV18" s="487"/>
      <c r="AW18" s="487"/>
      <c r="AX18" s="487"/>
      <c r="AY18" s="487"/>
      <c r="AZ18" s="487"/>
      <c r="BA18" s="487"/>
      <c r="BB18" s="487"/>
      <c r="BC18" s="487"/>
      <c r="BD18" s="487"/>
      <c r="BE18" s="487"/>
      <c r="BF18" s="487"/>
      <c r="BG18" s="487"/>
    </row>
    <row r="19" spans="1:59" hidden="1" outlineLevel="1">
      <c r="A19" s="487" t="str">
        <f>$A$40</f>
        <v>1Q</v>
      </c>
      <c r="B19" s="701" t="str">
        <f>$B$40</f>
        <v>Apr</v>
      </c>
      <c r="C19" s="487"/>
      <c r="D19" s="716">
        <f>(S19/S12-1)*100</f>
        <v>17.427305126742819</v>
      </c>
      <c r="E19" s="487" t="s">
        <v>190</v>
      </c>
      <c r="F19" s="717">
        <f>'qtrP&amp;L'!L$10</f>
        <v>5</v>
      </c>
      <c r="G19" s="487" t="s">
        <v>190</v>
      </c>
      <c r="H19" s="716">
        <f>D19-F19</f>
        <v>12.427305126742819</v>
      </c>
      <c r="I19" s="702" t="s">
        <v>190</v>
      </c>
      <c r="J19" s="718">
        <f>+Stores!CW25</f>
        <v>407</v>
      </c>
      <c r="K19" s="487"/>
      <c r="L19" s="724">
        <f>AVERAGE(J19,J15)</f>
        <v>402.5</v>
      </c>
      <c r="M19" s="487"/>
      <c r="N19" s="716"/>
      <c r="O19" s="702" t="s">
        <v>190</v>
      </c>
      <c r="P19" s="719"/>
      <c r="Q19" s="499" t="s">
        <v>190</v>
      </c>
      <c r="R19" s="487"/>
      <c r="S19" s="720">
        <f>'qtrP&amp;L'!J$10</f>
        <v>603.29100000000005</v>
      </c>
      <c r="T19" s="487"/>
      <c r="U19" s="721">
        <f>S19/L19</f>
        <v>1.4988596273291928</v>
      </c>
      <c r="V19" s="487"/>
      <c r="W19" s="717"/>
      <c r="X19" s="702" t="s">
        <v>190</v>
      </c>
      <c r="Y19" s="487"/>
      <c r="Z19" s="562">
        <f>Stores!DB25</f>
        <v>10.284860157640477</v>
      </c>
      <c r="AA19" s="487"/>
      <c r="AB19" s="722">
        <f>AVERAGE(Z19,Z15)</f>
        <v>10.087430078820239</v>
      </c>
      <c r="AC19" s="487"/>
      <c r="AD19" s="716">
        <f>(AB19/AB12-1)*100</f>
        <v>13.128055406492155</v>
      </c>
      <c r="AE19" s="702" t="s">
        <v>190</v>
      </c>
      <c r="AF19" s="719">
        <f>+H19/AD19*100</f>
        <v>94.662192853003972</v>
      </c>
      <c r="AG19" s="499" t="s">
        <v>190</v>
      </c>
      <c r="AH19" s="487"/>
      <c r="AI19" s="720">
        <f>+S19</f>
        <v>603.29100000000005</v>
      </c>
      <c r="AJ19" s="487"/>
      <c r="AK19" s="723">
        <f>AI19/AB19</f>
        <v>59.806213801340874</v>
      </c>
      <c r="AL19" s="487"/>
      <c r="AM19" s="716">
        <f>(AK19/AK12-1)*100</f>
        <v>3.8003390978502694</v>
      </c>
      <c r="AN19" s="702" t="s">
        <v>190</v>
      </c>
      <c r="AO19" s="702"/>
      <c r="AP19" s="487"/>
      <c r="AQ19" s="487"/>
      <c r="AR19" s="487"/>
      <c r="AS19" s="487"/>
      <c r="AT19" s="487"/>
      <c r="AU19" s="487"/>
      <c r="AV19" s="487"/>
      <c r="AW19" s="487"/>
      <c r="AX19" s="487"/>
      <c r="AY19" s="487"/>
      <c r="AZ19" s="487"/>
      <c r="BA19" s="487"/>
      <c r="BB19" s="487"/>
      <c r="BC19" s="487"/>
      <c r="BD19" s="487"/>
      <c r="BE19" s="487"/>
      <c r="BF19" s="487"/>
      <c r="BG19" s="487"/>
    </row>
    <row r="20" spans="1:59" hidden="1" outlineLevel="1">
      <c r="A20" s="487" t="str">
        <f>$A$41</f>
        <v>2Q</v>
      </c>
      <c r="B20" s="701" t="str">
        <f>$B$41</f>
        <v>Jul</v>
      </c>
      <c r="C20" s="487"/>
      <c r="D20" s="716">
        <f>(S20/S13-1)*100</f>
        <v>13.452522358859698</v>
      </c>
      <c r="E20" s="487"/>
      <c r="F20" s="717">
        <f>'qtrP&amp;L'!L$11</f>
        <v>3.8</v>
      </c>
      <c r="G20" s="487"/>
      <c r="H20" s="716">
        <f>D20-F20</f>
        <v>9.6525223588596987</v>
      </c>
      <c r="I20" s="702"/>
      <c r="J20" s="718">
        <f>+Stores!CW26</f>
        <v>416</v>
      </c>
      <c r="K20" s="487"/>
      <c r="L20" s="724">
        <f>AVERAGE(J20,J19)</f>
        <v>411.5</v>
      </c>
      <c r="M20" s="487"/>
      <c r="N20" s="716">
        <f>(L20/L13-1)*100</f>
        <v>12.894375857338813</v>
      </c>
      <c r="O20" s="702"/>
      <c r="P20" s="719">
        <f>H20/N20*100</f>
        <v>74.858391485199192</v>
      </c>
      <c r="Q20" s="499"/>
      <c r="R20" s="487"/>
      <c r="S20" s="725">
        <f>'qtrP&amp;L'!J$11</f>
        <v>649.49300000000005</v>
      </c>
      <c r="T20" s="487"/>
      <c r="U20" s="726">
        <f>S20/L20</f>
        <v>1.5783547995139735</v>
      </c>
      <c r="V20" s="487"/>
      <c r="W20" s="717"/>
      <c r="X20" s="702"/>
      <c r="Y20" s="487"/>
      <c r="Z20" s="562">
        <f>Stores!DB26</f>
        <v>10.513732011187388</v>
      </c>
      <c r="AA20" s="487"/>
      <c r="AB20" s="722">
        <f>AVERAGE(Z20,Z19)</f>
        <v>10.399296084413933</v>
      </c>
      <c r="AC20" s="487"/>
      <c r="AD20" s="716">
        <f>(AB20/AB13-1)*100</f>
        <v>14.225853402878407</v>
      </c>
      <c r="AE20" s="702"/>
      <c r="AF20" s="719">
        <f>+H20/AD20*100</f>
        <v>67.851974046819876</v>
      </c>
      <c r="AG20" s="499"/>
      <c r="AH20" s="487"/>
      <c r="AI20" s="725">
        <f>+S20</f>
        <v>649.49300000000005</v>
      </c>
      <c r="AJ20" s="487"/>
      <c r="AK20" s="727">
        <f>AI20/AB20</f>
        <v>62.455477248449085</v>
      </c>
      <c r="AL20" s="487"/>
      <c r="AM20" s="717">
        <f>(AK20/AK13-1)*100</f>
        <v>-0.67701927451673249</v>
      </c>
      <c r="AN20" s="702"/>
      <c r="AO20" s="702"/>
      <c r="AP20" s="487"/>
      <c r="AQ20" s="487"/>
      <c r="AR20" s="487"/>
      <c r="AS20" s="487"/>
      <c r="AT20" s="487"/>
      <c r="AU20" s="487"/>
      <c r="AV20" s="487"/>
      <c r="AW20" s="487"/>
      <c r="AX20" s="487"/>
      <c r="AY20" s="487"/>
      <c r="AZ20" s="487"/>
      <c r="BA20" s="487"/>
      <c r="BB20" s="487"/>
      <c r="BC20" s="487"/>
      <c r="BD20" s="487"/>
      <c r="BE20" s="487"/>
      <c r="BF20" s="487"/>
      <c r="BG20" s="487"/>
    </row>
    <row r="21" spans="1:59" hidden="1" outlineLevel="1">
      <c r="A21" s="487" t="str">
        <f>$A$42</f>
        <v>3Q</v>
      </c>
      <c r="B21" s="701" t="str">
        <f>$B$42</f>
        <v>Oct</v>
      </c>
      <c r="C21" s="487"/>
      <c r="D21" s="716">
        <f>(S21/S14-1)*100</f>
        <v>9.1781479302764701</v>
      </c>
      <c r="E21" s="487"/>
      <c r="F21" s="717">
        <f>'qtrP&amp;L'!L$12</f>
        <v>0</v>
      </c>
      <c r="G21" s="487"/>
      <c r="H21" s="716">
        <f>D21-F21</f>
        <v>9.1781479302764701</v>
      </c>
      <c r="I21" s="702"/>
      <c r="J21" s="718">
        <f>+Stores!CW27</f>
        <v>432</v>
      </c>
      <c r="K21" s="487"/>
      <c r="L21" s="724">
        <f>AVERAGE(J21,J20)</f>
        <v>424</v>
      </c>
      <c r="M21" s="487"/>
      <c r="N21" s="716">
        <f>(L21/L14-1)*100</f>
        <v>12.169312169312164</v>
      </c>
      <c r="O21" s="702"/>
      <c r="P21" s="719">
        <f>H21/N21*100</f>
        <v>75.420432992271898</v>
      </c>
      <c r="Q21" s="499"/>
      <c r="R21" s="487"/>
      <c r="S21" s="725">
        <f>'qtrP&amp;L'!J$12</f>
        <v>705.26900000000001</v>
      </c>
      <c r="T21" s="487"/>
      <c r="U21" s="726">
        <f>S21/L21</f>
        <v>1.6633702830188679</v>
      </c>
      <c r="V21" s="487"/>
      <c r="W21" s="717"/>
      <c r="X21" s="702"/>
      <c r="Y21" s="487"/>
      <c r="Z21" s="562">
        <f>Stores!DB27</f>
        <v>10.901977116704803</v>
      </c>
      <c r="AA21" s="487"/>
      <c r="AB21" s="722">
        <f>AVERAGE(Z21,Z20)</f>
        <v>10.707854563946096</v>
      </c>
      <c r="AC21" s="487"/>
      <c r="AD21" s="716">
        <f>(AB21/AB14-1)*100</f>
        <v>13.414521471014162</v>
      </c>
      <c r="AE21" s="702"/>
      <c r="AF21" s="719">
        <f>+H21/AD21*100</f>
        <v>68.419495619791093</v>
      </c>
      <c r="AG21" s="499"/>
      <c r="AH21" s="487"/>
      <c r="AI21" s="725">
        <f>+S21</f>
        <v>705.26900000000001</v>
      </c>
      <c r="AJ21" s="487"/>
      <c r="AK21" s="727">
        <f>AI21/AB21</f>
        <v>65.864641304961069</v>
      </c>
      <c r="AL21" s="487"/>
      <c r="AM21" s="717">
        <f>(AK21/AK14-1)*100</f>
        <v>-3.7353008113871988</v>
      </c>
      <c r="AN21" s="702"/>
      <c r="AO21" s="702"/>
      <c r="AP21" s="487"/>
      <c r="AQ21" s="487"/>
      <c r="AR21" s="487"/>
      <c r="AS21" s="487"/>
      <c r="AT21" s="487"/>
      <c r="AU21" s="487"/>
      <c r="AV21" s="487"/>
      <c r="AW21" s="487"/>
      <c r="AX21" s="487"/>
      <c r="AY21" s="487"/>
      <c r="AZ21" s="487"/>
      <c r="BA21" s="487"/>
      <c r="BB21" s="487"/>
      <c r="BC21" s="487"/>
      <c r="BD21" s="487"/>
      <c r="BE21" s="487"/>
      <c r="BF21" s="487"/>
      <c r="BG21" s="487"/>
    </row>
    <row r="22" spans="1:59" hidden="1" outlineLevel="1">
      <c r="A22" s="487" t="str">
        <f>$A$43</f>
        <v>4Q</v>
      </c>
      <c r="B22" s="701" t="str">
        <f>$B$43</f>
        <v>Jan</v>
      </c>
      <c r="C22" s="487"/>
      <c r="D22" s="728">
        <f>(S22/S15-1)*100</f>
        <v>11.98775456472967</v>
      </c>
      <c r="E22" s="487"/>
      <c r="F22" s="729">
        <f>'qtrP&amp;L'!L$13</f>
        <v>1</v>
      </c>
      <c r="G22" s="487"/>
      <c r="H22" s="728">
        <f>D22-F22</f>
        <v>10.98775456472967</v>
      </c>
      <c r="I22" s="702"/>
      <c r="J22" s="727">
        <f>yrSales!C$20</f>
        <v>446</v>
      </c>
      <c r="K22" s="487"/>
      <c r="L22" s="730">
        <f>AVERAGE(J22,J21)</f>
        <v>439</v>
      </c>
      <c r="M22" s="487"/>
      <c r="N22" s="728">
        <f>(L22/L15-1)*100</f>
        <v>12.27621483375958</v>
      </c>
      <c r="O22" s="702"/>
      <c r="P22" s="730">
        <f>H22/N22*100</f>
        <v>89.504417391860514</v>
      </c>
      <c r="Q22" s="499"/>
      <c r="R22" s="487"/>
      <c r="S22" s="731">
        <f>'qtrP&amp;L'!J$13</f>
        <v>799.66200000000003</v>
      </c>
      <c r="T22" s="487"/>
      <c r="U22" s="732">
        <f>S22/L22</f>
        <v>1.8215535307517086</v>
      </c>
      <c r="V22" s="487"/>
      <c r="W22" s="729">
        <f>(U22/U15-1)*100</f>
        <v>-0.25692019405625377</v>
      </c>
      <c r="X22" s="702"/>
      <c r="Y22" s="487"/>
      <c r="Z22" s="562">
        <f>yrSales!C$31</f>
        <v>11.257999999999999</v>
      </c>
      <c r="AA22" s="487"/>
      <c r="AB22" s="733">
        <f>AVERAGE(Z22,Z21)</f>
        <v>11.079988558352401</v>
      </c>
      <c r="AC22" s="487"/>
      <c r="AD22" s="728">
        <f>(AB22/AB15-1)*100</f>
        <v>13.750539854356747</v>
      </c>
      <c r="AE22" s="702"/>
      <c r="AF22" s="730">
        <f>+H22/AD22*100</f>
        <v>79.907804937915145</v>
      </c>
      <c r="AG22" s="499"/>
      <c r="AH22" s="487"/>
      <c r="AI22" s="731">
        <f>+S22</f>
        <v>799.66200000000003</v>
      </c>
      <c r="AJ22" s="487"/>
      <c r="AK22" s="734">
        <f>AI22/AB22</f>
        <v>72.171735177216661</v>
      </c>
      <c r="AL22" s="487"/>
      <c r="AM22" s="729">
        <f>(AK22/AK15-1)*100</f>
        <v>-1.5496939987133973</v>
      </c>
      <c r="AN22" s="702"/>
      <c r="AO22" s="702"/>
      <c r="AP22" s="487"/>
      <c r="AQ22" s="487"/>
      <c r="AR22" s="487"/>
      <c r="AS22" s="487"/>
      <c r="AT22" s="487"/>
      <c r="AU22" s="487"/>
      <c r="AV22" s="487"/>
      <c r="AW22" s="487"/>
      <c r="AX22" s="487"/>
      <c r="AY22" s="487"/>
      <c r="AZ22" s="487"/>
      <c r="BA22" s="487"/>
      <c r="BB22" s="487"/>
      <c r="BC22" s="487"/>
      <c r="BD22" s="487"/>
      <c r="BE22" s="487"/>
      <c r="BF22" s="487"/>
      <c r="BG22" s="487"/>
    </row>
    <row r="23" spans="1:59" hidden="1" outlineLevel="1">
      <c r="A23" s="487"/>
      <c r="B23" s="701" t="str">
        <f>$B$44</f>
        <v>Year</v>
      </c>
      <c r="C23" s="487"/>
      <c r="D23" s="716">
        <f>(S23/S16-1)*100</f>
        <v>12.731009014098561</v>
      </c>
      <c r="E23" s="487"/>
      <c r="F23" s="717">
        <f>'qtrP&amp;L'!L$14</f>
        <v>2</v>
      </c>
      <c r="G23" s="487"/>
      <c r="H23" s="716">
        <f>D23-F23</f>
        <v>10.731009014098561</v>
      </c>
      <c r="I23" s="702"/>
      <c r="J23" s="487"/>
      <c r="K23" s="487"/>
      <c r="L23" s="724">
        <f>AVERAGE(L19:L22)</f>
        <v>419.25</v>
      </c>
      <c r="M23" s="487"/>
      <c r="N23" s="716">
        <f>(L23/L16-1)*100</f>
        <v>10.961623290692547</v>
      </c>
      <c r="O23" s="702"/>
      <c r="P23" s="719">
        <f>H23/N23*100</f>
        <v>97.896166740287455</v>
      </c>
      <c r="Q23" s="499"/>
      <c r="R23" s="487"/>
      <c r="S23" s="720">
        <f>SUM(S19:S22)</f>
        <v>2757.7150000000001</v>
      </c>
      <c r="T23" s="487"/>
      <c r="U23" s="721">
        <f>SUM(U19:U22)</f>
        <v>6.5621382406137432</v>
      </c>
      <c r="V23" s="487"/>
      <c r="W23" s="717">
        <f>(U23/U16-1)*100</f>
        <v>259.32398756410134</v>
      </c>
      <c r="X23" s="702"/>
      <c r="Y23" s="487"/>
      <c r="Z23" s="735"/>
      <c r="AA23" s="487"/>
      <c r="AB23" s="722">
        <f>AVERAGE(AB19:AB22)</f>
        <v>10.568642321383168</v>
      </c>
      <c r="AC23" s="487"/>
      <c r="AD23" s="716">
        <f>(AB23/AB16-1)*100</f>
        <v>13.632384559876787</v>
      </c>
      <c r="AE23" s="702"/>
      <c r="AF23" s="719">
        <f>+H23/AD23*100</f>
        <v>78.717035651138872</v>
      </c>
      <c r="AG23" s="499"/>
      <c r="AH23" s="487"/>
      <c r="AI23" s="720">
        <f>SUM(AI19:AI22)</f>
        <v>2757.7150000000001</v>
      </c>
      <c r="AJ23" s="487"/>
      <c r="AK23" s="723">
        <f>SUM(AK19:AK22)</f>
        <v>260.29806753196766</v>
      </c>
      <c r="AL23" s="487"/>
      <c r="AM23" s="717">
        <f>(AK23/AK16-1)*100</f>
        <v>-0.73518446152485151</v>
      </c>
      <c r="AN23" s="702"/>
      <c r="AO23" s="702"/>
      <c r="AP23" s="487"/>
      <c r="AQ23" s="487"/>
      <c r="AR23" s="487"/>
      <c r="AS23" s="487"/>
      <c r="AT23" s="487"/>
      <c r="AU23" s="487"/>
      <c r="AV23" s="487"/>
      <c r="AW23" s="487"/>
      <c r="AX23" s="487"/>
      <c r="AY23" s="487"/>
      <c r="AZ23" s="487"/>
      <c r="BA23" s="487"/>
      <c r="BB23" s="487"/>
      <c r="BC23" s="487"/>
      <c r="BD23" s="487"/>
      <c r="BE23" s="487"/>
      <c r="BF23" s="487"/>
      <c r="BG23" s="487"/>
    </row>
    <row r="24" spans="1:59" hidden="1" outlineLevel="1">
      <c r="A24" s="487"/>
      <c r="B24" s="701"/>
      <c r="C24" s="487"/>
      <c r="D24" s="487"/>
      <c r="E24" s="487"/>
      <c r="F24" s="487"/>
      <c r="G24" s="487"/>
      <c r="H24" s="487"/>
      <c r="I24" s="702"/>
      <c r="J24" s="487"/>
      <c r="K24" s="487"/>
      <c r="L24" s="487"/>
      <c r="M24" s="487"/>
      <c r="N24" s="487"/>
      <c r="O24" s="702"/>
      <c r="P24" s="499"/>
      <c r="Q24" s="499"/>
      <c r="R24" s="487"/>
      <c r="S24" s="487"/>
      <c r="T24" s="487"/>
      <c r="U24" s="487"/>
      <c r="V24" s="487"/>
      <c r="W24" s="487"/>
      <c r="X24" s="702"/>
      <c r="Y24" s="487"/>
      <c r="Z24" s="735"/>
      <c r="AA24" s="487"/>
      <c r="AB24" s="487"/>
      <c r="AC24" s="487"/>
      <c r="AD24" s="487"/>
      <c r="AE24" s="702"/>
      <c r="AF24" s="499"/>
      <c r="AG24" s="499"/>
      <c r="AH24" s="487"/>
      <c r="AI24" s="487"/>
      <c r="AJ24" s="487"/>
      <c r="AK24" s="487"/>
      <c r="AL24" s="487"/>
      <c r="AM24" s="487"/>
      <c r="AN24" s="702"/>
      <c r="AO24" s="702"/>
      <c r="AP24" s="487"/>
      <c r="AQ24" s="487"/>
      <c r="AR24" s="487"/>
      <c r="AS24" s="487"/>
      <c r="AT24" s="487"/>
      <c r="AU24" s="487"/>
      <c r="AV24" s="487"/>
      <c r="AW24" s="487"/>
      <c r="AX24" s="487"/>
      <c r="AY24" s="487"/>
      <c r="AZ24" s="487"/>
      <c r="BA24" s="487"/>
      <c r="BB24" s="487"/>
      <c r="BC24" s="487"/>
      <c r="BD24" s="487"/>
      <c r="BE24" s="487"/>
      <c r="BF24" s="487"/>
      <c r="BG24" s="487"/>
    </row>
    <row r="25" spans="1:59" hidden="1" outlineLevel="1" collapsed="1">
      <c r="A25" s="715"/>
      <c r="B25" s="736">
        <f>B18+1</f>
        <v>1992</v>
      </c>
      <c r="C25" s="487"/>
      <c r="D25" s="487"/>
      <c r="E25" s="487"/>
      <c r="F25" s="487"/>
      <c r="G25" s="487"/>
      <c r="H25" s="487"/>
      <c r="I25" s="487"/>
      <c r="J25" s="487"/>
      <c r="K25" s="487"/>
      <c r="L25" s="487"/>
      <c r="M25" s="487"/>
      <c r="N25" s="487"/>
      <c r="O25" s="487"/>
      <c r="P25" s="499"/>
      <c r="Q25" s="499"/>
      <c r="R25" s="487"/>
      <c r="S25" s="487"/>
      <c r="T25" s="487"/>
      <c r="U25" s="487"/>
      <c r="V25" s="487"/>
      <c r="W25" s="487"/>
      <c r="X25" s="702"/>
      <c r="Y25" s="487"/>
      <c r="Z25" s="487"/>
      <c r="AA25" s="487"/>
      <c r="AB25" s="487"/>
      <c r="AC25" s="487"/>
      <c r="AD25" s="487"/>
      <c r="AE25" s="487"/>
      <c r="AF25" s="499"/>
      <c r="AG25" s="499"/>
      <c r="AH25" s="487"/>
      <c r="AI25" s="487"/>
      <c r="AJ25" s="487"/>
      <c r="AK25" s="487"/>
      <c r="AL25" s="487"/>
      <c r="AM25" s="487"/>
      <c r="AN25" s="702"/>
      <c r="AO25" s="702"/>
      <c r="AP25" s="487"/>
      <c r="AQ25" s="487"/>
      <c r="AR25" s="487"/>
      <c r="AS25" s="487"/>
      <c r="AT25" s="487"/>
      <c r="AU25" s="487"/>
      <c r="AV25" s="487"/>
      <c r="AW25" s="487"/>
      <c r="AX25" s="487"/>
      <c r="AY25" s="487"/>
      <c r="AZ25" s="487"/>
      <c r="BA25" s="487"/>
      <c r="BB25" s="487"/>
      <c r="BC25" s="487"/>
      <c r="BD25" s="487"/>
      <c r="BE25" s="487"/>
      <c r="BF25" s="487"/>
      <c r="BG25" s="487"/>
    </row>
    <row r="26" spans="1:59" hidden="1" outlineLevel="1">
      <c r="A26" s="487" t="str">
        <f>$A$40</f>
        <v>1Q</v>
      </c>
      <c r="B26" s="701" t="str">
        <f>$B$40</f>
        <v>Apr</v>
      </c>
      <c r="C26" s="487"/>
      <c r="D26" s="716">
        <f>(S26/S19-1)*100</f>
        <v>11.212830955542174</v>
      </c>
      <c r="E26" s="487" t="s">
        <v>190</v>
      </c>
      <c r="F26" s="717">
        <f>'qtrP&amp;L'!P$10</f>
        <v>2</v>
      </c>
      <c r="G26" s="487" t="s">
        <v>190</v>
      </c>
      <c r="H26" s="716">
        <f>D26-F26</f>
        <v>9.2128309555421737</v>
      </c>
      <c r="I26" s="702" t="s">
        <v>190</v>
      </c>
      <c r="J26" s="718">
        <f>+Stores!CW33</f>
        <v>452</v>
      </c>
      <c r="K26" s="487"/>
      <c r="L26" s="487">
        <f>AVERAGE(J26,J22)</f>
        <v>449</v>
      </c>
      <c r="M26" s="487"/>
      <c r="N26" s="716">
        <f>(L26/L19-1)*100</f>
        <v>11.552795031055908</v>
      </c>
      <c r="O26" s="702" t="s">
        <v>190</v>
      </c>
      <c r="P26" s="719">
        <f>H26/N26*100</f>
        <v>79.745472249585433</v>
      </c>
      <c r="Q26" s="499" t="s">
        <v>190</v>
      </c>
      <c r="R26" s="487"/>
      <c r="S26" s="737">
        <f>'qtrP&amp;L'!N$10</f>
        <v>670.93700000000001</v>
      </c>
      <c r="T26" s="487"/>
      <c r="U26" s="721">
        <f>S26/L26</f>
        <v>1.4942917594654788</v>
      </c>
      <c r="V26" s="487"/>
      <c r="W26" s="717">
        <f>(U26/U19-1)*100</f>
        <v>-0.30475621468658565</v>
      </c>
      <c r="X26" s="702" t="s">
        <v>190</v>
      </c>
      <c r="Y26" s="487"/>
      <c r="Z26" s="562">
        <f>Stores!DB33</f>
        <v>11.765070146137786</v>
      </c>
      <c r="AA26" s="487"/>
      <c r="AB26" s="722">
        <f>AVERAGE(Z26,Z22)</f>
        <v>11.511535073068892</v>
      </c>
      <c r="AC26" s="487"/>
      <c r="AD26" s="716">
        <f>(AB26/AB19-1)*100</f>
        <v>14.117619484061962</v>
      </c>
      <c r="AE26" s="702" t="s">
        <v>190</v>
      </c>
      <c r="AF26" s="719">
        <f>+H26/AD26*100</f>
        <v>65.257680063858984</v>
      </c>
      <c r="AG26" s="499" t="s">
        <v>190</v>
      </c>
      <c r="AH26" s="487"/>
      <c r="AI26" s="720">
        <f>+S26</f>
        <v>670.93700000000001</v>
      </c>
      <c r="AJ26" s="487"/>
      <c r="AK26" s="723">
        <f>AI26/AB26</f>
        <v>58.283886183837431</v>
      </c>
      <c r="AL26" s="487"/>
      <c r="AM26" s="716">
        <f>(AK26/AK19-1)*100</f>
        <v>-2.5454338617057037</v>
      </c>
      <c r="AN26" s="702" t="s">
        <v>190</v>
      </c>
      <c r="AO26" s="702"/>
      <c r="AP26" s="487"/>
      <c r="AQ26" s="487"/>
      <c r="AR26" s="487"/>
      <c r="AS26" s="487"/>
      <c r="AT26" s="487"/>
      <c r="AU26" s="487"/>
      <c r="AV26" s="487"/>
      <c r="AW26" s="487"/>
      <c r="AX26" s="487"/>
      <c r="AY26" s="487"/>
      <c r="AZ26" s="487"/>
      <c r="BA26" s="487"/>
      <c r="BB26" s="487"/>
      <c r="BC26" s="487"/>
      <c r="BD26" s="487"/>
      <c r="BE26" s="487"/>
      <c r="BF26" s="487"/>
      <c r="BG26" s="487"/>
    </row>
    <row r="27" spans="1:59" hidden="1" outlineLevel="1">
      <c r="A27" s="487" t="str">
        <f>$A$41</f>
        <v>2Q</v>
      </c>
      <c r="B27" s="701" t="str">
        <f>$B$41</f>
        <v>Jul</v>
      </c>
      <c r="C27" s="487"/>
      <c r="D27" s="716">
        <f>(S27/S20-1)*100</f>
        <v>16.032351387928713</v>
      </c>
      <c r="E27" s="487"/>
      <c r="F27" s="717">
        <f>'qtrP&amp;L'!P$11</f>
        <v>5</v>
      </c>
      <c r="G27" s="487"/>
      <c r="H27" s="716">
        <f>D27-F27</f>
        <v>11.032351387928713</v>
      </c>
      <c r="I27" s="702"/>
      <c r="J27" s="718">
        <f>+Stores!CW34</f>
        <v>466</v>
      </c>
      <c r="K27" s="487"/>
      <c r="L27" s="724">
        <f>AVERAGE(J27,J26)</f>
        <v>459</v>
      </c>
      <c r="M27" s="487"/>
      <c r="N27" s="716">
        <f>(L27/L20-1)*100</f>
        <v>11.543134872417982</v>
      </c>
      <c r="O27" s="702"/>
      <c r="P27" s="719">
        <f>H27/N27*100</f>
        <v>95.575002023845599</v>
      </c>
      <c r="Q27" s="499"/>
      <c r="R27" s="487"/>
      <c r="S27" s="725">
        <f>'qtrP&amp;L'!N$11</f>
        <v>753.62199999999996</v>
      </c>
      <c r="T27" s="487"/>
      <c r="U27" s="726">
        <f>S27/L27</f>
        <v>1.6418779956427014</v>
      </c>
      <c r="V27" s="487"/>
      <c r="W27" s="717">
        <f>(U27/U20-1)*100</f>
        <v>4.0246461789382737</v>
      </c>
      <c r="X27" s="702"/>
      <c r="Y27" s="487"/>
      <c r="Z27" s="562">
        <f>Stores!DB34</f>
        <v>12.207662212943633</v>
      </c>
      <c r="AA27" s="487"/>
      <c r="AB27" s="722">
        <f>AVERAGE(Z27,Z26)</f>
        <v>11.98636617954071</v>
      </c>
      <c r="AC27" s="487"/>
      <c r="AD27" s="716">
        <f>(AB27/AB20-1)*100</f>
        <v>15.261322326473771</v>
      </c>
      <c r="AE27" s="702"/>
      <c r="AF27" s="719">
        <f>+H27/AD27*100</f>
        <v>72.289616534675545</v>
      </c>
      <c r="AG27" s="499"/>
      <c r="AH27" s="487"/>
      <c r="AI27" s="725">
        <f>+S27</f>
        <v>753.62199999999996</v>
      </c>
      <c r="AJ27" s="487"/>
      <c r="AK27" s="727">
        <f>AI27/AB27</f>
        <v>62.873266902720054</v>
      </c>
      <c r="AL27" s="487"/>
      <c r="AM27" s="717">
        <f>(AK27/AK20-1)*100</f>
        <v>0.6689399756069303</v>
      </c>
      <c r="AN27" s="702"/>
      <c r="AO27" s="702"/>
      <c r="AP27" s="487"/>
      <c r="AQ27" s="487"/>
      <c r="AR27" s="487"/>
      <c r="AS27" s="487"/>
      <c r="AT27" s="487"/>
      <c r="AU27" s="487"/>
      <c r="AV27" s="487"/>
      <c r="AW27" s="487"/>
      <c r="AX27" s="487"/>
      <c r="AY27" s="487"/>
      <c r="AZ27" s="487"/>
      <c r="BA27" s="487"/>
      <c r="BB27" s="487"/>
      <c r="BC27" s="487"/>
      <c r="BD27" s="487"/>
      <c r="BE27" s="487"/>
      <c r="BF27" s="487"/>
      <c r="BG27" s="487"/>
    </row>
    <row r="28" spans="1:59" hidden="1" outlineLevel="1">
      <c r="A28" s="487" t="str">
        <f>$A$42</f>
        <v>3Q</v>
      </c>
      <c r="B28" s="701" t="str">
        <f>$B$42</f>
        <v>Oct</v>
      </c>
      <c r="C28" s="487"/>
      <c r="D28" s="716">
        <f>(S28/S21-1)*100</f>
        <v>18.978148763096069</v>
      </c>
      <c r="E28" s="487"/>
      <c r="F28" s="717">
        <f>'qtrP&amp;L'!P$12</f>
        <v>7</v>
      </c>
      <c r="G28" s="487"/>
      <c r="H28" s="716">
        <f>D28-F28</f>
        <v>11.978148763096069</v>
      </c>
      <c r="I28" s="702"/>
      <c r="J28" s="718">
        <f>+Stores!CW35</f>
        <v>481</v>
      </c>
      <c r="K28" s="487"/>
      <c r="L28" s="724">
        <f>AVERAGE(J28,J27)</f>
        <v>473.5</v>
      </c>
      <c r="M28" s="487"/>
      <c r="N28" s="716">
        <f>(L28/L21-1)*100</f>
        <v>11.674528301886799</v>
      </c>
      <c r="O28" s="702"/>
      <c r="P28" s="719">
        <f>H28/N28*100</f>
        <v>102.60070859702486</v>
      </c>
      <c r="Q28" s="499"/>
      <c r="R28" s="487"/>
      <c r="S28" s="725">
        <f>'qtrP&amp;L'!N$12</f>
        <v>839.11599999999999</v>
      </c>
      <c r="T28" s="487"/>
      <c r="U28" s="726">
        <f>S28/L28</f>
        <v>1.7721562829989439</v>
      </c>
      <c r="V28" s="487"/>
      <c r="W28" s="717">
        <f>(U28/U21-1)*100</f>
        <v>6.5400951965210785</v>
      </c>
      <c r="X28" s="702"/>
      <c r="Y28" s="487"/>
      <c r="Z28" s="562">
        <f>Stores!DB35</f>
        <v>12.613092693110644</v>
      </c>
      <c r="AA28" s="487"/>
      <c r="AB28" s="722">
        <f>AVERAGE(Z28,Z27)</f>
        <v>12.410377453027138</v>
      </c>
      <c r="AC28" s="487"/>
      <c r="AD28" s="716">
        <f>(AB28/AB21-1)*100</f>
        <v>15.899757312856355</v>
      </c>
      <c r="AE28" s="702"/>
      <c r="AF28" s="719">
        <f>+H28/AD28*100</f>
        <v>75.335418820579605</v>
      </c>
      <c r="AG28" s="499"/>
      <c r="AH28" s="487"/>
      <c r="AI28" s="725">
        <f>+S28</f>
        <v>839.11599999999999</v>
      </c>
      <c r="AJ28" s="487"/>
      <c r="AK28" s="727">
        <f>AI28/AB28</f>
        <v>67.614059538158756</v>
      </c>
      <c r="AL28" s="487"/>
      <c r="AM28" s="717">
        <f>(AK28/AK21-1)*100</f>
        <v>2.6560810148463121</v>
      </c>
      <c r="AN28" s="702"/>
      <c r="AO28" s="702"/>
      <c r="AP28" s="487"/>
      <c r="AQ28" s="487"/>
      <c r="AR28" s="487"/>
      <c r="AS28" s="487"/>
      <c r="AT28" s="487"/>
      <c r="AU28" s="487"/>
      <c r="AV28" s="487"/>
      <c r="AW28" s="487"/>
      <c r="AX28" s="487"/>
      <c r="AY28" s="487"/>
      <c r="AZ28" s="487"/>
      <c r="BA28" s="487"/>
      <c r="BB28" s="487"/>
      <c r="BC28" s="487"/>
      <c r="BD28" s="487"/>
      <c r="BE28" s="487"/>
      <c r="BF28" s="487"/>
      <c r="BG28" s="487"/>
    </row>
    <row r="29" spans="1:59" hidden="1" outlineLevel="1">
      <c r="A29" s="487" t="str">
        <f>$A$43</f>
        <v>4Q</v>
      </c>
      <c r="B29" s="701" t="str">
        <f>$B$43</f>
        <v>Jan</v>
      </c>
      <c r="C29" s="487"/>
      <c r="D29" s="728">
        <f>(S29/S22-1)*100</f>
        <v>24.748331169919279</v>
      </c>
      <c r="E29" s="487"/>
      <c r="F29" s="729">
        <f>'qtrP&amp;L'!P$13</f>
        <v>5</v>
      </c>
      <c r="G29" s="487"/>
      <c r="H29" s="728">
        <f>D29-F29</f>
        <v>19.748331169919279</v>
      </c>
      <c r="I29" s="702"/>
      <c r="J29" s="727">
        <f>yrSales!D$20</f>
        <v>500</v>
      </c>
      <c r="K29" s="487"/>
      <c r="L29" s="730">
        <f>AVERAGE(J29,J28)</f>
        <v>490.5</v>
      </c>
      <c r="M29" s="487"/>
      <c r="N29" s="728">
        <f>(L29/L22-1)*100</f>
        <v>11.731207289293843</v>
      </c>
      <c r="O29" s="702"/>
      <c r="P29" s="730">
        <f>H29/N29*100</f>
        <v>168.34014337076832</v>
      </c>
      <c r="Q29" s="499"/>
      <c r="R29" s="487"/>
      <c r="S29" s="731">
        <f>'qtrP&amp;L'!N$13</f>
        <v>997.56499999999994</v>
      </c>
      <c r="T29" s="487"/>
      <c r="U29" s="732">
        <f>S29/L29</f>
        <v>2.0337716615698267</v>
      </c>
      <c r="V29" s="487"/>
      <c r="W29" s="729">
        <f>(U29/U22-1)*100</f>
        <v>11.65039221935691</v>
      </c>
      <c r="X29" s="702"/>
      <c r="Y29" s="487"/>
      <c r="Z29" s="562">
        <f>yrSales!D$31</f>
        <v>13.158999999999999</v>
      </c>
      <c r="AA29" s="487"/>
      <c r="AB29" s="733">
        <f>AVERAGE(Z29,Z28)</f>
        <v>12.886046346555322</v>
      </c>
      <c r="AC29" s="487"/>
      <c r="AD29" s="728">
        <f>(AB29/AB22-1)*100</f>
        <v>16.300177375557535</v>
      </c>
      <c r="AE29" s="702"/>
      <c r="AF29" s="730">
        <f>+H29/AD29*100</f>
        <v>121.15408755939261</v>
      </c>
      <c r="AG29" s="499"/>
      <c r="AH29" s="487"/>
      <c r="AI29" s="731">
        <f>+S29</f>
        <v>997.56499999999994</v>
      </c>
      <c r="AJ29" s="487"/>
      <c r="AK29" s="734">
        <f>AI29/AB29</f>
        <v>77.414357606021454</v>
      </c>
      <c r="AL29" s="487"/>
      <c r="AM29" s="729">
        <f>(AK29/AK22-1)*100</f>
        <v>7.2640936454300364</v>
      </c>
      <c r="AN29" s="702"/>
      <c r="AO29" s="702"/>
      <c r="AP29" s="487"/>
      <c r="AQ29" s="487"/>
      <c r="AR29" s="487"/>
      <c r="AS29" s="487"/>
      <c r="AT29" s="487"/>
      <c r="AU29" s="487"/>
      <c r="AV29" s="487"/>
      <c r="AW29" s="487"/>
      <c r="AX29" s="487"/>
      <c r="AY29" s="487"/>
      <c r="AZ29" s="487"/>
      <c r="BA29" s="487"/>
      <c r="BB29" s="487"/>
      <c r="BC29" s="487"/>
      <c r="BD29" s="487"/>
      <c r="BE29" s="487"/>
      <c r="BF29" s="487"/>
      <c r="BG29" s="487"/>
    </row>
    <row r="30" spans="1:59" hidden="1" outlineLevel="1">
      <c r="A30" s="487"/>
      <c r="B30" s="701" t="str">
        <f>$B$44</f>
        <v>Year</v>
      </c>
      <c r="C30" s="487"/>
      <c r="D30" s="716">
        <f>(S30/S23-1)*100</f>
        <v>18.258775834341122</v>
      </c>
      <c r="E30" s="487"/>
      <c r="F30" s="717">
        <f>'qtrP&amp;L'!P$14</f>
        <v>5</v>
      </c>
      <c r="G30" s="487"/>
      <c r="H30" s="716">
        <f>D30-F30</f>
        <v>13.258775834341122</v>
      </c>
      <c r="I30" s="702"/>
      <c r="J30" s="487"/>
      <c r="K30" s="487"/>
      <c r="L30" s="724">
        <f>AVERAGE(L26:L29)</f>
        <v>468</v>
      </c>
      <c r="M30" s="487"/>
      <c r="N30" s="716">
        <f>(L30/L23-1)*100</f>
        <v>11.627906976744185</v>
      </c>
      <c r="O30" s="702"/>
      <c r="P30" s="719">
        <f>H30/N30*100</f>
        <v>114.02547217533365</v>
      </c>
      <c r="Q30" s="499"/>
      <c r="R30" s="487"/>
      <c r="S30" s="720">
        <f>SUM(S26:S29)</f>
        <v>3261.2400000000002</v>
      </c>
      <c r="T30" s="487"/>
      <c r="U30" s="721">
        <f>SUM(U26:U29)</f>
        <v>6.9420976996769514</v>
      </c>
      <c r="V30" s="487"/>
      <c r="W30" s="717">
        <f>(U30/U23-1)*100</f>
        <v>5.790177608749536</v>
      </c>
      <c r="X30" s="702"/>
      <c r="Y30" s="487"/>
      <c r="Z30" s="735"/>
      <c r="AA30" s="487"/>
      <c r="AB30" s="722">
        <f>AVERAGE(AB26:AB29)</f>
        <v>12.198581263048016</v>
      </c>
      <c r="AC30" s="487"/>
      <c r="AD30" s="716">
        <f>(AB30/AB23-1)*100</f>
        <v>15.422406134107213</v>
      </c>
      <c r="AE30" s="702"/>
      <c r="AF30" s="719">
        <f>+H30/AD30*100</f>
        <v>85.970864202693093</v>
      </c>
      <c r="AG30" s="499"/>
      <c r="AH30" s="487"/>
      <c r="AI30" s="720">
        <f>SUM(AI26:AI29)</f>
        <v>3261.2400000000002</v>
      </c>
      <c r="AJ30" s="487"/>
      <c r="AK30" s="723">
        <f>SUM(AK26:AK29)</f>
        <v>266.18557023073771</v>
      </c>
      <c r="AL30" s="487"/>
      <c r="AM30" s="717">
        <f>(AK30/AK23-1)*100</f>
        <v>2.2618311209886333</v>
      </c>
      <c r="AN30" s="702"/>
      <c r="AO30" s="702"/>
      <c r="AP30" s="487"/>
      <c r="AQ30" s="487"/>
      <c r="AR30" s="487"/>
      <c r="AS30" s="487"/>
      <c r="AT30" s="487"/>
      <c r="AU30" s="487"/>
      <c r="AV30" s="487"/>
      <c r="AW30" s="487"/>
      <c r="AX30" s="487"/>
      <c r="AY30" s="487"/>
      <c r="AZ30" s="487"/>
      <c r="BA30" s="487"/>
      <c r="BB30" s="487"/>
      <c r="BC30" s="487"/>
      <c r="BD30" s="487"/>
      <c r="BE30" s="487"/>
      <c r="BF30" s="487"/>
      <c r="BG30" s="487"/>
    </row>
    <row r="31" spans="1:59" hidden="1" outlineLevel="1">
      <c r="A31" s="487"/>
      <c r="B31" s="701"/>
      <c r="C31" s="487"/>
      <c r="D31" s="487"/>
      <c r="E31" s="487"/>
      <c r="F31" s="487"/>
      <c r="G31" s="487"/>
      <c r="H31" s="487"/>
      <c r="I31" s="702"/>
      <c r="J31" s="487"/>
      <c r="K31" s="487"/>
      <c r="L31" s="487"/>
      <c r="M31" s="487"/>
      <c r="N31" s="487"/>
      <c r="O31" s="702"/>
      <c r="P31" s="499"/>
      <c r="Q31" s="499"/>
      <c r="R31" s="487"/>
      <c r="S31" s="487"/>
      <c r="T31" s="487"/>
      <c r="U31" s="487"/>
      <c r="V31" s="487"/>
      <c r="W31" s="487"/>
      <c r="X31" s="702"/>
      <c r="Y31" s="487"/>
      <c r="Z31" s="735"/>
      <c r="AA31" s="487"/>
      <c r="AB31" s="487"/>
      <c r="AC31" s="487"/>
      <c r="AD31" s="487"/>
      <c r="AE31" s="702"/>
      <c r="AF31" s="499"/>
      <c r="AG31" s="499"/>
      <c r="AH31" s="487"/>
      <c r="AI31" s="487"/>
      <c r="AJ31" s="487"/>
      <c r="AK31" s="487"/>
      <c r="AL31" s="487"/>
      <c r="AM31" s="487"/>
      <c r="AN31" s="702"/>
      <c r="AO31" s="702"/>
      <c r="AP31" s="487"/>
      <c r="AQ31" s="487"/>
      <c r="AR31" s="487"/>
      <c r="AS31" s="487"/>
      <c r="AT31" s="487"/>
      <c r="AU31" s="487"/>
      <c r="AV31" s="487"/>
      <c r="AW31" s="487"/>
      <c r="AX31" s="487"/>
      <c r="AY31" s="487"/>
      <c r="AZ31" s="487"/>
      <c r="BA31" s="487"/>
      <c r="BB31" s="487"/>
      <c r="BC31" s="487"/>
      <c r="BD31" s="487"/>
      <c r="BE31" s="487"/>
      <c r="BF31" s="487"/>
      <c r="BG31" s="487"/>
    </row>
    <row r="32" spans="1:59" hidden="1" outlineLevel="1" collapsed="1">
      <c r="A32" s="715"/>
      <c r="B32" s="736">
        <f>B25+1</f>
        <v>1993</v>
      </c>
      <c r="C32" s="487"/>
      <c r="D32" s="487"/>
      <c r="E32" s="487"/>
      <c r="F32" s="487"/>
      <c r="G32" s="487"/>
      <c r="H32" s="487"/>
      <c r="I32" s="487"/>
      <c r="J32" s="487"/>
      <c r="K32" s="487"/>
      <c r="L32" s="487"/>
      <c r="M32" s="487"/>
      <c r="N32" s="487"/>
      <c r="O32" s="487"/>
      <c r="P32" s="499"/>
      <c r="Q32" s="499"/>
      <c r="R32" s="487"/>
      <c r="S32" s="487"/>
      <c r="T32" s="487"/>
      <c r="U32" s="487"/>
      <c r="V32" s="487"/>
      <c r="W32" s="487"/>
      <c r="X32" s="702"/>
      <c r="Y32" s="487"/>
      <c r="Z32" s="487"/>
      <c r="AA32" s="487"/>
      <c r="AB32" s="487"/>
      <c r="AC32" s="487"/>
      <c r="AD32" s="487"/>
      <c r="AE32" s="487"/>
      <c r="AF32" s="499"/>
      <c r="AG32" s="499"/>
      <c r="AH32" s="487"/>
      <c r="AI32" s="487"/>
      <c r="AJ32" s="487"/>
      <c r="AK32" s="487"/>
      <c r="AL32" s="487"/>
      <c r="AM32" s="487"/>
      <c r="AN32" s="702"/>
      <c r="AO32" s="702"/>
      <c r="AP32" s="487"/>
      <c r="AQ32" s="487"/>
      <c r="AR32" s="487"/>
      <c r="AS32" s="487"/>
      <c r="AT32" s="487"/>
      <c r="AU32" s="487"/>
      <c r="AV32" s="487"/>
      <c r="AW32" s="487"/>
      <c r="AX32" s="487"/>
      <c r="AY32" s="487"/>
      <c r="AZ32" s="487"/>
      <c r="BA32" s="487"/>
      <c r="BB32" s="487"/>
      <c r="BC32" s="487"/>
      <c r="BD32" s="487"/>
      <c r="BE32" s="487"/>
      <c r="BF32" s="487"/>
      <c r="BG32" s="487"/>
    </row>
    <row r="33" spans="1:59" hidden="1" outlineLevel="1">
      <c r="A33" s="487" t="str">
        <f>$A$40</f>
        <v>1Q</v>
      </c>
      <c r="B33" s="701" t="str">
        <f>$B$40</f>
        <v>Apr</v>
      </c>
      <c r="C33" s="487"/>
      <c r="D33" s="716">
        <f>(S33/S26-1)*100</f>
        <v>-11.505849282421455</v>
      </c>
      <c r="E33" s="487" t="s">
        <v>190</v>
      </c>
      <c r="F33" s="717">
        <f>'qtrP&amp;L'!T$10</f>
        <v>0</v>
      </c>
      <c r="G33" s="487" t="s">
        <v>190</v>
      </c>
      <c r="H33" s="716">
        <f>D33-F33</f>
        <v>-11.505849282421455</v>
      </c>
      <c r="I33" s="702" t="s">
        <v>190</v>
      </c>
      <c r="J33" s="718">
        <f>+Stores!CW41</f>
        <v>512</v>
      </c>
      <c r="K33" s="487"/>
      <c r="L33" s="487">
        <f>AVERAGE(J33,J29)</f>
        <v>506</v>
      </c>
      <c r="M33" s="487"/>
      <c r="N33" s="716">
        <f>(L33/L26-1)*100</f>
        <v>12.694877505567925</v>
      </c>
      <c r="O33" s="702" t="s">
        <v>190</v>
      </c>
      <c r="P33" s="719">
        <f>H33/N33*100</f>
        <v>-90.633795224688328</v>
      </c>
      <c r="Q33" s="499" t="s">
        <v>190</v>
      </c>
      <c r="R33" s="487"/>
      <c r="S33" s="720">
        <f>'qtrP&amp;L'!R$10</f>
        <v>593.74</v>
      </c>
      <c r="T33" s="487"/>
      <c r="U33" s="721">
        <f>S33/L33</f>
        <v>1.1733992094861661</v>
      </c>
      <c r="V33" s="487"/>
      <c r="W33" s="717">
        <f>(U33/U26-1)*100</f>
        <v>-21.474557960093332</v>
      </c>
      <c r="X33" s="702" t="s">
        <v>190</v>
      </c>
      <c r="Y33" s="487"/>
      <c r="Z33" s="562">
        <f>Stores!DB41</f>
        <v>13.821740928819446</v>
      </c>
      <c r="AA33" s="487"/>
      <c r="AB33" s="722">
        <f>AVERAGE(Z33,Z29)</f>
        <v>13.490370464409722</v>
      </c>
      <c r="AC33" s="487"/>
      <c r="AD33" s="716">
        <f>(AB33/AB26-1)*100</f>
        <v>17.19002182402496</v>
      </c>
      <c r="AE33" s="702" t="s">
        <v>190</v>
      </c>
      <c r="AF33" s="719">
        <f>+H33/AD33*100</f>
        <v>-66.933302355327768</v>
      </c>
      <c r="AG33" s="499" t="s">
        <v>190</v>
      </c>
      <c r="AH33" s="487"/>
      <c r="AI33" s="720">
        <f>+S33</f>
        <v>593.74</v>
      </c>
      <c r="AJ33" s="487"/>
      <c r="AK33" s="723">
        <f>AI33/AB33</f>
        <v>44.012134549336814</v>
      </c>
      <c r="AL33" s="487"/>
      <c r="AM33" s="716">
        <f>(AK33/AK26-1)*100</f>
        <v>-24.48661640283397</v>
      </c>
      <c r="AN33" s="702" t="s">
        <v>190</v>
      </c>
      <c r="AO33" s="702"/>
      <c r="AP33" s="487"/>
      <c r="AQ33" s="487"/>
      <c r="AR33" s="487"/>
      <c r="AS33" s="487"/>
      <c r="AT33" s="487"/>
      <c r="AU33" s="487"/>
      <c r="AV33" s="487"/>
      <c r="AW33" s="487"/>
      <c r="AX33" s="487"/>
      <c r="AY33" s="487"/>
      <c r="AZ33" s="487"/>
      <c r="BA33" s="487"/>
      <c r="BB33" s="487"/>
      <c r="BC33" s="487"/>
      <c r="BD33" s="487"/>
      <c r="BE33" s="487"/>
      <c r="BF33" s="487"/>
      <c r="BG33" s="487"/>
    </row>
    <row r="34" spans="1:59" hidden="1" outlineLevel="1">
      <c r="A34" s="487" t="str">
        <f>$A$41</f>
        <v>2Q</v>
      </c>
      <c r="B34" s="701" t="str">
        <f>$B$41</f>
        <v>Jul</v>
      </c>
      <c r="C34" s="487"/>
      <c r="D34" s="716">
        <f>(S34/S27-1)*100</f>
        <v>-13.826427572443478</v>
      </c>
      <c r="E34" s="487"/>
      <c r="F34" s="717">
        <f>'qtrP&amp;L'!T$11</f>
        <v>2</v>
      </c>
      <c r="G34" s="487"/>
      <c r="H34" s="716">
        <f>D34-F34</f>
        <v>-15.826427572443478</v>
      </c>
      <c r="I34" s="702"/>
      <c r="J34" s="718">
        <f>+Stores!CW42</f>
        <v>516</v>
      </c>
      <c r="K34" s="487"/>
      <c r="L34" s="724">
        <f>AVERAGE(J34,J33)</f>
        <v>514</v>
      </c>
      <c r="M34" s="487"/>
      <c r="N34" s="716">
        <f>(L34/L27-1)*100</f>
        <v>11.982570806100213</v>
      </c>
      <c r="O34" s="702"/>
      <c r="P34" s="719">
        <f>H34/N34*100</f>
        <v>-132.07873192275562</v>
      </c>
      <c r="Q34" s="499"/>
      <c r="R34" s="487"/>
      <c r="S34" s="725">
        <f>'qtrP&amp;L'!R$11</f>
        <v>649.423</v>
      </c>
      <c r="T34" s="487"/>
      <c r="U34" s="726">
        <f>S34/L34</f>
        <v>1.2634688715953308</v>
      </c>
      <c r="V34" s="487"/>
      <c r="W34" s="717">
        <f>(U34/U27-1)*100</f>
        <v>-23.047335127921308</v>
      </c>
      <c r="X34" s="702"/>
      <c r="Y34" s="487"/>
      <c r="Z34" s="562">
        <f>Stores!DB42</f>
        <v>13.929608116319445</v>
      </c>
      <c r="AA34" s="487"/>
      <c r="AB34" s="722">
        <f>AVERAGE(Z34,Z33)</f>
        <v>13.875674522569446</v>
      </c>
      <c r="AC34" s="487"/>
      <c r="AD34" s="716">
        <f>(AB34/AB27-1)*100</f>
        <v>15.762144379115984</v>
      </c>
      <c r="AE34" s="702"/>
      <c r="AF34" s="719">
        <f>+H34/AD34*100</f>
        <v>-100.4078327909029</v>
      </c>
      <c r="AG34" s="499"/>
      <c r="AH34" s="487"/>
      <c r="AI34" s="725">
        <f>+S34</f>
        <v>649.423</v>
      </c>
      <c r="AJ34" s="487"/>
      <c r="AK34" s="727">
        <f>AI34/AB34</f>
        <v>46.802985969704217</v>
      </c>
      <c r="AL34" s="487"/>
      <c r="AM34" s="717">
        <f>(AK34/AK27-1)*100</f>
        <v>-25.559799457980127</v>
      </c>
      <c r="AN34" s="702"/>
      <c r="AO34" s="702"/>
      <c r="AP34" s="487"/>
      <c r="AQ34" s="487"/>
      <c r="AR34" s="487"/>
      <c r="AS34" s="487"/>
      <c r="AT34" s="487"/>
      <c r="AU34" s="487"/>
      <c r="AV34" s="487"/>
      <c r="AW34" s="487"/>
      <c r="AX34" s="487"/>
      <c r="AY34" s="487"/>
      <c r="AZ34" s="487"/>
      <c r="BA34" s="487"/>
      <c r="BB34" s="487"/>
      <c r="BC34" s="487"/>
      <c r="BD34" s="487"/>
      <c r="BE34" s="487"/>
      <c r="BF34" s="487"/>
      <c r="BG34" s="487"/>
    </row>
    <row r="35" spans="1:59" hidden="1" outlineLevel="1">
      <c r="A35" s="487" t="str">
        <f>$A$42</f>
        <v>3Q</v>
      </c>
      <c r="B35" s="701" t="str">
        <f>$B$42</f>
        <v>Oct</v>
      </c>
      <c r="C35" s="487"/>
      <c r="D35" s="716">
        <f>(S35/S28-1)*100</f>
        <v>-10.268306169826346</v>
      </c>
      <c r="E35" s="487"/>
      <c r="F35" s="717">
        <f>'qtrP&amp;L'!T$12</f>
        <v>2</v>
      </c>
      <c r="G35" s="487"/>
      <c r="H35" s="716">
        <f>D35-F35</f>
        <v>-12.268306169826346</v>
      </c>
      <c r="I35" s="702"/>
      <c r="J35" s="718">
        <f>+Stores!CW43</f>
        <v>539</v>
      </c>
      <c r="K35" s="487"/>
      <c r="L35" s="724">
        <f>AVERAGE(J35,J34)</f>
        <v>527.5</v>
      </c>
      <c r="M35" s="487"/>
      <c r="N35" s="716">
        <f>(L35/L28-1)*100</f>
        <v>11.404435058078132</v>
      </c>
      <c r="O35" s="702"/>
      <c r="P35" s="719">
        <f>H35/N35*100</f>
        <v>-107.5748698409774</v>
      </c>
      <c r="Q35" s="499"/>
      <c r="R35" s="487"/>
      <c r="S35" s="725">
        <f>'qtrP&amp;L'!R$12</f>
        <v>752.95299999999997</v>
      </c>
      <c r="T35" s="487"/>
      <c r="U35" s="726">
        <f>S35/L35</f>
        <v>1.4273990521327014</v>
      </c>
      <c r="V35" s="487"/>
      <c r="W35" s="717">
        <f>(U35/U28-1)*100</f>
        <v>-19.454109898412842</v>
      </c>
      <c r="X35" s="702"/>
      <c r="Y35" s="487"/>
      <c r="Z35" s="562">
        <f>Stores!DB43</f>
        <v>14.605332031249999</v>
      </c>
      <c r="AA35" s="487"/>
      <c r="AB35" s="722">
        <f>AVERAGE(Z35,Z34)</f>
        <v>14.267470073784722</v>
      </c>
      <c r="AC35" s="487"/>
      <c r="AD35" s="716">
        <f>(AB35/AB28-1)*100</f>
        <v>14.96403012548666</v>
      </c>
      <c r="AE35" s="702"/>
      <c r="AF35" s="719">
        <f>+H35/AD35*100</f>
        <v>-81.985307881270757</v>
      </c>
      <c r="AG35" s="499"/>
      <c r="AH35" s="487"/>
      <c r="AI35" s="725">
        <f>+S35</f>
        <v>752.95299999999997</v>
      </c>
      <c r="AJ35" s="487"/>
      <c r="AK35" s="727">
        <f>AI35/AB35</f>
        <v>52.774107540164941</v>
      </c>
      <c r="AL35" s="487"/>
      <c r="AM35" s="717">
        <f>(AK35/AK28-1)*100</f>
        <v>-21.948026933094766</v>
      </c>
      <c r="AN35" s="702"/>
      <c r="AO35" s="702"/>
      <c r="AP35" s="487"/>
      <c r="AQ35" s="487"/>
      <c r="AR35" s="487"/>
      <c r="AS35" s="487"/>
      <c r="AT35" s="487"/>
      <c r="AU35" s="487"/>
      <c r="AV35" s="487"/>
      <c r="AW35" s="487"/>
      <c r="AX35" s="487"/>
      <c r="AY35" s="487"/>
      <c r="AZ35" s="487"/>
      <c r="BA35" s="487"/>
      <c r="BB35" s="487"/>
      <c r="BC35" s="487"/>
      <c r="BD35" s="487"/>
      <c r="BE35" s="487"/>
      <c r="BF35" s="487"/>
      <c r="BG35" s="487"/>
    </row>
    <row r="36" spans="1:59" hidden="1" outlineLevel="1">
      <c r="A36" s="487" t="str">
        <f>$A$43</f>
        <v>4Q</v>
      </c>
      <c r="B36" s="701" t="str">
        <f>$B$43</f>
        <v>Jan</v>
      </c>
      <c r="C36" s="487"/>
      <c r="D36" s="728">
        <f>(S36/S29-1)*100</f>
        <v>-16.200548335196206</v>
      </c>
      <c r="E36" s="487"/>
      <c r="F36" s="729">
        <f>'qtrP&amp;L'!T$13</f>
        <v>2</v>
      </c>
      <c r="G36" s="487"/>
      <c r="H36" s="728">
        <f>D36-F36</f>
        <v>-18.200548335196206</v>
      </c>
      <c r="I36" s="702"/>
      <c r="J36" s="727">
        <f>yrSales!E$20</f>
        <v>549</v>
      </c>
      <c r="K36" s="487"/>
      <c r="L36" s="730">
        <f>AVERAGE(J36,J35)</f>
        <v>544</v>
      </c>
      <c r="M36" s="487"/>
      <c r="N36" s="728">
        <f>(L36/L29-1)*100</f>
        <v>10.907237512742096</v>
      </c>
      <c r="O36" s="702"/>
      <c r="P36" s="730">
        <f>H36/N36*100</f>
        <v>-166.8667095030606</v>
      </c>
      <c r="Q36" s="499"/>
      <c r="R36" s="487"/>
      <c r="S36" s="731">
        <f>'qtrP&amp;L'!R$13</f>
        <v>835.95399999999995</v>
      </c>
      <c r="T36" s="487"/>
      <c r="U36" s="732">
        <f>S36/L36</f>
        <v>1.5366801470588234</v>
      </c>
      <c r="V36" s="487"/>
      <c r="W36" s="729">
        <f>(U36/U29-1)*100</f>
        <v>-24.441854702966438</v>
      </c>
      <c r="X36" s="702"/>
      <c r="Y36" s="487"/>
      <c r="Z36" s="562">
        <f>yrSales!E$31</f>
        <v>14.875</v>
      </c>
      <c r="AA36" s="487"/>
      <c r="AB36" s="733">
        <f>AVERAGE(Z36,Z35)</f>
        <v>14.740166015625</v>
      </c>
      <c r="AC36" s="487"/>
      <c r="AD36" s="728">
        <f>(AB36/AB29-1)*100</f>
        <v>14.388584513863091</v>
      </c>
      <c r="AE36" s="702"/>
      <c r="AF36" s="730">
        <f>+H36/AD36*100</f>
        <v>-126.49297307640212</v>
      </c>
      <c r="AG36" s="499"/>
      <c r="AH36" s="487"/>
      <c r="AI36" s="731">
        <f>+S36</f>
        <v>835.95399999999995</v>
      </c>
      <c r="AJ36" s="487"/>
      <c r="AK36" s="734">
        <f>AI36/AB36</f>
        <v>56.712658399767321</v>
      </c>
      <c r="AL36" s="487"/>
      <c r="AM36" s="729">
        <f>(AK36/AK29-1)*100</f>
        <v>-26.741420902320979</v>
      </c>
      <c r="AN36" s="702"/>
      <c r="AO36" s="702"/>
      <c r="AP36" s="487"/>
      <c r="AQ36" s="487"/>
      <c r="AR36" s="487"/>
      <c r="AS36" s="487"/>
      <c r="AT36" s="487"/>
      <c r="AU36" s="487"/>
      <c r="AV36" s="487"/>
      <c r="AW36" s="487"/>
      <c r="AX36" s="487"/>
      <c r="AY36" s="487"/>
      <c r="AZ36" s="487"/>
      <c r="BA36" s="487"/>
      <c r="BB36" s="487"/>
      <c r="BC36" s="487"/>
      <c r="BD36" s="487"/>
      <c r="BE36" s="487"/>
      <c r="BF36" s="487"/>
      <c r="BG36" s="487"/>
    </row>
    <row r="37" spans="1:59" hidden="1" outlineLevel="1">
      <c r="A37" s="487"/>
      <c r="B37" s="701" t="str">
        <f>$B$44</f>
        <v>Year</v>
      </c>
      <c r="C37" s="487"/>
      <c r="D37" s="716">
        <f>(S37/S30-1)*100</f>
        <v>-13.159718389324325</v>
      </c>
      <c r="E37" s="487"/>
      <c r="F37" s="717">
        <f>'qtrP&amp;L'!T$14</f>
        <v>2</v>
      </c>
      <c r="G37" s="487"/>
      <c r="H37" s="716">
        <f>D37-F37</f>
        <v>-15.159718389324325</v>
      </c>
      <c r="I37" s="702"/>
      <c r="J37" s="487"/>
      <c r="K37" s="487"/>
      <c r="L37" s="724">
        <f>AVERAGE(L33:L36)</f>
        <v>522.875</v>
      </c>
      <c r="M37" s="487"/>
      <c r="N37" s="716">
        <f>(L37/L30-1)*100</f>
        <v>11.725427350427342</v>
      </c>
      <c r="O37" s="702"/>
      <c r="P37" s="719">
        <f>H37/N37*100</f>
        <v>-129.28926116088911</v>
      </c>
      <c r="Q37" s="499"/>
      <c r="R37" s="487"/>
      <c r="S37" s="720">
        <f>SUM(S33:S36)</f>
        <v>2832.0699999999997</v>
      </c>
      <c r="T37" s="487"/>
      <c r="U37" s="721">
        <f>SUM(U33:U36)</f>
        <v>5.4009472802730212</v>
      </c>
      <c r="V37" s="487"/>
      <c r="W37" s="717">
        <f>(U37/U30-1)*100</f>
        <v>-22.200068136114638</v>
      </c>
      <c r="X37" s="702"/>
      <c r="Y37" s="487"/>
      <c r="Z37" s="735"/>
      <c r="AA37" s="487"/>
      <c r="AB37" s="722">
        <f>AVERAGE(AB33:AB36)</f>
        <v>14.093420269097223</v>
      </c>
      <c r="AC37" s="487"/>
      <c r="AD37" s="716">
        <f>(AB37/AB30-1)*100</f>
        <v>15.533273625754006</v>
      </c>
      <c r="AE37" s="702"/>
      <c r="AF37" s="719">
        <f>+H37/AD37*100</f>
        <v>-97.595128718969264</v>
      </c>
      <c r="AG37" s="499"/>
      <c r="AH37" s="487"/>
      <c r="AI37" s="720">
        <f>SUM(AI33:AI36)</f>
        <v>2832.0699999999997</v>
      </c>
      <c r="AJ37" s="487"/>
      <c r="AK37" s="723">
        <f>SUM(AK33:AK36)</f>
        <v>200.30188645897329</v>
      </c>
      <c r="AL37" s="487"/>
      <c r="AM37" s="717">
        <f>(AK37/AK30-1)*100</f>
        <v>-24.751035044707514</v>
      </c>
      <c r="AN37" s="702"/>
      <c r="AO37" s="702"/>
      <c r="AP37" s="487"/>
      <c r="AQ37" s="487"/>
      <c r="AR37" s="487"/>
      <c r="AS37" s="487"/>
      <c r="AT37" s="487"/>
      <c r="AU37" s="487"/>
      <c r="AV37" s="487"/>
      <c r="AW37" s="487"/>
      <c r="AX37" s="487"/>
      <c r="AY37" s="487"/>
      <c r="AZ37" s="487"/>
      <c r="BA37" s="487"/>
      <c r="BB37" s="487"/>
      <c r="BC37" s="487"/>
      <c r="BD37" s="487"/>
      <c r="BE37" s="487"/>
      <c r="BF37" s="487"/>
      <c r="BG37" s="487"/>
    </row>
    <row r="38" spans="1:59" hidden="1" outlineLevel="1">
      <c r="A38" s="487"/>
      <c r="B38" s="701"/>
      <c r="C38" s="487"/>
      <c r="D38" s="487"/>
      <c r="E38" s="487"/>
      <c r="F38" s="487"/>
      <c r="G38" s="487"/>
      <c r="H38" s="487"/>
      <c r="I38" s="702"/>
      <c r="J38" s="487"/>
      <c r="K38" s="487"/>
      <c r="L38" s="487"/>
      <c r="M38" s="487"/>
      <c r="N38" s="487"/>
      <c r="O38" s="702"/>
      <c r="P38" s="499"/>
      <c r="Q38" s="499"/>
      <c r="R38" s="487"/>
      <c r="S38" s="487"/>
      <c r="T38" s="487"/>
      <c r="U38" s="487"/>
      <c r="V38" s="487"/>
      <c r="W38" s="487"/>
      <c r="X38" s="702"/>
      <c r="Y38" s="487"/>
      <c r="Z38" s="735"/>
      <c r="AA38" s="487"/>
      <c r="AB38" s="487"/>
      <c r="AC38" s="487"/>
      <c r="AD38" s="487"/>
      <c r="AE38" s="702"/>
      <c r="AF38" s="499"/>
      <c r="AG38" s="499"/>
      <c r="AH38" s="487"/>
      <c r="AI38" s="487"/>
      <c r="AJ38" s="487"/>
      <c r="AK38" s="487"/>
      <c r="AL38" s="487"/>
      <c r="AM38" s="487"/>
      <c r="AN38" s="702"/>
      <c r="AO38" s="702"/>
      <c r="AP38" s="487"/>
      <c r="AQ38" s="487"/>
      <c r="AR38" s="487"/>
      <c r="AS38" s="487"/>
      <c r="AT38" s="487"/>
      <c r="AU38" s="487"/>
      <c r="AV38" s="487"/>
      <c r="AW38" s="487"/>
      <c r="AX38" s="487"/>
      <c r="AY38" s="487"/>
      <c r="AZ38" s="487"/>
      <c r="BA38" s="487"/>
      <c r="BB38" s="487"/>
      <c r="BC38" s="487"/>
      <c r="BD38" s="487"/>
      <c r="BE38" s="487"/>
      <c r="BF38" s="487"/>
      <c r="BG38" s="487"/>
    </row>
    <row r="39" spans="1:59" hidden="1" outlineLevel="1">
      <c r="A39" s="738"/>
      <c r="B39" s="736">
        <f>B32+1</f>
        <v>1994</v>
      </c>
      <c r="C39" s="487"/>
      <c r="D39" s="487"/>
      <c r="E39" s="487"/>
      <c r="F39" s="487"/>
      <c r="G39" s="487"/>
      <c r="H39" s="487"/>
      <c r="I39" s="487"/>
      <c r="J39" s="487"/>
      <c r="K39" s="487"/>
      <c r="L39" s="487"/>
      <c r="M39" s="487"/>
      <c r="N39" s="487"/>
      <c r="O39" s="487"/>
      <c r="P39" s="499"/>
      <c r="Q39" s="499"/>
      <c r="R39" s="487"/>
      <c r="S39" s="487"/>
      <c r="T39" s="487"/>
      <c r="U39" s="487"/>
      <c r="V39" s="487"/>
      <c r="W39" s="487"/>
      <c r="X39" s="702"/>
      <c r="Y39" s="487"/>
      <c r="Z39" s="487"/>
      <c r="AA39" s="487"/>
      <c r="AB39" s="487"/>
      <c r="AC39" s="487"/>
      <c r="AD39" s="487"/>
      <c r="AE39" s="487"/>
      <c r="AF39" s="499"/>
      <c r="AG39" s="499"/>
      <c r="AH39" s="487"/>
      <c r="AI39" s="487"/>
      <c r="AJ39" s="487"/>
      <c r="AK39" s="487"/>
      <c r="AL39" s="487"/>
      <c r="AM39" s="487"/>
      <c r="AN39" s="702"/>
      <c r="AO39" s="702"/>
      <c r="AP39" s="487"/>
      <c r="AQ39" s="487"/>
      <c r="AR39" s="487"/>
      <c r="AS39" s="487"/>
      <c r="AT39" s="487"/>
      <c r="AU39" s="487"/>
      <c r="AV39" s="487"/>
      <c r="AW39" s="487"/>
      <c r="AX39" s="487"/>
      <c r="AY39" s="487"/>
      <c r="AZ39" s="487"/>
      <c r="BA39" s="487"/>
      <c r="BB39" s="487"/>
      <c r="BC39" s="487"/>
      <c r="BD39" s="487"/>
      <c r="BE39" s="487"/>
      <c r="BF39" s="487"/>
      <c r="BG39" s="487"/>
    </row>
    <row r="40" spans="1:59" hidden="1" outlineLevel="1">
      <c r="A40" s="487" t="s">
        <v>527</v>
      </c>
      <c r="B40" s="701" t="s">
        <v>514</v>
      </c>
      <c r="C40" s="487"/>
      <c r="D40" s="716">
        <f>(S40/S33-1)*100</f>
        <v>10.052885101222753</v>
      </c>
      <c r="E40" s="487" t="s">
        <v>190</v>
      </c>
      <c r="F40" s="717">
        <f>'qtrP&amp;L'!X$10</f>
        <v>2</v>
      </c>
      <c r="G40" s="487" t="s">
        <v>190</v>
      </c>
      <c r="H40" s="716">
        <f>D40-F40</f>
        <v>8.0528851012227527</v>
      </c>
      <c r="I40" s="702" t="s">
        <v>190</v>
      </c>
      <c r="J40" s="718">
        <f>+Stores!CW49</f>
        <v>553</v>
      </c>
      <c r="K40" s="487"/>
      <c r="L40" s="487">
        <f>AVERAGE(J40,J36)</f>
        <v>551</v>
      </c>
      <c r="M40" s="487"/>
      <c r="N40" s="716">
        <f>(L40/L33-1)*100</f>
        <v>8.8932806324110594</v>
      </c>
      <c r="O40" s="702" t="s">
        <v>190</v>
      </c>
      <c r="P40" s="719">
        <f>H40/N40*100</f>
        <v>90.550219138193697</v>
      </c>
      <c r="Q40" s="499" t="s">
        <v>190</v>
      </c>
      <c r="R40" s="487"/>
      <c r="S40" s="720">
        <f>'qtrP&amp;L'!V$10</f>
        <v>653.428</v>
      </c>
      <c r="T40" s="487"/>
      <c r="U40" s="721">
        <f>S40/L40</f>
        <v>1.1858947368421053</v>
      </c>
      <c r="V40" s="487"/>
      <c r="W40" s="717">
        <f>(U40/U33-1)*100</f>
        <v>1.0648999296165362</v>
      </c>
      <c r="X40" s="702" t="s">
        <v>190</v>
      </c>
      <c r="Y40" s="487"/>
      <c r="Z40" s="562">
        <f>Stores!DB49</f>
        <v>15.375759863311588</v>
      </c>
      <c r="AA40" s="487"/>
      <c r="AB40" s="722">
        <f>AVERAGE(Z40,Z36)</f>
        <v>15.125379931655793</v>
      </c>
      <c r="AC40" s="487"/>
      <c r="AD40" s="716">
        <f>(AB40/AB33-1)*100</f>
        <v>12.119826298021618</v>
      </c>
      <c r="AE40" s="702" t="s">
        <v>190</v>
      </c>
      <c r="AF40" s="719">
        <f>+H40/AD40*100</f>
        <v>66.443898643475336</v>
      </c>
      <c r="AG40" s="499" t="s">
        <v>190</v>
      </c>
      <c r="AH40" s="487"/>
      <c r="AI40" s="720">
        <f>+S40</f>
        <v>653.428</v>
      </c>
      <c r="AJ40" s="487"/>
      <c r="AK40" s="723">
        <f>AI40/AB40</f>
        <v>43.20076606025912</v>
      </c>
      <c r="AL40" s="487"/>
      <c r="AM40" s="716">
        <f>(AK40/AK33-1)*100</f>
        <v>-1.8435108803190769</v>
      </c>
      <c r="AN40" s="702" t="s">
        <v>190</v>
      </c>
      <c r="AO40" s="702"/>
      <c r="AP40" s="487"/>
      <c r="AQ40" s="487"/>
      <c r="AR40" s="487"/>
      <c r="AS40" s="487"/>
      <c r="AT40" s="487"/>
      <c r="AU40" s="487"/>
      <c r="AV40" s="487"/>
      <c r="AW40" s="487"/>
      <c r="AX40" s="487"/>
      <c r="AY40" s="487"/>
      <c r="AZ40" s="487"/>
      <c r="BA40" s="487"/>
      <c r="BB40" s="487"/>
      <c r="BC40" s="487"/>
      <c r="BD40" s="487"/>
      <c r="BE40" s="487"/>
      <c r="BF40" s="487"/>
      <c r="BG40" s="487"/>
    </row>
    <row r="41" spans="1:59" hidden="1" outlineLevel="1">
      <c r="A41" s="487" t="s">
        <v>528</v>
      </c>
      <c r="B41" s="701" t="s">
        <v>515</v>
      </c>
      <c r="C41" s="487"/>
      <c r="D41" s="716">
        <f>(S41/S34-1)*100</f>
        <v>6.2249104204809669</v>
      </c>
      <c r="E41" s="487"/>
      <c r="F41" s="717">
        <f>'qtrP&amp;L'!X$11</f>
        <v>-1</v>
      </c>
      <c r="G41" s="487"/>
      <c r="H41" s="716">
        <f>D41-F41</f>
        <v>7.2249104204809669</v>
      </c>
      <c r="I41" s="702"/>
      <c r="J41" s="718">
        <f>+Stores!CW50</f>
        <v>561</v>
      </c>
      <c r="K41" s="487"/>
      <c r="L41" s="724">
        <f>AVERAGE(J41,J40)</f>
        <v>557</v>
      </c>
      <c r="M41" s="487"/>
      <c r="N41" s="716">
        <f>(L41/L34-1)*100</f>
        <v>8.3657587548638048</v>
      </c>
      <c r="O41" s="702"/>
      <c r="P41" s="719">
        <f>H41/N41*100</f>
        <v>86.362882700633037</v>
      </c>
      <c r="Q41" s="499"/>
      <c r="R41" s="487"/>
      <c r="S41" s="725">
        <f>'qtrP&amp;L'!V$11</f>
        <v>689.84900000000005</v>
      </c>
      <c r="T41" s="487"/>
      <c r="U41" s="726">
        <f>S41/L41</f>
        <v>1.2385080789946141</v>
      </c>
      <c r="V41" s="487"/>
      <c r="W41" s="717">
        <f>(U41/U34-1)*100</f>
        <v>-1.975576380382027</v>
      </c>
      <c r="X41" s="702"/>
      <c r="Y41" s="487"/>
      <c r="Z41" s="562">
        <f>Stores!DB50</f>
        <v>15.592947531923938</v>
      </c>
      <c r="AA41" s="487"/>
      <c r="AB41" s="722">
        <f>AVERAGE(Z41,Z40)</f>
        <v>15.484353697617763</v>
      </c>
      <c r="AC41" s="487"/>
      <c r="AD41" s="716">
        <f>(AB41/AB34-1)*100</f>
        <v>11.593520534311509</v>
      </c>
      <c r="AE41" s="702"/>
      <c r="AF41" s="719">
        <f>+H41/AD41*100</f>
        <v>62.318520065570617</v>
      </c>
      <c r="AG41" s="499"/>
      <c r="AH41" s="487"/>
      <c r="AI41" s="725">
        <f>+S41</f>
        <v>689.84900000000005</v>
      </c>
      <c r="AJ41" s="487"/>
      <c r="AK41" s="727">
        <f>AI41/AB41</f>
        <v>44.551358969934398</v>
      </c>
      <c r="AL41" s="487"/>
      <c r="AM41" s="717">
        <f>(AK41/AK34-1)*100</f>
        <v>-4.8108618566074064</v>
      </c>
      <c r="AN41" s="702"/>
      <c r="AO41" s="702"/>
      <c r="AP41" s="487"/>
      <c r="AQ41" s="487"/>
      <c r="AR41" s="487"/>
      <c r="AS41" s="487"/>
      <c r="AT41" s="487"/>
      <c r="AU41" s="487"/>
      <c r="AV41" s="487"/>
      <c r="AW41" s="487"/>
      <c r="AX41" s="487"/>
      <c r="AY41" s="487"/>
      <c r="AZ41" s="487"/>
      <c r="BA41" s="487"/>
      <c r="BB41" s="487"/>
      <c r="BC41" s="487"/>
      <c r="BD41" s="487"/>
      <c r="BE41" s="487"/>
      <c r="BF41" s="487"/>
      <c r="BG41" s="487"/>
    </row>
    <row r="42" spans="1:59" hidden="1" outlineLevel="1">
      <c r="A42" s="487" t="s">
        <v>529</v>
      </c>
      <c r="B42" s="701" t="s">
        <v>516</v>
      </c>
      <c r="C42" s="487"/>
      <c r="D42" s="716">
        <f>(S42/S35-1)*100</f>
        <v>6.7334880131960428</v>
      </c>
      <c r="E42" s="487"/>
      <c r="F42" s="739">
        <f>'qtrP&amp;L'!X$12</f>
        <v>-1</v>
      </c>
      <c r="G42" s="487"/>
      <c r="H42" s="716">
        <f>D42-F42</f>
        <v>7.7334880131960428</v>
      </c>
      <c r="I42" s="702"/>
      <c r="J42" s="718">
        <f>+Stores!CW51</f>
        <v>589</v>
      </c>
      <c r="K42" s="487"/>
      <c r="L42" s="724">
        <f>AVERAGE(J42,J41)</f>
        <v>575</v>
      </c>
      <c r="M42" s="487"/>
      <c r="N42" s="716">
        <f>(L42/L35-1)*100</f>
        <v>9.004739336492884</v>
      </c>
      <c r="O42" s="702"/>
      <c r="P42" s="719">
        <f>H42/N42*100</f>
        <v>85.882419514966642</v>
      </c>
      <c r="Q42" s="499"/>
      <c r="R42" s="487"/>
      <c r="S42" s="725">
        <f>'qtrP&amp;L'!V$12</f>
        <v>803.65300000000002</v>
      </c>
      <c r="T42" s="487"/>
      <c r="U42" s="726">
        <f>S42/L42</f>
        <v>1.397657391304348</v>
      </c>
      <c r="V42" s="487"/>
      <c r="W42" s="717">
        <f>(U42/U35-1)*100</f>
        <v>-2.0836262139810047</v>
      </c>
      <c r="X42" s="702"/>
      <c r="Y42" s="487"/>
      <c r="Z42" s="562">
        <f>Stores!DB51</f>
        <v>16.372758591259135</v>
      </c>
      <c r="AA42" s="487"/>
      <c r="AB42" s="722">
        <f>AVERAGE(Z42,Z41)</f>
        <v>15.982853061591538</v>
      </c>
      <c r="AC42" s="487"/>
      <c r="AD42" s="716">
        <f>(AB42/AB35-1)*100</f>
        <v>12.023035471149779</v>
      </c>
      <c r="AE42" s="702"/>
      <c r="AF42" s="719">
        <f>+H42/AD42*100</f>
        <v>64.322258981545517</v>
      </c>
      <c r="AG42" s="499"/>
      <c r="AH42" s="487"/>
      <c r="AI42" s="725">
        <f>+S42</f>
        <v>803.65300000000002</v>
      </c>
      <c r="AJ42" s="487"/>
      <c r="AK42" s="727">
        <f>AI42/AB42</f>
        <v>50.28219911069958</v>
      </c>
      <c r="AL42" s="487"/>
      <c r="AM42" s="717">
        <f>(AK42/AK35-1)*100</f>
        <v>-4.7218390714970138</v>
      </c>
      <c r="AN42" s="702"/>
      <c r="AO42" s="702"/>
      <c r="AP42" s="487"/>
      <c r="AQ42" s="487"/>
      <c r="AR42" s="487"/>
      <c r="AS42" s="487"/>
      <c r="AT42" s="487"/>
      <c r="AU42" s="487"/>
      <c r="AV42" s="487"/>
      <c r="AW42" s="487"/>
      <c r="AX42" s="487"/>
      <c r="AY42" s="487"/>
      <c r="AZ42" s="487"/>
      <c r="BA42" s="487"/>
      <c r="BB42" s="487"/>
      <c r="BC42" s="487"/>
      <c r="BD42" s="487"/>
      <c r="BE42" s="487"/>
      <c r="BF42" s="487"/>
      <c r="BG42" s="487"/>
    </row>
    <row r="43" spans="1:59" hidden="1" outlineLevel="1">
      <c r="A43" s="487" t="s">
        <v>530</v>
      </c>
      <c r="B43" s="701" t="s">
        <v>517</v>
      </c>
      <c r="C43" s="487"/>
      <c r="D43" s="728">
        <f>(S43/S36-1)*100</f>
        <v>8.6953349107726119</v>
      </c>
      <c r="E43" s="487"/>
      <c r="F43" s="729">
        <f>'qtrP&amp;L'!X$13</f>
        <v>-1</v>
      </c>
      <c r="G43" s="487"/>
      <c r="H43" s="728">
        <f>D43-F43</f>
        <v>9.6953349107726119</v>
      </c>
      <c r="I43" s="702"/>
      <c r="J43" s="727">
        <f>yrSales!F$20</f>
        <v>608</v>
      </c>
      <c r="K43" s="487"/>
      <c r="L43" s="730">
        <f>AVERAGE(J43,J42)</f>
        <v>598.5</v>
      </c>
      <c r="M43" s="487"/>
      <c r="N43" s="728">
        <f>(L43/L36-1)*100</f>
        <v>10.018382352941169</v>
      </c>
      <c r="O43" s="702"/>
      <c r="P43" s="730">
        <f>H43/N43*100</f>
        <v>96.775453054317524</v>
      </c>
      <c r="Q43" s="499"/>
      <c r="R43" s="487"/>
      <c r="S43" s="731">
        <f>'qtrP&amp;L'!V$13</f>
        <v>908.64300000000003</v>
      </c>
      <c r="T43" s="487"/>
      <c r="U43" s="732">
        <f>S43/L43</f>
        <v>1.5182005012531328</v>
      </c>
      <c r="V43" s="487"/>
      <c r="W43" s="729">
        <f>(U43/U36-1)*100</f>
        <v>-1.2025694378274054</v>
      </c>
      <c r="X43" s="702"/>
      <c r="Y43" s="487"/>
      <c r="Z43" s="562">
        <f>yrSales!F$31</f>
        <v>16.93</v>
      </c>
      <c r="AA43" s="487"/>
      <c r="AB43" s="733">
        <f>AVERAGE(Z43,Z42)</f>
        <v>16.651379295629567</v>
      </c>
      <c r="AC43" s="487"/>
      <c r="AD43" s="728">
        <f>(AB43/AB36-1)*100</f>
        <v>12.966022756993546</v>
      </c>
      <c r="AE43" s="702"/>
      <c r="AF43" s="730">
        <f>+H43/AD43*100</f>
        <v>74.774933628303202</v>
      </c>
      <c r="AG43" s="499"/>
      <c r="AH43" s="487"/>
      <c r="AI43" s="731">
        <f>+S43</f>
        <v>908.64300000000003</v>
      </c>
      <c r="AJ43" s="487"/>
      <c r="AK43" s="734">
        <f>AI43/AB43</f>
        <v>54.568632656064025</v>
      </c>
      <c r="AL43" s="487"/>
      <c r="AM43" s="729">
        <f>(AK43/AK36-1)*100</f>
        <v>-3.7805065115975811</v>
      </c>
      <c r="AN43" s="702"/>
      <c r="AO43" s="702"/>
      <c r="AP43" s="487"/>
      <c r="AQ43" s="487"/>
      <c r="AR43" s="487"/>
      <c r="AS43" s="487"/>
      <c r="AT43" s="487"/>
      <c r="AU43" s="487"/>
      <c r="AV43" s="487"/>
      <c r="AW43" s="487"/>
      <c r="AX43" s="487"/>
      <c r="AY43" s="487"/>
      <c r="AZ43" s="487"/>
      <c r="BA43" s="487"/>
      <c r="BB43" s="487"/>
      <c r="BC43" s="487"/>
      <c r="BD43" s="487"/>
      <c r="BE43" s="487"/>
      <c r="BF43" s="487"/>
      <c r="BG43" s="487"/>
    </row>
    <row r="44" spans="1:59" hidden="1" outlineLevel="1">
      <c r="A44" s="487"/>
      <c r="B44" s="701" t="s">
        <v>531</v>
      </c>
      <c r="C44" s="487"/>
      <c r="D44" s="716">
        <f>(S44/S37-1)*100</f>
        <v>7.891860017584329</v>
      </c>
      <c r="E44" s="487"/>
      <c r="F44" s="717">
        <f>'qtrP&amp;L'!X$14</f>
        <v>0</v>
      </c>
      <c r="G44" s="487"/>
      <c r="H44" s="716">
        <f>D44-F44</f>
        <v>7.891860017584329</v>
      </c>
      <c r="I44" s="702"/>
      <c r="J44" s="487"/>
      <c r="K44" s="487"/>
      <c r="L44" s="724">
        <f>AVERAGE(L40:L43)</f>
        <v>570.375</v>
      </c>
      <c r="M44" s="487"/>
      <c r="N44" s="716">
        <f>(L44/L37-1)*100</f>
        <v>9.0843891943581223</v>
      </c>
      <c r="O44" s="702"/>
      <c r="P44" s="719">
        <f>H44/N44*100</f>
        <v>86.872764351461115</v>
      </c>
      <c r="Q44" s="499"/>
      <c r="R44" s="487"/>
      <c r="S44" s="720">
        <f>SUM(S40:S43)</f>
        <v>3055.5730000000003</v>
      </c>
      <c r="T44" s="487"/>
      <c r="U44" s="721">
        <f>SUM(U40:U43)</f>
        <v>5.3402607083942</v>
      </c>
      <c r="V44" s="487"/>
      <c r="W44" s="717">
        <f>(U44/U37-1)*100</f>
        <v>-1.1236282957339583</v>
      </c>
      <c r="X44" s="702"/>
      <c r="Y44" s="487"/>
      <c r="Z44" s="735"/>
      <c r="AA44" s="487"/>
      <c r="AB44" s="722">
        <f>AVERAGE(AB40:AB43)</f>
        <v>15.810991496623664</v>
      </c>
      <c r="AC44" s="487"/>
      <c r="AD44" s="716">
        <f>(AB44/AB37-1)*100</f>
        <v>12.187043277866172</v>
      </c>
      <c r="AE44" s="702"/>
      <c r="AF44" s="719">
        <f>+H44/AD44*100</f>
        <v>64.756149934392568</v>
      </c>
      <c r="AG44" s="499"/>
      <c r="AH44" s="487"/>
      <c r="AI44" s="720">
        <f>SUM(AI40:AI43)</f>
        <v>3055.5730000000003</v>
      </c>
      <c r="AJ44" s="487"/>
      <c r="AK44" s="723">
        <f>SUM(AK40:AK43)</f>
        <v>192.60295679695713</v>
      </c>
      <c r="AL44" s="487"/>
      <c r="AM44" s="717">
        <f>(AK44/AK37-1)*100</f>
        <v>-3.8436630818217909</v>
      </c>
      <c r="AN44" s="702"/>
      <c r="AO44" s="702"/>
      <c r="AP44" s="487"/>
      <c r="AQ44" s="487"/>
      <c r="AR44" s="487"/>
      <c r="AS44" s="487"/>
      <c r="AT44" s="487"/>
      <c r="AU44" s="487"/>
      <c r="AV44" s="487"/>
      <c r="AW44" s="487"/>
      <c r="AX44" s="487"/>
      <c r="AY44" s="487"/>
      <c r="AZ44" s="487"/>
      <c r="BA44" s="487"/>
      <c r="BB44" s="487"/>
      <c r="BC44" s="487"/>
      <c r="BD44" s="487"/>
      <c r="BE44" s="487"/>
      <c r="BF44" s="487"/>
      <c r="BG44" s="487"/>
    </row>
    <row r="45" spans="1:59" hidden="1" outlineLevel="1">
      <c r="A45" s="487"/>
      <c r="B45" s="701"/>
      <c r="C45" s="487"/>
      <c r="D45" s="487"/>
      <c r="E45" s="487"/>
      <c r="F45" s="487"/>
      <c r="G45" s="487"/>
      <c r="H45" s="487"/>
      <c r="I45" s="487"/>
      <c r="J45" s="487"/>
      <c r="K45" s="487"/>
      <c r="L45" s="487"/>
      <c r="M45" s="487"/>
      <c r="N45" s="487"/>
      <c r="O45" s="487"/>
      <c r="P45" s="499"/>
      <c r="Q45" s="499"/>
      <c r="R45" s="487"/>
      <c r="S45" s="487"/>
      <c r="T45" s="487"/>
      <c r="U45" s="487"/>
      <c r="V45" s="487"/>
      <c r="W45" s="487"/>
      <c r="X45" s="702"/>
      <c r="Y45" s="487"/>
      <c r="Z45" s="487"/>
      <c r="AA45" s="487"/>
      <c r="AB45" s="487"/>
      <c r="AC45" s="487"/>
      <c r="AD45" s="487"/>
      <c r="AE45" s="487"/>
      <c r="AF45" s="499"/>
      <c r="AG45" s="499"/>
      <c r="AH45" s="487"/>
      <c r="AI45" s="487"/>
      <c r="AJ45" s="487"/>
      <c r="AK45" s="487"/>
      <c r="AL45" s="487"/>
      <c r="AM45" s="487"/>
      <c r="AN45" s="702"/>
      <c r="AO45" s="702"/>
      <c r="AP45" s="487"/>
      <c r="AQ45" s="487"/>
      <c r="AR45" s="487"/>
      <c r="AS45" s="487"/>
      <c r="AT45" s="487"/>
      <c r="AU45" s="487"/>
      <c r="AV45" s="487"/>
      <c r="AW45" s="487"/>
      <c r="AX45" s="487"/>
      <c r="AY45" s="487"/>
      <c r="AZ45" s="487"/>
      <c r="BA45" s="487"/>
      <c r="BB45" s="487"/>
      <c r="BC45" s="487"/>
      <c r="BD45" s="487"/>
      <c r="BE45" s="487"/>
      <c r="BF45" s="487"/>
      <c r="BG45" s="487"/>
    </row>
    <row r="46" spans="1:59" hidden="1" outlineLevel="1" collapsed="1">
      <c r="A46" s="715"/>
      <c r="B46" s="736">
        <f>B39+1</f>
        <v>1995</v>
      </c>
      <c r="C46" s="487"/>
      <c r="D46" s="487"/>
      <c r="E46" s="487"/>
      <c r="F46" s="487"/>
      <c r="G46" s="487"/>
      <c r="H46" s="487"/>
      <c r="I46" s="487"/>
      <c r="J46" s="487"/>
      <c r="K46" s="487"/>
      <c r="L46" s="487"/>
      <c r="M46" s="487"/>
      <c r="N46" s="487"/>
      <c r="O46" s="487"/>
      <c r="P46" s="499"/>
      <c r="Q46" s="499"/>
      <c r="R46" s="487"/>
      <c r="S46" s="487"/>
      <c r="T46" s="487"/>
      <c r="U46" s="487"/>
      <c r="V46" s="487"/>
      <c r="W46" s="487"/>
      <c r="X46" s="702"/>
      <c r="Y46" s="487"/>
      <c r="Z46" s="487"/>
      <c r="AA46" s="487"/>
      <c r="AB46" s="487"/>
      <c r="AC46" s="487"/>
      <c r="AD46" s="487"/>
      <c r="AE46" s="487"/>
      <c r="AF46" s="499"/>
      <c r="AG46" s="499"/>
      <c r="AH46" s="487"/>
      <c r="AI46" s="487"/>
      <c r="AJ46" s="487"/>
      <c r="AK46" s="487"/>
      <c r="AL46" s="487"/>
      <c r="AM46" s="487"/>
      <c r="AN46" s="702"/>
      <c r="AO46" s="702"/>
      <c r="AP46" s="487"/>
      <c r="AQ46" s="487"/>
      <c r="AR46" s="487"/>
      <c r="AS46" s="487"/>
      <c r="AT46" s="487"/>
      <c r="AU46" s="487"/>
      <c r="AV46" s="487"/>
      <c r="AW46" s="487"/>
      <c r="AX46" s="487"/>
      <c r="AY46" s="487"/>
      <c r="AZ46" s="487"/>
      <c r="BA46" s="487"/>
      <c r="BB46" s="487"/>
      <c r="BC46" s="487"/>
      <c r="BD46" s="487"/>
      <c r="BE46" s="487"/>
      <c r="BF46" s="487"/>
      <c r="BG46" s="487"/>
    </row>
    <row r="47" spans="1:59" hidden="1" outlineLevel="1">
      <c r="A47" s="487" t="str">
        <f>$A$40</f>
        <v>1Q</v>
      </c>
      <c r="B47" s="701" t="str">
        <f>$B$40</f>
        <v>Apr</v>
      </c>
      <c r="C47" s="487"/>
      <c r="D47" s="716">
        <f>(S47/S40-1)*100</f>
        <v>9.2421812349638977</v>
      </c>
      <c r="E47" s="487" t="s">
        <v>190</v>
      </c>
      <c r="F47" s="717">
        <f>'qtrP&amp;L'!AB$10</f>
        <v>-1</v>
      </c>
      <c r="G47" s="487" t="s">
        <v>190</v>
      </c>
      <c r="H47" s="716">
        <f>D47-F47</f>
        <v>10.242181234963898</v>
      </c>
      <c r="I47" s="702" t="s">
        <v>190</v>
      </c>
      <c r="J47" s="718">
        <f>+Stores!CW57</f>
        <v>622</v>
      </c>
      <c r="K47" s="487"/>
      <c r="L47" s="487">
        <f>AVERAGE(J47,J43)</f>
        <v>615</v>
      </c>
      <c r="M47" s="487"/>
      <c r="N47" s="716">
        <f>(L47/L40-1)*100</f>
        <v>11.615245009074403</v>
      </c>
      <c r="O47" s="702" t="s">
        <v>190</v>
      </c>
      <c r="P47" s="719">
        <f>H47/N47*100</f>
        <v>88.178779069767359</v>
      </c>
      <c r="Q47" s="499" t="s">
        <v>190</v>
      </c>
      <c r="R47" s="487"/>
      <c r="S47" s="720">
        <f>'qtrP&amp;L'!Z$10</f>
        <v>713.81899999999996</v>
      </c>
      <c r="T47" s="487"/>
      <c r="U47" s="721">
        <f>S47/L47</f>
        <v>1.1606813008130081</v>
      </c>
      <c r="V47" s="487"/>
      <c r="W47" s="717">
        <f>(U47/U40-1)*100</f>
        <v>-2.126110795991687</v>
      </c>
      <c r="X47" s="702" t="s">
        <v>190</v>
      </c>
      <c r="Y47" s="487"/>
      <c r="Z47" s="562">
        <f>Stores!DB57</f>
        <v>17.56204616436942</v>
      </c>
      <c r="AA47" s="487"/>
      <c r="AB47" s="722">
        <f>AVERAGE(Z47,Z43)</f>
        <v>17.24602308218471</v>
      </c>
      <c r="AC47" s="487"/>
      <c r="AD47" s="716">
        <f>(AB47/AB40-1)*100</f>
        <v>14.020428975080733</v>
      </c>
      <c r="AE47" s="702" t="s">
        <v>190</v>
      </c>
      <c r="AF47" s="719">
        <f>+H47/AD47*100</f>
        <v>73.051839235217983</v>
      </c>
      <c r="AG47" s="499" t="s">
        <v>190</v>
      </c>
      <c r="AH47" s="487"/>
      <c r="AI47" s="720">
        <f>+S47</f>
        <v>713.81899999999996</v>
      </c>
      <c r="AJ47" s="487"/>
      <c r="AK47" s="723">
        <f>AI47/AB47</f>
        <v>41.390353973107061</v>
      </c>
      <c r="AL47" s="487"/>
      <c r="AM47" s="716">
        <f>(AK47/AK40-1)*100</f>
        <v>-4.1906944071935737</v>
      </c>
      <c r="AN47" s="702" t="s">
        <v>190</v>
      </c>
      <c r="AO47" s="702"/>
      <c r="AP47" s="487"/>
      <c r="AQ47" s="487"/>
      <c r="AR47" s="487"/>
      <c r="AS47" s="487"/>
      <c r="AT47" s="487"/>
      <c r="AU47" s="487"/>
      <c r="AV47" s="487"/>
      <c r="AW47" s="487"/>
      <c r="AX47" s="487"/>
      <c r="AY47" s="487"/>
      <c r="AZ47" s="487"/>
      <c r="BA47" s="487"/>
      <c r="BB47" s="487"/>
      <c r="BC47" s="487"/>
      <c r="BD47" s="487"/>
      <c r="BE47" s="487"/>
      <c r="BF47" s="487"/>
      <c r="BG47" s="487"/>
    </row>
    <row r="48" spans="1:59" hidden="1" outlineLevel="1">
      <c r="A48" s="487" t="str">
        <f>$A$41</f>
        <v>2Q</v>
      </c>
      <c r="B48" s="701" t="str">
        <f>$B$41</f>
        <v>Jul</v>
      </c>
      <c r="C48" s="487"/>
      <c r="D48" s="716">
        <f>(S48/S41-1)*100</f>
        <v>10.363717277259221</v>
      </c>
      <c r="E48" s="487"/>
      <c r="F48" s="717">
        <f>'qtrP&amp;L'!AB$11</f>
        <v>-2</v>
      </c>
      <c r="G48" s="487"/>
      <c r="H48" s="716">
        <f>D48-F48</f>
        <v>12.363717277259221</v>
      </c>
      <c r="I48" s="702"/>
      <c r="J48" s="718">
        <f>+Stores!CW58</f>
        <v>637</v>
      </c>
      <c r="K48" s="487"/>
      <c r="L48" s="724">
        <f>AVERAGE(J48,J47)</f>
        <v>629.5</v>
      </c>
      <c r="M48" s="487"/>
      <c r="N48" s="716">
        <f>(L48/L41-1)*100</f>
        <v>13.016157989228017</v>
      </c>
      <c r="O48" s="702"/>
      <c r="P48" s="719">
        <f>H48/N48*100</f>
        <v>94.987455495632844</v>
      </c>
      <c r="Q48" s="499"/>
      <c r="R48" s="487"/>
      <c r="S48" s="725">
        <f>'qtrP&amp;L'!Z$11</f>
        <v>761.34299999999996</v>
      </c>
      <c r="T48" s="487"/>
      <c r="U48" s="726">
        <f>S48/L48</f>
        <v>1.2094408260524225</v>
      </c>
      <c r="V48" s="487"/>
      <c r="W48" s="717">
        <f>(U48/U41-1)*100</f>
        <v>-2.3469570715911381</v>
      </c>
      <c r="X48" s="702"/>
      <c r="Y48" s="487"/>
      <c r="Z48" s="562">
        <f>Stores!DB58</f>
        <v>18.000273453311781</v>
      </c>
      <c r="AA48" s="487"/>
      <c r="AB48" s="722">
        <f>AVERAGE(Z48,Z47)</f>
        <v>17.781159808840599</v>
      </c>
      <c r="AC48" s="487"/>
      <c r="AD48" s="716">
        <f>(AB48/AB41-1)*100</f>
        <v>14.833077027788356</v>
      </c>
      <c r="AE48" s="702"/>
      <c r="AF48" s="719">
        <f>+H48/AD48*100</f>
        <v>83.352343240023458</v>
      </c>
      <c r="AG48" s="499"/>
      <c r="AH48" s="487"/>
      <c r="AI48" s="725">
        <f>+S48</f>
        <v>761.34299999999996</v>
      </c>
      <c r="AJ48" s="487"/>
      <c r="AK48" s="727">
        <f>AI48/AB48</f>
        <v>42.817398200395708</v>
      </c>
      <c r="AL48" s="487"/>
      <c r="AM48" s="717">
        <f>(AK48/AK41-1)*100</f>
        <v>-3.8920491083310305</v>
      </c>
      <c r="AN48" s="702"/>
      <c r="AO48" s="702"/>
      <c r="AP48" s="487"/>
      <c r="AQ48" s="487"/>
      <c r="AR48" s="487"/>
      <c r="AS48" s="487"/>
      <c r="AT48" s="487"/>
      <c r="AU48" s="487"/>
      <c r="AV48" s="487"/>
      <c r="AW48" s="487"/>
      <c r="AX48" s="487"/>
      <c r="AY48" s="487"/>
      <c r="AZ48" s="487"/>
      <c r="BA48" s="487"/>
      <c r="BB48" s="487"/>
      <c r="BC48" s="487"/>
      <c r="BD48" s="487"/>
      <c r="BE48" s="487"/>
      <c r="BF48" s="487"/>
      <c r="BG48" s="487"/>
    </row>
    <row r="49" spans="1:59" hidden="1" outlineLevel="1">
      <c r="A49" s="487" t="str">
        <f>$A$42</f>
        <v>3Q</v>
      </c>
      <c r="B49" s="701" t="str">
        <f>$B$42</f>
        <v>Oct</v>
      </c>
      <c r="C49" s="487"/>
      <c r="D49" s="716">
        <f>(S49/S42-1)*100</f>
        <v>7.162419601494685</v>
      </c>
      <c r="E49" s="487"/>
      <c r="F49" s="717">
        <f>'qtrP&amp;L'!AB$12</f>
        <v>-4</v>
      </c>
      <c r="G49" s="487"/>
      <c r="H49" s="716">
        <f>D49-F49</f>
        <v>11.162419601494685</v>
      </c>
      <c r="I49" s="702"/>
      <c r="J49" s="718">
        <f>+Stores!CW59</f>
        <v>662</v>
      </c>
      <c r="K49" s="487"/>
      <c r="L49" s="724">
        <f>AVERAGE(J49,J48)</f>
        <v>649.5</v>
      </c>
      <c r="M49" s="487"/>
      <c r="N49" s="716">
        <f>(L49/L42-1)*100</f>
        <v>12.956521739130444</v>
      </c>
      <c r="O49" s="702"/>
      <c r="P49" s="719">
        <f>H49/N49*100</f>
        <v>86.152902964556233</v>
      </c>
      <c r="Q49" s="499"/>
      <c r="R49" s="487"/>
      <c r="S49" s="725">
        <f>'qtrP&amp;L'!Z$12</f>
        <v>861.21400000000006</v>
      </c>
      <c r="T49" s="487"/>
      <c r="U49" s="726">
        <f>S49/L49</f>
        <v>1.3259645881447268</v>
      </c>
      <c r="V49" s="487"/>
      <c r="W49" s="717">
        <f>(U49/U42-1)*100</f>
        <v>-5.129497658415028</v>
      </c>
      <c r="X49" s="702"/>
      <c r="Y49" s="487"/>
      <c r="Z49" s="562">
        <f>Stores!DB59</f>
        <v>18.697278346629709</v>
      </c>
      <c r="AA49" s="487"/>
      <c r="AB49" s="722">
        <f>AVERAGE(Z49,Z48)</f>
        <v>18.348775899970747</v>
      </c>
      <c r="AC49" s="487"/>
      <c r="AD49" s="716">
        <f>(AB49/AB42-1)*100</f>
        <v>14.802881746218199</v>
      </c>
      <c r="AE49" s="702"/>
      <c r="AF49" s="719">
        <f>+H49/AD49*100</f>
        <v>75.407071358564565</v>
      </c>
      <c r="AG49" s="499"/>
      <c r="AH49" s="487"/>
      <c r="AI49" s="725">
        <f>+S49</f>
        <v>861.21400000000006</v>
      </c>
      <c r="AJ49" s="487"/>
      <c r="AK49" s="727">
        <f>AI49/AB49</f>
        <v>46.935774064436259</v>
      </c>
      <c r="AL49" s="487"/>
      <c r="AM49" s="717">
        <f>(AK49/AK42-1)*100</f>
        <v>-6.6552877667421573</v>
      </c>
      <c r="AN49" s="702"/>
      <c r="AO49" s="702"/>
      <c r="AP49" s="487"/>
      <c r="AQ49" s="487"/>
      <c r="AR49" s="487"/>
      <c r="AS49" s="487"/>
      <c r="AT49" s="487"/>
      <c r="AU49" s="487"/>
      <c r="AV49" s="487"/>
      <c r="AW49" s="487"/>
      <c r="AX49" s="487"/>
      <c r="AY49" s="487"/>
      <c r="AZ49" s="487"/>
      <c r="BA49" s="487"/>
      <c r="BB49" s="487"/>
      <c r="BC49" s="487"/>
      <c r="BD49" s="487"/>
      <c r="BE49" s="487"/>
      <c r="BF49" s="487"/>
      <c r="BG49" s="487"/>
    </row>
    <row r="50" spans="1:59" hidden="1" outlineLevel="1">
      <c r="A50" s="487" t="str">
        <f>$A$43</f>
        <v>4Q</v>
      </c>
      <c r="B50" s="701" t="str">
        <f>$B$43</f>
        <v>Jan</v>
      </c>
      <c r="C50" s="487"/>
      <c r="D50" s="728">
        <f>(S50/S43-1)*100</f>
        <v>80.350148518174905</v>
      </c>
      <c r="E50" s="487"/>
      <c r="F50" s="729">
        <f>'qtrP&amp;L'!AB$13</f>
        <v>-2</v>
      </c>
      <c r="G50" s="487"/>
      <c r="H50" s="728">
        <f>D50-F50</f>
        <v>82.350148518174905</v>
      </c>
      <c r="I50" s="702"/>
      <c r="J50" s="727">
        <f>yrSales!G$20</f>
        <v>1166</v>
      </c>
      <c r="K50" s="487"/>
      <c r="L50" s="730">
        <f>AVERAGE(J50,J49)</f>
        <v>914</v>
      </c>
      <c r="M50" s="487"/>
      <c r="N50" s="728">
        <f>(L50/L43-1)*100</f>
        <v>52.715121136173757</v>
      </c>
      <c r="O50" s="702"/>
      <c r="P50" s="730">
        <f>H50/N50*100</f>
        <v>156.21731818740946</v>
      </c>
      <c r="Q50" s="499"/>
      <c r="R50" s="487"/>
      <c r="S50" s="731">
        <f>'qtrP&amp;L'!Z$13</f>
        <v>1638.739</v>
      </c>
      <c r="T50" s="487"/>
      <c r="U50" s="732">
        <f>S50/L50</f>
        <v>1.7929310722100658</v>
      </c>
      <c r="V50" s="487"/>
      <c r="W50" s="729">
        <f>(U50/U43-1)*100</f>
        <v>18.095802941058746</v>
      </c>
      <c r="X50" s="702"/>
      <c r="Y50" s="487"/>
      <c r="Z50" s="562">
        <f>yrSales!G$31</f>
        <v>34.816000000000003</v>
      </c>
      <c r="AA50" s="487"/>
      <c r="AB50" s="733">
        <f>AVERAGE(Z50,Z49)</f>
        <v>26.756639173314856</v>
      </c>
      <c r="AC50" s="487"/>
      <c r="AD50" s="728">
        <f>(AB50/AB43-1)*100</f>
        <v>60.687224152881925</v>
      </c>
      <c r="AE50" s="702"/>
      <c r="AF50" s="730">
        <f>+H50/AD50*100</f>
        <v>135.69602114395644</v>
      </c>
      <c r="AG50" s="499"/>
      <c r="AH50" s="487"/>
      <c r="AI50" s="731">
        <f>+S50</f>
        <v>1638.739</v>
      </c>
      <c r="AJ50" s="487"/>
      <c r="AK50" s="734">
        <f>AI50/AB50</f>
        <v>61.246070157957668</v>
      </c>
      <c r="AL50" s="487"/>
      <c r="AM50" s="729">
        <f>(AK50/AK43-1)*100</f>
        <v>12.23676895842396</v>
      </c>
      <c r="AN50" s="702"/>
      <c r="AO50" s="702"/>
      <c r="AP50" s="487"/>
      <c r="AQ50" s="487"/>
      <c r="AR50" s="487"/>
      <c r="AS50" s="487"/>
      <c r="AT50" s="487"/>
      <c r="AU50" s="487"/>
      <c r="AV50" s="487"/>
      <c r="AW50" s="487"/>
      <c r="AX50" s="487"/>
      <c r="AY50" s="487"/>
      <c r="AZ50" s="487"/>
      <c r="BA50" s="487"/>
      <c r="BB50" s="487"/>
      <c r="BC50" s="487"/>
      <c r="BD50" s="487"/>
      <c r="BE50" s="487"/>
      <c r="BF50" s="487"/>
      <c r="BG50" s="487"/>
    </row>
    <row r="51" spans="1:59" hidden="1" outlineLevel="1">
      <c r="A51" s="487"/>
      <c r="B51" s="701" t="str">
        <f>$B$44</f>
        <v>Year</v>
      </c>
      <c r="C51" s="487"/>
      <c r="D51" s="716">
        <f>(S51/S44-1)*100</f>
        <v>30.093930009199553</v>
      </c>
      <c r="E51" s="487"/>
      <c r="F51" s="717">
        <f>'qtrP&amp;L'!AB$14</f>
        <v>-2</v>
      </c>
      <c r="G51" s="487"/>
      <c r="H51" s="716">
        <f>D51-F51</f>
        <v>32.093930009199553</v>
      </c>
      <c r="I51" s="702"/>
      <c r="J51" s="487"/>
      <c r="K51" s="487"/>
      <c r="L51" s="724">
        <f>AVERAGE(L47:L50)</f>
        <v>702</v>
      </c>
      <c r="M51" s="487"/>
      <c r="N51" s="716">
        <f>(L51/L44-1)*100</f>
        <v>23.076923076923084</v>
      </c>
      <c r="O51" s="702"/>
      <c r="P51" s="719">
        <f>H51/N51*100</f>
        <v>139.07369670653136</v>
      </c>
      <c r="Q51" s="499"/>
      <c r="R51" s="487"/>
      <c r="S51" s="720">
        <f>SUM(S47:S50)</f>
        <v>3975.1149999999998</v>
      </c>
      <c r="T51" s="487"/>
      <c r="U51" s="721">
        <f>SUM(U47:U50)</f>
        <v>5.4890177872202228</v>
      </c>
      <c r="V51" s="487"/>
      <c r="W51" s="717">
        <f>(U51/U44-1)*100</f>
        <v>2.7855770897513565</v>
      </c>
      <c r="X51" s="702"/>
      <c r="Y51" s="487"/>
      <c r="Z51" s="735"/>
      <c r="AA51" s="487"/>
      <c r="AB51" s="722">
        <f>AVERAGE(AB47:AB50)</f>
        <v>20.033149491077726</v>
      </c>
      <c r="AC51" s="487"/>
      <c r="AD51" s="716">
        <f>(AB51/AB44-1)*100</f>
        <v>26.703941971986247</v>
      </c>
      <c r="AE51" s="702"/>
      <c r="AF51" s="719">
        <f>+H51/AD51*100</f>
        <v>120.18424112390474</v>
      </c>
      <c r="AG51" s="499"/>
      <c r="AH51" s="487"/>
      <c r="AI51" s="720">
        <f>SUM(AI47:AI50)</f>
        <v>3975.1149999999998</v>
      </c>
      <c r="AJ51" s="487"/>
      <c r="AK51" s="723">
        <f>SUM(AK47:AK50)</f>
        <v>192.38959639589669</v>
      </c>
      <c r="AL51" s="487"/>
      <c r="AM51" s="717">
        <f>(AK51/AK44-1)*100</f>
        <v>-0.11077732377980931</v>
      </c>
      <c r="AN51" s="702"/>
      <c r="AO51" s="702"/>
      <c r="AP51" s="487"/>
      <c r="AQ51" s="487"/>
      <c r="AR51" s="487"/>
      <c r="AS51" s="487"/>
      <c r="AT51" s="487"/>
      <c r="AU51" s="487"/>
      <c r="AV51" s="487"/>
      <c r="AW51" s="487"/>
      <c r="AX51" s="487"/>
      <c r="AY51" s="487"/>
      <c r="AZ51" s="487"/>
      <c r="BA51" s="487"/>
      <c r="BB51" s="487"/>
      <c r="BC51" s="487"/>
      <c r="BD51" s="487"/>
      <c r="BE51" s="487"/>
      <c r="BF51" s="487"/>
      <c r="BG51" s="487"/>
    </row>
    <row r="52" spans="1:59" hidden="1" outlineLevel="1">
      <c r="A52" s="487"/>
      <c r="B52" s="701"/>
      <c r="C52" s="487"/>
      <c r="D52" s="487"/>
      <c r="E52" s="487"/>
      <c r="F52" s="487"/>
      <c r="G52" s="487"/>
      <c r="H52" s="487"/>
      <c r="I52" s="702"/>
      <c r="J52" s="487"/>
      <c r="K52" s="487"/>
      <c r="L52" s="487"/>
      <c r="M52" s="487"/>
      <c r="N52" s="487"/>
      <c r="O52" s="702"/>
      <c r="P52" s="499"/>
      <c r="Q52" s="499"/>
      <c r="R52" s="487"/>
      <c r="S52" s="487"/>
      <c r="T52" s="487"/>
      <c r="U52" s="487"/>
      <c r="V52" s="487"/>
      <c r="W52" s="487"/>
      <c r="X52" s="702"/>
      <c r="Y52" s="487"/>
      <c r="Z52" s="735"/>
      <c r="AA52" s="487"/>
      <c r="AB52" s="487"/>
      <c r="AC52" s="487"/>
      <c r="AD52" s="487"/>
      <c r="AE52" s="702"/>
      <c r="AF52" s="499"/>
      <c r="AG52" s="499"/>
      <c r="AH52" s="487"/>
      <c r="AI52" s="487"/>
      <c r="AJ52" s="487"/>
      <c r="AK52" s="487"/>
      <c r="AL52" s="487"/>
      <c r="AM52" s="487"/>
      <c r="AN52" s="702"/>
      <c r="AO52" s="702"/>
      <c r="AP52" s="487"/>
      <c r="AQ52" s="487"/>
      <c r="AR52" s="487"/>
      <c r="AS52" s="487"/>
      <c r="AT52" s="487"/>
      <c r="AU52" s="487"/>
      <c r="AV52" s="487"/>
      <c r="AW52" s="487"/>
      <c r="AX52" s="487"/>
      <c r="AY52" s="487"/>
      <c r="AZ52" s="487"/>
      <c r="BA52" s="487"/>
      <c r="BB52" s="487"/>
      <c r="BC52" s="487"/>
      <c r="BD52" s="487"/>
      <c r="BE52" s="487"/>
      <c r="BF52" s="487"/>
      <c r="BG52" s="487"/>
    </row>
    <row r="53" spans="1:59" hidden="1" outlineLevel="1">
      <c r="A53" s="715"/>
      <c r="B53" s="736">
        <f>B46+1</f>
        <v>1996</v>
      </c>
      <c r="C53" s="487"/>
      <c r="D53" s="487"/>
      <c r="E53" s="487"/>
      <c r="F53" s="487"/>
      <c r="G53" s="487"/>
      <c r="H53" s="487"/>
      <c r="I53" s="702"/>
      <c r="J53" s="487"/>
      <c r="K53" s="487"/>
      <c r="L53" s="487"/>
      <c r="M53" s="487"/>
      <c r="N53" s="487"/>
      <c r="O53" s="702"/>
      <c r="P53" s="499"/>
      <c r="Q53" s="499"/>
      <c r="R53" s="487"/>
      <c r="S53" s="487"/>
      <c r="T53" s="487"/>
      <c r="U53" s="487"/>
      <c r="V53" s="487"/>
      <c r="W53" s="487"/>
      <c r="X53" s="702"/>
      <c r="Y53" s="487"/>
      <c r="Z53" s="735"/>
      <c r="AA53" s="487"/>
      <c r="AB53" s="487"/>
      <c r="AC53" s="487"/>
      <c r="AD53" s="487"/>
      <c r="AE53" s="702"/>
      <c r="AF53" s="499"/>
      <c r="AG53" s="499"/>
      <c r="AH53" s="487"/>
      <c r="AI53" s="487"/>
      <c r="AJ53" s="487"/>
      <c r="AK53" s="487"/>
      <c r="AL53" s="487"/>
      <c r="AM53" s="487"/>
      <c r="AN53" s="702"/>
      <c r="AO53" s="702"/>
      <c r="AP53" s="487"/>
      <c r="AQ53" s="487"/>
      <c r="AR53" s="487"/>
      <c r="AS53" s="487"/>
      <c r="AT53" s="487"/>
      <c r="AU53" s="487"/>
      <c r="AV53" s="487"/>
      <c r="AW53" s="487"/>
      <c r="AX53" s="487"/>
      <c r="AY53" s="487"/>
      <c r="AZ53" s="487"/>
      <c r="BA53" s="487"/>
      <c r="BB53" s="487"/>
      <c r="BC53" s="487"/>
      <c r="BD53" s="487"/>
      <c r="BE53" s="487"/>
      <c r="BF53" s="487"/>
      <c r="BG53" s="487"/>
    </row>
    <row r="54" spans="1:59" hidden="1" outlineLevel="1">
      <c r="A54" s="487" t="str">
        <f>$A$40</f>
        <v>1Q</v>
      </c>
      <c r="B54" s="701" t="str">
        <f>$B$40</f>
        <v>Apr</v>
      </c>
      <c r="C54" s="487"/>
      <c r="D54" s="716">
        <f>(S54/S47-1)*100</f>
        <v>106.2493433209259</v>
      </c>
      <c r="E54" s="487" t="s">
        <v>190</v>
      </c>
      <c r="F54" s="717">
        <f>'qtrP&amp;L'!AF10</f>
        <v>6</v>
      </c>
      <c r="G54" s="487" t="s">
        <v>190</v>
      </c>
      <c r="H54" s="716">
        <f>D54-F54</f>
        <v>100.2493433209259</v>
      </c>
      <c r="I54" s="702" t="s">
        <v>190</v>
      </c>
      <c r="J54" s="718">
        <f>+Stores!CW65</f>
        <v>1173</v>
      </c>
      <c r="K54" s="487"/>
      <c r="L54" s="724">
        <f>AVERAGE(J54,J50)</f>
        <v>1169.5</v>
      </c>
      <c r="M54" s="487"/>
      <c r="N54" s="716">
        <f>(L54/L47-1)*100</f>
        <v>90.162601626016254</v>
      </c>
      <c r="O54" s="702" t="s">
        <v>190</v>
      </c>
      <c r="P54" s="719">
        <f>H54/N54*100</f>
        <v>111.18727888614866</v>
      </c>
      <c r="Q54" s="499" t="s">
        <v>190</v>
      </c>
      <c r="R54" s="487"/>
      <c r="S54" s="720">
        <f>'qtrP&amp;L'!AD10</f>
        <v>1472.2470000000001</v>
      </c>
      <c r="T54" s="487"/>
      <c r="U54" s="721">
        <f>S54/L54</f>
        <v>1.2588687473279179</v>
      </c>
      <c r="V54" s="487"/>
      <c r="W54" s="716">
        <f>(U54/U47-1)*100</f>
        <v>8.4594665603842767</v>
      </c>
      <c r="X54" s="702" t="s">
        <v>190</v>
      </c>
      <c r="Y54" s="487"/>
      <c r="Z54" s="562">
        <f>Stores!DB65</f>
        <v>35.131004962897315</v>
      </c>
      <c r="AA54" s="487"/>
      <c r="AB54" s="722">
        <f>AVERAGE(Z54,Z50)</f>
        <v>34.973502481448662</v>
      </c>
      <c r="AC54" s="487"/>
      <c r="AD54" s="716">
        <f>(AB54/AB47-1)*100</f>
        <v>102.79169472744468</v>
      </c>
      <c r="AE54" s="702" t="s">
        <v>190</v>
      </c>
      <c r="AF54" s="719">
        <f>+H54/AD54*100</f>
        <v>97.526695699239227</v>
      </c>
      <c r="AG54" s="499" t="s">
        <v>190</v>
      </c>
      <c r="AH54" s="487"/>
      <c r="AI54" s="720">
        <f>+S54</f>
        <v>1472.2470000000001</v>
      </c>
      <c r="AJ54" s="487"/>
      <c r="AK54" s="723">
        <f>AI54/AB54</f>
        <v>42.096069753978412</v>
      </c>
      <c r="AL54" s="487"/>
      <c r="AM54" s="716">
        <f>(AK54/AK47-1)*100</f>
        <v>1.7050247536657404</v>
      </c>
      <c r="AN54" s="702" t="s">
        <v>190</v>
      </c>
      <c r="AO54" s="702"/>
      <c r="AP54" s="487"/>
      <c r="AQ54" s="487"/>
      <c r="AR54" s="487"/>
      <c r="AS54" s="487"/>
      <c r="AT54" s="487"/>
      <c r="AU54" s="487"/>
      <c r="AV54" s="487"/>
      <c r="AW54" s="487"/>
      <c r="AX54" s="487"/>
      <c r="AY54" s="487"/>
      <c r="AZ54" s="487"/>
      <c r="BA54" s="487"/>
      <c r="BB54" s="487"/>
      <c r="BC54" s="487"/>
      <c r="BD54" s="487"/>
      <c r="BE54" s="487"/>
      <c r="BF54" s="487"/>
      <c r="BG54" s="487"/>
    </row>
    <row r="55" spans="1:59" hidden="1" outlineLevel="1">
      <c r="A55" s="487" t="str">
        <f>$A$41</f>
        <v>2Q</v>
      </c>
      <c r="B55" s="701" t="str">
        <f>$B$41</f>
        <v>Jul</v>
      </c>
      <c r="C55" s="487"/>
      <c r="D55" s="716">
        <f>(S55/S48-1)*100</f>
        <v>103.35893283316454</v>
      </c>
      <c r="E55" s="487"/>
      <c r="F55" s="717">
        <f>'qtrP&amp;L'!AF11</f>
        <v>8</v>
      </c>
      <c r="G55" s="487"/>
      <c r="H55" s="716">
        <f>D55-F55</f>
        <v>95.358932833164545</v>
      </c>
      <c r="I55" s="702"/>
      <c r="J55" s="718">
        <f>+Stores!CW66</f>
        <v>1137</v>
      </c>
      <c r="K55" s="487"/>
      <c r="L55" s="724">
        <f>AVERAGE(J55,J54)</f>
        <v>1155</v>
      </c>
      <c r="M55" s="487"/>
      <c r="N55" s="716">
        <f>(L55/L48-1)*100</f>
        <v>83.4789515488483</v>
      </c>
      <c r="O55" s="702"/>
      <c r="P55" s="719">
        <f>H55/N55*100</f>
        <v>114.23110983535123</v>
      </c>
      <c r="Q55" s="499"/>
      <c r="R55" s="487"/>
      <c r="S55" s="725">
        <f>'qtrP&amp;L'!AD11</f>
        <v>1548.259</v>
      </c>
      <c r="T55" s="487"/>
      <c r="U55" s="726">
        <f>S55/L55</f>
        <v>1.3404839826839827</v>
      </c>
      <c r="V55" s="487"/>
      <c r="W55" s="716">
        <f>(U55/U48-1)*100</f>
        <v>10.835020102577575</v>
      </c>
      <c r="X55" s="702"/>
      <c r="Y55" s="487"/>
      <c r="Z55" s="562">
        <f>Stores!DB66</f>
        <v>34.005634519133736</v>
      </c>
      <c r="AA55" s="487"/>
      <c r="AB55" s="722">
        <f>AVERAGE(Z55,Z54)</f>
        <v>34.568319741015529</v>
      </c>
      <c r="AC55" s="487"/>
      <c r="AD55" s="716">
        <f>(AB55/AB48-1)*100</f>
        <v>94.409814166500766</v>
      </c>
      <c r="AE55" s="702"/>
      <c r="AF55" s="719">
        <f>+H55/AD55*100</f>
        <v>101.00531779989517</v>
      </c>
      <c r="AG55" s="499"/>
      <c r="AH55" s="487"/>
      <c r="AI55" s="725">
        <f>+S55</f>
        <v>1548.259</v>
      </c>
      <c r="AJ55" s="487"/>
      <c r="AK55" s="727">
        <f>AI55/AB55</f>
        <v>44.788378827767581</v>
      </c>
      <c r="AL55" s="487"/>
      <c r="AM55" s="716">
        <f>(AK55/AK48-1)*100</f>
        <v>4.6032237132840548</v>
      </c>
      <c r="AN55" s="702"/>
      <c r="AO55" s="702"/>
      <c r="AP55" s="487"/>
      <c r="AQ55" s="487"/>
      <c r="AR55" s="487"/>
      <c r="AS55" s="487"/>
      <c r="AT55" s="487"/>
      <c r="AU55" s="487"/>
      <c r="AV55" s="487"/>
      <c r="AW55" s="487"/>
      <c r="AX55" s="487"/>
      <c r="AY55" s="487"/>
      <c r="AZ55" s="487"/>
      <c r="BA55" s="487"/>
      <c r="BB55" s="487"/>
      <c r="BC55" s="487"/>
      <c r="BD55" s="487"/>
      <c r="BE55" s="487"/>
      <c r="BF55" s="487"/>
      <c r="BG55" s="487"/>
    </row>
    <row r="56" spans="1:59" hidden="1" outlineLevel="1">
      <c r="A56" s="487" t="str">
        <f>$A$42</f>
        <v>3Q</v>
      </c>
      <c r="B56" s="701" t="str">
        <f>$B$42</f>
        <v>Oct</v>
      </c>
      <c r="C56" s="487"/>
      <c r="D56" s="716">
        <f>(S56/S49-1)*100</f>
        <v>100.00011611515838</v>
      </c>
      <c r="E56" s="487"/>
      <c r="F56" s="717">
        <f>'qtrP&amp;L'!AF12</f>
        <v>8</v>
      </c>
      <c r="G56" s="487"/>
      <c r="H56" s="716">
        <f>D56-F56</f>
        <v>92.000116115158377</v>
      </c>
      <c r="I56" s="702"/>
      <c r="J56" s="718">
        <f>+Stores!CW67</f>
        <v>1156</v>
      </c>
      <c r="K56" s="487"/>
      <c r="L56" s="724">
        <f>AVERAGE(J56,J55)</f>
        <v>1146.5</v>
      </c>
      <c r="M56" s="487"/>
      <c r="N56" s="716">
        <f>(L56/L49-1)*100</f>
        <v>76.520400307929165</v>
      </c>
      <c r="O56" s="702"/>
      <c r="P56" s="719">
        <f>H56/N56*100</f>
        <v>120.22952800160036</v>
      </c>
      <c r="Q56" s="499"/>
      <c r="R56" s="487"/>
      <c r="S56" s="725">
        <f>'qtrP&amp;L'!AD12</f>
        <v>1722.4290000000001</v>
      </c>
      <c r="T56" s="487"/>
      <c r="U56" s="726">
        <f>S56/L56</f>
        <v>1.5023366768425643</v>
      </c>
      <c r="V56" s="487"/>
      <c r="W56" s="716">
        <f>(U56/U49-1)*100</f>
        <v>13.301417720711161</v>
      </c>
      <c r="X56" s="702"/>
      <c r="Y56" s="487"/>
      <c r="Z56" s="562">
        <f>Stores!DB67</f>
        <v>34.518375740148358</v>
      </c>
      <c r="AA56" s="487"/>
      <c r="AB56" s="722">
        <f>AVERAGE(Z56,Z55)</f>
        <v>34.262005129641047</v>
      </c>
      <c r="AC56" s="487"/>
      <c r="AD56" s="716">
        <f>(AB56/AB49-1)*100</f>
        <v>86.726380639351916</v>
      </c>
      <c r="AE56" s="702"/>
      <c r="AF56" s="719">
        <f>+H56/AD56*100</f>
        <v>106.08088961735538</v>
      </c>
      <c r="AG56" s="499"/>
      <c r="AH56" s="487"/>
      <c r="AI56" s="725">
        <f>+S56</f>
        <v>1722.4290000000001</v>
      </c>
      <c r="AJ56" s="487"/>
      <c r="AK56" s="727">
        <f>AI56/AB56</f>
        <v>50.272276636543879</v>
      </c>
      <c r="AL56" s="487"/>
      <c r="AM56" s="716">
        <f>(AK56/AK49-1)*100</f>
        <v>7.108655686656129</v>
      </c>
      <c r="AN56" s="702"/>
      <c r="AO56" s="702"/>
      <c r="AP56" s="487"/>
      <c r="AQ56" s="487"/>
      <c r="AR56" s="487"/>
      <c r="AS56" s="487"/>
      <c r="AT56" s="487"/>
      <c r="AU56" s="487"/>
      <c r="AV56" s="487"/>
      <c r="AW56" s="487"/>
      <c r="AX56" s="487"/>
      <c r="AY56" s="487"/>
      <c r="AZ56" s="487"/>
      <c r="BA56" s="487"/>
      <c r="BB56" s="487"/>
      <c r="BC56" s="487"/>
      <c r="BD56" s="487"/>
      <c r="BE56" s="487"/>
      <c r="BF56" s="487"/>
      <c r="BG56" s="487"/>
    </row>
    <row r="57" spans="1:59" hidden="1" outlineLevel="1">
      <c r="A57" s="487" t="str">
        <f>$A$43</f>
        <v>4Q</v>
      </c>
      <c r="B57" s="701" t="str">
        <f>$B$43</f>
        <v>Jan</v>
      </c>
      <c r="C57" s="487"/>
      <c r="D57" s="728">
        <f>(S57/S50-1)*100</f>
        <v>18.778829331577505</v>
      </c>
      <c r="E57" s="487"/>
      <c r="F57" s="729">
        <f>'qtrP&amp;L'!AF13</f>
        <v>7</v>
      </c>
      <c r="G57" s="487"/>
      <c r="H57" s="728">
        <f>D57-F57</f>
        <v>11.778829331577505</v>
      </c>
      <c r="I57" s="702"/>
      <c r="J57" s="727">
        <f>yrSales!H$20</f>
        <v>1136</v>
      </c>
      <c r="K57" s="487"/>
      <c r="L57" s="730">
        <f>AVERAGE(J57,J56)</f>
        <v>1146</v>
      </c>
      <c r="M57" s="487"/>
      <c r="N57" s="728">
        <f>(L57/L50-1)*100</f>
        <v>25.382932166301963</v>
      </c>
      <c r="O57" s="702"/>
      <c r="P57" s="730">
        <f>H57/N57*100</f>
        <v>46.404525901128629</v>
      </c>
      <c r="Q57" s="499"/>
      <c r="R57" s="487"/>
      <c r="S57" s="731">
        <f>'qtrP&amp;L'!AD13</f>
        <v>1946.4749999999999</v>
      </c>
      <c r="T57" s="487"/>
      <c r="U57" s="732">
        <f>S57/L57</f>
        <v>1.6984947643979056</v>
      </c>
      <c r="V57" s="487"/>
      <c r="W57" s="728">
        <f>(U57/U50-1)*100</f>
        <v>-5.2671465889512881</v>
      </c>
      <c r="X57" s="702"/>
      <c r="Y57" s="487"/>
      <c r="Z57" s="562">
        <f>yrSales!H$31</f>
        <v>33.894000000000005</v>
      </c>
      <c r="AA57" s="487"/>
      <c r="AB57" s="733">
        <f>AVERAGE(Z57,Z56)</f>
        <v>34.206187870074181</v>
      </c>
      <c r="AC57" s="487"/>
      <c r="AD57" s="728">
        <f>(AB57/AB50-1)*100</f>
        <v>27.841870006562598</v>
      </c>
      <c r="AE57" s="702"/>
      <c r="AF57" s="730">
        <f>+H57/AD57*100</f>
        <v>42.306171707579701</v>
      </c>
      <c r="AG57" s="499"/>
      <c r="AH57" s="487"/>
      <c r="AI57" s="731">
        <f>+S57</f>
        <v>1946.4749999999999</v>
      </c>
      <c r="AJ57" s="487"/>
      <c r="AK57" s="734">
        <f>AI57/AB57</f>
        <v>56.904177904691451</v>
      </c>
      <c r="AL57" s="487"/>
      <c r="AM57" s="728">
        <f>(AK57/AK50-1)*100</f>
        <v>-7.0892585304954121</v>
      </c>
      <c r="AN57" s="702"/>
      <c r="AO57" s="702"/>
      <c r="AP57" s="487"/>
      <c r="AQ57" s="487"/>
      <c r="AR57" s="487"/>
      <c r="AS57" s="487"/>
      <c r="AT57" s="487"/>
      <c r="AU57" s="487"/>
      <c r="AV57" s="487"/>
      <c r="AW57" s="487"/>
      <c r="AX57" s="487"/>
      <c r="AY57" s="487"/>
      <c r="AZ57" s="487"/>
      <c r="BA57" s="487"/>
      <c r="BB57" s="487"/>
      <c r="BC57" s="487"/>
      <c r="BD57" s="487"/>
      <c r="BE57" s="487"/>
      <c r="BF57" s="487"/>
      <c r="BG57" s="487"/>
    </row>
    <row r="58" spans="1:59" hidden="1" outlineLevel="1">
      <c r="A58" s="487"/>
      <c r="B58" s="701" t="str">
        <f>$B$44</f>
        <v>Year</v>
      </c>
      <c r="C58" s="487"/>
      <c r="D58" s="716">
        <f>(S58/S51-1)*100</f>
        <v>68.282175484231274</v>
      </c>
      <c r="E58" s="487"/>
      <c r="F58" s="717">
        <f>'qtrP&amp;L'!AF14</f>
        <v>7.5263349084597895</v>
      </c>
      <c r="G58" s="487"/>
      <c r="H58" s="716">
        <f>D58-F58</f>
        <v>60.755840575771487</v>
      </c>
      <c r="I58" s="702"/>
      <c r="J58" s="487"/>
      <c r="K58" s="487"/>
      <c r="L58" s="724">
        <f>AVERAGE(L54:L57)</f>
        <v>1154.25</v>
      </c>
      <c r="M58" s="487"/>
      <c r="N58" s="716">
        <f>(L58/L51-1)*100</f>
        <v>64.42307692307692</v>
      </c>
      <c r="O58" s="702"/>
      <c r="P58" s="719">
        <f>H58/N58*100</f>
        <v>94.307573431048283</v>
      </c>
      <c r="Q58" s="499"/>
      <c r="R58" s="487"/>
      <c r="S58" s="720">
        <f>SUM(S54:S57)</f>
        <v>6689.41</v>
      </c>
      <c r="T58" s="487"/>
      <c r="U58" s="721">
        <f>SUM(U54:U57)</f>
        <v>5.8001841712523703</v>
      </c>
      <c r="V58" s="487"/>
      <c r="W58" s="716">
        <f>(U58/U51-1)*100</f>
        <v>5.6688900654798147</v>
      </c>
      <c r="X58" s="702"/>
      <c r="Y58" s="487"/>
      <c r="Z58" s="735"/>
      <c r="AA58" s="487"/>
      <c r="AB58" s="722">
        <f>AVERAGE(AB54:AB57)</f>
        <v>34.502503805544855</v>
      </c>
      <c r="AC58" s="487"/>
      <c r="AD58" s="716">
        <f>(AB58/AB51-1)*100</f>
        <v>72.227057063151378</v>
      </c>
      <c r="AE58" s="702"/>
      <c r="AF58" s="719">
        <f>+H58/AD58*100</f>
        <v>84.117840385840324</v>
      </c>
      <c r="AG58" s="499"/>
      <c r="AH58" s="487"/>
      <c r="AI58" s="720">
        <f>SUM(AI54:AI57)</f>
        <v>6689.41</v>
      </c>
      <c r="AJ58" s="487"/>
      <c r="AK58" s="723">
        <f>SUM(AK54:AK57)</f>
        <v>194.0609031229813</v>
      </c>
      <c r="AL58" s="487"/>
      <c r="AM58" s="716">
        <f>(AK58/AK51-1)*100</f>
        <v>0.86870951360873416</v>
      </c>
      <c r="AN58" s="702"/>
      <c r="AO58" s="702"/>
      <c r="AP58" s="487"/>
      <c r="AQ58" s="487"/>
      <c r="AR58" s="487"/>
      <c r="AS58" s="487"/>
      <c r="AT58" s="487"/>
      <c r="AU58" s="487"/>
      <c r="AV58" s="487"/>
      <c r="AW58" s="487"/>
      <c r="AX58" s="487"/>
      <c r="AY58" s="487"/>
      <c r="AZ58" s="487"/>
      <c r="BA58" s="487"/>
      <c r="BB58" s="487"/>
      <c r="BC58" s="487"/>
      <c r="BD58" s="487"/>
      <c r="BE58" s="487"/>
      <c r="BF58" s="487"/>
      <c r="BG58" s="487"/>
    </row>
    <row r="59" spans="1:59" hidden="1" outlineLevel="1">
      <c r="A59" s="487"/>
      <c r="B59" s="701"/>
      <c r="C59" s="487"/>
      <c r="D59" s="487"/>
      <c r="E59" s="487"/>
      <c r="F59" s="487"/>
      <c r="G59" s="487"/>
      <c r="H59" s="487"/>
      <c r="I59" s="702"/>
      <c r="J59" s="487"/>
      <c r="K59" s="487"/>
      <c r="L59" s="487"/>
      <c r="M59" s="487"/>
      <c r="N59" s="487"/>
      <c r="O59" s="702"/>
      <c r="P59" s="499"/>
      <c r="Q59" s="499"/>
      <c r="R59" s="487"/>
      <c r="S59" s="487"/>
      <c r="T59" s="487"/>
      <c r="U59" s="487"/>
      <c r="V59" s="487"/>
      <c r="W59" s="487"/>
      <c r="X59" s="702"/>
      <c r="Y59" s="487"/>
      <c r="Z59" s="735"/>
      <c r="AA59" s="487"/>
      <c r="AB59" s="487"/>
      <c r="AC59" s="487"/>
      <c r="AD59" s="487"/>
      <c r="AE59" s="702"/>
      <c r="AF59" s="499"/>
      <c r="AG59" s="499"/>
      <c r="AH59" s="487"/>
      <c r="AI59" s="487"/>
      <c r="AJ59" s="487"/>
      <c r="AK59" s="487"/>
      <c r="AL59" s="487"/>
      <c r="AM59" s="487"/>
      <c r="AN59" s="702"/>
      <c r="AO59" s="702"/>
      <c r="AP59" s="487"/>
      <c r="AQ59" s="487"/>
      <c r="AR59" s="487"/>
      <c r="AS59" s="487"/>
      <c r="AT59" s="487"/>
      <c r="AU59" s="487"/>
      <c r="AV59" s="487"/>
      <c r="AW59" s="487"/>
      <c r="AX59" s="487"/>
      <c r="AY59" s="487"/>
      <c r="AZ59" s="487"/>
      <c r="BA59" s="487"/>
      <c r="BB59" s="487"/>
      <c r="BC59" s="487"/>
      <c r="BD59" s="487"/>
      <c r="BE59" s="487"/>
      <c r="BF59" s="487"/>
      <c r="BG59" s="487"/>
    </row>
    <row r="60" spans="1:59" hidden="1" outlineLevel="1">
      <c r="A60" s="715"/>
      <c r="B60" s="736">
        <f>B53+1</f>
        <v>1997</v>
      </c>
      <c r="C60" s="487"/>
      <c r="D60" s="487"/>
      <c r="E60" s="487"/>
      <c r="F60" s="487"/>
      <c r="G60" s="487"/>
      <c r="H60" s="487"/>
      <c r="I60" s="702"/>
      <c r="J60" s="487"/>
      <c r="K60" s="487"/>
      <c r="L60" s="487"/>
      <c r="M60" s="487"/>
      <c r="N60" s="487"/>
      <c r="O60" s="702"/>
      <c r="P60" s="499"/>
      <c r="Q60" s="499"/>
      <c r="R60" s="487"/>
      <c r="S60" s="487"/>
      <c r="T60" s="487"/>
      <c r="U60" s="487"/>
      <c r="V60" s="487"/>
      <c r="W60" s="487"/>
      <c r="X60" s="702"/>
      <c r="Y60" s="487"/>
      <c r="Z60" s="735"/>
      <c r="AA60" s="487"/>
      <c r="AB60" s="487"/>
      <c r="AC60" s="487"/>
      <c r="AD60" s="487"/>
      <c r="AE60" s="702"/>
      <c r="AF60" s="499"/>
      <c r="AG60" s="499"/>
      <c r="AH60" s="487"/>
      <c r="AI60" s="487"/>
      <c r="AJ60" s="487"/>
      <c r="AK60" s="487"/>
      <c r="AL60" s="487"/>
      <c r="AM60" s="487"/>
      <c r="AN60" s="702"/>
      <c r="AO60" s="702"/>
      <c r="AP60" s="487"/>
      <c r="AQ60" s="487"/>
      <c r="AR60" s="487"/>
      <c r="AS60" s="487"/>
      <c r="AT60" s="487"/>
      <c r="AU60" s="487"/>
      <c r="AV60" s="487"/>
      <c r="AW60" s="487"/>
      <c r="AX60" s="487"/>
      <c r="AY60" s="487"/>
      <c r="AZ60" s="487"/>
      <c r="BA60" s="487"/>
      <c r="BB60" s="487"/>
      <c r="BC60" s="487"/>
      <c r="BD60" s="487"/>
      <c r="BE60" s="487"/>
      <c r="BF60" s="487"/>
      <c r="BG60" s="487"/>
    </row>
    <row r="61" spans="1:59" hidden="1" outlineLevel="1">
      <c r="A61" s="487" t="str">
        <f>$A$40</f>
        <v>1Q</v>
      </c>
      <c r="B61" s="701" t="str">
        <f>$B$40</f>
        <v>Apr</v>
      </c>
      <c r="C61" s="487"/>
      <c r="D61" s="716">
        <f>(S61/S54-1)*100</f>
        <v>5.9706693238295028</v>
      </c>
      <c r="E61" s="487" t="s">
        <v>190</v>
      </c>
      <c r="F61" s="717">
        <f>'qtrP&amp;L'!AJ10</f>
        <v>5</v>
      </c>
      <c r="G61" s="487" t="s">
        <v>190</v>
      </c>
      <c r="H61" s="716">
        <f>D61-F61</f>
        <v>0.97066932382950277</v>
      </c>
      <c r="I61" s="702" t="s">
        <v>190</v>
      </c>
      <c r="J61" s="718">
        <f>+Stores!CW73</f>
        <v>1143</v>
      </c>
      <c r="K61" s="487"/>
      <c r="L61" s="724">
        <f>AVERAGE(J61,J57)</f>
        <v>1139.5</v>
      </c>
      <c r="M61" s="487"/>
      <c r="N61" s="716">
        <f>(L61/L54-1)*100</f>
        <v>-2.5651988029072204</v>
      </c>
      <c r="O61" s="702" t="s">
        <v>190</v>
      </c>
      <c r="P61" s="719">
        <f>H61/N61*100</f>
        <v>-37.839925807286853</v>
      </c>
      <c r="Q61" s="499" t="s">
        <v>190</v>
      </c>
      <c r="R61" s="487"/>
      <c r="S61" s="720">
        <f>'qtrP&amp;L'!AH10</f>
        <v>1560.15</v>
      </c>
      <c r="T61" s="487"/>
      <c r="U61" s="721">
        <f>S61/L61</f>
        <v>1.3691531373409391</v>
      </c>
      <c r="V61" s="487"/>
      <c r="W61" s="740">
        <f>(U61/U54-1)*100</f>
        <v>8.760594799665288</v>
      </c>
      <c r="X61" s="702" t="s">
        <v>190</v>
      </c>
      <c r="Y61" s="487"/>
      <c r="Z61" s="562">
        <f>Stores!DB73</f>
        <v>34.085000000000008</v>
      </c>
      <c r="AA61" s="487"/>
      <c r="AB61" s="722">
        <f>AVERAGE(Z61,Z57)</f>
        <v>33.989500000000007</v>
      </c>
      <c r="AC61" s="487"/>
      <c r="AD61" s="716">
        <f>(AB61/AB54-1)*100</f>
        <v>-2.8135657330020325</v>
      </c>
      <c r="AE61" s="702" t="s">
        <v>190</v>
      </c>
      <c r="AF61" s="719">
        <f>+H61/AD61*100</f>
        <v>-34.499614224182821</v>
      </c>
      <c r="AG61" s="499" t="s">
        <v>190</v>
      </c>
      <c r="AH61" s="487"/>
      <c r="AI61" s="720">
        <f>+S61</f>
        <v>1560.15</v>
      </c>
      <c r="AJ61" s="487"/>
      <c r="AK61" s="723">
        <f>AI61/AB61</f>
        <v>45.900939996175282</v>
      </c>
      <c r="AL61" s="487"/>
      <c r="AM61" s="716">
        <f>(AK61/AK54-1)*100</f>
        <v>9.0385403303292478</v>
      </c>
      <c r="AN61" s="702" t="s">
        <v>190</v>
      </c>
      <c r="AO61" s="702"/>
      <c r="AP61" s="487"/>
      <c r="AQ61" s="487"/>
      <c r="AR61" s="487"/>
      <c r="AS61" s="487"/>
      <c r="AT61" s="487"/>
      <c r="AU61" s="487"/>
      <c r="AV61" s="487"/>
      <c r="AW61" s="487"/>
      <c r="AX61" s="487"/>
      <c r="AY61" s="487"/>
      <c r="AZ61" s="487"/>
      <c r="BA61" s="487"/>
      <c r="BB61" s="487"/>
      <c r="BC61" s="487"/>
      <c r="BD61" s="487"/>
      <c r="BE61" s="487"/>
      <c r="BF61" s="487"/>
      <c r="BG61" s="487"/>
    </row>
    <row r="62" spans="1:59" hidden="1" outlineLevel="1">
      <c r="A62" s="487" t="str">
        <f>$A$41</f>
        <v>2Q</v>
      </c>
      <c r="B62" s="701" t="str">
        <f>$B$41</f>
        <v>Jul</v>
      </c>
      <c r="C62" s="487"/>
      <c r="D62" s="716">
        <f>(S62/S55-1)*100</f>
        <v>9.6956000255771215</v>
      </c>
      <c r="E62" s="487"/>
      <c r="F62" s="717">
        <f>'qtrP&amp;L'!AJ11</f>
        <v>8</v>
      </c>
      <c r="G62" s="487"/>
      <c r="H62" s="716">
        <f>D62-F62</f>
        <v>1.6956000255771215</v>
      </c>
      <c r="I62" s="702"/>
      <c r="J62" s="718">
        <f>+Stores!CW74</f>
        <v>1141</v>
      </c>
      <c r="K62" s="487"/>
      <c r="L62" s="487">
        <f>AVERAGE(J62,J61)</f>
        <v>1142</v>
      </c>
      <c r="M62" s="487"/>
      <c r="N62" s="716">
        <f>(L62/L55-1)*100</f>
        <v>-1.1255411255411296</v>
      </c>
      <c r="O62" s="702"/>
      <c r="P62" s="719">
        <f>H62/N62*100</f>
        <v>-150.64754073396679</v>
      </c>
      <c r="Q62" s="499"/>
      <c r="R62" s="487"/>
      <c r="S62" s="725">
        <f>'qtrP&amp;L'!AH11</f>
        <v>1698.3720000000001</v>
      </c>
      <c r="T62" s="487"/>
      <c r="U62" s="726">
        <f>S62/L62</f>
        <v>1.4871908931698774</v>
      </c>
      <c r="V62" s="487"/>
      <c r="W62" s="740">
        <f>(U62/U55-1)*100</f>
        <v>10.944324018863028</v>
      </c>
      <c r="X62" s="702"/>
      <c r="Y62" s="487"/>
      <c r="Z62" s="562">
        <f>Stores!DB74</f>
        <v>34.094999999999999</v>
      </c>
      <c r="AA62" s="487"/>
      <c r="AB62" s="722">
        <f>AVERAGE(Z62,Z61)</f>
        <v>34.090000000000003</v>
      </c>
      <c r="AC62" s="487"/>
      <c r="AD62" s="716">
        <f>(AB62/AB55-1)*100</f>
        <v>-1.3836939272694693</v>
      </c>
      <c r="AE62" s="702"/>
      <c r="AF62" s="719">
        <f>+H62/AD62*100</f>
        <v>-122.54155287962824</v>
      </c>
      <c r="AG62" s="499"/>
      <c r="AH62" s="487"/>
      <c r="AI62" s="725">
        <f>+S62</f>
        <v>1698.3720000000001</v>
      </c>
      <c r="AJ62" s="487"/>
      <c r="AK62" s="727">
        <f>AI62/AB62</f>
        <v>49.820240539747722</v>
      </c>
      <c r="AL62" s="487"/>
      <c r="AM62" s="716">
        <f>(AK62/AK55-1)*100</f>
        <v>11.234748485382839</v>
      </c>
      <c r="AN62" s="702"/>
      <c r="AO62" s="702"/>
      <c r="AP62" s="487"/>
      <c r="AQ62" s="487"/>
      <c r="AR62" s="487"/>
      <c r="AS62" s="487"/>
      <c r="AT62" s="487"/>
      <c r="AU62" s="487"/>
      <c r="AV62" s="487"/>
      <c r="AW62" s="487"/>
      <c r="AX62" s="487"/>
      <c r="AY62" s="487"/>
      <c r="AZ62" s="487"/>
      <c r="BA62" s="487"/>
      <c r="BB62" s="487"/>
      <c r="BC62" s="487"/>
      <c r="BD62" s="487"/>
      <c r="BE62" s="487"/>
      <c r="BF62" s="487"/>
      <c r="BG62" s="487"/>
    </row>
    <row r="63" spans="1:59" hidden="1" outlineLevel="1">
      <c r="A63" s="487" t="str">
        <f>$A$42</f>
        <v>3Q</v>
      </c>
      <c r="B63" s="701" t="str">
        <f>$B$42</f>
        <v>Oct</v>
      </c>
      <c r="C63" s="487"/>
      <c r="D63" s="716">
        <f>(S63/S56-1)*100</f>
        <v>9.5951124835914836</v>
      </c>
      <c r="E63" s="487"/>
      <c r="F63" s="717">
        <f>'qtrP&amp;L'!AJ12</f>
        <v>7</v>
      </c>
      <c r="G63" s="487"/>
      <c r="H63" s="716">
        <f>D63-F63</f>
        <v>2.5951124835914836</v>
      </c>
      <c r="I63" s="702"/>
      <c r="J63" s="718">
        <f>+Stores!CW75</f>
        <v>1170</v>
      </c>
      <c r="K63" s="487"/>
      <c r="L63" s="724">
        <f>AVERAGE(J63,J62)</f>
        <v>1155.5</v>
      </c>
      <c r="M63" s="487"/>
      <c r="N63" s="716">
        <f>(L63/L56-1)*100</f>
        <v>0.78499781945049474</v>
      </c>
      <c r="O63" s="702"/>
      <c r="P63" s="719">
        <f>H63/N63*100</f>
        <v>330.58849582640681</v>
      </c>
      <c r="Q63" s="499"/>
      <c r="R63" s="487"/>
      <c r="S63" s="725">
        <f>'qtrP&amp;L'!AH12</f>
        <v>1887.6980000000001</v>
      </c>
      <c r="T63" s="487"/>
      <c r="U63" s="726">
        <f>S63/L63</f>
        <v>1.6336633491994808</v>
      </c>
      <c r="V63" s="487"/>
      <c r="W63" s="740">
        <f>(U63/U56-1)*100</f>
        <v>8.7414941258655574</v>
      </c>
      <c r="X63" s="702"/>
      <c r="Y63" s="487"/>
      <c r="Z63" s="562">
        <f>Stores!DB75</f>
        <v>34.881</v>
      </c>
      <c r="AA63" s="487"/>
      <c r="AB63" s="722">
        <f>AVERAGE(Z63,Z62)</f>
        <v>34.488</v>
      </c>
      <c r="AC63" s="487"/>
      <c r="AD63" s="716">
        <f>(AB63/AB56-1)*100</f>
        <v>0.6596078352794299</v>
      </c>
      <c r="AE63" s="702"/>
      <c r="AF63" s="719">
        <f>+H63/AD63*100</f>
        <v>393.43263448229283</v>
      </c>
      <c r="AG63" s="499"/>
      <c r="AH63" s="487"/>
      <c r="AI63" s="725">
        <f>+S63</f>
        <v>1887.6980000000001</v>
      </c>
      <c r="AJ63" s="487"/>
      <c r="AK63" s="727">
        <f>AI63/AB63</f>
        <v>54.73492229181165</v>
      </c>
      <c r="AL63" s="487"/>
      <c r="AM63" s="716">
        <f>(AK63/AK56-1)*100</f>
        <v>8.8769515801554011</v>
      </c>
      <c r="AN63" s="702"/>
      <c r="AO63" s="702"/>
      <c r="AP63" s="487"/>
      <c r="AQ63" s="487"/>
      <c r="AR63" s="487"/>
      <c r="AS63" s="487"/>
      <c r="AT63" s="487"/>
      <c r="AU63" s="487"/>
      <c r="AV63" s="487"/>
      <c r="AW63" s="487"/>
      <c r="AX63" s="487"/>
      <c r="AY63" s="487"/>
      <c r="AZ63" s="487"/>
      <c r="BA63" s="487"/>
      <c r="BB63" s="487"/>
      <c r="BC63" s="487"/>
      <c r="BD63" s="487"/>
      <c r="BE63" s="487"/>
      <c r="BF63" s="487"/>
      <c r="BG63" s="487"/>
    </row>
    <row r="64" spans="1:59" hidden="1" outlineLevel="1">
      <c r="A64" s="487" t="str">
        <f>$A$43</f>
        <v>4Q</v>
      </c>
      <c r="B64" s="701" t="str">
        <f>$B$43</f>
        <v>Jan</v>
      </c>
      <c r="C64" s="487"/>
      <c r="D64" s="728">
        <f>(S64/S57-1)*100</f>
        <v>15.226190934895145</v>
      </c>
      <c r="E64" s="487"/>
      <c r="F64" s="729">
        <f>'qtrP&amp;L'!AJ13</f>
        <v>5</v>
      </c>
      <c r="G64" s="487"/>
      <c r="H64" s="728">
        <f>D64-F64</f>
        <v>10.226190934895145</v>
      </c>
      <c r="I64" s="702"/>
      <c r="J64" s="727">
        <f>yrSales!I$20</f>
        <v>1171</v>
      </c>
      <c r="K64" s="487"/>
      <c r="L64" s="730">
        <f>AVERAGE(J64,J63)</f>
        <v>1170.5</v>
      </c>
      <c r="M64" s="487"/>
      <c r="N64" s="728">
        <f>(L64/L57-1)*100</f>
        <v>2.1378708551483383</v>
      </c>
      <c r="O64" s="702"/>
      <c r="P64" s="730">
        <f>H64/N64*100</f>
        <v>478.3352984240758</v>
      </c>
      <c r="Q64" s="499"/>
      <c r="R64" s="487"/>
      <c r="S64" s="731">
        <f>'qtrP&amp;L'!AH13</f>
        <v>2242.8490000000002</v>
      </c>
      <c r="T64" s="487"/>
      <c r="U64" s="732">
        <f>S64/L64</f>
        <v>1.9161460914139259</v>
      </c>
      <c r="V64" s="487"/>
      <c r="W64" s="729">
        <f>(U64/U57-1)*100</f>
        <v>12.814365494566292</v>
      </c>
      <c r="X64" s="702"/>
      <c r="Y64" s="487"/>
      <c r="Z64" s="562">
        <f>yrSales!I$31</f>
        <v>35.017000000000003</v>
      </c>
      <c r="AA64" s="487"/>
      <c r="AB64" s="733">
        <f>AVERAGE(Z64,Z63)</f>
        <v>34.948999999999998</v>
      </c>
      <c r="AC64" s="487"/>
      <c r="AD64" s="728">
        <f>(AB64/AB57-1)*100</f>
        <v>2.1715723855205704</v>
      </c>
      <c r="AE64" s="702"/>
      <c r="AF64" s="730">
        <f>+H64/AD64*100</f>
        <v>470.91181500927581</v>
      </c>
      <c r="AG64" s="499"/>
      <c r="AH64" s="487"/>
      <c r="AI64" s="731">
        <f>+S64</f>
        <v>2242.8490000000002</v>
      </c>
      <c r="AJ64" s="487"/>
      <c r="AK64" s="734">
        <f>AI64/AB64</f>
        <v>64.174912014649934</v>
      </c>
      <c r="AL64" s="487"/>
      <c r="AM64" s="728">
        <f>(AK64/AK57-1)*100</f>
        <v>12.777153414176734</v>
      </c>
      <c r="AN64" s="702"/>
      <c r="AO64" s="702"/>
      <c r="AP64" s="487"/>
      <c r="AQ64" s="487"/>
      <c r="AR64" s="487"/>
      <c r="AS64" s="487"/>
      <c r="AT64" s="487"/>
      <c r="AU64" s="487"/>
      <c r="AV64" s="487"/>
      <c r="AW64" s="487"/>
      <c r="AX64" s="487"/>
      <c r="AY64" s="487"/>
      <c r="AZ64" s="487"/>
      <c r="BA64" s="487"/>
      <c r="BB64" s="487"/>
      <c r="BC64" s="487"/>
      <c r="BD64" s="487"/>
      <c r="BE64" s="487"/>
      <c r="BF64" s="487"/>
      <c r="BG64" s="487"/>
    </row>
    <row r="65" spans="1:59" hidden="1" outlineLevel="1">
      <c r="A65" s="487"/>
      <c r="B65" s="701" t="str">
        <f>$B$44</f>
        <v>Year</v>
      </c>
      <c r="C65" s="487"/>
      <c r="D65" s="716">
        <f>(S65/S58-1)*100</f>
        <v>10.459203427507058</v>
      </c>
      <c r="E65" s="487"/>
      <c r="F65" s="717">
        <f>'qtrP&amp;L'!AJ14</f>
        <v>6.2</v>
      </c>
      <c r="G65" s="487"/>
      <c r="H65" s="716">
        <f>D65-F65</f>
        <v>4.2592034275070576</v>
      </c>
      <c r="I65" s="702"/>
      <c r="J65" s="487"/>
      <c r="K65" s="487"/>
      <c r="L65" s="724">
        <f>AVERAGE(L61:L64)</f>
        <v>1151.875</v>
      </c>
      <c r="M65" s="487"/>
      <c r="N65" s="716">
        <f>(L65/L58-1)*100</f>
        <v>-0.2057613168724326</v>
      </c>
      <c r="O65" s="702"/>
      <c r="P65" s="741" t="s">
        <v>145</v>
      </c>
      <c r="Q65" s="499"/>
      <c r="R65" s="487"/>
      <c r="S65" s="720">
        <f>SUM(S61:S64)</f>
        <v>7389.0690000000004</v>
      </c>
      <c r="T65" s="487"/>
      <c r="U65" s="721">
        <f>SUM(U61:U64)</f>
        <v>6.406153471124223</v>
      </c>
      <c r="V65" s="487"/>
      <c r="W65" s="740">
        <f>(U65/U58-1)*100</f>
        <v>10.447414805813171</v>
      </c>
      <c r="X65" s="702"/>
      <c r="Y65" s="487"/>
      <c r="Z65" s="735"/>
      <c r="AA65" s="487"/>
      <c r="AB65" s="722">
        <f>AVERAGE(AB61:AB64)</f>
        <v>34.379125000000002</v>
      </c>
      <c r="AC65" s="487"/>
      <c r="AD65" s="716">
        <f>(AB65/AB58-1)*100</f>
        <v>-0.35759377418002058</v>
      </c>
      <c r="AE65" s="702"/>
      <c r="AF65" s="719">
        <f>+H65/AD65*100</f>
        <v>-1191.0731492106127</v>
      </c>
      <c r="AG65" s="499"/>
      <c r="AH65" s="487"/>
      <c r="AI65" s="720">
        <f>SUM(AI61:AI64)</f>
        <v>7389.0690000000004</v>
      </c>
      <c r="AJ65" s="487"/>
      <c r="AK65" s="723">
        <f>SUM(AK61:AK64)</f>
        <v>214.63101484238456</v>
      </c>
      <c r="AL65" s="487"/>
      <c r="AM65" s="716">
        <f>(AK65/AK58-1)*100</f>
        <v>10.5998227300671</v>
      </c>
      <c r="AN65" s="702"/>
      <c r="AO65" s="702"/>
      <c r="AP65" s="487"/>
      <c r="AQ65" s="487"/>
      <c r="AR65" s="487"/>
      <c r="AS65" s="487"/>
      <c r="AT65" s="487"/>
      <c r="AU65" s="487"/>
      <c r="AV65" s="487"/>
      <c r="AW65" s="487"/>
      <c r="AX65" s="487"/>
      <c r="AY65" s="487"/>
      <c r="AZ65" s="487"/>
      <c r="BA65" s="487"/>
      <c r="BB65" s="487"/>
      <c r="BC65" s="487"/>
      <c r="BD65" s="487"/>
      <c r="BE65" s="487"/>
      <c r="BF65" s="487"/>
      <c r="BG65" s="487"/>
    </row>
    <row r="66" spans="1:59" hidden="1" outlineLevel="1">
      <c r="A66" s="487"/>
      <c r="B66" s="701"/>
      <c r="C66" s="487"/>
      <c r="D66" s="487"/>
      <c r="E66" s="487"/>
      <c r="F66" s="487"/>
      <c r="G66" s="487"/>
      <c r="H66" s="487"/>
      <c r="I66" s="702"/>
      <c r="J66" s="487"/>
      <c r="K66" s="487"/>
      <c r="L66" s="487"/>
      <c r="M66" s="487"/>
      <c r="N66" s="487"/>
      <c r="O66" s="702"/>
      <c r="P66" s="499"/>
      <c r="Q66" s="499"/>
      <c r="R66" s="487"/>
      <c r="S66" s="487"/>
      <c r="T66" s="487"/>
      <c r="U66" s="487"/>
      <c r="V66" s="487"/>
      <c r="W66" s="487"/>
      <c r="X66" s="702"/>
      <c r="Y66" s="487"/>
      <c r="Z66" s="735"/>
      <c r="AA66" s="487"/>
      <c r="AB66" s="487"/>
      <c r="AC66" s="487"/>
      <c r="AD66" s="487"/>
      <c r="AE66" s="702"/>
      <c r="AF66" s="499"/>
      <c r="AG66" s="499"/>
      <c r="AH66" s="487"/>
      <c r="AI66" s="487"/>
      <c r="AJ66" s="487"/>
      <c r="AK66" s="487"/>
      <c r="AL66" s="487"/>
      <c r="AM66" s="487"/>
      <c r="AN66" s="702"/>
      <c r="AO66" s="702"/>
      <c r="AP66" s="487"/>
      <c r="AQ66" s="487"/>
      <c r="AR66" s="487"/>
      <c r="AS66" s="487"/>
      <c r="AT66" s="487"/>
      <c r="AU66" s="487"/>
      <c r="AV66" s="487"/>
      <c r="AW66" s="487"/>
      <c r="AX66" s="487"/>
      <c r="AY66" s="487"/>
      <c r="AZ66" s="487"/>
      <c r="BA66" s="487"/>
      <c r="BB66" s="487"/>
      <c r="BC66" s="487"/>
      <c r="BD66" s="487"/>
      <c r="BE66" s="487"/>
      <c r="BF66" s="487"/>
      <c r="BG66" s="487"/>
    </row>
    <row r="67" spans="1:59" hidden="1" outlineLevel="1">
      <c r="A67" s="715"/>
      <c r="B67" s="736">
        <f>B60+1</f>
        <v>1998</v>
      </c>
      <c r="C67" s="487"/>
      <c r="D67" s="487"/>
      <c r="E67" s="487"/>
      <c r="F67" s="487"/>
      <c r="G67" s="487"/>
      <c r="H67" s="487"/>
      <c r="I67" s="702"/>
      <c r="J67" s="487"/>
      <c r="K67" s="487"/>
      <c r="L67" s="487"/>
      <c r="M67" s="487"/>
      <c r="N67" s="487"/>
      <c r="O67" s="702"/>
      <c r="P67" s="499"/>
      <c r="Q67" s="499"/>
      <c r="R67" s="487"/>
      <c r="S67" s="487"/>
      <c r="T67" s="487"/>
      <c r="U67" s="487"/>
      <c r="V67" s="487"/>
      <c r="W67" s="487"/>
      <c r="X67" s="702"/>
      <c r="Y67" s="487"/>
      <c r="Z67" s="735"/>
      <c r="AA67" s="487"/>
      <c r="AB67" s="487"/>
      <c r="AC67" s="487"/>
      <c r="AD67" s="487"/>
      <c r="AE67" s="702"/>
      <c r="AF67" s="499"/>
      <c r="AG67" s="499"/>
      <c r="AH67" s="487"/>
      <c r="AI67" s="487"/>
      <c r="AJ67" s="487"/>
      <c r="AK67" s="487"/>
      <c r="AL67" s="487"/>
      <c r="AM67" s="487"/>
      <c r="AN67" s="702"/>
      <c r="AO67" s="702"/>
      <c r="AP67" s="487"/>
      <c r="AQ67" s="487"/>
      <c r="AR67" s="487"/>
      <c r="AS67" s="487"/>
      <c r="AT67" s="487"/>
      <c r="AU67" s="487"/>
      <c r="AV67" s="487"/>
      <c r="AW67" s="487"/>
      <c r="AX67" s="487"/>
      <c r="AY67" s="487"/>
      <c r="AZ67" s="487"/>
      <c r="BA67" s="487"/>
      <c r="BB67" s="487"/>
      <c r="BC67" s="487"/>
      <c r="BD67" s="487"/>
      <c r="BE67" s="487"/>
      <c r="BF67" s="487"/>
      <c r="BG67" s="487"/>
    </row>
    <row r="68" spans="1:59" hidden="1" outlineLevel="1">
      <c r="A68" s="487" t="str">
        <f>$A$40</f>
        <v>1Q</v>
      </c>
      <c r="B68" s="701" t="str">
        <f>$B$40</f>
        <v>Apr</v>
      </c>
      <c r="C68" s="487"/>
      <c r="D68" s="716">
        <f>(S68/S61-1)*100</f>
        <v>12.408935038297585</v>
      </c>
      <c r="E68" s="702" t="s">
        <v>190</v>
      </c>
      <c r="F68" s="717">
        <f>'qtrP&amp;L'!AN10</f>
        <v>7</v>
      </c>
      <c r="G68" s="702" t="s">
        <v>190</v>
      </c>
      <c r="H68" s="716">
        <f>D68-F68</f>
        <v>5.4089350382975852</v>
      </c>
      <c r="I68" s="702" t="s">
        <v>190</v>
      </c>
      <c r="J68" s="718">
        <f>+Stores!CW81</f>
        <v>1184</v>
      </c>
      <c r="K68" s="487"/>
      <c r="L68" s="727">
        <f>AVERAGE(J68,J64)</f>
        <v>1177.5</v>
      </c>
      <c r="M68" s="487"/>
      <c r="N68" s="716">
        <f>(L68/L61-1)*100</f>
        <v>3.3347959631417234</v>
      </c>
      <c r="O68" s="702" t="s">
        <v>190</v>
      </c>
      <c r="P68" s="719">
        <f>H68/N68*100</f>
        <v>162.19688095105548</v>
      </c>
      <c r="Q68" s="499" t="s">
        <v>190</v>
      </c>
      <c r="R68" s="487"/>
      <c r="S68" s="720">
        <f>'qtrP&amp;L'!AL10</f>
        <v>1753.748</v>
      </c>
      <c r="T68" s="487"/>
      <c r="U68" s="721">
        <f>S68/L68</f>
        <v>1.4893825902335456</v>
      </c>
      <c r="V68" s="487"/>
      <c r="W68" s="740">
        <f>(U68/U61-1)*100</f>
        <v>8.7813006166794771</v>
      </c>
      <c r="X68" s="702" t="s">
        <v>190</v>
      </c>
      <c r="Y68" s="487"/>
      <c r="Z68" s="562">
        <f>Stores!DB81</f>
        <v>35.378</v>
      </c>
      <c r="AA68" s="487"/>
      <c r="AB68" s="722">
        <f>AVERAGE(Z68,Z64)</f>
        <v>35.197500000000005</v>
      </c>
      <c r="AC68" s="487"/>
      <c r="AD68" s="716">
        <f>(AB68/AB61-1)*100</f>
        <v>3.5540387472601687</v>
      </c>
      <c r="AE68" s="702" t="s">
        <v>190</v>
      </c>
      <c r="AF68" s="719">
        <f>+H68/AD68*100</f>
        <v>152.1912230829607</v>
      </c>
      <c r="AG68" s="499" t="s">
        <v>190</v>
      </c>
      <c r="AH68" s="487"/>
      <c r="AI68" s="720">
        <f>+S68</f>
        <v>1753.748</v>
      </c>
      <c r="AJ68" s="487"/>
      <c r="AK68" s="723">
        <f>AI68/AB68</f>
        <v>49.825925136728458</v>
      </c>
      <c r="AL68" s="487"/>
      <c r="AM68" s="716">
        <f>(AK68/AK61-1)*100</f>
        <v>8.5509907659412363</v>
      </c>
      <c r="AN68" s="702" t="s">
        <v>190</v>
      </c>
      <c r="AO68" s="702"/>
      <c r="AP68" s="487"/>
      <c r="AQ68" s="487"/>
      <c r="AR68" s="487"/>
      <c r="AS68" s="487"/>
      <c r="AT68" s="487"/>
      <c r="AU68" s="487"/>
      <c r="AV68" s="487"/>
      <c r="AW68" s="487"/>
      <c r="AX68" s="487"/>
      <c r="AY68" s="487"/>
      <c r="AZ68" s="487"/>
      <c r="BA68" s="487"/>
      <c r="BB68" s="487"/>
      <c r="BC68" s="487"/>
      <c r="BD68" s="487"/>
      <c r="BE68" s="487"/>
      <c r="BF68" s="487"/>
      <c r="BG68" s="487"/>
    </row>
    <row r="69" spans="1:59" hidden="1" outlineLevel="1">
      <c r="A69" s="487" t="str">
        <f>$A$41</f>
        <v>2Q</v>
      </c>
      <c r="B69" s="701" t="str">
        <f>$B$41</f>
        <v>Jul</v>
      </c>
      <c r="C69" s="487"/>
      <c r="D69" s="716">
        <f>(S69/S62-1)*100</f>
        <v>9.9681341896828091</v>
      </c>
      <c r="E69" s="487"/>
      <c r="F69" s="717">
        <f>'qtrP&amp;L'!AN11</f>
        <v>7</v>
      </c>
      <c r="G69" s="487"/>
      <c r="H69" s="716">
        <f>D69-F69</f>
        <v>2.9681341896828091</v>
      </c>
      <c r="I69" s="702"/>
      <c r="J69" s="718">
        <f>+Stores!CW82</f>
        <v>1198</v>
      </c>
      <c r="K69" s="487"/>
      <c r="L69" s="727">
        <f>AVERAGE(J69,J68)</f>
        <v>1191</v>
      </c>
      <c r="M69" s="487"/>
      <c r="N69" s="716">
        <f>(L69/L62-1)*100</f>
        <v>4.2907180385288957</v>
      </c>
      <c r="O69" s="702"/>
      <c r="P69" s="719">
        <f>H69/N69*100</f>
        <v>69.175698869750377</v>
      </c>
      <c r="Q69" s="499"/>
      <c r="R69" s="487"/>
      <c r="S69" s="725">
        <f>'qtrP&amp;L'!AL11</f>
        <v>1867.6679999999999</v>
      </c>
      <c r="T69" s="487"/>
      <c r="U69" s="726">
        <f>S69/L69</f>
        <v>1.5681511335012595</v>
      </c>
      <c r="V69" s="487"/>
      <c r="W69" s="740">
        <f>(U69/U62-1)*100</f>
        <v>5.4438364774288761</v>
      </c>
      <c r="X69" s="702"/>
      <c r="Y69" s="487"/>
      <c r="Z69" s="562">
        <f>Stores!DB82</f>
        <v>35.786000000000001</v>
      </c>
      <c r="AA69" s="487"/>
      <c r="AB69" s="722">
        <f>AVERAGE(Z69,Z68)</f>
        <v>35.582000000000001</v>
      </c>
      <c r="AC69" s="487"/>
      <c r="AD69" s="716">
        <f>(AB69/AB62-1)*100</f>
        <v>4.3766500440011624</v>
      </c>
      <c r="AE69" s="702"/>
      <c r="AF69" s="719">
        <f>+H69/AD69*100</f>
        <v>67.817489628878818</v>
      </c>
      <c r="AG69" s="499"/>
      <c r="AH69" s="487"/>
      <c r="AI69" s="725">
        <f>+S69</f>
        <v>1867.6679999999999</v>
      </c>
      <c r="AJ69" s="487"/>
      <c r="AK69" s="727">
        <f>AI69/AB69</f>
        <v>52.489123714237529</v>
      </c>
      <c r="AL69" s="487"/>
      <c r="AM69" s="716">
        <f>(AK69/AK62-1)*100</f>
        <v>5.3570258705605944</v>
      </c>
      <c r="AN69" s="702"/>
      <c r="AO69" s="702"/>
      <c r="AP69" s="487"/>
      <c r="AQ69" s="487"/>
      <c r="AR69" s="487"/>
      <c r="AS69" s="487"/>
      <c r="AT69" s="487"/>
      <c r="AU69" s="487"/>
      <c r="AV69" s="487"/>
      <c r="AW69" s="487"/>
      <c r="AX69" s="487"/>
      <c r="AY69" s="487"/>
      <c r="AZ69" s="487"/>
      <c r="BA69" s="487"/>
      <c r="BB69" s="487"/>
      <c r="BC69" s="487"/>
      <c r="BD69" s="487"/>
      <c r="BE69" s="487"/>
      <c r="BF69" s="487"/>
      <c r="BG69" s="487"/>
    </row>
    <row r="70" spans="1:59" hidden="1" outlineLevel="1">
      <c r="A70" s="487" t="str">
        <f>$A$42</f>
        <v>3Q</v>
      </c>
      <c r="B70" s="701" t="str">
        <f>$B$42</f>
        <v>Oct</v>
      </c>
      <c r="C70" s="487"/>
      <c r="D70" s="716">
        <f>(S70/S63-1)*100</f>
        <v>6.1347207021462014</v>
      </c>
      <c r="E70" s="487"/>
      <c r="F70" s="717">
        <f>'qtrP&amp;L'!AN12</f>
        <v>1</v>
      </c>
      <c r="G70" s="487"/>
      <c r="H70" s="716">
        <f>D70-F70</f>
        <v>5.1347207021462014</v>
      </c>
      <c r="I70" s="702"/>
      <c r="J70" s="718">
        <f>+Stores!CW83</f>
        <v>1233</v>
      </c>
      <c r="K70" s="487"/>
      <c r="L70" s="727">
        <f>AVERAGE(J70,J69)</f>
        <v>1215.5</v>
      </c>
      <c r="M70" s="487"/>
      <c r="N70" s="716">
        <f>(L70/L63-1)*100</f>
        <v>5.1925573344872245</v>
      </c>
      <c r="O70" s="702"/>
      <c r="P70" s="719">
        <f>H70/N70*100</f>
        <v>98.886162855499123</v>
      </c>
      <c r="Q70" s="499"/>
      <c r="R70" s="487"/>
      <c r="S70" s="725">
        <f>'qtrP&amp;L'!AL12</f>
        <v>2003.5029999999999</v>
      </c>
      <c r="T70" s="487"/>
      <c r="U70" s="726">
        <f>S70/L70</f>
        <v>1.6482953517071164</v>
      </c>
      <c r="V70" s="487"/>
      <c r="W70" s="740">
        <f>(U70/U63-1)*100</f>
        <v>0.8956559204688963</v>
      </c>
      <c r="X70" s="702"/>
      <c r="Y70" s="487"/>
      <c r="Z70" s="562">
        <f>Stores!DB83</f>
        <v>36.676000000000002</v>
      </c>
      <c r="AA70" s="487"/>
      <c r="AB70" s="722">
        <f>AVERAGE(Z70,Z69)</f>
        <v>36.231000000000002</v>
      </c>
      <c r="AC70" s="487"/>
      <c r="AD70" s="716">
        <f>(AB70/AB63-1)*100</f>
        <v>5.0539318023660407</v>
      </c>
      <c r="AE70" s="702"/>
      <c r="AF70" s="719">
        <f>+H70/AD70*100</f>
        <v>101.59853561423877</v>
      </c>
      <c r="AG70" s="499"/>
      <c r="AH70" s="487"/>
      <c r="AI70" s="725">
        <f>+S70</f>
        <v>2003.5029999999999</v>
      </c>
      <c r="AJ70" s="487"/>
      <c r="AK70" s="727">
        <f>AI70/AB70</f>
        <v>55.298032071982554</v>
      </c>
      <c r="AL70" s="487"/>
      <c r="AM70" s="740">
        <f>(AK70/AK63-1)*100</f>
        <v>1.0287943356688478</v>
      </c>
      <c r="AN70" s="702"/>
      <c r="AO70" s="702"/>
      <c r="AP70" s="487"/>
      <c r="AQ70" s="487"/>
      <c r="AR70" s="487"/>
      <c r="AS70" s="487"/>
      <c r="AT70" s="487"/>
      <c r="AU70" s="487"/>
      <c r="AV70" s="487"/>
      <c r="AW70" s="487"/>
      <c r="AX70" s="487"/>
      <c r="AY70" s="487"/>
      <c r="AZ70" s="487"/>
      <c r="BA70" s="487"/>
      <c r="BB70" s="487"/>
      <c r="BC70" s="487"/>
      <c r="BD70" s="487"/>
      <c r="BE70" s="487"/>
      <c r="BF70" s="487"/>
      <c r="BG70" s="487"/>
    </row>
    <row r="71" spans="1:59" hidden="1" outlineLevel="1">
      <c r="A71" s="487" t="str">
        <f>$A$43</f>
        <v>4Q</v>
      </c>
      <c r="B71" s="701" t="str">
        <f>$B$43</f>
        <v>Jan</v>
      </c>
      <c r="C71" s="487"/>
      <c r="D71" s="728">
        <f>(S71/S64-1)*100</f>
        <v>3.6160704532494092</v>
      </c>
      <c r="E71" s="487"/>
      <c r="F71" s="729">
        <f>'qtrP&amp;L'!AN13</f>
        <v>4</v>
      </c>
      <c r="G71" s="487"/>
      <c r="H71" s="728">
        <f>D71-F71</f>
        <v>-0.38392954675059077</v>
      </c>
      <c r="I71" s="702"/>
      <c r="J71" s="727">
        <f>yrSales!J$20</f>
        <v>1246</v>
      </c>
      <c r="K71" s="487"/>
      <c r="L71" s="734">
        <f>AVERAGE(J71,J70)</f>
        <v>1239.5</v>
      </c>
      <c r="M71" s="487"/>
      <c r="N71" s="728">
        <f>(L71/L64-1)*100</f>
        <v>5.8949167022639859</v>
      </c>
      <c r="O71" s="702"/>
      <c r="P71" s="730">
        <f>H71/N71*100</f>
        <v>-6.5128918039357515</v>
      </c>
      <c r="Q71" s="499"/>
      <c r="R71" s="487"/>
      <c r="S71" s="731">
        <f>'qtrP&amp;L'!AL13</f>
        <v>2323.9520000000002</v>
      </c>
      <c r="T71" s="487"/>
      <c r="U71" s="732">
        <f>S71/L71</f>
        <v>1.8749108511496573</v>
      </c>
      <c r="V71" s="487"/>
      <c r="W71" s="729">
        <f>(U71/U64-1)*100</f>
        <v>-2.151988329545429</v>
      </c>
      <c r="X71" s="702"/>
      <c r="Y71" s="487"/>
      <c r="Z71" s="562">
        <f>yrSales!J$31</f>
        <v>37.126000000000005</v>
      </c>
      <c r="AA71" s="487"/>
      <c r="AB71" s="733">
        <f>AVERAGE(Z71,Z70)</f>
        <v>36.901000000000003</v>
      </c>
      <c r="AC71" s="487"/>
      <c r="AD71" s="728">
        <f>(AB71/AB64-1)*100</f>
        <v>5.5852814100546766</v>
      </c>
      <c r="AE71" s="702"/>
      <c r="AF71" s="730">
        <f>+H71/AD71*100</f>
        <v>-6.8739517056282455</v>
      </c>
      <c r="AG71" s="499"/>
      <c r="AH71" s="487"/>
      <c r="AI71" s="731">
        <f>+S71</f>
        <v>2323.9520000000002</v>
      </c>
      <c r="AJ71" s="487"/>
      <c r="AK71" s="734">
        <f>AI71/AB71</f>
        <v>62.978022275819086</v>
      </c>
      <c r="AL71" s="487"/>
      <c r="AM71" s="729">
        <f>(AK71/AK64-1)*100</f>
        <v>-1.8650430538301621</v>
      </c>
      <c r="AN71" s="702"/>
      <c r="AO71" s="702"/>
      <c r="AP71" s="487"/>
      <c r="AQ71" s="487"/>
      <c r="AR71" s="487"/>
      <c r="AS71" s="487"/>
      <c r="AT71" s="487"/>
      <c r="AU71" s="487"/>
      <c r="AV71" s="487"/>
      <c r="AW71" s="487"/>
      <c r="AX71" s="487"/>
      <c r="AY71" s="487"/>
      <c r="AZ71" s="487"/>
      <c r="BA71" s="487"/>
      <c r="BB71" s="487"/>
      <c r="BC71" s="487"/>
      <c r="BD71" s="487"/>
      <c r="BE71" s="487"/>
      <c r="BF71" s="487"/>
      <c r="BG71" s="487"/>
    </row>
    <row r="72" spans="1:59" hidden="1" outlineLevel="1">
      <c r="A72" s="487"/>
      <c r="B72" s="701" t="str">
        <f>$B$44</f>
        <v>Year</v>
      </c>
      <c r="C72" s="487"/>
      <c r="D72" s="716">
        <f>(S72/S65-1)*100</f>
        <v>7.5760829950295427</v>
      </c>
      <c r="E72" s="487"/>
      <c r="F72" s="717">
        <f>'qtrP&amp;L'!AN14</f>
        <v>4.6106199232570262</v>
      </c>
      <c r="G72" s="487"/>
      <c r="H72" s="716">
        <f>D72-F72</f>
        <v>2.9654630717725166</v>
      </c>
      <c r="I72" s="702"/>
      <c r="J72" s="487"/>
      <c r="K72" s="487"/>
      <c r="L72" s="727">
        <f>AVERAGE(L68:L71)</f>
        <v>1205.875</v>
      </c>
      <c r="M72" s="487"/>
      <c r="N72" s="716">
        <f>(L72/L65-1)*100</f>
        <v>4.6880086814975686</v>
      </c>
      <c r="O72" s="702"/>
      <c r="P72" s="719">
        <f>H72/N72*100</f>
        <v>63.25634769996222</v>
      </c>
      <c r="Q72" s="499"/>
      <c r="R72" s="487"/>
      <c r="S72" s="720">
        <f>SUM(S68:S71)</f>
        <v>7948.8710000000001</v>
      </c>
      <c r="T72" s="487"/>
      <c r="U72" s="721">
        <f>SUM(U68:U71)</f>
        <v>6.580739926591578</v>
      </c>
      <c r="V72" s="487"/>
      <c r="W72" s="740">
        <f>(U72/U65-1)*100</f>
        <v>2.7252930522864371</v>
      </c>
      <c r="X72" s="702"/>
      <c r="Y72" s="487"/>
      <c r="Z72" s="735"/>
      <c r="AA72" s="487"/>
      <c r="AB72" s="722">
        <f>AVERAGE(AB68:AB71)</f>
        <v>35.977875000000004</v>
      </c>
      <c r="AC72" s="487"/>
      <c r="AD72" s="716">
        <f>(AB72/AB65-1)*100</f>
        <v>4.6503510487832411</v>
      </c>
      <c r="AE72" s="702"/>
      <c r="AF72" s="719">
        <f>+H72/AD72*100</f>
        <v>63.768585224300999</v>
      </c>
      <c r="AG72" s="499"/>
      <c r="AH72" s="487"/>
      <c r="AI72" s="720">
        <f>SUM(AI68:AI71)</f>
        <v>7948.8710000000001</v>
      </c>
      <c r="AJ72" s="487"/>
      <c r="AK72" s="723">
        <f>SUM(AK68:AK71)</f>
        <v>220.59110319876763</v>
      </c>
      <c r="AL72" s="487"/>
      <c r="AM72" s="740">
        <f>(AK72/AK65-1)*100</f>
        <v>2.7768998626595875</v>
      </c>
      <c r="AN72" s="702"/>
      <c r="AO72" s="702"/>
      <c r="AP72" s="487"/>
      <c r="AQ72" s="487"/>
      <c r="AR72" s="487"/>
      <c r="AS72" s="487"/>
      <c r="AT72" s="487"/>
      <c r="AU72" s="487"/>
      <c r="AV72" s="487"/>
      <c r="AW72" s="487"/>
      <c r="AX72" s="487"/>
      <c r="AY72" s="487"/>
      <c r="AZ72" s="487"/>
      <c r="BA72" s="487"/>
      <c r="BB72" s="487"/>
      <c r="BC72" s="487"/>
      <c r="BD72" s="487"/>
      <c r="BE72" s="487"/>
      <c r="BF72" s="487"/>
      <c r="BG72" s="487"/>
    </row>
    <row r="73" spans="1:59" hidden="1" outlineLevel="1">
      <c r="A73" s="487"/>
      <c r="B73" s="701"/>
      <c r="C73" s="487"/>
      <c r="D73" s="487"/>
      <c r="E73" s="487"/>
      <c r="F73" s="487"/>
      <c r="G73" s="487"/>
      <c r="H73" s="487"/>
      <c r="I73" s="702"/>
      <c r="J73" s="487"/>
      <c r="K73" s="487"/>
      <c r="L73" s="487"/>
      <c r="M73" s="487"/>
      <c r="N73" s="487"/>
      <c r="O73" s="702"/>
      <c r="P73" s="499"/>
      <c r="Q73" s="499"/>
      <c r="R73" s="487"/>
      <c r="S73" s="487"/>
      <c r="T73" s="487"/>
      <c r="U73" s="487"/>
      <c r="V73" s="487"/>
      <c r="W73" s="487"/>
      <c r="X73" s="702"/>
      <c r="Y73" s="487"/>
      <c r="Z73" s="487"/>
      <c r="AA73" s="487"/>
      <c r="AB73" s="487"/>
      <c r="AC73" s="487"/>
      <c r="AD73" s="487"/>
      <c r="AE73" s="702"/>
      <c r="AF73" s="499"/>
      <c r="AG73" s="499"/>
      <c r="AH73" s="487"/>
      <c r="AI73" s="487"/>
      <c r="AJ73" s="487"/>
      <c r="AK73" s="487"/>
      <c r="AL73" s="487"/>
      <c r="AM73" s="487"/>
      <c r="AN73" s="702"/>
      <c r="AO73" s="702"/>
      <c r="AP73" s="487"/>
      <c r="AQ73" s="487"/>
      <c r="AR73" s="487"/>
      <c r="AS73" s="487"/>
      <c r="AT73" s="487"/>
      <c r="AU73" s="487"/>
      <c r="AV73" s="487"/>
      <c r="AW73" s="487"/>
      <c r="AX73" s="487"/>
      <c r="AY73" s="487"/>
      <c r="AZ73" s="487"/>
      <c r="BA73" s="487"/>
      <c r="BB73" s="487"/>
      <c r="BC73" s="487"/>
      <c r="BD73" s="487"/>
      <c r="BE73" s="487"/>
      <c r="BF73" s="487"/>
      <c r="BG73" s="487"/>
    </row>
    <row r="74" spans="1:59" hidden="1" outlineLevel="1" collapsed="1">
      <c r="A74" s="715"/>
      <c r="B74" s="736">
        <f>B67+1</f>
        <v>1999</v>
      </c>
      <c r="C74" s="487"/>
      <c r="D74" s="487"/>
      <c r="E74" s="487"/>
      <c r="F74" s="487"/>
      <c r="G74" s="487"/>
      <c r="H74" s="487"/>
      <c r="I74" s="702"/>
      <c r="J74" s="487"/>
      <c r="K74" s="487"/>
      <c r="L74" s="487"/>
      <c r="M74" s="487"/>
      <c r="N74" s="487"/>
      <c r="O74" s="702"/>
      <c r="P74" s="499"/>
      <c r="Q74" s="499"/>
      <c r="R74" s="487"/>
      <c r="S74" s="487"/>
      <c r="T74" s="487"/>
      <c r="U74" s="487"/>
      <c r="V74" s="487"/>
      <c r="W74" s="487"/>
      <c r="X74" s="702"/>
      <c r="Y74" s="487"/>
      <c r="Z74" s="487"/>
      <c r="AA74" s="487"/>
      <c r="AB74" s="487"/>
      <c r="AC74" s="487"/>
      <c r="AD74" s="487"/>
      <c r="AE74" s="702"/>
      <c r="AF74" s="499"/>
      <c r="AG74" s="499"/>
      <c r="AH74" s="487"/>
      <c r="AI74" s="487"/>
      <c r="AJ74" s="487"/>
      <c r="AK74" s="487"/>
      <c r="AL74" s="487"/>
      <c r="AM74" s="487"/>
      <c r="AN74" s="702"/>
      <c r="AO74" s="702"/>
      <c r="AP74" s="487"/>
      <c r="AQ74" s="487"/>
      <c r="AR74" s="487"/>
      <c r="AS74" s="487"/>
      <c r="AT74" s="487"/>
      <c r="AU74" s="487"/>
      <c r="AV74" s="487"/>
      <c r="AW74" s="487"/>
      <c r="AX74" s="487"/>
      <c r="AY74" s="487"/>
      <c r="AZ74" s="487"/>
      <c r="BA74" s="487"/>
      <c r="BB74" s="487"/>
      <c r="BC74" s="487"/>
      <c r="BD74" s="487"/>
      <c r="BE74" s="487"/>
      <c r="BF74" s="487"/>
      <c r="BG74" s="487"/>
    </row>
    <row r="75" spans="1:59" hidden="1" outlineLevel="1">
      <c r="A75" s="487" t="str">
        <f>$A$40</f>
        <v>1Q</v>
      </c>
      <c r="B75" s="701" t="str">
        <f>$B$40</f>
        <v>Apr</v>
      </c>
      <c r="C75" s="487"/>
      <c r="D75" s="716">
        <f>(S75/S68-1)*100</f>
        <v>10.078871080679775</v>
      </c>
      <c r="E75" s="702" t="s">
        <v>190</v>
      </c>
      <c r="F75" s="717">
        <f>'qtrP&amp;L'!AR10</f>
        <v>5</v>
      </c>
      <c r="G75" s="702" t="s">
        <v>190</v>
      </c>
      <c r="H75" s="716">
        <f>D75-F75</f>
        <v>5.0788710806797752</v>
      </c>
      <c r="I75" s="702" t="s">
        <v>190</v>
      </c>
      <c r="J75" s="718">
        <f>+Stores!CW89</f>
        <v>1273</v>
      </c>
      <c r="K75" s="487"/>
      <c r="L75" s="727">
        <f>AVERAGE(J75,J71)</f>
        <v>1259.5</v>
      </c>
      <c r="M75" s="487"/>
      <c r="N75" s="716">
        <f>(L75/L68-1)*100</f>
        <v>6.9639065817409751</v>
      </c>
      <c r="O75" s="702" t="s">
        <v>190</v>
      </c>
      <c r="P75" s="719">
        <f>H75/N75*100</f>
        <v>72.931349969517527</v>
      </c>
      <c r="Q75" s="499" t="s">
        <v>190</v>
      </c>
      <c r="R75" s="487"/>
      <c r="S75" s="720">
        <f>'qtrP&amp;L'!AP10</f>
        <v>1930.5060000000001</v>
      </c>
      <c r="T75" s="487"/>
      <c r="U75" s="721">
        <f>S75/L75</f>
        <v>1.5327558554982137</v>
      </c>
      <c r="V75" s="487"/>
      <c r="W75" s="740">
        <f>(U75/U68-1)*100</f>
        <v>2.9121641107586083</v>
      </c>
      <c r="X75" s="702" t="s">
        <v>190</v>
      </c>
      <c r="Y75" s="487"/>
      <c r="Z75" s="562">
        <f>Stores!DB89</f>
        <v>37.940000000000005</v>
      </c>
      <c r="AA75" s="487"/>
      <c r="AB75" s="722">
        <f>AVERAGE(Z75,Z71)</f>
        <v>37.533000000000001</v>
      </c>
      <c r="AC75" s="487"/>
      <c r="AD75" s="716">
        <f>(AB75/AB68-1)*100</f>
        <v>6.6354144470487819</v>
      </c>
      <c r="AE75" s="702" t="s">
        <v>190</v>
      </c>
      <c r="AF75" s="719">
        <f>+H75/AD75*100</f>
        <v>76.541881765029657</v>
      </c>
      <c r="AG75" s="499" t="s">
        <v>190</v>
      </c>
      <c r="AH75" s="487"/>
      <c r="AI75" s="720">
        <f>+S75</f>
        <v>1930.5060000000001</v>
      </c>
      <c r="AJ75" s="487"/>
      <c r="AK75" s="723">
        <f>AI75/AB75</f>
        <v>51.434897290384463</v>
      </c>
      <c r="AL75" s="487"/>
      <c r="AM75" s="716">
        <f>(AK75/AK68-1)*100</f>
        <v>3.2291867120194606</v>
      </c>
      <c r="AN75" s="702" t="s">
        <v>190</v>
      </c>
      <c r="AO75" s="702"/>
      <c r="AP75" s="487"/>
      <c r="AQ75" s="487"/>
      <c r="AR75" s="487"/>
      <c r="AS75" s="487"/>
      <c r="AT75" s="487"/>
      <c r="AU75" s="487"/>
      <c r="AV75" s="487"/>
      <c r="AW75" s="487"/>
      <c r="AX75" s="487"/>
      <c r="AY75" s="487"/>
      <c r="AZ75" s="487"/>
      <c r="BA75" s="487"/>
      <c r="BB75" s="487"/>
      <c r="BC75" s="487"/>
      <c r="BD75" s="487"/>
      <c r="BE75" s="487"/>
      <c r="BF75" s="487"/>
      <c r="BG75" s="487"/>
    </row>
    <row r="76" spans="1:59" hidden="1" outlineLevel="1">
      <c r="A76" s="487" t="str">
        <f>$A$41</f>
        <v>2Q</v>
      </c>
      <c r="B76" s="701" t="str">
        <f>$B$41</f>
        <v>Jul</v>
      </c>
      <c r="C76" s="487"/>
      <c r="D76" s="716">
        <f>(S76/S69-1)*100</f>
        <v>12.59233439776235</v>
      </c>
      <c r="E76" s="702"/>
      <c r="F76" s="717">
        <f>'qtrP&amp;L'!AR11</f>
        <v>7</v>
      </c>
      <c r="G76" s="702"/>
      <c r="H76" s="716">
        <f>D76-F76</f>
        <v>5.5923343977623503</v>
      </c>
      <c r="I76" s="702"/>
      <c r="J76" s="718">
        <f>+Stores!CW90</f>
        <v>1288</v>
      </c>
      <c r="K76" s="487"/>
      <c r="L76" s="727">
        <f>AVERAGE(J76,J75)</f>
        <v>1280.5</v>
      </c>
      <c r="M76" s="487"/>
      <c r="N76" s="716">
        <f>(L76/L69-1)*100</f>
        <v>7.5146935348446631</v>
      </c>
      <c r="O76" s="702"/>
      <c r="P76" s="719">
        <f>H76/N76*100</f>
        <v>74.418662209329199</v>
      </c>
      <c r="Q76" s="499"/>
      <c r="R76" s="487"/>
      <c r="S76" s="725">
        <f>'qtrP&amp;L'!AP11</f>
        <v>2102.8510000000001</v>
      </c>
      <c r="T76" s="487"/>
      <c r="U76" s="726">
        <f>S76/L76</f>
        <v>1.642210855134713</v>
      </c>
      <c r="V76" s="487"/>
      <c r="W76" s="740">
        <f>(U76/U69-1)*100</f>
        <v>4.7227413258375206</v>
      </c>
      <c r="X76" s="702"/>
      <c r="Y76" s="487"/>
      <c r="Z76" s="562">
        <f>Stores!DB90</f>
        <v>38.219999999999992</v>
      </c>
      <c r="AA76" s="487"/>
      <c r="AB76" s="722">
        <f>AVERAGE(Z76,Z75)</f>
        <v>38.08</v>
      </c>
      <c r="AC76" s="487"/>
      <c r="AD76" s="716">
        <f>(AB76/AB69-1)*100</f>
        <v>7.0204035748411941</v>
      </c>
      <c r="AE76" s="702"/>
      <c r="AF76" s="719">
        <f>+H76/AD76*100</f>
        <v>79.658303659399692</v>
      </c>
      <c r="AG76" s="499"/>
      <c r="AH76" s="487"/>
      <c r="AI76" s="725">
        <f>+S76</f>
        <v>2102.8510000000001</v>
      </c>
      <c r="AJ76" s="487"/>
      <c r="AK76" s="727">
        <f>AI76/AB76</f>
        <v>55.221927521008411</v>
      </c>
      <c r="AL76" s="487"/>
      <c r="AM76" s="716">
        <f>(AK76/AK69-1)*100</f>
        <v>5.2064191843797403</v>
      </c>
      <c r="AN76" s="702"/>
      <c r="AO76" s="702"/>
      <c r="AP76" s="487"/>
      <c r="AQ76" s="487"/>
      <c r="AR76" s="487"/>
      <c r="AS76" s="487"/>
      <c r="AT76" s="487"/>
      <c r="AU76" s="487"/>
      <c r="AV76" s="487"/>
      <c r="AW76" s="487"/>
      <c r="AX76" s="487"/>
      <c r="AY76" s="487"/>
      <c r="AZ76" s="487"/>
      <c r="BA76" s="487"/>
      <c r="BB76" s="487"/>
      <c r="BC76" s="487"/>
      <c r="BD76" s="487"/>
      <c r="BE76" s="487"/>
      <c r="BF76" s="487"/>
      <c r="BG76" s="487"/>
    </row>
    <row r="77" spans="1:59" hidden="1" outlineLevel="1">
      <c r="A77" s="487" t="str">
        <f>$A$42</f>
        <v>3Q</v>
      </c>
      <c r="B77" s="701" t="str">
        <f>$B$42</f>
        <v>Oct</v>
      </c>
      <c r="C77" s="487"/>
      <c r="D77" s="716">
        <f>(S77/S70-1)*100</f>
        <v>11.557307376130721</v>
      </c>
      <c r="E77" s="702"/>
      <c r="F77" s="717">
        <f>'qtrP&amp;L'!AR12</f>
        <v>5</v>
      </c>
      <c r="G77" s="702"/>
      <c r="H77" s="716">
        <f>D77-F77</f>
        <v>6.557307376130721</v>
      </c>
      <c r="I77" s="702"/>
      <c r="J77" s="718">
        <f>+Stores!CW91</f>
        <v>1332</v>
      </c>
      <c r="K77" s="487"/>
      <c r="L77" s="727">
        <f>AVERAGE(J77,J76)</f>
        <v>1310</v>
      </c>
      <c r="M77" s="487"/>
      <c r="N77" s="716">
        <f>(L77/L70-1)*100</f>
        <v>7.7745783628136556</v>
      </c>
      <c r="O77" s="702"/>
      <c r="P77" s="719">
        <f>H77/N77*100</f>
        <v>84.34293244113114</v>
      </c>
      <c r="Q77" s="499"/>
      <c r="R77" s="487"/>
      <c r="S77" s="725">
        <f>'qtrP&amp;L'!AP12</f>
        <v>2235.0540000000001</v>
      </c>
      <c r="T77" s="487"/>
      <c r="U77" s="726">
        <f>S77/L77</f>
        <v>1.7061480916030536</v>
      </c>
      <c r="V77" s="487"/>
      <c r="W77" s="740">
        <f>(U77/U70-1)*100</f>
        <v>3.5098527600663232</v>
      </c>
      <c r="X77" s="702"/>
      <c r="Y77" s="487"/>
      <c r="Z77" s="562">
        <f>Stores!DB91</f>
        <v>39.423999999999999</v>
      </c>
      <c r="AA77" s="487"/>
      <c r="AB77" s="722">
        <f>AVERAGE(Z77,Z76)</f>
        <v>38.821999999999996</v>
      </c>
      <c r="AC77" s="487"/>
      <c r="AD77" s="716">
        <f>(AB77/AB70-1)*100</f>
        <v>7.1513344925616007</v>
      </c>
      <c r="AE77" s="702"/>
      <c r="AF77" s="719">
        <f>+H77/AD77*100</f>
        <v>91.693478789885276</v>
      </c>
      <c r="AG77" s="499"/>
      <c r="AH77" s="487"/>
      <c r="AI77" s="725">
        <f>+S77</f>
        <v>2235.0540000000001</v>
      </c>
      <c r="AJ77" s="487"/>
      <c r="AK77" s="727">
        <f>AI77/AB77</f>
        <v>57.571840708876422</v>
      </c>
      <c r="AL77" s="487"/>
      <c r="AM77" s="740">
        <f>(AK77/AK70-1)*100</f>
        <v>4.1119160152643497</v>
      </c>
      <c r="AN77" s="702"/>
      <c r="AO77" s="702"/>
      <c r="AP77" s="487"/>
      <c r="AQ77" s="487"/>
      <c r="AR77" s="487"/>
      <c r="AS77" s="487"/>
      <c r="AT77" s="487"/>
      <c r="AU77" s="487"/>
      <c r="AV77" s="487"/>
      <c r="AW77" s="487"/>
      <c r="AX77" s="487"/>
      <c r="AY77" s="487"/>
      <c r="AZ77" s="487"/>
      <c r="BA77" s="487"/>
      <c r="BB77" s="487"/>
      <c r="BC77" s="487"/>
      <c r="BD77" s="487"/>
      <c r="BE77" s="487"/>
      <c r="BF77" s="487"/>
      <c r="BG77" s="487"/>
    </row>
    <row r="78" spans="1:59" hidden="1" outlineLevel="1">
      <c r="A78" s="487" t="str">
        <f>$A$43</f>
        <v>4Q</v>
      </c>
      <c r="B78" s="701" t="str">
        <f>$B$43</f>
        <v>Jan</v>
      </c>
      <c r="C78" s="487"/>
      <c r="D78" s="728">
        <f>(S78/S71-1)*100</f>
        <v>8.7344316922208343</v>
      </c>
      <c r="E78" s="702"/>
      <c r="F78" s="729">
        <f>'qtrP&amp;L'!AR13</f>
        <v>2</v>
      </c>
      <c r="G78" s="702"/>
      <c r="H78" s="728">
        <f>D78-F78</f>
        <v>6.7344316922208343</v>
      </c>
      <c r="I78" s="702"/>
      <c r="J78" s="727">
        <f>yrSales!K$20</f>
        <v>1357</v>
      </c>
      <c r="K78" s="487"/>
      <c r="L78" s="734">
        <f>AVERAGE(J78,J77)</f>
        <v>1344.5</v>
      </c>
      <c r="M78" s="487"/>
      <c r="N78" s="728">
        <f>(L78/L71-1)*100</f>
        <v>8.4711577248890677</v>
      </c>
      <c r="O78" s="702"/>
      <c r="P78" s="730">
        <f>H78/N78*100</f>
        <v>79.498362690549769</v>
      </c>
      <c r="Q78" s="499"/>
      <c r="R78" s="487"/>
      <c r="S78" s="731">
        <f>'qtrP&amp;L'!AP13</f>
        <v>2526.9360000000001</v>
      </c>
      <c r="T78" s="487"/>
      <c r="U78" s="732">
        <f>S78/L78</f>
        <v>1.8794615098549647</v>
      </c>
      <c r="V78" s="487"/>
      <c r="W78" s="729">
        <f>(U78/U71-1)*100</f>
        <v>0.24271333767773573</v>
      </c>
      <c r="X78" s="702"/>
      <c r="Y78" s="487"/>
      <c r="Z78" s="562">
        <f>yrSales!K$31</f>
        <v>40.165000000000006</v>
      </c>
      <c r="AA78" s="487"/>
      <c r="AB78" s="733">
        <f>AVERAGE(Z78,Z77)</f>
        <v>39.794499999999999</v>
      </c>
      <c r="AC78" s="487"/>
      <c r="AD78" s="728">
        <f>(AB78/AB71-1)*100</f>
        <v>7.8412509146093434</v>
      </c>
      <c r="AE78" s="702"/>
      <c r="AF78" s="730">
        <f>+H78/AD78*100</f>
        <v>85.884660056900472</v>
      </c>
      <c r="AG78" s="499"/>
      <c r="AH78" s="487"/>
      <c r="AI78" s="731">
        <f>+S78</f>
        <v>2526.9360000000001</v>
      </c>
      <c r="AJ78" s="487"/>
      <c r="AK78" s="734">
        <f>AI78/AB78</f>
        <v>63.499629345763864</v>
      </c>
      <c r="AL78" s="487"/>
      <c r="AM78" s="729">
        <f>(AK78/AK71-1)*100</f>
        <v>0.82823666272076046</v>
      </c>
      <c r="AN78" s="702"/>
      <c r="AO78" s="702"/>
      <c r="AP78" s="487"/>
      <c r="AQ78" s="487"/>
      <c r="AR78" s="487"/>
      <c r="AS78" s="487"/>
      <c r="AT78" s="487"/>
      <c r="AU78" s="487"/>
      <c r="AV78" s="487"/>
      <c r="AW78" s="487"/>
      <c r="AX78" s="487"/>
      <c r="AY78" s="487"/>
      <c r="AZ78" s="487"/>
      <c r="BA78" s="487"/>
      <c r="BB78" s="487"/>
      <c r="BC78" s="487"/>
      <c r="BD78" s="487"/>
      <c r="BE78" s="487"/>
      <c r="BF78" s="487"/>
      <c r="BG78" s="487"/>
    </row>
    <row r="79" spans="1:59" hidden="1" outlineLevel="1">
      <c r="A79" s="487"/>
      <c r="B79" s="701" t="str">
        <f>$B$44</f>
        <v>Year</v>
      </c>
      <c r="C79" s="487"/>
      <c r="D79" s="716">
        <f>(S79/S72-1)*100</f>
        <v>10.649009148594812</v>
      </c>
      <c r="E79" s="702"/>
      <c r="F79" s="717">
        <f>'qtrP&amp;L'!AR14</f>
        <v>5</v>
      </c>
      <c r="G79" s="702"/>
      <c r="H79" s="716">
        <f>D79-F79</f>
        <v>5.6490091485948124</v>
      </c>
      <c r="I79" s="702"/>
      <c r="J79" s="727"/>
      <c r="K79" s="487"/>
      <c r="L79" s="727">
        <f>AVERAGE(L75:L78)</f>
        <v>1298.625</v>
      </c>
      <c r="M79" s="487"/>
      <c r="N79" s="716">
        <f>(L79/L72-1)*100</f>
        <v>7.6915103140872798</v>
      </c>
      <c r="O79" s="702"/>
      <c r="P79" s="719">
        <f>H79/N79*100</f>
        <v>73.444732151609387</v>
      </c>
      <c r="Q79" s="499"/>
      <c r="R79" s="487"/>
      <c r="S79" s="720">
        <f>SUM(S75:S78)</f>
        <v>8795.3469999999998</v>
      </c>
      <c r="T79" s="487"/>
      <c r="U79" s="721">
        <f>SUM(U75:U78)</f>
        <v>6.7605763120909446</v>
      </c>
      <c r="V79" s="487"/>
      <c r="W79" s="740">
        <f>(U79/U72-1)*100</f>
        <v>2.7327684653313922</v>
      </c>
      <c r="X79" s="702"/>
      <c r="Y79" s="487"/>
      <c r="Z79" s="487"/>
      <c r="AA79" s="487"/>
      <c r="AB79" s="722">
        <f>AVERAGE(AB75:AB78)</f>
        <v>38.557375</v>
      </c>
      <c r="AC79" s="487"/>
      <c r="AD79" s="716">
        <f>(AB79/AB72-1)*100</f>
        <v>7.1696841461592609</v>
      </c>
      <c r="AE79" s="702"/>
      <c r="AF79" s="719">
        <f>+H79/AD79*100</f>
        <v>78.790209351425034</v>
      </c>
      <c r="AG79" s="499"/>
      <c r="AH79" s="487"/>
      <c r="AI79" s="720">
        <f>SUM(AI75:AI78)</f>
        <v>8795.3469999999998</v>
      </c>
      <c r="AJ79" s="487"/>
      <c r="AK79" s="723">
        <f>SUM(AK75:AK78)</f>
        <v>227.7282948660332</v>
      </c>
      <c r="AL79" s="487"/>
      <c r="AM79" s="740">
        <f>(AK79/AK72-1)*100</f>
        <v>3.2354848240794487</v>
      </c>
      <c r="AN79" s="702"/>
      <c r="AO79" s="702"/>
      <c r="AP79" s="487"/>
      <c r="AQ79" s="487"/>
      <c r="AR79" s="487"/>
      <c r="AS79" s="487"/>
      <c r="AT79" s="487"/>
      <c r="AU79" s="487"/>
      <c r="AV79" s="487"/>
      <c r="AW79" s="487"/>
      <c r="AX79" s="487"/>
      <c r="AY79" s="487"/>
      <c r="AZ79" s="487"/>
      <c r="BA79" s="487"/>
      <c r="BB79" s="487"/>
      <c r="BC79" s="487"/>
      <c r="BD79" s="487"/>
      <c r="BE79" s="487"/>
      <c r="BF79" s="487"/>
      <c r="BG79" s="487"/>
    </row>
    <row r="80" spans="1:59" hidden="1" outlineLevel="1">
      <c r="A80" s="487"/>
      <c r="B80" s="701"/>
      <c r="C80" s="487"/>
      <c r="D80" s="487"/>
      <c r="E80" s="702"/>
      <c r="F80" s="487"/>
      <c r="G80" s="702"/>
      <c r="H80" s="487"/>
      <c r="I80" s="702"/>
      <c r="J80" s="727"/>
      <c r="K80" s="487"/>
      <c r="L80" s="727"/>
      <c r="M80" s="487"/>
      <c r="N80" s="487"/>
      <c r="O80" s="702"/>
      <c r="P80" s="499"/>
      <c r="Q80" s="499"/>
      <c r="R80" s="487"/>
      <c r="S80" s="487"/>
      <c r="T80" s="487"/>
      <c r="U80" s="487"/>
      <c r="V80" s="487"/>
      <c r="W80" s="487"/>
      <c r="X80" s="702"/>
      <c r="Y80" s="487"/>
      <c r="Z80" s="487"/>
      <c r="AA80" s="487"/>
      <c r="AB80" s="487"/>
      <c r="AC80" s="487"/>
      <c r="AD80" s="487"/>
      <c r="AE80" s="702"/>
      <c r="AF80" s="499"/>
      <c r="AG80" s="499"/>
      <c r="AH80" s="487"/>
      <c r="AI80" s="487"/>
      <c r="AJ80" s="487"/>
      <c r="AK80" s="487"/>
      <c r="AL80" s="487"/>
      <c r="AM80" s="487"/>
      <c r="AN80" s="702"/>
      <c r="AO80" s="702"/>
      <c r="AP80" s="487"/>
      <c r="AQ80" s="487"/>
      <c r="AR80" s="487"/>
      <c r="AS80" s="487"/>
      <c r="AT80" s="487"/>
      <c r="AU80" s="487"/>
      <c r="AV80" s="487"/>
      <c r="AW80" s="487"/>
      <c r="AX80" s="487"/>
      <c r="AY80" s="487"/>
      <c r="AZ80" s="487"/>
      <c r="BA80" s="487"/>
      <c r="BB80" s="487"/>
      <c r="BC80" s="487"/>
      <c r="BD80" s="487"/>
      <c r="BE80" s="487"/>
      <c r="BF80" s="487"/>
      <c r="BG80" s="487"/>
    </row>
    <row r="81" spans="1:59" hidden="1" outlineLevel="1" collapsed="1">
      <c r="A81" s="715"/>
      <c r="B81" s="736">
        <f>B74+1</f>
        <v>2000</v>
      </c>
      <c r="C81" s="487"/>
      <c r="D81" s="487"/>
      <c r="E81" s="702"/>
      <c r="F81" s="487"/>
      <c r="G81" s="702"/>
      <c r="H81" s="487"/>
      <c r="I81" s="702"/>
      <c r="J81" s="727"/>
      <c r="K81" s="487"/>
      <c r="L81" s="727"/>
      <c r="M81" s="487"/>
      <c r="N81" s="487"/>
      <c r="O81" s="702"/>
      <c r="P81" s="499"/>
      <c r="Q81" s="499"/>
      <c r="R81" s="487"/>
      <c r="S81" s="487"/>
      <c r="T81" s="487"/>
      <c r="U81" s="487"/>
      <c r="V81" s="487"/>
      <c r="W81" s="487"/>
      <c r="X81" s="702"/>
      <c r="Y81" s="487"/>
      <c r="Z81" s="487"/>
      <c r="AA81" s="487"/>
      <c r="AB81" s="487"/>
      <c r="AC81" s="487"/>
      <c r="AD81" s="487"/>
      <c r="AE81" s="702"/>
      <c r="AF81" s="499"/>
      <c r="AG81" s="499"/>
      <c r="AH81" s="487"/>
      <c r="AI81" s="487"/>
      <c r="AJ81" s="487"/>
      <c r="AK81" s="487"/>
      <c r="AL81" s="487"/>
      <c r="AM81" s="487"/>
      <c r="AN81" s="702"/>
      <c r="AO81" s="702"/>
      <c r="AP81" s="487"/>
      <c r="AQ81" s="487"/>
      <c r="AR81" s="487"/>
      <c r="AS81" s="487"/>
      <c r="AT81" s="487"/>
      <c r="AU81" s="487"/>
      <c r="AV81" s="487"/>
      <c r="AW81" s="487"/>
      <c r="AX81" s="487"/>
      <c r="AY81" s="487"/>
      <c r="AZ81" s="487"/>
      <c r="BA81" s="487"/>
      <c r="BB81" s="487"/>
      <c r="BC81" s="487"/>
      <c r="BD81" s="487"/>
      <c r="BE81" s="487"/>
      <c r="BF81" s="487"/>
      <c r="BG81" s="487"/>
    </row>
    <row r="82" spans="1:59" hidden="1" outlineLevel="1">
      <c r="A82" s="487" t="str">
        <f>$A$40</f>
        <v>1Q</v>
      </c>
      <c r="B82" s="701" t="str">
        <f>$B$40</f>
        <v>Apr</v>
      </c>
      <c r="C82" s="487"/>
      <c r="D82" s="716">
        <f>(S82/S75-1)*100</f>
        <v>9.2001786060234902</v>
      </c>
      <c r="E82" s="702" t="s">
        <v>190</v>
      </c>
      <c r="F82" s="717">
        <f>'qtrP&amp;L'!AV10</f>
        <v>3</v>
      </c>
      <c r="G82" s="702" t="s">
        <v>190</v>
      </c>
      <c r="H82" s="716">
        <f>D82-F82</f>
        <v>6.2001786060234902</v>
      </c>
      <c r="I82" s="702" t="s">
        <v>190</v>
      </c>
      <c r="J82" s="742">
        <f>+Stores!CW97</f>
        <v>1382</v>
      </c>
      <c r="K82" s="487" t="s">
        <v>315</v>
      </c>
      <c r="L82" s="727">
        <f>AVERAGE(J82,J78)</f>
        <v>1369.5</v>
      </c>
      <c r="M82" s="487"/>
      <c r="N82" s="716">
        <f>(L82/L75-1)*100</f>
        <v>8.7336244541484689</v>
      </c>
      <c r="O82" s="702" t="s">
        <v>190</v>
      </c>
      <c r="P82" s="719">
        <f>H82/N82*100</f>
        <v>70.992045038968982</v>
      </c>
      <c r="Q82" s="499" t="s">
        <v>190</v>
      </c>
      <c r="R82" s="487"/>
      <c r="S82" s="720">
        <f>+'qtrP&amp;L'!AT10</f>
        <v>2108.116</v>
      </c>
      <c r="T82" s="487" t="s">
        <v>315</v>
      </c>
      <c r="U82" s="721">
        <f>S82/L82</f>
        <v>1.539332603139832</v>
      </c>
      <c r="V82" s="487"/>
      <c r="W82" s="740">
        <f>(U82/U75-1)*100</f>
        <v>0.42907992280873941</v>
      </c>
      <c r="X82" s="702" t="s">
        <v>190</v>
      </c>
      <c r="Y82" s="487"/>
      <c r="Z82" s="562">
        <f>Stores!DB97</f>
        <v>40.797999999999988</v>
      </c>
      <c r="AA82" s="487" t="s">
        <v>315</v>
      </c>
      <c r="AB82" s="722">
        <f>AVERAGE(Z82,Z78)</f>
        <v>40.481499999999997</v>
      </c>
      <c r="AC82" s="487"/>
      <c r="AD82" s="716">
        <f>(AB82/AB75-1)*100</f>
        <v>7.8557536034955744</v>
      </c>
      <c r="AE82" s="702" t="s">
        <v>190</v>
      </c>
      <c r="AF82" s="719">
        <f>+H82/AD82*100</f>
        <v>78.92531918598614</v>
      </c>
      <c r="AG82" s="499" t="s">
        <v>190</v>
      </c>
      <c r="AH82" s="487"/>
      <c r="AI82" s="720">
        <f>+S82</f>
        <v>2108.116</v>
      </c>
      <c r="AJ82" s="487" t="s">
        <v>315</v>
      </c>
      <c r="AK82" s="723">
        <f>AI82/AB82</f>
        <v>52.076034731914582</v>
      </c>
      <c r="AL82" s="487"/>
      <c r="AM82" s="740">
        <f>(AK82/AK75-1)*100</f>
        <v>1.2465028128868738</v>
      </c>
      <c r="AN82" s="702" t="s">
        <v>190</v>
      </c>
      <c r="AO82" s="702"/>
      <c r="AP82" s="487"/>
      <c r="AQ82" s="487"/>
      <c r="AR82" s="487"/>
      <c r="AS82" s="487"/>
      <c r="AT82" s="487"/>
      <c r="AU82" s="487"/>
      <c r="AV82" s="487"/>
      <c r="AW82" s="487"/>
      <c r="AX82" s="487"/>
      <c r="AY82" s="487"/>
      <c r="AZ82" s="487"/>
      <c r="BA82" s="487"/>
      <c r="BB82" s="487"/>
      <c r="BC82" s="487"/>
      <c r="BD82" s="487"/>
      <c r="BE82" s="487"/>
      <c r="BF82" s="487"/>
      <c r="BG82" s="487"/>
    </row>
    <row r="83" spans="1:59" hidden="1" outlineLevel="1">
      <c r="A83" s="487" t="str">
        <f>$A$41</f>
        <v>2Q</v>
      </c>
      <c r="B83" s="701" t="str">
        <f>$B$41</f>
        <v>Jul</v>
      </c>
      <c r="C83" s="487"/>
      <c r="D83" s="716">
        <f>(S83/S76-1)*100</f>
        <v>7.386305544234939</v>
      </c>
      <c r="E83" s="487"/>
      <c r="F83" s="717">
        <f>'qtrP&amp;L'!AV11</f>
        <v>1</v>
      </c>
      <c r="G83" s="487"/>
      <c r="H83" s="716">
        <f>D83-F83</f>
        <v>6.386305544234939</v>
      </c>
      <c r="I83" s="487"/>
      <c r="J83" s="742">
        <f>+Stores!CW98</f>
        <v>1407</v>
      </c>
      <c r="K83" s="735"/>
      <c r="L83" s="727">
        <f>AVERAGE(J83,J82)</f>
        <v>1394.5</v>
      </c>
      <c r="M83" s="487"/>
      <c r="N83" s="716">
        <f>(L83/L76-1)*100</f>
        <v>8.9027723545489934</v>
      </c>
      <c r="O83" s="702"/>
      <c r="P83" s="719">
        <f>H83/N83*100</f>
        <v>71.73389692449868</v>
      </c>
      <c r="Q83" s="499"/>
      <c r="R83" s="487"/>
      <c r="S83" s="725">
        <f>+'qtrP&amp;L'!AT11</f>
        <v>2258.174</v>
      </c>
      <c r="T83" s="487"/>
      <c r="U83" s="726">
        <f>S83/L83</f>
        <v>1.6193431337396915</v>
      </c>
      <c r="V83" s="487"/>
      <c r="W83" s="740">
        <f>(U83/U76-1)*100</f>
        <v>-1.3924960563694189</v>
      </c>
      <c r="X83" s="702"/>
      <c r="Y83" s="487"/>
      <c r="Z83" s="562">
        <f>Stores!DB98</f>
        <v>41.548000000000002</v>
      </c>
      <c r="AA83" s="735"/>
      <c r="AB83" s="722">
        <f>AVERAGE(Z83,Z82)</f>
        <v>41.172999999999995</v>
      </c>
      <c r="AC83" s="487"/>
      <c r="AD83" s="716">
        <f>(AB83/AB76-1)*100</f>
        <v>8.1223739495798206</v>
      </c>
      <c r="AE83" s="702"/>
      <c r="AF83" s="719">
        <f>+H83/AD83*100</f>
        <v>78.626096063519824</v>
      </c>
      <c r="AG83" s="499"/>
      <c r="AH83" s="487"/>
      <c r="AI83" s="725">
        <f>+S83</f>
        <v>2258.174</v>
      </c>
      <c r="AJ83" s="487"/>
      <c r="AK83" s="727">
        <f>AI83/AB83</f>
        <v>54.845991304981425</v>
      </c>
      <c r="AL83" s="487"/>
      <c r="AM83" s="740">
        <f>(AK83/AK76-1)*100</f>
        <v>-0.68077344073866897</v>
      </c>
      <c r="AN83" s="702"/>
      <c r="AO83" s="702"/>
      <c r="AP83" s="487"/>
      <c r="AQ83" s="487"/>
      <c r="AR83" s="487"/>
      <c r="AS83" s="487"/>
      <c r="AT83" s="487"/>
      <c r="AU83" s="487"/>
      <c r="AV83" s="487"/>
      <c r="AW83" s="487"/>
      <c r="AX83" s="487"/>
      <c r="AY83" s="487"/>
      <c r="AZ83" s="487"/>
      <c r="BA83" s="487"/>
      <c r="BB83" s="487"/>
      <c r="BC83" s="487"/>
      <c r="BD83" s="487"/>
      <c r="BE83" s="487"/>
      <c r="BF83" s="487"/>
      <c r="BG83" s="487"/>
    </row>
    <row r="84" spans="1:59" hidden="1" outlineLevel="1">
      <c r="A84" s="487" t="str">
        <f>$A$42</f>
        <v>3Q</v>
      </c>
      <c r="B84" s="701" t="str">
        <f>$B$42</f>
        <v>Oct</v>
      </c>
      <c r="C84" s="487"/>
      <c r="D84" s="716">
        <f>(S84/S77-1)*100</f>
        <v>10.127585284292895</v>
      </c>
      <c r="E84" s="487"/>
      <c r="F84" s="717">
        <f>'qtrP&amp;L'!AV12</f>
        <v>3</v>
      </c>
      <c r="G84" s="487"/>
      <c r="H84" s="716">
        <f>D84-F84</f>
        <v>7.1275852842928948</v>
      </c>
      <c r="I84" s="487"/>
      <c r="J84" s="742">
        <f>+Stores!CW99</f>
        <v>1466</v>
      </c>
      <c r="K84" s="735"/>
      <c r="L84" s="727">
        <f>AVERAGE(J84,J83)</f>
        <v>1436.5</v>
      </c>
      <c r="M84" s="487"/>
      <c r="N84" s="716">
        <f>(L84/L77-1)*100</f>
        <v>9.656488549618313</v>
      </c>
      <c r="O84" s="702"/>
      <c r="P84" s="719">
        <f>H84/N84*100</f>
        <v>73.811357489515416</v>
      </c>
      <c r="Q84" s="499"/>
      <c r="R84" s="487"/>
      <c r="S84" s="725">
        <f>+'qtrP&amp;L'!AT12</f>
        <v>2461.4110000000001</v>
      </c>
      <c r="T84" s="487"/>
      <c r="U84" s="726">
        <f>S84/L84</f>
        <v>1.713477897667943</v>
      </c>
      <c r="V84" s="487"/>
      <c r="W84" s="740">
        <f>(U84/U77-1)*100</f>
        <v>0.42961136263397481</v>
      </c>
      <c r="X84" s="702"/>
      <c r="Y84" s="487"/>
      <c r="Z84" s="562">
        <f>Stores!DB99</f>
        <v>43.182000000000009</v>
      </c>
      <c r="AA84" s="735"/>
      <c r="AB84" s="722">
        <f>AVERAGE(Z84,Z83)</f>
        <v>42.365000000000009</v>
      </c>
      <c r="AC84" s="487"/>
      <c r="AD84" s="716">
        <f>(AB84/AB77-1)*100</f>
        <v>9.1262686105816559</v>
      </c>
      <c r="AE84" s="702"/>
      <c r="AF84" s="719">
        <f>+H84/AD84*100</f>
        <v>78.099665793626301</v>
      </c>
      <c r="AG84" s="499"/>
      <c r="AH84" s="487"/>
      <c r="AI84" s="725">
        <f>+S84</f>
        <v>2461.4110000000001</v>
      </c>
      <c r="AJ84" s="487"/>
      <c r="AK84" s="727">
        <f>AI84/AB84</f>
        <v>58.100106219756867</v>
      </c>
      <c r="AL84" s="487"/>
      <c r="AM84" s="740">
        <f>(AK84/AK77-1)*100</f>
        <v>0.9175762045749547</v>
      </c>
      <c r="AN84" s="702"/>
      <c r="AO84" s="702"/>
      <c r="AP84" s="487"/>
      <c r="AQ84" s="487"/>
      <c r="AR84" s="487"/>
      <c r="AS84" s="487"/>
      <c r="AT84" s="487"/>
      <c r="AU84" s="487"/>
      <c r="AV84" s="487"/>
      <c r="AW84" s="487"/>
      <c r="AX84" s="487"/>
      <c r="AY84" s="487"/>
      <c r="AZ84" s="487"/>
      <c r="BA84" s="487"/>
      <c r="BB84" s="487"/>
      <c r="BC84" s="487"/>
      <c r="BD84" s="487"/>
      <c r="BE84" s="487"/>
      <c r="BF84" s="487"/>
      <c r="BG84" s="487"/>
    </row>
    <row r="85" spans="1:59" hidden="1" outlineLevel="1">
      <c r="A85" s="487" t="str">
        <f>$A$43</f>
        <v>4Q</v>
      </c>
      <c r="B85" s="701" t="str">
        <f>$B$43</f>
        <v>Jan</v>
      </c>
      <c r="C85" s="487"/>
      <c r="D85" s="728">
        <f>(S85/S78-1)*100</f>
        <v>8.8790930993107651</v>
      </c>
      <c r="E85" s="487"/>
      <c r="F85" s="729">
        <f>'qtrP&amp;L'!AV13</f>
        <v>2</v>
      </c>
      <c r="G85" s="487"/>
      <c r="H85" s="728">
        <f>D85-F85</f>
        <v>6.8790930993107651</v>
      </c>
      <c r="I85" s="487"/>
      <c r="J85" s="727">
        <f>yrSales!L$20</f>
        <v>1493</v>
      </c>
      <c r="K85" s="735"/>
      <c r="L85" s="734">
        <f>AVERAGE(J85,J84)</f>
        <v>1479.5</v>
      </c>
      <c r="M85" s="487"/>
      <c r="N85" s="728">
        <f>(L85/L78-1)*100</f>
        <v>10.040907400520638</v>
      </c>
      <c r="O85" s="702"/>
      <c r="P85" s="730">
        <f>H85/N85*100</f>
        <v>68.510671644617233</v>
      </c>
      <c r="Q85" s="499"/>
      <c r="R85" s="487"/>
      <c r="S85" s="731">
        <f>+'qtrP&amp;L'!AT13</f>
        <v>2751.3049999999998</v>
      </c>
      <c r="T85" s="487"/>
      <c r="U85" s="732">
        <f>S85/L85</f>
        <v>1.8596181142277795</v>
      </c>
      <c r="V85" s="487"/>
      <c r="W85" s="729">
        <f>(U85/U78-1)*100</f>
        <v>-1.0558021818024121</v>
      </c>
      <c r="X85" s="702"/>
      <c r="Y85" s="487"/>
      <c r="Z85" s="562">
        <f>yrSales!L$31</f>
        <v>43.978999999999999</v>
      </c>
      <c r="AA85" s="735"/>
      <c r="AB85" s="733">
        <f>AVERAGE(Z85,Z84)</f>
        <v>43.580500000000001</v>
      </c>
      <c r="AC85" s="487"/>
      <c r="AD85" s="728">
        <f>(AB85/AB78-1)*100</f>
        <v>9.5138775458920133</v>
      </c>
      <c r="AE85" s="702"/>
      <c r="AF85" s="730">
        <f>+H85/AD85*100</f>
        <v>72.305882287512532</v>
      </c>
      <c r="AG85" s="499"/>
      <c r="AH85" s="487"/>
      <c r="AI85" s="731">
        <f>+S85</f>
        <v>2751.3049999999998</v>
      </c>
      <c r="AJ85" s="487"/>
      <c r="AK85" s="734">
        <f>AI85/AB85</f>
        <v>63.131561133993408</v>
      </c>
      <c r="AL85" s="487"/>
      <c r="AM85" s="729">
        <f>(AK85/AK78-1)*100</f>
        <v>-0.57963836255843226</v>
      </c>
      <c r="AN85" s="702"/>
      <c r="AO85" s="702"/>
      <c r="AP85" s="487"/>
      <c r="AQ85" s="487"/>
      <c r="AR85" s="487"/>
      <c r="AS85" s="487"/>
      <c r="AT85" s="487"/>
      <c r="AU85" s="487"/>
      <c r="AV85" s="487"/>
      <c r="AW85" s="487"/>
      <c r="AX85" s="487"/>
      <c r="AY85" s="487"/>
      <c r="AZ85" s="487"/>
      <c r="BA85" s="487"/>
      <c r="BB85" s="487"/>
      <c r="BC85" s="487"/>
      <c r="BD85" s="487"/>
      <c r="BE85" s="487"/>
      <c r="BF85" s="487"/>
      <c r="BG85" s="487"/>
    </row>
    <row r="86" spans="1:59" hidden="1" outlineLevel="1">
      <c r="A86" s="487"/>
      <c r="B86" s="701" t="str">
        <f>$B$44</f>
        <v>Year</v>
      </c>
      <c r="C86" s="487"/>
      <c r="D86" s="716">
        <f>(S86/S79-1)*100</f>
        <v>8.9099270330096125</v>
      </c>
      <c r="E86" s="487"/>
      <c r="F86" s="740">
        <f>'qtrP&amp;L'!AV14</f>
        <v>2</v>
      </c>
      <c r="G86" s="487"/>
      <c r="H86" s="716">
        <f>D86-F86</f>
        <v>6.9099270330096125</v>
      </c>
      <c r="I86" s="487"/>
      <c r="J86" s="487"/>
      <c r="K86" s="487"/>
      <c r="L86" s="727">
        <f>AVERAGE(L82:L85)</f>
        <v>1420</v>
      </c>
      <c r="M86" s="487"/>
      <c r="N86" s="716">
        <f>(L86/L79-1)*100</f>
        <v>9.3464241024160177</v>
      </c>
      <c r="O86" s="702"/>
      <c r="P86" s="719">
        <f>H86/N86*100</f>
        <v>73.931237843395323</v>
      </c>
      <c r="Q86" s="499"/>
      <c r="R86" s="487"/>
      <c r="S86" s="720">
        <f>SUM(S82:S85)</f>
        <v>9579.0059999999994</v>
      </c>
      <c r="T86" s="487"/>
      <c r="U86" s="721">
        <f>SUM(U82:U85)</f>
        <v>6.7317717487752455</v>
      </c>
      <c r="V86" s="487"/>
      <c r="W86" s="740">
        <f>(U86/U79-1)*100</f>
        <v>-0.42606668405152925</v>
      </c>
      <c r="X86" s="702"/>
      <c r="Y86" s="487"/>
      <c r="Z86" s="487"/>
      <c r="AA86" s="487"/>
      <c r="AB86" s="722">
        <f>AVERAGE(AB82:AB85)</f>
        <v>41.9</v>
      </c>
      <c r="AC86" s="487"/>
      <c r="AD86" s="716">
        <f>(AB86/AB79-1)*100</f>
        <v>8.6692234624374578</v>
      </c>
      <c r="AE86" s="702"/>
      <c r="AF86" s="719">
        <f>+H86/AD86*100</f>
        <v>79.706412724846317</v>
      </c>
      <c r="AG86" s="499"/>
      <c r="AH86" s="487"/>
      <c r="AI86" s="720">
        <f>SUM(AI82:AI85)</f>
        <v>9579.0059999999994</v>
      </c>
      <c r="AJ86" s="487"/>
      <c r="AK86" s="723">
        <f>SUM(AK82:AK85)</f>
        <v>228.15369339064628</v>
      </c>
      <c r="AL86" s="487"/>
      <c r="AM86" s="740">
        <f>(AK86/AK79-1)*100</f>
        <v>0.1868009088916045</v>
      </c>
      <c r="AN86" s="702"/>
      <c r="AO86" s="702"/>
      <c r="AP86" s="487"/>
      <c r="AQ86" s="487"/>
      <c r="AR86" s="487"/>
      <c r="AS86" s="487"/>
      <c r="AT86" s="487"/>
      <c r="AU86" s="487"/>
      <c r="AV86" s="487"/>
      <c r="AW86" s="487"/>
      <c r="AX86" s="487"/>
      <c r="AY86" s="487"/>
      <c r="AZ86" s="487"/>
      <c r="BA86" s="487"/>
      <c r="BB86" s="487"/>
      <c r="BC86" s="487"/>
      <c r="BD86" s="487"/>
      <c r="BE86" s="487"/>
      <c r="BF86" s="487"/>
      <c r="BG86" s="487"/>
    </row>
    <row r="87" spans="1:59" hidden="1" outlineLevel="1">
      <c r="A87" s="487"/>
      <c r="B87" s="701"/>
      <c r="C87" s="487"/>
      <c r="D87" s="487"/>
      <c r="E87" s="487"/>
      <c r="F87" s="487"/>
      <c r="G87" s="487"/>
      <c r="H87" s="487"/>
      <c r="I87" s="487"/>
      <c r="J87" s="487"/>
      <c r="K87" s="487"/>
      <c r="L87" s="727"/>
      <c r="M87" s="487"/>
      <c r="N87" s="487"/>
      <c r="O87" s="702"/>
      <c r="P87" s="499"/>
      <c r="Q87" s="499"/>
      <c r="R87" s="487"/>
      <c r="S87" s="487"/>
      <c r="T87" s="487"/>
      <c r="U87" s="487"/>
      <c r="V87" s="487"/>
      <c r="W87" s="487"/>
      <c r="X87" s="702"/>
      <c r="Y87" s="487"/>
      <c r="Z87" s="487"/>
      <c r="AA87" s="487"/>
      <c r="AB87" s="487"/>
      <c r="AC87" s="487"/>
      <c r="AD87" s="487"/>
      <c r="AE87" s="702"/>
      <c r="AF87" s="499"/>
      <c r="AG87" s="499"/>
      <c r="AH87" s="487"/>
      <c r="AI87" s="487"/>
      <c r="AJ87" s="487"/>
      <c r="AK87" s="487"/>
      <c r="AL87" s="487"/>
      <c r="AM87" s="487"/>
      <c r="AN87" s="487"/>
      <c r="AO87" s="487"/>
      <c r="AP87" s="487"/>
      <c r="AQ87" s="487"/>
      <c r="AR87" s="487"/>
      <c r="AS87" s="487"/>
      <c r="AT87" s="487"/>
      <c r="AU87" s="487"/>
      <c r="AV87" s="487"/>
      <c r="AW87" s="487"/>
      <c r="AX87" s="487"/>
      <c r="AY87" s="487"/>
      <c r="AZ87" s="487"/>
      <c r="BA87" s="487"/>
      <c r="BB87" s="487"/>
      <c r="BC87" s="487"/>
      <c r="BD87" s="487"/>
      <c r="BE87" s="487"/>
      <c r="BF87" s="487"/>
      <c r="BG87" s="487"/>
    </row>
    <row r="88" spans="1:59" hidden="1" outlineLevel="1">
      <c r="A88" s="715"/>
      <c r="B88" s="736">
        <f>B81+1</f>
        <v>2001</v>
      </c>
      <c r="C88" s="487"/>
      <c r="D88" s="487"/>
      <c r="E88" s="702"/>
      <c r="F88" s="487"/>
      <c r="G88" s="702"/>
      <c r="H88" s="487"/>
      <c r="I88" s="702"/>
      <c r="J88" s="487"/>
      <c r="K88" s="487"/>
      <c r="L88" s="727"/>
      <c r="M88" s="487"/>
      <c r="N88" s="487"/>
      <c r="O88" s="702"/>
      <c r="P88" s="499"/>
      <c r="Q88" s="499"/>
      <c r="R88" s="487"/>
      <c r="S88" s="487"/>
      <c r="T88" s="487"/>
      <c r="U88" s="487"/>
      <c r="V88" s="487"/>
      <c r="W88" s="487"/>
      <c r="X88" s="702"/>
      <c r="Y88" s="487"/>
      <c r="Z88" s="487"/>
      <c r="AA88" s="487"/>
      <c r="AB88" s="487"/>
      <c r="AC88" s="487"/>
      <c r="AD88" s="487"/>
      <c r="AE88" s="702"/>
      <c r="AF88" s="499"/>
      <c r="AG88" s="499"/>
      <c r="AH88" s="487"/>
      <c r="AI88" s="487"/>
      <c r="AJ88" s="487"/>
      <c r="AK88" s="487"/>
      <c r="AL88" s="487"/>
      <c r="AM88" s="487"/>
      <c r="AN88" s="702"/>
      <c r="AO88" s="702"/>
      <c r="AP88" s="487"/>
      <c r="AQ88" s="487"/>
      <c r="AR88" s="487"/>
      <c r="AS88" s="487"/>
      <c r="AT88" s="487"/>
      <c r="AU88" s="487"/>
      <c r="AV88" s="487"/>
      <c r="AW88" s="487"/>
      <c r="AX88" s="487"/>
      <c r="AY88" s="487"/>
      <c r="AZ88" s="487"/>
      <c r="BA88" s="487"/>
      <c r="BB88" s="487"/>
      <c r="BC88" s="487"/>
      <c r="BD88" s="487"/>
      <c r="BE88" s="487"/>
      <c r="BF88" s="487"/>
      <c r="BG88" s="487"/>
    </row>
    <row r="89" spans="1:59" hidden="1" outlineLevel="1">
      <c r="A89" s="487" t="str">
        <f>$A$40</f>
        <v>1Q</v>
      </c>
      <c r="B89" s="701" t="str">
        <f>$B$40</f>
        <v>Apr</v>
      </c>
      <c r="C89" s="487"/>
      <c r="D89" s="716">
        <f>(S89/S82-1)*100</f>
        <v>7.7215390424435926</v>
      </c>
      <c r="E89" s="702" t="s">
        <v>190</v>
      </c>
      <c r="F89" s="739">
        <f>'qtrP&amp;L'!AZ10</f>
        <v>0</v>
      </c>
      <c r="G89" s="702" t="s">
        <v>190</v>
      </c>
      <c r="H89" s="716">
        <f>D89-F89</f>
        <v>7.7215390424435926</v>
      </c>
      <c r="I89" s="702" t="s">
        <v>190</v>
      </c>
      <c r="J89" s="742">
        <f>+Stores!CW105</f>
        <v>1535</v>
      </c>
      <c r="K89" s="487" t="s">
        <v>315</v>
      </c>
      <c r="L89" s="727">
        <f>AVERAGE(J89,J85)</f>
        <v>1514</v>
      </c>
      <c r="M89" s="487"/>
      <c r="N89" s="716">
        <f>(L89/L82-1)*100</f>
        <v>10.551296093464767</v>
      </c>
      <c r="O89" s="702" t="s">
        <v>190</v>
      </c>
      <c r="P89" s="719">
        <f>H89/N89*100</f>
        <v>73.180953070079596</v>
      </c>
      <c r="Q89" s="499" t="s">
        <v>190</v>
      </c>
      <c r="R89" s="487"/>
      <c r="S89" s="720">
        <f>+'qtrP&amp;L'!AX10</f>
        <v>2270.895</v>
      </c>
      <c r="T89" s="487" t="s">
        <v>315</v>
      </c>
      <c r="U89" s="721">
        <f>S89/L89</f>
        <v>1.4999306472919418</v>
      </c>
      <c r="V89" s="487"/>
      <c r="W89" s="740">
        <f>(U89/U82-1)*100</f>
        <v>-2.5596778608807824</v>
      </c>
      <c r="X89" s="702" t="s">
        <v>190</v>
      </c>
      <c r="Y89" s="487"/>
      <c r="Z89" s="562">
        <f>Stores!DB105</f>
        <v>45.125000000000014</v>
      </c>
      <c r="AA89" s="487" t="s">
        <v>315</v>
      </c>
      <c r="AB89" s="722">
        <f>AVERAGE(Z89,Z85)</f>
        <v>44.552000000000007</v>
      </c>
      <c r="AC89" s="487"/>
      <c r="AD89" s="716">
        <f>(AB89/AB82-1)*100</f>
        <v>10.055210404752813</v>
      </c>
      <c r="AE89" s="702" t="s">
        <v>190</v>
      </c>
      <c r="AF89" s="719">
        <f>+H89/AD89*100</f>
        <v>76.791421876103556</v>
      </c>
      <c r="AG89" s="499" t="s">
        <v>190</v>
      </c>
      <c r="AH89" s="487"/>
      <c r="AI89" s="720">
        <f>+S89</f>
        <v>2270.895</v>
      </c>
      <c r="AJ89" s="487" t="s">
        <v>315</v>
      </c>
      <c r="AK89" s="723">
        <f>AI89/AB89</f>
        <v>50.971785778416226</v>
      </c>
      <c r="AL89" s="487"/>
      <c r="AM89" s="740">
        <f>(AK89/AK82-1)*100</f>
        <v>-2.1204551367687396</v>
      </c>
      <c r="AN89" s="702" t="s">
        <v>190</v>
      </c>
      <c r="AO89" s="702"/>
      <c r="AP89" s="487"/>
      <c r="AQ89" s="487"/>
      <c r="AR89" s="487"/>
      <c r="AS89" s="487"/>
      <c r="AT89" s="487"/>
      <c r="AU89" s="487"/>
      <c r="AV89" s="487"/>
      <c r="AW89" s="487"/>
      <c r="AX89" s="487"/>
      <c r="AY89" s="487"/>
      <c r="AZ89" s="487"/>
      <c r="BA89" s="487"/>
      <c r="BB89" s="487"/>
      <c r="BC89" s="487"/>
      <c r="BD89" s="487"/>
      <c r="BE89" s="487"/>
      <c r="BF89" s="487"/>
      <c r="BG89" s="487"/>
    </row>
    <row r="90" spans="1:59" hidden="1" outlineLevel="1">
      <c r="A90" s="487" t="str">
        <f>$A$41</f>
        <v>2Q</v>
      </c>
      <c r="B90" s="701" t="str">
        <f>$B$41</f>
        <v>Jul</v>
      </c>
      <c r="C90" s="487"/>
      <c r="D90" s="716">
        <f>(S90/S83-1)*100</f>
        <v>10.160775918950439</v>
      </c>
      <c r="E90" s="487"/>
      <c r="F90" s="717">
        <f>'qtrP&amp;L'!AZ11</f>
        <v>2</v>
      </c>
      <c r="G90" s="487"/>
      <c r="H90" s="716">
        <f>D90-F90</f>
        <v>8.1607759189504385</v>
      </c>
      <c r="I90" s="487"/>
      <c r="J90" s="742">
        <f>+Stores!CW106</f>
        <v>1559</v>
      </c>
      <c r="K90" s="735"/>
      <c r="L90" s="727">
        <f>AVERAGE(J90,J89)</f>
        <v>1547</v>
      </c>
      <c r="M90" s="487"/>
      <c r="N90" s="716">
        <f>(L90/L83-1)*100</f>
        <v>10.935819290068128</v>
      </c>
      <c r="O90" s="702"/>
      <c r="P90" s="719">
        <f>H90/N90*100</f>
        <v>74.624275534271362</v>
      </c>
      <c r="Q90" s="499"/>
      <c r="R90" s="487"/>
      <c r="S90" s="725">
        <f>+'qtrP&amp;L'!AX11</f>
        <v>2487.6219999999998</v>
      </c>
      <c r="T90" s="487"/>
      <c r="U90" s="726">
        <f>S90/L90</f>
        <v>1.6080297349709114</v>
      </c>
      <c r="V90" s="487"/>
      <c r="W90" s="740">
        <f>(U90/U83-1)*100</f>
        <v>-0.6986412288452426</v>
      </c>
      <c r="X90" s="702"/>
      <c r="Y90" s="487"/>
      <c r="Z90" s="562">
        <f>Stores!DB106</f>
        <v>45.894000000000005</v>
      </c>
      <c r="AA90" s="735"/>
      <c r="AB90" s="722">
        <f>AVERAGE(Z90,Z89)</f>
        <v>45.50950000000001</v>
      </c>
      <c r="AC90" s="487"/>
      <c r="AD90" s="716">
        <f>(AB90/AB83-1)*100</f>
        <v>10.53238772982299</v>
      </c>
      <c r="AE90" s="702"/>
      <c r="AF90" s="719">
        <f>+H90/AD90*100</f>
        <v>77.482676561961242</v>
      </c>
      <c r="AG90" s="499"/>
      <c r="AH90" s="487"/>
      <c r="AI90" s="725">
        <f>+S90</f>
        <v>2487.6219999999998</v>
      </c>
      <c r="AJ90" s="487"/>
      <c r="AK90" s="727">
        <f>AI90/AB90</f>
        <v>54.6615981278634</v>
      </c>
      <c r="AL90" s="487"/>
      <c r="AM90" s="740">
        <f>(AK90/AK83-1)*100</f>
        <v>-0.3362017400554751</v>
      </c>
      <c r="AN90" s="702"/>
      <c r="AO90" s="702"/>
      <c r="AP90" s="487"/>
      <c r="AQ90" s="487"/>
      <c r="AR90" s="487"/>
      <c r="AS90" s="487"/>
      <c r="AT90" s="487"/>
      <c r="AU90" s="487"/>
      <c r="AV90" s="487"/>
      <c r="AW90" s="487"/>
      <c r="AX90" s="487"/>
      <c r="AY90" s="487"/>
      <c r="AZ90" s="487"/>
      <c r="BA90" s="487"/>
      <c r="BB90" s="487"/>
      <c r="BC90" s="487"/>
      <c r="BD90" s="487"/>
      <c r="BE90" s="487"/>
      <c r="BF90" s="487"/>
      <c r="BG90" s="487"/>
    </row>
    <row r="91" spans="1:59" hidden="1" outlineLevel="1">
      <c r="A91" s="487" t="str">
        <f>$A$42</f>
        <v>3Q</v>
      </c>
      <c r="B91" s="701" t="str">
        <f>$B$42</f>
        <v>Oct</v>
      </c>
      <c r="C91" s="487"/>
      <c r="D91" s="716">
        <f>(S91/S84-1)*100</f>
        <v>11.390133545352633</v>
      </c>
      <c r="E91" s="487"/>
      <c r="F91" s="717">
        <f>'qtrP&amp;L'!AZ12</f>
        <v>3</v>
      </c>
      <c r="G91" s="487"/>
      <c r="H91" s="716">
        <f>D91-F91</f>
        <v>8.3901335453526329</v>
      </c>
      <c r="I91" s="487"/>
      <c r="J91" s="742">
        <f>+Stores!CW107</f>
        <v>1638</v>
      </c>
      <c r="K91" s="735"/>
      <c r="L91" s="727">
        <f>AVERAGE(J91,J90)</f>
        <v>1598.5</v>
      </c>
      <c r="M91" s="487"/>
      <c r="N91" s="716">
        <f>(L91/L84-1)*100</f>
        <v>11.277410372432994</v>
      </c>
      <c r="O91" s="702"/>
      <c r="P91" s="719">
        <f>H91/N91*100</f>
        <v>74.397696530241106</v>
      </c>
      <c r="Q91" s="499"/>
      <c r="R91" s="487"/>
      <c r="S91" s="725">
        <f>+'qtrP&amp;L'!AX12</f>
        <v>2741.7689999999998</v>
      </c>
      <c r="T91" s="487"/>
      <c r="U91" s="726">
        <f>S91/L91</f>
        <v>1.7152136377854237</v>
      </c>
      <c r="V91" s="487"/>
      <c r="W91" s="740">
        <f>(U91/U84-1)*100</f>
        <v>0.10129924172601612</v>
      </c>
      <c r="X91" s="702"/>
      <c r="Y91" s="487"/>
      <c r="Z91" s="562">
        <f>Stores!DB107</f>
        <v>48.143999999999991</v>
      </c>
      <c r="AA91" s="735"/>
      <c r="AB91" s="722">
        <f>AVERAGE(Z91,Z90)</f>
        <v>47.018999999999998</v>
      </c>
      <c r="AC91" s="487"/>
      <c r="AD91" s="716">
        <f>(AB91/AB84-1)*100</f>
        <v>10.985483299893751</v>
      </c>
      <c r="AE91" s="702"/>
      <c r="AF91" s="719">
        <f>+H91/AD91*100</f>
        <v>76.374733057341047</v>
      </c>
      <c r="AG91" s="499"/>
      <c r="AH91" s="487"/>
      <c r="AI91" s="725">
        <f>+S91</f>
        <v>2741.7689999999998</v>
      </c>
      <c r="AJ91" s="487"/>
      <c r="AK91" s="727">
        <f>AI91/AB91</f>
        <v>58.311937727301725</v>
      </c>
      <c r="AL91" s="487"/>
      <c r="AM91" s="740">
        <f>(AK91/AK84-1)*100</f>
        <v>0.36459745313308645</v>
      </c>
      <c r="AN91" s="702"/>
      <c r="AO91" s="702"/>
      <c r="AP91" s="487"/>
      <c r="AQ91" s="487"/>
      <c r="AR91" s="487"/>
      <c r="AS91" s="487"/>
      <c r="AT91" s="487"/>
      <c r="AU91" s="487"/>
      <c r="AV91" s="487"/>
      <c r="AW91" s="487"/>
      <c r="AX91" s="487"/>
      <c r="AY91" s="487"/>
      <c r="AZ91" s="487"/>
      <c r="BA91" s="487"/>
      <c r="BB91" s="487"/>
      <c r="BC91" s="487"/>
      <c r="BD91" s="487"/>
      <c r="BE91" s="487"/>
      <c r="BF91" s="487"/>
      <c r="BG91" s="487"/>
    </row>
    <row r="92" spans="1:59" hidden="1" outlineLevel="1">
      <c r="A92" s="487" t="str">
        <f>$A$43</f>
        <v>4Q</v>
      </c>
      <c r="B92" s="701" t="str">
        <f>$B$43</f>
        <v>Jan</v>
      </c>
      <c r="C92" s="487"/>
      <c r="D92" s="728">
        <f>(S92/S85-1)*100</f>
        <v>16.62509245612538</v>
      </c>
      <c r="E92" s="487"/>
      <c r="F92" s="729">
        <f>'qtrP&amp;L'!AZ13</f>
        <v>6</v>
      </c>
      <c r="G92" s="487"/>
      <c r="H92" s="728">
        <f>D92-F92</f>
        <v>10.62509245612538</v>
      </c>
      <c r="I92" s="487"/>
      <c r="J92" s="727">
        <f>yrSales!M$20</f>
        <v>1665</v>
      </c>
      <c r="K92" s="735"/>
      <c r="L92" s="734">
        <f>AVERAGE(J92,J91)</f>
        <v>1651.5</v>
      </c>
      <c r="M92" s="487"/>
      <c r="N92" s="728">
        <f>(L92/L85-1)*100</f>
        <v>11.625549172017568</v>
      </c>
      <c r="O92" s="702"/>
      <c r="P92" s="730">
        <f>H92/N92*100</f>
        <v>91.394327260683184</v>
      </c>
      <c r="Q92" s="499"/>
      <c r="R92" s="487"/>
      <c r="S92" s="731">
        <f>+'qtrP&amp;L'!AX13</f>
        <v>3208.712</v>
      </c>
      <c r="T92" s="487"/>
      <c r="U92" s="732">
        <f>S92/L92</f>
        <v>1.9429076597032999</v>
      </c>
      <c r="V92" s="487"/>
      <c r="W92" s="729">
        <f>(U92/U85-1)*100</f>
        <v>4.4788521276642346</v>
      </c>
      <c r="X92" s="702"/>
      <c r="Y92" s="487"/>
      <c r="Z92" s="562">
        <f>yrSales!M$31</f>
        <v>48.988999999999997</v>
      </c>
      <c r="AA92" s="735"/>
      <c r="AB92" s="733">
        <f>AVERAGE(Z92,Z91)</f>
        <v>48.566499999999991</v>
      </c>
      <c r="AC92" s="487"/>
      <c r="AD92" s="728">
        <f>(AB92/AB85-1)*100</f>
        <v>11.440896731336236</v>
      </c>
      <c r="AE92" s="702"/>
      <c r="AF92" s="730">
        <f>+H92/AD92*100</f>
        <v>92.869402684350817</v>
      </c>
      <c r="AG92" s="499"/>
      <c r="AH92" s="487"/>
      <c r="AI92" s="731">
        <f>+S92</f>
        <v>3208.712</v>
      </c>
      <c r="AJ92" s="487"/>
      <c r="AK92" s="734">
        <f>AI92/AB92</f>
        <v>66.068421648667297</v>
      </c>
      <c r="AL92" s="487"/>
      <c r="AM92" s="729">
        <f>(AK92/AK85-1)*100</f>
        <v>4.6519687806239274</v>
      </c>
      <c r="AN92" s="702"/>
      <c r="AO92" s="702"/>
      <c r="AP92" s="487"/>
      <c r="AQ92" s="487"/>
      <c r="AR92" s="487"/>
      <c r="AS92" s="487"/>
      <c r="AT92" s="487"/>
      <c r="AU92" s="487"/>
      <c r="AV92" s="487"/>
      <c r="AW92" s="487"/>
      <c r="AX92" s="487"/>
      <c r="AY92" s="487"/>
      <c r="AZ92" s="487"/>
      <c r="BA92" s="487"/>
      <c r="BB92" s="487"/>
      <c r="BC92" s="487"/>
      <c r="BD92" s="487"/>
      <c r="BE92" s="487"/>
      <c r="BF92" s="487"/>
      <c r="BG92" s="487"/>
    </row>
    <row r="93" spans="1:59" hidden="1" outlineLevel="1">
      <c r="A93" s="487"/>
      <c r="B93" s="701" t="str">
        <f>$B$44</f>
        <v>Year</v>
      </c>
      <c r="C93" s="487"/>
      <c r="D93" s="716">
        <f>(S93/S86-1)*100</f>
        <v>11.796547574978034</v>
      </c>
      <c r="E93" s="487"/>
      <c r="F93" s="717">
        <f>'qtrP&amp;L'!AZ14</f>
        <v>3</v>
      </c>
      <c r="G93" s="487"/>
      <c r="H93" s="716">
        <f>D93-F93</f>
        <v>8.7965475749780335</v>
      </c>
      <c r="I93" s="487"/>
      <c r="J93" s="487"/>
      <c r="K93" s="487"/>
      <c r="L93" s="727">
        <f>AVERAGE(L89:L92)</f>
        <v>1577.75</v>
      </c>
      <c r="M93" s="487"/>
      <c r="N93" s="716">
        <f>(L93/L86-1)*100</f>
        <v>11.109154929577469</v>
      </c>
      <c r="O93" s="702"/>
      <c r="P93" s="719">
        <f>H93/N93*100</f>
        <v>79.18286882072141</v>
      </c>
      <c r="Q93" s="499"/>
      <c r="R93" s="487"/>
      <c r="S93" s="720">
        <f>SUM(S89:S92)</f>
        <v>10708.998</v>
      </c>
      <c r="T93" s="487"/>
      <c r="U93" s="721">
        <f>SUM(U89:U92)</f>
        <v>6.7660816797515766</v>
      </c>
      <c r="V93" s="487"/>
      <c r="W93" s="740">
        <f>(U93/U86-1)*100</f>
        <v>0.50967163262143345</v>
      </c>
      <c r="X93" s="702"/>
      <c r="Y93" s="487"/>
      <c r="Z93" s="487"/>
      <c r="AA93" s="487"/>
      <c r="AB93" s="722">
        <f>AVERAGE(AB89:AB92)</f>
        <v>46.411750000000005</v>
      </c>
      <c r="AC93" s="487"/>
      <c r="AD93" s="716">
        <f>(AB93/AB86-1)*100</f>
        <v>10.76789976133654</v>
      </c>
      <c r="AE93" s="702"/>
      <c r="AF93" s="719">
        <f>+H93/AD93*100</f>
        <v>81.692324129568078</v>
      </c>
      <c r="AG93" s="499"/>
      <c r="AH93" s="487"/>
      <c r="AI93" s="720">
        <f>SUM(AI89:AI92)</f>
        <v>10708.998</v>
      </c>
      <c r="AJ93" s="487"/>
      <c r="AK93" s="723">
        <f>SUM(AK89:AK92)</f>
        <v>230.01374328224864</v>
      </c>
      <c r="AL93" s="487"/>
      <c r="AM93" s="740">
        <f>(AK93/AK86-1)*100</f>
        <v>0.81526179303070823</v>
      </c>
      <c r="AN93" s="702"/>
      <c r="AO93" s="702"/>
      <c r="AP93" s="487"/>
      <c r="AQ93" s="487"/>
      <c r="AR93" s="487"/>
      <c r="AS93" s="487"/>
      <c r="AT93" s="487"/>
      <c r="AU93" s="487"/>
      <c r="AV93" s="487"/>
      <c r="AW93" s="487"/>
      <c r="AX93" s="487"/>
      <c r="AY93" s="487"/>
      <c r="AZ93" s="487"/>
      <c r="BA93" s="487"/>
      <c r="BB93" s="487"/>
      <c r="BC93" s="487"/>
      <c r="BD93" s="487"/>
      <c r="BE93" s="487"/>
      <c r="BF93" s="2109" t="s">
        <v>673</v>
      </c>
      <c r="BG93" s="2109"/>
    </row>
    <row r="94" spans="1:59" hidden="1" outlineLevel="1">
      <c r="A94" s="487"/>
      <c r="B94" s="701"/>
      <c r="C94" s="487"/>
      <c r="D94" s="487"/>
      <c r="E94" s="487"/>
      <c r="F94" s="487"/>
      <c r="G94" s="487"/>
      <c r="H94" s="487"/>
      <c r="I94" s="487"/>
      <c r="J94" s="487"/>
      <c r="K94" s="487"/>
      <c r="L94" s="727"/>
      <c r="M94" s="487"/>
      <c r="N94" s="487"/>
      <c r="O94" s="702"/>
      <c r="P94" s="487"/>
      <c r="Q94" s="487"/>
      <c r="R94" s="487"/>
      <c r="S94" s="487"/>
      <c r="T94" s="487"/>
      <c r="U94" s="487"/>
      <c r="V94" s="487"/>
      <c r="W94" s="487"/>
      <c r="X94" s="487"/>
      <c r="Y94" s="487"/>
      <c r="Z94" s="487"/>
      <c r="AA94" s="487"/>
      <c r="AB94" s="487"/>
      <c r="AC94" s="487"/>
      <c r="AD94" s="487"/>
      <c r="AE94" s="702"/>
      <c r="AF94" s="487"/>
      <c r="AG94" s="487"/>
      <c r="AH94" s="487"/>
      <c r="AI94" s="487"/>
      <c r="AJ94" s="487"/>
      <c r="AK94" s="487"/>
      <c r="AL94" s="487"/>
      <c r="AM94" s="487"/>
      <c r="AN94" s="487"/>
      <c r="AO94" s="487"/>
      <c r="AP94" s="487"/>
      <c r="AQ94" s="487"/>
      <c r="AR94" s="708" t="s">
        <v>377</v>
      </c>
      <c r="AS94" s="708" t="s">
        <v>383</v>
      </c>
      <c r="AT94" s="708" t="s">
        <v>373</v>
      </c>
      <c r="AU94" s="708" t="s">
        <v>378</v>
      </c>
      <c r="AV94" s="708" t="s">
        <v>376</v>
      </c>
      <c r="AW94" s="708" t="s">
        <v>671</v>
      </c>
      <c r="AX94" s="487"/>
      <c r="AY94" s="487"/>
      <c r="AZ94" s="487"/>
      <c r="BA94" s="487"/>
      <c r="BB94" s="487"/>
      <c r="BC94" s="487"/>
      <c r="BD94" s="487"/>
      <c r="BE94" s="487"/>
      <c r="BF94" s="709" t="s">
        <v>672</v>
      </c>
      <c r="BG94" s="709" t="s">
        <v>610</v>
      </c>
    </row>
    <row r="95" spans="1:59" hidden="1" outlineLevel="1">
      <c r="A95" s="715"/>
      <c r="B95" s="736">
        <v>2002</v>
      </c>
      <c r="C95" s="487"/>
      <c r="D95" s="487"/>
      <c r="E95" s="702"/>
      <c r="F95" s="487"/>
      <c r="G95" s="702"/>
      <c r="H95" s="487"/>
      <c r="I95" s="702"/>
      <c r="J95" s="487"/>
      <c r="K95" s="487"/>
      <c r="L95" s="727"/>
      <c r="M95" s="487"/>
      <c r="N95" s="487"/>
      <c r="O95" s="702"/>
      <c r="P95" s="499"/>
      <c r="Q95" s="499"/>
      <c r="R95" s="487"/>
      <c r="S95" s="487"/>
      <c r="T95" s="487"/>
      <c r="U95" s="487"/>
      <c r="V95" s="487"/>
      <c r="W95" s="487"/>
      <c r="X95" s="702"/>
      <c r="Y95" s="487"/>
      <c r="Z95" s="487"/>
      <c r="AA95" s="487"/>
      <c r="AB95" s="487"/>
      <c r="AC95" s="487"/>
      <c r="AD95" s="487"/>
      <c r="AE95" s="702"/>
      <c r="AF95" s="499"/>
      <c r="AG95" s="499"/>
      <c r="AH95" s="487"/>
      <c r="AI95" s="487"/>
      <c r="AJ95" s="487"/>
      <c r="AK95" s="487"/>
      <c r="AL95" s="487"/>
      <c r="AM95" s="487"/>
      <c r="AN95" s="702"/>
      <c r="AO95" s="702"/>
      <c r="AP95" s="487"/>
      <c r="AQ95" s="487"/>
      <c r="AR95" s="743"/>
      <c r="AS95" s="743"/>
      <c r="AT95" s="487"/>
      <c r="AU95" s="487"/>
      <c r="AV95" s="487"/>
      <c r="AW95" s="487"/>
      <c r="AX95" s="487"/>
      <c r="AY95" s="487"/>
      <c r="AZ95" s="487"/>
      <c r="BA95" s="487"/>
      <c r="BB95" s="487"/>
      <c r="BC95" s="487"/>
      <c r="BD95" s="487"/>
      <c r="BE95" s="487"/>
      <c r="BF95" s="487"/>
      <c r="BG95" s="487"/>
    </row>
    <row r="96" spans="1:59" hidden="1" outlineLevel="1">
      <c r="A96" s="487" t="str">
        <f>$A$40</f>
        <v>1Q</v>
      </c>
      <c r="B96" s="701" t="str">
        <f>$B$40</f>
        <v>Apr</v>
      </c>
      <c r="C96" s="487"/>
      <c r="D96" s="716">
        <f>(S96/S89-1)*100</f>
        <v>17.384863677096462</v>
      </c>
      <c r="E96" s="702" t="s">
        <v>190</v>
      </c>
      <c r="F96" s="744">
        <f>'qtrP&amp;L'!BD10</f>
        <v>7</v>
      </c>
      <c r="G96" s="702" t="s">
        <v>190</v>
      </c>
      <c r="H96" s="716">
        <f>D96-F96</f>
        <v>10.384863677096462</v>
      </c>
      <c r="I96" s="702" t="s">
        <v>190</v>
      </c>
      <c r="J96" s="742">
        <f>+Stores!CW113</f>
        <v>1720</v>
      </c>
      <c r="K96" s="487" t="s">
        <v>315</v>
      </c>
      <c r="L96" s="727">
        <f>AVERAGE(J96,J92)</f>
        <v>1692.5</v>
      </c>
      <c r="M96" s="487"/>
      <c r="N96" s="716">
        <f>(L96/L89-1)*100</f>
        <v>11.789960369881115</v>
      </c>
      <c r="O96" s="702" t="s">
        <v>190</v>
      </c>
      <c r="P96" s="719">
        <f>H96/N96*100</f>
        <v>88.082261104336339</v>
      </c>
      <c r="Q96" s="499" t="s">
        <v>190</v>
      </c>
      <c r="R96" s="487"/>
      <c r="S96" s="720">
        <f>+'qtrP&amp;L'!BB10</f>
        <v>2665.6869999999999</v>
      </c>
      <c r="T96" s="487" t="s">
        <v>315</v>
      </c>
      <c r="U96" s="721">
        <f>S96/L96</f>
        <v>1.5749997045790252</v>
      </c>
      <c r="V96" s="487"/>
      <c r="W96" s="740">
        <f>(U96/U89-1)*100</f>
        <v>5.004835218389414</v>
      </c>
      <c r="X96" s="702" t="s">
        <v>190</v>
      </c>
      <c r="Y96" s="487"/>
      <c r="Z96" s="562">
        <f>Stores!DB113</f>
        <v>50.465999999999994</v>
      </c>
      <c r="AA96" s="487" t="s">
        <v>315</v>
      </c>
      <c r="AB96" s="722">
        <f>AVERAGE(Z96,Z92)</f>
        <v>49.727499999999992</v>
      </c>
      <c r="AC96" s="487"/>
      <c r="AD96" s="716">
        <f>(AB96/AB89-1)*100</f>
        <v>11.616762434907479</v>
      </c>
      <c r="AE96" s="702" t="s">
        <v>190</v>
      </c>
      <c r="AF96" s="719">
        <f>+H96/AD96*100</f>
        <v>89.395507012269988</v>
      </c>
      <c r="AG96" s="499" t="s">
        <v>190</v>
      </c>
      <c r="AH96" s="487"/>
      <c r="AI96" s="720">
        <f>+S96</f>
        <v>2665.6869999999999</v>
      </c>
      <c r="AJ96" s="487" t="s">
        <v>315</v>
      </c>
      <c r="AK96" s="723">
        <f>AI96/AB96</f>
        <v>53.605892112010466</v>
      </c>
      <c r="AL96" s="487"/>
      <c r="AM96" s="740">
        <f>(AK96/AK89-1)*100</f>
        <v>5.1677732952994493</v>
      </c>
      <c r="AN96" s="702" t="s">
        <v>190</v>
      </c>
      <c r="AO96" s="702"/>
      <c r="AP96" s="725">
        <f>+S96-AQ96</f>
        <v>49.878999999999905</v>
      </c>
      <c r="AQ96" s="745">
        <f>+AR96+AS96+AT96+AU96+AV96+AW96</f>
        <v>2615.808</v>
      </c>
      <c r="AR96" s="725">
        <f>SegqtrSales!S60</f>
        <v>2172.8870000000002</v>
      </c>
      <c r="AS96" s="725">
        <f>SegqtrSales!S236</f>
        <v>162.328</v>
      </c>
      <c r="AT96" s="725">
        <f>SegqtrSales!S413</f>
        <v>129.75899999999999</v>
      </c>
      <c r="AU96" s="725">
        <f>SegqtrSales!S590</f>
        <v>150.834</v>
      </c>
      <c r="AV96" s="725">
        <f>SegqtrSales!S747</f>
        <v>0</v>
      </c>
      <c r="AW96" s="725"/>
      <c r="AX96" s="487"/>
      <c r="AY96" s="487"/>
      <c r="AZ96" s="724">
        <f>SegqtrSales!F60</f>
        <v>7</v>
      </c>
      <c r="BA96" s="724">
        <f>SegqtrSales!F236</f>
        <v>10</v>
      </c>
      <c r="BB96" s="724">
        <f>SegqtrSales!F413</f>
        <v>5</v>
      </c>
      <c r="BC96" s="724">
        <f>SegqtrSales!F590</f>
        <v>11</v>
      </c>
      <c r="BD96" s="487"/>
      <c r="BE96" s="487"/>
      <c r="BF96" s="746">
        <f>AR$101*SegqtrSales!F60+AS$101*SegqtrSales!F236+AT$101*SegqtrSales!F413+AU$101*SegqtrSales!F590+AV$101*SegqtrSales!F747</f>
        <v>7.3212246209564151</v>
      </c>
      <c r="BG96" s="744">
        <f>+F96</f>
        <v>7</v>
      </c>
    </row>
    <row r="97" spans="1:59" hidden="1" outlineLevel="1">
      <c r="A97" s="487" t="str">
        <f>$A$41</f>
        <v>2Q</v>
      </c>
      <c r="B97" s="701" t="str">
        <f>$B$41</f>
        <v>Jul</v>
      </c>
      <c r="C97" s="487"/>
      <c r="D97" s="716">
        <f>(S97/S90-1)*100</f>
        <v>11.153905215503013</v>
      </c>
      <c r="E97" s="487"/>
      <c r="F97" s="744">
        <f>'qtrP&amp;L'!BD11</f>
        <v>2</v>
      </c>
      <c r="G97" s="487"/>
      <c r="H97" s="716">
        <f>D97-F97</f>
        <v>9.1539052155030127</v>
      </c>
      <c r="I97" s="487"/>
      <c r="J97" s="742">
        <f>+Stores!CW114</f>
        <v>1749</v>
      </c>
      <c r="K97" s="735"/>
      <c r="L97" s="727">
        <f>AVERAGE(J97,J96)</f>
        <v>1734.5</v>
      </c>
      <c r="M97" s="487"/>
      <c r="N97" s="716">
        <f>(L97/L90-1)*100</f>
        <v>12.120232708468004</v>
      </c>
      <c r="O97" s="702"/>
      <c r="P97" s="719">
        <f>H97/N97*100</f>
        <v>75.525820631376845</v>
      </c>
      <c r="Q97" s="499"/>
      <c r="R97" s="487"/>
      <c r="S97" s="725">
        <f>+'qtrP&amp;L'!BB11</f>
        <v>2765.0889999999999</v>
      </c>
      <c r="T97" s="487"/>
      <c r="U97" s="726">
        <f>S97/L97</f>
        <v>1.5941706543672527</v>
      </c>
      <c r="V97" s="487"/>
      <c r="W97" s="740">
        <f>(U97/U90-1)*100</f>
        <v>-0.86186718455858458</v>
      </c>
      <c r="X97" s="702"/>
      <c r="Y97" s="487"/>
      <c r="Z97" s="562">
        <f>Stores!DB114</f>
        <v>51.216000000000001</v>
      </c>
      <c r="AA97" s="735"/>
      <c r="AB97" s="722">
        <f>AVERAGE(Z97,Z96)</f>
        <v>50.840999999999994</v>
      </c>
      <c r="AC97" s="487"/>
      <c r="AD97" s="716">
        <f>(AB97/AB90-1)*100</f>
        <v>11.715136400092252</v>
      </c>
      <c r="AE97" s="702"/>
      <c r="AF97" s="719">
        <f>+H97/AD97*100</f>
        <v>78.137419001207093</v>
      </c>
      <c r="AG97" s="499"/>
      <c r="AH97" s="487"/>
      <c r="AI97" s="725">
        <f>+S97</f>
        <v>2765.0889999999999</v>
      </c>
      <c r="AJ97" s="487"/>
      <c r="AK97" s="727">
        <f>AI97/AB97</f>
        <v>54.386990814500116</v>
      </c>
      <c r="AL97" s="487"/>
      <c r="AM97" s="740">
        <f>(AK97/AK90-1)*100</f>
        <v>-0.50237703025244329</v>
      </c>
      <c r="AN97" s="702"/>
      <c r="AO97" s="702"/>
      <c r="AP97" s="725">
        <f>+S97-AQ97</f>
        <v>59.733999999999924</v>
      </c>
      <c r="AQ97" s="747">
        <f>+AR97+AS97+AT97+AU97+AV97+AW97</f>
        <v>2705.355</v>
      </c>
      <c r="AR97" s="725">
        <f>SegqtrSales!S61</f>
        <v>2206.0500000000002</v>
      </c>
      <c r="AS97" s="725">
        <f>SegqtrSales!S237</f>
        <v>185</v>
      </c>
      <c r="AT97" s="725">
        <f>SegqtrSales!S414</f>
        <v>157.524</v>
      </c>
      <c r="AU97" s="725">
        <f>SegqtrSales!S591</f>
        <v>156.78100000000001</v>
      </c>
      <c r="AV97" s="725">
        <f>SegqtrSales!S748</f>
        <v>0</v>
      </c>
      <c r="AW97" s="725"/>
      <c r="AX97" s="487"/>
      <c r="AY97" s="487"/>
      <c r="AZ97" s="724">
        <f>SegqtrSales!F61</f>
        <v>1</v>
      </c>
      <c r="BA97" s="724">
        <f>SegqtrSales!F237</f>
        <v>8</v>
      </c>
      <c r="BB97" s="724">
        <f>SegqtrSales!F414</f>
        <v>4</v>
      </c>
      <c r="BC97" s="724">
        <f>SegqtrSales!F591</f>
        <v>5</v>
      </c>
      <c r="BD97" s="487"/>
      <c r="BE97" s="487"/>
      <c r="BF97" s="746">
        <f>AR$101*SegqtrSales!F61+AS$101*SegqtrSales!F237+AT$101*SegqtrSales!F414+AU$101*SegqtrSales!F591+AV$101*SegqtrSales!F748</f>
        <v>1.8999596462644344</v>
      </c>
      <c r="BG97" s="744">
        <f>+F97</f>
        <v>2</v>
      </c>
    </row>
    <row r="98" spans="1:59" hidden="1" outlineLevel="1">
      <c r="A98" s="487" t="str">
        <f>$A$42</f>
        <v>3Q</v>
      </c>
      <c r="B98" s="701" t="str">
        <f>$B$42</f>
        <v>Oct</v>
      </c>
      <c r="C98" s="487"/>
      <c r="D98" s="716">
        <f>(S98/S91-1)*100</f>
        <v>11.057860819055154</v>
      </c>
      <c r="E98" s="487"/>
      <c r="F98" s="744">
        <f>'qtrP&amp;L'!BD12</f>
        <v>2</v>
      </c>
      <c r="G98" s="487"/>
      <c r="H98" s="716">
        <f>D98-F98</f>
        <v>9.0578608190551542</v>
      </c>
      <c r="I98" s="487"/>
      <c r="J98" s="742">
        <f>+Stores!CW115</f>
        <v>1826</v>
      </c>
      <c r="K98" s="735"/>
      <c r="L98" s="727">
        <f>AVERAGE(J98,J97)</f>
        <v>1787.5</v>
      </c>
      <c r="M98" s="487"/>
      <c r="N98" s="716">
        <f>(L98/L91-1)*100</f>
        <v>11.823584610572402</v>
      </c>
      <c r="O98" s="702"/>
      <c r="P98" s="719">
        <f>H98/N98*100</f>
        <v>76.608415445818395</v>
      </c>
      <c r="Q98" s="499"/>
      <c r="R98" s="487"/>
      <c r="S98" s="725">
        <f>+'qtrP&amp;L'!BB12</f>
        <v>3044.95</v>
      </c>
      <c r="T98" s="487"/>
      <c r="U98" s="726">
        <f>S98/L98</f>
        <v>1.7034685314685314</v>
      </c>
      <c r="V98" s="487"/>
      <c r="W98" s="740">
        <f>(U98/U91-1)*100</f>
        <v>-0.68476054866593028</v>
      </c>
      <c r="X98" s="702"/>
      <c r="Y98" s="487"/>
      <c r="Z98" s="562">
        <f>Stores!DB115</f>
        <v>53.49</v>
      </c>
      <c r="AA98" s="735"/>
      <c r="AB98" s="722">
        <f>AVERAGE(Z98,Z97)</f>
        <v>52.353000000000002</v>
      </c>
      <c r="AC98" s="487"/>
      <c r="AD98" s="716">
        <f>(AB98/AB91-1)*100</f>
        <v>11.344350156319782</v>
      </c>
      <c r="AE98" s="702"/>
      <c r="AF98" s="719">
        <f>+H98/AD98*100</f>
        <v>79.844686511277544</v>
      </c>
      <c r="AG98" s="499"/>
      <c r="AH98" s="487"/>
      <c r="AI98" s="725">
        <f>+S98</f>
        <v>3044.95</v>
      </c>
      <c r="AJ98" s="487"/>
      <c r="AK98" s="727">
        <f>AI98/AB98</f>
        <v>58.16190094168433</v>
      </c>
      <c r="AL98" s="487"/>
      <c r="AM98" s="740">
        <f>(AK98/AK91-1)*100</f>
        <v>-0.25730029126976861</v>
      </c>
      <c r="AN98" s="702"/>
      <c r="AO98" s="702"/>
      <c r="AP98" s="725">
        <f>+S98-AQ98</f>
        <v>66.259000000000015</v>
      </c>
      <c r="AQ98" s="747">
        <f>+AR98+AS98+AT98+AU98+AV98+AW98</f>
        <v>2978.6909999999998</v>
      </c>
      <c r="AR98" s="725">
        <f>SegqtrSales!S62</f>
        <v>2406.6619999999998</v>
      </c>
      <c r="AS98" s="725">
        <f>SegqtrSales!S238</f>
        <v>210.16499999999999</v>
      </c>
      <c r="AT98" s="725">
        <f>SegqtrSales!S415</f>
        <v>185.58500000000001</v>
      </c>
      <c r="AU98" s="725">
        <f>SegqtrSales!S592</f>
        <v>176.279</v>
      </c>
      <c r="AV98" s="725">
        <f>SegqtrSales!S749</f>
        <v>0</v>
      </c>
      <c r="AW98" s="725"/>
      <c r="AX98" s="487"/>
      <c r="AY98" s="487"/>
      <c r="AZ98" s="724">
        <f>SegqtrSales!F62</f>
        <v>1</v>
      </c>
      <c r="BA98" s="724">
        <f>SegqtrSales!F238</f>
        <v>1</v>
      </c>
      <c r="BB98" s="724">
        <f>SegqtrSales!F415</f>
        <v>11</v>
      </c>
      <c r="BC98" s="724">
        <f>SegqtrSales!F592</f>
        <v>8</v>
      </c>
      <c r="BD98" s="487"/>
      <c r="BE98" s="487"/>
      <c r="BF98" s="746">
        <f>AR$101*SegqtrSales!F62+AS$101*SegqtrSales!F238+AT$101*SegqtrSales!F415+AU$101*SegqtrSales!F592+AV$101*SegqtrSales!F749</f>
        <v>2.0369888167264572</v>
      </c>
      <c r="BG98" s="744">
        <f>+F98</f>
        <v>2</v>
      </c>
    </row>
    <row r="99" spans="1:59" hidden="1" outlineLevel="1">
      <c r="A99" s="487" t="str">
        <f>$A$43</f>
        <v>4Q</v>
      </c>
      <c r="B99" s="701" t="str">
        <f>$B$43</f>
        <v>Jan</v>
      </c>
      <c r="C99" s="487"/>
      <c r="D99" s="728">
        <f>(S99/S92-1)*100</f>
        <v>9.2488512524651725</v>
      </c>
      <c r="E99" s="487"/>
      <c r="F99" s="748">
        <f>'qtrP&amp;L'!BD13</f>
        <v>0</v>
      </c>
      <c r="G99" s="487"/>
      <c r="H99" s="728">
        <f>D99-F99</f>
        <v>9.2488512524651725</v>
      </c>
      <c r="I99" s="487"/>
      <c r="J99" s="727">
        <f>yrSales!N$20</f>
        <v>1843</v>
      </c>
      <c r="K99" s="735"/>
      <c r="L99" s="734">
        <f>AVERAGE(J99,J98)</f>
        <v>1834.5</v>
      </c>
      <c r="M99" s="487"/>
      <c r="N99" s="728">
        <f>(L99/L92-1)*100</f>
        <v>11.080835603996375</v>
      </c>
      <c r="O99" s="702"/>
      <c r="P99" s="730">
        <f>H99/N99*100</f>
        <v>83.467092040689721</v>
      </c>
      <c r="Q99" s="499"/>
      <c r="R99" s="487"/>
      <c r="S99" s="731">
        <f>+'qtrP&amp;L'!BB13</f>
        <v>3505.4810000000002</v>
      </c>
      <c r="T99" s="735"/>
      <c r="U99" s="732">
        <f>S99/L99</f>
        <v>1.9108645407467977</v>
      </c>
      <c r="V99" s="487"/>
      <c r="W99" s="729">
        <f>(U99/U92-1)*100</f>
        <v>-1.6492352992934056</v>
      </c>
      <c r="X99" s="702"/>
      <c r="Y99" s="487"/>
      <c r="Z99" s="562">
        <f>yrSales!N$31</f>
        <v>53.826000000000001</v>
      </c>
      <c r="AA99" s="735"/>
      <c r="AB99" s="733">
        <f>AVERAGE(Z99,Z98)</f>
        <v>53.658000000000001</v>
      </c>
      <c r="AC99" s="487"/>
      <c r="AD99" s="728">
        <f>(AB99/AB92-1)*100</f>
        <v>10.483563773382908</v>
      </c>
      <c r="AE99" s="702"/>
      <c r="AF99" s="730">
        <f>+H99/AD99*100</f>
        <v>88.222397005371491</v>
      </c>
      <c r="AG99" s="499"/>
      <c r="AH99" s="487"/>
      <c r="AI99" s="731">
        <f>+S99</f>
        <v>3505.4810000000002</v>
      </c>
      <c r="AJ99" s="487"/>
      <c r="AK99" s="734">
        <f>AI99/AB99</f>
        <v>65.330071937083005</v>
      </c>
      <c r="AL99" s="487"/>
      <c r="AM99" s="729">
        <f>(AK99/AK92-1)*100</f>
        <v>-1.1175531262281768</v>
      </c>
      <c r="AN99" s="702"/>
      <c r="AO99" s="702"/>
      <c r="AP99" s="725">
        <f>+S99-AQ99</f>
        <v>101.33800000000019</v>
      </c>
      <c r="AQ99" s="747">
        <f>+AR99+AS99+AT99+AU99+AV99+AW99</f>
        <v>3404.143</v>
      </c>
      <c r="AR99" s="725">
        <f>SegqtrSales!S63</f>
        <v>2699.9830000000002</v>
      </c>
      <c r="AS99" s="725">
        <f>SegqtrSales!S239</f>
        <v>235.709</v>
      </c>
      <c r="AT99" s="725">
        <f>SegqtrSales!S416</f>
        <v>247.273</v>
      </c>
      <c r="AU99" s="725">
        <f>SegqtrSales!S593</f>
        <v>221.178</v>
      </c>
      <c r="AV99" s="725">
        <f>SegqtrSales!S750</f>
        <v>0</v>
      </c>
      <c r="AW99" s="725"/>
      <c r="AX99" s="487"/>
      <c r="AY99" s="487"/>
      <c r="AZ99" s="724">
        <f>SegqtrSales!F63</f>
        <v>-1</v>
      </c>
      <c r="BA99" s="724">
        <f>SegqtrSales!F239</f>
        <v>2</v>
      </c>
      <c r="BB99" s="724">
        <f>SegqtrSales!F416</f>
        <v>0</v>
      </c>
      <c r="BC99" s="724">
        <f>SegqtrSales!F593</f>
        <v>2</v>
      </c>
      <c r="BD99" s="487"/>
      <c r="BE99" s="487"/>
      <c r="BF99" s="746">
        <f>AR$101*SegqtrSales!F63+AS$101*SegqtrSales!F239+AT$101*SegqtrSales!F416+AU$101*SegqtrSales!F593+AV$101*SegqtrSales!F750</f>
        <v>-0.55442888442298832</v>
      </c>
      <c r="BG99" s="744">
        <f>+F99</f>
        <v>0</v>
      </c>
    </row>
    <row r="100" spans="1:59" hidden="1" outlineLevel="1">
      <c r="A100" s="487"/>
      <c r="B100" s="701" t="str">
        <f>$B$44</f>
        <v>Year</v>
      </c>
      <c r="C100" s="487"/>
      <c r="D100" s="716">
        <f>(S100/S93-1)*100</f>
        <v>11.879813592270704</v>
      </c>
      <c r="E100" s="487"/>
      <c r="F100" s="744">
        <f>'qtrP&amp;L'!BD14</f>
        <v>3</v>
      </c>
      <c r="G100" s="487"/>
      <c r="H100" s="716">
        <f>D100-F100</f>
        <v>8.879813592270704</v>
      </c>
      <c r="I100" s="487"/>
      <c r="J100" s="727"/>
      <c r="K100" s="487"/>
      <c r="L100" s="727">
        <f>AVERAGE(L96:L99)</f>
        <v>1762.25</v>
      </c>
      <c r="M100" s="487"/>
      <c r="N100" s="716">
        <f>(L100/L93-1)*100</f>
        <v>11.693867849786077</v>
      </c>
      <c r="O100" s="702"/>
      <c r="P100" s="719">
        <f>H100/N100*100</f>
        <v>75.935641708428818</v>
      </c>
      <c r="Q100" s="499"/>
      <c r="R100" s="487"/>
      <c r="S100" s="720">
        <f>SUM(S96:S99)</f>
        <v>11981.206999999999</v>
      </c>
      <c r="T100" s="487"/>
      <c r="U100" s="721">
        <f>SUM(U96:U99)</f>
        <v>6.7835034311616065</v>
      </c>
      <c r="V100" s="487"/>
      <c r="W100" s="740">
        <f>(U100/U93-1)*100</f>
        <v>0.25748656659241309</v>
      </c>
      <c r="X100" s="702"/>
      <c r="Y100" s="487"/>
      <c r="Z100" s="487"/>
      <c r="AA100" s="487"/>
      <c r="AB100" s="722">
        <f>AVERAGE(AB96:AB99)</f>
        <v>51.644874999999999</v>
      </c>
      <c r="AC100" s="487"/>
      <c r="AD100" s="716">
        <f>(AB100/AB93-1)*100</f>
        <v>11.275431329350848</v>
      </c>
      <c r="AE100" s="702"/>
      <c r="AF100" s="719">
        <f>+H100/AD100*100</f>
        <v>78.753648821893321</v>
      </c>
      <c r="AG100" s="499"/>
      <c r="AH100" s="487"/>
      <c r="AI100" s="720">
        <f>SUM(AI96:AI99)</f>
        <v>11981.206999999999</v>
      </c>
      <c r="AJ100" s="487"/>
      <c r="AK100" s="723">
        <f>SUM(AK96:AK99)</f>
        <v>231.48485580527793</v>
      </c>
      <c r="AL100" s="487"/>
      <c r="AM100" s="740">
        <f>(AK100/AK93-1)*100</f>
        <v>0.63957592361083559</v>
      </c>
      <c r="AN100" s="702"/>
      <c r="AO100" s="702"/>
      <c r="AP100" s="725">
        <f>+S100-AQ100</f>
        <v>277.20999999999913</v>
      </c>
      <c r="AQ100" s="749">
        <f t="shared" ref="AQ100:AW100" si="0">SUM(AQ96:AQ99)</f>
        <v>11703.996999999999</v>
      </c>
      <c r="AR100" s="750">
        <f t="shared" si="0"/>
        <v>9485.5820000000003</v>
      </c>
      <c r="AS100" s="750">
        <f t="shared" si="0"/>
        <v>793.202</v>
      </c>
      <c r="AT100" s="750">
        <f t="shared" si="0"/>
        <v>720.14100000000008</v>
      </c>
      <c r="AU100" s="750">
        <f t="shared" si="0"/>
        <v>705.072</v>
      </c>
      <c r="AV100" s="750">
        <f t="shared" si="0"/>
        <v>0</v>
      </c>
      <c r="AW100" s="750">
        <f t="shared" si="0"/>
        <v>0</v>
      </c>
      <c r="AX100" s="487"/>
      <c r="AY100" s="487"/>
      <c r="AZ100" s="724">
        <f>SegqtrSales!F64</f>
        <v>2</v>
      </c>
      <c r="BA100" s="724">
        <f>SegqtrSales!F240</f>
        <v>5</v>
      </c>
      <c r="BB100" s="724">
        <f>SegqtrSales!F417</f>
        <v>5</v>
      </c>
      <c r="BC100" s="724">
        <f>SegqtrSales!F594</f>
        <v>6</v>
      </c>
      <c r="BD100" s="487"/>
      <c r="BE100" s="487"/>
      <c r="BF100" s="487"/>
      <c r="BG100" s="487"/>
    </row>
    <row r="101" spans="1:59" hidden="1" outlineLevel="1">
      <c r="A101" s="487"/>
      <c r="B101" s="701"/>
      <c r="C101" s="487"/>
      <c r="D101" s="487"/>
      <c r="E101" s="487"/>
      <c r="F101" s="487"/>
      <c r="G101" s="487"/>
      <c r="H101" s="487"/>
      <c r="I101" s="487"/>
      <c r="J101" s="487"/>
      <c r="K101" s="487"/>
      <c r="L101" s="727"/>
      <c r="M101" s="487"/>
      <c r="N101" s="487"/>
      <c r="O101" s="702"/>
      <c r="P101" s="487"/>
      <c r="Q101" s="487"/>
      <c r="R101" s="487"/>
      <c r="S101" s="487"/>
      <c r="T101" s="487"/>
      <c r="U101" s="487"/>
      <c r="V101" s="487"/>
      <c r="W101" s="487"/>
      <c r="X101" s="487"/>
      <c r="Y101" s="487"/>
      <c r="Z101" s="487"/>
      <c r="AA101" s="487"/>
      <c r="AB101" s="487"/>
      <c r="AC101" s="487"/>
      <c r="AD101" s="487"/>
      <c r="AE101" s="702"/>
      <c r="AF101" s="487"/>
      <c r="AG101" s="487"/>
      <c r="AH101" s="487"/>
      <c r="AI101" s="487"/>
      <c r="AJ101" s="487"/>
      <c r="AK101" s="487"/>
      <c r="AL101" s="487"/>
      <c r="AM101" s="487"/>
      <c r="AN101" s="487"/>
      <c r="AO101" s="487"/>
      <c r="AP101" s="487"/>
      <c r="AQ101" s="487"/>
      <c r="AR101" s="558">
        <f t="shared" ref="AR101:AW101" si="1">+AR100/$AQ100</f>
        <v>0.81045663289216507</v>
      </c>
      <c r="AS101" s="558">
        <f t="shared" si="1"/>
        <v>6.7771890235446913E-2</v>
      </c>
      <c r="AT101" s="558">
        <f t="shared" si="1"/>
        <v>6.1529492873246647E-2</v>
      </c>
      <c r="AU101" s="558">
        <f t="shared" si="1"/>
        <v>6.0241983999141491E-2</v>
      </c>
      <c r="AV101" s="558">
        <f t="shared" si="1"/>
        <v>0</v>
      </c>
      <c r="AW101" s="558">
        <f t="shared" si="1"/>
        <v>0</v>
      </c>
      <c r="AX101" s="487"/>
      <c r="AY101" s="487"/>
      <c r="AZ101" s="724">
        <f>SegqtrSales!F65</f>
        <v>0</v>
      </c>
      <c r="BA101" s="724">
        <f>SegqtrSales!F241</f>
        <v>0</v>
      </c>
      <c r="BB101" s="724">
        <f>SegqtrSales!F418</f>
        <v>0</v>
      </c>
      <c r="BC101" s="724">
        <f>SegqtrSales!F595</f>
        <v>0</v>
      </c>
      <c r="BD101" s="487"/>
      <c r="BE101" s="487"/>
      <c r="BF101" s="487"/>
      <c r="BG101" s="487"/>
    </row>
    <row r="102" spans="1:59" hidden="1" outlineLevel="1">
      <c r="A102" s="715"/>
      <c r="B102" s="736">
        <v>2003</v>
      </c>
      <c r="C102" s="487"/>
      <c r="D102" s="487"/>
      <c r="E102" s="702"/>
      <c r="F102" s="487"/>
      <c r="G102" s="702"/>
      <c r="H102" s="487"/>
      <c r="I102" s="702"/>
      <c r="J102" s="487"/>
      <c r="K102" s="487"/>
      <c r="L102" s="727"/>
      <c r="M102" s="487"/>
      <c r="N102" s="487"/>
      <c r="O102" s="702"/>
      <c r="P102" s="499"/>
      <c r="Q102" s="499"/>
      <c r="R102" s="487"/>
      <c r="S102" s="487"/>
      <c r="T102" s="487"/>
      <c r="U102" s="487"/>
      <c r="V102" s="487"/>
      <c r="W102" s="487"/>
      <c r="X102" s="702"/>
      <c r="Y102" s="487"/>
      <c r="Z102" s="487"/>
      <c r="AA102" s="487"/>
      <c r="AB102" s="487"/>
      <c r="AC102" s="487"/>
      <c r="AD102" s="487"/>
      <c r="AE102" s="702"/>
      <c r="AF102" s="499"/>
      <c r="AG102" s="499"/>
      <c r="AH102" s="487"/>
      <c r="AI102" s="487"/>
      <c r="AJ102" s="487"/>
      <c r="AK102" s="487"/>
      <c r="AL102" s="487"/>
      <c r="AM102" s="487"/>
      <c r="AN102" s="702"/>
      <c r="AO102" s="702"/>
      <c r="AP102" s="487"/>
      <c r="AQ102" s="487"/>
      <c r="AR102" s="487"/>
      <c r="AS102" s="487"/>
      <c r="AT102" s="487"/>
      <c r="AU102" s="487"/>
      <c r="AV102" s="487"/>
      <c r="AW102" s="487"/>
      <c r="AX102" s="487"/>
      <c r="AY102" s="487"/>
      <c r="AZ102" s="724">
        <f>SegqtrSales!F66</f>
        <v>0</v>
      </c>
      <c r="BA102" s="724">
        <f>SegqtrSales!F242</f>
        <v>0</v>
      </c>
      <c r="BB102" s="724">
        <f>SegqtrSales!F419</f>
        <v>0</v>
      </c>
      <c r="BC102" s="724">
        <f>SegqtrSales!F596</f>
        <v>0</v>
      </c>
      <c r="BD102" s="487"/>
      <c r="BE102" s="487"/>
      <c r="BF102" s="487"/>
      <c r="BG102" s="487"/>
    </row>
    <row r="103" spans="1:59" hidden="1" outlineLevel="1">
      <c r="A103" s="487" t="str">
        <f>$A$40</f>
        <v>1Q</v>
      </c>
      <c r="B103" s="701" t="str">
        <f>$B$40</f>
        <v>Apr</v>
      </c>
      <c r="C103" s="487"/>
      <c r="D103" s="716">
        <f>(S103/S96-1)*100</f>
        <v>4.6148703880087849</v>
      </c>
      <c r="E103" s="702" t="s">
        <v>190</v>
      </c>
      <c r="F103" s="751">
        <f>'qtrP&amp;L'!BH10</f>
        <v>-2</v>
      </c>
      <c r="G103" s="702" t="s">
        <v>190</v>
      </c>
      <c r="H103" s="716">
        <f>D103-F103</f>
        <v>6.6148703880087849</v>
      </c>
      <c r="I103" s="702" t="s">
        <v>190</v>
      </c>
      <c r="J103" s="742">
        <f>+Stores!CW121</f>
        <v>1883</v>
      </c>
      <c r="K103" s="487" t="s">
        <v>315</v>
      </c>
      <c r="L103" s="727">
        <f>AVERAGE(J103,J99)</f>
        <v>1863</v>
      </c>
      <c r="M103" s="487"/>
      <c r="N103" s="716">
        <f>(L103/L96-1)*100</f>
        <v>10.073855243722306</v>
      </c>
      <c r="O103" s="702" t="s">
        <v>190</v>
      </c>
      <c r="P103" s="719">
        <f>H103/N103*100</f>
        <v>65.663742707946426</v>
      </c>
      <c r="Q103" s="499" t="s">
        <v>190</v>
      </c>
      <c r="R103" s="487"/>
      <c r="S103" s="720">
        <f>'qtrP&amp;L'!BF10</f>
        <v>2788.7049999999999</v>
      </c>
      <c r="T103" s="735" t="s">
        <v>315</v>
      </c>
      <c r="U103" s="721">
        <f>S103/L103</f>
        <v>1.4968894256575416</v>
      </c>
      <c r="V103" s="487"/>
      <c r="W103" s="740">
        <f>(U103/U96-1)*100</f>
        <v>-4.9593837188916412</v>
      </c>
      <c r="X103" s="702" t="s">
        <v>190</v>
      </c>
      <c r="Y103" s="487"/>
      <c r="Z103" s="562">
        <f>Stores!DB121</f>
        <v>54.983999999999995</v>
      </c>
      <c r="AA103" s="487" t="s">
        <v>315</v>
      </c>
      <c r="AB103" s="722">
        <f>AVERAGE(Z103,Z99)</f>
        <v>54.405000000000001</v>
      </c>
      <c r="AC103" s="487"/>
      <c r="AD103" s="716">
        <f>(AB103/AB96-1)*100</f>
        <v>9.4062641395606263</v>
      </c>
      <c r="AE103" s="702" t="s">
        <v>190</v>
      </c>
      <c r="AF103" s="719">
        <f>+H103/AD103*100</f>
        <v>70.324097748734602</v>
      </c>
      <c r="AG103" s="499" t="s">
        <v>190</v>
      </c>
      <c r="AH103" s="487"/>
      <c r="AI103" s="720">
        <f>+S103</f>
        <v>2788.7049999999999</v>
      </c>
      <c r="AJ103" s="487" t="s">
        <v>315</v>
      </c>
      <c r="AK103" s="723">
        <f>AI103/AB103</f>
        <v>51.258248322764452</v>
      </c>
      <c r="AL103" s="487"/>
      <c r="AM103" s="740">
        <f>(AK103/AK96-1)*100</f>
        <v>-4.3794510206836446</v>
      </c>
      <c r="AN103" s="702" t="s">
        <v>190</v>
      </c>
      <c r="AO103" s="702"/>
      <c r="AP103" s="725">
        <f>+S103-AQ103</f>
        <v>82.521000000000186</v>
      </c>
      <c r="AQ103" s="745">
        <f>+AR103+AS103+AT103+AU103+AV103+AW103</f>
        <v>2706.1839999999997</v>
      </c>
      <c r="AR103" s="725">
        <f>SegqtrSales!S67</f>
        <v>2150.0859999999998</v>
      </c>
      <c r="AS103" s="725">
        <f>SegqtrSales!S243</f>
        <v>201.78299999999999</v>
      </c>
      <c r="AT103" s="725">
        <f>SegqtrSales!S420</f>
        <v>177.25299999999999</v>
      </c>
      <c r="AU103" s="725">
        <f>SegqtrSales!S597</f>
        <v>177.06200000000001</v>
      </c>
      <c r="AV103" s="725">
        <f>SegqtrSales!S754</f>
        <v>0</v>
      </c>
      <c r="AW103" s="725"/>
      <c r="AX103" s="716">
        <v>-3.0750309206018014</v>
      </c>
      <c r="AY103" s="716"/>
      <c r="AZ103" s="724">
        <f>SegqtrSales!F67</f>
        <v>-5</v>
      </c>
      <c r="BA103" s="724">
        <f>SegqtrSales!F243</f>
        <v>0</v>
      </c>
      <c r="BB103" s="724">
        <f>SegqtrSales!F420</f>
        <v>8</v>
      </c>
      <c r="BC103" s="724">
        <f>SegqtrSales!F597</f>
        <v>-1</v>
      </c>
      <c r="BD103" s="716"/>
      <c r="BE103" s="716"/>
      <c r="BF103" s="744"/>
      <c r="BG103" s="744">
        <f>+F103</f>
        <v>-2</v>
      </c>
    </row>
    <row r="104" spans="1:59" hidden="1" outlineLevel="1">
      <c r="A104" s="487" t="str">
        <f>$A$41</f>
        <v>2Q</v>
      </c>
      <c r="B104" s="701" t="str">
        <f>$B$41</f>
        <v>Jul</v>
      </c>
      <c r="C104" s="487"/>
      <c r="D104" s="716">
        <f>(S104/S97-1)*100</f>
        <v>10.165857229188656</v>
      </c>
      <c r="E104" s="487"/>
      <c r="F104" s="744">
        <f>'qtrP&amp;L'!BH11</f>
        <v>2</v>
      </c>
      <c r="G104" s="487"/>
      <c r="H104" s="716">
        <f>D104-F104</f>
        <v>8.1658572291886564</v>
      </c>
      <c r="I104" s="487"/>
      <c r="J104" s="742">
        <f>+Stores!CW122</f>
        <v>1927</v>
      </c>
      <c r="K104" s="487"/>
      <c r="L104" s="727">
        <f>AVERAGE(J104,J103)</f>
        <v>1905</v>
      </c>
      <c r="M104" s="487"/>
      <c r="N104" s="716">
        <f>(L104/L97-1)*100</f>
        <v>9.8299221677716986</v>
      </c>
      <c r="O104" s="702"/>
      <c r="P104" s="719">
        <f>H104/N104*100</f>
        <v>83.071433220103899</v>
      </c>
      <c r="Q104" s="499"/>
      <c r="R104" s="487"/>
      <c r="S104" s="725">
        <f>'qtrP&amp;L'!BF11</f>
        <v>3046.1840000000002</v>
      </c>
      <c r="T104" s="735" t="s">
        <v>315</v>
      </c>
      <c r="U104" s="726">
        <f>S104/L104</f>
        <v>1.599046719160105</v>
      </c>
      <c r="V104" s="487"/>
      <c r="W104" s="740">
        <f>(U104/U97-1)*100</f>
        <v>0.30586843256048546</v>
      </c>
      <c r="X104" s="702"/>
      <c r="Y104" s="487"/>
      <c r="Z104" s="562">
        <f>Stores!DB122</f>
        <v>56.17799999999999</v>
      </c>
      <c r="AA104" s="735"/>
      <c r="AB104" s="722">
        <f>AVERAGE(Z104,Z103)</f>
        <v>55.580999999999989</v>
      </c>
      <c r="AC104" s="487"/>
      <c r="AD104" s="716">
        <f>(AB104/AB97-1)*100</f>
        <v>9.3231840443736225</v>
      </c>
      <c r="AE104" s="702"/>
      <c r="AF104" s="719">
        <f>+H104/AD104*100</f>
        <v>87.586571179152116</v>
      </c>
      <c r="AG104" s="499"/>
      <c r="AH104" s="487"/>
      <c r="AI104" s="725">
        <f>+S104</f>
        <v>3046.1840000000002</v>
      </c>
      <c r="AJ104" s="487"/>
      <c r="AK104" s="727">
        <f>AI104/AB104</f>
        <v>54.806210755474005</v>
      </c>
      <c r="AL104" s="487"/>
      <c r="AM104" s="740">
        <f>(AK104/AK97-1)*100</f>
        <v>0.77080922238139671</v>
      </c>
      <c r="AN104" s="702"/>
      <c r="AO104" s="702"/>
      <c r="AP104" s="725">
        <f>+S104-AQ104</f>
        <v>96.031000000000404</v>
      </c>
      <c r="AQ104" s="747">
        <f>+AR104+AS104+AT104+AU104+AV104+AW104</f>
        <v>2950.1529999999998</v>
      </c>
      <c r="AR104" s="725">
        <f>SegqtrSales!S68</f>
        <v>2301.4630000000002</v>
      </c>
      <c r="AS104" s="725">
        <f>SegqtrSales!S244</f>
        <v>245.79400000000001</v>
      </c>
      <c r="AT104" s="725">
        <f>SegqtrSales!S421</f>
        <v>209.92099999999999</v>
      </c>
      <c r="AU104" s="725">
        <f>SegqtrSales!S598</f>
        <v>192.97499999999999</v>
      </c>
      <c r="AV104" s="725">
        <f>SegqtrSales!S755</f>
        <v>0</v>
      </c>
      <c r="AW104" s="725"/>
      <c r="AX104" s="716">
        <v>2.8918765057496643</v>
      </c>
      <c r="AY104" s="716"/>
      <c r="AZ104" s="724">
        <f>SegqtrSales!F68</f>
        <v>0</v>
      </c>
      <c r="BA104" s="724">
        <f>SegqtrSales!F244</f>
        <v>3</v>
      </c>
      <c r="BB104" s="724">
        <f>SegqtrSales!F421</f>
        <v>4</v>
      </c>
      <c r="BC104" s="724">
        <f>SegqtrSales!F598</f>
        <v>4</v>
      </c>
      <c r="BD104" s="716"/>
      <c r="BE104" s="716"/>
      <c r="BF104" s="746"/>
      <c r="BG104" s="744">
        <f>+F104</f>
        <v>2</v>
      </c>
    </row>
    <row r="105" spans="1:59" hidden="1" outlineLevel="1">
      <c r="A105" s="487" t="str">
        <f>$A$42</f>
        <v>3Q</v>
      </c>
      <c r="B105" s="701" t="str">
        <f>$B$42</f>
        <v>Oct</v>
      </c>
      <c r="C105" s="487"/>
      <c r="D105" s="716">
        <f>(S105/S98-1)*100</f>
        <v>11.248197835760854</v>
      </c>
      <c r="E105" s="487"/>
      <c r="F105" s="744">
        <f>'qtrP&amp;L'!BH12</f>
        <v>3</v>
      </c>
      <c r="G105" s="487"/>
      <c r="H105" s="716">
        <f>D105-F105</f>
        <v>8.2481978357608536</v>
      </c>
      <c r="I105" s="487"/>
      <c r="J105" s="742">
        <f>+Stores!CW123</f>
        <v>2004</v>
      </c>
      <c r="K105" s="487"/>
      <c r="L105" s="727">
        <f>AVERAGE(J105,J104)</f>
        <v>1965.5</v>
      </c>
      <c r="M105" s="487"/>
      <c r="N105" s="716">
        <f>(L105/L98-1)*100</f>
        <v>9.958041958041953</v>
      </c>
      <c r="O105" s="702"/>
      <c r="P105" s="719">
        <f>H105/N105*100</f>
        <v>82.829514783272657</v>
      </c>
      <c r="Q105" s="499"/>
      <c r="R105" s="487"/>
      <c r="S105" s="725">
        <f>'qtrP&amp;L'!BF12</f>
        <v>3387.4520000000002</v>
      </c>
      <c r="T105" s="735" t="s">
        <v>315</v>
      </c>
      <c r="U105" s="726">
        <f>S105/L105</f>
        <v>1.7234556092597304</v>
      </c>
      <c r="V105" s="487"/>
      <c r="W105" s="740">
        <f>(U105/U98-1)*100</f>
        <v>1.1733165257809874</v>
      </c>
      <c r="X105" s="702"/>
      <c r="Y105" s="487"/>
      <c r="Z105" s="562">
        <f>Stores!DB123</f>
        <v>58.358000000000004</v>
      </c>
      <c r="AA105" s="735"/>
      <c r="AB105" s="722">
        <f>AVERAGE(Z105,Z104)</f>
        <v>57.268000000000001</v>
      </c>
      <c r="AC105" s="487"/>
      <c r="AD105" s="716">
        <f>(AB105/AB98-1)*100</f>
        <v>9.3881916986610072</v>
      </c>
      <c r="AE105" s="702"/>
      <c r="AF105" s="719">
        <f>+H105/AD105*100</f>
        <v>87.857151840404526</v>
      </c>
      <c r="AG105" s="499"/>
      <c r="AH105" s="487"/>
      <c r="AI105" s="725">
        <f>+S105</f>
        <v>3387.4520000000002</v>
      </c>
      <c r="AJ105" s="487"/>
      <c r="AK105" s="727">
        <f>AI105/AB105</f>
        <v>59.150869595585668</v>
      </c>
      <c r="AL105" s="487"/>
      <c r="AM105" s="740">
        <f>(AK105/AK98-1)*100</f>
        <v>1.70037195808459</v>
      </c>
      <c r="AN105" s="702"/>
      <c r="AO105" s="702"/>
      <c r="AP105" s="725">
        <f>+S105-AQ105</f>
        <v>103.05500000000029</v>
      </c>
      <c r="AQ105" s="747">
        <f>+AR105+AS105+AT105+AU105+AV105+AW105</f>
        <v>3284.3969999999999</v>
      </c>
      <c r="AR105" s="725">
        <f>SegqtrSales!S69</f>
        <v>2537.299</v>
      </c>
      <c r="AS105" s="725">
        <f>SegqtrSales!S245</f>
        <v>284.57</v>
      </c>
      <c r="AT105" s="725">
        <f>SegqtrSales!S422</f>
        <v>243.29599999999999</v>
      </c>
      <c r="AU105" s="725">
        <f>SegqtrSales!S599</f>
        <v>219.232</v>
      </c>
      <c r="AV105" s="725">
        <f>SegqtrSales!S756</f>
        <v>0</v>
      </c>
      <c r="AW105" s="725"/>
      <c r="AX105" s="716">
        <v>3.5099188546172817</v>
      </c>
      <c r="AY105" s="716"/>
      <c r="AZ105" s="724">
        <f>SegqtrSales!F69</f>
        <v>0</v>
      </c>
      <c r="BA105" s="724">
        <f>SegqtrSales!F245</f>
        <v>6</v>
      </c>
      <c r="BB105" s="724">
        <f>SegqtrSales!F422</f>
        <v>8</v>
      </c>
      <c r="BC105" s="724">
        <f>SegqtrSales!F599</f>
        <v>2</v>
      </c>
      <c r="BD105" s="716"/>
      <c r="BE105" s="716"/>
      <c r="BF105" s="746"/>
      <c r="BG105" s="744">
        <f>+F105</f>
        <v>3</v>
      </c>
    </row>
    <row r="106" spans="1:59" hidden="1" outlineLevel="1">
      <c r="A106" s="487" t="str">
        <f>$A$43</f>
        <v>4Q</v>
      </c>
      <c r="B106" s="701" t="str">
        <f>$B$43</f>
        <v>Jan</v>
      </c>
      <c r="C106" s="487"/>
      <c r="D106" s="728">
        <f>(S106/S99-1)*100</f>
        <v>17.119362506885636</v>
      </c>
      <c r="E106" s="487"/>
      <c r="F106" s="752">
        <f>'qtrP&amp;L'!BH13</f>
        <v>3</v>
      </c>
      <c r="G106" s="487"/>
      <c r="H106" s="728">
        <f>D106-F106</f>
        <v>14.119362506885636</v>
      </c>
      <c r="I106" s="487"/>
      <c r="J106" s="727">
        <f>yrSales!O$20</f>
        <v>2062</v>
      </c>
      <c r="K106" s="487"/>
      <c r="L106" s="734">
        <f>AVERAGE(J106,J105)</f>
        <v>2033</v>
      </c>
      <c r="M106" s="487"/>
      <c r="N106" s="728">
        <f>(L106/L99-1)*100</f>
        <v>10.820387026437729</v>
      </c>
      <c r="O106" s="702"/>
      <c r="P106" s="730">
        <f>H106/N106*100</f>
        <v>130.4885164679178</v>
      </c>
      <c r="Q106" s="499"/>
      <c r="R106" s="487"/>
      <c r="S106" s="731">
        <f>'qtrP&amp;L'!BF13</f>
        <v>4105.5969999999998</v>
      </c>
      <c r="T106" s="735" t="s">
        <v>315</v>
      </c>
      <c r="U106" s="732">
        <f>S106/L106</f>
        <v>2.0194771273979342</v>
      </c>
      <c r="V106" s="487"/>
      <c r="W106" s="729">
        <f>(U106/U99-1)*100</f>
        <v>5.6839500830701883</v>
      </c>
      <c r="X106" s="702"/>
      <c r="Y106" s="487"/>
      <c r="Z106" s="562">
        <f>yrSales!O$31-1.085</f>
        <v>59.405000000000001</v>
      </c>
      <c r="AA106" s="735"/>
      <c r="AB106" s="733">
        <f>AVERAGE(Z106,Z105)</f>
        <v>58.881500000000003</v>
      </c>
      <c r="AC106" s="487"/>
      <c r="AD106" s="728">
        <f>(AB106/AB99-1)*100</f>
        <v>9.7348018934734881</v>
      </c>
      <c r="AE106" s="702"/>
      <c r="AF106" s="730">
        <f>+H106/AD106*100</f>
        <v>145.04005999702667</v>
      </c>
      <c r="AG106" s="499"/>
      <c r="AH106" s="487"/>
      <c r="AI106" s="731">
        <f>+S106</f>
        <v>4105.5969999999998</v>
      </c>
      <c r="AJ106" s="487"/>
      <c r="AK106" s="734">
        <f>AI106/AB106</f>
        <v>69.726433599687496</v>
      </c>
      <c r="AL106" s="487"/>
      <c r="AM106" s="729">
        <f>(AK106/AK99-1)*100</f>
        <v>6.7294609239654024</v>
      </c>
      <c r="AN106" s="702"/>
      <c r="AO106" s="702"/>
      <c r="AP106" s="725">
        <f>+S106-AQ106</f>
        <v>164.06899999999951</v>
      </c>
      <c r="AQ106" s="747">
        <f>+AR106+AS106+AT106+AU106+AV106+AW106</f>
        <v>3941.5280000000002</v>
      </c>
      <c r="AR106" s="725">
        <f>SegqtrSales!S70</f>
        <v>2948.3580000000002</v>
      </c>
      <c r="AS106" s="725">
        <f>SegqtrSales!S246</f>
        <v>344.18599999999998</v>
      </c>
      <c r="AT106" s="725">
        <f>SegqtrSales!S423</f>
        <v>361.71699999999998</v>
      </c>
      <c r="AU106" s="725">
        <f>SegqtrSales!S600</f>
        <v>287.267</v>
      </c>
      <c r="AV106" s="725">
        <f>SegqtrSales!S757</f>
        <v>0</v>
      </c>
      <c r="AW106" s="725"/>
      <c r="AX106" s="716">
        <v>3.9254847991487196</v>
      </c>
      <c r="AY106" s="716"/>
      <c r="AZ106" s="724">
        <f>SegqtrSales!F70</f>
        <v>0</v>
      </c>
      <c r="BA106" s="724">
        <f>SegqtrSales!F246</f>
        <v>5</v>
      </c>
      <c r="BB106" s="724">
        <f>SegqtrSales!F423</f>
        <v>5</v>
      </c>
      <c r="BC106" s="724">
        <f>SegqtrSales!F600</f>
        <v>-1</v>
      </c>
      <c r="BD106" s="716"/>
      <c r="BE106" s="716"/>
      <c r="BF106" s="746"/>
      <c r="BG106" s="744">
        <f>+F106</f>
        <v>3</v>
      </c>
    </row>
    <row r="107" spans="1:59" hidden="1" outlineLevel="1">
      <c r="A107" s="487"/>
      <c r="B107" s="701" t="str">
        <f>$B$44</f>
        <v>Year</v>
      </c>
      <c r="C107" s="487"/>
      <c r="D107" s="716">
        <f>(S107/S100-1)*100</f>
        <v>11.240361676415421</v>
      </c>
      <c r="E107" s="487"/>
      <c r="F107" s="753">
        <f>'qtrP&amp;L'!BH14</f>
        <v>1</v>
      </c>
      <c r="G107" s="487"/>
      <c r="H107" s="716">
        <f>D107-F107</f>
        <v>10.240361676415421</v>
      </c>
      <c r="I107" s="487"/>
      <c r="J107" s="487"/>
      <c r="K107" s="487"/>
      <c r="L107" s="727">
        <f>AVERAGE(L103:L106)</f>
        <v>1941.625</v>
      </c>
      <c r="M107" s="487"/>
      <c r="N107" s="716">
        <f>(L107/L100-1)*100</f>
        <v>10.178748758689181</v>
      </c>
      <c r="O107" s="702"/>
      <c r="P107" s="719">
        <f>H107/N107*100</f>
        <v>100.60530934780805</v>
      </c>
      <c r="Q107" s="499"/>
      <c r="R107" s="487"/>
      <c r="S107" s="720">
        <f>SUM(S103:S106)</f>
        <v>13327.938</v>
      </c>
      <c r="T107" s="487"/>
      <c r="U107" s="721">
        <f>SUM(U103:U106)</f>
        <v>6.8388688814753111</v>
      </c>
      <c r="V107" s="487"/>
      <c r="W107" s="740">
        <f>(U107/U100-1)*100</f>
        <v>0.81617781837288739</v>
      </c>
      <c r="X107" s="702"/>
      <c r="Y107" s="487"/>
      <c r="Z107" s="487"/>
      <c r="AA107" s="487"/>
      <c r="AB107" s="722">
        <f>AVERAGE(AB103:AB106)</f>
        <v>56.533874999999995</v>
      </c>
      <c r="AC107" s="487"/>
      <c r="AD107" s="716">
        <f>(AB107/AB100-1)*100</f>
        <v>9.4665734015233696</v>
      </c>
      <c r="AE107" s="702"/>
      <c r="AF107" s="719">
        <f>+H107/AD107*100</f>
        <v>108.17390033406949</v>
      </c>
      <c r="AG107" s="499"/>
      <c r="AH107" s="487"/>
      <c r="AI107" s="720">
        <f>SUM(AI103:AI106)</f>
        <v>13327.938</v>
      </c>
      <c r="AJ107" s="487"/>
      <c r="AK107" s="723">
        <f>SUM(AK103:AK106)</f>
        <v>234.94176227351164</v>
      </c>
      <c r="AL107" s="487"/>
      <c r="AM107" s="740">
        <f>(AK107/AK100-1)*100</f>
        <v>1.4933618254239667</v>
      </c>
      <c r="AN107" s="702"/>
      <c r="AO107" s="702"/>
      <c r="AP107" s="725">
        <f>+S107-AQ107</f>
        <v>445.67599999999948</v>
      </c>
      <c r="AQ107" s="749">
        <f t="shared" ref="AQ107:AW107" si="2">SUM(AQ103:AQ106)</f>
        <v>12882.262000000001</v>
      </c>
      <c r="AR107" s="750">
        <f t="shared" si="2"/>
        <v>9937.2060000000001</v>
      </c>
      <c r="AS107" s="750">
        <f t="shared" si="2"/>
        <v>1076.3329999999999</v>
      </c>
      <c r="AT107" s="750">
        <f t="shared" si="2"/>
        <v>992.18700000000001</v>
      </c>
      <c r="AU107" s="750">
        <f t="shared" si="2"/>
        <v>876.53600000000006</v>
      </c>
      <c r="AV107" s="750">
        <f t="shared" si="2"/>
        <v>0</v>
      </c>
      <c r="AW107" s="750">
        <f t="shared" si="2"/>
        <v>0</v>
      </c>
      <c r="AX107" s="716">
        <v>2.0889264386412334</v>
      </c>
      <c r="AY107" s="716"/>
      <c r="AZ107" s="724">
        <f>SegqtrSales!F71</f>
        <v>-1.0818362827539247</v>
      </c>
      <c r="BA107" s="724">
        <f>SegqtrSales!F247</f>
        <v>3.8703003624343033</v>
      </c>
      <c r="BB107" s="724">
        <f>SegqtrSales!F424</f>
        <v>6.0600078412637943</v>
      </c>
      <c r="BC107" s="724">
        <f>SegqtrSales!F601</f>
        <v>0.85111735285259249</v>
      </c>
      <c r="BD107" s="716"/>
      <c r="BE107" s="716"/>
      <c r="BF107" s="746"/>
      <c r="BG107" s="744">
        <f>+F107</f>
        <v>1</v>
      </c>
    </row>
    <row r="108" spans="1:59" hidden="1" outlineLevel="1">
      <c r="A108" s="487"/>
      <c r="B108" s="701"/>
      <c r="C108" s="487"/>
      <c r="D108" s="487"/>
      <c r="E108" s="487"/>
      <c r="F108" s="487"/>
      <c r="G108" s="487"/>
      <c r="H108" s="487"/>
      <c r="I108" s="487"/>
      <c r="J108" s="754"/>
      <c r="K108" s="487"/>
      <c r="L108" s="727"/>
      <c r="M108" s="487"/>
      <c r="N108" s="487"/>
      <c r="O108" s="702"/>
      <c r="P108" s="487"/>
      <c r="Q108" s="487"/>
      <c r="R108" s="487"/>
      <c r="S108" s="487"/>
      <c r="T108" s="487"/>
      <c r="U108" s="487"/>
      <c r="V108" s="487"/>
      <c r="W108" s="487"/>
      <c r="X108" s="487"/>
      <c r="Y108" s="487"/>
      <c r="Z108" s="487"/>
      <c r="AA108" s="487"/>
      <c r="AB108" s="487">
        <f>+Z106/Z99-1</f>
        <v>0.10364879426299556</v>
      </c>
      <c r="AC108" s="487"/>
      <c r="AD108" s="487"/>
      <c r="AE108" s="702"/>
      <c r="AF108" s="487"/>
      <c r="AG108" s="487"/>
      <c r="AH108" s="487"/>
      <c r="AI108" s="487"/>
      <c r="AJ108" s="487"/>
      <c r="AK108" s="487"/>
      <c r="AL108" s="487"/>
      <c r="AM108" s="487"/>
      <c r="AN108" s="487"/>
      <c r="AO108" s="487"/>
      <c r="AP108" s="487"/>
      <c r="AQ108" s="487"/>
      <c r="AR108" s="558">
        <f t="shared" ref="AR108:AW108" si="3">+AR107/$AQ107</f>
        <v>0.77138673316844508</v>
      </c>
      <c r="AS108" s="558">
        <f t="shared" si="3"/>
        <v>8.3551553290873895E-2</v>
      </c>
      <c r="AT108" s="558">
        <f t="shared" si="3"/>
        <v>7.7019625901103395E-2</v>
      </c>
      <c r="AU108" s="558">
        <f t="shared" si="3"/>
        <v>6.8042087639577586E-2</v>
      </c>
      <c r="AV108" s="558">
        <f t="shared" si="3"/>
        <v>0</v>
      </c>
      <c r="AW108" s="558">
        <f t="shared" si="3"/>
        <v>0</v>
      </c>
      <c r="AX108" s="487"/>
      <c r="AY108" s="487"/>
      <c r="AZ108" s="724">
        <f>SegqtrSales!F72</f>
        <v>0</v>
      </c>
      <c r="BA108" s="724">
        <f>SegqtrSales!F248</f>
        <v>0</v>
      </c>
      <c r="BB108" s="724">
        <f>SegqtrSales!F425</f>
        <v>0</v>
      </c>
      <c r="BC108" s="724">
        <f>SegqtrSales!F602</f>
        <v>0</v>
      </c>
      <c r="BD108" s="487"/>
      <c r="BE108" s="487"/>
      <c r="BF108" s="487"/>
      <c r="BG108" s="487"/>
    </row>
    <row r="109" spans="1:59" hidden="1" outlineLevel="1">
      <c r="A109" s="715"/>
      <c r="B109" s="736">
        <f>+B102+1</f>
        <v>2004</v>
      </c>
      <c r="C109" s="487"/>
      <c r="D109" s="487"/>
      <c r="E109" s="702"/>
      <c r="F109" s="487"/>
      <c r="G109" s="702"/>
      <c r="H109" s="487"/>
      <c r="I109" s="702"/>
      <c r="J109" s="487"/>
      <c r="K109" s="487"/>
      <c r="L109" s="727"/>
      <c r="M109" s="487"/>
      <c r="N109" s="487"/>
      <c r="O109" s="702"/>
      <c r="P109" s="499"/>
      <c r="Q109" s="499"/>
      <c r="R109" s="487"/>
      <c r="S109" s="487"/>
      <c r="T109" s="487"/>
      <c r="U109" s="487"/>
      <c r="V109" s="487"/>
      <c r="W109" s="487"/>
      <c r="X109" s="702"/>
      <c r="Y109" s="487"/>
      <c r="Z109" s="487"/>
      <c r="AA109" s="487"/>
      <c r="AB109" s="487"/>
      <c r="AC109" s="487"/>
      <c r="AD109" s="487"/>
      <c r="AE109" s="702"/>
      <c r="AF109" s="499"/>
      <c r="AG109" s="499"/>
      <c r="AH109" s="487"/>
      <c r="AI109" s="487"/>
      <c r="AJ109" s="487"/>
      <c r="AK109" s="487"/>
      <c r="AL109" s="487"/>
      <c r="AM109" s="487"/>
      <c r="AN109" s="702"/>
      <c r="AO109" s="702"/>
      <c r="AP109" s="487"/>
      <c r="AQ109" s="487"/>
      <c r="AR109" s="487"/>
      <c r="AS109" s="487"/>
      <c r="AT109" s="487"/>
      <c r="AU109" s="487"/>
      <c r="AV109" s="487"/>
      <c r="AW109" s="487"/>
      <c r="AX109" s="487"/>
      <c r="AY109" s="487"/>
      <c r="AZ109" s="724">
        <f>SegqtrSales!F73</f>
        <v>0</v>
      </c>
      <c r="BA109" s="724">
        <f>SegqtrSales!F249</f>
        <v>0</v>
      </c>
      <c r="BB109" s="724">
        <f>SegqtrSales!F426</f>
        <v>0</v>
      </c>
      <c r="BC109" s="724">
        <f>SegqtrSales!F603</f>
        <v>0</v>
      </c>
      <c r="BD109" s="487"/>
      <c r="BE109" s="487"/>
      <c r="BF109" s="487"/>
      <c r="BG109" s="487"/>
    </row>
    <row r="110" spans="1:59" hidden="1" outlineLevel="1">
      <c r="A110" s="487" t="str">
        <f>$A$40</f>
        <v>1Q</v>
      </c>
      <c r="B110" s="701" t="str">
        <f>$B$40</f>
        <v>Apr</v>
      </c>
      <c r="C110" s="487"/>
      <c r="D110" s="716">
        <f>(S110/S103-1)*100</f>
        <v>20.225588579645404</v>
      </c>
      <c r="E110" s="702" t="s">
        <v>190</v>
      </c>
      <c r="F110" s="744">
        <f>'qtrP&amp;L'!BL10</f>
        <v>8</v>
      </c>
      <c r="G110" s="702" t="s">
        <v>190</v>
      </c>
      <c r="H110" s="716">
        <f>D110-F110</f>
        <v>12.225588579645404</v>
      </c>
      <c r="I110" s="702" t="s">
        <v>190</v>
      </c>
      <c r="J110" s="742">
        <f>+Stores!CW129</f>
        <v>2091</v>
      </c>
      <c r="K110" s="487" t="s">
        <v>315</v>
      </c>
      <c r="L110" s="727">
        <f>AVERAGE(J110,J106)</f>
        <v>2076.5</v>
      </c>
      <c r="M110" s="487"/>
      <c r="N110" s="716">
        <f>(L110/L103-1)*100</f>
        <v>11.460010735373061</v>
      </c>
      <c r="O110" s="702" t="s">
        <v>190</v>
      </c>
      <c r="P110" s="719">
        <f>H110/N110*100</f>
        <v>106.68042868327576</v>
      </c>
      <c r="Q110" s="499" t="s">
        <v>190</v>
      </c>
      <c r="R110" s="487"/>
      <c r="S110" s="720">
        <f>'qtrP&amp;L'!BJ10</f>
        <v>3352.7370000000001</v>
      </c>
      <c r="T110" s="735"/>
      <c r="U110" s="721">
        <f>S110/L110</f>
        <v>1.6146096797495786</v>
      </c>
      <c r="V110" s="487"/>
      <c r="W110" s="740">
        <f>(U110/U103-1)*100</f>
        <v>7.8643253185068041</v>
      </c>
      <c r="X110" s="702" t="s">
        <v>190</v>
      </c>
      <c r="Y110" s="487"/>
      <c r="Z110" s="562">
        <f>Stores!DB129</f>
        <v>61.759642821891049</v>
      </c>
      <c r="AA110" s="487"/>
      <c r="AB110" s="722">
        <f>AVERAGE(Z110,Z106)</f>
        <v>60.582321410945525</v>
      </c>
      <c r="AC110" s="487"/>
      <c r="AD110" s="716">
        <f>(AB110/AB103-1)*100</f>
        <v>11.354326644509749</v>
      </c>
      <c r="AE110" s="702" t="s">
        <v>190</v>
      </c>
      <c r="AF110" s="719">
        <f>+H110/AD110*100</f>
        <v>107.67339149571625</v>
      </c>
      <c r="AG110" s="499" t="s">
        <v>190</v>
      </c>
      <c r="AH110" s="487"/>
      <c r="AI110" s="720">
        <f>+S110</f>
        <v>3352.7370000000001</v>
      </c>
      <c r="AJ110" s="487"/>
      <c r="AK110" s="723">
        <f>AI110/AB110</f>
        <v>55.341837716278974</v>
      </c>
      <c r="AL110" s="487"/>
      <c r="AM110" s="740">
        <f>(AK110/AK103-1)*100</f>
        <v>7.9666971212142501</v>
      </c>
      <c r="AN110" s="702" t="s">
        <v>190</v>
      </c>
      <c r="AO110" s="702"/>
      <c r="AP110" s="725">
        <f>+S110-AQ110</f>
        <v>172.20900000000029</v>
      </c>
      <c r="AQ110" s="745">
        <f>+AR110+AS110+AT110+AU110+AV110+AW110</f>
        <v>3180.5279999999998</v>
      </c>
      <c r="AR110" s="725">
        <f>SegqtrSales!S74</f>
        <v>2421.2240000000002</v>
      </c>
      <c r="AS110" s="725">
        <f>SegqtrSales!S250</f>
        <v>269.625</v>
      </c>
      <c r="AT110" s="725">
        <f>SegqtrSales!S427</f>
        <v>263.24700000000001</v>
      </c>
      <c r="AU110" s="725">
        <f>SegqtrSales!S604</f>
        <v>226.43199999999999</v>
      </c>
      <c r="AV110" s="725">
        <f>SegqtrSales!S761</f>
        <v>0</v>
      </c>
      <c r="AW110" s="725"/>
      <c r="AX110" s="716">
        <v>-3.0750309206018014</v>
      </c>
      <c r="AY110" s="716"/>
      <c r="AZ110" s="724">
        <f>SegqtrSales!F74</f>
        <v>6</v>
      </c>
      <c r="BA110" s="724">
        <f>SegqtrSales!F250</f>
        <v>6</v>
      </c>
      <c r="BB110" s="724">
        <f>SegqtrSales!F427</f>
        <v>5</v>
      </c>
      <c r="BC110" s="724">
        <f>SegqtrSales!F604</f>
        <v>4</v>
      </c>
      <c r="BD110" s="716"/>
      <c r="BE110" s="716"/>
      <c r="BF110" s="746"/>
      <c r="BG110" s="744">
        <f>+F110</f>
        <v>8</v>
      </c>
    </row>
    <row r="111" spans="1:59" hidden="1" outlineLevel="1">
      <c r="A111" s="487" t="str">
        <f>$A$41</f>
        <v>2Q</v>
      </c>
      <c r="B111" s="701" t="str">
        <f>$B$41</f>
        <v>Jul</v>
      </c>
      <c r="C111" s="487"/>
      <c r="D111" s="716">
        <f>(S111/S104-1)*100</f>
        <v>12.084069773854743</v>
      </c>
      <c r="E111" s="487"/>
      <c r="F111" s="744">
        <f>'qtrP&amp;L'!BL11</f>
        <v>3</v>
      </c>
      <c r="G111" s="487"/>
      <c r="H111" s="716">
        <f>D111-F111</f>
        <v>9.0840697738547433</v>
      </c>
      <c r="I111" s="487"/>
      <c r="J111" s="742">
        <f>+Stores!CW130</f>
        <v>2116</v>
      </c>
      <c r="K111" s="487"/>
      <c r="L111" s="727">
        <f>AVERAGE(J111,J110)</f>
        <v>2103.5</v>
      </c>
      <c r="M111" s="487"/>
      <c r="N111" s="716">
        <f>(L111/L104-1)*100</f>
        <v>10.419947506561677</v>
      </c>
      <c r="O111" s="702"/>
      <c r="P111" s="719">
        <f>H111/N111*100</f>
        <v>87.179611683593407</v>
      </c>
      <c r="Q111" s="499"/>
      <c r="R111" s="487"/>
      <c r="S111" s="725">
        <f>'qtrP&amp;L'!BJ11</f>
        <v>3414.2869999999998</v>
      </c>
      <c r="T111" s="735"/>
      <c r="U111" s="726">
        <f>S111/L111</f>
        <v>1.6231457095317328</v>
      </c>
      <c r="V111" s="487"/>
      <c r="W111" s="740">
        <f>(U111/U104-1)*100</f>
        <v>1.5070848201537146</v>
      </c>
      <c r="X111" s="702"/>
      <c r="Y111" s="487"/>
      <c r="Z111" s="562">
        <f>Stores!DB130</f>
        <v>62.439078551011711</v>
      </c>
      <c r="AA111" s="735"/>
      <c r="AB111" s="722">
        <f>AVERAGE(Z111,Z110)</f>
        <v>62.099360686451377</v>
      </c>
      <c r="AC111" s="487"/>
      <c r="AD111" s="716">
        <f>(AB111/AB104-1)*100</f>
        <v>11.727677959107229</v>
      </c>
      <c r="AE111" s="702"/>
      <c r="AF111" s="719">
        <f>+H111/AD111*100</f>
        <v>77.458383539602835</v>
      </c>
      <c r="AG111" s="499"/>
      <c r="AH111" s="487"/>
      <c r="AI111" s="725">
        <f>+S111</f>
        <v>3414.2869999999998</v>
      </c>
      <c r="AJ111" s="487"/>
      <c r="AK111" s="727">
        <f>AI111/AB111</f>
        <v>54.981033013193596</v>
      </c>
      <c r="AL111" s="487"/>
      <c r="AM111" s="740">
        <f>(AK111/AK104-1)*100</f>
        <v>0.31898256659192992</v>
      </c>
      <c r="AN111" s="702"/>
      <c r="AO111" s="702"/>
      <c r="AP111" s="725">
        <f>+S111-AQ111</f>
        <v>182.05400000000009</v>
      </c>
      <c r="AQ111" s="747">
        <f>+AR111+AS111+AT111+AU111+AV111+AW111</f>
        <v>3232.2329999999997</v>
      </c>
      <c r="AR111" s="725">
        <f>SegqtrSales!S75</f>
        <v>2442.1619999999998</v>
      </c>
      <c r="AS111" s="725">
        <f>SegqtrSales!S251</f>
        <v>292.56599999999997</v>
      </c>
      <c r="AT111" s="725">
        <f>SegqtrSales!S428</f>
        <v>275.42599999999999</v>
      </c>
      <c r="AU111" s="725">
        <f>SegqtrSales!S605</f>
        <v>222.07900000000001</v>
      </c>
      <c r="AV111" s="725">
        <f>SegqtrSales!S762</f>
        <v>0</v>
      </c>
      <c r="AW111" s="725"/>
      <c r="AX111" s="716">
        <v>2.8918765057496643</v>
      </c>
      <c r="AY111" s="716"/>
      <c r="AZ111" s="724">
        <f>SegqtrSales!F75</f>
        <v>2</v>
      </c>
      <c r="BA111" s="724">
        <f>SegqtrSales!F251</f>
        <v>11</v>
      </c>
      <c r="BB111" s="724">
        <f>SegqtrSales!F428</f>
        <v>1</v>
      </c>
      <c r="BC111" s="724">
        <f>SegqtrSales!F605</f>
        <v>-1</v>
      </c>
      <c r="BD111" s="716"/>
      <c r="BE111" s="716"/>
      <c r="BF111" s="746"/>
      <c r="BG111" s="744">
        <f>+F111</f>
        <v>3</v>
      </c>
    </row>
    <row r="112" spans="1:59" hidden="1" outlineLevel="1">
      <c r="A112" s="487" t="str">
        <f>$A$42</f>
        <v>3Q</v>
      </c>
      <c r="B112" s="701" t="str">
        <f>$B$42</f>
        <v>Oct</v>
      </c>
      <c r="C112" s="487"/>
      <c r="D112" s="716">
        <f>(S112/S105-1)*100</f>
        <v>12.690895693872562</v>
      </c>
      <c r="E112" s="487"/>
      <c r="F112" s="744">
        <f>'qtrP&amp;L'!BL12</f>
        <v>4</v>
      </c>
      <c r="G112" s="487"/>
      <c r="H112" s="716">
        <f>D112-F112</f>
        <v>8.6908956938725623</v>
      </c>
      <c r="I112" s="487"/>
      <c r="J112" s="742">
        <f>+Stores!CW131</f>
        <v>2188</v>
      </c>
      <c r="K112" s="735"/>
      <c r="L112" s="727">
        <f>AVERAGE(J112,J111)</f>
        <v>2152</v>
      </c>
      <c r="M112" s="487"/>
      <c r="N112" s="716">
        <f>(L112/L105-1)*100</f>
        <v>9.4886797252607522</v>
      </c>
      <c r="O112" s="702"/>
      <c r="P112" s="719">
        <f>H112/N112*100</f>
        <v>91.592254618265486</v>
      </c>
      <c r="Q112" s="499"/>
      <c r="R112" s="487"/>
      <c r="S112" s="725">
        <f>'qtrP&amp;L'!BJ12</f>
        <v>3817.35</v>
      </c>
      <c r="T112" s="487"/>
      <c r="U112" s="726">
        <f>S112/L112</f>
        <v>1.7738615241635687</v>
      </c>
      <c r="V112" s="487"/>
      <c r="W112" s="740">
        <f>(U112/U105-1)*100</f>
        <v>2.9247005047892571</v>
      </c>
      <c r="X112" s="702"/>
      <c r="Y112" s="487"/>
      <c r="Z112" s="562">
        <f>Stores!DB131</f>
        <v>64.455907542124834</v>
      </c>
      <c r="AA112" s="735"/>
      <c r="AB112" s="722">
        <f>AVERAGE(Z112,Z111)</f>
        <v>63.447493046568269</v>
      </c>
      <c r="AC112" s="487"/>
      <c r="AD112" s="716">
        <f>(AB112/AB105-1)*100</f>
        <v>10.790481676622665</v>
      </c>
      <c r="AE112" s="702"/>
      <c r="AF112" s="719">
        <f>+H112/AD112*100</f>
        <v>80.542240414542306</v>
      </c>
      <c r="AG112" s="499"/>
      <c r="AH112" s="487"/>
      <c r="AI112" s="725">
        <f>+S112</f>
        <v>3817.35</v>
      </c>
      <c r="AJ112" s="487"/>
      <c r="AK112" s="727">
        <f>AI112/AB112</f>
        <v>60.1654977478495</v>
      </c>
      <c r="AL112" s="487"/>
      <c r="AM112" s="740">
        <f>(AK112/AK105-1)*100</f>
        <v>1.7153224613616791</v>
      </c>
      <c r="AN112" s="702"/>
      <c r="AO112" s="702"/>
      <c r="AP112" s="725">
        <f>+S112-AQ112</f>
        <v>209.54800000000023</v>
      </c>
      <c r="AQ112" s="747">
        <f>+AR112+AS112+AT112+AU112+AV112+AW112</f>
        <v>3607.8019999999997</v>
      </c>
      <c r="AR112" s="725">
        <f>SegqtrSales!S76</f>
        <v>2671.8890000000001</v>
      </c>
      <c r="AS112" s="725">
        <f>SegqtrSales!S252</f>
        <v>351.34699999999998</v>
      </c>
      <c r="AT112" s="725">
        <f>SegqtrSales!S429</f>
        <v>335.82799999999997</v>
      </c>
      <c r="AU112" s="725">
        <f>SegqtrSales!S606</f>
        <v>248.738</v>
      </c>
      <c r="AV112" s="725">
        <f>SegqtrSales!S763</f>
        <v>0</v>
      </c>
      <c r="AW112" s="725"/>
      <c r="AX112" s="716">
        <v>3.5099188546172817</v>
      </c>
      <c r="AY112" s="716"/>
      <c r="AZ112" s="724">
        <f>SegqtrSales!F76</f>
        <v>2</v>
      </c>
      <c r="BA112" s="724">
        <f>SegqtrSales!F252</f>
        <v>4</v>
      </c>
      <c r="BB112" s="724">
        <f>SegqtrSales!F429</f>
        <v>4</v>
      </c>
      <c r="BC112" s="724">
        <f>SegqtrSales!F606</f>
        <v>-1</v>
      </c>
      <c r="BD112" s="716"/>
      <c r="BE112" s="716"/>
      <c r="BF112" s="746"/>
      <c r="BG112" s="744">
        <f>+F112</f>
        <v>4</v>
      </c>
    </row>
    <row r="113" spans="1:59" hidden="1" outlineLevel="1">
      <c r="A113" s="487" t="str">
        <f>$A$43</f>
        <v>4Q</v>
      </c>
      <c r="B113" s="701" t="str">
        <f>$B$43</f>
        <v>Jan</v>
      </c>
      <c r="C113" s="487"/>
      <c r="D113" s="728">
        <f>(S113/S106-1)*100</f>
        <v>5.4440803615162681</v>
      </c>
      <c r="E113" s="487"/>
      <c r="F113" s="748">
        <f>'qtrP&amp;L'!BL13</f>
        <v>4</v>
      </c>
      <c r="G113" s="487"/>
      <c r="H113" s="728">
        <f>D113-F113</f>
        <v>1.4440803615162681</v>
      </c>
      <c r="I113" s="487"/>
      <c r="J113" s="742">
        <f>+Stores!CW132</f>
        <v>2224</v>
      </c>
      <c r="K113" s="735"/>
      <c r="L113" s="734">
        <f>AVERAGE(J113,J112)</f>
        <v>2206</v>
      </c>
      <c r="M113" s="487"/>
      <c r="N113" s="728">
        <f>(L113/L106-1)*100</f>
        <v>8.5095917363502203</v>
      </c>
      <c r="O113" s="702"/>
      <c r="P113" s="730">
        <f>H113/N113*100</f>
        <v>16.970031069147822</v>
      </c>
      <c r="Q113" s="499"/>
      <c r="R113" s="487"/>
      <c r="S113" s="731">
        <f>'qtrP&amp;L'!BJ13</f>
        <v>4329.1090000000004</v>
      </c>
      <c r="T113" s="487"/>
      <c r="U113" s="732">
        <f>S113/L113</f>
        <v>1.9624247506799639</v>
      </c>
      <c r="V113" s="487"/>
      <c r="W113" s="729">
        <f>(U113/U106-1)*100</f>
        <v>-2.825106357677909</v>
      </c>
      <c r="X113" s="702"/>
      <c r="Y113" s="487"/>
      <c r="Z113" s="562">
        <f>Stores!DB132</f>
        <v>65.408555980019372</v>
      </c>
      <c r="AA113" s="735"/>
      <c r="AB113" s="733">
        <f>AVERAGE(Z113,Z112)</f>
        <v>64.932231761072103</v>
      </c>
      <c r="AC113" s="487"/>
      <c r="AD113" s="728">
        <f>(AB113/AB106-1)*100</f>
        <v>10.2761168806367</v>
      </c>
      <c r="AE113" s="702"/>
      <c r="AF113" s="730">
        <f>+H113/AD113*100</f>
        <v>14.052782566509636</v>
      </c>
      <c r="AG113" s="499"/>
      <c r="AH113" s="487"/>
      <c r="AI113" s="731">
        <f>+S113</f>
        <v>4329.1090000000004</v>
      </c>
      <c r="AJ113" s="487"/>
      <c r="AK113" s="734">
        <f>AI113/AB113</f>
        <v>66.671187522548237</v>
      </c>
      <c r="AL113" s="487"/>
      <c r="AM113" s="729">
        <f>(AK113/AK106-1)*100</f>
        <v>-4.3817615779404351</v>
      </c>
      <c r="AN113" s="702"/>
      <c r="AO113" s="702"/>
      <c r="AP113" s="725">
        <f>+S113-AQ113</f>
        <v>257.38900000000058</v>
      </c>
      <c r="AQ113" s="747">
        <f>+AR113+AS113+AT113+AU113+AV113+AW113</f>
        <v>4071.72</v>
      </c>
      <c r="AR113" s="725">
        <f>SegqtrSales!S77</f>
        <v>2954.203</v>
      </c>
      <c r="AS113" s="725">
        <f>SegqtrSales!S253</f>
        <v>371.90100000000001</v>
      </c>
      <c r="AT113" s="725">
        <f>SegqtrSales!S430</f>
        <v>429.94200000000001</v>
      </c>
      <c r="AU113" s="725">
        <f>SegqtrSales!S607</f>
        <v>315.67399999999998</v>
      </c>
      <c r="AV113" s="725">
        <f>SegqtrSales!S764</f>
        <v>0</v>
      </c>
      <c r="AW113" s="725"/>
      <c r="AX113" s="716">
        <v>3.9254847991487196</v>
      </c>
      <c r="AY113" s="716"/>
      <c r="AZ113" s="724">
        <f>SegqtrSales!F77</f>
        <v>4</v>
      </c>
      <c r="BA113" s="724">
        <f>SegqtrSales!F253</f>
        <v>-4</v>
      </c>
      <c r="BB113" s="724">
        <f>SegqtrSales!F430</f>
        <v>3</v>
      </c>
      <c r="BC113" s="724">
        <f>SegqtrSales!F607</f>
        <v>3</v>
      </c>
      <c r="BD113" s="716"/>
      <c r="BE113" s="716"/>
      <c r="BF113" s="746"/>
      <c r="BG113" s="744">
        <f>+F113</f>
        <v>4</v>
      </c>
    </row>
    <row r="114" spans="1:59" hidden="1" outlineLevel="1">
      <c r="A114" s="487"/>
      <c r="B114" s="701" t="str">
        <f>$B$44</f>
        <v>Year</v>
      </c>
      <c r="C114" s="487"/>
      <c r="D114" s="716">
        <f>(S114/S107-1)*100</f>
        <v>11.896401378817934</v>
      </c>
      <c r="E114" s="487"/>
      <c r="F114" s="753">
        <f>+'qtrP&amp;L'!BL14</f>
        <v>5</v>
      </c>
      <c r="G114" s="487"/>
      <c r="H114" s="716">
        <f>D114-F114</f>
        <v>6.8964013788179344</v>
      </c>
      <c r="I114" s="487"/>
      <c r="J114" s="727"/>
      <c r="K114" s="487"/>
      <c r="L114" s="727">
        <f>AVERAGE(L110:L113)</f>
        <v>2134.5</v>
      </c>
      <c r="M114" s="487"/>
      <c r="N114" s="716">
        <f>(L114/L107-1)*100</f>
        <v>9.933689564153747</v>
      </c>
      <c r="O114" s="702"/>
      <c r="P114" s="719">
        <f>H114/N114*100</f>
        <v>69.424369810226096</v>
      </c>
      <c r="Q114" s="499"/>
      <c r="R114" s="487"/>
      <c r="S114" s="720">
        <f>SUM(S110:S113)</f>
        <v>14913.483</v>
      </c>
      <c r="T114" s="487"/>
      <c r="U114" s="721">
        <f>SUM(U110:U113)</f>
        <v>6.9740416641248437</v>
      </c>
      <c r="V114" s="487"/>
      <c r="W114" s="740">
        <f>(U114/U107-1)*100</f>
        <v>1.9765371290518585</v>
      </c>
      <c r="X114" s="702"/>
      <c r="Y114" s="487"/>
      <c r="Z114" s="487"/>
      <c r="AA114" s="487"/>
      <c r="AB114" s="722">
        <f>AVERAGE(AB110:AB113)</f>
        <v>62.765351726259318</v>
      </c>
      <c r="AC114" s="487"/>
      <c r="AD114" s="716">
        <f>(AB114/AB107-1)*100</f>
        <v>11.022553692382363</v>
      </c>
      <c r="AE114" s="702"/>
      <c r="AF114" s="719">
        <f>+H114/AD114*100</f>
        <v>62.566276121512622</v>
      </c>
      <c r="AG114" s="499"/>
      <c r="AH114" s="487"/>
      <c r="AI114" s="720">
        <f>SUM(AI110:AI113)</f>
        <v>14913.483</v>
      </c>
      <c r="AJ114" s="487"/>
      <c r="AK114" s="723">
        <f>SUM(AK110:AK113)</f>
        <v>237.15955599987029</v>
      </c>
      <c r="AL114" s="487"/>
      <c r="AM114" s="740">
        <f>(AK114/AK107-1)*100</f>
        <v>0.94397594744213276</v>
      </c>
      <c r="AN114" s="702"/>
      <c r="AO114" s="702"/>
      <c r="AP114" s="725">
        <f>+S114-AQ114</f>
        <v>821.20000000000255</v>
      </c>
      <c r="AQ114" s="749">
        <f t="shared" ref="AQ114:AW114" si="4">SUM(AQ110:AQ113)</f>
        <v>14092.282999999998</v>
      </c>
      <c r="AR114" s="750">
        <f t="shared" si="4"/>
        <v>10489.478000000001</v>
      </c>
      <c r="AS114" s="750">
        <f t="shared" si="4"/>
        <v>1285.4390000000001</v>
      </c>
      <c r="AT114" s="750">
        <f t="shared" si="4"/>
        <v>1304.443</v>
      </c>
      <c r="AU114" s="750">
        <f t="shared" si="4"/>
        <v>1012.923</v>
      </c>
      <c r="AV114" s="750">
        <f t="shared" si="4"/>
        <v>0</v>
      </c>
      <c r="AW114" s="750">
        <f t="shared" si="4"/>
        <v>0</v>
      </c>
      <c r="AX114" s="716">
        <v>2.0889264386412334</v>
      </c>
      <c r="AY114" s="716"/>
      <c r="AZ114" s="724">
        <f>SegqtrSales!F78</f>
        <v>3.4865660617239485</v>
      </c>
      <c r="BA114" s="724">
        <f>SegqtrSales!F254</f>
        <v>3.6981607061867572</v>
      </c>
      <c r="BB114" s="724">
        <f>SegqtrSales!F431</f>
        <v>3.238776243960066</v>
      </c>
      <c r="BC114" s="724">
        <f>SegqtrSales!F608</f>
        <v>1.3643021236559936</v>
      </c>
      <c r="BD114" s="716"/>
      <c r="BE114" s="716"/>
      <c r="BF114" s="746"/>
      <c r="BG114" s="744">
        <f>+F114</f>
        <v>5</v>
      </c>
    </row>
    <row r="115" spans="1:59" hidden="1" outlineLevel="1">
      <c r="A115" s="487"/>
      <c r="B115" s="701"/>
      <c r="C115" s="487"/>
      <c r="D115" s="487"/>
      <c r="E115" s="487"/>
      <c r="F115" s="487"/>
      <c r="G115" s="487"/>
      <c r="H115" s="487"/>
      <c r="I115" s="487"/>
      <c r="J115" s="727"/>
      <c r="K115" s="487"/>
      <c r="L115" s="727"/>
      <c r="M115" s="487"/>
      <c r="N115" s="487"/>
      <c r="O115" s="702"/>
      <c r="P115" s="487"/>
      <c r="Q115" s="487"/>
      <c r="R115" s="487"/>
      <c r="S115" s="487"/>
      <c r="T115" s="487"/>
      <c r="U115" s="487"/>
      <c r="V115" s="487"/>
      <c r="W115" s="487"/>
      <c r="X115" s="487"/>
      <c r="Y115" s="487"/>
      <c r="Z115" s="487"/>
      <c r="AA115" s="487"/>
      <c r="AB115" s="487">
        <f>+Z113/Z106-1</f>
        <v>0.10106145913676245</v>
      </c>
      <c r="AC115" s="487"/>
      <c r="AD115" s="487"/>
      <c r="AE115" s="702"/>
      <c r="AF115" s="487"/>
      <c r="AG115" s="487"/>
      <c r="AH115" s="487"/>
      <c r="AI115" s="487"/>
      <c r="AJ115" s="487"/>
      <c r="AK115" s="487"/>
      <c r="AL115" s="487"/>
      <c r="AM115" s="487"/>
      <c r="AN115" s="487"/>
      <c r="AO115" s="487"/>
      <c r="AP115" s="487"/>
      <c r="AQ115" s="487"/>
      <c r="AR115" s="558">
        <f t="shared" ref="AR115:AW115" si="5">+AR114/$AQ114</f>
        <v>0.74434199199661277</v>
      </c>
      <c r="AS115" s="558">
        <f t="shared" si="5"/>
        <v>9.1215809390146382E-2</v>
      </c>
      <c r="AT115" s="558">
        <f t="shared" si="5"/>
        <v>9.2564348870938812E-2</v>
      </c>
      <c r="AU115" s="558">
        <f t="shared" si="5"/>
        <v>7.1877849742302241E-2</v>
      </c>
      <c r="AV115" s="558">
        <f t="shared" si="5"/>
        <v>0</v>
      </c>
      <c r="AW115" s="558">
        <f t="shared" si="5"/>
        <v>0</v>
      </c>
      <c r="AX115" s="487"/>
      <c r="AY115" s="487"/>
      <c r="AZ115" s="724">
        <f>SegqtrSales!F79</f>
        <v>0</v>
      </c>
      <c r="BA115" s="724">
        <f>SegqtrSales!F255</f>
        <v>0</v>
      </c>
      <c r="BB115" s="724">
        <f>SegqtrSales!F432</f>
        <v>0</v>
      </c>
      <c r="BC115" s="724">
        <f>SegqtrSales!F609</f>
        <v>0</v>
      </c>
      <c r="BD115" s="487"/>
      <c r="BE115" s="487"/>
      <c r="BF115" s="487"/>
      <c r="BG115" s="487"/>
    </row>
    <row r="116" spans="1:59" hidden="1" outlineLevel="1">
      <c r="A116" s="715"/>
      <c r="B116" s="755">
        <f>+B109+1</f>
        <v>2005</v>
      </c>
      <c r="C116" s="487"/>
      <c r="D116" s="487"/>
      <c r="E116" s="702"/>
      <c r="F116" s="487"/>
      <c r="G116" s="702"/>
      <c r="H116" s="487"/>
      <c r="I116" s="702"/>
      <c r="J116" s="756"/>
      <c r="K116" s="487"/>
      <c r="L116" s="727"/>
      <c r="M116" s="487"/>
      <c r="N116" s="487"/>
      <c r="O116" s="702"/>
      <c r="P116" s="499"/>
      <c r="Q116" s="499"/>
      <c r="R116" s="487"/>
      <c r="S116" s="487"/>
      <c r="T116" s="487"/>
      <c r="U116" s="487"/>
      <c r="V116" s="487"/>
      <c r="W116" s="487"/>
      <c r="X116" s="702"/>
      <c r="Y116" s="487"/>
      <c r="Z116" s="487"/>
      <c r="AA116" s="487"/>
      <c r="AB116" s="487"/>
      <c r="AC116" s="487"/>
      <c r="AD116" s="487"/>
      <c r="AE116" s="702"/>
      <c r="AF116" s="499"/>
      <c r="AG116" s="499"/>
      <c r="AH116" s="487"/>
      <c r="AI116" s="487"/>
      <c r="AJ116" s="487"/>
      <c r="AK116" s="487"/>
      <c r="AL116" s="487"/>
      <c r="AM116" s="487"/>
      <c r="AN116" s="702"/>
      <c r="AO116" s="702"/>
      <c r="AP116" s="487"/>
      <c r="AQ116" s="487"/>
      <c r="AR116" s="487"/>
      <c r="AS116" s="487"/>
      <c r="AT116" s="487"/>
      <c r="AU116" s="487"/>
      <c r="AV116" s="487"/>
      <c r="AW116" s="487"/>
      <c r="AX116" s="487"/>
      <c r="AY116" s="487"/>
      <c r="AZ116" s="724">
        <f>SegqtrSales!F80</f>
        <v>0</v>
      </c>
      <c r="BA116" s="724">
        <f>SegqtrSales!F256</f>
        <v>0</v>
      </c>
      <c r="BB116" s="724">
        <f>SegqtrSales!F433</f>
        <v>0</v>
      </c>
      <c r="BC116" s="724">
        <f>SegqtrSales!F610</f>
        <v>0</v>
      </c>
      <c r="BD116" s="487"/>
      <c r="BE116" s="487"/>
      <c r="BF116" s="487"/>
      <c r="BG116" s="487"/>
    </row>
    <row r="117" spans="1:59" hidden="1" outlineLevel="1">
      <c r="A117" s="487" t="str">
        <f>$A$40</f>
        <v>1Q</v>
      </c>
      <c r="B117" s="701" t="str">
        <f>$B$40</f>
        <v>Apr</v>
      </c>
      <c r="C117" s="487"/>
      <c r="D117" s="716">
        <f>(S117/S110-1)*100</f>
        <v>8.9208607773290751</v>
      </c>
      <c r="E117" s="702" t="s">
        <v>190</v>
      </c>
      <c r="F117" s="744">
        <f>+'qtrP&amp;L'!BP10</f>
        <v>3</v>
      </c>
      <c r="G117" s="702" t="s">
        <v>190</v>
      </c>
      <c r="H117" s="716">
        <f>D117-F117</f>
        <v>5.9208607773290751</v>
      </c>
      <c r="I117" s="702" t="s">
        <v>190</v>
      </c>
      <c r="J117" s="742">
        <f>+Stores!CW137</f>
        <v>2251</v>
      </c>
      <c r="K117" s="487" t="s">
        <v>315</v>
      </c>
      <c r="L117" s="727">
        <f>AVERAGE(J117,J113)</f>
        <v>2237.5</v>
      </c>
      <c r="M117" s="487"/>
      <c r="N117" s="716">
        <f>(L117/L110-1)*100</f>
        <v>7.7534312545147976</v>
      </c>
      <c r="O117" s="702" t="s">
        <v>190</v>
      </c>
      <c r="P117" s="719">
        <f>H117/N117*100</f>
        <v>76.364393814433797</v>
      </c>
      <c r="Q117" s="499" t="s">
        <v>190</v>
      </c>
      <c r="R117" s="487"/>
      <c r="S117" s="720">
        <f>+'qtrP&amp;L'!BN10</f>
        <v>3651.83</v>
      </c>
      <c r="T117" s="735"/>
      <c r="U117" s="721">
        <f>S117/L117</f>
        <v>1.6321027932960894</v>
      </c>
      <c r="V117" s="487"/>
      <c r="W117" s="740">
        <f>(U117/U110-1)*100</f>
        <v>1.0834267727927838</v>
      </c>
      <c r="X117" s="702" t="s">
        <v>190</v>
      </c>
      <c r="Y117" s="487"/>
      <c r="Z117" s="562">
        <f>Stores!DB137</f>
        <v>66.483042579757083</v>
      </c>
      <c r="AA117" s="487"/>
      <c r="AB117" s="722">
        <f>AVERAGE(Z117,Z113)</f>
        <v>65.945799279888234</v>
      </c>
      <c r="AC117" s="487"/>
      <c r="AD117" s="716">
        <f>(AB117/AB110-1)*100</f>
        <v>8.853206255601954</v>
      </c>
      <c r="AE117" s="702" t="s">
        <v>190</v>
      </c>
      <c r="AF117" s="719">
        <f>+H117/AD117*100</f>
        <v>66.878152461235061</v>
      </c>
      <c r="AG117" s="499" t="s">
        <v>190</v>
      </c>
      <c r="AH117" s="487"/>
      <c r="AI117" s="720">
        <f>+S117</f>
        <v>3651.83</v>
      </c>
      <c r="AJ117" s="487"/>
      <c r="AK117" s="723">
        <f>AI117/AB117</f>
        <v>55.376233814391171</v>
      </c>
      <c r="AL117" s="487"/>
      <c r="AM117" s="740">
        <f>(AK117/AK110-1)*100</f>
        <v>6.215207071462725E-2</v>
      </c>
      <c r="AN117" s="702" t="s">
        <v>190</v>
      </c>
      <c r="AO117" s="702"/>
      <c r="AP117" s="725">
        <f>+S117-AQ117</f>
        <v>198.81399999999985</v>
      </c>
      <c r="AQ117" s="745">
        <f>+AR117+AS117+AT117+AU117+AV117+AW117</f>
        <v>3453.0160000000001</v>
      </c>
      <c r="AR117" s="725">
        <f>SegqtrSales!S81</f>
        <v>2563.5859999999998</v>
      </c>
      <c r="AS117" s="725">
        <f>SegqtrSales!S257</f>
        <v>313.09699999999998</v>
      </c>
      <c r="AT117" s="725">
        <f>SegqtrSales!S434</f>
        <v>317.70600000000002</v>
      </c>
      <c r="AU117" s="725">
        <f>SegqtrSales!S611</f>
        <v>258.62700000000001</v>
      </c>
      <c r="AV117" s="725">
        <f>SegqtrSales!S768</f>
        <v>0</v>
      </c>
      <c r="AW117" s="725">
        <f>SegqtrSales!$S$847</f>
        <v>0</v>
      </c>
      <c r="AX117" s="716">
        <v>-3.0750309206018014</v>
      </c>
      <c r="AY117" s="716"/>
      <c r="AZ117" s="724">
        <f>SegqtrSales!F81</f>
        <v>3</v>
      </c>
      <c r="BA117" s="724">
        <f>SegqtrSales!F257</f>
        <v>-1</v>
      </c>
      <c r="BB117" s="724">
        <f>SegqtrSales!F434</f>
        <v>-1</v>
      </c>
      <c r="BC117" s="724">
        <f>SegqtrSales!F611</f>
        <v>0</v>
      </c>
      <c r="BD117" s="716"/>
      <c r="BE117" s="716"/>
      <c r="BF117" s="746"/>
      <c r="BG117" s="744">
        <f>+F117</f>
        <v>3</v>
      </c>
    </row>
    <row r="118" spans="1:59" hidden="1" outlineLevel="1">
      <c r="A118" s="487" t="str">
        <f>$A$41</f>
        <v>2Q</v>
      </c>
      <c r="B118" s="701" t="str">
        <f>$B$41</f>
        <v>Jul</v>
      </c>
      <c r="C118" s="487"/>
      <c r="D118" s="716">
        <f>(S118/S111-1)*100</f>
        <v>6.8412233652296983</v>
      </c>
      <c r="E118" s="487"/>
      <c r="F118" s="744">
        <f>+'qtrP&amp;L'!BP11</f>
        <v>1</v>
      </c>
      <c r="G118" s="487"/>
      <c r="H118" s="716">
        <f>D118-F118</f>
        <v>5.8412233652296983</v>
      </c>
      <c r="I118" s="487"/>
      <c r="J118" s="742">
        <f>+Stores!CW138</f>
        <v>2282</v>
      </c>
      <c r="K118" s="487"/>
      <c r="L118" s="727">
        <f>AVERAGE(J118,J117)</f>
        <v>2266.5</v>
      </c>
      <c r="M118" s="487"/>
      <c r="N118" s="716">
        <f>(L118/L111-1)*100</f>
        <v>7.7489897789398521</v>
      </c>
      <c r="O118" s="702"/>
      <c r="P118" s="719">
        <f>H118/N118*100</f>
        <v>75.380449992396848</v>
      </c>
      <c r="Q118" s="499"/>
      <c r="R118" s="487"/>
      <c r="S118" s="725">
        <f>+'qtrP&amp;L'!BN11</f>
        <v>3647.866</v>
      </c>
      <c r="T118" s="735"/>
      <c r="U118" s="726">
        <f>S118/L118</f>
        <v>1.6094709905140083</v>
      </c>
      <c r="V118" s="487"/>
      <c r="W118" s="740">
        <f>(U118/U111-1)*100</f>
        <v>-0.8424825286738713</v>
      </c>
      <c r="X118" s="702"/>
      <c r="Y118" s="487"/>
      <c r="Z118" s="562">
        <f>Stores!DB138</f>
        <v>67.315692340815303</v>
      </c>
      <c r="AA118" s="735"/>
      <c r="AB118" s="722">
        <f>AVERAGE(Z118,Z117)</f>
        <v>66.899367460286186</v>
      </c>
      <c r="AC118" s="487"/>
      <c r="AD118" s="716">
        <f>(AB118/AB111-1)*100</f>
        <v>7.7295590820503524</v>
      </c>
      <c r="AE118" s="702"/>
      <c r="AF118" s="719">
        <f>+H118/AD118*100</f>
        <v>75.569942647753834</v>
      </c>
      <c r="AG118" s="499"/>
      <c r="AH118" s="487"/>
      <c r="AI118" s="725">
        <f>+S118</f>
        <v>3647.866</v>
      </c>
      <c r="AJ118" s="487"/>
      <c r="AK118" s="727">
        <f>AI118/AB118</f>
        <v>54.527660551730946</v>
      </c>
      <c r="AL118" s="487"/>
      <c r="AM118" s="740">
        <f>(AK118/AK111-1)*100</f>
        <v>-0.82459793244309409</v>
      </c>
      <c r="AN118" s="702"/>
      <c r="AO118" s="702"/>
      <c r="AP118" s="725">
        <f>+S118-AQ118</f>
        <v>207.05699999999979</v>
      </c>
      <c r="AQ118" s="747">
        <f>+AR118+AS118+AT118+AU118+AV118+AW118</f>
        <v>3440.8090000000002</v>
      </c>
      <c r="AR118" s="725">
        <f>SegqtrSales!S82</f>
        <v>2537.3110000000001</v>
      </c>
      <c r="AS118" s="725">
        <f>SegqtrSales!S258</f>
        <v>316.84199999999998</v>
      </c>
      <c r="AT118" s="725">
        <f>SegqtrSales!S435</f>
        <v>327.54000000000002</v>
      </c>
      <c r="AU118" s="725">
        <f>SegqtrSales!S612</f>
        <v>259.11599999999999</v>
      </c>
      <c r="AV118" s="725">
        <f>SegqtrSales!S769</f>
        <v>0</v>
      </c>
      <c r="AW118" s="725">
        <f>SegqtrSales!$S$848</f>
        <v>0</v>
      </c>
      <c r="AX118" s="716">
        <v>2.8918765057496643</v>
      </c>
      <c r="AY118" s="716"/>
      <c r="AZ118" s="724">
        <f>SegqtrSales!F82</f>
        <v>2</v>
      </c>
      <c r="BA118" s="724">
        <f>SegqtrSales!F258</f>
        <v>-9</v>
      </c>
      <c r="BB118" s="724">
        <f>SegqtrSales!F435</f>
        <v>2</v>
      </c>
      <c r="BC118" s="724">
        <f>SegqtrSales!F612</f>
        <v>0</v>
      </c>
      <c r="BD118" s="716"/>
      <c r="BE118" s="716"/>
      <c r="BF118" s="746"/>
      <c r="BG118" s="744">
        <f>+F118</f>
        <v>1</v>
      </c>
    </row>
    <row r="119" spans="1:59" hidden="1" outlineLevel="1">
      <c r="A119" s="487" t="str">
        <f>$A$42</f>
        <v>3Q</v>
      </c>
      <c r="B119" s="701" t="str">
        <f>$B$42</f>
        <v>Oct</v>
      </c>
      <c r="C119" s="487"/>
      <c r="D119" s="716">
        <f>(S119/S112-1)*100</f>
        <v>5.8826672953750547</v>
      </c>
      <c r="E119" s="487"/>
      <c r="F119" s="753">
        <f>+'qtrP&amp;L'!BP12</f>
        <v>0</v>
      </c>
      <c r="G119" s="487"/>
      <c r="H119" s="716">
        <f>D119-F119</f>
        <v>5.8826672953750547</v>
      </c>
      <c r="I119" s="487"/>
      <c r="J119" s="742">
        <f>+Stores!CW139</f>
        <v>2371</v>
      </c>
      <c r="K119" s="735"/>
      <c r="L119" s="727">
        <f>AVERAGE(J119,J118)</f>
        <v>2326.5</v>
      </c>
      <c r="M119" s="487"/>
      <c r="N119" s="716">
        <f>(L119/L112-1)*100</f>
        <v>8.1087360594795488</v>
      </c>
      <c r="O119" s="702"/>
      <c r="P119" s="719">
        <f>H119/N119*100</f>
        <v>72.547278049553725</v>
      </c>
      <c r="Q119" s="499"/>
      <c r="R119" s="487"/>
      <c r="S119" s="725">
        <f>+'qtrP&amp;L'!BN12</f>
        <v>4041.9119999999998</v>
      </c>
      <c r="T119" s="487"/>
      <c r="U119" s="726">
        <f>S119/L119</f>
        <v>1.7373359123146357</v>
      </c>
      <c r="V119" s="487"/>
      <c r="W119" s="740">
        <f>(U119/U112-1)*100</f>
        <v>-2.0591016464013956</v>
      </c>
      <c r="X119" s="702"/>
      <c r="Y119" s="487"/>
      <c r="Z119" s="562">
        <f>Stores!DB139</f>
        <v>69.855357762568985</v>
      </c>
      <c r="AA119" s="735"/>
      <c r="AB119" s="722">
        <f>AVERAGE(Z119,Z118)</f>
        <v>68.585525051692144</v>
      </c>
      <c r="AC119" s="487"/>
      <c r="AD119" s="716">
        <f>(AB119/AB112-1)*100</f>
        <v>8.0980851384510046</v>
      </c>
      <c r="AE119" s="702"/>
      <c r="AF119" s="719">
        <f>+H119/AD119*100</f>
        <v>72.642695091500201</v>
      </c>
      <c r="AG119" s="499"/>
      <c r="AH119" s="487"/>
      <c r="AI119" s="725">
        <f>+S119</f>
        <v>4041.9119999999998</v>
      </c>
      <c r="AJ119" s="487"/>
      <c r="AK119" s="727">
        <f>AI119/AB119</f>
        <v>58.932435043016085</v>
      </c>
      <c r="AL119" s="487"/>
      <c r="AM119" s="740">
        <f>(AK119/AK112-1)*100</f>
        <v>-2.0494515145559333</v>
      </c>
      <c r="AN119" s="702"/>
      <c r="AO119" s="702"/>
      <c r="AP119" s="725">
        <f>+S119-AQ119</f>
        <v>238.68799999999965</v>
      </c>
      <c r="AQ119" s="747">
        <f>+AR119+AS119+AT119+AU119+AV119+AW119</f>
        <v>3803.2240000000002</v>
      </c>
      <c r="AR119" s="725">
        <f>SegqtrSales!S83</f>
        <v>2727.759</v>
      </c>
      <c r="AS119" s="725">
        <f>SegqtrSales!S259</f>
        <v>398.08100000000002</v>
      </c>
      <c r="AT119" s="725">
        <f>SegqtrSales!S436</f>
        <v>385.06900000000002</v>
      </c>
      <c r="AU119" s="725">
        <f>SegqtrSales!S613</f>
        <v>292.315</v>
      </c>
      <c r="AV119" s="725">
        <f>SegqtrSales!S770</f>
        <v>0</v>
      </c>
      <c r="AW119" s="725">
        <f>SegqtrSales!$S$849</f>
        <v>0</v>
      </c>
      <c r="AX119" s="716">
        <v>3.5099188546172799</v>
      </c>
      <c r="AY119" s="716"/>
      <c r="AZ119" s="724">
        <f>SegqtrSales!F83</f>
        <v>0</v>
      </c>
      <c r="BA119" s="724">
        <f>SegqtrSales!F259</f>
        <v>-4</v>
      </c>
      <c r="BB119" s="724">
        <f>SegqtrSales!F436</f>
        <v>-7</v>
      </c>
      <c r="BC119" s="724">
        <f>SegqtrSales!F613</f>
        <v>1</v>
      </c>
      <c r="BD119" s="716"/>
      <c r="BE119" s="716"/>
      <c r="BF119" s="746"/>
      <c r="BG119" s="744">
        <f>+F119</f>
        <v>0</v>
      </c>
    </row>
    <row r="120" spans="1:59" hidden="1" outlineLevel="1">
      <c r="A120" s="487" t="str">
        <f>$A$43</f>
        <v>4Q</v>
      </c>
      <c r="B120" s="701" t="str">
        <f>$B$43</f>
        <v>Jan</v>
      </c>
      <c r="C120" s="487"/>
      <c r="D120" s="728">
        <f>(S120/S113-1)*100</f>
        <v>8.9445195304622693</v>
      </c>
      <c r="E120" s="487"/>
      <c r="F120" s="748">
        <f>+'qtrP&amp;L'!BP13</f>
        <v>3</v>
      </c>
      <c r="G120" s="487"/>
      <c r="H120" s="728">
        <f>D120-F120</f>
        <v>5.9445195304622693</v>
      </c>
      <c r="I120" s="487"/>
      <c r="J120" s="727">
        <f>yrSales!Q$20</f>
        <v>2381</v>
      </c>
      <c r="K120" s="735"/>
      <c r="L120" s="734">
        <f>AVERAGE(J120,J119)</f>
        <v>2376</v>
      </c>
      <c r="M120" s="487"/>
      <c r="N120" s="728">
        <f>(L120/L113-1)*100</f>
        <v>7.7062556663644699</v>
      </c>
      <c r="O120" s="702"/>
      <c r="P120" s="730">
        <f>H120/N120*100</f>
        <v>77.13888284823382</v>
      </c>
      <c r="Q120" s="499"/>
      <c r="R120" s="487"/>
      <c r="S120" s="731">
        <f>+'qtrP&amp;L'!BN13</f>
        <v>4716.3270000000002</v>
      </c>
      <c r="T120" s="487"/>
      <c r="U120" s="732">
        <f>S120/L120</f>
        <v>1.9849861111111111</v>
      </c>
      <c r="V120" s="487"/>
      <c r="W120" s="729">
        <f>(U120/U113-1)*100</f>
        <v>1.1496675438551041</v>
      </c>
      <c r="X120" s="702"/>
      <c r="Y120" s="487"/>
      <c r="Z120" s="562">
        <f>yrSales!Q$31</f>
        <v>70.575000000000017</v>
      </c>
      <c r="AA120" s="735"/>
      <c r="AB120" s="733">
        <f>AVERAGE(Z120,Z119)</f>
        <v>70.215178881284501</v>
      </c>
      <c r="AC120" s="487"/>
      <c r="AD120" s="728">
        <f>(AB120/AB113-1)*100</f>
        <v>8.1360935500442988</v>
      </c>
      <c r="AE120" s="702"/>
      <c r="AF120" s="730">
        <f>+H120/AD120*100</f>
        <v>73.063559236359851</v>
      </c>
      <c r="AG120" s="499"/>
      <c r="AH120" s="487"/>
      <c r="AI120" s="731">
        <f>+S120</f>
        <v>4716.3270000000002</v>
      </c>
      <c r="AJ120" s="487"/>
      <c r="AK120" s="734">
        <f>AI120/AB120</f>
        <v>67.169621656509278</v>
      </c>
      <c r="AL120" s="487"/>
      <c r="AM120" s="729">
        <f>(AK120/AK113-1)*100</f>
        <v>0.74760050402953304</v>
      </c>
      <c r="AN120" s="702"/>
      <c r="AO120" s="702"/>
      <c r="AP120" s="725">
        <f>+S120-AQ120</f>
        <v>294.88200000000052</v>
      </c>
      <c r="AQ120" s="747">
        <f>+AR120+AS120+AT120+AU120+AV120+AW120</f>
        <v>4421.4449999999997</v>
      </c>
      <c r="AR120" s="725">
        <f>SegqtrSales!S84</f>
        <v>3128.1320000000001</v>
      </c>
      <c r="AS120" s="725">
        <f>SegqtrSales!S260</f>
        <v>429.71600000000001</v>
      </c>
      <c r="AT120" s="725">
        <f>SegqtrSales!S437</f>
        <v>486.80099999999999</v>
      </c>
      <c r="AU120" s="725">
        <f>SegqtrSales!S614</f>
        <v>376.79599999999999</v>
      </c>
      <c r="AV120" s="725">
        <f>SegqtrSales!S771</f>
        <v>0</v>
      </c>
      <c r="AW120" s="725">
        <f>SegqtrSales!$S$850</f>
        <v>0</v>
      </c>
      <c r="AX120" s="716">
        <v>3.9254847991487196</v>
      </c>
      <c r="AY120" s="716"/>
      <c r="AZ120" s="724">
        <f>SegqtrSales!F84</f>
        <v>4</v>
      </c>
      <c r="BA120" s="724">
        <f>SegqtrSales!F260</f>
        <v>2</v>
      </c>
      <c r="BB120" s="724">
        <f>SegqtrSales!F437</f>
        <v>7</v>
      </c>
      <c r="BC120" s="724">
        <f>SegqtrSales!F614</f>
        <v>4</v>
      </c>
      <c r="BD120" s="716"/>
      <c r="BE120" s="716"/>
      <c r="BF120" s="746"/>
      <c r="BG120" s="744">
        <f>+F120</f>
        <v>3</v>
      </c>
    </row>
    <row r="121" spans="1:59" hidden="1" outlineLevel="1">
      <c r="A121" s="487"/>
      <c r="B121" s="701" t="str">
        <f>$B$44</f>
        <v>Year</v>
      </c>
      <c r="C121" s="487"/>
      <c r="D121" s="716">
        <f>(S121/S114-1)*100</f>
        <v>7.6739417612907701</v>
      </c>
      <c r="E121" s="487"/>
      <c r="F121" s="757">
        <f>+'qtrP&amp;L'!BP14</f>
        <v>2</v>
      </c>
      <c r="G121" s="487"/>
      <c r="H121" s="716">
        <f>D121-F121</f>
        <v>5.6739417612907701</v>
      </c>
      <c r="I121" s="487"/>
      <c r="J121" s="727"/>
      <c r="K121" s="487"/>
      <c r="L121" s="727">
        <f>AVERAGE(L117:L120)</f>
        <v>2301.625</v>
      </c>
      <c r="M121" s="487"/>
      <c r="N121" s="716">
        <f>(L121/L114-1)*100</f>
        <v>7.8297025064417936</v>
      </c>
      <c r="O121" s="702"/>
      <c r="P121" s="719">
        <f>H121/N121*100</f>
        <v>72.466888194316482</v>
      </c>
      <c r="Q121" s="499"/>
      <c r="R121" s="487"/>
      <c r="S121" s="720">
        <f>SUM(S117:S120)</f>
        <v>16057.935000000001</v>
      </c>
      <c r="T121" s="487"/>
      <c r="U121" s="721">
        <f>SUM(U117:U120)</f>
        <v>6.9638958072358434</v>
      </c>
      <c r="V121" s="487"/>
      <c r="W121" s="740">
        <f>(U121/U114-1)*100</f>
        <v>-0.14548030220684627</v>
      </c>
      <c r="X121" s="702"/>
      <c r="Y121" s="487"/>
      <c r="Z121" s="487"/>
      <c r="AA121" s="487"/>
      <c r="AB121" s="722">
        <f>AVERAGE(AB117:AB120)</f>
        <v>67.91146766828777</v>
      </c>
      <c r="AC121" s="487"/>
      <c r="AD121" s="716">
        <f>(AB121/AB114-1)*100</f>
        <v>8.1989757095162652</v>
      </c>
      <c r="AE121" s="702"/>
      <c r="AF121" s="719">
        <f>+H121/AD121*100</f>
        <v>69.203056117183309</v>
      </c>
      <c r="AG121" s="499"/>
      <c r="AH121" s="487"/>
      <c r="AI121" s="720">
        <f>SUM(AI117:AI120)</f>
        <v>16057.935000000001</v>
      </c>
      <c r="AJ121" s="487"/>
      <c r="AK121" s="723">
        <f>SUM(AK117:AK120)</f>
        <v>236.00595106564748</v>
      </c>
      <c r="AL121" s="487"/>
      <c r="AM121" s="740">
        <f>(AK121/AK114-1)*100</f>
        <v>-0.4864256594507399</v>
      </c>
      <c r="AN121" s="702"/>
      <c r="AO121" s="702"/>
      <c r="AP121" s="725">
        <f>+S121-AQ121</f>
        <v>939.44100000000071</v>
      </c>
      <c r="AQ121" s="749">
        <f>SUM(AQ117:AQ120)</f>
        <v>15118.494000000001</v>
      </c>
      <c r="AR121" s="750">
        <f t="shared" ref="AR121:AW121" si="6">SUM(AR117:AR120)</f>
        <v>10956.788</v>
      </c>
      <c r="AS121" s="750">
        <f t="shared" si="6"/>
        <v>1457.7359999999999</v>
      </c>
      <c r="AT121" s="750">
        <f t="shared" si="6"/>
        <v>1517.116</v>
      </c>
      <c r="AU121" s="750">
        <f t="shared" si="6"/>
        <v>1186.854</v>
      </c>
      <c r="AV121" s="750">
        <f t="shared" si="6"/>
        <v>0</v>
      </c>
      <c r="AW121" s="750">
        <f t="shared" si="6"/>
        <v>0</v>
      </c>
      <c r="AX121" s="716">
        <v>2.0889264386412334</v>
      </c>
      <c r="AY121" s="716"/>
      <c r="AZ121" s="724">
        <f>SegqtrSales!F85</f>
        <v>2.3070545857052265</v>
      </c>
      <c r="BA121" s="724">
        <f>SegqtrSales!F261</f>
        <v>-2.6737125240784341</v>
      </c>
      <c r="BB121" s="724">
        <f>SegqtrSales!F438</f>
        <v>0.6917717564115069</v>
      </c>
      <c r="BC121" s="724">
        <f>SegqtrSales!F615</f>
        <v>1.5161923876062262</v>
      </c>
      <c r="BD121" s="716"/>
      <c r="BE121" s="716"/>
      <c r="BF121" s="746"/>
      <c r="BG121" s="744">
        <f>+F121</f>
        <v>2</v>
      </c>
    </row>
    <row r="122" spans="1:59" hidden="1" outlineLevel="1">
      <c r="A122" s="487"/>
      <c r="B122" s="701"/>
      <c r="C122" s="487"/>
      <c r="D122" s="716"/>
      <c r="E122" s="487"/>
      <c r="F122" s="753"/>
      <c r="G122" s="487"/>
      <c r="H122" s="716"/>
      <c r="I122" s="487"/>
      <c r="J122" s="727"/>
      <c r="K122" s="487"/>
      <c r="L122" s="727"/>
      <c r="M122" s="487"/>
      <c r="N122" s="716"/>
      <c r="O122" s="702"/>
      <c r="P122" s="719"/>
      <c r="Q122" s="499"/>
      <c r="R122" s="487"/>
      <c r="S122" s="720"/>
      <c r="T122" s="487"/>
      <c r="U122" s="721"/>
      <c r="V122" s="487"/>
      <c r="W122" s="740"/>
      <c r="X122" s="702"/>
      <c r="Y122" s="487"/>
      <c r="Z122" s="487"/>
      <c r="AA122" s="487"/>
      <c r="AB122" s="722"/>
      <c r="AC122" s="487"/>
      <c r="AD122" s="716"/>
      <c r="AE122" s="702"/>
      <c r="AF122" s="719"/>
      <c r="AG122" s="499"/>
      <c r="AH122" s="487"/>
      <c r="AI122" s="720"/>
      <c r="AJ122" s="487"/>
      <c r="AK122" s="723"/>
      <c r="AL122" s="487"/>
      <c r="AM122" s="740"/>
      <c r="AN122" s="702"/>
      <c r="AO122" s="702"/>
      <c r="AP122" s="725"/>
      <c r="AQ122" s="758"/>
      <c r="AR122" s="750"/>
      <c r="AS122" s="750"/>
      <c r="AT122" s="750"/>
      <c r="AU122" s="750"/>
      <c r="AV122" s="750"/>
      <c r="AW122" s="750"/>
      <c r="AX122" s="716"/>
      <c r="AY122" s="716"/>
      <c r="AZ122" s="724">
        <f>SegqtrSales!F86</f>
        <v>0</v>
      </c>
      <c r="BA122" s="724">
        <f>SegqtrSales!F262</f>
        <v>0</v>
      </c>
      <c r="BB122" s="724">
        <f>SegqtrSales!F439</f>
        <v>0</v>
      </c>
      <c r="BC122" s="724">
        <f>SegqtrSales!F616</f>
        <v>0</v>
      </c>
      <c r="BD122" s="716"/>
      <c r="BE122" s="716"/>
      <c r="BF122" s="746"/>
      <c r="BG122" s="744"/>
    </row>
    <row r="123" spans="1:59" hidden="1" outlineLevel="1">
      <c r="A123" s="715"/>
      <c r="B123" s="755">
        <f>+B116+1</f>
        <v>2006</v>
      </c>
      <c r="C123" s="487"/>
      <c r="D123" s="487"/>
      <c r="E123" s="702"/>
      <c r="F123" s="487"/>
      <c r="G123" s="702"/>
      <c r="H123" s="487"/>
      <c r="I123" s="702"/>
      <c r="J123" s="727"/>
      <c r="K123" s="487"/>
      <c r="L123" s="727"/>
      <c r="M123" s="487"/>
      <c r="N123" s="487"/>
      <c r="O123" s="702"/>
      <c r="P123" s="499"/>
      <c r="Q123" s="499"/>
      <c r="R123" s="487"/>
      <c r="S123" s="487"/>
      <c r="T123" s="487"/>
      <c r="U123" s="487"/>
      <c r="V123" s="487"/>
      <c r="W123" s="487"/>
      <c r="X123" s="702"/>
      <c r="Y123" s="487"/>
      <c r="Z123" s="487"/>
      <c r="AA123" s="487"/>
      <c r="AB123" s="487"/>
      <c r="AC123" s="487"/>
      <c r="AD123" s="487"/>
      <c r="AE123" s="702"/>
      <c r="AF123" s="499"/>
      <c r="AG123" s="499"/>
      <c r="AH123" s="487"/>
      <c r="AI123" s="487"/>
      <c r="AJ123" s="487"/>
      <c r="AK123" s="487"/>
      <c r="AL123" s="487"/>
      <c r="AM123" s="487"/>
      <c r="AN123" s="702"/>
      <c r="AO123" s="702"/>
      <c r="AP123" s="487"/>
      <c r="AQ123" s="487"/>
      <c r="AR123" s="487"/>
      <c r="AS123" s="487"/>
      <c r="AT123" s="487"/>
      <c r="AU123" s="487"/>
      <c r="AV123" s="487"/>
      <c r="AW123" s="487"/>
      <c r="AX123" s="487"/>
      <c r="AY123" s="487"/>
      <c r="AZ123" s="724">
        <f>SegqtrSales!F87</f>
        <v>0</v>
      </c>
      <c r="BA123" s="724">
        <f>SegqtrSales!F263</f>
        <v>0</v>
      </c>
      <c r="BB123" s="724">
        <f>SegqtrSales!F440</f>
        <v>0</v>
      </c>
      <c r="BC123" s="724">
        <f>SegqtrSales!F617</f>
        <v>0</v>
      </c>
      <c r="BD123" s="487"/>
      <c r="BE123" s="487"/>
      <c r="BF123" s="487"/>
      <c r="BG123" s="487"/>
    </row>
    <row r="124" spans="1:59" hidden="1" outlineLevel="1">
      <c r="A124" s="487" t="str">
        <f>$A$40</f>
        <v>1Q</v>
      </c>
      <c r="B124" s="701" t="str">
        <f>$B$40</f>
        <v>Apr</v>
      </c>
      <c r="C124" s="487"/>
      <c r="D124" s="716">
        <f>(S124/S117-1)*100</f>
        <v>6.008658672501177</v>
      </c>
      <c r="E124" s="702" t="s">
        <v>190</v>
      </c>
      <c r="F124" s="744">
        <f>'qtrP&amp;L'!$BT$10</f>
        <v>1</v>
      </c>
      <c r="G124" s="702" t="s">
        <v>190</v>
      </c>
      <c r="H124" s="716">
        <f>D124-F124</f>
        <v>5.008658672501177</v>
      </c>
      <c r="I124" s="702" t="s">
        <v>190</v>
      </c>
      <c r="J124" s="742">
        <f>+Stores!CW145-34</f>
        <v>2380</v>
      </c>
      <c r="K124" s="735"/>
      <c r="L124" s="727">
        <f>AVERAGE(J124,J120)</f>
        <v>2380.5</v>
      </c>
      <c r="M124" s="487"/>
      <c r="N124" s="716">
        <f>(L124/L117-1)*100</f>
        <v>6.3910614525139575</v>
      </c>
      <c r="O124" s="702" t="s">
        <v>190</v>
      </c>
      <c r="P124" s="719">
        <f>H124/N124*100</f>
        <v>78.369746711338465</v>
      </c>
      <c r="Q124" s="499" t="s">
        <v>190</v>
      </c>
      <c r="R124" s="487"/>
      <c r="S124" s="720">
        <f>'qtrP&amp;L'!$BR$10</f>
        <v>3871.2559999999999</v>
      </c>
      <c r="T124" s="735"/>
      <c r="U124" s="721">
        <f>S124/L124</f>
        <v>1.6262365049359377</v>
      </c>
      <c r="V124" s="487"/>
      <c r="W124" s="740">
        <f>(U124/U117-1)*100</f>
        <v>-0.35943130446486338</v>
      </c>
      <c r="X124" s="702" t="s">
        <v>190</v>
      </c>
      <c r="Y124" s="487"/>
      <c r="Z124" s="759">
        <v>71.7</v>
      </c>
      <c r="AA124" s="487"/>
      <c r="AB124" s="722">
        <f>AVERAGE(Z124,Z120)</f>
        <v>71.137500000000017</v>
      </c>
      <c r="AC124" s="487"/>
      <c r="AD124" s="716">
        <f>(AB124/AB117-1)*100</f>
        <v>7.872678437146674</v>
      </c>
      <c r="AE124" s="702" t="s">
        <v>190</v>
      </c>
      <c r="AF124" s="719">
        <f>+H124/AD124*100</f>
        <v>63.62077039585634</v>
      </c>
      <c r="AG124" s="499" t="s">
        <v>190</v>
      </c>
      <c r="AH124" s="487"/>
      <c r="AI124" s="720">
        <f>+S124</f>
        <v>3871.2559999999999</v>
      </c>
      <c r="AJ124" s="487"/>
      <c r="AK124" s="723">
        <f>AI124/AB124</f>
        <v>54.419342821999635</v>
      </c>
      <c r="AL124" s="487"/>
      <c r="AM124" s="740">
        <f>(AK124/AK117-1)*100</f>
        <v>-1.7279813495421514</v>
      </c>
      <c r="AN124" s="702" t="s">
        <v>190</v>
      </c>
      <c r="AO124" s="702"/>
      <c r="AP124" s="725">
        <f>+S124-AQ124</f>
        <v>200.59199999999964</v>
      </c>
      <c r="AQ124" s="745">
        <f>+AR124+AS124+AT124+AU124+AV124+AW124</f>
        <v>3670.6640000000002</v>
      </c>
      <c r="AR124" s="725">
        <f>+SegqtrSales!S88</f>
        <v>2646.7020000000002</v>
      </c>
      <c r="AS124" s="725">
        <f>+SegqtrSales!S264</f>
        <v>368.81</v>
      </c>
      <c r="AT124" s="725">
        <f>+SegqtrSales!S441</f>
        <v>349.32</v>
      </c>
      <c r="AU124" s="725">
        <f>+SegqtrSales!S618</f>
        <v>305.83199999999999</v>
      </c>
      <c r="AV124" s="725">
        <f>+SegqtrSales!S775</f>
        <v>0</v>
      </c>
      <c r="AW124" s="725">
        <f>SegqtrSales!$S$854</f>
        <v>0</v>
      </c>
      <c r="AX124" s="716">
        <v>-3.0750309206018014</v>
      </c>
      <c r="AY124" s="716"/>
      <c r="AZ124" s="724">
        <f>SegqtrSales!F88</f>
        <v>1</v>
      </c>
      <c r="BA124" s="724">
        <f>SegqtrSales!F264</f>
        <v>1</v>
      </c>
      <c r="BB124" s="724">
        <f>SegqtrSales!F441</f>
        <v>5</v>
      </c>
      <c r="BC124" s="724">
        <f>SegqtrSales!F618</f>
        <v>3</v>
      </c>
      <c r="BD124" s="716"/>
      <c r="BE124" s="716"/>
      <c r="BF124" s="746"/>
      <c r="BG124" s="744">
        <f>+F124</f>
        <v>1</v>
      </c>
    </row>
    <row r="125" spans="1:59" hidden="1" outlineLevel="1">
      <c r="A125" s="487" t="str">
        <f>$A$41</f>
        <v>2Q</v>
      </c>
      <c r="B125" s="701" t="str">
        <f>$B$41</f>
        <v>Jul</v>
      </c>
      <c r="C125" s="487"/>
      <c r="D125" s="716">
        <f>(S125/S118-1)*100</f>
        <v>8.6569243497431216</v>
      </c>
      <c r="E125" s="487"/>
      <c r="F125" s="744">
        <f>'qtrP&amp;L'!$BT$11</f>
        <v>4</v>
      </c>
      <c r="G125" s="487"/>
      <c r="H125" s="716">
        <f>D125-F125</f>
        <v>4.6569243497431216</v>
      </c>
      <c r="I125" s="487"/>
      <c r="J125" s="742">
        <f>+Stores!CW146-34</f>
        <v>2395</v>
      </c>
      <c r="K125" s="487"/>
      <c r="L125" s="727">
        <f>AVERAGE(J125,J124)</f>
        <v>2387.5</v>
      </c>
      <c r="M125" s="487"/>
      <c r="N125" s="716">
        <f>(L125/L118-1)*100</f>
        <v>5.3386278402823839</v>
      </c>
      <c r="O125" s="702"/>
      <c r="P125" s="719">
        <f>H125/N125*100</f>
        <v>87.230735856964998</v>
      </c>
      <c r="Q125" s="499"/>
      <c r="R125" s="487"/>
      <c r="S125" s="725">
        <f>'qtrP&amp;L'!$BR$11</f>
        <v>3963.6590000000001</v>
      </c>
      <c r="T125" s="735"/>
      <c r="U125" s="726">
        <f>S125/L125</f>
        <v>1.6601713089005237</v>
      </c>
      <c r="V125" s="487"/>
      <c r="W125" s="740">
        <f>(U125/U118-1)*100</f>
        <v>3.1501231575676636</v>
      </c>
      <c r="X125" s="702"/>
      <c r="Y125" s="487"/>
      <c r="Z125" s="759">
        <v>72.099999999999994</v>
      </c>
      <c r="AA125" s="735"/>
      <c r="AB125" s="722">
        <f>AVERAGE(Z125,Z124)</f>
        <v>71.900000000000006</v>
      </c>
      <c r="AC125" s="487"/>
      <c r="AD125" s="716">
        <f>(AB125/AB118-1)*100</f>
        <v>7.4748577296823715</v>
      </c>
      <c r="AE125" s="702"/>
      <c r="AF125" s="719">
        <f>+H125/AD125*100</f>
        <v>62.301177067901307</v>
      </c>
      <c r="AG125" s="499"/>
      <c r="AH125" s="487"/>
      <c r="AI125" s="725">
        <f>+S125</f>
        <v>3963.6590000000001</v>
      </c>
      <c r="AJ125" s="487"/>
      <c r="AK125" s="727">
        <f>AI125/AB125</f>
        <v>55.127385257301803</v>
      </c>
      <c r="AL125" s="487"/>
      <c r="AM125" s="740">
        <f>(AK125/AK118-1)*100</f>
        <v>1.0998540914879174</v>
      </c>
      <c r="AN125" s="702"/>
      <c r="AO125" s="702"/>
      <c r="AP125" s="725">
        <f>+S125-AQ125</f>
        <v>197.83300000000008</v>
      </c>
      <c r="AQ125" s="747">
        <f>+AR125+AS125+AT125+AU125+AV125+AW125</f>
        <v>3765.826</v>
      </c>
      <c r="AR125" s="725">
        <f>+SegqtrSales!S89</f>
        <v>2658.5030000000002</v>
      </c>
      <c r="AS125" s="725">
        <f>+SegqtrSales!S265</f>
        <v>400.536</v>
      </c>
      <c r="AT125" s="725">
        <f>+SegqtrSales!S442</f>
        <v>405.44</v>
      </c>
      <c r="AU125" s="725">
        <f>+SegqtrSales!S619</f>
        <v>301.34699999999998</v>
      </c>
      <c r="AV125" s="725">
        <f>+SegqtrSales!S776</f>
        <v>0</v>
      </c>
      <c r="AW125" s="725">
        <f>SegqtrSales!$S$855</f>
        <v>0</v>
      </c>
      <c r="AX125" s="716">
        <v>2.8918765057496643</v>
      </c>
      <c r="AY125" s="716"/>
      <c r="AZ125" s="724">
        <f>SegqtrSales!F89</f>
        <v>2</v>
      </c>
      <c r="BA125" s="724">
        <f>SegqtrSales!F265</f>
        <v>6</v>
      </c>
      <c r="BB125" s="724">
        <f>SegqtrSales!F442</f>
        <v>10</v>
      </c>
      <c r="BC125" s="724">
        <f>SegqtrSales!F619</f>
        <v>4</v>
      </c>
      <c r="BD125" s="716"/>
      <c r="BE125" s="716"/>
      <c r="BF125" s="746"/>
      <c r="BG125" s="744">
        <f>+F125</f>
        <v>4</v>
      </c>
    </row>
    <row r="126" spans="1:59" hidden="1" outlineLevel="1">
      <c r="A126" s="487" t="str">
        <f>$A$42</f>
        <v>3Q</v>
      </c>
      <c r="B126" s="701" t="str">
        <f>$B$42</f>
        <v>Oct</v>
      </c>
      <c r="C126" s="487"/>
      <c r="D126" s="716">
        <f>(S126/S119-1)*100</f>
        <v>10.664037218029488</v>
      </c>
      <c r="E126" s="487"/>
      <c r="F126" s="753">
        <f>'qtrP&amp;L'!$BT$12</f>
        <v>6</v>
      </c>
      <c r="G126" s="487"/>
      <c r="H126" s="716">
        <f>D126-F126</f>
        <v>4.6640372180294882</v>
      </c>
      <c r="I126" s="487"/>
      <c r="J126" s="742">
        <f>+Stores!CW147-34</f>
        <v>2471</v>
      </c>
      <c r="K126" s="735"/>
      <c r="L126" s="727">
        <f>AVERAGE(J126,J125)</f>
        <v>2433</v>
      </c>
      <c r="M126" s="487"/>
      <c r="N126" s="716">
        <f>(L126/L119-1)*100</f>
        <v>4.5776918117343746</v>
      </c>
      <c r="O126" s="702"/>
      <c r="P126" s="719">
        <f>H126/N126*100</f>
        <v>101.88622148117916</v>
      </c>
      <c r="Q126" s="499"/>
      <c r="R126" s="487"/>
      <c r="S126" s="725">
        <f>'qtrP&amp;L'!$BR$12</f>
        <v>4472.9430000000002</v>
      </c>
      <c r="T126" s="487"/>
      <c r="U126" s="726">
        <f>S126/L126</f>
        <v>1.8384475955610358</v>
      </c>
      <c r="V126" s="487"/>
      <c r="W126" s="740">
        <f>(U126/U119-1)*100</f>
        <v>5.819927080865428</v>
      </c>
      <c r="X126" s="702"/>
      <c r="Y126" s="487"/>
      <c r="Z126" s="759">
        <v>74.599999999999994</v>
      </c>
      <c r="AA126" s="735"/>
      <c r="AB126" s="722">
        <f>AVERAGE(Z126,Z125)</f>
        <v>73.349999999999994</v>
      </c>
      <c r="AC126" s="487"/>
      <c r="AD126" s="716">
        <f>(AB126/AB119-1)*100</f>
        <v>6.9467645610599593</v>
      </c>
      <c r="AE126" s="702"/>
      <c r="AF126" s="719">
        <f>+H126/AD126*100</f>
        <v>67.139704779599356</v>
      </c>
      <c r="AG126" s="499"/>
      <c r="AH126" s="487"/>
      <c r="AI126" s="725">
        <f>+S126</f>
        <v>4472.9430000000002</v>
      </c>
      <c r="AJ126" s="487"/>
      <c r="AK126" s="727">
        <f>AI126/AB126</f>
        <v>60.98081799591003</v>
      </c>
      <c r="AL126" s="487"/>
      <c r="AM126" s="740">
        <f>(AK126/AK119-1)*100</f>
        <v>3.4758159091827556</v>
      </c>
      <c r="AN126" s="702"/>
      <c r="AO126" s="702"/>
      <c r="AP126" s="725">
        <f>+S126-AQ126</f>
        <v>231.40000000000055</v>
      </c>
      <c r="AQ126" s="747">
        <f>+AR126+AS126+AT126+AU126+AV126+AW126</f>
        <v>4241.5429999999997</v>
      </c>
      <c r="AR126" s="725">
        <f>+SegqtrSales!S90</f>
        <v>2947.1060000000002</v>
      </c>
      <c r="AS126" s="725">
        <f>+SegqtrSales!S266</f>
        <v>477.334</v>
      </c>
      <c r="AT126" s="725">
        <f>+SegqtrSales!S443</f>
        <v>481.13099999999997</v>
      </c>
      <c r="AU126" s="725">
        <f>+SegqtrSales!S620</f>
        <v>335.97199999999998</v>
      </c>
      <c r="AV126" s="725">
        <f>+SegqtrSales!S777</f>
        <v>0</v>
      </c>
      <c r="AW126" s="725">
        <f>SegqtrSales!$S$856</f>
        <v>0</v>
      </c>
      <c r="AX126" s="716">
        <v>3.5099188546172817</v>
      </c>
      <c r="AY126" s="716"/>
      <c r="AZ126" s="724">
        <f>SegqtrSales!F90</f>
        <v>5</v>
      </c>
      <c r="BA126" s="724">
        <f>SegqtrSales!F266</f>
        <v>5</v>
      </c>
      <c r="BB126" s="724">
        <f>SegqtrSales!F443</f>
        <v>11</v>
      </c>
      <c r="BC126" s="724">
        <f>SegqtrSales!F620</f>
        <v>5</v>
      </c>
      <c r="BD126" s="716"/>
      <c r="BE126" s="716"/>
      <c r="BF126" s="746"/>
      <c r="BG126" s="744">
        <f>+F126</f>
        <v>6</v>
      </c>
    </row>
    <row r="127" spans="1:59" hidden="1" outlineLevel="1">
      <c r="A127" s="487" t="str">
        <f>$A$43</f>
        <v>4Q</v>
      </c>
      <c r="B127" s="701" t="str">
        <f>$B$43</f>
        <v>Jan</v>
      </c>
      <c r="C127" s="487"/>
      <c r="D127" s="728">
        <f>(S127/S120-1)*100</f>
        <v>8.0667010578358891</v>
      </c>
      <c r="E127" s="487"/>
      <c r="F127" s="748">
        <f>'qtrP&amp;L'!$BT$13</f>
        <v>5</v>
      </c>
      <c r="G127" s="487"/>
      <c r="H127" s="728">
        <f>D127-F127</f>
        <v>3.0667010578358891</v>
      </c>
      <c r="I127" s="487"/>
      <c r="J127" s="727">
        <f>+Stores!CW148</f>
        <v>2466</v>
      </c>
      <c r="K127" s="735"/>
      <c r="L127" s="734">
        <f>AVERAGE(J127,J126)</f>
        <v>2468.5</v>
      </c>
      <c r="M127" s="487"/>
      <c r="N127" s="728">
        <f>(L127/L120-1)*100</f>
        <v>3.8930976430976427</v>
      </c>
      <c r="O127" s="702"/>
      <c r="P127" s="730">
        <f>H127/N127*100</f>
        <v>78.77277528019539</v>
      </c>
      <c r="Q127" s="499"/>
      <c r="R127" s="487"/>
      <c r="S127" s="731">
        <f>'qtrP&amp;L'!$BR$13</f>
        <v>5096.7790000000005</v>
      </c>
      <c r="T127" s="487"/>
      <c r="U127" s="732">
        <f>S127/L127</f>
        <v>2.064727162244278</v>
      </c>
      <c r="V127" s="487"/>
      <c r="W127" s="729">
        <f>(U127/U120-1)*100</f>
        <v>4.017209525387111</v>
      </c>
      <c r="X127" s="702"/>
      <c r="Y127" s="487"/>
      <c r="Z127" s="562">
        <f>+Stores!DB148</f>
        <v>73.699999999999989</v>
      </c>
      <c r="AA127" s="735"/>
      <c r="AB127" s="733">
        <f>AVERAGE(Z127,Z126)</f>
        <v>74.149999999999991</v>
      </c>
      <c r="AC127" s="487"/>
      <c r="AD127" s="728">
        <f>(AB127/AB120-1)*100</f>
        <v>5.603946584495989</v>
      </c>
      <c r="AE127" s="702"/>
      <c r="AF127" s="730">
        <f>+H127/AD127*100</f>
        <v>54.72395233602505</v>
      </c>
      <c r="AG127" s="499"/>
      <c r="AH127" s="487"/>
      <c r="AI127" s="731">
        <f>+S127</f>
        <v>5096.7790000000005</v>
      </c>
      <c r="AJ127" s="487"/>
      <c r="AK127" s="734">
        <f>AI127/AB127</f>
        <v>68.73606203641269</v>
      </c>
      <c r="AL127" s="487"/>
      <c r="AM127" s="729">
        <f>(AK127/AK120-1)*100</f>
        <v>2.3320667010956919</v>
      </c>
      <c r="AN127" s="702"/>
      <c r="AO127" s="702"/>
      <c r="AP127" s="725">
        <f>+S127-AQ127</f>
        <v>272.6260000000002</v>
      </c>
      <c r="AQ127" s="747">
        <f>+AR127+AS127+AT127+AU127+AV127+AW127</f>
        <v>4824.1530000000002</v>
      </c>
      <c r="AR127" s="725">
        <f>+SegqtrSales!S91</f>
        <v>3279.4740000000002</v>
      </c>
      <c r="AS127" s="725">
        <f>+SegqtrSales!S267</f>
        <v>494.11599999999999</v>
      </c>
      <c r="AT127" s="725">
        <f>+SegqtrSales!S444</f>
        <v>628.61099999999999</v>
      </c>
      <c r="AU127" s="725">
        <f>+SegqtrSales!S621</f>
        <v>421.952</v>
      </c>
      <c r="AV127" s="725">
        <f>+SegqtrSales!S778</f>
        <v>0</v>
      </c>
      <c r="AW127" s="725">
        <f>SegqtrSales!$S$857</f>
        <v>0</v>
      </c>
      <c r="AX127" s="716">
        <v>3.9254847991487196</v>
      </c>
      <c r="AY127" s="716"/>
      <c r="AZ127" s="724">
        <f>SegqtrSales!F91</f>
        <v>2</v>
      </c>
      <c r="BA127" s="724">
        <f>SegqtrSales!F267</f>
        <v>8</v>
      </c>
      <c r="BB127" s="724">
        <f>SegqtrSales!F444</f>
        <v>10</v>
      </c>
      <c r="BC127" s="724">
        <f>SegqtrSales!F621</f>
        <v>5</v>
      </c>
      <c r="BD127" s="716"/>
      <c r="BE127" s="716"/>
      <c r="BF127" s="746"/>
      <c r="BG127" s="744">
        <f>+F127</f>
        <v>5</v>
      </c>
    </row>
    <row r="128" spans="1:59" hidden="1" outlineLevel="1">
      <c r="A128" s="487"/>
      <c r="B128" s="701" t="str">
        <f>$B$44</f>
        <v>Year</v>
      </c>
      <c r="C128" s="487"/>
      <c r="D128" s="716">
        <f>(S128/S121-1)*100</f>
        <v>8.3865204336672328</v>
      </c>
      <c r="E128" s="487"/>
      <c r="F128" s="753">
        <f>F124*S124/$S128+F125*S125/$S128+F126*S126/$S128+F127*S127/$S128</f>
        <v>4.1395545911127014</v>
      </c>
      <c r="G128" s="487"/>
      <c r="H128" s="716">
        <f>D128-F128</f>
        <v>4.2469658425545314</v>
      </c>
      <c r="I128" s="487"/>
      <c r="J128" s="487"/>
      <c r="K128" s="487"/>
      <c r="L128" s="727">
        <f>AVERAGE(L124:L127)</f>
        <v>2417.375</v>
      </c>
      <c r="M128" s="487"/>
      <c r="N128" s="716">
        <f>(L128/L121-1)*100</f>
        <v>5.029055558572737</v>
      </c>
      <c r="O128" s="702"/>
      <c r="P128" s="719">
        <f>H128/N128*100</f>
        <v>84.448576737534282</v>
      </c>
      <c r="Q128" s="499"/>
      <c r="R128" s="487"/>
      <c r="S128" s="720">
        <f>SUM(S124:S127)</f>
        <v>17404.637000000002</v>
      </c>
      <c r="T128" s="487"/>
      <c r="U128" s="721">
        <f>SUM(U124:U127)</f>
        <v>7.1895825716417754</v>
      </c>
      <c r="V128" s="487"/>
      <c r="W128" s="740">
        <f>(U128/U121-1)*100</f>
        <v>3.2408119054772699</v>
      </c>
      <c r="X128" s="702"/>
      <c r="Y128" s="487"/>
      <c r="Z128" s="487"/>
      <c r="AA128" s="487"/>
      <c r="AB128" s="722">
        <f>AVERAGE(AB124:AB127)</f>
        <v>72.634375000000006</v>
      </c>
      <c r="AC128" s="487"/>
      <c r="AD128" s="716">
        <f>(AB128/AB121-1)*100</f>
        <v>6.9545063505050297</v>
      </c>
      <c r="AE128" s="702"/>
      <c r="AF128" s="719">
        <f>+H128/AD128*100</f>
        <v>61.067826075766263</v>
      </c>
      <c r="AG128" s="499"/>
      <c r="AH128" s="487"/>
      <c r="AI128" s="720">
        <f>SUM(AI124:AI127)</f>
        <v>17404.637000000002</v>
      </c>
      <c r="AJ128" s="487"/>
      <c r="AK128" s="723">
        <f>SUM(AK124:AK127)</f>
        <v>239.26360811162414</v>
      </c>
      <c r="AL128" s="487"/>
      <c r="AM128" s="740">
        <f>(AK128/AK121-1)*100</f>
        <v>1.3803283481908846</v>
      </c>
      <c r="AN128" s="702"/>
      <c r="AO128" s="702"/>
      <c r="AP128" s="725">
        <f>+S128-AQ128</f>
        <v>902.45100000000093</v>
      </c>
      <c r="AQ128" s="749">
        <f t="shared" ref="AQ128:AW128" si="7">SUM(AQ124:AQ127)</f>
        <v>16502.186000000002</v>
      </c>
      <c r="AR128" s="750">
        <f t="shared" si="7"/>
        <v>11531.785</v>
      </c>
      <c r="AS128" s="750">
        <f t="shared" si="7"/>
        <v>1740.796</v>
      </c>
      <c r="AT128" s="750">
        <f t="shared" si="7"/>
        <v>1864.502</v>
      </c>
      <c r="AU128" s="750">
        <f t="shared" si="7"/>
        <v>1365.1030000000001</v>
      </c>
      <c r="AV128" s="750">
        <f t="shared" si="7"/>
        <v>0</v>
      </c>
      <c r="AW128" s="750">
        <f t="shared" si="7"/>
        <v>0</v>
      </c>
      <c r="AX128" s="716">
        <v>2.0889264386412334</v>
      </c>
      <c r="AY128" s="716"/>
      <c r="AZ128" s="724">
        <f>SegqtrSales!F92</f>
        <v>2</v>
      </c>
      <c r="BA128" s="724">
        <f>SegqtrSales!F268</f>
        <v>5</v>
      </c>
      <c r="BB128" s="724">
        <f>SegqtrSales!F445</f>
        <v>9</v>
      </c>
      <c r="BC128" s="724">
        <f>SegqtrSales!F622</f>
        <v>4</v>
      </c>
      <c r="BD128" s="716"/>
      <c r="BE128" s="716"/>
      <c r="BF128" s="746"/>
      <c r="BG128" s="744">
        <f>+F128</f>
        <v>4.1395545911127014</v>
      </c>
    </row>
    <row r="129" spans="1:59" hidden="1" outlineLevel="1">
      <c r="A129" s="487"/>
      <c r="B129" s="701"/>
      <c r="C129" s="487"/>
      <c r="D129" s="716"/>
      <c r="E129" s="487"/>
      <c r="F129" s="753"/>
      <c r="G129" s="487"/>
      <c r="H129" s="716"/>
      <c r="I129" s="487"/>
      <c r="J129" s="487"/>
      <c r="K129" s="487"/>
      <c r="L129" s="727"/>
      <c r="M129" s="487"/>
      <c r="N129" s="716"/>
      <c r="O129" s="702"/>
      <c r="P129" s="719"/>
      <c r="Q129" s="499"/>
      <c r="R129" s="487"/>
      <c r="S129" s="720"/>
      <c r="T129" s="487"/>
      <c r="U129" s="721"/>
      <c r="V129" s="487"/>
      <c r="W129" s="740"/>
      <c r="X129" s="702"/>
      <c r="Y129" s="487"/>
      <c r="Z129" s="487"/>
      <c r="AA129" s="487"/>
      <c r="AB129" s="722"/>
      <c r="AC129" s="487"/>
      <c r="AD129" s="716"/>
      <c r="AE129" s="702"/>
      <c r="AF129" s="719"/>
      <c r="AG129" s="499"/>
      <c r="AH129" s="487"/>
      <c r="AI129" s="720"/>
      <c r="AJ129" s="487"/>
      <c r="AK129" s="723"/>
      <c r="AL129" s="487"/>
      <c r="AM129" s="740"/>
      <c r="AN129" s="702"/>
      <c r="AO129" s="702"/>
      <c r="AP129" s="725"/>
      <c r="AQ129" s="758"/>
      <c r="AR129" s="750"/>
      <c r="AS129" s="750"/>
      <c r="AT129" s="750"/>
      <c r="AU129" s="750"/>
      <c r="AV129" s="750"/>
      <c r="AW129" s="750"/>
      <c r="AX129" s="716"/>
      <c r="AY129" s="716"/>
      <c r="AZ129" s="724">
        <f>SegqtrSales!F93</f>
        <v>0</v>
      </c>
      <c r="BA129" s="724">
        <f>SegqtrSales!F269</f>
        <v>0</v>
      </c>
      <c r="BB129" s="724">
        <f>SegqtrSales!F446</f>
        <v>0</v>
      </c>
      <c r="BC129" s="724">
        <f>SegqtrSales!F623</f>
        <v>0</v>
      </c>
      <c r="BD129" s="716"/>
      <c r="BE129" s="716"/>
      <c r="BF129" s="746"/>
      <c r="BG129" s="744"/>
    </row>
    <row r="130" spans="1:59" hidden="1" outlineLevel="1">
      <c r="A130" s="715"/>
      <c r="B130" s="755">
        <f>+B123+1</f>
        <v>2007</v>
      </c>
      <c r="C130" s="487"/>
      <c r="D130" s="487"/>
      <c r="E130" s="702"/>
      <c r="F130" s="487"/>
      <c r="G130" s="702"/>
      <c r="H130" s="487"/>
      <c r="I130" s="702"/>
      <c r="J130" s="727"/>
      <c r="K130" s="487"/>
      <c r="L130" s="727"/>
      <c r="M130" s="487"/>
      <c r="N130" s="487"/>
      <c r="O130" s="702"/>
      <c r="P130" s="499"/>
      <c r="Q130" s="499"/>
      <c r="R130" s="487"/>
      <c r="S130" s="720"/>
      <c r="T130" s="487"/>
      <c r="U130" s="487"/>
      <c r="V130" s="487"/>
      <c r="W130" s="487"/>
      <c r="X130" s="702"/>
      <c r="Y130" s="487"/>
      <c r="Z130" s="487"/>
      <c r="AA130" s="487"/>
      <c r="AB130" s="487"/>
      <c r="AC130" s="487"/>
      <c r="AD130" s="487"/>
      <c r="AE130" s="702"/>
      <c r="AF130" s="499"/>
      <c r="AG130" s="499"/>
      <c r="AH130" s="487"/>
      <c r="AI130" s="487"/>
      <c r="AJ130" s="487"/>
      <c r="AK130" s="487"/>
      <c r="AL130" s="487"/>
      <c r="AM130" s="487"/>
      <c r="AN130" s="702"/>
      <c r="AO130" s="702"/>
      <c r="AP130" s="487"/>
      <c r="AQ130" s="487"/>
      <c r="AR130" s="487"/>
      <c r="AS130" s="487"/>
      <c r="AT130" s="487"/>
      <c r="AU130" s="487"/>
      <c r="AV130" s="487"/>
      <c r="AW130" s="487"/>
      <c r="AX130" s="487"/>
      <c r="AY130" s="487"/>
      <c r="AZ130" s="724">
        <f>SegqtrSales!F94</f>
        <v>0</v>
      </c>
      <c r="BA130" s="724">
        <f>SegqtrSales!F270</f>
        <v>0</v>
      </c>
      <c r="BB130" s="724">
        <f>SegqtrSales!F447</f>
        <v>0</v>
      </c>
      <c r="BC130" s="724">
        <f>SegqtrSales!F624</f>
        <v>0</v>
      </c>
      <c r="BD130" s="487"/>
      <c r="BE130" s="487"/>
      <c r="BF130" s="487"/>
      <c r="BG130" s="487"/>
    </row>
    <row r="131" spans="1:59" hidden="1" outlineLevel="1">
      <c r="A131" s="487" t="str">
        <f>$A$40</f>
        <v>1Q</v>
      </c>
      <c r="B131" s="701" t="str">
        <f>$B$40</f>
        <v>Apr</v>
      </c>
      <c r="C131" s="487"/>
      <c r="D131" s="716">
        <f>(S131/S124-1)*100</f>
        <v>6.1175236150748047</v>
      </c>
      <c r="E131" s="702" t="s">
        <v>190</v>
      </c>
      <c r="F131" s="744">
        <f>'qtrP&amp;L'!BX10</f>
        <v>2</v>
      </c>
      <c r="G131" s="702" t="s">
        <v>190</v>
      </c>
      <c r="H131" s="716">
        <f>D131-F131</f>
        <v>4.1175236150748047</v>
      </c>
      <c r="I131" s="702" t="s">
        <v>190</v>
      </c>
      <c r="J131" s="742">
        <f>Stores!$CW$152</f>
        <v>2491</v>
      </c>
      <c r="K131" s="735"/>
      <c r="L131" s="727">
        <f>AVERAGE(J131,J127)</f>
        <v>2478.5</v>
      </c>
      <c r="M131" s="487"/>
      <c r="N131" s="716">
        <f>(L131/L124-1)*100</f>
        <v>4.1167821886158418</v>
      </c>
      <c r="O131" s="702" t="s">
        <v>190</v>
      </c>
      <c r="P131" s="719">
        <f>H131/N131*100</f>
        <v>100.0180098539343</v>
      </c>
      <c r="Q131" s="499" t="s">
        <v>190</v>
      </c>
      <c r="R131" s="487"/>
      <c r="S131" s="720">
        <f>'qtrP&amp;L'!BV10</f>
        <v>4108.0810000000001</v>
      </c>
      <c r="T131" s="735"/>
      <c r="U131" s="721">
        <f>S131/L131</f>
        <v>1.6574867863627194</v>
      </c>
      <c r="V131" s="487"/>
      <c r="W131" s="740">
        <f>(U131/U124-1)*100</f>
        <v>1.9216320216605132</v>
      </c>
      <c r="X131" s="702" t="s">
        <v>190</v>
      </c>
      <c r="Y131" s="487"/>
      <c r="Z131" s="759">
        <f>+Stores!DB152</f>
        <v>74.499999999999986</v>
      </c>
      <c r="AA131" s="487"/>
      <c r="AB131" s="722">
        <f>AVERAGE(Z131,Z127)</f>
        <v>74.099999999999994</v>
      </c>
      <c r="AC131" s="487"/>
      <c r="AD131" s="716">
        <f>(AB131/AB124-1)*100</f>
        <v>4.164470216130689</v>
      </c>
      <c r="AE131" s="702" t="s">
        <v>190</v>
      </c>
      <c r="AF131" s="719">
        <f>+H131/AD131*100</f>
        <v>98.872687313885905</v>
      </c>
      <c r="AG131" s="499" t="s">
        <v>190</v>
      </c>
      <c r="AH131" s="487"/>
      <c r="AI131" s="720">
        <f>+S131</f>
        <v>4108.0810000000001</v>
      </c>
      <c r="AJ131" s="487"/>
      <c r="AK131" s="723">
        <f>AI131/AB131</f>
        <v>55.439689608636982</v>
      </c>
      <c r="AL131" s="487"/>
      <c r="AM131" s="740">
        <f>(AK131/AK124-1)*100</f>
        <v>1.8749707984802466</v>
      </c>
      <c r="AN131" s="702" t="s">
        <v>190</v>
      </c>
      <c r="AO131" s="702"/>
      <c r="AP131" s="725">
        <f>+S131-AQ131</f>
        <v>208.16499999999996</v>
      </c>
      <c r="AQ131" s="745">
        <f>+AR131+AS131+AT131+AU131+AV131+AW131</f>
        <v>3899.9160000000002</v>
      </c>
      <c r="AR131" s="725">
        <f>+SegqtrSales!S95</f>
        <v>2729.4949999999999</v>
      </c>
      <c r="AS131" s="725">
        <f>+SegqtrSales!S271</f>
        <v>394.64600000000002</v>
      </c>
      <c r="AT131" s="725">
        <f>+SegqtrSales!S448</f>
        <v>442.61900000000003</v>
      </c>
      <c r="AU131" s="725">
        <f>+SegqtrSales!S625</f>
        <v>333.15600000000001</v>
      </c>
      <c r="AV131" s="725">
        <f>+SegqtrSales!S782</f>
        <v>0</v>
      </c>
      <c r="AW131" s="725">
        <f>SegqtrSales!S861</f>
        <v>0</v>
      </c>
      <c r="AX131" s="716">
        <v>-3.0750309206018014</v>
      </c>
      <c r="AY131" s="716"/>
      <c r="AZ131" s="724">
        <f>SegqtrSales!F95</f>
        <v>0</v>
      </c>
      <c r="BA131" s="724">
        <f>SegqtrSales!F271</f>
        <v>3</v>
      </c>
      <c r="BB131" s="724">
        <f>SegqtrSales!F448</f>
        <v>8</v>
      </c>
      <c r="BC131" s="724">
        <f>SegqtrSales!F625</f>
        <v>3</v>
      </c>
      <c r="BD131" s="716"/>
      <c r="BE131" s="716"/>
      <c r="BF131" s="746"/>
      <c r="BG131" s="744">
        <f>+F131</f>
        <v>2</v>
      </c>
    </row>
    <row r="132" spans="1:59" hidden="1" outlineLevel="1">
      <c r="A132" s="487" t="str">
        <f>$A$41</f>
        <v>2Q</v>
      </c>
      <c r="B132" s="701" t="str">
        <f>$B$41</f>
        <v>Jul</v>
      </c>
      <c r="C132" s="487"/>
      <c r="D132" s="716">
        <f>(S132/S125-1)*100</f>
        <v>8.821117053712225</v>
      </c>
      <c r="E132" s="487"/>
      <c r="F132" s="744">
        <f>'qtrP&amp;L'!BX11</f>
        <v>5</v>
      </c>
      <c r="G132" s="487"/>
      <c r="H132" s="716">
        <f>D132-F132</f>
        <v>3.821117053712225</v>
      </c>
      <c r="I132" s="487"/>
      <c r="J132" s="742">
        <f>+Stores!CW153</f>
        <v>2496</v>
      </c>
      <c r="K132" s="487"/>
      <c r="L132" s="727">
        <f>AVERAGE(J132,J131)</f>
        <v>2493.5</v>
      </c>
      <c r="M132" s="487"/>
      <c r="N132" s="716">
        <f>(L132/L125-1)*100</f>
        <v>4.4397905759162359</v>
      </c>
      <c r="O132" s="702"/>
      <c r="P132" s="719">
        <f>H132/N132*100</f>
        <v>86.065254393754017</v>
      </c>
      <c r="Q132" s="499"/>
      <c r="R132" s="487"/>
      <c r="S132" s="725">
        <f>'qtrP&amp;L'!BV11</f>
        <v>4313.2979999999998</v>
      </c>
      <c r="T132" s="735"/>
      <c r="U132" s="726">
        <f>S132/L132</f>
        <v>1.7298167234810506</v>
      </c>
      <c r="V132" s="487"/>
      <c r="W132" s="740">
        <f>(U132/U125-1)*100</f>
        <v>4.1950739786396296</v>
      </c>
      <c r="X132" s="702"/>
      <c r="Y132" s="487"/>
      <c r="Z132" s="759">
        <f>+Stores!DB153</f>
        <v>74.599999999999994</v>
      </c>
      <c r="AA132" s="735"/>
      <c r="AB132" s="722">
        <f>AVERAGE(Z132,Z131)</f>
        <v>74.549999999999983</v>
      </c>
      <c r="AC132" s="487"/>
      <c r="AD132" s="716">
        <f>(AB132/AB125-1)*100</f>
        <v>3.6856745479832753</v>
      </c>
      <c r="AE132" s="702"/>
      <c r="AF132" s="719">
        <f>+H132/AD132*100</f>
        <v>103.6748362875138</v>
      </c>
      <c r="AG132" s="499"/>
      <c r="AH132" s="487"/>
      <c r="AI132" s="725">
        <f>+S132</f>
        <v>4313.2979999999998</v>
      </c>
      <c r="AJ132" s="487"/>
      <c r="AK132" s="727">
        <f>AI132/AB132</f>
        <v>57.85778672032194</v>
      </c>
      <c r="AL132" s="487"/>
      <c r="AM132" s="740">
        <f>(AK132/AK125-1)*100</f>
        <v>4.9528949183355042</v>
      </c>
      <c r="AN132" s="702"/>
      <c r="AO132" s="702"/>
      <c r="AP132" s="725">
        <f>+S132-AQ132</f>
        <v>219.76499999999987</v>
      </c>
      <c r="AQ132" s="747">
        <f>+AR132+AS132+AT132+AU132+AV132+AW132</f>
        <v>4093.5329999999999</v>
      </c>
      <c r="AR132" s="725">
        <f>+SegqtrSales!S96</f>
        <v>2815.636</v>
      </c>
      <c r="AS132" s="725">
        <f>+SegqtrSales!S272</f>
        <v>466.15800000000002</v>
      </c>
      <c r="AT132" s="725">
        <f>+SegqtrSales!S449</f>
        <v>484.48899999999998</v>
      </c>
      <c r="AU132" s="725">
        <f>+SegqtrSales!S626</f>
        <v>327.25</v>
      </c>
      <c r="AV132" s="725">
        <f>+SegqtrSales!S783</f>
        <v>0</v>
      </c>
      <c r="AW132" s="725">
        <f>SegqtrSales!S862</f>
        <v>0</v>
      </c>
      <c r="AX132" s="716">
        <v>2.8918765057496643</v>
      </c>
      <c r="AY132" s="716"/>
      <c r="AZ132" s="724">
        <f>SegqtrSales!F96</f>
        <v>3</v>
      </c>
      <c r="BA132" s="724">
        <f>SegqtrSales!F272</f>
        <v>7</v>
      </c>
      <c r="BB132" s="724">
        <f>SegqtrSales!F449</f>
        <v>7</v>
      </c>
      <c r="BC132" s="724">
        <f>SegqtrSales!F626</f>
        <v>5</v>
      </c>
      <c r="BD132" s="716"/>
      <c r="BE132" s="716"/>
      <c r="BF132" s="746"/>
      <c r="BG132" s="744">
        <f>+F132</f>
        <v>5</v>
      </c>
    </row>
    <row r="133" spans="1:59" hidden="1" outlineLevel="1">
      <c r="A133" s="487" t="str">
        <f>$A$42</f>
        <v>3Q</v>
      </c>
      <c r="B133" s="701" t="str">
        <f>$B$42</f>
        <v>Oct</v>
      </c>
      <c r="C133" s="487"/>
      <c r="D133" s="716">
        <f>(S133/S126-1)*100</f>
        <v>4.1533057765323456</v>
      </c>
      <c r="E133" s="487"/>
      <c r="F133" s="753">
        <f>'qtrP&amp;L'!BX12</f>
        <v>3</v>
      </c>
      <c r="G133" s="487"/>
      <c r="H133" s="716">
        <f>D133-F133</f>
        <v>1.1533057765323456</v>
      </c>
      <c r="I133" s="487"/>
      <c r="J133" s="742">
        <f>+Stores!CW154</f>
        <v>2565</v>
      </c>
      <c r="K133" s="735"/>
      <c r="L133" s="727">
        <f>AVERAGE(J133,J132)</f>
        <v>2530.5</v>
      </c>
      <c r="M133" s="487"/>
      <c r="N133" s="716">
        <f>(L133/L126-1)*100</f>
        <v>4.0073982737361291</v>
      </c>
      <c r="O133" s="702"/>
      <c r="P133" s="719">
        <f>H133/N133*100</f>
        <v>28.779414915930218</v>
      </c>
      <c r="Q133" s="499"/>
      <c r="R133" s="487"/>
      <c r="S133" s="725">
        <f>'qtrP&amp;L'!BV12</f>
        <v>4658.7179999999998</v>
      </c>
      <c r="T133" s="487"/>
      <c r="U133" s="726">
        <f>S133/L133</f>
        <v>1.841026674570243</v>
      </c>
      <c r="V133" s="487"/>
      <c r="W133" s="740">
        <f>(U133/U126-1)*100</f>
        <v>0.14028569622732689</v>
      </c>
      <c r="X133" s="702"/>
      <c r="Y133" s="487"/>
      <c r="Z133" s="759">
        <f>+Stores!DB154</f>
        <v>76.899999999999991</v>
      </c>
      <c r="AA133" s="735"/>
      <c r="AB133" s="722">
        <f>AVERAGE(Z133,Z132)</f>
        <v>75.75</v>
      </c>
      <c r="AC133" s="487"/>
      <c r="AD133" s="716">
        <f>(AB133/AB126-1)*100</f>
        <v>3.2719836400818103</v>
      </c>
      <c r="AE133" s="702"/>
      <c r="AF133" s="719">
        <f>+H133/AD133*100</f>
        <v>35.247907795269697</v>
      </c>
      <c r="AG133" s="499"/>
      <c r="AH133" s="487"/>
      <c r="AI133" s="725">
        <f>+S133</f>
        <v>4658.7179999999998</v>
      </c>
      <c r="AJ133" s="487"/>
      <c r="AK133" s="727">
        <f>AI133/AB133</f>
        <v>61.501227722772278</v>
      </c>
      <c r="AL133" s="487"/>
      <c r="AM133" s="740">
        <f>(AK133/AK126-1)*100</f>
        <v>0.8533990588600382</v>
      </c>
      <c r="AN133" s="702"/>
      <c r="AO133" s="702"/>
      <c r="AP133" s="725">
        <f>+S133-AQ133</f>
        <v>151.27400000000034</v>
      </c>
      <c r="AQ133" s="747">
        <f>+AR133+AS133+AT133+AU133+AV133+AW133</f>
        <v>4507.4439999999995</v>
      </c>
      <c r="AR133" s="725">
        <f>+SegqtrSales!S97</f>
        <v>3008.8420000000001</v>
      </c>
      <c r="AS133" s="725">
        <f>+SegqtrSales!S273</f>
        <v>558.90300000000002</v>
      </c>
      <c r="AT133" s="725">
        <f>+SegqtrSales!S450</f>
        <v>567.92399999999998</v>
      </c>
      <c r="AU133" s="725">
        <f>+SegqtrSales!S627</f>
        <v>371.77499999999998</v>
      </c>
      <c r="AV133" s="725">
        <f>+SegqtrSales!S784</f>
        <v>0</v>
      </c>
      <c r="AW133" s="725"/>
      <c r="AX133" s="716">
        <v>3.5099188546172817</v>
      </c>
      <c r="AY133" s="716"/>
      <c r="AZ133" s="724">
        <f>SegqtrSales!F97</f>
        <v>-1</v>
      </c>
      <c r="BA133" s="724">
        <f>SegqtrSales!F273</f>
        <v>5</v>
      </c>
      <c r="BB133" s="724">
        <f>SegqtrSales!F450</f>
        <v>6</v>
      </c>
      <c r="BC133" s="724">
        <f>SegqtrSales!F627</f>
        <v>4</v>
      </c>
      <c r="BD133" s="716"/>
      <c r="BE133" s="716"/>
      <c r="BF133" s="746"/>
      <c r="BG133" s="744">
        <f>+F133</f>
        <v>3</v>
      </c>
    </row>
    <row r="134" spans="1:59" hidden="1" outlineLevel="1">
      <c r="A134" s="487" t="str">
        <f>$A$43</f>
        <v>4Q</v>
      </c>
      <c r="B134" s="701" t="str">
        <f>$B$43</f>
        <v>Jan</v>
      </c>
      <c r="C134" s="487"/>
      <c r="D134" s="728">
        <f>(S134/S127-1)*100</f>
        <v>5.7898723880317249</v>
      </c>
      <c r="E134" s="487"/>
      <c r="F134" s="748">
        <f>'qtrP&amp;L'!BX13</f>
        <v>4</v>
      </c>
      <c r="G134" s="487"/>
      <c r="H134" s="728">
        <f>D134-F134</f>
        <v>1.7898723880317249</v>
      </c>
      <c r="I134" s="487"/>
      <c r="J134" s="742">
        <f>+Stores!CW155</f>
        <v>2563</v>
      </c>
      <c r="K134" s="735"/>
      <c r="L134" s="734">
        <f>AVERAGE(J134,J133)</f>
        <v>2564</v>
      </c>
      <c r="M134" s="487"/>
      <c r="N134" s="728">
        <f>(L134/L127-1)*100</f>
        <v>3.8687462021470553</v>
      </c>
      <c r="O134" s="702"/>
      <c r="P134" s="730">
        <f>H134/N134*100</f>
        <v>46.264921359751938</v>
      </c>
      <c r="Q134" s="499"/>
      <c r="R134" s="487"/>
      <c r="S134" s="731">
        <f>'qtrP&amp;L'!BV13</f>
        <v>5391.8760000000002</v>
      </c>
      <c r="T134" s="487"/>
      <c r="U134" s="732">
        <f>S134/L134</f>
        <v>2.1029157566302654</v>
      </c>
      <c r="V134" s="487"/>
      <c r="W134" s="729">
        <f>(U134/U127-1)*100</f>
        <v>1.8495709788831416</v>
      </c>
      <c r="X134" s="702"/>
      <c r="Y134" s="487"/>
      <c r="Z134" s="562">
        <f>+Stores!DB155</f>
        <v>76.240000000000009</v>
      </c>
      <c r="AA134" s="735"/>
      <c r="AB134" s="733">
        <f>AVERAGE(Z134,Z133)</f>
        <v>76.569999999999993</v>
      </c>
      <c r="AC134" s="487"/>
      <c r="AD134" s="728">
        <f>(AB134/AB127-1)*100</f>
        <v>3.2636547538772875</v>
      </c>
      <c r="AE134" s="702"/>
      <c r="AF134" s="730">
        <f>+H134/AD134*100</f>
        <v>54.842577509318978</v>
      </c>
      <c r="AG134" s="499"/>
      <c r="AH134" s="487"/>
      <c r="AI134" s="731">
        <f>+S134</f>
        <v>5391.8760000000002</v>
      </c>
      <c r="AJ134" s="487"/>
      <c r="AK134" s="734">
        <f>AI134/AB134</f>
        <v>70.417604806059828</v>
      </c>
      <c r="AL134" s="487"/>
      <c r="AM134" s="729">
        <f>(AK134/AK127-1)*100</f>
        <v>2.4463763559168461</v>
      </c>
      <c r="AN134" s="702"/>
      <c r="AO134" s="702"/>
      <c r="AP134" s="725">
        <f>+S134-AQ134</f>
        <v>188.70400000000063</v>
      </c>
      <c r="AQ134" s="747">
        <f>+AR134+AS134+AT134+AU134+AV134+AW134</f>
        <v>5203.1719999999996</v>
      </c>
      <c r="AR134" s="725">
        <f>+SegqtrSales!S98</f>
        <v>3412.6779999999999</v>
      </c>
      <c r="AS134" s="725">
        <f>+SegqtrSales!S274</f>
        <v>621.10699999999997</v>
      </c>
      <c r="AT134" s="725">
        <f>+SegqtrSales!S451</f>
        <v>721.18600000000004</v>
      </c>
      <c r="AU134" s="725">
        <f>+SegqtrSales!S628</f>
        <v>448.20100000000002</v>
      </c>
      <c r="AV134" s="725">
        <f>+SegqtrSales!S785</f>
        <v>0</v>
      </c>
      <c r="AW134" s="725">
        <f>SegqtrSales!S864</f>
        <v>0</v>
      </c>
      <c r="AX134" s="716">
        <v>3.9254847991487196</v>
      </c>
      <c r="AY134" s="716"/>
      <c r="AZ134" s="724">
        <f>SegqtrSales!F98</f>
        <v>1</v>
      </c>
      <c r="BA134" s="724">
        <f>SegqtrSales!F274</f>
        <v>5</v>
      </c>
      <c r="BB134" s="724">
        <f>SegqtrSales!F451</f>
        <v>5</v>
      </c>
      <c r="BC134" s="724">
        <f>SegqtrSales!F628</f>
        <v>0</v>
      </c>
      <c r="BD134" s="716"/>
      <c r="BE134" s="716"/>
      <c r="BF134" s="746"/>
      <c r="BG134" s="744">
        <f>+F134</f>
        <v>4</v>
      </c>
    </row>
    <row r="135" spans="1:59" hidden="1" outlineLevel="1">
      <c r="A135" s="487"/>
      <c r="B135" s="701" t="str">
        <f>$B$44</f>
        <v>Year</v>
      </c>
      <c r="C135" s="487"/>
      <c r="D135" s="716">
        <f>(S135/S128-1)*100</f>
        <v>6.1324806716738678</v>
      </c>
      <c r="E135" s="487"/>
      <c r="F135" s="753">
        <f>'qtrP&amp;L'!BX14</f>
        <v>2</v>
      </c>
      <c r="G135" s="487"/>
      <c r="H135" s="716">
        <f>D135-F135</f>
        <v>4.1324806716738678</v>
      </c>
      <c r="I135" s="487"/>
      <c r="J135" s="487"/>
      <c r="K135" s="487"/>
      <c r="L135" s="727">
        <f>AVERAGE(L131:L134)</f>
        <v>2516.625</v>
      </c>
      <c r="M135" s="487"/>
      <c r="N135" s="716">
        <f>(L135/L128-1)*100</f>
        <v>4.1056931589017021</v>
      </c>
      <c r="O135" s="702"/>
      <c r="P135" s="719">
        <f>H135/N135*100</f>
        <v>100.65244799685253</v>
      </c>
      <c r="Q135" s="499"/>
      <c r="R135" s="487"/>
      <c r="S135" s="720">
        <f>SUM(S131:S134)</f>
        <v>18471.973000000002</v>
      </c>
      <c r="T135" s="487"/>
      <c r="U135" s="721">
        <f>SUM(U131:U134)</f>
        <v>7.3312459410442781</v>
      </c>
      <c r="V135" s="487"/>
      <c r="W135" s="740">
        <f>(U135/U128-1)*100</f>
        <v>1.9703976968186154</v>
      </c>
      <c r="X135" s="702"/>
      <c r="Y135" s="487"/>
      <c r="Z135" s="487"/>
      <c r="AA135" s="487"/>
      <c r="AB135" s="722">
        <f>AVERAGE(AB131:AB134)</f>
        <v>75.242499999999993</v>
      </c>
      <c r="AC135" s="487"/>
      <c r="AD135" s="716">
        <f>(AB135/AB128-1)*100</f>
        <v>3.5907585079378634</v>
      </c>
      <c r="AE135" s="702"/>
      <c r="AF135" s="719">
        <f>+H135/AD135*100</f>
        <v>115.08656632125087</v>
      </c>
      <c r="AG135" s="499"/>
      <c r="AH135" s="487"/>
      <c r="AI135" s="720">
        <f>SUM(AI131:AI134)</f>
        <v>18471.973000000002</v>
      </c>
      <c r="AJ135" s="487"/>
      <c r="AK135" s="723">
        <f>SUM(AK131:AK134)</f>
        <v>245.21630885779103</v>
      </c>
      <c r="AL135" s="487"/>
      <c r="AM135" s="740">
        <f>(AK135/AK128-1)*100</f>
        <v>2.4879256787725845</v>
      </c>
      <c r="AN135" s="702"/>
      <c r="AO135" s="702"/>
      <c r="AP135" s="725">
        <f>+S135-AQ135</f>
        <v>767.90800000000309</v>
      </c>
      <c r="AQ135" s="749">
        <f t="shared" ref="AQ135:AW135" si="8">SUM(AQ131:AQ134)</f>
        <v>17704.064999999999</v>
      </c>
      <c r="AR135" s="750">
        <f t="shared" si="8"/>
        <v>11966.651</v>
      </c>
      <c r="AS135" s="750">
        <f t="shared" si="8"/>
        <v>2040.8140000000001</v>
      </c>
      <c r="AT135" s="750">
        <f t="shared" si="8"/>
        <v>2216.2179999999998</v>
      </c>
      <c r="AU135" s="750">
        <f t="shared" si="8"/>
        <v>1480.3820000000001</v>
      </c>
      <c r="AV135" s="750">
        <f t="shared" si="8"/>
        <v>0</v>
      </c>
      <c r="AW135" s="750">
        <f t="shared" si="8"/>
        <v>0</v>
      </c>
      <c r="AX135" s="716">
        <v>2.0889264386412334</v>
      </c>
      <c r="AY135" s="716"/>
      <c r="AZ135" s="724">
        <f>SegqtrSales!F99</f>
        <v>1</v>
      </c>
      <c r="BA135" s="724">
        <f>SegqtrSales!F275</f>
        <v>5</v>
      </c>
      <c r="BB135" s="724">
        <f>SegqtrSales!F452</f>
        <v>6</v>
      </c>
      <c r="BC135" s="724">
        <f>SegqtrSales!F629</f>
        <v>3</v>
      </c>
      <c r="BD135" s="716"/>
      <c r="BE135" s="716"/>
      <c r="BF135" s="746"/>
      <c r="BG135" s="744">
        <f>+F135</f>
        <v>2</v>
      </c>
    </row>
    <row r="136" spans="1:59" hidden="1" outlineLevel="1">
      <c r="A136" s="487"/>
      <c r="B136" s="701"/>
      <c r="C136" s="487"/>
      <c r="D136" s="487"/>
      <c r="E136" s="487"/>
      <c r="F136" s="487"/>
      <c r="G136" s="487"/>
      <c r="H136" s="487"/>
      <c r="I136" s="487"/>
      <c r="J136" s="487"/>
      <c r="K136" s="487"/>
      <c r="L136" s="487"/>
      <c r="M136" s="487"/>
      <c r="N136" s="487"/>
      <c r="O136" s="702"/>
      <c r="P136" s="487"/>
      <c r="Q136" s="487"/>
      <c r="R136" s="487"/>
      <c r="S136" s="720">
        <f>S134/13</f>
        <v>414.75969230769232</v>
      </c>
      <c r="T136" s="487"/>
      <c r="U136" s="487"/>
      <c r="V136" s="487"/>
      <c r="W136" s="487"/>
      <c r="X136" s="487"/>
      <c r="Y136" s="487"/>
      <c r="Z136" s="487"/>
      <c r="AA136" s="487"/>
      <c r="AB136" s="487"/>
      <c r="AC136" s="487"/>
      <c r="AD136" s="487"/>
      <c r="AE136" s="702"/>
      <c r="AF136" s="487"/>
      <c r="AG136" s="487"/>
      <c r="AH136" s="487"/>
      <c r="AI136" s="487"/>
      <c r="AJ136" s="487"/>
      <c r="AK136" s="487"/>
      <c r="AL136" s="487"/>
      <c r="AM136" s="487"/>
      <c r="AN136" s="487"/>
      <c r="AO136" s="487"/>
      <c r="AP136" s="487"/>
      <c r="AQ136" s="721">
        <f>AQ121-S121</f>
        <v>-939.44100000000071</v>
      </c>
      <c r="AR136" s="558">
        <f t="shared" ref="AR136:AW136" si="9">+AR142/$AQ142</f>
        <v>0.66933082467598382</v>
      </c>
      <c r="AS136" s="558">
        <f t="shared" si="9"/>
        <v>0.11692019897803797</v>
      </c>
      <c r="AT136" s="558">
        <f t="shared" si="9"/>
        <v>0.1213932252715644</v>
      </c>
      <c r="AU136" s="558">
        <f t="shared" si="9"/>
        <v>8.5454218131366097E-2</v>
      </c>
      <c r="AV136" s="558">
        <f t="shared" si="9"/>
        <v>0</v>
      </c>
      <c r="AW136" s="558">
        <f t="shared" si="9"/>
        <v>6.9015329430476132E-3</v>
      </c>
      <c r="AX136" s="487"/>
      <c r="AY136" s="487"/>
      <c r="AZ136" s="724">
        <f>SegqtrSales!F100</f>
        <v>0</v>
      </c>
      <c r="BA136" s="724">
        <f>SegqtrSales!F276</f>
        <v>0</v>
      </c>
      <c r="BB136" s="724">
        <f>SegqtrSales!F453</f>
        <v>0</v>
      </c>
      <c r="BC136" s="724">
        <f>SegqtrSales!F630</f>
        <v>0</v>
      </c>
      <c r="BD136" s="487"/>
      <c r="BE136" s="487"/>
      <c r="BF136" s="487"/>
      <c r="BG136" s="487"/>
    </row>
    <row r="137" spans="1:59" hidden="1" outlineLevel="1">
      <c r="A137" s="715"/>
      <c r="B137" s="755">
        <f>+B130+1</f>
        <v>2008</v>
      </c>
      <c r="C137" s="487"/>
      <c r="D137" s="487"/>
      <c r="E137" s="702"/>
      <c r="F137" s="487"/>
      <c r="G137" s="702"/>
      <c r="H137" s="487"/>
      <c r="I137" s="702"/>
      <c r="J137" s="727"/>
      <c r="K137" s="487"/>
      <c r="L137" s="727"/>
      <c r="M137" s="487"/>
      <c r="N137" s="487"/>
      <c r="O137" s="702"/>
      <c r="P137" s="499"/>
      <c r="Q137" s="499"/>
      <c r="R137" s="487"/>
      <c r="S137" s="720"/>
      <c r="T137" s="487"/>
      <c r="U137" s="487"/>
      <c r="V137" s="487"/>
      <c r="W137" s="487"/>
      <c r="X137" s="702"/>
      <c r="Y137" s="487"/>
      <c r="Z137" s="487"/>
      <c r="AA137" s="487"/>
      <c r="AB137" s="487"/>
      <c r="AC137" s="487"/>
      <c r="AD137" s="487"/>
      <c r="AE137" s="702"/>
      <c r="AF137" s="499"/>
      <c r="AG137" s="499"/>
      <c r="AH137" s="487"/>
      <c r="AI137" s="487"/>
      <c r="AJ137" s="487"/>
      <c r="AK137" s="487"/>
      <c r="AL137" s="487"/>
      <c r="AM137" s="487"/>
      <c r="AN137" s="702"/>
      <c r="AO137" s="702"/>
      <c r="AP137" s="487"/>
      <c r="AQ137" s="487"/>
      <c r="AR137" s="487"/>
      <c r="AS137" s="487"/>
      <c r="AT137" s="487"/>
      <c r="AU137" s="487"/>
      <c r="AV137" s="487"/>
      <c r="AW137" s="487"/>
      <c r="AX137" s="487"/>
      <c r="AY137" s="487"/>
      <c r="AZ137" s="724">
        <f>SegqtrSales!F101</f>
        <v>0</v>
      </c>
      <c r="BA137" s="724">
        <f>SegqtrSales!F277</f>
        <v>0</v>
      </c>
      <c r="BB137" s="724">
        <f>SegqtrSales!F454</f>
        <v>0</v>
      </c>
      <c r="BC137" s="724">
        <f>SegqtrSales!F631</f>
        <v>0</v>
      </c>
      <c r="BD137" s="487"/>
      <c r="BE137" s="487"/>
      <c r="BF137" s="487"/>
      <c r="BG137" s="487"/>
    </row>
    <row r="138" spans="1:59" hidden="1" outlineLevel="1">
      <c r="A138" s="487" t="str">
        <f>$A$40</f>
        <v>1Q</v>
      </c>
      <c r="B138" s="701" t="str">
        <f>$B$40</f>
        <v>Apr</v>
      </c>
      <c r="C138" s="487"/>
      <c r="D138" s="716">
        <f>(S138/S131-1)*100</f>
        <v>4.7582800825981764</v>
      </c>
      <c r="E138" s="702" t="s">
        <v>190</v>
      </c>
      <c r="F138" s="744">
        <f>'qtrP&amp;L'!CB10</f>
        <v>2</v>
      </c>
      <c r="G138" s="702" t="s">
        <v>190</v>
      </c>
      <c r="H138" s="716">
        <f>D138-F138</f>
        <v>2.7582800825981764</v>
      </c>
      <c r="I138" s="702" t="s">
        <v>190</v>
      </c>
      <c r="J138" s="742">
        <f>Stores!CW159</f>
        <v>2562</v>
      </c>
      <c r="K138" s="735"/>
      <c r="L138" s="727">
        <f>AVERAGE(J138,J134)</f>
        <v>2562.5</v>
      </c>
      <c r="M138" s="487"/>
      <c r="N138" s="716">
        <f>(L138/L131-1)*100</f>
        <v>3.389146661287068</v>
      </c>
      <c r="O138" s="702" t="s">
        <v>190</v>
      </c>
      <c r="P138" s="719">
        <f>H138/N138*100</f>
        <v>81.385680770471211</v>
      </c>
      <c r="Q138" s="499" t="s">
        <v>190</v>
      </c>
      <c r="R138" s="487"/>
      <c r="S138" s="720">
        <f>'qtrP&amp;L'!BZ10</f>
        <v>4303.5550000000003</v>
      </c>
      <c r="T138" s="735"/>
      <c r="U138" s="721">
        <f>S138/L138</f>
        <v>1.6794360975609757</v>
      </c>
      <c r="V138" s="487"/>
      <c r="W138" s="740">
        <f>(U138/U131-1)*100</f>
        <v>1.3242525598905708</v>
      </c>
      <c r="X138" s="702" t="s">
        <v>190</v>
      </c>
      <c r="Y138" s="487"/>
      <c r="Z138" s="759">
        <v>77.099999999999994</v>
      </c>
      <c r="AA138" s="487"/>
      <c r="AB138" s="722">
        <f>AVERAGE(Z138,Z134)</f>
        <v>76.67</v>
      </c>
      <c r="AC138" s="487"/>
      <c r="AD138" s="716">
        <f>(AB138/AB131-1)*100</f>
        <v>3.4682860998650478</v>
      </c>
      <c r="AE138" s="702" t="s">
        <v>190</v>
      </c>
      <c r="AF138" s="719">
        <f>+H138/AD138*100</f>
        <v>79.52862028035986</v>
      </c>
      <c r="AG138" s="499" t="s">
        <v>190</v>
      </c>
      <c r="AH138" s="487"/>
      <c r="AI138" s="720">
        <f>+S138</f>
        <v>4303.5550000000003</v>
      </c>
      <c r="AJ138" s="487"/>
      <c r="AK138" s="723">
        <f>AI138/AB138</f>
        <v>56.130885613668973</v>
      </c>
      <c r="AL138" s="487"/>
      <c r="AM138" s="740">
        <f>(AK138/AK131-1)*100</f>
        <v>1.2467530210059197</v>
      </c>
      <c r="AN138" s="702" t="s">
        <v>190</v>
      </c>
      <c r="AO138" s="702"/>
      <c r="AP138" s="725">
        <f>+S138-AQ138</f>
        <v>93.688000000001011</v>
      </c>
      <c r="AQ138" s="745">
        <f>+AR138+AS138+AT138+AU138+AV138+AW138</f>
        <v>4209.8669999999993</v>
      </c>
      <c r="AR138" s="725">
        <f>+SegqtrSales!S102</f>
        <v>2802.29</v>
      </c>
      <c r="AS138" s="725">
        <f>+SegqtrSales!S278</f>
        <v>488.38400000000001</v>
      </c>
      <c r="AT138" s="725">
        <f>+SegqtrSales!S455</f>
        <v>495.19400000000002</v>
      </c>
      <c r="AU138" s="725">
        <f>+SegqtrSales!S632</f>
        <v>363.42899999999997</v>
      </c>
      <c r="AV138" s="725">
        <f>+SegqtrSales!S789</f>
        <v>0</v>
      </c>
      <c r="AW138" s="725">
        <f>'SegP&amp;L'!AV137</f>
        <v>60.57</v>
      </c>
      <c r="AX138" s="716">
        <v>-3.0750309206018014</v>
      </c>
      <c r="AY138" s="716"/>
      <c r="AZ138" s="724">
        <f>SegqtrSales!F102</f>
        <v>1</v>
      </c>
      <c r="BA138" s="724">
        <f>SegqtrSales!F278</f>
        <v>4</v>
      </c>
      <c r="BB138" s="724">
        <f>SegqtrSales!F455</f>
        <v>5</v>
      </c>
      <c r="BC138" s="724">
        <f>SegqtrSales!F632</f>
        <v>2</v>
      </c>
      <c r="BD138" s="716"/>
      <c r="BE138" s="716"/>
      <c r="BF138" s="746"/>
      <c r="BG138" s="744">
        <f>+F138</f>
        <v>2</v>
      </c>
    </row>
    <row r="139" spans="1:59" hidden="1" outlineLevel="1">
      <c r="A139" s="487" t="str">
        <f>$A$41</f>
        <v>2Q</v>
      </c>
      <c r="B139" s="701" t="str">
        <f>$B$41</f>
        <v>Jul</v>
      </c>
      <c r="C139" s="487"/>
      <c r="D139" s="716">
        <f>(S139/S132-1)*100</f>
        <v>5.5896207495981232</v>
      </c>
      <c r="E139" s="487"/>
      <c r="F139" s="744">
        <f>'qtrP&amp;L'!CB11</f>
        <v>3</v>
      </c>
      <c r="G139" s="487"/>
      <c r="H139" s="716">
        <f>D139-F139</f>
        <v>2.5896207495981232</v>
      </c>
      <c r="I139" s="487"/>
      <c r="J139" s="742">
        <f>Stores!CW160</f>
        <v>2580</v>
      </c>
      <c r="K139" s="487"/>
      <c r="L139" s="727">
        <f>AVERAGE(J139,J138)</f>
        <v>2571</v>
      </c>
      <c r="M139" s="487"/>
      <c r="N139" s="716">
        <f>(L139/L132-1)*100</f>
        <v>3.108081010627628</v>
      </c>
      <c r="O139" s="702"/>
      <c r="P139" s="719">
        <f>H139/N139*100</f>
        <v>83.318959214489396</v>
      </c>
      <c r="Q139" s="499"/>
      <c r="R139" s="487"/>
      <c r="S139" s="725">
        <f>'qtrP&amp;L'!BZ11</f>
        <v>4554.3950000000004</v>
      </c>
      <c r="T139" s="735"/>
      <c r="U139" s="726">
        <f>S139/L139</f>
        <v>1.7714488525865424</v>
      </c>
      <c r="V139" s="487"/>
      <c r="W139" s="740">
        <f>(U139/U132-1)*100</f>
        <v>2.4067364212846831</v>
      </c>
      <c r="X139" s="702"/>
      <c r="Y139" s="487"/>
      <c r="Z139" s="562">
        <f>+Stores!DB160</f>
        <v>76.100000000000009</v>
      </c>
      <c r="AA139" s="735"/>
      <c r="AB139" s="722">
        <f>AVERAGE(Z139,Z138)</f>
        <v>76.599999999999994</v>
      </c>
      <c r="AC139" s="487"/>
      <c r="AD139" s="716">
        <f>(AB139/AB132-1)*100</f>
        <v>2.7498323272971303</v>
      </c>
      <c r="AE139" s="702"/>
      <c r="AF139" s="719">
        <f>+H139/AD139*100</f>
        <v>94.173769210994678</v>
      </c>
      <c r="AG139" s="499"/>
      <c r="AH139" s="487"/>
      <c r="AI139" s="725">
        <f>+S139</f>
        <v>4554.3950000000004</v>
      </c>
      <c r="AJ139" s="487"/>
      <c r="AK139" s="727">
        <f>AI139/AB139</f>
        <v>59.45685378590079</v>
      </c>
      <c r="AL139" s="487"/>
      <c r="AM139" s="740">
        <f>(AK139/AK132-1)*100</f>
        <v>2.7637888626963258</v>
      </c>
      <c r="AN139" s="702"/>
      <c r="AO139" s="702"/>
      <c r="AP139" s="725">
        <f>+S139-AQ139</f>
        <v>93.564000000000306</v>
      </c>
      <c r="AQ139" s="747">
        <f>+AR139+AS139+AT139+AU139+AV139+AW139</f>
        <v>4460.8310000000001</v>
      </c>
      <c r="AR139" s="725">
        <f>+SegqtrSales!S103</f>
        <v>2957.19</v>
      </c>
      <c r="AS139" s="725">
        <f>+SegqtrSales!S279</f>
        <v>538.69399999999996</v>
      </c>
      <c r="AT139" s="725">
        <f>+SegqtrSales!S456</f>
        <v>547.61699999999996</v>
      </c>
      <c r="AU139" s="725">
        <f>+SegqtrSales!S633</f>
        <v>350.43299999999999</v>
      </c>
      <c r="AV139" s="725">
        <f>+SegqtrSales!S790</f>
        <v>0</v>
      </c>
      <c r="AW139" s="725">
        <f>'SegP&amp;L'!AV138</f>
        <v>66.897000000000006</v>
      </c>
      <c r="AX139" s="716">
        <v>2.8918765057496643</v>
      </c>
      <c r="AY139" s="716"/>
      <c r="AZ139" s="724">
        <f>SegqtrSales!F103</f>
        <v>3</v>
      </c>
      <c r="BA139" s="724">
        <f>SegqtrSales!F279</f>
        <v>6</v>
      </c>
      <c r="BB139" s="724">
        <f>SegqtrSales!F456</f>
        <v>5</v>
      </c>
      <c r="BC139" s="724">
        <f>SegqtrSales!F633</f>
        <v>-1</v>
      </c>
      <c r="BD139" s="716"/>
      <c r="BE139" s="716"/>
      <c r="BF139" s="746"/>
      <c r="BG139" s="744">
        <f>+F139</f>
        <v>3</v>
      </c>
    </row>
    <row r="140" spans="1:59" hidden="1" outlineLevel="1">
      <c r="A140" s="487" t="str">
        <f>$A$42</f>
        <v>3Q</v>
      </c>
      <c r="B140" s="701" t="str">
        <f>$B$42</f>
        <v>Oct</v>
      </c>
      <c r="C140" s="487"/>
      <c r="D140" s="716">
        <f>(S140/S133-1)*100</f>
        <v>2.2068732213454512</v>
      </c>
      <c r="E140" s="487"/>
      <c r="F140" s="760">
        <f>'qtrP&amp;L'!CB12</f>
        <v>1</v>
      </c>
      <c r="G140" s="487"/>
      <c r="H140" s="716">
        <f>D140-F140</f>
        <v>1.2068732213454512</v>
      </c>
      <c r="I140" s="487"/>
      <c r="J140" s="742">
        <f>Stores!CW161</f>
        <v>2648</v>
      </c>
      <c r="K140" s="735"/>
      <c r="L140" s="727">
        <f>AVERAGE(J140,J139)</f>
        <v>2614</v>
      </c>
      <c r="M140" s="487"/>
      <c r="N140" s="716">
        <f>(L140/L133-1)*100</f>
        <v>3.2997431337680405</v>
      </c>
      <c r="O140" s="702"/>
      <c r="P140" s="719">
        <f>H140/N140*100</f>
        <v>36.574762713947955</v>
      </c>
      <c r="Q140" s="499"/>
      <c r="R140" s="487"/>
      <c r="S140" s="725">
        <f>'qtrP&amp;L'!BZ12</f>
        <v>4761.53</v>
      </c>
      <c r="T140" s="487"/>
      <c r="U140" s="726">
        <f>S140/L140</f>
        <v>1.8215493496557</v>
      </c>
      <c r="V140" s="487"/>
      <c r="W140" s="740">
        <f>(U140/U133-1)*100</f>
        <v>-1.0579599515628813</v>
      </c>
      <c r="X140" s="702"/>
      <c r="Y140" s="487"/>
      <c r="Z140" s="562">
        <f>+Stores!DB161</f>
        <v>77.999999999999986</v>
      </c>
      <c r="AA140" s="735"/>
      <c r="AB140" s="722">
        <f>AVERAGE(Z140,Z139)</f>
        <v>77.05</v>
      </c>
      <c r="AC140" s="487"/>
      <c r="AD140" s="716">
        <f>(AB140/AB133-1)*100</f>
        <v>1.7161716171617103</v>
      </c>
      <c r="AE140" s="702"/>
      <c r="AF140" s="719">
        <f>+H140/AD140*100</f>
        <v>70.323574243783256</v>
      </c>
      <c r="AG140" s="499"/>
      <c r="AH140" s="487"/>
      <c r="AI140" s="725">
        <f>+S140</f>
        <v>4761.53</v>
      </c>
      <c r="AJ140" s="487"/>
      <c r="AK140" s="727">
        <f>AI140/AB140</f>
        <v>61.797923426346529</v>
      </c>
      <c r="AL140" s="487"/>
      <c r="AM140" s="740">
        <f>(AK140/AK133-1)*100</f>
        <v>0.48242240774714062</v>
      </c>
      <c r="AN140" s="702"/>
      <c r="AO140" s="702"/>
      <c r="AP140" s="725">
        <f>+S140-AQ140</f>
        <v>163.71300000000065</v>
      </c>
      <c r="AQ140" s="747">
        <f>+AR140+AS140+AT140+AU140+AV140</f>
        <v>4597.8169999999991</v>
      </c>
      <c r="AR140" s="725">
        <f>+SegqtrSales!S104</f>
        <v>3058.2069999999999</v>
      </c>
      <c r="AS140" s="725">
        <f>+SegqtrSales!S280</f>
        <v>576.971</v>
      </c>
      <c r="AT140" s="725">
        <f>+SegqtrSales!S457</f>
        <v>579.77499999999998</v>
      </c>
      <c r="AU140" s="725">
        <f>+SegqtrSales!S634</f>
        <v>382.86399999999998</v>
      </c>
      <c r="AV140" s="725">
        <f>+SegqtrSales!S791</f>
        <v>0</v>
      </c>
      <c r="AW140" s="725"/>
      <c r="AX140" s="716">
        <v>3.5099188546172817</v>
      </c>
      <c r="AY140" s="716"/>
      <c r="AZ140" s="724">
        <f>SegqtrSales!F104</f>
        <v>0</v>
      </c>
      <c r="BA140" s="724">
        <f>SegqtrSales!F280</f>
        <v>5</v>
      </c>
      <c r="BB140" s="724">
        <f>SegqtrSales!F457</f>
        <v>4</v>
      </c>
      <c r="BC140" s="724">
        <f>SegqtrSales!F634</f>
        <v>-5</v>
      </c>
      <c r="BD140" s="716"/>
      <c r="BE140" s="716"/>
      <c r="BF140" s="746"/>
      <c r="BG140" s="744">
        <f>+F140</f>
        <v>1</v>
      </c>
    </row>
    <row r="141" spans="1:59" hidden="1" outlineLevel="1">
      <c r="A141" s="487" t="str">
        <f>$A$43</f>
        <v>4Q</v>
      </c>
      <c r="B141" s="701" t="str">
        <f>$B$43</f>
        <v>Jan</v>
      </c>
      <c r="C141" s="487"/>
      <c r="D141" s="728">
        <f>(S141/S134-1)*100</f>
        <v>-0.2197936302689607</v>
      </c>
      <c r="E141" s="487"/>
      <c r="F141" s="761">
        <f>'qtrP&amp;L'!CB13</f>
        <v>-2</v>
      </c>
      <c r="G141" s="487"/>
      <c r="H141" s="728">
        <f>D141-F141</f>
        <v>1.7802063697310393</v>
      </c>
      <c r="I141" s="487"/>
      <c r="J141" s="742">
        <f>Stores!CW162</f>
        <v>2652</v>
      </c>
      <c r="K141" s="735"/>
      <c r="L141" s="734">
        <f>AVERAGE(J141,J140)</f>
        <v>2650</v>
      </c>
      <c r="M141" s="487"/>
      <c r="N141" s="728">
        <f>(L141/L134-1)*100</f>
        <v>3.3541341653666068</v>
      </c>
      <c r="O141" s="702"/>
      <c r="P141" s="730">
        <f>H141/N141*100</f>
        <v>53.074989906865063</v>
      </c>
      <c r="Q141" s="499"/>
      <c r="R141" s="487"/>
      <c r="S141" s="731">
        <f>'qtrP&amp;L'!BZ13</f>
        <v>5380.0249999999996</v>
      </c>
      <c r="T141" s="487"/>
      <c r="U141" s="732">
        <f>S141/L141</f>
        <v>2.0301981132075468</v>
      </c>
      <c r="V141" s="487"/>
      <c r="W141" s="729">
        <f>(U141/U134-1)*100</f>
        <v>-3.4579437237772237</v>
      </c>
      <c r="X141" s="702"/>
      <c r="Y141" s="487"/>
      <c r="Z141" s="562">
        <f>+Stores!DB162</f>
        <v>78</v>
      </c>
      <c r="AA141" s="735"/>
      <c r="AB141" s="733">
        <f>AVERAGE(Z141,Z140)</f>
        <v>78</v>
      </c>
      <c r="AC141" s="487"/>
      <c r="AD141" s="728">
        <f>(AB141/AB134-1)*100</f>
        <v>1.8675721561969505</v>
      </c>
      <c r="AE141" s="702"/>
      <c r="AF141" s="730">
        <f>+H141/AD141*100</f>
        <v>95.321959251961687</v>
      </c>
      <c r="AG141" s="499"/>
      <c r="AH141" s="487"/>
      <c r="AI141" s="731">
        <f>+S141</f>
        <v>5380.0249999999996</v>
      </c>
      <c r="AJ141" s="487"/>
      <c r="AK141" s="734">
        <f>AI141/AB141</f>
        <v>68.974679487179486</v>
      </c>
      <c r="AL141" s="487"/>
      <c r="AM141" s="729">
        <f>(AK141/AK134-1)*100</f>
        <v>-2.0490974137140294</v>
      </c>
      <c r="AN141" s="702"/>
      <c r="AO141" s="702"/>
      <c r="AP141" s="725">
        <f>+S141-AQ141</f>
        <v>179.16499999999996</v>
      </c>
      <c r="AQ141" s="747">
        <f>+AR141+AS141+AT141+AU141+AV141</f>
        <v>5200.8599999999997</v>
      </c>
      <c r="AR141" s="725">
        <f>+SegqtrSales!S105</f>
        <v>3544.4349999999999</v>
      </c>
      <c r="AS141" s="725">
        <f>+SegqtrSales!S281</f>
        <v>555.39400000000001</v>
      </c>
      <c r="AT141" s="725">
        <f>+SegqtrSales!S458</f>
        <v>619.471</v>
      </c>
      <c r="AU141" s="725">
        <f>+SegqtrSales!S635</f>
        <v>481.56</v>
      </c>
      <c r="AV141" s="725">
        <f>+SegqtrSales!S792</f>
        <v>0</v>
      </c>
      <c r="AW141" s="725"/>
      <c r="AX141" s="716">
        <v>3.9254847991487196</v>
      </c>
      <c r="AY141" s="716"/>
      <c r="AZ141" s="724">
        <f>SegqtrSales!F105</f>
        <v>-3</v>
      </c>
      <c r="BA141" s="724">
        <f>SegqtrSales!F281</f>
        <v>-1</v>
      </c>
      <c r="BB141" s="724">
        <f>SegqtrSales!F458</f>
        <v>3</v>
      </c>
      <c r="BC141" s="724">
        <f>SegqtrSales!F635</f>
        <v>-7</v>
      </c>
      <c r="BD141" s="716"/>
      <c r="BE141" s="716"/>
      <c r="BF141" s="746"/>
      <c r="BG141" s="744">
        <f>+F141</f>
        <v>-2</v>
      </c>
    </row>
    <row r="142" spans="1:59" hidden="1" outlineLevel="1">
      <c r="A142" s="487"/>
      <c r="B142" s="701" t="str">
        <f>$B$44</f>
        <v>Year</v>
      </c>
      <c r="C142" s="487"/>
      <c r="D142" s="716">
        <f>(S142/S135-1)*100</f>
        <v>2.8558508611938427</v>
      </c>
      <c r="E142" s="487"/>
      <c r="F142" s="753">
        <f>'qtrP&amp;L'!CB14</f>
        <v>1</v>
      </c>
      <c r="G142" s="487"/>
      <c r="H142" s="716">
        <f>D142-F142</f>
        <v>1.8558508611938427</v>
      </c>
      <c r="I142" s="487"/>
      <c r="J142" s="487"/>
      <c r="K142" s="487"/>
      <c r="L142" s="727">
        <f>AVERAGE(L138:L141)</f>
        <v>2599.375</v>
      </c>
      <c r="M142" s="487"/>
      <c r="N142" s="716">
        <f>(L142/L135-1)*100</f>
        <v>3.2881339095018225</v>
      </c>
      <c r="O142" s="702"/>
      <c r="P142" s="719">
        <f>H142/N142*100</f>
        <v>56.440854061050651</v>
      </c>
      <c r="Q142" s="499"/>
      <c r="R142" s="487"/>
      <c r="S142" s="720">
        <f>SUM(S138:S141)</f>
        <v>18999.504999999997</v>
      </c>
      <c r="T142" s="487"/>
      <c r="U142" s="721">
        <f>SUM(U138:U141)</f>
        <v>7.3026324130107652</v>
      </c>
      <c r="V142" s="487"/>
      <c r="W142" s="740">
        <f>(U142/U135-1)*100</f>
        <v>-0.39029556863341419</v>
      </c>
      <c r="X142" s="702"/>
      <c r="Y142" s="487"/>
      <c r="Z142" s="487"/>
      <c r="AA142" s="487"/>
      <c r="AB142" s="722">
        <f>AVERAGE(AB138:AB141)</f>
        <v>77.08</v>
      </c>
      <c r="AC142" s="487"/>
      <c r="AD142" s="716">
        <f>(AB142/AB135-1)*100</f>
        <v>2.4421038641725179</v>
      </c>
      <c r="AE142" s="702"/>
      <c r="AF142" s="719">
        <f>+H142/AD142*100</f>
        <v>75.993936556939971</v>
      </c>
      <c r="AG142" s="499"/>
      <c r="AH142" s="487"/>
      <c r="AI142" s="720">
        <f>SUM(AI138:AI141)</f>
        <v>18999.504999999997</v>
      </c>
      <c r="AJ142" s="487"/>
      <c r="AK142" s="723">
        <f>SUM(AK138:AK141)</f>
        <v>246.36034231309577</v>
      </c>
      <c r="AL142" s="487"/>
      <c r="AM142" s="740">
        <f>(AK142/AK135-1)*100</f>
        <v>0.46654052523407152</v>
      </c>
      <c r="AN142" s="702"/>
      <c r="AO142" s="702"/>
      <c r="AP142" s="725">
        <f>+S142-AQ142</f>
        <v>530.12999999999738</v>
      </c>
      <c r="AQ142" s="749">
        <f t="shared" ref="AQ142:AW142" si="10">SUM(AQ138:AQ141)</f>
        <v>18469.375</v>
      </c>
      <c r="AR142" s="750">
        <f t="shared" si="10"/>
        <v>12362.121999999999</v>
      </c>
      <c r="AS142" s="750">
        <f t="shared" si="10"/>
        <v>2159.4430000000002</v>
      </c>
      <c r="AT142" s="750">
        <f t="shared" si="10"/>
        <v>2242.0569999999998</v>
      </c>
      <c r="AU142" s="750">
        <f t="shared" si="10"/>
        <v>1578.2859999999998</v>
      </c>
      <c r="AV142" s="750">
        <f t="shared" si="10"/>
        <v>0</v>
      </c>
      <c r="AW142" s="750">
        <f t="shared" si="10"/>
        <v>127.46700000000001</v>
      </c>
      <c r="AX142" s="716">
        <v>2.0889264386412334</v>
      </c>
      <c r="AY142" s="716"/>
      <c r="AZ142" s="724">
        <f>SegqtrSales!F106</f>
        <v>0</v>
      </c>
      <c r="BA142" s="724">
        <f>SegqtrSales!F282</f>
        <v>3</v>
      </c>
      <c r="BB142" s="724">
        <f>SegqtrSales!F459</f>
        <v>4</v>
      </c>
      <c r="BC142" s="724">
        <f>SegqtrSales!F636</f>
        <v>-3</v>
      </c>
      <c r="BD142" s="716"/>
      <c r="BE142" s="716"/>
      <c r="BF142" s="746"/>
      <c r="BG142" s="744">
        <f>+F142</f>
        <v>1</v>
      </c>
    </row>
    <row r="143" spans="1:59" hidden="1" outlineLevel="1">
      <c r="A143" s="487"/>
      <c r="B143" s="701"/>
      <c r="C143" s="487"/>
      <c r="D143" s="716"/>
      <c r="E143" s="487"/>
      <c r="F143" s="753"/>
      <c r="G143" s="487"/>
      <c r="H143" s="716"/>
      <c r="I143" s="487"/>
      <c r="J143" s="487"/>
      <c r="K143" s="487"/>
      <c r="L143" s="727"/>
      <c r="M143" s="487"/>
      <c r="N143" s="716"/>
      <c r="O143" s="702"/>
      <c r="P143" s="719"/>
      <c r="Q143" s="499"/>
      <c r="R143" s="487"/>
      <c r="S143" s="720"/>
      <c r="T143" s="487"/>
      <c r="U143" s="721"/>
      <c r="V143" s="487"/>
      <c r="W143" s="740"/>
      <c r="X143" s="702"/>
      <c r="Y143" s="487"/>
      <c r="Z143" s="754"/>
      <c r="AA143" s="487"/>
      <c r="AB143" s="722"/>
      <c r="AC143" s="487"/>
      <c r="AD143" s="716"/>
      <c r="AE143" s="702"/>
      <c r="AF143" s="719"/>
      <c r="AG143" s="499"/>
      <c r="AH143" s="487"/>
      <c r="AI143" s="720"/>
      <c r="AJ143" s="487"/>
      <c r="AK143" s="723"/>
      <c r="AL143" s="487"/>
      <c r="AM143" s="740"/>
      <c r="AN143" s="702"/>
      <c r="AO143" s="702"/>
      <c r="AP143" s="725"/>
      <c r="AQ143" s="762">
        <f>AQ142-AW138-AW139</f>
        <v>18341.907999999999</v>
      </c>
      <c r="AR143" s="750"/>
      <c r="AS143" s="750"/>
      <c r="AT143" s="750"/>
      <c r="AU143" s="750"/>
      <c r="AV143" s="750"/>
      <c r="AW143" s="750"/>
      <c r="AX143" s="716"/>
      <c r="AY143" s="716"/>
      <c r="AZ143" s="724">
        <f>SegqtrSales!F107</f>
        <v>0</v>
      </c>
      <c r="BA143" s="724">
        <f>SegqtrSales!F283</f>
        <v>0</v>
      </c>
      <c r="BB143" s="724">
        <f>SegqtrSales!F460</f>
        <v>0</v>
      </c>
      <c r="BC143" s="724">
        <f>SegqtrSales!F637</f>
        <v>0</v>
      </c>
      <c r="BD143" s="716"/>
      <c r="BE143" s="716"/>
      <c r="BF143" s="746"/>
      <c r="BG143" s="744"/>
    </row>
    <row r="144" spans="1:59" hidden="1" outlineLevel="1">
      <c r="A144" s="715"/>
      <c r="B144" s="755">
        <f>+B137+1</f>
        <v>2009</v>
      </c>
      <c r="C144" s="487"/>
      <c r="D144" s="487" t="s">
        <v>511</v>
      </c>
      <c r="E144" s="702"/>
      <c r="F144" s="487"/>
      <c r="G144" s="702"/>
      <c r="H144" s="487"/>
      <c r="I144" s="702"/>
      <c r="J144" s="727"/>
      <c r="K144" s="487"/>
      <c r="L144" s="727"/>
      <c r="M144" s="487"/>
      <c r="N144" s="487"/>
      <c r="O144" s="702"/>
      <c r="P144" s="499"/>
      <c r="Q144" s="499"/>
      <c r="R144" s="487"/>
      <c r="S144" s="720"/>
      <c r="T144" s="487"/>
      <c r="U144" s="487"/>
      <c r="V144" s="487"/>
      <c r="W144" s="487"/>
      <c r="X144" s="702"/>
      <c r="Y144" s="487"/>
      <c r="Z144" s="487"/>
      <c r="AA144" s="487"/>
      <c r="AB144" s="487"/>
      <c r="AC144" s="487"/>
      <c r="AD144" s="487"/>
      <c r="AE144" s="702"/>
      <c r="AF144" s="499"/>
      <c r="AG144" s="499"/>
      <c r="AH144" s="487"/>
      <c r="AI144" s="487"/>
      <c r="AJ144" s="487"/>
      <c r="AK144" s="487"/>
      <c r="AL144" s="487"/>
      <c r="AM144" s="487"/>
      <c r="AN144" s="702"/>
      <c r="AO144" s="702"/>
      <c r="AP144" s="487"/>
      <c r="AQ144" s="487"/>
      <c r="AR144" s="487"/>
      <c r="AS144" s="487"/>
      <c r="AT144" s="487"/>
      <c r="AU144" s="487"/>
      <c r="AV144" s="487"/>
      <c r="AW144" s="487"/>
      <c r="AX144" s="487"/>
      <c r="AY144" s="487"/>
      <c r="AZ144" s="724">
        <f>SegqtrSales!F108</f>
        <v>0</v>
      </c>
      <c r="BA144" s="724">
        <f>SegqtrSales!F284</f>
        <v>0</v>
      </c>
      <c r="BB144" s="724">
        <f>SegqtrSales!F461</f>
        <v>0</v>
      </c>
      <c r="BC144" s="724">
        <f>SegqtrSales!F638</f>
        <v>0</v>
      </c>
      <c r="BD144" s="487"/>
      <c r="BE144" s="487"/>
      <c r="BF144" s="487"/>
      <c r="BG144" s="487"/>
    </row>
    <row r="145" spans="1:59" hidden="1" outlineLevel="1">
      <c r="A145" s="487" t="str">
        <f>$A$40</f>
        <v>1Q</v>
      </c>
      <c r="B145" s="701" t="str">
        <f>$B$40</f>
        <v>Apr</v>
      </c>
      <c r="C145" s="487"/>
      <c r="D145" s="716">
        <f>(S145/S138-1)*100</f>
        <v>1.1773754489021293</v>
      </c>
      <c r="E145" s="702" t="s">
        <v>190</v>
      </c>
      <c r="F145" s="744">
        <f>'qtrP&amp;L'!CF10</f>
        <v>2</v>
      </c>
      <c r="G145" s="702" t="s">
        <v>190</v>
      </c>
      <c r="H145" s="716">
        <f>D145-F145</f>
        <v>-0.82262455109787069</v>
      </c>
      <c r="I145" s="702" t="s">
        <v>190</v>
      </c>
      <c r="J145" s="742">
        <f>Stores!CW166</f>
        <v>2680</v>
      </c>
      <c r="K145" s="735"/>
      <c r="L145" s="727">
        <f>AVERAGE(J145,J141)</f>
        <v>2666</v>
      </c>
      <c r="M145" s="487"/>
      <c r="N145" s="716">
        <f>(L145/L138-1)*100</f>
        <v>4.039024390243906</v>
      </c>
      <c r="O145" s="702" t="s">
        <v>190</v>
      </c>
      <c r="P145" s="719">
        <f>H145/N145*100</f>
        <v>-20.36691219505596</v>
      </c>
      <c r="Q145" s="499" t="s">
        <v>190</v>
      </c>
      <c r="R145" s="487"/>
      <c r="S145" s="720">
        <f>'qtrP&amp;L'!CD10</f>
        <v>4354.2240000000002</v>
      </c>
      <c r="T145" s="735"/>
      <c r="U145" s="721">
        <f>S145/L145</f>
        <v>1.6332423105776446</v>
      </c>
      <c r="V145" s="487"/>
      <c r="W145" s="740">
        <f>(U145/U138-1)*100</f>
        <v>-2.7505534179250835</v>
      </c>
      <c r="X145" s="702" t="s">
        <v>190</v>
      </c>
      <c r="Y145" s="487"/>
      <c r="Z145" s="562">
        <f>Stores!$DB$166</f>
        <v>78.8</v>
      </c>
      <c r="AA145" s="487"/>
      <c r="AB145" s="722">
        <f>AVERAGE(Z145,Z141)</f>
        <v>78.400000000000006</v>
      </c>
      <c r="AC145" s="487"/>
      <c r="AD145" s="716">
        <f>(AB145/AB138-1)*100</f>
        <v>2.2564236337550669</v>
      </c>
      <c r="AE145" s="702" t="s">
        <v>190</v>
      </c>
      <c r="AF145" s="719">
        <f>+H145/AD145*100</f>
        <v>-36.457008284782304</v>
      </c>
      <c r="AG145" s="499" t="s">
        <v>190</v>
      </c>
      <c r="AH145" s="487"/>
      <c r="AI145" s="720">
        <f>+S145</f>
        <v>4354.2240000000002</v>
      </c>
      <c r="AJ145" s="487"/>
      <c r="AK145" s="723">
        <f>AI145/AB145</f>
        <v>55.53857142857143</v>
      </c>
      <c r="AL145" s="487"/>
      <c r="AM145" s="740">
        <f>(AK145/AK138-1)*100</f>
        <v>-1.0552375552636994</v>
      </c>
      <c r="AN145" s="702" t="s">
        <v>190</v>
      </c>
      <c r="AO145" s="702"/>
      <c r="AP145" s="725">
        <f>+S145-AQ145</f>
        <v>179.39400000000023</v>
      </c>
      <c r="AQ145" s="745">
        <f>+AR145+AS145+AT145+AU145+AV145</f>
        <v>4174.83</v>
      </c>
      <c r="AR145" s="725">
        <f>SegqtrSales!S109</f>
        <v>2938.3090000000002</v>
      </c>
      <c r="AS145" s="725">
        <f>SegqtrSales!S285</f>
        <v>424.09199999999998</v>
      </c>
      <c r="AT145" s="725">
        <f>SegqtrSales!S462</f>
        <v>420.53399999999999</v>
      </c>
      <c r="AU145" s="725">
        <f>SegqtrSales!S639</f>
        <v>391.89499999999998</v>
      </c>
      <c r="AV145" s="725">
        <f>SegqtrSales!S796</f>
        <v>0</v>
      </c>
      <c r="AW145" s="725"/>
      <c r="AX145" s="716"/>
      <c r="AY145" s="716"/>
      <c r="AZ145" s="724">
        <f>SegqtrSales!F109</f>
        <v>1</v>
      </c>
      <c r="BA145" s="724">
        <f>SegqtrSales!F285</f>
        <v>0</v>
      </c>
      <c r="BB145" s="724">
        <f>SegqtrSales!F462</f>
        <v>6</v>
      </c>
      <c r="BC145" s="724">
        <f>SegqtrSales!F639</f>
        <v>-1</v>
      </c>
      <c r="BD145" s="716"/>
      <c r="BE145" s="716"/>
      <c r="BF145" s="746"/>
      <c r="BG145" s="744"/>
    </row>
    <row r="146" spans="1:59" hidden="1" outlineLevel="1">
      <c r="A146" s="487" t="str">
        <f>$A$41</f>
        <v>2Q</v>
      </c>
      <c r="B146" s="701" t="str">
        <f>$B$41</f>
        <v>Jul</v>
      </c>
      <c r="C146" s="487"/>
      <c r="D146" s="716">
        <f>(S146/S139-1)*100</f>
        <v>4.2405851929839145</v>
      </c>
      <c r="E146" s="487"/>
      <c r="F146" s="744">
        <f>'qtrP&amp;L'!CF11</f>
        <v>4</v>
      </c>
      <c r="G146" s="487"/>
      <c r="H146" s="716">
        <f>D146-F146</f>
        <v>0.24058519298391445</v>
      </c>
      <c r="I146" s="487"/>
      <c r="J146" s="742">
        <f>Stores!CW167</f>
        <v>2690</v>
      </c>
      <c r="K146" s="487"/>
      <c r="L146" s="727">
        <f>AVERAGE(J146,J145)</f>
        <v>2685</v>
      </c>
      <c r="M146" s="487"/>
      <c r="N146" s="716">
        <f>(L146/L139-1)*100</f>
        <v>4.4340723453909048</v>
      </c>
      <c r="O146" s="702"/>
      <c r="P146" s="719">
        <f>H146/N146*100</f>
        <v>5.4258292207161682</v>
      </c>
      <c r="Q146" s="499"/>
      <c r="R146" s="487"/>
      <c r="S146" s="725">
        <f>'qtrP&amp;L'!CD11</f>
        <v>4747.5280000000002</v>
      </c>
      <c r="T146" s="735"/>
      <c r="U146" s="726">
        <f>S146/L146</f>
        <v>1.7681668528864061</v>
      </c>
      <c r="V146" s="487"/>
      <c r="W146" s="740">
        <f>(U146/U139-1)*100</f>
        <v>-0.18527205543328318</v>
      </c>
      <c r="X146" s="702"/>
      <c r="Y146" s="487"/>
      <c r="Z146" s="562">
        <f>+Stores!DB167</f>
        <v>79.2</v>
      </c>
      <c r="AA146" s="735"/>
      <c r="AB146" s="722">
        <f>AVERAGE(Z146,Z145)</f>
        <v>79</v>
      </c>
      <c r="AC146" s="487"/>
      <c r="AD146" s="716">
        <f>(AB146/AB139-1)*100</f>
        <v>3.1331592689295196</v>
      </c>
      <c r="AE146" s="702"/>
      <c r="AF146" s="719">
        <f>+H146/AD146*100</f>
        <v>7.6786774094032308</v>
      </c>
      <c r="AG146" s="499"/>
      <c r="AH146" s="487"/>
      <c r="AI146" s="725">
        <f>+S146</f>
        <v>4747.5280000000002</v>
      </c>
      <c r="AJ146" s="487"/>
      <c r="AK146" s="727">
        <f>AI146/AB146</f>
        <v>60.095291139240508</v>
      </c>
      <c r="AL146" s="487"/>
      <c r="AM146" s="740">
        <f>(AK146/AK139-1)*100</f>
        <v>1.0737826048426324</v>
      </c>
      <c r="AN146" s="702"/>
      <c r="AO146" s="702"/>
      <c r="AP146" s="725">
        <f>+S146-AQ146</f>
        <v>181.92699999999968</v>
      </c>
      <c r="AQ146" s="747">
        <f>+AR146+AS146+AT146+AU146+AV146</f>
        <v>4565.6010000000006</v>
      </c>
      <c r="AR146" s="725">
        <f>SegqtrSales!S110</f>
        <v>3145.5039999999999</v>
      </c>
      <c r="AS146" s="725">
        <f>SegqtrSales!S286</f>
        <v>495.67099999999999</v>
      </c>
      <c r="AT146" s="725">
        <f>SegqtrSales!S463</f>
        <v>511.589</v>
      </c>
      <c r="AU146" s="725">
        <f>SegqtrSales!S640</f>
        <v>412.83699999999999</v>
      </c>
      <c r="AV146" s="725">
        <f>SegqtrSales!S797</f>
        <v>0</v>
      </c>
      <c r="AW146" s="725"/>
      <c r="AX146" s="716"/>
      <c r="AY146" s="716"/>
      <c r="AZ146" s="724">
        <f>SegqtrSales!F110</f>
        <v>4</v>
      </c>
      <c r="BA146" s="724">
        <f>SegqtrSales!F286</f>
        <v>1</v>
      </c>
      <c r="BB146" s="724">
        <f>SegqtrSales!F463</f>
        <v>6</v>
      </c>
      <c r="BC146" s="724">
        <f>SegqtrSales!F640</f>
        <v>9</v>
      </c>
      <c r="BD146" s="716"/>
      <c r="BE146" s="716"/>
      <c r="BF146" s="746"/>
      <c r="BG146" s="744"/>
    </row>
    <row r="147" spans="1:59" hidden="1" outlineLevel="1">
      <c r="A147" s="487" t="str">
        <f>$A$42</f>
        <v>3Q</v>
      </c>
      <c r="B147" s="701" t="str">
        <f>$B$42</f>
        <v>Oct</v>
      </c>
      <c r="C147" s="487"/>
      <c r="D147" s="716">
        <f>(S147/S140-1)*100</f>
        <v>10.152535004504859</v>
      </c>
      <c r="E147" s="487"/>
      <c r="F147" s="744">
        <f>'qtrP&amp;L'!CF12</f>
        <v>7</v>
      </c>
      <c r="G147" s="487"/>
      <c r="H147" s="716">
        <f>D147-F147</f>
        <v>3.152535004504859</v>
      </c>
      <c r="I147" s="487"/>
      <c r="J147" s="742">
        <f>Stores!CW168</f>
        <v>2747</v>
      </c>
      <c r="K147" s="735"/>
      <c r="L147" s="727">
        <f>AVERAGE(J147,J146)</f>
        <v>2718.5</v>
      </c>
      <c r="M147" s="487"/>
      <c r="N147" s="716">
        <f>(L147/L140-1)*100</f>
        <v>3.9977046671767491</v>
      </c>
      <c r="O147" s="702"/>
      <c r="P147" s="719">
        <f>H147/N147*100</f>
        <v>78.858626811250559</v>
      </c>
      <c r="Q147" s="499"/>
      <c r="R147" s="487"/>
      <c r="S147" s="725">
        <f>'qtrP&amp;L'!CD12</f>
        <v>5244.9459999999999</v>
      </c>
      <c r="T147" s="487"/>
      <c r="U147" s="726">
        <f>S147/L147</f>
        <v>1.9293529519955859</v>
      </c>
      <c r="V147" s="487"/>
      <c r="W147" s="740">
        <f>(U147/U140-1)*100</f>
        <v>5.9182367120749424</v>
      </c>
      <c r="X147" s="702"/>
      <c r="Y147" s="487"/>
      <c r="Z147" s="562">
        <f>+Stores!DB168</f>
        <v>81.5</v>
      </c>
      <c r="AA147" s="735"/>
      <c r="AB147" s="722">
        <f>AVERAGE(Z147,Z146)</f>
        <v>80.349999999999994</v>
      </c>
      <c r="AC147" s="487"/>
      <c r="AD147" s="716">
        <f>(AB147/AB140-1)*100</f>
        <v>4.2829331602855181</v>
      </c>
      <c r="AE147" s="702"/>
      <c r="AF147" s="719">
        <f>+H147/AD147*100</f>
        <v>73.606915787000005</v>
      </c>
      <c r="AG147" s="499"/>
      <c r="AH147" s="487"/>
      <c r="AI147" s="725">
        <f>+S147</f>
        <v>5244.9459999999999</v>
      </c>
      <c r="AJ147" s="487"/>
      <c r="AK147" s="727">
        <f>AI147/AB147</f>
        <v>65.276241443683887</v>
      </c>
      <c r="AL147" s="487"/>
      <c r="AM147" s="740">
        <f>(AK147/AK140-1)*100</f>
        <v>5.6285354336913507</v>
      </c>
      <c r="AN147" s="702"/>
      <c r="AO147" s="702"/>
      <c r="AP147" s="725">
        <f>+S147-AQ147</f>
        <v>197.84099999999944</v>
      </c>
      <c r="AQ147" s="747">
        <f>+AR147+AS147+AT147+AU147+AV147</f>
        <v>5047.1050000000005</v>
      </c>
      <c r="AR147" s="725">
        <f>SegqtrSales!S111</f>
        <v>3380.5430000000001</v>
      </c>
      <c r="AS147" s="725">
        <f>SegqtrSales!S287</f>
        <v>611.48500000000001</v>
      </c>
      <c r="AT147" s="725">
        <f>SegqtrSales!S464</f>
        <v>603.07299999999998</v>
      </c>
      <c r="AU147" s="725">
        <f>SegqtrSales!S641</f>
        <v>452.00400000000002</v>
      </c>
      <c r="AV147" s="725">
        <f>SegqtrSales!S798</f>
        <v>0</v>
      </c>
      <c r="AW147" s="725"/>
      <c r="AX147" s="716"/>
      <c r="AY147" s="716"/>
      <c r="AZ147" s="724">
        <f>SegqtrSales!F111</f>
        <v>9</v>
      </c>
      <c r="BA147" s="724">
        <f>SegqtrSales!F287</f>
        <v>1</v>
      </c>
      <c r="BB147" s="724">
        <f>SegqtrSales!F464</f>
        <v>1</v>
      </c>
      <c r="BC147" s="724">
        <f>SegqtrSales!F641</f>
        <v>13</v>
      </c>
      <c r="BD147" s="716"/>
      <c r="BE147" s="716"/>
      <c r="BF147" s="746"/>
      <c r="BG147" s="744"/>
    </row>
    <row r="148" spans="1:59" hidden="1" outlineLevel="1">
      <c r="A148" s="487" t="str">
        <f>$A$43</f>
        <v>4Q</v>
      </c>
      <c r="B148" s="701" t="str">
        <f>$B$43</f>
        <v>Jan</v>
      </c>
      <c r="C148" s="487"/>
      <c r="D148" s="728">
        <f>(S148/S141-1)*100</f>
        <v>10.440862263651196</v>
      </c>
      <c r="E148" s="487"/>
      <c r="F148" s="752">
        <f>'qtrP&amp;L'!CF13</f>
        <v>12</v>
      </c>
      <c r="G148" s="487"/>
      <c r="H148" s="728">
        <f>D148-F148</f>
        <v>-1.5591377363488039</v>
      </c>
      <c r="I148" s="487"/>
      <c r="J148" s="742">
        <f>Stores!CW169</f>
        <v>2743</v>
      </c>
      <c r="K148" s="735"/>
      <c r="L148" s="734">
        <f>AVERAGE(J148,J147)</f>
        <v>2745</v>
      </c>
      <c r="M148" s="487"/>
      <c r="N148" s="728">
        <f>(L148/L141-1)*100</f>
        <v>3.5849056603773688</v>
      </c>
      <c r="O148" s="702"/>
      <c r="P148" s="730">
        <f>H148/N148*100</f>
        <v>-43.491736856045463</v>
      </c>
      <c r="Q148" s="499"/>
      <c r="R148" s="487"/>
      <c r="S148" s="731">
        <f>'qtrP&amp;L'!CD13</f>
        <v>5941.7460000000001</v>
      </c>
      <c r="T148" s="487"/>
      <c r="U148" s="732">
        <f>S148/L148</f>
        <v>2.1645704918032789</v>
      </c>
      <c r="V148" s="487"/>
      <c r="W148" s="729">
        <f>(U148/U141-1)*100</f>
        <v>6.6186830596268509</v>
      </c>
      <c r="X148" s="702"/>
      <c r="Y148" s="487"/>
      <c r="Z148" s="562">
        <f>+Stores!DB169</f>
        <v>80.7</v>
      </c>
      <c r="AA148" s="735"/>
      <c r="AB148" s="733">
        <f>AVERAGE(Z148,Z147)</f>
        <v>81.099999999999994</v>
      </c>
      <c r="AC148" s="487"/>
      <c r="AD148" s="728">
        <f>(AB148/AB141-1)*100</f>
        <v>3.9743589743589602</v>
      </c>
      <c r="AE148" s="702"/>
      <c r="AF148" s="730">
        <f>+H148/AD148*100</f>
        <v>-39.22991723716359</v>
      </c>
      <c r="AG148" s="499"/>
      <c r="AH148" s="487"/>
      <c r="AI148" s="731">
        <f>+S148</f>
        <v>5941.7460000000001</v>
      </c>
      <c r="AJ148" s="487"/>
      <c r="AK148" s="734">
        <f>AI148/AB148</f>
        <v>73.264438964241677</v>
      </c>
      <c r="AL148" s="487"/>
      <c r="AM148" s="729">
        <f>(AK148/AK141-1)*100</f>
        <v>6.2193249884684665</v>
      </c>
      <c r="AN148" s="702"/>
      <c r="AO148" s="702"/>
      <c r="AP148" s="725">
        <f>+S148-AQ148</f>
        <v>220.64900000000034</v>
      </c>
      <c r="AQ148" s="747">
        <f>+AR148+AS148+AT148+AU148+AV148</f>
        <v>5721.0969999999998</v>
      </c>
      <c r="AR148" s="725">
        <f>SegqtrSales!S112</f>
        <v>3806.5070000000001</v>
      </c>
      <c r="AS148" s="725">
        <f>SegqtrSales!S288</f>
        <v>636.66399999999999</v>
      </c>
      <c r="AT148" s="725">
        <f>SegqtrSales!S465</f>
        <v>740.25300000000004</v>
      </c>
      <c r="AU148" s="725">
        <f>SegqtrSales!S642</f>
        <v>537.673</v>
      </c>
      <c r="AV148" s="725">
        <f>SegqtrSales!S799</f>
        <v>0</v>
      </c>
      <c r="AW148" s="725"/>
      <c r="AX148" s="716"/>
      <c r="AY148" s="716"/>
      <c r="AZ148" s="724">
        <f>SegqtrSales!F112</f>
        <v>13</v>
      </c>
      <c r="BA148" s="724">
        <f>SegqtrSales!F288</f>
        <v>7</v>
      </c>
      <c r="BB148" s="724">
        <f>SegqtrSales!F465</f>
        <v>6</v>
      </c>
      <c r="BC148" s="724">
        <f>SegqtrSales!F642</f>
        <v>16</v>
      </c>
      <c r="BD148" s="716"/>
      <c r="BE148" s="716"/>
      <c r="BF148" s="746"/>
      <c r="BG148" s="744"/>
    </row>
    <row r="149" spans="1:59" hidden="1" outlineLevel="1">
      <c r="A149" s="487"/>
      <c r="B149" s="701" t="str">
        <f>$B$44</f>
        <v>Year</v>
      </c>
      <c r="C149" s="487"/>
      <c r="D149" s="716">
        <f>(S149/S142-1)*100</f>
        <v>6.7840662164619703</v>
      </c>
      <c r="E149" s="487"/>
      <c r="F149" s="753">
        <f>'qtrP&amp;L'!CF14</f>
        <v>6</v>
      </c>
      <c r="G149" s="487"/>
      <c r="H149" s="716">
        <f>D149-F149</f>
        <v>0.78406621646197028</v>
      </c>
      <c r="I149" s="487"/>
      <c r="J149" s="727"/>
      <c r="K149" s="487"/>
      <c r="L149" s="727">
        <f>AVERAGE(L145:L148)</f>
        <v>2703.625</v>
      </c>
      <c r="M149" s="487"/>
      <c r="N149" s="716">
        <f>(L149/L142-1)*100</f>
        <v>4.010579466217834</v>
      </c>
      <c r="O149" s="702"/>
      <c r="P149" s="719">
        <f>H149/N149*100</f>
        <v>19.549948406866548</v>
      </c>
      <c r="Q149" s="499"/>
      <c r="R149" s="487"/>
      <c r="S149" s="720">
        <f>SUM(S145:S148)</f>
        <v>20288.444</v>
      </c>
      <c r="T149" s="487"/>
      <c r="U149" s="721">
        <f>SUM(U145:U148)</f>
        <v>7.4953326072629149</v>
      </c>
      <c r="V149" s="487"/>
      <c r="W149" s="740">
        <f>(U149/U142-1)*100</f>
        <v>2.6387771334186905</v>
      </c>
      <c r="X149" s="702"/>
      <c r="Y149" s="487"/>
      <c r="Z149" s="487"/>
      <c r="AA149" s="487"/>
      <c r="AB149" s="722">
        <f>AVERAGE(AB145:AB148)</f>
        <v>79.712500000000006</v>
      </c>
      <c r="AC149" s="487"/>
      <c r="AD149" s="716">
        <f>(AB149/AB142-1)*100</f>
        <v>3.4152828230409993</v>
      </c>
      <c r="AE149" s="702"/>
      <c r="AF149" s="719">
        <f>+H149/AD149*100</f>
        <v>22.957577954373644</v>
      </c>
      <c r="AG149" s="499"/>
      <c r="AH149" s="487"/>
      <c r="AI149" s="720">
        <f>SUM(AI145:AI148)</f>
        <v>20288.444</v>
      </c>
      <c r="AJ149" s="487"/>
      <c r="AK149" s="723">
        <f>SUM(AK145:AK148)</f>
        <v>254.17454297573749</v>
      </c>
      <c r="AL149" s="487"/>
      <c r="AM149" s="740">
        <f>(AK149/AK142-1)*100</f>
        <v>3.1718581770400212</v>
      </c>
      <c r="AN149" s="702"/>
      <c r="AO149" s="702"/>
      <c r="AP149" s="725">
        <f>+S149-AQ149</f>
        <v>779.81099999999788</v>
      </c>
      <c r="AQ149" s="749">
        <f t="shared" ref="AQ149:AV149" si="11">SUM(AQ145:AQ148)</f>
        <v>19508.633000000002</v>
      </c>
      <c r="AR149" s="750">
        <f t="shared" si="11"/>
        <v>13270.862999999999</v>
      </c>
      <c r="AS149" s="750">
        <f t="shared" si="11"/>
        <v>2167.9120000000003</v>
      </c>
      <c r="AT149" s="750">
        <f t="shared" si="11"/>
        <v>2275.4490000000001</v>
      </c>
      <c r="AU149" s="750">
        <f t="shared" si="11"/>
        <v>1794.4089999999999</v>
      </c>
      <c r="AV149" s="750">
        <f t="shared" si="11"/>
        <v>0</v>
      </c>
      <c r="AW149" s="750"/>
      <c r="AX149" s="716"/>
      <c r="AY149" s="716"/>
      <c r="AZ149" s="724">
        <f>SegqtrSales!F113</f>
        <v>7</v>
      </c>
      <c r="BA149" s="724">
        <f>SegqtrSales!F289</f>
        <v>2</v>
      </c>
      <c r="BB149" s="724">
        <f>SegqtrSales!F466</f>
        <v>5</v>
      </c>
      <c r="BC149" s="724">
        <f>SegqtrSales!F643</f>
        <v>9</v>
      </c>
      <c r="BD149" s="716"/>
      <c r="BE149" s="716"/>
      <c r="BF149" s="746"/>
      <c r="BG149" s="744"/>
    </row>
    <row r="150" spans="1:59" hidden="1" outlineLevel="1">
      <c r="A150" s="487"/>
      <c r="B150" s="701"/>
      <c r="C150" s="487"/>
      <c r="D150" s="716"/>
      <c r="E150" s="487"/>
      <c r="F150" s="753"/>
      <c r="G150" s="487"/>
      <c r="H150" s="716"/>
      <c r="I150" s="487"/>
      <c r="J150" s="487"/>
      <c r="K150" s="487"/>
      <c r="L150" s="727"/>
      <c r="M150" s="487"/>
      <c r="N150" s="716"/>
      <c r="O150" s="702"/>
      <c r="P150" s="719"/>
      <c r="Q150" s="499"/>
      <c r="R150" s="487"/>
      <c r="S150" s="720"/>
      <c r="T150" s="487"/>
      <c r="U150" s="721"/>
      <c r="V150" s="487"/>
      <c r="W150" s="740"/>
      <c r="X150" s="702"/>
      <c r="Y150" s="487"/>
      <c r="Z150" s="487"/>
      <c r="AA150" s="487"/>
      <c r="AB150" s="722"/>
      <c r="AC150" s="487"/>
      <c r="AD150" s="716"/>
      <c r="AE150" s="702"/>
      <c r="AF150" s="719"/>
      <c r="AG150" s="499"/>
      <c r="AH150" s="487"/>
      <c r="AI150" s="720"/>
      <c r="AJ150" s="487"/>
      <c r="AK150" s="723"/>
      <c r="AL150" s="487"/>
      <c r="AM150" s="740"/>
      <c r="AN150" s="702"/>
      <c r="AO150" s="702"/>
      <c r="AP150" s="725"/>
      <c r="AQ150" s="758"/>
      <c r="AR150" s="750"/>
      <c r="AS150" s="750"/>
      <c r="AT150" s="750"/>
      <c r="AU150" s="750"/>
      <c r="AV150" s="750"/>
      <c r="AW150" s="750"/>
      <c r="AX150" s="716"/>
      <c r="AY150" s="716"/>
      <c r="AZ150" s="724">
        <f>SegqtrSales!F114</f>
        <v>0</v>
      </c>
      <c r="BA150" s="724">
        <f>SegqtrSales!F290</f>
        <v>0</v>
      </c>
      <c r="BB150" s="724">
        <f>SegqtrSales!F467</f>
        <v>0</v>
      </c>
      <c r="BC150" s="724">
        <f>SegqtrSales!F644</f>
        <v>0</v>
      </c>
      <c r="BD150" s="716"/>
      <c r="BE150" s="716"/>
      <c r="BF150" s="746"/>
      <c r="BG150" s="744"/>
    </row>
    <row r="151" spans="1:59" ht="13.5" hidden="1" outlineLevel="1" thickBot="1">
      <c r="A151" s="715"/>
      <c r="B151" s="755">
        <f>+B144+1</f>
        <v>2010</v>
      </c>
      <c r="C151" s="487"/>
      <c r="D151" s="487"/>
      <c r="E151" s="702"/>
      <c r="F151" s="487"/>
      <c r="G151" s="702"/>
      <c r="H151" s="487"/>
      <c r="I151" s="702"/>
      <c r="J151" s="727"/>
      <c r="K151" s="487"/>
      <c r="L151" s="727"/>
      <c r="M151" s="487"/>
      <c r="N151" s="487"/>
      <c r="O151" s="702"/>
      <c r="P151" s="499"/>
      <c r="Q151" s="499"/>
      <c r="R151" s="487"/>
      <c r="S151" s="720"/>
      <c r="T151" s="487"/>
      <c r="U151" s="487"/>
      <c r="V151" s="487"/>
      <c r="W151" s="487"/>
      <c r="X151" s="702"/>
      <c r="Y151" s="487"/>
      <c r="Z151" s="487"/>
      <c r="AA151" s="487"/>
      <c r="AB151" s="487"/>
      <c r="AC151" s="487"/>
      <c r="AD151" s="487"/>
      <c r="AE151" s="702"/>
      <c r="AF151" s="499"/>
      <c r="AG151" s="499"/>
      <c r="AH151" s="487"/>
      <c r="AI151" s="487"/>
      <c r="AJ151" s="487"/>
      <c r="AK151" s="487"/>
      <c r="AL151" s="487"/>
      <c r="AM151" s="487"/>
      <c r="AN151" s="702"/>
      <c r="AO151" s="702"/>
      <c r="AP151" s="487" t="s">
        <v>628</v>
      </c>
      <c r="AQ151" s="487"/>
      <c r="AR151" s="487"/>
      <c r="AS151" s="487"/>
      <c r="AT151" s="487"/>
      <c r="AU151" s="487"/>
      <c r="AV151" s="487"/>
      <c r="AW151" s="487"/>
      <c r="AX151" s="487"/>
      <c r="AY151" s="487"/>
      <c r="AZ151" s="724">
        <f>SegqtrSales!F115</f>
        <v>0</v>
      </c>
      <c r="BA151" s="724">
        <f>SegqtrSales!F291</f>
        <v>0</v>
      </c>
      <c r="BB151" s="724">
        <f>SegqtrSales!F468</f>
        <v>0</v>
      </c>
      <c r="BC151" s="724">
        <f>SegqtrSales!F645</f>
        <v>0</v>
      </c>
      <c r="BD151" s="487"/>
      <c r="BE151" s="487"/>
      <c r="BF151" s="487"/>
      <c r="BG151" s="487"/>
    </row>
    <row r="152" spans="1:59" hidden="1" outlineLevel="1">
      <c r="A152" s="487" t="str">
        <f>$A$40</f>
        <v>1Q</v>
      </c>
      <c r="B152" s="701" t="str">
        <f>$B$40</f>
        <v>Apr</v>
      </c>
      <c r="C152" s="487"/>
      <c r="D152" s="716">
        <f>(S152/S145-1)*100</f>
        <v>15.210884878683316</v>
      </c>
      <c r="E152" s="702" t="s">
        <v>190</v>
      </c>
      <c r="F152" s="744">
        <f>'qtrP&amp;L'!CJ10</f>
        <v>9</v>
      </c>
      <c r="G152" s="702" t="s">
        <v>190</v>
      </c>
      <c r="H152" s="716">
        <f>D152-F152</f>
        <v>6.2108848786833164</v>
      </c>
      <c r="I152" s="702" t="s">
        <v>190</v>
      </c>
      <c r="J152" s="742">
        <f>Stores!CW173</f>
        <v>2766</v>
      </c>
      <c r="K152" s="735"/>
      <c r="L152" s="727">
        <f>AVERAGE(J152,J148)</f>
        <v>2754.5</v>
      </c>
      <c r="M152" s="487"/>
      <c r="N152" s="716">
        <f>(L152/L145-1)*100</f>
        <v>3.3195798949737343</v>
      </c>
      <c r="O152" s="702" t="s">
        <v>190</v>
      </c>
      <c r="P152" s="719">
        <f>H152/N152*100</f>
        <v>187.09852075220076</v>
      </c>
      <c r="Q152" s="499" t="s">
        <v>190</v>
      </c>
      <c r="R152" s="487"/>
      <c r="S152" s="720">
        <f>'qtrP&amp;L'!CH10</f>
        <v>5016.54</v>
      </c>
      <c r="T152" s="735"/>
      <c r="U152" s="721">
        <f>S152/L152</f>
        <v>1.8212161916863314</v>
      </c>
      <c r="V152" s="487"/>
      <c r="W152" s="740">
        <f>(U152/U145-1)*100</f>
        <v>11.509246355625224</v>
      </c>
      <c r="X152" s="702" t="s">
        <v>190</v>
      </c>
      <c r="Y152" s="487"/>
      <c r="Z152" s="562">
        <f>Stores!$DB173</f>
        <v>81.099999999999994</v>
      </c>
      <c r="AA152" s="487"/>
      <c r="AB152" s="722">
        <f>AVERAGE(Z152,Z148)</f>
        <v>80.900000000000006</v>
      </c>
      <c r="AC152" s="487"/>
      <c r="AD152" s="716">
        <f>(AB152/AB145-1)*100</f>
        <v>3.1887755102040893</v>
      </c>
      <c r="AE152" s="702" t="s">
        <v>190</v>
      </c>
      <c r="AF152" s="719">
        <f>+H152/AD152*100</f>
        <v>194.77334979550832</v>
      </c>
      <c r="AG152" s="499" t="s">
        <v>190</v>
      </c>
      <c r="AH152" s="487"/>
      <c r="AI152" s="720">
        <f>+S152</f>
        <v>5016.54</v>
      </c>
      <c r="AJ152" s="487"/>
      <c r="AK152" s="723">
        <f>AI152/AB152</f>
        <v>62.00914709517923</v>
      </c>
      <c r="AL152" s="487"/>
      <c r="AM152" s="740">
        <f>(AK152/AK145-1)*100</f>
        <v>11.650597954125729</v>
      </c>
      <c r="AN152" s="702" t="s">
        <v>190</v>
      </c>
      <c r="AO152" s="702"/>
      <c r="AP152" s="763">
        <f>+S152-AQ152</f>
        <v>211.37899999999991</v>
      </c>
      <c r="AQ152" s="764">
        <f>+AR152+AS152+AT152+AU152</f>
        <v>4805.1610000000001</v>
      </c>
      <c r="AR152" s="725">
        <f>SegqtrSales!S116</f>
        <v>3277.864</v>
      </c>
      <c r="AS152" s="725">
        <f>SegqtrSales!S292</f>
        <v>554.99800000000005</v>
      </c>
      <c r="AT152" s="725">
        <f>SegqtrSales!S469</f>
        <v>515.24</v>
      </c>
      <c r="AU152" s="725">
        <f>SegqtrSales!S646</f>
        <v>457.05900000000003</v>
      </c>
      <c r="AV152" s="725">
        <f>SegqtrSales!S803</f>
        <v>0</v>
      </c>
      <c r="AW152" s="725"/>
      <c r="AX152" s="716"/>
      <c r="AY152" s="716"/>
      <c r="AZ152" s="724">
        <f>SegqtrSales!F116</f>
        <v>10</v>
      </c>
      <c r="BA152" s="724">
        <f>SegqtrSales!F292</f>
        <v>6</v>
      </c>
      <c r="BB152" s="724">
        <f>SegqtrSales!F469</f>
        <v>1</v>
      </c>
      <c r="BC152" s="724">
        <f>SegqtrSales!F646</f>
        <v>15</v>
      </c>
      <c r="BD152" s="716"/>
      <c r="BE152" s="716"/>
      <c r="BF152" s="746"/>
      <c r="BG152" s="744"/>
    </row>
    <row r="153" spans="1:59" hidden="1" outlineLevel="1">
      <c r="A153" s="487" t="str">
        <f>$A$41</f>
        <v>2Q</v>
      </c>
      <c r="B153" s="701" t="str">
        <f>$B$41</f>
        <v>Jul</v>
      </c>
      <c r="C153" s="487"/>
      <c r="D153" s="716">
        <f>(S153/S146-1)*100</f>
        <v>6.751977028887457</v>
      </c>
      <c r="E153" s="487"/>
      <c r="F153" s="744">
        <f>'qtrP&amp;L'!CJ11</f>
        <v>3</v>
      </c>
      <c r="G153" s="487"/>
      <c r="H153" s="716">
        <f>D153-F153</f>
        <v>3.751977028887457</v>
      </c>
      <c r="I153" s="487"/>
      <c r="J153" s="742">
        <f>Stores!CW174</f>
        <v>2799</v>
      </c>
      <c r="K153" s="487"/>
      <c r="L153" s="727">
        <f>AVERAGE(J153,J152)</f>
        <v>2782.5</v>
      </c>
      <c r="M153" s="487"/>
      <c r="N153" s="716">
        <f>(L153/L146-1)*100</f>
        <v>3.6312849162011274</v>
      </c>
      <c r="O153" s="702"/>
      <c r="P153" s="719">
        <f>H153/N153*100</f>
        <v>103.32367510320815</v>
      </c>
      <c r="Q153" s="499"/>
      <c r="R153" s="487"/>
      <c r="S153" s="725">
        <f>'qtrP&amp;L'!CH11</f>
        <v>5068.08</v>
      </c>
      <c r="T153" s="735"/>
      <c r="U153" s="726">
        <f>S153/L153</f>
        <v>1.8214123989218329</v>
      </c>
      <c r="V153" s="487"/>
      <c r="W153" s="740">
        <f>(U153/U146-1)*100</f>
        <v>3.0113417152067612</v>
      </c>
      <c r="X153" s="702"/>
      <c r="Y153" s="487"/>
      <c r="Z153" s="562">
        <f>+Stores!DB174</f>
        <v>82.2</v>
      </c>
      <c r="AA153" s="735"/>
      <c r="AB153" s="722">
        <f>AVERAGE(Z153,Z152)</f>
        <v>81.650000000000006</v>
      </c>
      <c r="AC153" s="487"/>
      <c r="AD153" s="716">
        <f>(AB153/AB146-1)*100</f>
        <v>3.3544303797468533</v>
      </c>
      <c r="AE153" s="702"/>
      <c r="AF153" s="719">
        <f>+H153/AD153*100</f>
        <v>111.85139067249341</v>
      </c>
      <c r="AG153" s="499"/>
      <c r="AH153" s="487"/>
      <c r="AI153" s="725">
        <f>+S153</f>
        <v>5068.08</v>
      </c>
      <c r="AJ153" s="487"/>
      <c r="AK153" s="727">
        <f>AI153/AB153</f>
        <v>62.070789957134103</v>
      </c>
      <c r="AL153" s="487"/>
      <c r="AM153" s="740">
        <f>(AK153/AK146-1)*100</f>
        <v>3.2872772232958702</v>
      </c>
      <c r="AN153" s="702"/>
      <c r="AO153" s="702"/>
      <c r="AP153" s="765">
        <f>+S153-AQ153</f>
        <v>193.21899999999914</v>
      </c>
      <c r="AQ153" s="766">
        <f>+AR153+AS153+AT153+AU153</f>
        <v>4874.8610000000008</v>
      </c>
      <c r="AR153" s="725">
        <f>SegqtrSales!S117</f>
        <v>3309.549</v>
      </c>
      <c r="AS153" s="725">
        <f>SegqtrSales!S293</f>
        <v>581.447</v>
      </c>
      <c r="AT153" s="725">
        <f>SegqtrSales!S470</f>
        <v>528.17999999999995</v>
      </c>
      <c r="AU153" s="725">
        <f>SegqtrSales!S647</f>
        <v>455.685</v>
      </c>
      <c r="AV153" s="725">
        <f>SegqtrSales!S804</f>
        <v>0</v>
      </c>
      <c r="AW153" s="725"/>
      <c r="AX153" s="716"/>
      <c r="AY153" s="716"/>
      <c r="AZ153" s="724">
        <f>SegqtrSales!F117</f>
        <v>3</v>
      </c>
      <c r="BA153" s="724">
        <f>SegqtrSales!F293</f>
        <v>6</v>
      </c>
      <c r="BB153" s="724">
        <f>SegqtrSales!F470</f>
        <v>-4</v>
      </c>
      <c r="BC153" s="724">
        <f>SegqtrSales!F647</f>
        <v>8</v>
      </c>
      <c r="BD153" s="716"/>
      <c r="BE153" s="716"/>
      <c r="BF153" s="746"/>
      <c r="BG153" s="744"/>
    </row>
    <row r="154" spans="1:59" hidden="1" outlineLevel="1">
      <c r="A154" s="487" t="str">
        <f>$A$42</f>
        <v>3Q</v>
      </c>
      <c r="B154" s="701" t="str">
        <f>$B$42</f>
        <v>Oct</v>
      </c>
      <c r="C154" s="487"/>
      <c r="D154" s="716">
        <f>(S154/S147-1)*100</f>
        <v>5.355650944738044</v>
      </c>
      <c r="E154" s="487"/>
      <c r="F154" s="744">
        <f>'qtrP&amp;L'!CJ12</f>
        <v>1</v>
      </c>
      <c r="G154" s="487"/>
      <c r="H154" s="716">
        <f>D154-F154</f>
        <v>4.355650944738044</v>
      </c>
      <c r="I154" s="487"/>
      <c r="J154" s="742">
        <f>Stores!CW175</f>
        <v>2873</v>
      </c>
      <c r="K154" s="735"/>
      <c r="L154" s="727">
        <f>AVERAGE(J154,J153)</f>
        <v>2836</v>
      </c>
      <c r="M154" s="487"/>
      <c r="N154" s="716">
        <f>(L154/L147-1)*100</f>
        <v>4.3222365274967922</v>
      </c>
      <c r="O154" s="702"/>
      <c r="P154" s="719">
        <f>H154/N154*100</f>
        <v>100.77308164485399</v>
      </c>
      <c r="Q154" s="499"/>
      <c r="R154" s="487"/>
      <c r="S154" s="725">
        <f>'qtrP&amp;L'!CH12</f>
        <v>5525.8469999999998</v>
      </c>
      <c r="T154" s="487"/>
      <c r="U154" s="726">
        <f>S154/L154</f>
        <v>1.9484650916784203</v>
      </c>
      <c r="V154" s="487"/>
      <c r="W154" s="740">
        <f>(U154/U147-1)*100</f>
        <v>0.99059841088517953</v>
      </c>
      <c r="X154" s="702"/>
      <c r="Y154" s="487"/>
      <c r="Z154" s="562">
        <f>+Stores!DB175</f>
        <v>84.3</v>
      </c>
      <c r="AA154" s="735"/>
      <c r="AB154" s="722">
        <f>AVERAGE(Z154,Z153)</f>
        <v>83.25</v>
      </c>
      <c r="AC154" s="487"/>
      <c r="AD154" s="716">
        <f>(AB154/AB147-1)*100</f>
        <v>3.6092097075295593</v>
      </c>
      <c r="AE154" s="702"/>
      <c r="AF154" s="719">
        <f>+H154/AD154*100</f>
        <v>120.68157014127645</v>
      </c>
      <c r="AG154" s="499"/>
      <c r="AH154" s="487"/>
      <c r="AI154" s="725">
        <f>+S154</f>
        <v>5525.8469999999998</v>
      </c>
      <c r="AJ154" s="487"/>
      <c r="AK154" s="727">
        <f>AI154/AB154</f>
        <v>66.376540540540532</v>
      </c>
      <c r="AL154" s="487"/>
      <c r="AM154" s="740">
        <f>(AK154/AK147-1)*100</f>
        <v>1.6856042451615538</v>
      </c>
      <c r="AN154" s="702"/>
      <c r="AO154" s="702"/>
      <c r="AP154" s="765">
        <f>+S154-AQ154</f>
        <v>204.82399999999961</v>
      </c>
      <c r="AQ154" s="766">
        <f>+AR154+AS154+AT154+AU154</f>
        <v>5321.0230000000001</v>
      </c>
      <c r="AR154" s="725">
        <f>SegqtrSales!S118</f>
        <v>3502.67</v>
      </c>
      <c r="AS154" s="725">
        <f>SegqtrSales!S294</f>
        <v>666.79899999999998</v>
      </c>
      <c r="AT154" s="725">
        <f>SegqtrSales!S471</f>
        <v>671.69500000000005</v>
      </c>
      <c r="AU154" s="725">
        <f>SegqtrSales!S648</f>
        <v>479.85899999999998</v>
      </c>
      <c r="AV154" s="725">
        <f>SegqtrSales!S805</f>
        <v>0</v>
      </c>
      <c r="AW154" s="725"/>
      <c r="AX154" s="716"/>
      <c r="AY154" s="716"/>
      <c r="AZ154" s="724">
        <f>SegqtrSales!F118</f>
        <v>1</v>
      </c>
      <c r="BA154" s="724">
        <f>SegqtrSales!F294</f>
        <v>3</v>
      </c>
      <c r="BB154" s="724">
        <f>SegqtrSales!F471</f>
        <v>-3</v>
      </c>
      <c r="BC154" s="724">
        <f>SegqtrSales!F648</f>
        <v>3</v>
      </c>
      <c r="BD154" s="716"/>
      <c r="BE154" s="716"/>
      <c r="BF154" s="746"/>
      <c r="BG154" s="744"/>
    </row>
    <row r="155" spans="1:59" hidden="1" outlineLevel="1">
      <c r="A155" s="487" t="str">
        <f>$A$43</f>
        <v>4Q</v>
      </c>
      <c r="B155" s="701" t="str">
        <f>$B$43</f>
        <v>Jan</v>
      </c>
      <c r="C155" s="487"/>
      <c r="D155" s="728">
        <f>(S155/S148-1)*100</f>
        <v>1.8687772920619627</v>
      </c>
      <c r="E155" s="487"/>
      <c r="F155" s="752">
        <f>'qtrP&amp;L'!CJ13</f>
        <v>2</v>
      </c>
      <c r="G155" s="487"/>
      <c r="H155" s="728">
        <f>D155-F155</f>
        <v>-0.13122270793803725</v>
      </c>
      <c r="I155" s="487"/>
      <c r="J155" s="742">
        <f>Stores!CW176</f>
        <v>2859</v>
      </c>
      <c r="K155" s="735"/>
      <c r="L155" s="734">
        <f>AVERAGE(J155,J154)</f>
        <v>2866</v>
      </c>
      <c r="M155" s="487"/>
      <c r="N155" s="728">
        <f>(L155/L148-1)*100</f>
        <v>4.4080145719489927</v>
      </c>
      <c r="O155" s="702"/>
      <c r="P155" s="730">
        <f>H155/N155*100</f>
        <v>-2.9769118453711796</v>
      </c>
      <c r="Q155" s="499"/>
      <c r="R155" s="487"/>
      <c r="S155" s="731">
        <f>'qtrP&amp;L'!CH13</f>
        <v>6052.7839999999997</v>
      </c>
      <c r="T155" s="487"/>
      <c r="U155" s="732">
        <f>S155/L155</f>
        <v>2.1119274249825541</v>
      </c>
      <c r="V155" s="487"/>
      <c r="W155" s="729">
        <f>(U155/U148-1)*100</f>
        <v>-2.4320329146161668</v>
      </c>
      <c r="X155" s="702"/>
      <c r="Y155" s="487"/>
      <c r="Z155" s="562">
        <f>+Stores!DB176</f>
        <v>84</v>
      </c>
      <c r="AA155" s="735"/>
      <c r="AB155" s="733">
        <f>AVERAGE(Z155,Z154)</f>
        <v>84.15</v>
      </c>
      <c r="AC155" s="487"/>
      <c r="AD155" s="728">
        <f>(AB155/AB148-1)*100</f>
        <v>3.760789149198529</v>
      </c>
      <c r="AE155" s="702"/>
      <c r="AF155" s="730">
        <f>+H155/AD155*100</f>
        <v>-3.4892333159917368</v>
      </c>
      <c r="AG155" s="499"/>
      <c r="AH155" s="487"/>
      <c r="AI155" s="731">
        <f>+S155</f>
        <v>6052.7839999999997</v>
      </c>
      <c r="AJ155" s="487"/>
      <c r="AK155" s="734">
        <f>AI155/AB155</f>
        <v>71.928508615567424</v>
      </c>
      <c r="AL155" s="487"/>
      <c r="AM155" s="729">
        <f>(AK155/AK148-1)*100</f>
        <v>-1.8234362639783286</v>
      </c>
      <c r="AN155" s="702"/>
      <c r="AO155" s="702"/>
      <c r="AP155" s="765">
        <f>+S155-AQ155</f>
        <v>0</v>
      </c>
      <c r="AQ155" s="766">
        <f>+AR155+AS155+AT155+AU155</f>
        <v>6052.7839999999997</v>
      </c>
      <c r="AR155" s="725">
        <f>SegqtrSales!S119</f>
        <v>4002.076</v>
      </c>
      <c r="AS155" s="725">
        <f>SegqtrSales!S295</f>
        <v>706.95699999999999</v>
      </c>
      <c r="AT155" s="725">
        <f>SegqtrSales!S472</f>
        <v>778.34699999999998</v>
      </c>
      <c r="AU155" s="725">
        <f>SegqtrSales!S649</f>
        <v>565.404</v>
      </c>
      <c r="AV155" s="725">
        <f>SegqtrSales!S806</f>
        <v>0</v>
      </c>
      <c r="AW155" s="725"/>
      <c r="AX155" s="716"/>
      <c r="AY155" s="716"/>
      <c r="AZ155" s="724">
        <f>SegqtrSales!F119</f>
        <v>3</v>
      </c>
      <c r="BA155" s="724">
        <f>SegqtrSales!F295</f>
        <v>4</v>
      </c>
      <c r="BB155" s="724">
        <f>SegqtrSales!F472</f>
        <v>-6</v>
      </c>
      <c r="BC155" s="724">
        <f>SegqtrSales!F649</f>
        <v>2</v>
      </c>
      <c r="BD155" s="716"/>
      <c r="BE155" s="716"/>
      <c r="BF155" s="746"/>
      <c r="BG155" s="744"/>
    </row>
    <row r="156" spans="1:59" ht="13.5" hidden="1" outlineLevel="1" thickBot="1">
      <c r="A156" s="487"/>
      <c r="B156" s="701" t="str">
        <f>$B$44</f>
        <v>Year</v>
      </c>
      <c r="C156" s="487"/>
      <c r="D156" s="716">
        <f>(S156/S149-1)*100</f>
        <v>6.7763057630245038</v>
      </c>
      <c r="E156" s="487"/>
      <c r="F156" s="753">
        <f>'qtrP&amp;L'!CJ14</f>
        <v>4</v>
      </c>
      <c r="G156" s="487"/>
      <c r="H156" s="716">
        <f>D156-F156</f>
        <v>2.7763057630245038</v>
      </c>
      <c r="I156" s="487"/>
      <c r="J156" s="727"/>
      <c r="K156" s="487"/>
      <c r="L156" s="727">
        <f>AVERAGE(L152:L155)</f>
        <v>2809.75</v>
      </c>
      <c r="M156" s="487"/>
      <c r="N156" s="716">
        <f>(L156/L149-1)*100</f>
        <v>3.9252854963243822</v>
      </c>
      <c r="O156" s="702"/>
      <c r="P156" s="719">
        <f>H156/N156*100</f>
        <v>70.72876012774671</v>
      </c>
      <c r="Q156" s="499"/>
      <c r="R156" s="487"/>
      <c r="S156" s="720">
        <f>SUM(S152:S155)</f>
        <v>21663.250999999997</v>
      </c>
      <c r="T156" s="487"/>
      <c r="U156" s="721">
        <f>SUM(U152:U155)</f>
        <v>7.703021107269139</v>
      </c>
      <c r="V156" s="487"/>
      <c r="W156" s="740">
        <f>(U156/U149-1)*100</f>
        <v>2.7709043866175564</v>
      </c>
      <c r="X156" s="702"/>
      <c r="Y156" s="487"/>
      <c r="Z156" s="487"/>
      <c r="AA156" s="487"/>
      <c r="AB156" s="722">
        <f>AVERAGE(AB152:AB155)</f>
        <v>82.487500000000011</v>
      </c>
      <c r="AC156" s="487"/>
      <c r="AD156" s="716">
        <f>(AB156/AB149-1)*100</f>
        <v>3.4812607809314722</v>
      </c>
      <c r="AE156" s="702"/>
      <c r="AF156" s="719">
        <f>+H156/AD156*100</f>
        <v>79.750008336969643</v>
      </c>
      <c r="AG156" s="499"/>
      <c r="AH156" s="487"/>
      <c r="AI156" s="720">
        <f>SUM(AI152:AI155)</f>
        <v>21663.250999999997</v>
      </c>
      <c r="AJ156" s="487"/>
      <c r="AK156" s="723">
        <f>SUM(AK152:AK155)</f>
        <v>262.38498620842131</v>
      </c>
      <c r="AL156" s="487"/>
      <c r="AM156" s="740">
        <f>(AK156/AK149-1)*100</f>
        <v>3.2302382199886681</v>
      </c>
      <c r="AN156" s="702"/>
      <c r="AO156" s="702"/>
      <c r="AP156" s="767">
        <f>+S156-AQ156</f>
        <v>609.42199999999502</v>
      </c>
      <c r="AQ156" s="768">
        <f t="shared" ref="AQ156:AV156" si="12">SUM(AQ152:AQ155)</f>
        <v>21053.829000000002</v>
      </c>
      <c r="AR156" s="750">
        <f t="shared" si="12"/>
        <v>14092.159</v>
      </c>
      <c r="AS156" s="750">
        <f t="shared" si="12"/>
        <v>2510.201</v>
      </c>
      <c r="AT156" s="750">
        <f t="shared" si="12"/>
        <v>2493.4620000000004</v>
      </c>
      <c r="AU156" s="750">
        <f t="shared" si="12"/>
        <v>1958.0070000000001</v>
      </c>
      <c r="AV156" s="750">
        <f t="shared" si="12"/>
        <v>0</v>
      </c>
      <c r="AW156" s="750"/>
      <c r="AX156" s="716"/>
      <c r="AY156" s="716"/>
      <c r="AZ156" s="724">
        <f>SegqtrSales!F120</f>
        <v>4</v>
      </c>
      <c r="BA156" s="724">
        <f>SegqtrSales!F296</f>
        <v>4.6398256553957227</v>
      </c>
      <c r="BB156" s="724">
        <f>SegqtrSales!F473</f>
        <v>-3</v>
      </c>
      <c r="BC156" s="724">
        <f>SegqtrSales!F650</f>
        <v>6</v>
      </c>
      <c r="BD156" s="716"/>
      <c r="BE156" s="716"/>
      <c r="BF156" s="746"/>
      <c r="BG156" s="744"/>
    </row>
    <row r="157" spans="1:59" hidden="1" outlineLevel="1">
      <c r="A157" s="487"/>
      <c r="B157" s="701"/>
      <c r="C157" s="487"/>
      <c r="D157" s="716"/>
      <c r="E157" s="487"/>
      <c r="F157" s="753"/>
      <c r="G157" s="487"/>
      <c r="H157" s="716"/>
      <c r="I157" s="487"/>
      <c r="J157" s="487"/>
      <c r="K157" s="487"/>
      <c r="L157" s="727"/>
      <c r="M157" s="487"/>
      <c r="N157" s="716"/>
      <c r="O157" s="702"/>
      <c r="P157" s="719"/>
      <c r="Q157" s="499"/>
      <c r="R157" s="487"/>
      <c r="S157" s="720"/>
      <c r="T157" s="487"/>
      <c r="U157" s="721"/>
      <c r="V157" s="487"/>
      <c r="W157" s="740"/>
      <c r="X157" s="702"/>
      <c r="Y157" s="487"/>
      <c r="Z157" s="487"/>
      <c r="AA157" s="487"/>
      <c r="AB157" s="722"/>
      <c r="AC157" s="487"/>
      <c r="AD157" s="716"/>
      <c r="AE157" s="702"/>
      <c r="AF157" s="719"/>
      <c r="AG157" s="499"/>
      <c r="AH157" s="487"/>
      <c r="AI157" s="720"/>
      <c r="AJ157" s="487"/>
      <c r="AK157" s="723"/>
      <c r="AL157" s="487"/>
      <c r="AM157" s="740"/>
      <c r="AN157" s="702"/>
      <c r="AO157" s="702"/>
      <c r="AP157" s="725"/>
      <c r="AQ157" s="769"/>
      <c r="AR157" s="769">
        <f>AR156/$AQ156</f>
        <v>0.66933948214360428</v>
      </c>
      <c r="AS157" s="769">
        <f>AS156/$AQ156</f>
        <v>0.11922776612273235</v>
      </c>
      <c r="AT157" s="769">
        <f>AT156/$AQ156</f>
        <v>0.11843270884360275</v>
      </c>
      <c r="AU157" s="769">
        <f>AU156/$AQ156</f>
        <v>9.3000042890060516E-2</v>
      </c>
      <c r="AV157" s="769"/>
      <c r="AW157" s="750"/>
      <c r="AX157" s="716"/>
      <c r="AY157" s="716"/>
      <c r="AZ157" s="724">
        <f>SegqtrSales!F121</f>
        <v>0</v>
      </c>
      <c r="BA157" s="724">
        <f>SegqtrSales!F297</f>
        <v>0</v>
      </c>
      <c r="BB157" s="724">
        <f>SegqtrSales!F474</f>
        <v>0</v>
      </c>
      <c r="BC157" s="724">
        <f>SegqtrSales!F651</f>
        <v>0</v>
      </c>
      <c r="BD157" s="716"/>
      <c r="BE157" s="716"/>
      <c r="BF157" s="746"/>
      <c r="BG157" s="744"/>
    </row>
    <row r="158" spans="1:59" hidden="1" outlineLevel="1">
      <c r="A158" s="715"/>
      <c r="B158" s="755">
        <f>+B151+1</f>
        <v>2011</v>
      </c>
      <c r="C158" s="487"/>
      <c r="D158" s="487"/>
      <c r="E158" s="702"/>
      <c r="F158" s="487"/>
      <c r="G158" s="702"/>
      <c r="H158" s="487"/>
      <c r="I158" s="702"/>
      <c r="J158" s="727"/>
      <c r="K158" s="487"/>
      <c r="L158" s="727"/>
      <c r="M158" s="487"/>
      <c r="N158" s="487"/>
      <c r="O158" s="702"/>
      <c r="P158" s="499"/>
      <c r="Q158" s="499"/>
      <c r="R158" s="487"/>
      <c r="S158" s="720"/>
      <c r="T158" s="487"/>
      <c r="U158" s="487"/>
      <c r="V158" s="487"/>
      <c r="W158" s="487"/>
      <c r="X158" s="702"/>
      <c r="Y158" s="487"/>
      <c r="Z158" s="487"/>
      <c r="AA158" s="487"/>
      <c r="AB158" s="487"/>
      <c r="AC158" s="487"/>
      <c r="AD158" s="487"/>
      <c r="AE158" s="702"/>
      <c r="AF158" s="499"/>
      <c r="AG158" s="499"/>
      <c r="AH158" s="487"/>
      <c r="AI158" s="487"/>
      <c r="AJ158" s="487"/>
      <c r="AK158" s="487"/>
      <c r="AL158" s="487"/>
      <c r="AM158" s="487"/>
      <c r="AN158" s="702"/>
      <c r="AO158" s="702"/>
      <c r="AP158" s="487"/>
      <c r="AQ158" s="487"/>
      <c r="AR158" s="487"/>
      <c r="AS158" s="487"/>
      <c r="AT158" s="487"/>
      <c r="AU158" s="487"/>
      <c r="AV158" s="487"/>
      <c r="AW158" s="487"/>
      <c r="AX158" s="487"/>
      <c r="AY158" s="487"/>
      <c r="AZ158" s="724">
        <f>SegqtrSales!F122</f>
        <v>0</v>
      </c>
      <c r="BA158" s="724">
        <f>SegqtrSales!F298</f>
        <v>0</v>
      </c>
      <c r="BB158" s="724">
        <f>SegqtrSales!F475</f>
        <v>0</v>
      </c>
      <c r="BC158" s="724">
        <f>SegqtrSales!F652</f>
        <v>0</v>
      </c>
      <c r="BD158" s="487"/>
      <c r="BE158" s="487"/>
      <c r="BF158" s="487"/>
      <c r="BG158" s="487"/>
    </row>
    <row r="159" spans="1:59" hidden="1" outlineLevel="1">
      <c r="A159" s="487" t="str">
        <f>$A$40</f>
        <v>1Q</v>
      </c>
      <c r="B159" s="701" t="str">
        <f>$B$40</f>
        <v>Apr</v>
      </c>
      <c r="C159" s="487"/>
      <c r="D159" s="716">
        <f>(S159/S152-1)*100</f>
        <v>3.8776925929026707</v>
      </c>
      <c r="E159" s="702" t="s">
        <v>190</v>
      </c>
      <c r="F159" s="744">
        <f>+'qtrP&amp;L'!CN10</f>
        <v>2</v>
      </c>
      <c r="G159" s="702" t="s">
        <v>190</v>
      </c>
      <c r="H159" s="716">
        <f>D159-F159</f>
        <v>1.8776925929026707</v>
      </c>
      <c r="I159" s="702" t="s">
        <v>190</v>
      </c>
      <c r="J159" s="742">
        <f>Stores!CW180</f>
        <v>2821</v>
      </c>
      <c r="K159" s="735"/>
      <c r="L159" s="727">
        <f>AVERAGE(J159,J155)</f>
        <v>2840</v>
      </c>
      <c r="M159" s="487"/>
      <c r="N159" s="716">
        <f>(L159/L152-1)*100</f>
        <v>3.1040116173534305</v>
      </c>
      <c r="O159" s="702" t="s">
        <v>190</v>
      </c>
      <c r="P159" s="719">
        <f>H159/N159*100</f>
        <v>60.492447335092301</v>
      </c>
      <c r="Q159" s="499" t="s">
        <v>190</v>
      </c>
      <c r="R159" s="487"/>
      <c r="S159" s="720">
        <f>'qtrP&amp;L'!CL10</f>
        <v>5211.0659999999998</v>
      </c>
      <c r="T159" s="735"/>
      <c r="U159" s="721">
        <f>S159/L159</f>
        <v>1.8348823943661972</v>
      </c>
      <c r="V159" s="487"/>
      <c r="W159" s="740">
        <f>(U159/U152-1)*100</f>
        <v>0.75038881941915658</v>
      </c>
      <c r="X159" s="702" t="s">
        <v>190</v>
      </c>
      <c r="Y159" s="487"/>
      <c r="Z159" s="562">
        <f>Stores!$DB180</f>
        <v>83.1</v>
      </c>
      <c r="AA159" s="487"/>
      <c r="AB159" s="722">
        <f>AVERAGE(Z159,Z155)</f>
        <v>83.55</v>
      </c>
      <c r="AC159" s="487"/>
      <c r="AD159" s="716">
        <f>(AB159/AB152-1)*100</f>
        <v>3.2756489493201313</v>
      </c>
      <c r="AE159" s="702" t="s">
        <v>190</v>
      </c>
      <c r="AF159" s="719">
        <f>+H159/AD159*100</f>
        <v>57.322766326727113</v>
      </c>
      <c r="AG159" s="499" t="s">
        <v>190</v>
      </c>
      <c r="AH159" s="487"/>
      <c r="AI159" s="720">
        <f>+S159</f>
        <v>5211.0659999999998</v>
      </c>
      <c r="AJ159" s="487"/>
      <c r="AK159" s="723">
        <f>AI159/AB159</f>
        <v>62.370628366247757</v>
      </c>
      <c r="AL159" s="487"/>
      <c r="AM159" s="740">
        <f>(AK159/AK152-1)*100</f>
        <v>0.58294830360057226</v>
      </c>
      <c r="AN159" s="702" t="s">
        <v>190</v>
      </c>
      <c r="AO159" s="702"/>
      <c r="AP159" s="725">
        <f>+S159-AQ159</f>
        <v>0</v>
      </c>
      <c r="AQ159" s="745">
        <f>+AR159+AS159+AT159+AU159</f>
        <v>5211.0660000000007</v>
      </c>
      <c r="AR159" s="725">
        <f>SegqtrSales!S123</f>
        <v>3525.2089999999998</v>
      </c>
      <c r="AS159" s="725">
        <f>SegqtrSales!S299</f>
        <v>592.06899999999996</v>
      </c>
      <c r="AT159" s="725">
        <f>SegqtrSales!S476</f>
        <v>590.505</v>
      </c>
      <c r="AU159" s="725">
        <f>SegqtrSales!S653</f>
        <v>503.28300000000002</v>
      </c>
      <c r="AV159" s="725"/>
      <c r="AW159" s="725"/>
      <c r="AX159" s="716"/>
      <c r="AY159" s="716"/>
      <c r="AZ159" s="724">
        <f>SegqtrSales!F123</f>
        <v>4</v>
      </c>
      <c r="BA159" s="724">
        <f>SegqtrSales!F299</f>
        <v>-3</v>
      </c>
      <c r="BB159" s="724">
        <f>SegqtrSales!F476</f>
        <v>-5</v>
      </c>
      <c r="BC159" s="724">
        <f>SegqtrSales!F653</f>
        <v>6</v>
      </c>
      <c r="BD159" s="716"/>
      <c r="BE159" s="716"/>
      <c r="BF159" s="746">
        <f>((AZ159)*(AR159/$AQ159)+(BA159)*(AS159/$AQ159)+(BB159)*(AT159/$AQ159)+(BC159)*(AU159/$AQ159))</f>
        <v>2.3779783253560787</v>
      </c>
      <c r="BG159" s="744">
        <f>F159</f>
        <v>2</v>
      </c>
    </row>
    <row r="160" spans="1:59" hidden="1" outlineLevel="1">
      <c r="A160" s="487" t="str">
        <f>$A$41</f>
        <v>2Q</v>
      </c>
      <c r="B160" s="701" t="str">
        <f>$B$41</f>
        <v>Jul</v>
      </c>
      <c r="C160" s="487"/>
      <c r="D160" s="716">
        <f>(S160/S153-1)*100</f>
        <v>7.8963631197613404</v>
      </c>
      <c r="E160" s="487"/>
      <c r="F160" s="744">
        <f>+'qtrP&amp;L'!CN11</f>
        <v>4</v>
      </c>
      <c r="G160" s="487"/>
      <c r="H160" s="716">
        <f>D160-F160</f>
        <v>3.8963631197613404</v>
      </c>
      <c r="I160" s="487"/>
      <c r="J160" s="742">
        <f>Stores!CW181</f>
        <v>2853</v>
      </c>
      <c r="K160" s="487"/>
      <c r="L160" s="727">
        <f>AVERAGE(J160,J159)</f>
        <v>2837</v>
      </c>
      <c r="M160" s="487"/>
      <c r="N160" s="716">
        <f>(L160/L153-1)*100</f>
        <v>1.9586702605570494</v>
      </c>
      <c r="O160" s="702"/>
      <c r="P160" s="719">
        <f>H160/N160*100</f>
        <v>198.92899781166881</v>
      </c>
      <c r="Q160" s="499"/>
      <c r="R160" s="487"/>
      <c r="S160" s="725">
        <f>'qtrP&amp;L'!CL11</f>
        <v>5468.2740000000003</v>
      </c>
      <c r="T160" s="735"/>
      <c r="U160" s="726">
        <f>S160/L160</f>
        <v>1.9274846669016568</v>
      </c>
      <c r="V160" s="487"/>
      <c r="W160" s="740">
        <f>(U160/U153-1)*100</f>
        <v>5.8236272050531834</v>
      </c>
      <c r="X160" s="702"/>
      <c r="Y160" s="487"/>
      <c r="Z160" s="562">
        <f>+Stores!DB181</f>
        <v>83.9</v>
      </c>
      <c r="AA160" s="735"/>
      <c r="AB160" s="722">
        <f>AVERAGE(Z160,Z159)</f>
        <v>83.5</v>
      </c>
      <c r="AC160" s="487"/>
      <c r="AD160" s="716">
        <f>(AB160/AB153-1)*100</f>
        <v>2.265768524188605</v>
      </c>
      <c r="AE160" s="702"/>
      <c r="AF160" s="719">
        <f>+H160/AD160*100</f>
        <v>171.96651282622386</v>
      </c>
      <c r="AG160" s="499"/>
      <c r="AH160" s="487"/>
      <c r="AI160" s="725">
        <f>+S160</f>
        <v>5468.2740000000003</v>
      </c>
      <c r="AJ160" s="487"/>
      <c r="AK160" s="727">
        <f>AI160/AB160</f>
        <v>65.488311377245509</v>
      </c>
      <c r="AL160" s="487"/>
      <c r="AM160" s="740">
        <f>(AK160/AK153-1)*100</f>
        <v>5.5058448949522498</v>
      </c>
      <c r="AN160" s="702"/>
      <c r="AO160" s="702"/>
      <c r="AP160" s="725">
        <f>+S160-AQ160</f>
        <v>0</v>
      </c>
      <c r="AQ160" s="747">
        <f>+AR160+AS160+AT160+AU160</f>
        <v>5468.2740000000003</v>
      </c>
      <c r="AR160" s="725">
        <f>SegqtrSales!S124</f>
        <v>3653.5859999999998</v>
      </c>
      <c r="AS160" s="725">
        <f>SegqtrSales!S300</f>
        <v>637.69100000000003</v>
      </c>
      <c r="AT160" s="725">
        <f>SegqtrSales!S477</f>
        <v>661.68799999999999</v>
      </c>
      <c r="AU160" s="725">
        <f>SegqtrSales!S654</f>
        <v>515.30899999999997</v>
      </c>
      <c r="AV160" s="725"/>
      <c r="AW160" s="725"/>
      <c r="AX160" s="716"/>
      <c r="AY160" s="716"/>
      <c r="AZ160" s="724">
        <f>SegqtrSales!F124</f>
        <v>5</v>
      </c>
      <c r="BA160" s="724">
        <f>SegqtrSales!F300</f>
        <v>-3</v>
      </c>
      <c r="BB160" s="724">
        <f>SegqtrSales!F477</f>
        <v>0</v>
      </c>
      <c r="BC160" s="724">
        <f>SegqtrSales!F654</f>
        <v>3</v>
      </c>
      <c r="BD160" s="716"/>
      <c r="BE160" s="716"/>
      <c r="BF160" s="746">
        <f>((AZ160)*(AR160/$AQ160)+(BA160)*(AS160/$AQ160)+(BB160)*(AT160/$AQ160)+(BC160)*(AU160/$AQ160))</f>
        <v>3.2735711487756465</v>
      </c>
      <c r="BG160" s="744">
        <f>F160</f>
        <v>4</v>
      </c>
    </row>
    <row r="161" spans="1:59" hidden="1" outlineLevel="1">
      <c r="A161" s="487" t="str">
        <f>$A$42</f>
        <v>3Q</v>
      </c>
      <c r="B161" s="701" t="str">
        <f>$B$42</f>
        <v>Oct</v>
      </c>
      <c r="C161" s="487"/>
      <c r="D161" s="716">
        <f>(S161/S154-1)*100</f>
        <v>4.8369236426560436</v>
      </c>
      <c r="E161" s="487"/>
      <c r="F161" s="744">
        <f>+'qtrP&amp;L'!CN12</f>
        <v>3</v>
      </c>
      <c r="G161" s="487"/>
      <c r="H161" s="716">
        <f>D161-F161</f>
        <v>1.8369236426560436</v>
      </c>
      <c r="I161" s="487"/>
      <c r="J161" s="742">
        <f>Stores!CW182</f>
        <v>2905</v>
      </c>
      <c r="K161" s="735"/>
      <c r="L161" s="727">
        <f>AVERAGE(J161,J160)</f>
        <v>2879</v>
      </c>
      <c r="M161" s="487"/>
      <c r="N161" s="716">
        <f>(L161/L154-1)*100</f>
        <v>1.5162200282087479</v>
      </c>
      <c r="O161" s="702"/>
      <c r="P161" s="719">
        <f>H161/N161*100</f>
        <v>121.15152210633788</v>
      </c>
      <c r="Q161" s="499"/>
      <c r="R161" s="487"/>
      <c r="S161" s="725">
        <f>'qtrP&amp;L'!CL12</f>
        <v>5793.1279999999997</v>
      </c>
      <c r="T161" s="487"/>
      <c r="U161" s="726">
        <f>S161/L161</f>
        <v>2.0122014588398747</v>
      </c>
      <c r="V161" s="487"/>
      <c r="W161" s="740">
        <f>(U161/U154-1)*100</f>
        <v>3.2711064434083115</v>
      </c>
      <c r="X161" s="702"/>
      <c r="Y161" s="487"/>
      <c r="Z161" s="562">
        <f>+Stores!DB182</f>
        <v>85.3</v>
      </c>
      <c r="AA161" s="735"/>
      <c r="AB161" s="722">
        <f>AVERAGE(Z161,Z160)</f>
        <v>84.6</v>
      </c>
      <c r="AC161" s="487"/>
      <c r="AD161" s="716">
        <f>(AB161/AB154-1)*100</f>
        <v>1.6216216216216051</v>
      </c>
      <c r="AE161" s="702"/>
      <c r="AF161" s="719">
        <f>+H161/AD161*100</f>
        <v>113.27695796379051</v>
      </c>
      <c r="AG161" s="499"/>
      <c r="AH161" s="487"/>
      <c r="AI161" s="725">
        <f>+S161</f>
        <v>5793.1279999999997</v>
      </c>
      <c r="AJ161" s="487"/>
      <c r="AK161" s="727">
        <f>AI161/AB161</f>
        <v>68.47669030732861</v>
      </c>
      <c r="AL161" s="487"/>
      <c r="AM161" s="740">
        <f>(AK161/AK154-1)*100</f>
        <v>3.1639940100604891</v>
      </c>
      <c r="AN161" s="702"/>
      <c r="AO161" s="702"/>
      <c r="AP161" s="725">
        <f>+S161-AQ161</f>
        <v>0</v>
      </c>
      <c r="AQ161" s="747">
        <f>+AR161+AS161+AT161+AU161</f>
        <v>5793.1279999999997</v>
      </c>
      <c r="AR161" s="725">
        <f>SegqtrSales!S125</f>
        <v>3790.34</v>
      </c>
      <c r="AS161" s="725">
        <f>SegqtrSales!S301</f>
        <v>705.06100000000004</v>
      </c>
      <c r="AT161" s="725">
        <f>SegqtrSales!S478</f>
        <v>746.66099999999994</v>
      </c>
      <c r="AU161" s="725">
        <f>SegqtrSales!S655</f>
        <v>551.06600000000003</v>
      </c>
      <c r="AV161" s="725"/>
      <c r="AW161" s="725"/>
      <c r="AX161" s="716"/>
      <c r="AY161" s="716"/>
      <c r="AZ161" s="724">
        <f>SegqtrSales!F125</f>
        <v>4</v>
      </c>
      <c r="BA161" s="724">
        <f>SegqtrSales!F301</f>
        <v>-2</v>
      </c>
      <c r="BB161" s="724">
        <f>SegqtrSales!F478</f>
        <v>0</v>
      </c>
      <c r="BC161" s="724">
        <f>SegqtrSales!F655</f>
        <v>5</v>
      </c>
      <c r="BD161" s="716"/>
      <c r="BE161" s="716"/>
      <c r="BF161" s="746">
        <f>((AZ161)*(AR161/$AQ161)+(BA161)*(AS161/$AQ161)+(BB161)*(AT161/$AQ161)+(BC161)*(AU161/$AQ161))</f>
        <v>2.8493359718618336</v>
      </c>
      <c r="BG161" s="744">
        <f>F161</f>
        <v>3</v>
      </c>
    </row>
    <row r="162" spans="1:59" hidden="1" outlineLevel="1">
      <c r="A162" s="487" t="str">
        <f>$A$43</f>
        <v>4Q</v>
      </c>
      <c r="B162" s="701" t="str">
        <f>$B$43</f>
        <v>Jan</v>
      </c>
      <c r="C162" s="487"/>
      <c r="D162" s="728">
        <f>(S162/S155-1)*100</f>
        <v>10.854079709436192</v>
      </c>
      <c r="E162" s="487"/>
      <c r="F162" s="752">
        <f>+'qtrP&amp;L'!CN13</f>
        <v>7</v>
      </c>
      <c r="G162" s="487"/>
      <c r="H162" s="728">
        <f>D162-F162</f>
        <v>3.854079709436192</v>
      </c>
      <c r="I162" s="487"/>
      <c r="J162" s="742">
        <f>Stores!CW183</f>
        <v>2905</v>
      </c>
      <c r="K162" s="735"/>
      <c r="L162" s="734">
        <f>AVERAGE(J162,J161)</f>
        <v>2905</v>
      </c>
      <c r="M162" s="487"/>
      <c r="N162" s="728">
        <f>(L162/L155-1)*100</f>
        <v>1.3607815771109477</v>
      </c>
      <c r="O162" s="702"/>
      <c r="P162" s="730">
        <f>H162/N162*100</f>
        <v>283.22544736523577</v>
      </c>
      <c r="Q162" s="499"/>
      <c r="R162" s="487"/>
      <c r="S162" s="731">
        <f>'qtrP&amp;L'!CL13</f>
        <v>6709.7579999999998</v>
      </c>
      <c r="T162" s="487"/>
      <c r="U162" s="732">
        <f>S162/L162</f>
        <v>2.3097273666092941</v>
      </c>
      <c r="V162" s="487"/>
      <c r="W162" s="729">
        <f>(U162/U155-1)*100</f>
        <v>9.3658493794299691</v>
      </c>
      <c r="X162" s="702"/>
      <c r="Y162" s="487"/>
      <c r="Z162" s="562">
        <f>+Stores!DB183</f>
        <v>85.3</v>
      </c>
      <c r="AA162" s="735"/>
      <c r="AB162" s="733">
        <f>AVERAGE(Z162,Z161)</f>
        <v>85.3</v>
      </c>
      <c r="AC162" s="487"/>
      <c r="AD162" s="728">
        <f>(AB162/AB155-1)*100</f>
        <v>1.3666072489601833</v>
      </c>
      <c r="AE162" s="702"/>
      <c r="AF162" s="730">
        <f>+H162/AD162*100</f>
        <v>282.01809352091931</v>
      </c>
      <c r="AG162" s="499"/>
      <c r="AH162" s="487"/>
      <c r="AI162" s="731">
        <f>+S162</f>
        <v>6709.7579999999998</v>
      </c>
      <c r="AJ162" s="487"/>
      <c r="AK162" s="734">
        <f>AI162/AB162</f>
        <v>78.660703399765538</v>
      </c>
      <c r="AL162" s="487"/>
      <c r="AM162" s="729">
        <f>(AK162/AK155-1)*100</f>
        <v>9.3595639806454578</v>
      </c>
      <c r="AN162" s="702"/>
      <c r="AO162" s="702"/>
      <c r="AP162" s="725">
        <f>+S162-AQ162</f>
        <v>0</v>
      </c>
      <c r="AQ162" s="747">
        <f>+AR162+AS162+AT162+AU162</f>
        <v>6709.7579999999998</v>
      </c>
      <c r="AR162" s="725">
        <f>SegqtrSales!S126</f>
        <v>4398.384</v>
      </c>
      <c r="AS162" s="725">
        <f>SegqtrSales!S302</f>
        <v>745.25</v>
      </c>
      <c r="AT162" s="725">
        <f>SegqtrSales!S479</f>
        <v>891.79600000000005</v>
      </c>
      <c r="AU162" s="725">
        <f>SegqtrSales!S656</f>
        <v>674.32799999999997</v>
      </c>
      <c r="AV162" s="725"/>
      <c r="AW162" s="725"/>
      <c r="AX162" s="716"/>
      <c r="AY162" s="716"/>
      <c r="AZ162" s="724">
        <f>SegqtrSales!F126</f>
        <v>6</v>
      </c>
      <c r="BA162" s="724">
        <f>SegqtrSales!F302</f>
        <v>3</v>
      </c>
      <c r="BB162" s="724">
        <f>SegqtrSales!F479</f>
        <v>10</v>
      </c>
      <c r="BC162" s="724">
        <f>SegqtrSales!F656</f>
        <v>10</v>
      </c>
      <c r="BD162" s="716"/>
      <c r="BE162" s="716"/>
      <c r="BF162" s="746">
        <f>((AZ162)*(AR162/$AQ162)+(BA162)*(AS162/$AQ162)+(BB162)*(AT162/$AQ162)+(BC162)*(AU162/$AQ162))</f>
        <v>6.6004308948251191</v>
      </c>
      <c r="BG162" s="744">
        <f>F162</f>
        <v>7</v>
      </c>
    </row>
    <row r="163" spans="1:59" hidden="1" outlineLevel="1">
      <c r="A163" s="487"/>
      <c r="B163" s="701" t="str">
        <f>$B$44</f>
        <v>Year</v>
      </c>
      <c r="C163" s="487"/>
      <c r="D163" s="716">
        <f>(S163/S156-1)*100</f>
        <v>7.0117592230270809</v>
      </c>
      <c r="E163" s="487"/>
      <c r="F163" s="753">
        <f>+'qtrP&amp;L'!CN14</f>
        <v>4</v>
      </c>
      <c r="G163" s="487"/>
      <c r="H163" s="716">
        <f>D163-F163</f>
        <v>3.0117592230270809</v>
      </c>
      <c r="I163" s="487"/>
      <c r="J163" s="487"/>
      <c r="K163" s="487"/>
      <c r="L163" s="727">
        <f>AVERAGE(L159:L162)</f>
        <v>2865.25</v>
      </c>
      <c r="M163" s="487"/>
      <c r="N163" s="716">
        <f>(L163/L156-1)*100</f>
        <v>1.9752647032654114</v>
      </c>
      <c r="O163" s="702"/>
      <c r="P163" s="719">
        <f>H163/N163*100</f>
        <v>152.47370228649291</v>
      </c>
      <c r="Q163" s="499"/>
      <c r="R163" s="487"/>
      <c r="S163" s="720">
        <f>SUM(S159:S162)</f>
        <v>23182.226000000002</v>
      </c>
      <c r="T163" s="487"/>
      <c r="U163" s="721">
        <f>SUM(U159:U162)</f>
        <v>8.0842958867170225</v>
      </c>
      <c r="V163" s="487"/>
      <c r="W163" s="740">
        <f>(U163/U156-1)*100</f>
        <v>4.9496784980646691</v>
      </c>
      <c r="X163" s="702"/>
      <c r="Y163" s="487"/>
      <c r="Z163" s="487"/>
      <c r="AA163" s="487"/>
      <c r="AB163" s="722">
        <f>AVERAGE(AB159:AB162)</f>
        <v>84.237499999999997</v>
      </c>
      <c r="AC163" s="487"/>
      <c r="AD163" s="716">
        <f>(AB163/AB156-1)*100</f>
        <v>2.1215335656917578</v>
      </c>
      <c r="AE163" s="702"/>
      <c r="AF163" s="719">
        <f>+H163/AD163*100</f>
        <v>141.96142223397027</v>
      </c>
      <c r="AG163" s="499"/>
      <c r="AH163" s="487"/>
      <c r="AI163" s="720">
        <f>SUM(AI159:AI162)</f>
        <v>23182.226000000002</v>
      </c>
      <c r="AJ163" s="487"/>
      <c r="AK163" s="723">
        <f>SUM(AK159:AK162)</f>
        <v>274.99633345058737</v>
      </c>
      <c r="AL163" s="487"/>
      <c r="AM163" s="740">
        <f>(AK163/AK156-1)*100</f>
        <v>4.8064286849661686</v>
      </c>
      <c r="AN163" s="702"/>
      <c r="AO163" s="702"/>
      <c r="AP163" s="725">
        <f>+S163-AQ163</f>
        <v>0</v>
      </c>
      <c r="AQ163" s="749">
        <f>SUM(AQ159:AQ162)</f>
        <v>23182.226000000002</v>
      </c>
      <c r="AR163" s="750">
        <f>SUM(AR159:AR162)</f>
        <v>15367.519</v>
      </c>
      <c r="AS163" s="750">
        <f>SUM(AS159:AS162)</f>
        <v>2680.0709999999999</v>
      </c>
      <c r="AT163" s="750">
        <f>SUM(AT159:AT162)</f>
        <v>2890.6499999999996</v>
      </c>
      <c r="AU163" s="750">
        <f>SUM(AU159:AU162)</f>
        <v>2243.9859999999999</v>
      </c>
      <c r="AV163" s="750"/>
      <c r="AW163" s="750"/>
      <c r="AX163" s="716"/>
      <c r="AY163" s="716"/>
      <c r="AZ163" s="724">
        <f>SegqtrSales!F127</f>
        <v>5</v>
      </c>
      <c r="BA163" s="724">
        <f>SegqtrSales!F303</f>
        <v>-1</v>
      </c>
      <c r="BB163" s="724">
        <f>SegqtrSales!F480</f>
        <v>2</v>
      </c>
      <c r="BC163" s="724">
        <f>SegqtrSales!F657</f>
        <v>6</v>
      </c>
      <c r="BD163" s="716"/>
      <c r="BE163" s="716"/>
      <c r="BF163" s="746">
        <f>((AZ163)*(AR163/$AQ163)+(BA163)*(AS163/$AQ163)+(BB163)*(AT163/$AQ163)+(BC163)*(AU163/$AQ163))</f>
        <v>4.0290669239442316</v>
      </c>
      <c r="BG163" s="744">
        <f>F163</f>
        <v>4</v>
      </c>
    </row>
    <row r="164" spans="1:59" hidden="1" outlineLevel="1">
      <c r="A164" s="487"/>
      <c r="B164" s="701"/>
      <c r="C164" s="487"/>
      <c r="D164" s="716"/>
      <c r="E164" s="487"/>
      <c r="F164" s="753"/>
      <c r="G164" s="487"/>
      <c r="H164" s="716"/>
      <c r="I164" s="487"/>
      <c r="J164" s="487"/>
      <c r="K164" s="487"/>
      <c r="L164" s="727"/>
      <c r="M164" s="487"/>
      <c r="N164" s="716"/>
      <c r="O164" s="702"/>
      <c r="P164" s="719"/>
      <c r="Q164" s="499"/>
      <c r="R164" s="487"/>
      <c r="S164" s="720"/>
      <c r="T164" s="487"/>
      <c r="U164" s="721"/>
      <c r="V164" s="487"/>
      <c r="W164" s="740"/>
      <c r="X164" s="702"/>
      <c r="Y164" s="487"/>
      <c r="Z164" s="487"/>
      <c r="AA164" s="487"/>
      <c r="AB164" s="722"/>
      <c r="AC164" s="487"/>
      <c r="AD164" s="716"/>
      <c r="AE164" s="702"/>
      <c r="AF164" s="719"/>
      <c r="AG164" s="499"/>
      <c r="AH164" s="487"/>
      <c r="AI164" s="720"/>
      <c r="AJ164" s="487"/>
      <c r="AK164" s="723"/>
      <c r="AL164" s="487"/>
      <c r="AM164" s="740"/>
      <c r="AN164" s="702"/>
      <c r="AO164" s="702"/>
      <c r="AP164" s="725"/>
      <c r="AQ164" s="758"/>
      <c r="AR164" s="769">
        <f>AR163/$AQ163</f>
        <v>0.66290092245671306</v>
      </c>
      <c r="AS164" s="769">
        <f>AS163/$AQ163</f>
        <v>0.1156088720729407</v>
      </c>
      <c r="AT164" s="769">
        <f>AT163/$AQ163</f>
        <v>0.12469251227211742</v>
      </c>
      <c r="AU164" s="769">
        <f>AU163/$AQ163</f>
        <v>9.679769319822866E-2</v>
      </c>
      <c r="AV164" s="750"/>
      <c r="AW164" s="750"/>
      <c r="AX164" s="716"/>
      <c r="AY164" s="716"/>
      <c r="AZ164" s="724">
        <f>SegqtrSales!F128</f>
        <v>0</v>
      </c>
      <c r="BA164" s="724">
        <f>SegqtrSales!F304</f>
        <v>0</v>
      </c>
      <c r="BB164" s="724">
        <f>SegqtrSales!F481</f>
        <v>0</v>
      </c>
      <c r="BC164" s="724">
        <f>SegqtrSales!F658</f>
        <v>0</v>
      </c>
      <c r="BD164" s="716"/>
      <c r="BE164" s="716"/>
      <c r="BF164" s="746"/>
      <c r="BG164" s="744"/>
    </row>
    <row r="165" spans="1:59" hidden="1" outlineLevel="1">
      <c r="A165" s="715"/>
      <c r="B165" s="755">
        <f>+B158+1</f>
        <v>2012</v>
      </c>
      <c r="C165" s="487"/>
      <c r="D165" s="487"/>
      <c r="E165" s="702"/>
      <c r="F165" s="487"/>
      <c r="G165" s="702"/>
      <c r="H165" s="487"/>
      <c r="I165" s="702"/>
      <c r="J165" s="727"/>
      <c r="K165" s="487"/>
      <c r="L165" s="727"/>
      <c r="M165" s="487"/>
      <c r="N165" s="487"/>
      <c r="O165" s="702"/>
      <c r="P165" s="499"/>
      <c r="Q165" s="499"/>
      <c r="R165" s="487"/>
      <c r="S165" s="720"/>
      <c r="T165" s="487"/>
      <c r="U165" s="487"/>
      <c r="V165" s="487"/>
      <c r="W165" s="487"/>
      <c r="X165" s="702"/>
      <c r="Y165" s="487"/>
      <c r="Z165" s="487"/>
      <c r="AA165" s="487"/>
      <c r="AB165" s="487"/>
      <c r="AC165" s="487"/>
      <c r="AD165" s="487"/>
      <c r="AE165" s="702"/>
      <c r="AF165" s="499"/>
      <c r="AG165" s="499"/>
      <c r="AH165" s="487"/>
      <c r="AI165" s="487"/>
      <c r="AJ165" s="487"/>
      <c r="AK165" s="487"/>
      <c r="AL165" s="487"/>
      <c r="AM165" s="487"/>
      <c r="AN165" s="702"/>
      <c r="AO165" s="702"/>
      <c r="AP165" s="487"/>
      <c r="AQ165" s="487"/>
      <c r="AR165" s="487"/>
      <c r="AS165" s="487"/>
      <c r="AT165" s="487"/>
      <c r="AU165" s="487"/>
      <c r="AV165" s="487"/>
      <c r="AW165" s="487"/>
      <c r="AX165" s="487"/>
      <c r="AY165" s="487"/>
      <c r="AZ165" s="724">
        <f>SegqtrSales!F129</f>
        <v>0</v>
      </c>
      <c r="BA165" s="724">
        <f>SegqtrSales!F305</f>
        <v>0</v>
      </c>
      <c r="BB165" s="724">
        <f>SegqtrSales!F482</f>
        <v>0</v>
      </c>
      <c r="BC165" s="724">
        <f>SegqtrSales!F659</f>
        <v>0</v>
      </c>
      <c r="BD165" s="487"/>
      <c r="BE165" s="487"/>
      <c r="BF165" s="487"/>
      <c r="BG165" s="487"/>
    </row>
    <row r="166" spans="1:59" hidden="1" outlineLevel="1">
      <c r="A166" s="487" t="str">
        <f>$A$40</f>
        <v>1Q</v>
      </c>
      <c r="B166" s="701" t="str">
        <f>$B$40</f>
        <v>Apr</v>
      </c>
      <c r="C166" s="487"/>
      <c r="D166" s="716">
        <f>(S166/S159-1)*100</f>
        <v>11.264873636219551</v>
      </c>
      <c r="E166" s="702" t="s">
        <v>190</v>
      </c>
      <c r="F166" s="744">
        <f>+'qtrP&amp;L'!CR10</f>
        <v>8</v>
      </c>
      <c r="G166" s="702" t="s">
        <v>190</v>
      </c>
      <c r="H166" s="716">
        <f>D166-F166</f>
        <v>3.2648736362195514</v>
      </c>
      <c r="I166" s="702" t="s">
        <v>190</v>
      </c>
      <c r="J166" s="742">
        <f>Stores!CW187</f>
        <v>2938</v>
      </c>
      <c r="K166" s="735"/>
      <c r="L166" s="727">
        <f>AVERAGE(J166,J162)</f>
        <v>2921.5</v>
      </c>
      <c r="M166" s="487"/>
      <c r="N166" s="716">
        <f>(L166/L159-1)*100</f>
        <v>2.8697183098591594</v>
      </c>
      <c r="O166" s="702" t="s">
        <v>190</v>
      </c>
      <c r="P166" s="719">
        <f>H166/N166*100</f>
        <v>113.76982977746638</v>
      </c>
      <c r="Q166" s="499" t="s">
        <v>190</v>
      </c>
      <c r="R166" s="487"/>
      <c r="S166" s="720">
        <f>+'qtrP&amp;L'!CP10</f>
        <v>5798.0860000000002</v>
      </c>
      <c r="T166" s="735"/>
      <c r="U166" s="721">
        <f>S166/L166</f>
        <v>1.9846263905527983</v>
      </c>
      <c r="V166" s="487"/>
      <c r="W166" s="740">
        <f>(U166/U159-1)*100</f>
        <v>8.1609587974887923</v>
      </c>
      <c r="X166" s="702" t="s">
        <v>190</v>
      </c>
      <c r="Y166" s="487"/>
      <c r="Z166" s="562">
        <f>Stores!$DB187</f>
        <v>86.1</v>
      </c>
      <c r="AA166" s="487"/>
      <c r="AB166" s="722">
        <f>AVERAGE(Z166,Z162)</f>
        <v>85.699999999999989</v>
      </c>
      <c r="AC166" s="487"/>
      <c r="AD166" s="716">
        <f>(AB166/AB159-1)*100</f>
        <v>2.5733093955714992</v>
      </c>
      <c r="AE166" s="702" t="s">
        <v>190</v>
      </c>
      <c r="AF166" s="719">
        <f>+H166/AD166*100</f>
        <v>126.87450804936982</v>
      </c>
      <c r="AG166" s="499" t="s">
        <v>190</v>
      </c>
      <c r="AH166" s="487"/>
      <c r="AI166" s="720">
        <f>+S166</f>
        <v>5798.0860000000002</v>
      </c>
      <c r="AJ166" s="487"/>
      <c r="AK166" s="723">
        <f>AI166/AB166</f>
        <v>67.655612602100362</v>
      </c>
      <c r="AL166" s="487"/>
      <c r="AM166" s="740">
        <f>(AK166/AK159-1)*100</f>
        <v>8.4735144959876774</v>
      </c>
      <c r="AN166" s="702" t="s">
        <v>190</v>
      </c>
      <c r="AO166" s="702"/>
      <c r="AP166" s="725">
        <f>+S166-AQ166</f>
        <v>0</v>
      </c>
      <c r="AQ166" s="745">
        <f>+AR166+AS166+AT166+AU166</f>
        <v>5798.0859999999993</v>
      </c>
      <c r="AR166" s="725">
        <f>SegqtrSales!S130</f>
        <v>3889.058</v>
      </c>
      <c r="AS166" s="725">
        <f>SegqtrSales!S306</f>
        <v>640.20899999999995</v>
      </c>
      <c r="AT166" s="725">
        <f>SegqtrSales!S483</f>
        <v>673.09699999999998</v>
      </c>
      <c r="AU166" s="725">
        <f>SegqtrSales!S660</f>
        <v>595.72199999999998</v>
      </c>
      <c r="AV166" s="725"/>
      <c r="AW166" s="725"/>
      <c r="AX166" s="716"/>
      <c r="AY166" s="716"/>
      <c r="AZ166" s="724">
        <f>SegqtrSales!F130</f>
        <v>8</v>
      </c>
      <c r="BA166" s="724">
        <f>SegqtrSales!F306</f>
        <v>6</v>
      </c>
      <c r="BB166" s="724">
        <f>SegqtrSales!F483</f>
        <v>13</v>
      </c>
      <c r="BC166" s="724">
        <f>SegqtrSales!F660</f>
        <v>9</v>
      </c>
      <c r="BD166" s="716"/>
      <c r="BE166" s="716"/>
      <c r="BF166" s="746">
        <f>((AZ166)*(AR166/$AQ166)+(BA166)*(AS166/$AQ166)+(BB166)*(AT166/$AQ166)+(BC166)*(AU166/$AQ166))</f>
        <v>8.4623575780007414</v>
      </c>
      <c r="BG166" s="744">
        <f>F166</f>
        <v>8</v>
      </c>
    </row>
    <row r="167" spans="1:59" hidden="1" outlineLevel="1">
      <c r="A167" s="487" t="str">
        <f>$A$41</f>
        <v>2Q</v>
      </c>
      <c r="B167" s="701" t="str">
        <f>$B$41</f>
        <v>Jul</v>
      </c>
      <c r="C167" s="487"/>
      <c r="D167" s="716">
        <f>(S167/S160-1)*100</f>
        <v>8.7282568503333824</v>
      </c>
      <c r="E167" s="487"/>
      <c r="F167" s="744">
        <f>+'qtrP&amp;L'!CR11</f>
        <v>7</v>
      </c>
      <c r="G167" s="487"/>
      <c r="H167" s="716">
        <f>D167-F167</f>
        <v>1.7282568503333824</v>
      </c>
      <c r="I167" s="487"/>
      <c r="J167" s="742">
        <f>Stores!CW188</f>
        <v>2970</v>
      </c>
      <c r="K167" s="487"/>
      <c r="L167" s="727">
        <f>AVERAGE(J167,J166)</f>
        <v>2954</v>
      </c>
      <c r="M167" s="487"/>
      <c r="N167" s="716">
        <f>(L167/L160-1)*100</f>
        <v>4.1240747268241007</v>
      </c>
      <c r="O167" s="702"/>
      <c r="P167" s="719">
        <f>H167/N167*100</f>
        <v>41.90653576406681</v>
      </c>
      <c r="Q167" s="499"/>
      <c r="R167" s="487"/>
      <c r="S167" s="725">
        <f>+'qtrP&amp;L'!CP11</f>
        <v>5945.5590000000002</v>
      </c>
      <c r="T167" s="735"/>
      <c r="U167" s="726">
        <f>S167/L167</f>
        <v>2.0127146242383209</v>
      </c>
      <c r="V167" s="487"/>
      <c r="W167" s="740">
        <f>(U167/U160-1)*100</f>
        <v>4.4218228450899844</v>
      </c>
      <c r="X167" s="702"/>
      <c r="Y167" s="487"/>
      <c r="Z167" s="562">
        <f>+Stores!DB188</f>
        <v>87</v>
      </c>
      <c r="AA167" s="735"/>
      <c r="AB167" s="722">
        <f>AVERAGE(Z167,Z166)</f>
        <v>86.55</v>
      </c>
      <c r="AC167" s="487"/>
      <c r="AD167" s="716">
        <f>(AB167/AB160-1)*100</f>
        <v>3.6526946107784397</v>
      </c>
      <c r="AE167" s="702"/>
      <c r="AF167" s="719">
        <f>+H167/AD167*100</f>
        <v>47.314572787815592</v>
      </c>
      <c r="AG167" s="499"/>
      <c r="AH167" s="487"/>
      <c r="AI167" s="725">
        <f>+S167</f>
        <v>5945.5590000000002</v>
      </c>
      <c r="AJ167" s="487"/>
      <c r="AK167" s="727">
        <f>AI167/AB167</f>
        <v>68.695077989601387</v>
      </c>
      <c r="AL167" s="487"/>
      <c r="AM167" s="740">
        <f>(AK167/AK160-1)*100</f>
        <v>4.89670071638173</v>
      </c>
      <c r="AN167" s="702"/>
      <c r="AO167" s="702"/>
      <c r="AP167" s="725">
        <f>+S167-AQ167</f>
        <v>0</v>
      </c>
      <c r="AQ167" s="747">
        <f>+AR167+AS167+AT167+AU167</f>
        <v>5945.5590000000002</v>
      </c>
      <c r="AR167" s="725">
        <f>SegqtrSales!S131</f>
        <v>3976.0509999999999</v>
      </c>
      <c r="AS167" s="725">
        <f>SegqtrSales!S307</f>
        <v>660.70299999999997</v>
      </c>
      <c r="AT167" s="725">
        <f>SegqtrSales!S484</f>
        <v>711.09100000000001</v>
      </c>
      <c r="AU167" s="725">
        <f>SegqtrSales!S661</f>
        <v>597.71400000000006</v>
      </c>
      <c r="AV167" s="725"/>
      <c r="AW167" s="725"/>
      <c r="AX167" s="716"/>
      <c r="AY167" s="716"/>
      <c r="AZ167" s="724">
        <f>SegqtrSales!F131</f>
        <v>7</v>
      </c>
      <c r="BA167" s="724">
        <f>SegqtrSales!F307</f>
        <v>5</v>
      </c>
      <c r="BB167" s="724">
        <f>SegqtrSales!F484</f>
        <v>10</v>
      </c>
      <c r="BC167" s="724">
        <f>SegqtrSales!F661</f>
        <v>9</v>
      </c>
      <c r="BD167" s="716"/>
      <c r="BE167" s="716"/>
      <c r="BF167" s="746">
        <f>((AZ167)*(AR167/$AQ167)+(BA167)*(AS167/$AQ167)+(BB167)*(AT167/$AQ167)+(BC167)*(AU167/$AQ167))</f>
        <v>7.3376124936275966</v>
      </c>
      <c r="BG167" s="744">
        <f>F167</f>
        <v>7</v>
      </c>
    </row>
    <row r="168" spans="1:59" hidden="1" outlineLevel="1">
      <c r="A168" s="487" t="str">
        <f>$A$42</f>
        <v>3Q</v>
      </c>
      <c r="B168" s="701" t="str">
        <f>$B$42</f>
        <v>Oct</v>
      </c>
      <c r="C168" s="487"/>
      <c r="D168" s="716">
        <f>(S168/S161-1)*100</f>
        <v>10.664100637859208</v>
      </c>
      <c r="E168" s="487"/>
      <c r="F168" s="744">
        <v>2</v>
      </c>
      <c r="G168" s="487"/>
      <c r="H168" s="716">
        <f>D168-F168</f>
        <v>8.6641006378592085</v>
      </c>
      <c r="I168" s="487"/>
      <c r="J168" s="742">
        <f>Stores!CW189</f>
        <v>3046</v>
      </c>
      <c r="K168" s="735"/>
      <c r="L168" s="727">
        <f>AVERAGE(J168,J167)</f>
        <v>3008</v>
      </c>
      <c r="M168" s="487"/>
      <c r="N168" s="716">
        <f>(L168/L161-1)*100</f>
        <v>4.4807224730809336</v>
      </c>
      <c r="O168" s="702"/>
      <c r="P168" s="719">
        <f>H168/N168*100</f>
        <v>193.36392043718331</v>
      </c>
      <c r="Q168" s="499"/>
      <c r="R168" s="487"/>
      <c r="S168" s="725">
        <f>+'qtrP&amp;L'!CP12</f>
        <v>6410.9129999999996</v>
      </c>
      <c r="T168" s="487"/>
      <c r="U168" s="726">
        <f>S168/L168</f>
        <v>2.1312875664893616</v>
      </c>
      <c r="V168" s="487"/>
      <c r="W168" s="740">
        <f>(U168/U161-1)*100</f>
        <v>5.9182000453446459</v>
      </c>
      <c r="X168" s="702"/>
      <c r="Y168" s="487"/>
      <c r="Z168" s="562">
        <f>+Stores!DB189</f>
        <v>88.9</v>
      </c>
      <c r="AA168" s="735"/>
      <c r="AB168" s="722">
        <f>AVERAGE(Z168,Z167)</f>
        <v>87.95</v>
      </c>
      <c r="AC168" s="487"/>
      <c r="AD168" s="716">
        <f>(AB168/AB161-1)*100</f>
        <v>3.9598108747044947</v>
      </c>
      <c r="AE168" s="702"/>
      <c r="AF168" s="719">
        <f>+H168/AD168*100</f>
        <v>218.80086983966822</v>
      </c>
      <c r="AG168" s="499"/>
      <c r="AH168" s="487"/>
      <c r="AI168" s="725">
        <f>+S168</f>
        <v>6410.9129999999996</v>
      </c>
      <c r="AJ168" s="487"/>
      <c r="AK168" s="727">
        <f>AI168/AB168</f>
        <v>72.892700397953377</v>
      </c>
      <c r="AL168" s="487"/>
      <c r="AM168" s="740">
        <f>(AK168/AK161-1)*100</f>
        <v>6.4489245476166746</v>
      </c>
      <c r="AN168" s="702"/>
      <c r="AO168" s="702"/>
      <c r="AP168" s="725">
        <f>+S168-AQ168</f>
        <v>0</v>
      </c>
      <c r="AQ168" s="747">
        <f>+AR168+AS168+AT168+AU168</f>
        <v>6410.9129999999996</v>
      </c>
      <c r="AR168" s="725">
        <f>SegqtrSales!S132</f>
        <v>4161.4089999999997</v>
      </c>
      <c r="AS168" s="725">
        <f>SegqtrSales!S308</f>
        <v>768.96699999999998</v>
      </c>
      <c r="AT168" s="725">
        <f>SegqtrSales!S485</f>
        <v>843.02300000000002</v>
      </c>
      <c r="AU168" s="725">
        <f>SegqtrSales!S662</f>
        <v>637.51400000000001</v>
      </c>
      <c r="AV168" s="725"/>
      <c r="AW168" s="725"/>
      <c r="AX168" s="716"/>
      <c r="AY168" s="716"/>
      <c r="AZ168" s="724">
        <f>SegqtrSales!F132</f>
        <v>7</v>
      </c>
      <c r="BA168" s="724">
        <f>SegqtrSales!F308</f>
        <v>4</v>
      </c>
      <c r="BB168" s="724">
        <f>SegqtrSales!F485</f>
        <v>11</v>
      </c>
      <c r="BC168" s="724">
        <f>SegqtrSales!F662</f>
        <v>6</v>
      </c>
      <c r="BD168" s="716"/>
      <c r="BE168" s="716"/>
      <c r="BF168" s="746">
        <f>((AZ168)*(AR168/$AQ168)+(BA168)*(AS168/$AQ168)+(BB168)*(AT168/$AQ168)+(BC168)*(AU168/$AQ168))</f>
        <v>7.0667107789483339</v>
      </c>
      <c r="BG168" s="744">
        <f>F168</f>
        <v>2</v>
      </c>
    </row>
    <row r="169" spans="1:59" hidden="1" outlineLevel="1">
      <c r="A169" s="487" t="str">
        <f>$A$43</f>
        <v>4Q</v>
      </c>
      <c r="B169" s="701" t="str">
        <f>$B$43</f>
        <v>Jan</v>
      </c>
      <c r="C169" s="487"/>
      <c r="D169" s="728">
        <f>(S169/S162-1)*100</f>
        <v>15.113153112228495</v>
      </c>
      <c r="E169" s="487"/>
      <c r="F169" s="752">
        <f>+'qtrP&amp;L'!CR13</f>
        <v>4</v>
      </c>
      <c r="G169" s="487"/>
      <c r="H169" s="728">
        <f>D169-F169</f>
        <v>11.113153112228495</v>
      </c>
      <c r="I169" s="487"/>
      <c r="J169" s="742">
        <f>Stores!CW190</f>
        <v>3050</v>
      </c>
      <c r="K169" s="735"/>
      <c r="L169" s="734">
        <f>AVERAGE(J169,J168)</f>
        <v>3048</v>
      </c>
      <c r="M169" s="487"/>
      <c r="N169" s="728">
        <f>(L169/L162-1)*100</f>
        <v>4.9225473321858892</v>
      </c>
      <c r="O169" s="702"/>
      <c r="P169" s="730">
        <f>H169/N169*100</f>
        <v>225.76020832883748</v>
      </c>
      <c r="Q169" s="499"/>
      <c r="R169" s="487"/>
      <c r="S169" s="731">
        <f>+'qtrP&amp;L'!CP13</f>
        <v>7723.8140000000003</v>
      </c>
      <c r="T169" s="487"/>
      <c r="U169" s="732">
        <f>S169/L169</f>
        <v>2.5340597112860892</v>
      </c>
      <c r="V169" s="487"/>
      <c r="W169" s="729">
        <f>(U169/U162-1)*100</f>
        <v>9.7125032122781452</v>
      </c>
      <c r="X169" s="702"/>
      <c r="Y169" s="487"/>
      <c r="Z169" s="562">
        <f>+Stores!DB190</f>
        <v>89.1</v>
      </c>
      <c r="AA169" s="735"/>
      <c r="AB169" s="733">
        <f>AVERAGE(Z169,Z168)</f>
        <v>89</v>
      </c>
      <c r="AC169" s="487"/>
      <c r="AD169" s="728">
        <f>(AB169/AB162-1)*100</f>
        <v>4.3376318874560393</v>
      </c>
      <c r="AE169" s="702"/>
      <c r="AF169" s="730">
        <f>+H169/AD169*100</f>
        <v>256.20323256029468</v>
      </c>
      <c r="AG169" s="499"/>
      <c r="AH169" s="487"/>
      <c r="AI169" s="731">
        <f>+S169</f>
        <v>7723.8140000000003</v>
      </c>
      <c r="AJ169" s="487"/>
      <c r="AK169" s="734">
        <f>AI169/AB169</f>
        <v>86.784426966292145</v>
      </c>
      <c r="AL169" s="487"/>
      <c r="AM169" s="729">
        <f>(AK169/AK162-1)*100</f>
        <v>10.327550117675166</v>
      </c>
      <c r="AN169" s="702"/>
      <c r="AO169" s="702"/>
      <c r="AP169" s="725">
        <f>+S169-AQ169</f>
        <v>0</v>
      </c>
      <c r="AQ169" s="747">
        <f>+AR169+AS169+AT169+AU169</f>
        <v>7723.8140000000003</v>
      </c>
      <c r="AR169" s="725">
        <f>SegqtrSales!S133</f>
        <v>4984.8909999999996</v>
      </c>
      <c r="AS169" s="725">
        <f>SegqtrSales!S309</f>
        <v>856.11199999999997</v>
      </c>
      <c r="AT169" s="725">
        <f>SegqtrSales!S486</f>
        <v>1056.6500000000001</v>
      </c>
      <c r="AU169" s="725">
        <f>SegqtrSales!S663</f>
        <v>826.16099999999994</v>
      </c>
      <c r="AV169" s="725"/>
      <c r="AW169" s="725"/>
      <c r="AX169" s="716"/>
      <c r="AY169" s="716"/>
      <c r="AZ169" s="724">
        <f>SegqtrSales!F133</f>
        <v>4</v>
      </c>
      <c r="BA169" s="724">
        <f>SegqtrSales!F309</f>
        <v>3</v>
      </c>
      <c r="BB169" s="724">
        <f>SegqtrSales!F486</f>
        <v>7</v>
      </c>
      <c r="BC169" s="724">
        <f>SegqtrSales!F663</f>
        <v>5</v>
      </c>
      <c r="BD169" s="716"/>
      <c r="BE169" s="716"/>
      <c r="BF169" s="746">
        <f>((AZ169)*(AR169/$AQ169)+(BA169)*(AS169/$AQ169)+(BB169)*(AT169/$AQ169)+(BC169)*(AU169/$AQ169))</f>
        <v>4.4065347767307701</v>
      </c>
      <c r="BG169" s="744">
        <f>F169</f>
        <v>4</v>
      </c>
    </row>
    <row r="170" spans="1:59" hidden="1" outlineLevel="1">
      <c r="A170" s="487"/>
      <c r="B170" s="701" t="str">
        <f>$B$44</f>
        <v>Year</v>
      </c>
      <c r="C170" s="487"/>
      <c r="D170" s="716">
        <f>(S170/S163-1)*100</f>
        <v>11.630229124675084</v>
      </c>
      <c r="E170" s="487"/>
      <c r="F170" s="753">
        <f>+'qtrP&amp;L'!CR14</f>
        <v>7</v>
      </c>
      <c r="G170" s="487"/>
      <c r="H170" s="716">
        <f>D170-F170</f>
        <v>4.6302291246750844</v>
      </c>
      <c r="I170" s="487"/>
      <c r="J170" s="487"/>
      <c r="K170" s="487"/>
      <c r="L170" s="727">
        <f>AVERAGE(L166:L169)</f>
        <v>2982.875</v>
      </c>
      <c r="M170" s="487"/>
      <c r="N170" s="716">
        <f>(L170/L163-1)*100</f>
        <v>4.1052264200331479</v>
      </c>
      <c r="O170" s="702"/>
      <c r="P170" s="719">
        <f>H170/N170*100</f>
        <v>112.78864186589</v>
      </c>
      <c r="Q170" s="499"/>
      <c r="R170" s="487"/>
      <c r="S170" s="720">
        <f>SUM(S166:S169)</f>
        <v>25878.372000000003</v>
      </c>
      <c r="T170" s="487"/>
      <c r="U170" s="721">
        <f>SUM(U166:U169)</f>
        <v>8.6626882925665694</v>
      </c>
      <c r="V170" s="487"/>
      <c r="W170" s="740">
        <f>(U170/U163-1)*100</f>
        <v>7.1545180180735413</v>
      </c>
      <c r="X170" s="702"/>
      <c r="Y170" s="487"/>
      <c r="Z170" s="487"/>
      <c r="AA170" s="487"/>
      <c r="AB170" s="722">
        <f>AVERAGE(AB166:AB169)</f>
        <v>87.3</v>
      </c>
      <c r="AC170" s="487"/>
      <c r="AD170" s="716">
        <f>(AB170/AB163-1)*100</f>
        <v>3.6355542365336113</v>
      </c>
      <c r="AE170" s="702"/>
      <c r="AF170" s="719">
        <f>+H170/AD170*100</f>
        <v>127.35964927014443</v>
      </c>
      <c r="AG170" s="499"/>
      <c r="AH170" s="487"/>
      <c r="AI170" s="720">
        <f>SUM(AI166:AI169)</f>
        <v>25878.372000000003</v>
      </c>
      <c r="AJ170" s="487"/>
      <c r="AK170" s="723">
        <f>SUM(AK166:AK169)</f>
        <v>296.02781795594728</v>
      </c>
      <c r="AL170" s="487"/>
      <c r="AM170" s="740">
        <f>(AK170/AK163-1)*100</f>
        <v>7.6479145163362405</v>
      </c>
      <c r="AN170" s="702"/>
      <c r="AO170" s="702"/>
      <c r="AP170" s="725">
        <f>+S170-AQ170</f>
        <v>0</v>
      </c>
      <c r="AQ170" s="749">
        <f>SUM(AQ166:AQ169)</f>
        <v>25878.372000000003</v>
      </c>
      <c r="AR170" s="750">
        <f>SUM(AR166:AR169)</f>
        <v>17011.409</v>
      </c>
      <c r="AS170" s="750">
        <f>SUM(AS166:AS169)</f>
        <v>2925.991</v>
      </c>
      <c r="AT170" s="750">
        <f>SUM(AT166:AT169)</f>
        <v>3283.8610000000003</v>
      </c>
      <c r="AU170" s="750">
        <f>SUM(AU166:AU169)</f>
        <v>2657.1110000000003</v>
      </c>
      <c r="AV170" s="750"/>
      <c r="AW170" s="750"/>
      <c r="AX170" s="716"/>
      <c r="AY170" s="716"/>
      <c r="AZ170" s="724">
        <f>SegqtrSales!F134</f>
        <v>6</v>
      </c>
      <c r="BA170" s="724">
        <f>SegqtrSales!F310</f>
        <v>5</v>
      </c>
      <c r="BB170" s="724">
        <f>SegqtrSales!F487</f>
        <v>10</v>
      </c>
      <c r="BC170" s="724">
        <f>SegqtrSales!F664</f>
        <v>7</v>
      </c>
      <c r="BD170" s="716"/>
      <c r="BE170" s="716"/>
      <c r="BF170" s="746">
        <f>((AZ170)*(AR170/$AQ170)+(BA170)*(AS170/$AQ170)+(BB170)*(AT170/$AQ170)+(BC170)*(AU170/$AQ170))</f>
        <v>6.497193718368373</v>
      </c>
      <c r="BG170" s="744">
        <f>F170</f>
        <v>7</v>
      </c>
    </row>
    <row r="171" spans="1:59" hidden="1" outlineLevel="1">
      <c r="A171" s="487"/>
      <c r="B171" s="701"/>
      <c r="C171" s="487"/>
      <c r="D171" s="716"/>
      <c r="E171" s="487"/>
      <c r="F171" s="753"/>
      <c r="G171" s="487"/>
      <c r="H171" s="716"/>
      <c r="I171" s="487"/>
      <c r="J171" s="487"/>
      <c r="K171" s="487"/>
      <c r="L171" s="727"/>
      <c r="M171" s="487"/>
      <c r="N171" s="716"/>
      <c r="O171" s="702"/>
      <c r="P171" s="719"/>
      <c r="Q171" s="499"/>
      <c r="R171" s="487"/>
      <c r="S171" s="720"/>
      <c r="T171" s="487"/>
      <c r="U171" s="721"/>
      <c r="V171" s="487"/>
      <c r="W171" s="740"/>
      <c r="X171" s="702"/>
      <c r="Y171" s="487"/>
      <c r="Z171" s="487"/>
      <c r="AA171" s="487"/>
      <c r="AB171" s="722"/>
      <c r="AC171" s="487"/>
      <c r="AD171" s="716"/>
      <c r="AE171" s="702"/>
      <c r="AF171" s="719"/>
      <c r="AG171" s="499"/>
      <c r="AH171" s="487"/>
      <c r="AI171" s="720"/>
      <c r="AJ171" s="487"/>
      <c r="AK171" s="723"/>
      <c r="AL171" s="487"/>
      <c r="AM171" s="740"/>
      <c r="AN171" s="702"/>
      <c r="AO171" s="702"/>
      <c r="AP171" s="725"/>
      <c r="AQ171" s="758"/>
      <c r="AR171" s="769">
        <f>AR170/$AQ170</f>
        <v>0.65736009204906698</v>
      </c>
      <c r="AS171" s="769">
        <f>AS170/$AQ170</f>
        <v>0.11306704301182469</v>
      </c>
      <c r="AT171" s="769">
        <f>AT170/$AQ170</f>
        <v>0.1268959654803633</v>
      </c>
      <c r="AU171" s="769">
        <f>AU170/$AQ170</f>
        <v>0.10267689945874493</v>
      </c>
      <c r="AV171" s="750"/>
      <c r="AW171" s="750"/>
      <c r="AX171" s="716"/>
      <c r="AY171" s="716"/>
      <c r="AZ171" s="724"/>
      <c r="BA171" s="724">
        <f>SegqtrSales!F311</f>
        <v>0</v>
      </c>
      <c r="BB171" s="724">
        <f>SegqtrSales!F488</f>
        <v>0</v>
      </c>
      <c r="BC171" s="724">
        <f>SegqtrSales!F665</f>
        <v>0</v>
      </c>
      <c r="BD171" s="716"/>
      <c r="BE171" s="716"/>
      <c r="BF171" s="746"/>
      <c r="BG171" s="744"/>
    </row>
    <row r="172" spans="1:59" collapsed="1">
      <c r="A172" s="715"/>
      <c r="B172" s="755">
        <f>+B165+1</f>
        <v>2013</v>
      </c>
      <c r="C172" s="487"/>
      <c r="D172" s="487"/>
      <c r="E172" s="702"/>
      <c r="F172" s="487"/>
      <c r="G172" s="702"/>
      <c r="H172" s="487"/>
      <c r="I172" s="702"/>
      <c r="J172" s="727"/>
      <c r="K172" s="487"/>
      <c r="L172" s="727"/>
      <c r="M172" s="487"/>
      <c r="N172" s="487"/>
      <c r="O172" s="702"/>
      <c r="P172" s="499"/>
      <c r="Q172" s="499"/>
      <c r="R172" s="487"/>
      <c r="S172" s="720"/>
      <c r="T172" s="487"/>
      <c r="U172" s="487"/>
      <c r="V172" s="487"/>
      <c r="W172" s="487"/>
      <c r="X172" s="702"/>
      <c r="Y172" s="487"/>
      <c r="Z172" s="487"/>
      <c r="AA172" s="487"/>
      <c r="AB172" s="487"/>
      <c r="AC172" s="487"/>
      <c r="AD172" s="487"/>
      <c r="AE172" s="702"/>
      <c r="AF172" s="499"/>
      <c r="AG172" s="499"/>
      <c r="AH172" s="487"/>
      <c r="AI172" s="487"/>
      <c r="AJ172" s="487"/>
      <c r="AK172" s="487"/>
      <c r="AL172" s="487"/>
      <c r="AM172" s="487"/>
      <c r="AN172" s="702"/>
      <c r="AO172" s="702"/>
      <c r="AP172" s="487"/>
      <c r="AQ172" s="487"/>
      <c r="AR172" s="487"/>
      <c r="AS172" s="487"/>
      <c r="AT172" s="487"/>
      <c r="AU172" s="487"/>
      <c r="AV172" s="487"/>
      <c r="AW172" s="487"/>
      <c r="AX172" s="487"/>
      <c r="AY172" s="487"/>
      <c r="AZ172" s="724"/>
      <c r="BA172" s="724">
        <f>SegqtrSales!F312</f>
        <v>0</v>
      </c>
      <c r="BB172" s="724">
        <f>SegqtrSales!F489</f>
        <v>0</v>
      </c>
      <c r="BC172" s="724">
        <f>SegqtrSales!F666</f>
        <v>0</v>
      </c>
      <c r="BD172" s="487"/>
      <c r="BE172" s="487"/>
      <c r="BF172" s="487"/>
      <c r="BG172" s="487"/>
    </row>
    <row r="173" spans="1:59">
      <c r="A173" s="487" t="str">
        <f>$A$40</f>
        <v>1Q</v>
      </c>
      <c r="B173" s="701" t="str">
        <f>$B$40</f>
        <v>Apr</v>
      </c>
      <c r="C173" s="487"/>
      <c r="D173" s="716">
        <f>(S173/S166-1)*100</f>
        <v>6.7526249179470588</v>
      </c>
      <c r="E173" s="702" t="s">
        <v>190</v>
      </c>
      <c r="F173" s="760">
        <v>2</v>
      </c>
      <c r="G173" s="702" t="s">
        <v>190</v>
      </c>
      <c r="H173" s="716">
        <f>D173-F173</f>
        <v>4.7526249179470588</v>
      </c>
      <c r="I173" s="702" t="s">
        <v>190</v>
      </c>
      <c r="J173" s="742">
        <f>Stores!CW194</f>
        <v>3100</v>
      </c>
      <c r="K173" s="735"/>
      <c r="L173" s="727">
        <f>AVERAGE(J173,J169)</f>
        <v>3075</v>
      </c>
      <c r="M173" s="487"/>
      <c r="N173" s="716">
        <f>(L173/L166-1)*100</f>
        <v>5.254150265274693</v>
      </c>
      <c r="O173" s="702" t="s">
        <v>190</v>
      </c>
      <c r="P173" s="719">
        <f>H173/N173*100</f>
        <v>90.454682070243123</v>
      </c>
      <c r="Q173" s="499" t="s">
        <v>190</v>
      </c>
      <c r="R173" s="487"/>
      <c r="S173" s="770">
        <v>6189.6090000000004</v>
      </c>
      <c r="T173" s="735"/>
      <c r="U173" s="721">
        <f>S173/L173</f>
        <v>2.0128809756097561</v>
      </c>
      <c r="V173" s="487"/>
      <c r="W173" s="740">
        <f>(U173/U166-1)*100</f>
        <v>1.4236727472462851</v>
      </c>
      <c r="X173" s="702" t="s">
        <v>190</v>
      </c>
      <c r="Y173" s="487"/>
      <c r="Z173" s="562">
        <f>Stores!$DB194</f>
        <v>90.4</v>
      </c>
      <c r="AA173" s="487"/>
      <c r="AB173" s="722">
        <f>AVERAGE(Z173,Z169)</f>
        <v>89.75</v>
      </c>
      <c r="AC173" s="487"/>
      <c r="AD173" s="716">
        <f>(AB173/AB166-1)*100</f>
        <v>4.7257876312718938</v>
      </c>
      <c r="AE173" s="702" t="s">
        <v>190</v>
      </c>
      <c r="AF173" s="719">
        <f>+H173/AD173*100</f>
        <v>100.56789023902756</v>
      </c>
      <c r="AG173" s="499" t="s">
        <v>190</v>
      </c>
      <c r="AH173" s="487"/>
      <c r="AI173" s="720">
        <f>+S173</f>
        <v>6189.6090000000004</v>
      </c>
      <c r="AJ173" s="487"/>
      <c r="AK173" s="723">
        <f>AI173/AB173</f>
        <v>68.965002785515324</v>
      </c>
      <c r="AL173" s="487"/>
      <c r="AM173" s="740">
        <f>(AK173/AK166-1)*100</f>
        <v>1.9353755483906721</v>
      </c>
      <c r="AN173" s="702" t="s">
        <v>190</v>
      </c>
      <c r="AO173" s="702"/>
      <c r="AP173" s="725">
        <f>+S173-AQ173</f>
        <v>0</v>
      </c>
      <c r="AQ173" s="745">
        <f>+AR173+AS173+AT173+AU173</f>
        <v>6189.6089999999995</v>
      </c>
      <c r="AR173" s="725">
        <f>SegqtrSales!S137</f>
        <v>4135.7489999999998</v>
      </c>
      <c r="AS173" s="725">
        <f>SegqtrSales!S313</f>
        <v>645.49599999999998</v>
      </c>
      <c r="AT173" s="725">
        <f>SegqtrSales!S490</f>
        <v>718.83399999999995</v>
      </c>
      <c r="AU173" s="725">
        <f>SegqtrSales!S667</f>
        <v>689.53</v>
      </c>
      <c r="AV173" s="725"/>
      <c r="AW173" s="725"/>
      <c r="AX173" s="716"/>
      <c r="AY173" s="716"/>
      <c r="AZ173" s="724">
        <f>SegqtrSales!F137</f>
        <v>1</v>
      </c>
      <c r="BA173" s="724">
        <f>SegqtrSales!F313</f>
        <v>-1</v>
      </c>
      <c r="BB173" s="724">
        <f>SegqtrSales!F490</f>
        <v>4</v>
      </c>
      <c r="BC173" s="724">
        <f>SegqtrSales!F667</f>
        <v>7</v>
      </c>
      <c r="BD173" s="716"/>
      <c r="BE173" s="716"/>
      <c r="BF173" s="746">
        <f>((AZ173)*(AR173/$AQ173)+(BA173)*(AS173/$AQ173)+(BB173)*(AT173/$AQ173)+(BC173)*(AU173/$AQ173))</f>
        <v>1.8082400681529318</v>
      </c>
      <c r="BG173" s="744">
        <f>F173</f>
        <v>2</v>
      </c>
    </row>
    <row r="174" spans="1:59">
      <c r="A174" s="487" t="str">
        <f>$A$41</f>
        <v>2Q</v>
      </c>
      <c r="B174" s="701" t="str">
        <f>$B$41</f>
        <v>Jul</v>
      </c>
      <c r="C174" s="487"/>
      <c r="D174" s="716">
        <f>(S174/S167-1)*100</f>
        <v>8.3569097539861303</v>
      </c>
      <c r="E174" s="487"/>
      <c r="F174" s="760">
        <v>4</v>
      </c>
      <c r="G174" s="487"/>
      <c r="H174" s="716">
        <f>D174-F174</f>
        <v>4.3569097539861303</v>
      </c>
      <c r="I174" s="487"/>
      <c r="J174" s="742">
        <f>Stores!CW195</f>
        <v>3119</v>
      </c>
      <c r="K174" s="487"/>
      <c r="L174" s="727">
        <f>AVERAGE(J174,J173)</f>
        <v>3109.5</v>
      </c>
      <c r="M174" s="487"/>
      <c r="N174" s="716">
        <f>(L174/L167-1)*100</f>
        <v>5.2640487474610698</v>
      </c>
      <c r="O174" s="702"/>
      <c r="P174" s="719">
        <f>H174/N174*100</f>
        <v>82.767275969614332</v>
      </c>
      <c r="Q174" s="499"/>
      <c r="R174" s="487"/>
      <c r="S174" s="771">
        <v>6442.424</v>
      </c>
      <c r="T174" s="735"/>
      <c r="U174" s="726">
        <f>S174/L174</f>
        <v>2.0718520662485931</v>
      </c>
      <c r="V174" s="487"/>
      <c r="W174" s="740">
        <f>(U174/U167-1)*100</f>
        <v>2.9381930899742725</v>
      </c>
      <c r="X174" s="702"/>
      <c r="Y174" s="487"/>
      <c r="Z174" s="562">
        <f>+Stores!DB195</f>
        <v>90.9</v>
      </c>
      <c r="AA174" s="735"/>
      <c r="AB174" s="722">
        <f>AVERAGE(Z174,Z173)</f>
        <v>90.65</v>
      </c>
      <c r="AC174" s="487"/>
      <c r="AD174" s="716">
        <f>(AB174/AB167-1)*100</f>
        <v>4.7371461582900176</v>
      </c>
      <c r="AE174" s="702"/>
      <c r="AF174" s="719">
        <f>+H174/AD174*100</f>
        <v>91.973302245731375</v>
      </c>
      <c r="AG174" s="499"/>
      <c r="AH174" s="487"/>
      <c r="AI174" s="725">
        <f>+S174</f>
        <v>6442.424</v>
      </c>
      <c r="AJ174" s="487"/>
      <c r="AK174" s="727">
        <f>AI174/AB174</f>
        <v>71.069211252068385</v>
      </c>
      <c r="AL174" s="487"/>
      <c r="AM174" s="740">
        <f>(AK174/AK167-1)*100</f>
        <v>3.4560456614175061</v>
      </c>
      <c r="AN174" s="702"/>
      <c r="AO174" s="702"/>
      <c r="AP174" s="725">
        <f>+S174-AQ174</f>
        <v>0</v>
      </c>
      <c r="AQ174" s="747">
        <f>+AR174+AS174+AT174+AU174</f>
        <v>6442.4239999999991</v>
      </c>
      <c r="AR174" s="725">
        <f>SegqtrSales!S138</f>
        <v>4295.3459999999995</v>
      </c>
      <c r="AS174" s="725">
        <f>SegqtrSales!S314</f>
        <v>679.36400000000003</v>
      </c>
      <c r="AT174" s="725">
        <f>SegqtrSales!S491</f>
        <v>777.59100000000001</v>
      </c>
      <c r="AU174" s="725">
        <f>SegqtrSales!S668</f>
        <v>690.12300000000005</v>
      </c>
      <c r="AV174" s="725"/>
      <c r="AW174" s="725"/>
      <c r="AX174" s="716"/>
      <c r="AY174" s="716"/>
      <c r="AZ174" s="724">
        <f>SegqtrSales!F138</f>
        <v>4</v>
      </c>
      <c r="BA174" s="724">
        <f>SegqtrSales!F314</f>
        <v>2</v>
      </c>
      <c r="BB174" s="724">
        <f>SegqtrSales!F491</f>
        <v>6</v>
      </c>
      <c r="BC174" s="724">
        <f>SegqtrSales!F668</f>
        <v>8</v>
      </c>
      <c r="BD174" s="716"/>
      <c r="BE174" s="716"/>
      <c r="BF174" s="746">
        <f>((AZ174)*(AR174/$AQ174)+(BA174)*(AS174/$AQ174)+(BB174)*(AT174/$AQ174)+(BC174)*(AU174/$AQ174))</f>
        <v>4.4589803465279534</v>
      </c>
      <c r="BG174" s="744">
        <f>F174</f>
        <v>4</v>
      </c>
    </row>
    <row r="175" spans="1:59">
      <c r="A175" s="487" t="str">
        <f>$A$42</f>
        <v>3Q</v>
      </c>
      <c r="B175" s="701" t="str">
        <f>$B$42</f>
        <v>Oct</v>
      </c>
      <c r="C175" s="487"/>
      <c r="D175" s="716">
        <f>(S175/S168-1)*100</f>
        <v>8.9061105649070669</v>
      </c>
      <c r="E175" s="487"/>
      <c r="F175" s="760">
        <v>5</v>
      </c>
      <c r="G175" s="487"/>
      <c r="H175" s="716">
        <f>D175-F175</f>
        <v>3.9061105649070669</v>
      </c>
      <c r="I175" s="487"/>
      <c r="J175" s="742">
        <f>Stores!CW196</f>
        <v>3212</v>
      </c>
      <c r="K175" s="487"/>
      <c r="L175" s="727">
        <f>AVERAGE(J175,J174)</f>
        <v>3165.5</v>
      </c>
      <c r="M175" s="487"/>
      <c r="N175" s="716">
        <f>(L175/L168-1)*100</f>
        <v>5.2360372340425565</v>
      </c>
      <c r="O175" s="702"/>
      <c r="P175" s="719">
        <f>H175/N175*100</f>
        <v>74.60051161422507</v>
      </c>
      <c r="Q175" s="499"/>
      <c r="R175" s="487"/>
      <c r="S175" s="771">
        <v>6981.8760000000002</v>
      </c>
      <c r="T175" s="487"/>
      <c r="U175" s="726">
        <f>S175/L175</f>
        <v>2.2056155425683146</v>
      </c>
      <c r="V175" s="487"/>
      <c r="W175" s="740">
        <f>(U175/U168-1)*100</f>
        <v>3.4874681975171296</v>
      </c>
      <c r="X175" s="702"/>
      <c r="Y175" s="487"/>
      <c r="Z175" s="562">
        <f>+Stores!DB196</f>
        <v>93.1</v>
      </c>
      <c r="AA175" s="735"/>
      <c r="AB175" s="722">
        <f>AVERAGE(Z175,Z174)</f>
        <v>92</v>
      </c>
      <c r="AC175" s="487"/>
      <c r="AD175" s="716">
        <f>(AB175/AB168-1)*100</f>
        <v>4.6048891415576998</v>
      </c>
      <c r="AE175" s="702"/>
      <c r="AF175" s="719">
        <f>+H175/AD175*100</f>
        <v>84.825289921870819</v>
      </c>
      <c r="AG175" s="499"/>
      <c r="AH175" s="487"/>
      <c r="AI175" s="725">
        <f>+S175</f>
        <v>6981.8760000000002</v>
      </c>
      <c r="AJ175" s="487"/>
      <c r="AK175" s="727">
        <f>AI175/AB175</f>
        <v>75.889956521739137</v>
      </c>
      <c r="AL175" s="487"/>
      <c r="AM175" s="740">
        <f>(AK175/AK168-1)*100</f>
        <v>4.1118741759084587</v>
      </c>
      <c r="AN175" s="702"/>
      <c r="AO175" s="702"/>
      <c r="AP175" s="725">
        <f>+S175-AQ175</f>
        <v>0</v>
      </c>
      <c r="AQ175" s="747">
        <f>+AR175+AS175+AT175+AU175</f>
        <v>6981.8760000000002</v>
      </c>
      <c r="AR175" s="725">
        <f>SegqtrSales!S139</f>
        <v>4484.174</v>
      </c>
      <c r="AS175" s="725">
        <f>SegqtrSales!S315</f>
        <v>785.88300000000004</v>
      </c>
      <c r="AT175" s="725">
        <f>SegqtrSales!S492</f>
        <v>972.28200000000004</v>
      </c>
      <c r="AU175" s="725">
        <f>SegqtrSales!S669</f>
        <v>739.53700000000003</v>
      </c>
      <c r="AV175" s="725"/>
      <c r="AW175" s="725"/>
      <c r="AX175" s="716"/>
      <c r="AY175" s="716"/>
      <c r="AZ175" s="724">
        <f>SegqtrSales!F139</f>
        <v>4</v>
      </c>
      <c r="BA175" s="724">
        <f>SegqtrSales!F315</f>
        <v>2</v>
      </c>
      <c r="BB175" s="724">
        <f>SegqtrSales!F492</f>
        <v>5</v>
      </c>
      <c r="BC175" s="724">
        <f>SegqtrSales!F669</f>
        <v>10</v>
      </c>
      <c r="BD175" s="716"/>
      <c r="BE175" s="716"/>
      <c r="BF175" s="746">
        <f>((AZ175)*(AR175/$AQ175)+(BA175)*(AS175/$AQ175)+(BB175)*(AT175/$AQ175)+(BC175)*(AU175/$AQ175))</f>
        <v>4.5496714636581919</v>
      </c>
      <c r="BG175" s="744">
        <f>F175</f>
        <v>5</v>
      </c>
    </row>
    <row r="176" spans="1:59">
      <c r="A176" s="487" t="str">
        <f>$A$43</f>
        <v>4Q</v>
      </c>
      <c r="B176" s="701" t="str">
        <f>$B$43</f>
        <v>Jan</v>
      </c>
      <c r="C176" s="487"/>
      <c r="D176" s="728">
        <f>(S176/S169-1)*100</f>
        <v>1.1001430122475675</v>
      </c>
      <c r="E176" s="487"/>
      <c r="F176" s="761">
        <v>3</v>
      </c>
      <c r="G176" s="487"/>
      <c r="H176" s="728">
        <f>D176-F176</f>
        <v>-1.8998569877524325</v>
      </c>
      <c r="I176" s="487"/>
      <c r="J176" s="742">
        <f>Stores!CW197</f>
        <v>3219</v>
      </c>
      <c r="K176" s="487"/>
      <c r="L176" s="734">
        <f>AVERAGE(J176,J175)</f>
        <v>3215.5</v>
      </c>
      <c r="M176" s="487"/>
      <c r="N176" s="728">
        <f>(L176/L169-1)*100</f>
        <v>5.4954068241469756</v>
      </c>
      <c r="O176" s="702"/>
      <c r="P176" s="719">
        <f>H176/N176*100</f>
        <v>-34.571725962205498</v>
      </c>
      <c r="Q176" s="499"/>
      <c r="R176" s="487"/>
      <c r="S176" s="772">
        <v>7808.7870000000003</v>
      </c>
      <c r="T176" s="487"/>
      <c r="U176" s="732">
        <f>S176/L176</f>
        <v>2.4284829730990514</v>
      </c>
      <c r="V176" s="487"/>
      <c r="W176" s="729">
        <f>(U176/U169-1)*100</f>
        <v>-4.1663082253675654</v>
      </c>
      <c r="X176" s="702"/>
      <c r="Y176" s="487"/>
      <c r="Z176" s="562">
        <f>+Stores!DB197</f>
        <v>93.3</v>
      </c>
      <c r="AA176" s="735"/>
      <c r="AB176" s="733">
        <f>AVERAGE(Z176,Z175)</f>
        <v>93.199999999999989</v>
      </c>
      <c r="AC176" s="487"/>
      <c r="AD176" s="728">
        <f>(AB176/AB169-1)*100</f>
        <v>4.7191011235955038</v>
      </c>
      <c r="AE176" s="702"/>
      <c r="AF176" s="730">
        <f>+H176/AD176*100</f>
        <v>-40.25887426427775</v>
      </c>
      <c r="AG176" s="499"/>
      <c r="AH176" s="487"/>
      <c r="AI176" s="731">
        <f>+S176</f>
        <v>7808.7870000000003</v>
      </c>
      <c r="AJ176" s="487"/>
      <c r="AK176" s="734">
        <f>AI176/AB176</f>
        <v>83.785268240343356</v>
      </c>
      <c r="AL176" s="487"/>
      <c r="AM176" s="729">
        <f>(AK176/AK169-1)*100</f>
        <v>-3.4558720162013556</v>
      </c>
      <c r="AN176" s="702"/>
      <c r="AO176" s="702"/>
      <c r="AP176" s="725">
        <f>+S176-AQ176</f>
        <v>49.702411025331457</v>
      </c>
      <c r="AQ176" s="747">
        <f>+AR176+AS176+AT176+AU176</f>
        <v>7759.0845889746688</v>
      </c>
      <c r="AR176" s="725">
        <f>SegqtrSales!S140</f>
        <v>5014.3069999999998</v>
      </c>
      <c r="AS176" s="725">
        <f>SegqtrSales!S316</f>
        <v>767.09100000000001</v>
      </c>
      <c r="AT176" s="725">
        <f>SegqtrSales!S493</f>
        <v>1152.8610000000001</v>
      </c>
      <c r="AU176" s="725">
        <f>SegqtrSales!S670</f>
        <v>824.82558897466834</v>
      </c>
      <c r="AV176" s="725"/>
      <c r="AW176" s="725"/>
      <c r="AX176" s="716"/>
      <c r="AY176" s="716"/>
      <c r="AZ176" s="724">
        <f>SegqtrSales!F140</f>
        <v>3</v>
      </c>
      <c r="BA176" s="724">
        <f>SegqtrSales!F316</f>
        <v>-2</v>
      </c>
      <c r="BB176" s="724">
        <f>SegqtrSales!F493</f>
        <v>9</v>
      </c>
      <c r="BC176" s="724">
        <f>SegqtrSales!F670</f>
        <v>4</v>
      </c>
      <c r="BD176" s="716"/>
      <c r="BE176" s="716"/>
      <c r="BF176" s="746">
        <f>((AZ176)*(AR176/$AQ176)+(BA176)*(AS176/$AQ176)+(BB176)*(AT176/$AQ176)+(BC176)*(AU176/$AQ176))</f>
        <v>3.5034790566049105</v>
      </c>
      <c r="BG176" s="744">
        <f>F176</f>
        <v>3</v>
      </c>
    </row>
    <row r="177" spans="1:59">
      <c r="A177" s="487"/>
      <c r="B177" s="701" t="str">
        <f>$B$44</f>
        <v>Year</v>
      </c>
      <c r="C177" s="487"/>
      <c r="D177" s="716">
        <f>(S177/S170-1)*100</f>
        <v>5.9676242384953504</v>
      </c>
      <c r="E177" s="487"/>
      <c r="F177" s="753">
        <f>F173*S173/$S177+F174*S174/$S177+F175*S175/$S177+F176*S176/$S177</f>
        <v>3.5184233891518177</v>
      </c>
      <c r="G177" s="487"/>
      <c r="H177" s="716">
        <f>D177-F177</f>
        <v>2.4492008493435327</v>
      </c>
      <c r="I177" s="487"/>
      <c r="J177" s="487"/>
      <c r="K177" s="487"/>
      <c r="L177" s="727">
        <f>AVERAGE(L173:L176)</f>
        <v>3141.375</v>
      </c>
      <c r="M177" s="487"/>
      <c r="N177" s="716">
        <f>(L177/L170-1)*100</f>
        <v>5.3136655072706596</v>
      </c>
      <c r="O177" s="702"/>
      <c r="P177" s="719">
        <f>H177/N177*100</f>
        <v>46.092492009372897</v>
      </c>
      <c r="Q177" s="499"/>
      <c r="R177" s="487"/>
      <c r="S177" s="720">
        <f>SUM(S173:S176)</f>
        <v>27422.696</v>
      </c>
      <c r="T177" s="487"/>
      <c r="U177" s="721">
        <f>SUM(U173:U176)</f>
        <v>8.718831557525716</v>
      </c>
      <c r="V177" s="487"/>
      <c r="W177" s="740">
        <f>(U177/U170-1)*100</f>
        <v>0.64810441127522989</v>
      </c>
      <c r="X177" s="702"/>
      <c r="Y177" s="487"/>
      <c r="Z177" s="487"/>
      <c r="AA177" s="487"/>
      <c r="AB177" s="722">
        <f>AVERAGE(AB173:AB176)</f>
        <v>91.399999999999991</v>
      </c>
      <c r="AC177" s="487"/>
      <c r="AD177" s="716">
        <f>(AB177/AB170-1)*100</f>
        <v>4.6964490263459169</v>
      </c>
      <c r="AE177" s="702"/>
      <c r="AF177" s="719">
        <f>+H177/AD177*100</f>
        <v>52.150057109192971</v>
      </c>
      <c r="AG177" s="499"/>
      <c r="AH177" s="487"/>
      <c r="AI177" s="720">
        <f>SUM(AI173:AI176)</f>
        <v>27422.696</v>
      </c>
      <c r="AJ177" s="487"/>
      <c r="AK177" s="723">
        <f>SUM(AK173:AK176)</f>
        <v>299.70943879966615</v>
      </c>
      <c r="AL177" s="487"/>
      <c r="AM177" s="740">
        <f>(AK177/AK170-1)*100</f>
        <v>1.2436739456245016</v>
      </c>
      <c r="AN177" s="702"/>
      <c r="AO177" s="702"/>
      <c r="AP177" s="725">
        <f>+S177-AQ177</f>
        <v>49.702411025329639</v>
      </c>
      <c r="AQ177" s="749">
        <f>SUM(AQ173:AQ176)</f>
        <v>27372.99358897467</v>
      </c>
      <c r="AR177" s="750">
        <f>SUM(AR173:AR176)</f>
        <v>17929.576000000001</v>
      </c>
      <c r="AS177" s="750">
        <f>SUM(AS173:AS176)</f>
        <v>2877.8340000000003</v>
      </c>
      <c r="AT177" s="750">
        <f>SUM(AT173:AT176)</f>
        <v>3621.5680000000002</v>
      </c>
      <c r="AU177" s="750">
        <f>SUM(AU173:AU176)</f>
        <v>2944.0155889746684</v>
      </c>
      <c r="AV177" s="750"/>
      <c r="AW177" s="750"/>
      <c r="AX177" s="716"/>
      <c r="AY177" s="716"/>
      <c r="AZ177" s="724">
        <f>SegqtrSales!F141</f>
        <v>3</v>
      </c>
      <c r="BA177" s="724">
        <f>SegqtrSales!F317</f>
        <v>0</v>
      </c>
      <c r="BB177" s="724">
        <f>SegqtrSales!F494</f>
        <v>6</v>
      </c>
      <c r="BC177" s="724">
        <f>SegqtrSales!F671</f>
        <v>7</v>
      </c>
      <c r="BD177" s="716"/>
      <c r="BE177" s="716"/>
      <c r="BF177" s="746">
        <f>((AZ177)*(AR177/$AQ177)+(BA177)*(AS177/$AQ177)+(BB177)*(AT177/$AQ177)+(BC177)*(AU177/$AQ177))</f>
        <v>3.5117183953727489</v>
      </c>
      <c r="BG177" s="744">
        <f>F177</f>
        <v>3.5184233891518177</v>
      </c>
    </row>
    <row r="178" spans="1:59">
      <c r="A178" s="487"/>
      <c r="B178" s="701"/>
      <c r="C178" s="487"/>
      <c r="D178" s="716"/>
      <c r="E178" s="487"/>
      <c r="F178" s="753"/>
      <c r="G178" s="487"/>
      <c r="H178" s="716"/>
      <c r="I178" s="487"/>
      <c r="J178" s="487"/>
      <c r="K178" s="487"/>
      <c r="L178" s="727"/>
      <c r="M178" s="487"/>
      <c r="N178" s="716"/>
      <c r="O178" s="702"/>
      <c r="P178" s="719"/>
      <c r="Q178" s="499"/>
      <c r="R178" s="487"/>
      <c r="S178" s="720"/>
      <c r="T178" s="487"/>
      <c r="U178" s="721"/>
      <c r="V178" s="487"/>
      <c r="W178" s="740"/>
      <c r="X178" s="702"/>
      <c r="Y178" s="487"/>
      <c r="Z178" s="487"/>
      <c r="AA178" s="487"/>
      <c r="AB178" s="722"/>
      <c r="AC178" s="487"/>
      <c r="AD178" s="716"/>
      <c r="AE178" s="702"/>
      <c r="AF178" s="719"/>
      <c r="AG178" s="499"/>
      <c r="AH178" s="487"/>
      <c r="AI178" s="720"/>
      <c r="AJ178" s="487"/>
      <c r="AK178" s="723"/>
      <c r="AL178" s="487"/>
      <c r="AM178" s="740"/>
      <c r="AN178" s="702"/>
      <c r="AO178" s="702"/>
      <c r="AP178" s="725"/>
      <c r="AQ178" s="758"/>
      <c r="AR178" s="769">
        <f>AR177/$AQ177</f>
        <v>0.65500968835289164</v>
      </c>
      <c r="AS178" s="769">
        <f>AS177/$AQ177</f>
        <v>0.1051340618133611</v>
      </c>
      <c r="AT178" s="769">
        <f>AT177/$AQ177</f>
        <v>0.13230441852215608</v>
      </c>
      <c r="AU178" s="769">
        <f>AU177/$AQ177</f>
        <v>0.1075518313115911</v>
      </c>
      <c r="AV178" s="750"/>
      <c r="AW178" s="750"/>
      <c r="AX178" s="716"/>
      <c r="AY178" s="716"/>
      <c r="AZ178" s="724"/>
      <c r="BA178" s="724">
        <f>SegqtrSales!F318</f>
        <v>0</v>
      </c>
      <c r="BB178" s="724">
        <f>SegqtrSales!F495</f>
        <v>0</v>
      </c>
      <c r="BC178" s="724">
        <f>SegqtrSales!F672</f>
        <v>0</v>
      </c>
      <c r="BD178" s="716"/>
      <c r="BE178" s="716"/>
      <c r="BF178" s="746"/>
      <c r="BG178" s="744"/>
    </row>
    <row r="179" spans="1:59">
      <c r="A179" s="715"/>
      <c r="B179" s="755">
        <f>+B172+1</f>
        <v>2014</v>
      </c>
      <c r="C179" s="487"/>
      <c r="D179" s="487"/>
      <c r="E179" s="702"/>
      <c r="F179" s="487"/>
      <c r="G179" s="702"/>
      <c r="H179" s="487"/>
      <c r="I179" s="702"/>
      <c r="J179" s="727"/>
      <c r="K179" s="487"/>
      <c r="L179" s="727"/>
      <c r="M179" s="487"/>
      <c r="N179" s="487"/>
      <c r="O179" s="702"/>
      <c r="P179" s="499"/>
      <c r="Q179" s="499"/>
      <c r="R179" s="487"/>
      <c r="S179" s="720"/>
      <c r="T179" s="487"/>
      <c r="U179" s="487"/>
      <c r="V179" s="487"/>
      <c r="W179" s="487"/>
      <c r="X179" s="702"/>
      <c r="Y179" s="487"/>
      <c r="Z179" s="487"/>
      <c r="AA179" s="487"/>
      <c r="AB179" s="487"/>
      <c r="AC179" s="487"/>
      <c r="AD179" s="487"/>
      <c r="AE179" s="702"/>
      <c r="AF179" s="499"/>
      <c r="AG179" s="499"/>
      <c r="AH179" s="487"/>
      <c r="AI179" s="487"/>
      <c r="AJ179" s="487"/>
      <c r="AK179" s="487"/>
      <c r="AL179" s="487"/>
      <c r="AM179" s="487"/>
      <c r="AN179" s="702"/>
      <c r="AO179" s="702"/>
      <c r="AP179" s="487"/>
      <c r="AQ179" s="487"/>
      <c r="AR179" s="487"/>
      <c r="AS179" s="487"/>
      <c r="AT179" s="487"/>
      <c r="AU179" s="487"/>
      <c r="AV179" s="487"/>
      <c r="AW179" s="487"/>
      <c r="AX179" s="487"/>
      <c r="AY179" s="487"/>
      <c r="AZ179" s="724"/>
      <c r="BA179" s="724">
        <f>SegqtrSales!F319</f>
        <v>0</v>
      </c>
      <c r="BB179" s="724">
        <f>SegqtrSales!F496</f>
        <v>0</v>
      </c>
      <c r="BC179" s="724">
        <f>SegqtrSales!F673</f>
        <v>0</v>
      </c>
      <c r="BD179" s="487"/>
      <c r="BE179" s="487"/>
      <c r="BF179" s="487"/>
      <c r="BG179" s="487"/>
    </row>
    <row r="180" spans="1:59">
      <c r="A180" s="487" t="str">
        <f>$A$40</f>
        <v>1Q</v>
      </c>
      <c r="B180" s="701" t="str">
        <f>$B$40</f>
        <v>Apr</v>
      </c>
      <c r="C180" s="487"/>
      <c r="D180" s="716">
        <f>(S180/S173-1)*100</f>
        <v>4.8721494362568007</v>
      </c>
      <c r="E180" s="702" t="s">
        <v>190</v>
      </c>
      <c r="F180" s="760">
        <v>1</v>
      </c>
      <c r="G180" s="487"/>
      <c r="H180" s="716">
        <f>D180-F180</f>
        <v>3.8721494362568007</v>
      </c>
      <c r="I180" s="702" t="s">
        <v>190</v>
      </c>
      <c r="J180" s="742">
        <f>Stores!CW201</f>
        <v>3256</v>
      </c>
      <c r="K180" s="735"/>
      <c r="L180" s="727">
        <f>AVERAGE(J180,J176)</f>
        <v>3237.5</v>
      </c>
      <c r="M180" s="487"/>
      <c r="N180" s="716">
        <f>(L180/L173-1)*100</f>
        <v>5.2845528455284452</v>
      </c>
      <c r="O180" s="702"/>
      <c r="P180" s="719">
        <f>H180/N180*100</f>
        <v>73.272981639936518</v>
      </c>
      <c r="Q180" s="499" t="s">
        <v>190</v>
      </c>
      <c r="R180" s="487"/>
      <c r="S180" s="770">
        <v>6491.1760000000004</v>
      </c>
      <c r="T180" s="487"/>
      <c r="U180" s="726">
        <f>S180/L180</f>
        <v>2.0049964478764482</v>
      </c>
      <c r="V180" s="487"/>
      <c r="W180" s="740">
        <f>(U180/U173-1)*100</f>
        <v>-0.3917036242502836</v>
      </c>
      <c r="X180" s="702" t="s">
        <v>190</v>
      </c>
      <c r="Y180" s="487"/>
      <c r="Z180" s="562">
        <f>Stores!$DB201</f>
        <v>94.3</v>
      </c>
      <c r="AA180" s="487"/>
      <c r="AB180" s="722">
        <f>AVERAGE(Z180,Z176)</f>
        <v>93.8</v>
      </c>
      <c r="AC180" s="487"/>
      <c r="AD180" s="716">
        <f>(AB180/AB173-1)*100</f>
        <v>4.5125348189414938</v>
      </c>
      <c r="AE180" s="702" t="s">
        <v>190</v>
      </c>
      <c r="AF180" s="719">
        <f>+H180/AD180*100</f>
        <v>85.808743680012014</v>
      </c>
      <c r="AG180" s="499" t="s">
        <v>190</v>
      </c>
      <c r="AH180" s="487"/>
      <c r="AI180" s="720">
        <f>+S180</f>
        <v>6491.1760000000004</v>
      </c>
      <c r="AJ180" s="487"/>
      <c r="AK180" s="723">
        <f>AI180/AB180</f>
        <v>69.202302771855017</v>
      </c>
      <c r="AL180" s="487"/>
      <c r="AM180" s="740">
        <f>(AK180/AK173-1)*100</f>
        <v>0.34408754695147703</v>
      </c>
      <c r="AN180" s="702" t="s">
        <v>190</v>
      </c>
      <c r="AO180" s="702"/>
      <c r="AP180" s="725">
        <f>+S180-AQ180</f>
        <v>0</v>
      </c>
      <c r="AQ180" s="745">
        <f>+AR180+AS180+AT180+AU180</f>
        <v>6491.1760000000004</v>
      </c>
      <c r="AR180" s="725">
        <f>SegqtrSales!S144</f>
        <v>4234.7550000000001</v>
      </c>
      <c r="AS180" s="725">
        <f>SegqtrSales!S320</f>
        <v>608.41999999999996</v>
      </c>
      <c r="AT180" s="725">
        <f>SegqtrSales!S497</f>
        <v>890.84900000000005</v>
      </c>
      <c r="AU180" s="725">
        <f>SegqtrSales!S674</f>
        <v>757.15200000000004</v>
      </c>
      <c r="AV180" s="725"/>
      <c r="AW180" s="725"/>
      <c r="AX180" s="716"/>
      <c r="AY180" s="716"/>
      <c r="AZ180" s="724">
        <f>SegqtrSales!F144</f>
        <v>0</v>
      </c>
      <c r="BA180" s="724">
        <f>SegqtrSales!F320</f>
        <v>-1</v>
      </c>
      <c r="BB180" s="724">
        <f>SegqtrSales!F497</f>
        <v>8</v>
      </c>
      <c r="BC180" s="724">
        <f>SegqtrSales!F674</f>
        <v>3</v>
      </c>
      <c r="BD180" s="716"/>
      <c r="BE180" s="716"/>
      <c r="BF180" s="746">
        <f>((AZ180)*(AR180/$AQ180)+(BA180)*(AS180/$AQ180)+(BB180)*(AT180/$AQ180)+(BC180)*(AU180/$AQ180))</f>
        <v>1.3541195000720978</v>
      </c>
      <c r="BG180" s="744">
        <f>F180</f>
        <v>1</v>
      </c>
    </row>
    <row r="181" spans="1:59">
      <c r="A181" s="487" t="str">
        <f>$A$41</f>
        <v>2Q</v>
      </c>
      <c r="B181" s="701" t="str">
        <f>$B$41</f>
        <v>Jul</v>
      </c>
      <c r="C181" s="487"/>
      <c r="D181" s="716">
        <f>(S181/S174-1)*100</f>
        <v>7.3697105313155431</v>
      </c>
      <c r="E181" s="487"/>
      <c r="F181" s="760">
        <v>3</v>
      </c>
      <c r="G181" s="487"/>
      <c r="H181" s="716">
        <f>D181-F181</f>
        <v>4.3697105313155431</v>
      </c>
      <c r="I181" s="487"/>
      <c r="J181" s="742">
        <f>Stores!CW202</f>
        <v>3279</v>
      </c>
      <c r="K181" s="735"/>
      <c r="L181" s="727">
        <f>AVERAGE(J181,J180)</f>
        <v>3267.5</v>
      </c>
      <c r="M181" s="487"/>
      <c r="N181" s="716">
        <f>(L181/L174-1)*100</f>
        <v>5.0812027657179515</v>
      </c>
      <c r="O181" s="702"/>
      <c r="P181" s="719">
        <f>H181/N181*100</f>
        <v>85.997562640036122</v>
      </c>
      <c r="Q181" s="499"/>
      <c r="R181" s="487"/>
      <c r="S181" s="771">
        <v>6917.2120000000004</v>
      </c>
      <c r="T181" s="487"/>
      <c r="U181" s="726">
        <f>S181/L181</f>
        <v>2.1169738332058148</v>
      </c>
      <c r="V181" s="487"/>
      <c r="W181" s="740">
        <f>(U181/U174-1)*100</f>
        <v>2.1778469463276773</v>
      </c>
      <c r="X181" s="702"/>
      <c r="Y181" s="487"/>
      <c r="Z181" s="562">
        <f>+Stores!DB202</f>
        <v>94.8</v>
      </c>
      <c r="AA181" s="735"/>
      <c r="AB181" s="722">
        <f>AVERAGE(Z181,Z180)</f>
        <v>94.55</v>
      </c>
      <c r="AC181" s="487"/>
      <c r="AD181" s="716">
        <f>(AB181/AB174-1)*100</f>
        <v>4.3022614451185826</v>
      </c>
      <c r="AE181" s="702"/>
      <c r="AF181" s="719">
        <f>+H181/AD181*100</f>
        <v>101.56775888814218</v>
      </c>
      <c r="AG181" s="499"/>
      <c r="AH181" s="487"/>
      <c r="AI181" s="725">
        <f>+S181</f>
        <v>6917.2120000000004</v>
      </c>
      <c r="AJ181" s="487"/>
      <c r="AK181" s="727">
        <f>AI181/AB181</f>
        <v>73.15930195663671</v>
      </c>
      <c r="AL181" s="487"/>
      <c r="AM181" s="740">
        <f>(AK181/AK174-1)*100</f>
        <v>2.9409228943813481</v>
      </c>
      <c r="AN181" s="702"/>
      <c r="AO181" s="702"/>
      <c r="AP181" s="725">
        <f>+S181-AQ181</f>
        <v>0</v>
      </c>
      <c r="AQ181" s="747">
        <f>+AR181+AS181+AT181+AU181</f>
        <v>6917.2119999999995</v>
      </c>
      <c r="AR181" s="725">
        <f>SegqtrSales!S145</f>
        <v>4493.8779999999997</v>
      </c>
      <c r="AS181" s="725">
        <f>SegqtrSales!S321</f>
        <v>695.92399999999998</v>
      </c>
      <c r="AT181" s="725">
        <f>SegqtrSales!S498</f>
        <v>954.33900000000006</v>
      </c>
      <c r="AU181" s="725">
        <f>SegqtrSales!S675</f>
        <v>773.07100000000003</v>
      </c>
      <c r="AV181" s="725"/>
      <c r="AW181" s="725"/>
      <c r="AX181" s="716"/>
      <c r="AY181" s="716"/>
      <c r="AZ181" s="724">
        <f>SegqtrSales!F145</f>
        <v>2</v>
      </c>
      <c r="BA181" s="724">
        <f>SegqtrSales!F321</f>
        <v>3</v>
      </c>
      <c r="BB181" s="724">
        <f>SegqtrSales!F498</f>
        <v>6</v>
      </c>
      <c r="BC181" s="724">
        <f>SegqtrSales!F675</f>
        <v>5</v>
      </c>
      <c r="BD181" s="716"/>
      <c r="BE181" s="716"/>
      <c r="BF181" s="746">
        <f>((AZ181)*(AR181/$AQ181)+(BA181)*(AS181/$AQ181)+(BB181)*(AT181/$AQ181)+(BC181)*(AU181/$AQ181))</f>
        <v>2.9877524355188187</v>
      </c>
      <c r="BG181" s="744">
        <f>F181</f>
        <v>3</v>
      </c>
    </row>
    <row r="182" spans="1:59">
      <c r="A182" s="487" t="str">
        <f>$A$42</f>
        <v>3Q</v>
      </c>
      <c r="B182" s="701" t="str">
        <f>$B$42</f>
        <v>Oct</v>
      </c>
      <c r="C182" s="487"/>
      <c r="D182" s="716">
        <f>(S182/S175-1)*100</f>
        <v>5.5026757851328156</v>
      </c>
      <c r="E182" s="487"/>
      <c r="F182" s="760">
        <v>2</v>
      </c>
      <c r="G182" s="487"/>
      <c r="H182" s="716">
        <f>D182-F182</f>
        <v>3.5026757851328156</v>
      </c>
      <c r="I182" s="487"/>
      <c r="J182" s="742">
        <f>Stores!CW203</f>
        <v>3385</v>
      </c>
      <c r="K182" s="735"/>
      <c r="L182" s="727">
        <f>AVERAGE(J182,J181)</f>
        <v>3332</v>
      </c>
      <c r="M182" s="487"/>
      <c r="N182" s="716">
        <f>(L182/L175-1)*100</f>
        <v>5.2598325698941739</v>
      </c>
      <c r="O182" s="702"/>
      <c r="P182" s="719">
        <f>H182/N182*100</f>
        <v>66.59291410112867</v>
      </c>
      <c r="Q182" s="499"/>
      <c r="R182" s="487"/>
      <c r="S182" s="771">
        <v>7366.0659999999998</v>
      </c>
      <c r="T182" s="487"/>
      <c r="U182" s="726">
        <f>S182/L182</f>
        <v>2.2107040816326529</v>
      </c>
      <c r="V182" s="487"/>
      <c r="W182" s="740">
        <f>(U182/U175-1)*100</f>
        <v>0.23070834268845708</v>
      </c>
      <c r="X182" s="702"/>
      <c r="Y182" s="487"/>
      <c r="Z182" s="562">
        <f>+Stores!DB203</f>
        <v>97.3</v>
      </c>
      <c r="AA182" s="735"/>
      <c r="AB182" s="722">
        <f>AVERAGE(Z182,Z181)</f>
        <v>96.05</v>
      </c>
      <c r="AC182" s="487"/>
      <c r="AD182" s="716">
        <f>(AB182/AB175-1)*100</f>
        <v>4.4021739130434723</v>
      </c>
      <c r="AE182" s="702"/>
      <c r="AF182" s="719">
        <f>+H182/AD182*100</f>
        <v>79.566956106720852</v>
      </c>
      <c r="AG182" s="499"/>
      <c r="AH182" s="487"/>
      <c r="AI182" s="725">
        <f>+S182</f>
        <v>7366.0659999999998</v>
      </c>
      <c r="AJ182" s="487"/>
      <c r="AK182" s="727">
        <f>AI182/AB182</f>
        <v>76.689911504424785</v>
      </c>
      <c r="AL182" s="487"/>
      <c r="AM182" s="740">
        <f>(AK182/AK175-1)*100</f>
        <v>1.0540986177222322</v>
      </c>
      <c r="AN182" s="702"/>
      <c r="AO182" s="702"/>
      <c r="AP182" s="725">
        <f>+S182-AQ182</f>
        <v>0</v>
      </c>
      <c r="AQ182" s="747">
        <f>+AR182+AS182+AT182+AU182</f>
        <v>7366.0660000000007</v>
      </c>
      <c r="AR182" s="725">
        <f>SegqtrSales!S146</f>
        <v>4673.7179999999998</v>
      </c>
      <c r="AS182" s="725">
        <f>SegqtrSales!S322</f>
        <v>791.72500000000002</v>
      </c>
      <c r="AT182" s="725">
        <f>SegqtrSales!S499</f>
        <v>1049.578</v>
      </c>
      <c r="AU182" s="725">
        <f>SegqtrSales!S676</f>
        <v>851.04499999999996</v>
      </c>
      <c r="AV182" s="725"/>
      <c r="AW182" s="725"/>
      <c r="AX182" s="716"/>
      <c r="AY182" s="716"/>
      <c r="AZ182" s="724">
        <f>SegqtrSales!F146</f>
        <v>1</v>
      </c>
      <c r="BA182" s="724">
        <f>SegqtrSales!F322</f>
        <v>3</v>
      </c>
      <c r="BB182" s="724">
        <f>SegqtrSales!F499</f>
        <v>-1</v>
      </c>
      <c r="BC182" s="724">
        <f>SegqtrSales!F676</f>
        <v>7</v>
      </c>
      <c r="BD182" s="716"/>
      <c r="BE182" s="716"/>
      <c r="BF182" s="746">
        <f>((AZ182)*(AR182/$AQ182)+(BA182)*(AS182/$AQ182)+(BB182)*(AT182/$AQ182)+(BC182)*(AU182/$AQ182))</f>
        <v>1.6232042992826834</v>
      </c>
      <c r="BG182" s="744">
        <f>F182</f>
        <v>2</v>
      </c>
    </row>
    <row r="183" spans="1:59">
      <c r="A183" s="487" t="str">
        <f>$A$43</f>
        <v>4Q</v>
      </c>
      <c r="B183" s="701" t="str">
        <f>$B$43</f>
        <v>Jan</v>
      </c>
      <c r="C183" s="487"/>
      <c r="D183" s="728">
        <f>(S183/S176-1)*100</f>
        <v>6.3411385148551158</v>
      </c>
      <c r="E183" s="487"/>
      <c r="F183" s="761">
        <v>4</v>
      </c>
      <c r="G183" s="487"/>
      <c r="H183" s="728">
        <f>D183-F183</f>
        <v>2.3411385148551158</v>
      </c>
      <c r="I183" s="487"/>
      <c r="J183" s="742">
        <f>Stores!CW204</f>
        <v>3395</v>
      </c>
      <c r="K183" s="735"/>
      <c r="L183" s="734">
        <f>AVERAGE(J183,J182)</f>
        <v>3390</v>
      </c>
      <c r="M183" s="487"/>
      <c r="N183" s="728">
        <f>(L183/L176-1)*100</f>
        <v>5.4268387498056292</v>
      </c>
      <c r="O183" s="702"/>
      <c r="P183" s="730">
        <f>H183/N183*100</f>
        <v>43.140005126169768</v>
      </c>
      <c r="Q183" s="499"/>
      <c r="R183" s="487"/>
      <c r="S183" s="772">
        <v>8303.9529999999995</v>
      </c>
      <c r="T183" s="487"/>
      <c r="U183" s="732">
        <f>S183/L183</f>
        <v>2.449543657817109</v>
      </c>
      <c r="V183" s="487"/>
      <c r="W183" s="729">
        <f>(U183/U176-1)*100</f>
        <v>0.86723625206981403</v>
      </c>
      <c r="X183" s="702"/>
      <c r="Y183" s="487"/>
      <c r="Z183" s="562">
        <f>+Stores!DB204</f>
        <v>97.5</v>
      </c>
      <c r="AA183" s="735"/>
      <c r="AB183" s="733">
        <f>AVERAGE(Z183,Z182)</f>
        <v>97.4</v>
      </c>
      <c r="AC183" s="487"/>
      <c r="AD183" s="728">
        <f>(AB183/AB176-1)*100</f>
        <v>4.5064377682403567</v>
      </c>
      <c r="AE183" s="702"/>
      <c r="AF183" s="730">
        <f>+H183/AD183*100</f>
        <v>51.950978472499088</v>
      </c>
      <c r="AG183" s="499"/>
      <c r="AH183" s="487"/>
      <c r="AI183" s="731">
        <f>+S183</f>
        <v>8303.9529999999995</v>
      </c>
      <c r="AJ183" s="487"/>
      <c r="AK183" s="734">
        <f>AI183/AB183</f>
        <v>85.256190965092387</v>
      </c>
      <c r="AL183" s="487"/>
      <c r="AM183" s="729">
        <f>(AK183/AK176-1)*100</f>
        <v>1.7555863407032302</v>
      </c>
      <c r="AN183" s="702"/>
      <c r="AO183" s="702"/>
      <c r="AP183" s="725">
        <f>+S183-AQ183</f>
        <v>-1.0470000000004802</v>
      </c>
      <c r="AQ183" s="747">
        <f>+AR183+AS183+AT183+AU183</f>
        <v>8305</v>
      </c>
      <c r="AR183" s="725">
        <f>SegqtrSales!S147</f>
        <v>5286</v>
      </c>
      <c r="AS183" s="725">
        <f>SegqtrSales!S323</f>
        <v>788</v>
      </c>
      <c r="AT183" s="725">
        <f>SegqtrSales!S500</f>
        <v>1198</v>
      </c>
      <c r="AU183" s="725">
        <f>SegqtrSales!S677</f>
        <v>1033</v>
      </c>
      <c r="AV183" s="725"/>
      <c r="AW183" s="725"/>
      <c r="AX183" s="716"/>
      <c r="AY183" s="716"/>
      <c r="AZ183" s="724">
        <f>SegqtrSales!F147</f>
        <v>3</v>
      </c>
      <c r="BA183" s="724">
        <f>SegqtrSales!F323</f>
        <v>7</v>
      </c>
      <c r="BB183" s="724">
        <f>SegqtrSales!F500</f>
        <v>2</v>
      </c>
      <c r="BC183" s="724">
        <f>SegqtrSales!F677</f>
        <v>11</v>
      </c>
      <c r="BD183" s="716"/>
      <c r="BE183" s="716"/>
      <c r="BF183" s="746">
        <f>((AZ183)*(AR183/$AQ183)+(BA183)*(AS183/$AQ183)+(BB183)*(AT183/$AQ183)+(BC183)*(AU183/$AQ183))</f>
        <v>4.2303431667670077</v>
      </c>
      <c r="BG183" s="744">
        <f>F183</f>
        <v>4</v>
      </c>
    </row>
    <row r="184" spans="1:59">
      <c r="A184" s="487"/>
      <c r="B184" s="701" t="str">
        <f>$B$44</f>
        <v>Year</v>
      </c>
      <c r="C184" s="487"/>
      <c r="D184" s="716">
        <f>(S184/S177-1)*100</f>
        <v>6.0377396883223966</v>
      </c>
      <c r="E184" s="487"/>
      <c r="F184" s="753">
        <f>'qtrP&amp;L'!CZ14</f>
        <v>2</v>
      </c>
      <c r="G184" s="487"/>
      <c r="H184" s="716">
        <f>D184-F184</f>
        <v>4.0377396883223966</v>
      </c>
      <c r="I184" s="487"/>
      <c r="J184" s="487"/>
      <c r="K184" s="487"/>
      <c r="L184" s="727">
        <f>AVERAGE(L180:L183)</f>
        <v>3306.75</v>
      </c>
      <c r="M184" s="487"/>
      <c r="N184" s="716">
        <f>(L184/L177-1)*100</f>
        <v>5.2644144681867067</v>
      </c>
      <c r="O184" s="702"/>
      <c r="P184" s="719">
        <f>H184/N184*100</f>
        <v>76.698742333507226</v>
      </c>
      <c r="Q184" s="499"/>
      <c r="R184" s="487"/>
      <c r="S184" s="720">
        <f>SUM(S180:S183)</f>
        <v>29078.406999999999</v>
      </c>
      <c r="T184" s="487"/>
      <c r="U184" s="721">
        <f>SUM(U180:U183)</f>
        <v>8.7822180205320244</v>
      </c>
      <c r="V184" s="487"/>
      <c r="W184" s="740">
        <f>(U184/U177-1)*100</f>
        <v>0.72700639515848042</v>
      </c>
      <c r="X184" s="702"/>
      <c r="Y184" s="487"/>
      <c r="Z184" s="487"/>
      <c r="AA184" s="487"/>
      <c r="AB184" s="722">
        <f>AVERAGE(AB180:AB183)</f>
        <v>95.449999999999989</v>
      </c>
      <c r="AC184" s="487"/>
      <c r="AD184" s="716">
        <f>(AB184/AB177-1)*100</f>
        <v>4.4310722100656452</v>
      </c>
      <c r="AE184" s="702"/>
      <c r="AF184" s="719">
        <f>+H184/AD184*100</f>
        <v>91.123310496954829</v>
      </c>
      <c r="AG184" s="499"/>
      <c r="AH184" s="487"/>
      <c r="AI184" s="720">
        <f>SUM(AI180:AI183)</f>
        <v>29078.406999999999</v>
      </c>
      <c r="AJ184" s="487"/>
      <c r="AK184" s="723">
        <f>SUM(AK180:AK183)</f>
        <v>304.30770719800893</v>
      </c>
      <c r="AL184" s="487"/>
      <c r="AM184" s="740">
        <f>(AK184/AK177-1)*100</f>
        <v>1.5342421035382747</v>
      </c>
      <c r="AN184" s="702"/>
      <c r="AO184" s="702"/>
      <c r="AP184" s="725">
        <f>+S184-AQ184</f>
        <v>-1.0469999999986612</v>
      </c>
      <c r="AQ184" s="749">
        <f>SUM(AQ180:AQ183)</f>
        <v>29079.453999999998</v>
      </c>
      <c r="AR184" s="750">
        <f>SUM(AR180:AR183)</f>
        <v>18688.350999999999</v>
      </c>
      <c r="AS184" s="750">
        <f>SUM(AS180:AS183)</f>
        <v>2884.069</v>
      </c>
      <c r="AT184" s="750">
        <f>SUM(AT180:AT183)</f>
        <v>4092.7660000000001</v>
      </c>
      <c r="AU184" s="750">
        <f>SUM(AU180:AU183)</f>
        <v>3414.268</v>
      </c>
      <c r="AV184" s="750"/>
      <c r="AW184" s="750"/>
      <c r="AX184" s="716"/>
      <c r="AY184" s="716"/>
      <c r="AZ184" s="724">
        <f>SegqtrSales!F148</f>
        <v>1</v>
      </c>
      <c r="BA184" s="724">
        <f>SegqtrSales!F324</f>
        <v>3</v>
      </c>
      <c r="BB184" s="724">
        <f>SegqtrSales!F501</f>
        <v>3</v>
      </c>
      <c r="BC184" s="724">
        <f>SegqtrSales!F678</f>
        <v>7</v>
      </c>
      <c r="BD184" s="716"/>
      <c r="BE184" s="716"/>
      <c r="BF184" s="746">
        <f>((AZ184)*(AR184/$AQ184)+(BA184)*(AS184/$AQ184)+(BB184)*(AT184/$AQ184)+(BC184)*(AU184/$AQ184))</f>
        <v>2.1843165280888699</v>
      </c>
      <c r="BG184" s="744">
        <f>F184</f>
        <v>2</v>
      </c>
    </row>
    <row r="185" spans="1:59">
      <c r="A185" s="487"/>
      <c r="B185" s="701"/>
      <c r="C185" s="487"/>
      <c r="D185" s="716"/>
      <c r="E185" s="487"/>
      <c r="F185" s="753"/>
      <c r="G185" s="487"/>
      <c r="H185" s="716"/>
      <c r="I185" s="487"/>
      <c r="J185" s="487"/>
      <c r="K185" s="487"/>
      <c r="L185" s="727"/>
      <c r="M185" s="487"/>
      <c r="N185" s="716"/>
      <c r="O185" s="702"/>
      <c r="P185" s="719"/>
      <c r="Q185" s="499"/>
      <c r="R185" s="487"/>
      <c r="S185" s="720"/>
      <c r="T185" s="487"/>
      <c r="U185" s="721"/>
      <c r="V185" s="487"/>
      <c r="W185" s="740"/>
      <c r="X185" s="702"/>
      <c r="Y185" s="487"/>
      <c r="Z185" s="487"/>
      <c r="AA185" s="487"/>
      <c r="AB185" s="722"/>
      <c r="AC185" s="487"/>
      <c r="AD185" s="716"/>
      <c r="AE185" s="702"/>
      <c r="AF185" s="719"/>
      <c r="AG185" s="499"/>
      <c r="AH185" s="487"/>
      <c r="AI185" s="720"/>
      <c r="AJ185" s="487"/>
      <c r="AK185" s="723"/>
      <c r="AL185" s="487"/>
      <c r="AM185" s="740"/>
      <c r="AN185" s="702"/>
      <c r="AO185" s="702"/>
      <c r="AP185" s="725"/>
      <c r="AQ185" s="758"/>
      <c r="AR185" s="769">
        <f>AR184/$AQ184</f>
        <v>0.64266512706875445</v>
      </c>
      <c r="AS185" s="769">
        <f>AS184/$AQ184</f>
        <v>9.917892543649548E-2</v>
      </c>
      <c r="AT185" s="769">
        <f>AT184/$AQ184</f>
        <v>0.14074425193815537</v>
      </c>
      <c r="AU185" s="769">
        <f>AU184/$AQ184</f>
        <v>0.11741169555659471</v>
      </c>
      <c r="AV185" s="750"/>
      <c r="AW185" s="750"/>
      <c r="AX185" s="716"/>
      <c r="AY185" s="716"/>
      <c r="AZ185" s="724"/>
      <c r="BA185" s="724">
        <f>SegqtrSales!F325</f>
        <v>0</v>
      </c>
      <c r="BB185" s="724">
        <f>SegqtrSales!F502</f>
        <v>0</v>
      </c>
      <c r="BC185" s="724">
        <f>SegqtrSales!F679</f>
        <v>0</v>
      </c>
      <c r="BD185" s="716"/>
      <c r="BE185" s="716"/>
      <c r="BF185" s="746"/>
      <c r="BG185" s="744"/>
    </row>
    <row r="186" spans="1:59">
      <c r="A186" s="715"/>
      <c r="B186" s="755">
        <f>+B179+1</f>
        <v>2015</v>
      </c>
      <c r="C186" s="487"/>
      <c r="D186" s="487"/>
      <c r="E186" s="702"/>
      <c r="F186" s="487"/>
      <c r="G186" s="702"/>
      <c r="H186" s="487"/>
      <c r="I186" s="702"/>
      <c r="J186" s="727"/>
      <c r="K186" s="487"/>
      <c r="L186" s="727"/>
      <c r="M186" s="487"/>
      <c r="N186" s="487"/>
      <c r="O186" s="702"/>
      <c r="P186" s="499"/>
      <c r="Q186" s="499"/>
      <c r="R186" s="487"/>
      <c r="S186" s="720"/>
      <c r="T186" s="487"/>
      <c r="U186" s="487"/>
      <c r="V186" s="487"/>
      <c r="W186" s="487"/>
      <c r="X186" s="702"/>
      <c r="Y186" s="487"/>
      <c r="Z186" s="487"/>
      <c r="AA186" s="487"/>
      <c r="AB186" s="487"/>
      <c r="AC186" s="487"/>
      <c r="AD186" s="487"/>
      <c r="AE186" s="702"/>
      <c r="AF186" s="499"/>
      <c r="AG186" s="499"/>
      <c r="AH186" s="487"/>
      <c r="AI186" s="487"/>
      <c r="AJ186" s="487"/>
      <c r="AK186" s="487"/>
      <c r="AL186" s="487"/>
      <c r="AM186" s="487"/>
      <c r="AN186" s="702"/>
      <c r="AO186" s="702"/>
      <c r="AP186" s="487"/>
      <c r="AQ186" s="487"/>
      <c r="AR186" s="487"/>
      <c r="AS186" s="487"/>
      <c r="AT186" s="487"/>
      <c r="AU186" s="487"/>
      <c r="AV186" s="487"/>
      <c r="AW186" s="487"/>
      <c r="AX186" s="487"/>
      <c r="AY186" s="487"/>
      <c r="AZ186" s="724"/>
      <c r="BA186" s="724">
        <f>SegqtrSales!F326</f>
        <v>0</v>
      </c>
      <c r="BB186" s="724">
        <f>SegqtrSales!F503</f>
        <v>0</v>
      </c>
      <c r="BC186" s="724">
        <f>SegqtrSales!F680</f>
        <v>0</v>
      </c>
      <c r="BD186" s="487"/>
      <c r="BE186" s="487"/>
      <c r="BF186" s="487"/>
      <c r="BG186" s="487"/>
    </row>
    <row r="187" spans="1:59">
      <c r="A187" s="487" t="str">
        <f>$A$40</f>
        <v>1Q</v>
      </c>
      <c r="B187" s="701" t="str">
        <f>$B$40</f>
        <v>Apr</v>
      </c>
      <c r="C187" s="487"/>
      <c r="D187" s="716">
        <f>(S187/S180-1)*100</f>
        <v>5.7687697884019729</v>
      </c>
      <c r="E187" s="487"/>
      <c r="F187" s="760">
        <v>5</v>
      </c>
      <c r="G187" s="487"/>
      <c r="H187" s="716">
        <f>D187-F187</f>
        <v>0.76876978840197285</v>
      </c>
      <c r="I187" s="487"/>
      <c r="J187" s="742">
        <f>Stores!CW208</f>
        <v>3441</v>
      </c>
      <c r="K187" s="735"/>
      <c r="L187" s="727">
        <f>AVERAGE(J187,J183)</f>
        <v>3418</v>
      </c>
      <c r="M187" s="487"/>
      <c r="N187" s="716">
        <f>(L187/L180-1)*100</f>
        <v>5.5752895752895659</v>
      </c>
      <c r="O187" s="702"/>
      <c r="P187" s="719">
        <f>H187/N187*100</f>
        <v>13.788876398622666</v>
      </c>
      <c r="Q187" s="499"/>
      <c r="R187" s="487"/>
      <c r="S187" s="770">
        <v>6865.6369999999997</v>
      </c>
      <c r="T187" s="487"/>
      <c r="U187" s="726">
        <f>S187/L187</f>
        <v>2.0086708601521357</v>
      </c>
      <c r="V187" s="487"/>
      <c r="W187" s="740">
        <f>(U187/U180-1)*100</f>
        <v>0.18326278231461934</v>
      </c>
      <c r="X187" s="702" t="s">
        <v>190</v>
      </c>
      <c r="Y187" s="487"/>
      <c r="Z187" s="562">
        <f>Stores!$DB208</f>
        <v>98.7</v>
      </c>
      <c r="AA187" s="487"/>
      <c r="AB187" s="722">
        <f>AVERAGE(Z187,Z183)</f>
        <v>98.1</v>
      </c>
      <c r="AC187" s="487"/>
      <c r="AD187" s="716">
        <f>(AB187/AB180-1)*100</f>
        <v>4.5842217484008518</v>
      </c>
      <c r="AE187" s="702" t="s">
        <v>190</v>
      </c>
      <c r="AF187" s="719">
        <f>+H187/AD187*100</f>
        <v>16.769908407466293</v>
      </c>
      <c r="AG187" s="499" t="s">
        <v>190</v>
      </c>
      <c r="AH187" s="487"/>
      <c r="AI187" s="720">
        <f>+S187</f>
        <v>6865.6369999999997</v>
      </c>
      <c r="AJ187" s="487"/>
      <c r="AK187" s="723">
        <f>AI187/AB187</f>
        <v>69.986106014271158</v>
      </c>
      <c r="AL187" s="487"/>
      <c r="AM187" s="740">
        <f>(AK187/AK180-1)*100</f>
        <v>1.132625954659594</v>
      </c>
      <c r="AN187" s="702" t="s">
        <v>190</v>
      </c>
      <c r="AO187" s="702"/>
      <c r="AP187" s="725">
        <f>+S187-AQ187</f>
        <v>0</v>
      </c>
      <c r="AQ187" s="745">
        <f>+AR187+AS187+AT187+AU187</f>
        <v>6865.6369999999997</v>
      </c>
      <c r="AR187" s="725">
        <f>SegqtrSales!S151</f>
        <v>4495.41</v>
      </c>
      <c r="AS187" s="725">
        <f>SegqtrSales!S327</f>
        <v>620.21199999999999</v>
      </c>
      <c r="AT187" s="725">
        <f>SegqtrSales!S504</f>
        <v>869.822</v>
      </c>
      <c r="AU187" s="725">
        <f>SegqtrSales!S681</f>
        <v>880.19299999999998</v>
      </c>
      <c r="AV187" s="725"/>
      <c r="AW187" s="725"/>
      <c r="AX187" s="716"/>
      <c r="AY187" s="716"/>
      <c r="AZ187" s="724">
        <f>SegqtrSales!F151</f>
        <v>3</v>
      </c>
      <c r="BA187" s="724">
        <f>SegqtrSales!F327</f>
        <v>11</v>
      </c>
      <c r="BB187" s="724">
        <f>SegqtrSales!F504</f>
        <v>3</v>
      </c>
      <c r="BC187" s="724">
        <f>SegqtrSales!F681</f>
        <v>9</v>
      </c>
      <c r="BD187" s="716"/>
      <c r="BE187" s="716"/>
      <c r="BF187" s="746">
        <f>((AZ187)*(AR187/$AQ187)+(BA187)*(AS187/$AQ187)+(BB187)*(AT187/$AQ187)+(BC187)*(AU187/$AQ187))</f>
        <v>4.491901479789858</v>
      </c>
      <c r="BG187" s="744">
        <f>+F187</f>
        <v>5</v>
      </c>
    </row>
    <row r="188" spans="1:59">
      <c r="A188" s="487" t="str">
        <f>$A$41</f>
        <v>2Q</v>
      </c>
      <c r="B188" s="701" t="str">
        <f>$B$41</f>
        <v>Jul</v>
      </c>
      <c r="C188" s="487"/>
      <c r="D188" s="716">
        <f>(S188/S181-1)*100</f>
        <v>6.4551874367881013</v>
      </c>
      <c r="E188" s="487"/>
      <c r="F188" s="760">
        <v>6</v>
      </c>
      <c r="G188" s="487"/>
      <c r="H188" s="716">
        <f>D188-F188</f>
        <v>0.45518743678810125</v>
      </c>
      <c r="I188" s="487"/>
      <c r="J188" s="742">
        <f>Stores!CW209</f>
        <v>3461</v>
      </c>
      <c r="K188" s="735"/>
      <c r="L188" s="727">
        <f>AVERAGE(J188,J187)</f>
        <v>3451</v>
      </c>
      <c r="M188" s="487"/>
      <c r="N188" s="716">
        <f>(L188/L181-1)*100</f>
        <v>5.6159143075745988</v>
      </c>
      <c r="O188" s="702"/>
      <c r="P188" s="719">
        <f>H188/N188*100</f>
        <v>8.1053130774121023</v>
      </c>
      <c r="Q188" s="499"/>
      <c r="R188" s="487"/>
      <c r="S188" s="771">
        <v>7363.7309999999998</v>
      </c>
      <c r="T188" s="487"/>
      <c r="U188" s="726">
        <f>S188/L188</f>
        <v>2.1337962909301651</v>
      </c>
      <c r="V188" s="487"/>
      <c r="W188" s="740">
        <f>(U188/U181-1)*100</f>
        <v>0.79464646470737144</v>
      </c>
      <c r="X188" s="702"/>
      <c r="Y188" s="487"/>
      <c r="Z188" s="562">
        <f>+Stores!DB209</f>
        <v>99.000000000000014</v>
      </c>
      <c r="AA188" s="735"/>
      <c r="AB188" s="722">
        <f>AVERAGE(Z188,Z187)</f>
        <v>98.850000000000009</v>
      </c>
      <c r="AC188" s="487"/>
      <c r="AD188" s="716">
        <f>(AB188/AB181-1)*100</f>
        <v>4.5478582760444253</v>
      </c>
      <c r="AE188" s="702"/>
      <c r="AF188" s="719">
        <f>+H188/AD188*100</f>
        <v>10.008830732166263</v>
      </c>
      <c r="AG188" s="499"/>
      <c r="AH188" s="487"/>
      <c r="AI188" s="725">
        <f>+S188</f>
        <v>7363.7309999999998</v>
      </c>
      <c r="AJ188" s="487"/>
      <c r="AK188" s="727">
        <f>AI188/AB188</f>
        <v>74.493990895295894</v>
      </c>
      <c r="AL188" s="487"/>
      <c r="AM188" s="740">
        <f>(AK188/AK181-1)*100</f>
        <v>1.8243598598716604</v>
      </c>
      <c r="AN188" s="702"/>
      <c r="AO188" s="702"/>
      <c r="AP188" s="725">
        <f>+S188-AQ188</f>
        <v>0</v>
      </c>
      <c r="AQ188" s="747">
        <f>+AR188+AS188+AT188+AU188</f>
        <v>7363.7309999999989</v>
      </c>
      <c r="AR188" s="725">
        <f>SegqtrSales!S152</f>
        <v>4805.8829999999998</v>
      </c>
      <c r="AS188" s="725">
        <f>SegqtrSales!S328</f>
        <v>699.34699999999998</v>
      </c>
      <c r="AT188" s="725">
        <f>SegqtrSales!S505</f>
        <v>963.12300000000005</v>
      </c>
      <c r="AU188" s="725">
        <f>SegqtrSales!S682</f>
        <v>895.37800000000004</v>
      </c>
      <c r="AV188" s="725"/>
      <c r="AW188" s="725"/>
      <c r="AX188" s="716"/>
      <c r="AY188" s="716"/>
      <c r="AZ188" s="724">
        <f>SegqtrSales!F152</f>
        <v>4</v>
      </c>
      <c r="BA188" s="724">
        <f>SegqtrSales!F328</f>
        <v>12</v>
      </c>
      <c r="BB188" s="724">
        <f>SegqtrSales!F505</f>
        <v>5</v>
      </c>
      <c r="BC188" s="724">
        <f>SegqtrSales!F682</f>
        <v>9</v>
      </c>
      <c r="BD188" s="716"/>
      <c r="BE188" s="716"/>
      <c r="BF188" s="746">
        <f>((AZ188)*(AR188/$AQ188)+(BA188)*(AS188/$AQ188)+(BB188)*(AT188/$AQ188)+(BC188)*(AU188/$AQ188))</f>
        <v>5.498532333677046</v>
      </c>
      <c r="BG188" s="744">
        <f>+F188</f>
        <v>6</v>
      </c>
    </row>
    <row r="189" spans="1:59">
      <c r="A189" s="487" t="str">
        <f>$A$42</f>
        <v>3Q</v>
      </c>
      <c r="B189" s="701" t="str">
        <f>$B$42</f>
        <v>Oct</v>
      </c>
      <c r="C189" s="487"/>
      <c r="D189" s="716">
        <f>(S189/S182-1)*100</f>
        <v>5.2529260530655097</v>
      </c>
      <c r="E189" s="487"/>
      <c r="F189" s="760">
        <v>5</v>
      </c>
      <c r="G189" s="487"/>
      <c r="H189" s="716">
        <f>D189-F189</f>
        <v>0.25292605306550975</v>
      </c>
      <c r="I189" s="487"/>
      <c r="J189" s="742">
        <f>Stores!CW210</f>
        <v>3594</v>
      </c>
      <c r="K189" s="735"/>
      <c r="L189" s="727">
        <f>AVERAGE(J189,J188)</f>
        <v>3527.5</v>
      </c>
      <c r="M189" s="487"/>
      <c r="N189" s="716">
        <f>(L189/L182-1)*100</f>
        <v>5.8673469387755084</v>
      </c>
      <c r="O189" s="702"/>
      <c r="P189" s="719">
        <f>H189/N189*100</f>
        <v>4.3107396870295585</v>
      </c>
      <c r="Q189" s="499"/>
      <c r="R189" s="487"/>
      <c r="S189" s="771">
        <v>7753</v>
      </c>
      <c r="T189" s="487"/>
      <c r="U189" s="726">
        <f>S189/L189</f>
        <v>2.1978738483345146</v>
      </c>
      <c r="V189" s="487"/>
      <c r="W189" s="740">
        <f>(U189/U182-1)*100</f>
        <v>-0.58036864385136999</v>
      </c>
      <c r="X189" s="702"/>
      <c r="Y189" s="487"/>
      <c r="Z189" s="562">
        <f>+Stores!DB210</f>
        <v>102.10000000000001</v>
      </c>
      <c r="AA189" s="735"/>
      <c r="AB189" s="722">
        <f>AVERAGE(Z189,Z188)</f>
        <v>100.55000000000001</v>
      </c>
      <c r="AC189" s="487"/>
      <c r="AD189" s="716">
        <f>(AB189/AB182-1)*100</f>
        <v>4.6850598646538399</v>
      </c>
      <c r="AE189" s="702"/>
      <c r="AF189" s="719">
        <f>+H189/AD189*100</f>
        <v>5.3985660882093649</v>
      </c>
      <c r="AG189" s="499"/>
      <c r="AH189" s="487"/>
      <c r="AI189" s="725">
        <f>+S189</f>
        <v>7753</v>
      </c>
      <c r="AJ189" s="487"/>
      <c r="AK189" s="727">
        <f>AI189/AB189</f>
        <v>77.105917454002977</v>
      </c>
      <c r="AL189" s="487"/>
      <c r="AM189" s="740">
        <f>(AK189/AK182-1)*100</f>
        <v>0.54245198803519745</v>
      </c>
      <c r="AN189" s="702"/>
      <c r="AO189" s="702"/>
      <c r="AP189" s="725">
        <f>+S189-AQ189</f>
        <v>-0.49499999999989086</v>
      </c>
      <c r="AQ189" s="747">
        <f>+AR189+AS189+AT189+AU189</f>
        <v>7753.4949999999999</v>
      </c>
      <c r="AR189" s="725">
        <f>SegqtrSales!S153</f>
        <v>4926.5069999999996</v>
      </c>
      <c r="AS189" s="725">
        <f>SegqtrSales!S329</f>
        <v>753.63</v>
      </c>
      <c r="AT189" s="725">
        <f>SegqtrSales!S506</f>
        <v>1113.5139999999999</v>
      </c>
      <c r="AU189" s="725">
        <f>SegqtrSales!S683</f>
        <v>959.84400000000005</v>
      </c>
      <c r="AV189" s="725"/>
      <c r="AW189" s="725"/>
      <c r="AX189" s="716"/>
      <c r="AY189" s="716"/>
      <c r="AZ189" s="724">
        <f>SegqtrSales!F153</f>
        <v>3</v>
      </c>
      <c r="BA189" s="724">
        <f>SegqtrSales!F329</f>
        <v>10</v>
      </c>
      <c r="BB189" s="724">
        <f>SegqtrSales!F506</f>
        <v>7</v>
      </c>
      <c r="BC189" s="724">
        <f>SegqtrSales!F683</f>
        <v>6</v>
      </c>
      <c r="BD189" s="716"/>
      <c r="BE189" s="716"/>
      <c r="BF189" s="746">
        <f>((AZ189)*(AR189/$AQ189)+(BA189)*(AS189/$AQ189)+(BB189)*(AT189/$AQ189)+(BC189)*(AU189/$AQ189))</f>
        <v>4.6262341047488906</v>
      </c>
      <c r="BG189" s="744">
        <f>+F189</f>
        <v>5</v>
      </c>
    </row>
    <row r="190" spans="1:59">
      <c r="A190" s="487" t="str">
        <f>$A$43</f>
        <v>4Q</v>
      </c>
      <c r="B190" s="701" t="str">
        <f>$B$43</f>
        <v>Jan</v>
      </c>
      <c r="C190" s="487"/>
      <c r="D190" s="728">
        <f>(S190/S183-1)*100</f>
        <v>7.9254061288641875</v>
      </c>
      <c r="E190" s="487"/>
      <c r="F190" s="761">
        <v>6</v>
      </c>
      <c r="G190" s="487"/>
      <c r="H190" s="728">
        <f>D190-F190</f>
        <v>1.9254061288641875</v>
      </c>
      <c r="I190" s="487"/>
      <c r="J190" s="742">
        <f>Stores!CW211</f>
        <v>3614</v>
      </c>
      <c r="K190" s="735"/>
      <c r="L190" s="734">
        <f>AVERAGE(J190,J189)</f>
        <v>3604</v>
      </c>
      <c r="M190" s="487"/>
      <c r="N190" s="728">
        <f>(L190/L183-1)*100</f>
        <v>6.3126843657817178</v>
      </c>
      <c r="O190" s="702"/>
      <c r="P190" s="730">
        <f>H190/N190*100</f>
        <v>30.50059241518499</v>
      </c>
      <c r="Q190" s="499"/>
      <c r="R190" s="487"/>
      <c r="S190" s="772">
        <v>8962.0750000000007</v>
      </c>
      <c r="T190" s="487"/>
      <c r="U190" s="732">
        <f>S190/L190</f>
        <v>2.4867022752497228</v>
      </c>
      <c r="V190" s="487"/>
      <c r="W190" s="729">
        <f>(U190/U183-1)*100</f>
        <v>1.5169608148861258</v>
      </c>
      <c r="X190" s="702"/>
      <c r="Y190" s="487"/>
      <c r="Z190" s="562">
        <f>+Stores!DB211</f>
        <v>102.4</v>
      </c>
      <c r="AA190" s="735"/>
      <c r="AB190" s="733">
        <f>AVERAGE(Z190,Z189)</f>
        <v>102.25</v>
      </c>
      <c r="AC190" s="487"/>
      <c r="AD190" s="728">
        <f>(AB190/AB183-1)*100</f>
        <v>4.9794661190964984</v>
      </c>
      <c r="AE190" s="702"/>
      <c r="AF190" s="730">
        <f>+H190/AD190*100</f>
        <v>38.666918959045823</v>
      </c>
      <c r="AG190" s="499"/>
      <c r="AH190" s="487"/>
      <c r="AI190" s="731">
        <f>+S190</f>
        <v>8962.0750000000007</v>
      </c>
      <c r="AJ190" s="487"/>
      <c r="AK190" s="734">
        <f>AI190/AB190</f>
        <v>87.648655256723728</v>
      </c>
      <c r="AL190" s="487"/>
      <c r="AM190" s="729">
        <f>(AK190/AK183-1)*100</f>
        <v>2.8062059359547531</v>
      </c>
      <c r="AN190" s="702"/>
      <c r="AO190" s="702"/>
      <c r="AP190" s="725">
        <f>+S190-AQ190</f>
        <v>0</v>
      </c>
      <c r="AQ190" s="747">
        <f>+AR190+AS190+AT190+AU190</f>
        <v>8962.0749999999989</v>
      </c>
      <c r="AR190" s="725">
        <f>SegqtrSales!S154</f>
        <v>5720.4269999999997</v>
      </c>
      <c r="AS190" s="725">
        <f>SegqtrSales!S330</f>
        <v>781.428</v>
      </c>
      <c r="AT190" s="725">
        <f>SegqtrSales!S507</f>
        <v>1280.414</v>
      </c>
      <c r="AU190" s="725">
        <f>SegqtrSales!S684</f>
        <v>1179.806</v>
      </c>
      <c r="AV190" s="725"/>
      <c r="AW190" s="725"/>
      <c r="AX190" s="716"/>
      <c r="AY190" s="716"/>
      <c r="AZ190" s="724">
        <f>SegqtrSales!F154</f>
        <v>6</v>
      </c>
      <c r="BA190" s="724">
        <f>SegqtrSales!F330</f>
        <v>14</v>
      </c>
      <c r="BB190" s="724">
        <f>SegqtrSales!F507</f>
        <v>1</v>
      </c>
      <c r="BC190" s="724">
        <f>SegqtrSales!F684</f>
        <v>7</v>
      </c>
      <c r="BD190" s="716"/>
      <c r="BE190" s="716"/>
      <c r="BF190" s="746">
        <f>((AZ190)*(AR190/$AQ190)+(BA190)*(AS190/$AQ190)+(BB190)*(AT190/$AQ190)+(BC190)*(AU190/$AQ190))</f>
        <v>6.1148350130968554</v>
      </c>
      <c r="BG190" s="744">
        <f>+F190</f>
        <v>6</v>
      </c>
    </row>
    <row r="191" spans="1:59">
      <c r="A191" s="487"/>
      <c r="B191" s="701" t="str">
        <f>$B$44</f>
        <v>Year</v>
      </c>
      <c r="C191" s="487"/>
      <c r="D191" s="716">
        <f>(S191/S184-1)*100</f>
        <v>6.4172566261968988</v>
      </c>
      <c r="E191" s="487"/>
      <c r="F191" s="753">
        <f>((AZ191)*(AR191/$AQ191)+(BA191)*(AS191/$AQ191)+(BB191)*(AT191/$AQ191)+(BC191)*(AU191/$AQ191))</f>
        <v>5.2440748790642271</v>
      </c>
      <c r="G191" s="487"/>
      <c r="H191" s="716">
        <f>D191-F191</f>
        <v>1.1731817471326718</v>
      </c>
      <c r="I191" s="487"/>
      <c r="J191" s="487"/>
      <c r="K191" s="487"/>
      <c r="L191" s="727">
        <f>AVERAGE(L187:L190)</f>
        <v>3500.125</v>
      </c>
      <c r="M191" s="487"/>
      <c r="N191" s="716">
        <f>(L191/L184-1)*100</f>
        <v>5.8478868980116339</v>
      </c>
      <c r="O191" s="702"/>
      <c r="P191" s="719">
        <f>H191/N191*100</f>
        <v>20.061635383741272</v>
      </c>
      <c r="Q191" s="499"/>
      <c r="R191" s="487"/>
      <c r="S191" s="720">
        <f>SUM(S187:S190)</f>
        <v>30944.442999999999</v>
      </c>
      <c r="T191" s="487"/>
      <c r="U191" s="721">
        <f>SUM(U187:U190)</f>
        <v>8.8270432746665382</v>
      </c>
      <c r="V191" s="487"/>
      <c r="W191" s="740">
        <f>(U191/U184-1)*100</f>
        <v>0.51040926141570075</v>
      </c>
      <c r="X191" s="702"/>
      <c r="Y191" s="487"/>
      <c r="Z191" s="487"/>
      <c r="AA191" s="487"/>
      <c r="AB191" s="722">
        <f>AVERAGE(AB187:AB190)</f>
        <v>99.9375</v>
      </c>
      <c r="AC191" s="487"/>
      <c r="AD191" s="716">
        <f>(AB191/AB184-1)*100</f>
        <v>4.701414353064437</v>
      </c>
      <c r="AE191" s="702"/>
      <c r="AF191" s="719">
        <f>+H191/AD191*100</f>
        <v>24.953804515613012</v>
      </c>
      <c r="AG191" s="499"/>
      <c r="AH191" s="487"/>
      <c r="AI191" s="720">
        <f>SUM(AI187:AI190)</f>
        <v>30944.442999999999</v>
      </c>
      <c r="AJ191" s="487"/>
      <c r="AK191" s="723">
        <f>SUM(AK187:AK190)</f>
        <v>309.23466962029374</v>
      </c>
      <c r="AL191" s="487"/>
      <c r="AM191" s="740">
        <f>(AK191/AK184-1)*100</f>
        <v>1.6190725064610056</v>
      </c>
      <c r="AN191" s="702"/>
      <c r="AO191" s="702"/>
      <c r="AP191" s="725">
        <f>+S191-AQ191</f>
        <v>-0.49499999999534339</v>
      </c>
      <c r="AQ191" s="749">
        <f>SUM(AQ187:AQ190)</f>
        <v>30944.937999999995</v>
      </c>
      <c r="AR191" s="750">
        <f>SUM(AR187:AR190)</f>
        <v>19948.226999999999</v>
      </c>
      <c r="AS191" s="750">
        <f>SUM(AS187:AS190)</f>
        <v>2854.6169999999997</v>
      </c>
      <c r="AT191" s="750">
        <f>SUM(AT187:AT190)</f>
        <v>4226.8729999999996</v>
      </c>
      <c r="AU191" s="750">
        <f>SUM(AU187:AU190)</f>
        <v>3915.221</v>
      </c>
      <c r="AV191" s="750"/>
      <c r="AW191" s="750"/>
      <c r="AX191" s="716"/>
      <c r="AY191" s="716"/>
      <c r="AZ191" s="724">
        <f>SegqtrSales!F155</f>
        <v>4</v>
      </c>
      <c r="BA191" s="724">
        <f>SegqtrSales!F331</f>
        <v>12</v>
      </c>
      <c r="BB191" s="724">
        <f>SegqtrSales!F508</f>
        <v>4</v>
      </c>
      <c r="BC191" s="724">
        <f>SegqtrSales!F685</f>
        <v>8</v>
      </c>
      <c r="BD191" s="716"/>
      <c r="BE191" s="716"/>
      <c r="BF191" s="746">
        <f>((AZ191)*(AR191/$AQ191)+(BA191)*(AS191/$AQ191)+(BB191)*(AT191/$AQ191)+(BC191)*(AU191/$AQ191))</f>
        <v>5.2440748790642271</v>
      </c>
      <c r="BG191" s="744">
        <f>+F191</f>
        <v>5.2440748790642271</v>
      </c>
    </row>
    <row r="192" spans="1:59">
      <c r="A192" s="487"/>
      <c r="B192" s="701"/>
      <c r="C192" s="487"/>
      <c r="D192" s="716"/>
      <c r="E192" s="487"/>
      <c r="F192" s="753"/>
      <c r="G192" s="487"/>
      <c r="H192" s="716"/>
      <c r="I192" s="487"/>
      <c r="J192" s="487"/>
      <c r="K192" s="487"/>
      <c r="L192" s="727"/>
      <c r="M192" s="487"/>
      <c r="N192" s="716"/>
      <c r="O192" s="702"/>
      <c r="P192" s="719"/>
      <c r="Q192" s="499"/>
      <c r="R192" s="487"/>
      <c r="S192" s="720"/>
      <c r="T192" s="487"/>
      <c r="U192" s="721"/>
      <c r="V192" s="487"/>
      <c r="W192" s="740"/>
      <c r="X192" s="702"/>
      <c r="Y192" s="487"/>
      <c r="Z192" s="487"/>
      <c r="AA192" s="487"/>
      <c r="AB192" s="722"/>
      <c r="AC192" s="487"/>
      <c r="AD192" s="716"/>
      <c r="AE192" s="702"/>
      <c r="AF192" s="719"/>
      <c r="AG192" s="499"/>
      <c r="AH192" s="487"/>
      <c r="AI192" s="720"/>
      <c r="AJ192" s="487"/>
      <c r="AK192" s="723"/>
      <c r="AL192" s="487"/>
      <c r="AM192" s="740"/>
      <c r="AN192" s="702"/>
      <c r="AO192" s="702"/>
      <c r="AP192" s="725"/>
      <c r="AQ192" s="758"/>
      <c r="AR192" s="769">
        <f>AR191/$AQ191</f>
        <v>0.64463619219401902</v>
      </c>
      <c r="AS192" s="769">
        <f>AS191/$AQ191</f>
        <v>9.2248270137106111E-2</v>
      </c>
      <c r="AT192" s="769">
        <f>AT191/$AQ191</f>
        <v>0.13659335817703044</v>
      </c>
      <c r="AU192" s="769">
        <f>AU191/$AQ191</f>
        <v>0.12652217949184455</v>
      </c>
      <c r="AV192" s="750"/>
      <c r="AW192" s="750"/>
      <c r="AX192" s="716"/>
      <c r="AY192" s="716"/>
      <c r="AZ192" s="716"/>
      <c r="BA192" s="716"/>
      <c r="BB192" s="716"/>
      <c r="BC192" s="716"/>
      <c r="BD192" s="716"/>
      <c r="BE192" s="716"/>
      <c r="BF192" s="746"/>
      <c r="BG192" s="744"/>
    </row>
    <row r="193" spans="1:59">
      <c r="A193" s="715"/>
      <c r="B193" s="755">
        <f>+B186+1</f>
        <v>2016</v>
      </c>
      <c r="C193" s="487"/>
      <c r="D193" s="487"/>
      <c r="E193" s="702"/>
      <c r="F193" s="487"/>
      <c r="G193" s="702"/>
      <c r="H193" s="487"/>
      <c r="I193" s="702"/>
      <c r="J193" s="727"/>
      <c r="K193" s="487"/>
      <c r="L193" s="727"/>
      <c r="M193" s="487"/>
      <c r="N193" s="487"/>
      <c r="O193" s="702"/>
      <c r="P193" s="499"/>
      <c r="Q193" s="499"/>
      <c r="R193" s="487"/>
      <c r="S193" s="720"/>
      <c r="T193" s="487"/>
      <c r="U193" s="487"/>
      <c r="V193" s="487"/>
      <c r="W193" s="487"/>
      <c r="X193" s="702"/>
      <c r="Y193" s="487"/>
      <c r="Z193" s="487"/>
      <c r="AA193" s="487"/>
      <c r="AB193" s="487"/>
      <c r="AC193" s="487"/>
      <c r="AD193" s="487"/>
      <c r="AE193" s="702"/>
      <c r="AF193" s="499"/>
      <c r="AG193" s="499"/>
      <c r="AH193" s="487"/>
      <c r="AI193" s="487"/>
      <c r="AJ193" s="487"/>
      <c r="AK193" s="487"/>
      <c r="AL193" s="487"/>
      <c r="AM193" s="487"/>
      <c r="AN193" s="702"/>
      <c r="AO193" s="702"/>
      <c r="AP193" s="487"/>
      <c r="AQ193" s="487"/>
      <c r="AR193" s="487"/>
      <c r="AS193" s="487"/>
      <c r="AT193" s="487"/>
      <c r="AU193" s="487"/>
      <c r="AV193" s="487"/>
      <c r="AW193" s="487"/>
      <c r="AX193" s="487"/>
      <c r="AY193" s="487"/>
      <c r="AZ193" s="724"/>
      <c r="BA193" s="724"/>
      <c r="BB193" s="724"/>
      <c r="BC193" s="724"/>
      <c r="BD193" s="487"/>
      <c r="BE193" s="487"/>
      <c r="BF193" s="487"/>
      <c r="BG193" s="487"/>
    </row>
    <row r="194" spans="1:59">
      <c r="A194" s="487" t="str">
        <f>$A$40</f>
        <v>1Q</v>
      </c>
      <c r="B194" s="701" t="str">
        <f>$B$40</f>
        <v>Apr</v>
      </c>
      <c r="C194" s="487"/>
      <c r="D194" s="716">
        <f>(S194/S187-1)*100</f>
        <v>9.8566090808471341</v>
      </c>
      <c r="E194" s="487"/>
      <c r="F194" s="760">
        <v>7</v>
      </c>
      <c r="G194" s="487"/>
      <c r="H194" s="716">
        <f>D194-F194</f>
        <v>2.8566090808471341</v>
      </c>
      <c r="I194" s="487"/>
      <c r="J194" s="742">
        <f>Stores!CW215</f>
        <v>3661</v>
      </c>
      <c r="K194" s="735"/>
      <c r="L194" s="727">
        <f>AVERAGE(J194,J190)</f>
        <v>3637.5</v>
      </c>
      <c r="M194" s="487"/>
      <c r="N194" s="716">
        <f>(L194/L187-1)*100</f>
        <v>6.4218841427735596</v>
      </c>
      <c r="O194" s="702"/>
      <c r="P194" s="719">
        <f>H194/N194*100</f>
        <v>44.482413842075132</v>
      </c>
      <c r="Q194" s="499"/>
      <c r="R194" s="487"/>
      <c r="S194" s="770">
        <v>7542.3559999999998</v>
      </c>
      <c r="T194" s="487"/>
      <c r="U194" s="726">
        <f>S194/L194</f>
        <v>2.0734999312714777</v>
      </c>
      <c r="V194" s="487"/>
      <c r="W194" s="740">
        <f>(U194/U187-1)*100</f>
        <v>3.2274611239410333</v>
      </c>
      <c r="X194" s="702" t="s">
        <v>190</v>
      </c>
      <c r="Y194" s="487"/>
      <c r="Z194" s="562">
        <f>Stores!$DB215</f>
        <v>103.6</v>
      </c>
      <c r="AA194" s="487"/>
      <c r="AB194" s="722">
        <f>AVERAGE(Z194,Z190)</f>
        <v>103</v>
      </c>
      <c r="AC194" s="487"/>
      <c r="AD194" s="716">
        <f>(AB194/AB187-1)*100</f>
        <v>4.9949031600407867</v>
      </c>
      <c r="AE194" s="702" t="s">
        <v>190</v>
      </c>
      <c r="AF194" s="719">
        <f>+H194/AD194*100</f>
        <v>57.19047976144963</v>
      </c>
      <c r="AG194" s="499" t="s">
        <v>190</v>
      </c>
      <c r="AH194" s="487"/>
      <c r="AI194" s="720">
        <f>+S194</f>
        <v>7542.3559999999998</v>
      </c>
      <c r="AJ194" s="487"/>
      <c r="AK194" s="723">
        <f>AI194/AB194</f>
        <v>73.22675728155339</v>
      </c>
      <c r="AL194" s="487"/>
      <c r="AM194" s="740">
        <f>(AK194/AK187-1)*100</f>
        <v>4.6304208818553461</v>
      </c>
      <c r="AN194" s="702" t="s">
        <v>190</v>
      </c>
      <c r="AO194" s="702"/>
      <c r="AP194" s="725">
        <f>+S194-AQ194</f>
        <v>0</v>
      </c>
      <c r="AQ194" s="745">
        <f>+AR194+AS194+AT194+AU194</f>
        <v>7542.3559999999998</v>
      </c>
      <c r="AR194" s="725">
        <f>SegqtrSales!S158</f>
        <v>4865.375</v>
      </c>
      <c r="AS194" s="725">
        <f>SegqtrSales!S334</f>
        <v>685.577</v>
      </c>
      <c r="AT194" s="725">
        <f>SegqtrSales!S511</f>
        <v>980.96799999999996</v>
      </c>
      <c r="AU194" s="725">
        <f>SegqtrSales!S688</f>
        <v>1010.436</v>
      </c>
      <c r="AV194" s="725"/>
      <c r="AW194" s="725"/>
      <c r="AX194" s="716"/>
      <c r="AY194" s="716"/>
      <c r="AZ194" s="724">
        <f>SegqtrSales!F158</f>
        <v>6</v>
      </c>
      <c r="BA194" s="724">
        <f>SegqtrSales!F334</f>
        <v>14</v>
      </c>
      <c r="BB194" s="724">
        <f>SegqtrSales!F511</f>
        <v>4</v>
      </c>
      <c r="BC194" s="724">
        <f>SegqtrSales!F688</f>
        <v>9</v>
      </c>
      <c r="BD194" s="716"/>
      <c r="BE194" s="716"/>
      <c r="BF194" s="746">
        <f>((AZ194)*(AR194/$AQ194)+(BA194)*(AS194/$AQ194)+(BB194)*(AT194/$AQ194)+(BC194)*(AU194/$AQ194))</f>
        <v>6.8689576572625324</v>
      </c>
      <c r="BG194" s="744">
        <f>+F194</f>
        <v>7</v>
      </c>
    </row>
    <row r="195" spans="1:59">
      <c r="A195" s="487" t="str">
        <f>$A$41</f>
        <v>2Q</v>
      </c>
      <c r="B195" s="701" t="str">
        <f>$B$41</f>
        <v>Jul</v>
      </c>
      <c r="C195" s="487"/>
      <c r="D195" s="716">
        <f>(S195/S188-1)*100</f>
        <v>7.0388502784797469</v>
      </c>
      <c r="E195" s="487"/>
      <c r="F195" s="760">
        <v>4</v>
      </c>
      <c r="G195" s="487"/>
      <c r="H195" s="716">
        <f>D195-F195</f>
        <v>3.0388502784797469</v>
      </c>
      <c r="I195" s="487"/>
      <c r="J195" s="742">
        <f>Stores!CW216</f>
        <v>3675</v>
      </c>
      <c r="K195" s="735"/>
      <c r="L195" s="727">
        <f>AVERAGE(J195,J194)</f>
        <v>3668</v>
      </c>
      <c r="M195" s="487"/>
      <c r="N195" s="716">
        <f>(L195/L188-1)*100</f>
        <v>6.2880324543610477</v>
      </c>
      <c r="O195" s="702"/>
      <c r="P195" s="719">
        <f>H195/N195*100</f>
        <v>48.327522170661837</v>
      </c>
      <c r="Q195" s="499"/>
      <c r="R195" s="487"/>
      <c r="S195" s="771">
        <v>7882.0529999999999</v>
      </c>
      <c r="T195" s="487"/>
      <c r="U195" s="726">
        <f>S195/L195</f>
        <v>2.1488694111232278</v>
      </c>
      <c r="V195" s="487"/>
      <c r="W195" s="740">
        <f>(U195/U188-1)*100</f>
        <v>0.70639921238648817</v>
      </c>
      <c r="X195" s="702"/>
      <c r="Y195" s="487"/>
      <c r="Z195" s="562">
        <f>+Stores!DB216</f>
        <v>103.9</v>
      </c>
      <c r="AA195" s="735"/>
      <c r="AB195" s="722">
        <f>AVERAGE(Z195,Z194)</f>
        <v>103.75</v>
      </c>
      <c r="AC195" s="487"/>
      <c r="AD195" s="716">
        <f>(AB195/AB188-1)*100</f>
        <v>4.957005563985839</v>
      </c>
      <c r="AE195" s="702"/>
      <c r="AF195" s="719">
        <f>+H195/AD195*100</f>
        <v>61.304153066882215</v>
      </c>
      <c r="AG195" s="499"/>
      <c r="AH195" s="487"/>
      <c r="AI195" s="725">
        <f>+S195</f>
        <v>7882.0529999999999</v>
      </c>
      <c r="AJ195" s="487"/>
      <c r="AK195" s="727">
        <f>AI195/AB195</f>
        <v>75.971595180722886</v>
      </c>
      <c r="AL195" s="487"/>
      <c r="AM195" s="740">
        <f>(AK195/AK188-1)*100</f>
        <v>1.9835214460503625</v>
      </c>
      <c r="AN195" s="702"/>
      <c r="AO195" s="702"/>
      <c r="AP195" s="725">
        <f>+S195-AQ195</f>
        <v>0</v>
      </c>
      <c r="AQ195" s="747">
        <f>+AR195+AS195+AT195+AU195</f>
        <v>7882.0529999999999</v>
      </c>
      <c r="AR195" s="725">
        <f>SegqtrSales!S159</f>
        <v>5098.9979999999996</v>
      </c>
      <c r="AS195" s="725">
        <f>SegqtrSales!S335</f>
        <v>756.78099999999995</v>
      </c>
      <c r="AT195" s="725">
        <f>SegqtrSales!S512</f>
        <v>1039.6110000000001</v>
      </c>
      <c r="AU195" s="725">
        <f>SegqtrSales!S689</f>
        <v>986.66300000000001</v>
      </c>
      <c r="AV195" s="725"/>
      <c r="AW195" s="725"/>
      <c r="AX195" s="716"/>
      <c r="AY195" s="716"/>
      <c r="AZ195" s="724">
        <f>SegqtrSales!F159</f>
        <v>4</v>
      </c>
      <c r="BA195" s="724">
        <f>SegqtrSales!F335</f>
        <v>9</v>
      </c>
      <c r="BB195" s="724">
        <f>SegqtrSales!F512</f>
        <v>2</v>
      </c>
      <c r="BC195" s="724">
        <f>SegqtrSales!F689</f>
        <v>5</v>
      </c>
      <c r="BD195" s="716"/>
      <c r="BE195" s="716"/>
      <c r="BF195" s="746">
        <f>((AZ195)*(AR195/$AQ195)+(BA195)*(AS195/$AQ195)+(BB195)*(AT195/$AQ195)+(BC195)*(AU195/$AQ195))</f>
        <v>4.3414524109391301</v>
      </c>
      <c r="BG195" s="744">
        <f>+F195</f>
        <v>4</v>
      </c>
    </row>
    <row r="196" spans="1:59">
      <c r="A196" s="487" t="str">
        <f>$A$42</f>
        <v>3Q</v>
      </c>
      <c r="B196" s="701" t="str">
        <f>$B$42</f>
        <v>Oct</v>
      </c>
      <c r="C196" s="487"/>
      <c r="D196" s="716">
        <f>(S196/S189-1)*100</f>
        <v>6.9481233071069237</v>
      </c>
      <c r="E196" s="487"/>
      <c r="F196" s="760">
        <v>5</v>
      </c>
      <c r="G196" s="487"/>
      <c r="H196" s="716">
        <f>D196-F196</f>
        <v>1.9481233071069237</v>
      </c>
      <c r="I196" s="487"/>
      <c r="J196" s="742">
        <f>Stores!CW217</f>
        <v>3785</v>
      </c>
      <c r="K196" s="735"/>
      <c r="L196" s="727">
        <f>AVERAGE(J196,J195)</f>
        <v>3730</v>
      </c>
      <c r="M196" s="487"/>
      <c r="N196" s="716">
        <f>(L196/L189-1)*100</f>
        <v>5.7406094968107668</v>
      </c>
      <c r="O196" s="702"/>
      <c r="P196" s="719">
        <f>H196/N196*100</f>
        <v>33.935826991702122</v>
      </c>
      <c r="Q196" s="499"/>
      <c r="R196" s="487"/>
      <c r="S196" s="771">
        <v>8291.6880000000001</v>
      </c>
      <c r="T196" s="487"/>
      <c r="U196" s="726">
        <f>S196/L196</f>
        <v>2.2229726541554959</v>
      </c>
      <c r="V196" s="487"/>
      <c r="W196" s="740">
        <f>(U196/U189-1)*100</f>
        <v>1.1419584358765889</v>
      </c>
      <c r="X196" s="702"/>
      <c r="Y196" s="487"/>
      <c r="Z196" s="562">
        <f>+Stores!DB217</f>
        <v>106.3</v>
      </c>
      <c r="AA196" s="735"/>
      <c r="AB196" s="722">
        <f>AVERAGE(Z196,Z195)</f>
        <v>105.1</v>
      </c>
      <c r="AC196" s="487"/>
      <c r="AD196" s="716">
        <f>(AB196/AB189-1)*100</f>
        <v>4.5251118846344918</v>
      </c>
      <c r="AE196" s="702"/>
      <c r="AF196" s="719">
        <f>+H196/AD196*100</f>
        <v>43.051384292220213</v>
      </c>
      <c r="AG196" s="499"/>
      <c r="AH196" s="487"/>
      <c r="AI196" s="725">
        <f>+S196</f>
        <v>8291.6880000000001</v>
      </c>
      <c r="AJ196" s="487"/>
      <c r="AK196" s="727">
        <f>AI196/AB196</f>
        <v>78.893320647002867</v>
      </c>
      <c r="AL196" s="487"/>
      <c r="AM196" s="740">
        <f>(AK196/AK189-1)*100</f>
        <v>2.3181141629838642</v>
      </c>
      <c r="AN196" s="702"/>
      <c r="AO196" s="702"/>
      <c r="AP196" s="725">
        <f>+S196-AQ196</f>
        <v>0</v>
      </c>
      <c r="AQ196" s="747">
        <f>+AR196+AS196+AT196+AU196</f>
        <v>8291.6880000000001</v>
      </c>
      <c r="AR196" s="725">
        <f>SegqtrSales!S160</f>
        <v>5252.8149999999996</v>
      </c>
      <c r="AS196" s="725">
        <f>SegqtrSales!S336</f>
        <v>855.47299999999996</v>
      </c>
      <c r="AT196" s="725">
        <f>SegqtrSales!S513</f>
        <v>1105.027</v>
      </c>
      <c r="AU196" s="725">
        <f>SegqtrSales!S690</f>
        <v>1078.373</v>
      </c>
      <c r="AV196" s="725"/>
      <c r="AW196" s="725"/>
      <c r="AX196" s="716"/>
      <c r="AY196" s="716"/>
      <c r="AZ196" s="724">
        <f>SegqtrSales!F160</f>
        <v>5</v>
      </c>
      <c r="BA196" s="724">
        <f>SegqtrSales!F336</f>
        <v>8</v>
      </c>
      <c r="BB196" s="724">
        <f>SegqtrSales!F513</f>
        <v>0</v>
      </c>
      <c r="BC196" s="724">
        <f>SegqtrSales!F690</f>
        <v>6</v>
      </c>
      <c r="BD196" s="716"/>
      <c r="BE196" s="716"/>
      <c r="BF196" s="746">
        <f>((AZ196)*(AR196/$AQ196)+(BA196)*(AS196/$AQ196)+(BB196)*(AT196/$AQ196)+(BC196)*(AU196/$AQ196))</f>
        <v>4.7732255482840165</v>
      </c>
      <c r="BG196" s="744">
        <f>+F196</f>
        <v>5</v>
      </c>
    </row>
    <row r="197" spans="1:59">
      <c r="A197" s="487" t="str">
        <f>$A$43</f>
        <v>4Q</v>
      </c>
      <c r="B197" s="701" t="str">
        <f>$B$43</f>
        <v>Jan</v>
      </c>
      <c r="C197" s="487"/>
      <c r="D197" s="728">
        <f>(S197/S190-1)*100</f>
        <v>5.6412382177118525</v>
      </c>
      <c r="E197" s="487"/>
      <c r="F197" s="761">
        <v>3</v>
      </c>
      <c r="G197" s="487"/>
      <c r="H197" s="728">
        <f>D197-F197</f>
        <v>2.6412382177118525</v>
      </c>
      <c r="I197" s="487"/>
      <c r="J197" s="742">
        <f>Stores!CW218</f>
        <v>3812</v>
      </c>
      <c r="K197" s="735"/>
      <c r="L197" s="734">
        <f>AVERAGE(J197,J196)</f>
        <v>3798.5</v>
      </c>
      <c r="M197" s="487"/>
      <c r="N197" s="728">
        <f>(L197/L190-1)*100</f>
        <v>5.3967813540510612</v>
      </c>
      <c r="O197" s="702"/>
      <c r="P197" s="730">
        <f>H197/N197*100</f>
        <v>48.940989905570717</v>
      </c>
      <c r="Q197" s="499"/>
      <c r="R197" s="487"/>
      <c r="S197" s="772">
        <v>9467.6470000000008</v>
      </c>
      <c r="T197" s="487"/>
      <c r="U197" s="732">
        <f>S197/L197</f>
        <v>2.4924699223377651</v>
      </c>
      <c r="V197" s="487"/>
      <c r="W197" s="729">
        <f>(U197/U190-1)*100</f>
        <v>0.23193959105791695</v>
      </c>
      <c r="X197" s="702"/>
      <c r="Y197" s="487"/>
      <c r="Z197" s="562">
        <f>+Stores!DB218</f>
        <v>106.9</v>
      </c>
      <c r="AA197" s="735"/>
      <c r="AB197" s="733">
        <f>AVERAGE(Z197,Z196)</f>
        <v>106.6</v>
      </c>
      <c r="AC197" s="487"/>
      <c r="AD197" s="728">
        <f>(AB197/AB190-1)*100</f>
        <v>4.2542787286063533</v>
      </c>
      <c r="AE197" s="702"/>
      <c r="AF197" s="730">
        <f>+H197/AD197*100</f>
        <v>62.084277646215433</v>
      </c>
      <c r="AG197" s="499"/>
      <c r="AH197" s="487"/>
      <c r="AI197" s="731">
        <f>+S197</f>
        <v>9467.6470000000008</v>
      </c>
      <c r="AJ197" s="487"/>
      <c r="AK197" s="734">
        <f>AI197/AB197</f>
        <v>88.814699812382756</v>
      </c>
      <c r="AL197" s="487"/>
      <c r="AM197" s="729">
        <f>(AK197/AK190-1)*100</f>
        <v>1.330362174118549</v>
      </c>
      <c r="AN197" s="702"/>
      <c r="AO197" s="702"/>
      <c r="AP197" s="725">
        <f>+S197-AQ197</f>
        <v>0</v>
      </c>
      <c r="AQ197" s="747">
        <f>+AR197+AS197+AT197+AU197</f>
        <v>9467.646999999999</v>
      </c>
      <c r="AR197" s="725">
        <f>SegqtrSales!S161</f>
        <v>6028.8459999999995</v>
      </c>
      <c r="AS197" s="725">
        <f>SegqtrSales!S337</f>
        <v>873.29600000000005</v>
      </c>
      <c r="AT197" s="725">
        <f>SegqtrSales!S514</f>
        <v>1236.3699999999999</v>
      </c>
      <c r="AU197" s="725">
        <f>SegqtrSales!S691</f>
        <v>1329.135</v>
      </c>
      <c r="AV197" s="725"/>
      <c r="AW197" s="725"/>
      <c r="AX197" s="716"/>
      <c r="AY197" s="716"/>
      <c r="AZ197" s="724">
        <f>SegqtrSales!F161</f>
        <v>3</v>
      </c>
      <c r="BA197" s="724">
        <f>SegqtrSales!F337</f>
        <v>4</v>
      </c>
      <c r="BB197" s="724">
        <f>SegqtrSales!F514</f>
        <v>2</v>
      </c>
      <c r="BC197" s="724">
        <f>SegqtrSales!F691</f>
        <v>5</v>
      </c>
      <c r="BD197" s="716"/>
      <c r="BE197" s="716"/>
      <c r="BF197" s="746">
        <f>((AZ197)*(AR197/$AQ197)+(BA197)*(AS197/$AQ197)+(BB197)*(AT197/$AQ197)+(BC197)*(AU197/$AQ197))</f>
        <v>3.2424251770265622</v>
      </c>
      <c r="BG197" s="744">
        <f>+F197</f>
        <v>3</v>
      </c>
    </row>
    <row r="198" spans="1:59">
      <c r="A198" s="487"/>
      <c r="B198" s="701" t="str">
        <f>$B$44</f>
        <v>Year</v>
      </c>
      <c r="C198" s="487"/>
      <c r="D198" s="716">
        <f>(S198/S191-1)*100</f>
        <v>7.2365206250440739</v>
      </c>
      <c r="E198" s="487"/>
      <c r="F198" s="753">
        <f>((AZ198)*(AR198/$AQ198)+(BA198)*(AS198/$AQ198)+(BB198)*(AT198/$AQ198)+(BC198)*(AU198/$AQ198))</f>
        <v>5.0250743255492809</v>
      </c>
      <c r="G198" s="487"/>
      <c r="H198" s="716">
        <f>D198-F198</f>
        <v>2.211446299494793</v>
      </c>
      <c r="I198" s="487"/>
      <c r="J198" s="487"/>
      <c r="K198" s="487"/>
      <c r="L198" s="727">
        <f>AVERAGE(L194:L197)</f>
        <v>3708.5</v>
      </c>
      <c r="M198" s="487"/>
      <c r="N198" s="716">
        <f>(L198/L191-1)*100</f>
        <v>5.9533588086139844</v>
      </c>
      <c r="O198" s="702"/>
      <c r="P198" s="719">
        <f>H198/N198*100</f>
        <v>37.14619546020014</v>
      </c>
      <c r="Q198" s="499"/>
      <c r="R198" s="487"/>
      <c r="S198" s="720">
        <f>SUM(S194:S197)</f>
        <v>33183.744000000006</v>
      </c>
      <c r="T198" s="487"/>
      <c r="U198" s="721">
        <f>SUM(U194:U197)</f>
        <v>8.9378119188879666</v>
      </c>
      <c r="V198" s="487"/>
      <c r="W198" s="740">
        <f>(U198/U191-1)*100</f>
        <v>1.2548782279037107</v>
      </c>
      <c r="X198" s="702"/>
      <c r="Y198" s="487"/>
      <c r="Z198" s="487"/>
      <c r="AA198" s="487"/>
      <c r="AB198" s="722">
        <f>AVERAGE(AB194:AB197)</f>
        <v>104.61250000000001</v>
      </c>
      <c r="AC198" s="487"/>
      <c r="AD198" s="716">
        <f>(AB198/AB191-1)*100</f>
        <v>4.6779237023139686</v>
      </c>
      <c r="AE198" s="702"/>
      <c r="AF198" s="719">
        <f>+H198/AD198*100</f>
        <v>47.274099370216007</v>
      </c>
      <c r="AG198" s="499"/>
      <c r="AH198" s="487"/>
      <c r="AI198" s="720">
        <f>SUM(AI194:AI197)</f>
        <v>33183.744000000006</v>
      </c>
      <c r="AJ198" s="487"/>
      <c r="AK198" s="723">
        <f>SUM(AK194:AK197)</f>
        <v>316.9063729216619</v>
      </c>
      <c r="AL198" s="487"/>
      <c r="AM198" s="740">
        <f>(AK198/AK191-1)*100</f>
        <v>2.480867785875418</v>
      </c>
      <c r="AN198" s="702"/>
      <c r="AO198" s="702"/>
      <c r="AP198" s="725">
        <f>+S198-AQ198</f>
        <v>0</v>
      </c>
      <c r="AQ198" s="749">
        <f>SUM(AQ194:AQ197)</f>
        <v>33183.743999999999</v>
      </c>
      <c r="AR198" s="750">
        <f>SUM(AR194:AR197)</f>
        <v>21246.034</v>
      </c>
      <c r="AS198" s="750">
        <f>SUM(AS194:AS197)</f>
        <v>3171.1270000000004</v>
      </c>
      <c r="AT198" s="750">
        <f>SUM(AT194:AT197)</f>
        <v>4361.9760000000006</v>
      </c>
      <c r="AU198" s="750">
        <f>SUM(AU194:AU197)</f>
        <v>4404.607</v>
      </c>
      <c r="AV198" s="750"/>
      <c r="AW198" s="750"/>
      <c r="AX198" s="716"/>
      <c r="AY198" s="716"/>
      <c r="AZ198" s="724">
        <f>SegqtrSales!F162</f>
        <v>5</v>
      </c>
      <c r="BA198" s="724">
        <f>SegqtrSales!F338</f>
        <v>8</v>
      </c>
      <c r="BB198" s="724">
        <f>SegqtrSales!F515</f>
        <v>2</v>
      </c>
      <c r="BC198" s="724">
        <f>SegqtrSales!F692</f>
        <v>6</v>
      </c>
      <c r="BD198" s="716"/>
      <c r="BE198" s="716"/>
      <c r="BF198" s="746">
        <f>((AZ198)*(AR198/$AQ198)+(BA198)*(AS198/$AQ198)+(BB198)*(AT198/$AQ198)+(BC198)*(AU198/$AQ198))</f>
        <v>5.0250743255492809</v>
      </c>
      <c r="BG198" s="744">
        <f>+F198</f>
        <v>5.0250743255492809</v>
      </c>
    </row>
    <row r="199" spans="1:59">
      <c r="A199" s="487"/>
      <c r="B199" s="701"/>
      <c r="C199" s="487"/>
      <c r="D199" s="716"/>
      <c r="E199" s="487"/>
      <c r="F199" s="753"/>
      <c r="G199" s="487"/>
      <c r="H199" s="716"/>
      <c r="I199" s="487"/>
      <c r="J199" s="487"/>
      <c r="K199" s="487"/>
      <c r="L199" s="727"/>
      <c r="M199" s="487"/>
      <c r="N199" s="716"/>
      <c r="O199" s="702"/>
      <c r="P199" s="719"/>
      <c r="Q199" s="499"/>
      <c r="R199" s="487"/>
      <c r="S199" s="720"/>
      <c r="T199" s="487"/>
      <c r="U199" s="721"/>
      <c r="V199" s="487"/>
      <c r="W199" s="740"/>
      <c r="X199" s="702"/>
      <c r="Y199" s="487"/>
      <c r="Z199" s="487"/>
      <c r="AA199" s="487"/>
      <c r="AB199" s="722"/>
      <c r="AC199" s="487"/>
      <c r="AD199" s="716"/>
      <c r="AE199" s="702"/>
      <c r="AF199" s="719"/>
      <c r="AG199" s="499"/>
      <c r="AH199" s="487"/>
      <c r="AI199" s="720"/>
      <c r="AJ199" s="487"/>
      <c r="AK199" s="723"/>
      <c r="AL199" s="487"/>
      <c r="AM199" s="740"/>
      <c r="AN199" s="702"/>
      <c r="AO199" s="702"/>
      <c r="AP199" s="725"/>
      <c r="AQ199" s="758"/>
      <c r="AR199" s="769">
        <f>AR198/$AQ198</f>
        <v>0.64025427631071408</v>
      </c>
      <c r="AS199" s="769">
        <f>AS198/$AQ198</f>
        <v>9.5562664658936633E-2</v>
      </c>
      <c r="AT199" s="769">
        <f>AT198/$AQ198</f>
        <v>0.13144918186446958</v>
      </c>
      <c r="AU199" s="769">
        <f>AU198/$AQ198</f>
        <v>0.13273387716587978</v>
      </c>
      <c r="AV199" s="750"/>
      <c r="AW199" s="750"/>
      <c r="AX199" s="716"/>
      <c r="AY199" s="716"/>
      <c r="AZ199" s="716"/>
      <c r="BA199" s="716"/>
      <c r="BB199" s="716"/>
      <c r="BC199" s="716"/>
      <c r="BD199" s="716"/>
      <c r="BE199" s="716"/>
      <c r="BF199" s="746"/>
      <c r="BG199" s="744"/>
    </row>
    <row r="200" spans="1:59">
      <c r="A200" s="715"/>
      <c r="B200" s="773">
        <f>+B193+1</f>
        <v>2017</v>
      </c>
      <c r="C200" s="487"/>
      <c r="D200" s="487"/>
      <c r="E200" s="702"/>
      <c r="F200" s="487"/>
      <c r="G200" s="702"/>
      <c r="H200" s="487"/>
      <c r="I200" s="702"/>
      <c r="J200" s="727"/>
      <c r="K200" s="487"/>
      <c r="L200" s="727"/>
      <c r="M200" s="487"/>
      <c r="N200" s="487"/>
      <c r="O200" s="702"/>
      <c r="P200" s="499"/>
      <c r="Q200" s="499"/>
      <c r="R200" s="487"/>
      <c r="S200" s="720"/>
      <c r="T200" s="487"/>
      <c r="U200" s="487"/>
      <c r="V200" s="487"/>
      <c r="W200" s="487"/>
      <c r="X200" s="702"/>
      <c r="Y200" s="487"/>
      <c r="Z200" s="487"/>
      <c r="AA200" s="487"/>
      <c r="AB200" s="487"/>
      <c r="AC200" s="487"/>
      <c r="AD200" s="487"/>
      <c r="AE200" s="702"/>
      <c r="AF200" s="499"/>
      <c r="AG200" s="499"/>
      <c r="AH200" s="487"/>
      <c r="AI200" s="487"/>
      <c r="AJ200" s="487"/>
      <c r="AK200" s="487"/>
      <c r="AL200" s="487"/>
      <c r="AM200" s="487"/>
      <c r="AN200" s="702"/>
      <c r="AO200" s="702"/>
      <c r="AP200" s="487"/>
      <c r="AQ200" s="487"/>
      <c r="AR200" s="487"/>
      <c r="AS200" s="487"/>
      <c r="AT200" s="487"/>
      <c r="AU200" s="487"/>
      <c r="AV200" s="487"/>
      <c r="AW200" s="487"/>
      <c r="AX200" s="487"/>
      <c r="AY200" s="487"/>
      <c r="AZ200" s="724"/>
      <c r="BA200" s="724"/>
      <c r="BB200" s="724"/>
      <c r="BC200" s="724"/>
      <c r="BD200" s="487"/>
      <c r="BE200" s="487"/>
      <c r="BF200" s="487"/>
      <c r="BG200" s="487"/>
    </row>
    <row r="201" spans="1:59">
      <c r="A201" s="487" t="str">
        <f>$A$40</f>
        <v>1Q</v>
      </c>
      <c r="B201" s="701" t="str">
        <f>$B$40</f>
        <v>Apr</v>
      </c>
      <c r="C201" s="487"/>
      <c r="D201" s="716">
        <f>(S201/S194-1)*100</f>
        <v>3.2041446996137646</v>
      </c>
      <c r="E201" s="487"/>
      <c r="F201" s="760">
        <v>1</v>
      </c>
      <c r="G201" s="487"/>
      <c r="H201" s="716">
        <f>D201-F201</f>
        <v>2.2041446996137646</v>
      </c>
      <c r="I201" s="487"/>
      <c r="J201" s="742">
        <f>Stores!CW222</f>
        <v>3862</v>
      </c>
      <c r="K201" s="735"/>
      <c r="L201" s="727">
        <f>AVERAGE(J201,J197)</f>
        <v>3837</v>
      </c>
      <c r="M201" s="487"/>
      <c r="N201" s="716">
        <f>(L201/L194-1)*100</f>
        <v>5.484536082474234</v>
      </c>
      <c r="O201" s="702"/>
      <c r="P201" s="719">
        <f>H201/N201*100</f>
        <v>40.188352605739638</v>
      </c>
      <c r="Q201" s="499"/>
      <c r="R201" s="487"/>
      <c r="S201" s="770">
        <v>7784.0240000000003</v>
      </c>
      <c r="T201" s="487"/>
      <c r="U201" s="726">
        <f>S201/L201</f>
        <v>2.0286744852749545</v>
      </c>
      <c r="V201" s="487"/>
      <c r="W201" s="740">
        <f>(U201/U194-1)*100</f>
        <v>-2.1618252945412975</v>
      </c>
      <c r="X201" s="702" t="s">
        <v>190</v>
      </c>
      <c r="Y201" s="487"/>
      <c r="Z201" s="562">
        <f>Stores!$DB222</f>
        <v>107.8</v>
      </c>
      <c r="AA201" s="487"/>
      <c r="AB201" s="722">
        <f>AVERAGE(Z201,Z197)</f>
        <v>107.35</v>
      </c>
      <c r="AC201" s="487"/>
      <c r="AD201" s="716">
        <f>(AB201/AB194-1)*100</f>
        <v>4.2233009708737779</v>
      </c>
      <c r="AE201" s="702" t="s">
        <v>190</v>
      </c>
      <c r="AF201" s="719">
        <f>+H201/AD201*100</f>
        <v>52.190092887406479</v>
      </c>
      <c r="AG201" s="499" t="s">
        <v>190</v>
      </c>
      <c r="AH201" s="487"/>
      <c r="AI201" s="720">
        <f>+S201</f>
        <v>7784.0240000000003</v>
      </c>
      <c r="AJ201" s="487"/>
      <c r="AK201" s="723">
        <f>AI201/AB201</f>
        <v>72.510703306939917</v>
      </c>
      <c r="AL201" s="487"/>
      <c r="AM201" s="740">
        <f>(AK201/AK194-1)*100</f>
        <v>-0.97785836925740055</v>
      </c>
      <c r="AN201" s="702" t="s">
        <v>190</v>
      </c>
      <c r="AO201" s="702"/>
      <c r="AP201" s="725">
        <f>+S201-AQ201</f>
        <v>0</v>
      </c>
      <c r="AQ201" s="745">
        <f>+AR201+AS201+AT201+AU201</f>
        <v>7784.0240000000003</v>
      </c>
      <c r="AR201" s="725">
        <f>SegqtrSales!S165</f>
        <v>4967.1350000000002</v>
      </c>
      <c r="AS201" s="725">
        <f>SegqtrSales!S341</f>
        <v>738.77099999999996</v>
      </c>
      <c r="AT201" s="725">
        <f>SegqtrSales!S518</f>
        <v>956.84900000000005</v>
      </c>
      <c r="AU201" s="725">
        <f>SegqtrSales!S695</f>
        <v>1121.269</v>
      </c>
      <c r="AV201" s="725"/>
      <c r="AW201" s="725"/>
      <c r="AX201" s="716"/>
      <c r="AY201" s="716"/>
      <c r="AZ201" s="724">
        <f>SegqtrSales!F165</f>
        <v>0</v>
      </c>
      <c r="BA201" s="724">
        <f>SegqtrSales!F341</f>
        <v>3</v>
      </c>
      <c r="BB201" s="724">
        <f>SegqtrSales!F518</f>
        <v>0</v>
      </c>
      <c r="BC201" s="724">
        <f>SegqtrSales!F695</f>
        <v>3</v>
      </c>
      <c r="BD201" s="716"/>
      <c r="BE201" s="716"/>
      <c r="BF201" s="746">
        <f>((AZ201)*(AR201/$AQ201)+(BA201)*(AS201/$AQ201)+(BB201)*(AT201/$AQ201)+(BC201)*(AU201/$AQ201))</f>
        <v>0.71686829331461466</v>
      </c>
      <c r="BG201" s="744">
        <f>+F201</f>
        <v>1</v>
      </c>
    </row>
    <row r="202" spans="1:59">
      <c r="A202" s="487" t="str">
        <f>$A$41</f>
        <v>2Q</v>
      </c>
      <c r="B202" s="701" t="str">
        <f>$B$41</f>
        <v>Jul</v>
      </c>
      <c r="C202" s="487"/>
      <c r="D202" s="716">
        <f>(S202/S195-1)*100</f>
        <v>6.0345572403535108</v>
      </c>
      <c r="E202" s="487"/>
      <c r="F202" s="760">
        <v>3</v>
      </c>
      <c r="G202" s="487"/>
      <c r="H202" s="716">
        <f>D202-F202</f>
        <v>3.0345572403535108</v>
      </c>
      <c r="I202" s="487"/>
      <c r="J202" s="742">
        <f>Stores!CW223</f>
        <v>3913</v>
      </c>
      <c r="K202" s="735"/>
      <c r="L202" s="727">
        <f>AVERAGE(J202,J201)</f>
        <v>3887.5</v>
      </c>
      <c r="M202" s="487"/>
      <c r="N202" s="716">
        <f>(L202/L195-1)*100</f>
        <v>5.98418756815704</v>
      </c>
      <c r="O202" s="702"/>
      <c r="P202" s="719">
        <f>H202/N202*100</f>
        <v>50.709594339939258</v>
      </c>
      <c r="Q202" s="499"/>
      <c r="R202" s="487"/>
      <c r="S202" s="771">
        <v>8357.7000000000007</v>
      </c>
      <c r="T202" s="487"/>
      <c r="U202" s="726">
        <f>S202/L202</f>
        <v>2.1498906752411577</v>
      </c>
      <c r="V202" s="487"/>
      <c r="W202" s="740">
        <f>(U202/U195-1)*100</f>
        <v>4.7525648261514952E-2</v>
      </c>
      <c r="X202" s="702"/>
      <c r="Y202" s="487"/>
      <c r="Z202" s="562">
        <f>+Stores!DB223</f>
        <v>108.7</v>
      </c>
      <c r="AA202" s="735"/>
      <c r="AB202" s="722">
        <f>AVERAGE(Z202,Z201)</f>
        <v>108.25</v>
      </c>
      <c r="AC202" s="487"/>
      <c r="AD202" s="716">
        <f>(AB202/AB195-1)*100</f>
        <v>4.3373493975903621</v>
      </c>
      <c r="AE202" s="702"/>
      <c r="AF202" s="719">
        <f>+H202/AD202*100</f>
        <v>69.963403041483701</v>
      </c>
      <c r="AG202" s="499"/>
      <c r="AH202" s="487"/>
      <c r="AI202" s="725">
        <f>+S202</f>
        <v>8357.7000000000007</v>
      </c>
      <c r="AJ202" s="487"/>
      <c r="AK202" s="727">
        <f>AI202/AB202</f>
        <v>77.207390300230955</v>
      </c>
      <c r="AL202" s="487"/>
      <c r="AM202" s="740">
        <f>(AK202/AK195-1)*100</f>
        <v>1.6266541680062474</v>
      </c>
      <c r="AN202" s="702"/>
      <c r="AO202" s="702"/>
      <c r="AP202" s="725">
        <f>+S202-AQ202</f>
        <v>0</v>
      </c>
      <c r="AQ202" s="747">
        <f>+AR202+AS202+AT202+AU202</f>
        <v>8357.6999999999989</v>
      </c>
      <c r="AR202" s="725">
        <f>SegqtrSales!S166</f>
        <v>5284.6390000000001</v>
      </c>
      <c r="AS202" s="725">
        <f>SegqtrSales!S342</f>
        <v>832.02599999999995</v>
      </c>
      <c r="AT202" s="725">
        <f>SegqtrSales!S519</f>
        <v>1084.6369999999999</v>
      </c>
      <c r="AU202" s="725">
        <f>SegqtrSales!S696</f>
        <v>1156.3979999999999</v>
      </c>
      <c r="AV202" s="725"/>
      <c r="AW202" s="725"/>
      <c r="AX202" s="716"/>
      <c r="AY202" s="716"/>
      <c r="AZ202" s="724">
        <f>SegqtrSales!F166</f>
        <v>2</v>
      </c>
      <c r="BA202" s="724">
        <f>SegqtrSales!F342</f>
        <v>7</v>
      </c>
      <c r="BB202" s="724">
        <f>SegqtrSales!F519</f>
        <v>1</v>
      </c>
      <c r="BC202" s="724">
        <f>SegqtrSales!F696</f>
        <v>7</v>
      </c>
      <c r="BD202" s="716"/>
      <c r="BE202" s="716"/>
      <c r="BF202" s="746">
        <f>((AZ202)*(AR202/$AQ202)+(BA202)*(AS202/$AQ202)+(BB202)*(AT202/$AQ202)+(BC202)*(AU202/$AQ202))</f>
        <v>3.0597991074099338</v>
      </c>
      <c r="BG202" s="744">
        <f>+F202</f>
        <v>3</v>
      </c>
    </row>
    <row r="203" spans="1:59">
      <c r="A203" s="487" t="str">
        <f>$A$42</f>
        <v>3Q</v>
      </c>
      <c r="B203" s="701" t="str">
        <f>$B$42</f>
        <v>Oct</v>
      </c>
      <c r="C203" s="487"/>
      <c r="D203" s="716">
        <f>(S203/S196-1)*100</f>
        <v>5.6747431886004396</v>
      </c>
      <c r="E203" s="487"/>
      <c r="F203" s="2088">
        <v>0</v>
      </c>
      <c r="G203" s="487"/>
      <c r="H203" s="716">
        <f>D203-F203</f>
        <v>5.6747431886004396</v>
      </c>
      <c r="I203" s="487"/>
      <c r="J203" s="742">
        <f>Stores!CW224</f>
        <v>4052</v>
      </c>
      <c r="K203" s="735"/>
      <c r="L203" s="727">
        <f>AVERAGE(J203,J202)</f>
        <v>3982.5</v>
      </c>
      <c r="M203" s="487"/>
      <c r="N203" s="716">
        <f>(L203/L196-1)*100</f>
        <v>6.7694369973190449</v>
      </c>
      <c r="O203" s="702"/>
      <c r="P203" s="719">
        <f>H203/N203*100</f>
        <v>83.828879578137062</v>
      </c>
      <c r="Q203" s="499"/>
      <c r="R203" s="487"/>
      <c r="S203" s="2089">
        <v>8762.2199999999993</v>
      </c>
      <c r="T203" s="487"/>
      <c r="U203" s="726">
        <f>S203/L203</f>
        <v>2.2001807909604518</v>
      </c>
      <c r="V203" s="487"/>
      <c r="W203" s="740">
        <f>(U203/U196-1)*100</f>
        <v>-1.0252876099235086</v>
      </c>
      <c r="X203" s="702"/>
      <c r="Y203" s="487"/>
      <c r="Z203" s="562">
        <f>+Stores!DB224</f>
        <v>111.3</v>
      </c>
      <c r="AA203" s="735"/>
      <c r="AB203" s="722">
        <f>AVERAGE(Z203,Z202)</f>
        <v>110</v>
      </c>
      <c r="AC203" s="487"/>
      <c r="AD203" s="716">
        <f>(AB203/AB196-1)*100</f>
        <v>4.6622264509990519</v>
      </c>
      <c r="AE203" s="702"/>
      <c r="AF203" s="719">
        <f>+H203/AD203*100</f>
        <v>121.71745084120526</v>
      </c>
      <c r="AG203" s="499"/>
      <c r="AH203" s="487"/>
      <c r="AI203" s="725">
        <f>+S203</f>
        <v>8762.2199999999993</v>
      </c>
      <c r="AJ203" s="487"/>
      <c r="AK203" s="727">
        <f>AI203/AB203</f>
        <v>79.656545454545451</v>
      </c>
      <c r="AL203" s="487"/>
      <c r="AM203" s="740">
        <f>(AK203/AK196-1)*100</f>
        <v>0.96741371929003339</v>
      </c>
      <c r="AN203" s="702"/>
      <c r="AO203" s="702"/>
      <c r="AP203" s="725">
        <f>+S203-AQ203</f>
        <v>0</v>
      </c>
      <c r="AQ203" s="747">
        <f>+AR203+AS203+AT203+AU203</f>
        <v>8762.2200000000012</v>
      </c>
      <c r="AR203" s="725">
        <f>SegqtrSales!S167</f>
        <v>5298.4790000000003</v>
      </c>
      <c r="AS203" s="725">
        <f>SegqtrSales!S343</f>
        <v>983.23599999999999</v>
      </c>
      <c r="AT203" s="725">
        <f>SegqtrSales!S520</f>
        <v>1251.7370000000001</v>
      </c>
      <c r="AU203" s="725">
        <f>SegqtrSales!S697</f>
        <v>1228.768</v>
      </c>
      <c r="AV203" s="725"/>
      <c r="AW203" s="725"/>
      <c r="AX203" s="716"/>
      <c r="AY203" s="716"/>
      <c r="AZ203" s="724">
        <f>SegqtrSales!F167</f>
        <v>-1</v>
      </c>
      <c r="BA203" s="724">
        <f>SegqtrSales!F343</f>
        <v>4</v>
      </c>
      <c r="BB203" s="724">
        <f>SegqtrSales!F520</f>
        <v>1</v>
      </c>
      <c r="BC203" s="724">
        <f>SegqtrSales!F697</f>
        <v>3</v>
      </c>
      <c r="BD203" s="716"/>
      <c r="BE203" s="716"/>
      <c r="BF203" s="746">
        <f>((AZ203)*(AR203/$AQ203)+(BA203)*(AS203/$AQ203)+(BB203)*(AT203/$AQ203)+(BC203)*(AU203/$AQ203))</f>
        <v>0.40771699409510365</v>
      </c>
      <c r="BG203" s="744">
        <f>+F203</f>
        <v>0</v>
      </c>
    </row>
    <row r="204" spans="1:59">
      <c r="A204" s="487" t="str">
        <f>$A$43</f>
        <v>4Q</v>
      </c>
      <c r="B204" s="701" t="str">
        <f>$B$43</f>
        <v>Jan</v>
      </c>
      <c r="C204" s="487"/>
      <c r="D204" s="728">
        <f>(S204/S197-1)*100</f>
        <v>15.770264776453935</v>
      </c>
      <c r="E204" s="487"/>
      <c r="F204" s="2107">
        <v>4</v>
      </c>
      <c r="G204" s="487"/>
      <c r="H204" s="728">
        <f>D204-F204</f>
        <v>11.770264776453935</v>
      </c>
      <c r="I204" s="487"/>
      <c r="J204" s="742">
        <f>Stores!CW225</f>
        <v>4070</v>
      </c>
      <c r="K204" s="735"/>
      <c r="L204" s="734">
        <f>AVERAGE(J204,J203)</f>
        <v>4061</v>
      </c>
      <c r="M204" s="487"/>
      <c r="N204" s="728">
        <f>(L204/L197-1)*100</f>
        <v>6.9106226141898208</v>
      </c>
      <c r="O204" s="702"/>
      <c r="P204" s="730">
        <f>H204/N204*100</f>
        <v>170.32133620327701</v>
      </c>
      <c r="Q204" s="499"/>
      <c r="R204" s="487"/>
      <c r="S204" s="2108">
        <v>10960.72</v>
      </c>
      <c r="T204" s="487"/>
      <c r="U204" s="732">
        <f>S204/L204</f>
        <v>2.699019945826151</v>
      </c>
      <c r="V204" s="487"/>
      <c r="W204" s="729">
        <f>(U204/U197-1)*100</f>
        <v>8.286961525082571</v>
      </c>
      <c r="X204" s="702"/>
      <c r="Y204" s="487"/>
      <c r="Z204" s="562">
        <f>+Stores!DB225</f>
        <v>110.8</v>
      </c>
      <c r="AA204" s="735"/>
      <c r="AB204" s="733">
        <f>AVERAGE(Z204,Z203)</f>
        <v>111.05</v>
      </c>
      <c r="AC204" s="487"/>
      <c r="AD204" s="728">
        <f>(AB204/AB197-1)*100</f>
        <v>4.1744840525328453</v>
      </c>
      <c r="AE204" s="702"/>
      <c r="AF204" s="730">
        <f>+H204/AD204*100</f>
        <v>281.95735397078334</v>
      </c>
      <c r="AG204" s="499"/>
      <c r="AH204" s="487"/>
      <c r="AI204" s="731">
        <f>+S204</f>
        <v>10960.72</v>
      </c>
      <c r="AJ204" s="487"/>
      <c r="AK204" s="734">
        <f>AI204/AB204</f>
        <v>98.70076542098154</v>
      </c>
      <c r="AL204" s="487"/>
      <c r="AM204" s="729">
        <f>(AK204/AK197-1)*100</f>
        <v>11.131114139306518</v>
      </c>
      <c r="AN204" s="702"/>
      <c r="AO204" s="702"/>
      <c r="AP204" s="725">
        <f>+S204-AQ204</f>
        <v>0</v>
      </c>
      <c r="AQ204" s="747">
        <f>+AR204+AS204+AT204+AU204</f>
        <v>10960.72</v>
      </c>
      <c r="AR204" s="725">
        <f>SegqtrSales!S168</f>
        <v>6698.8519999999999</v>
      </c>
      <c r="AS204" s="725">
        <f>SegqtrSales!S344</f>
        <v>1088.249</v>
      </c>
      <c r="AT204" s="725">
        <f>SegqtrSales!S521</f>
        <v>1563.7260000000001</v>
      </c>
      <c r="AU204" s="725">
        <f>SegqtrSales!S698</f>
        <v>1609.893</v>
      </c>
      <c r="AV204" s="725"/>
      <c r="AW204" s="725"/>
      <c r="AX204" s="716"/>
      <c r="AY204" s="716"/>
      <c r="AZ204" s="730">
        <f>SegqtrSales!F168</f>
        <v>3</v>
      </c>
      <c r="BA204" s="730">
        <f>SegqtrSales!F344</f>
        <v>7</v>
      </c>
      <c r="BB204" s="730">
        <f>SegqtrSales!F521</f>
        <v>3</v>
      </c>
      <c r="BC204" s="730">
        <f>SegqtrSales!F698</f>
        <v>3</v>
      </c>
      <c r="BD204" s="716"/>
      <c r="BE204" s="716"/>
      <c r="BF204" s="746">
        <f>((AZ204)*(AR204/$AQ204)+(BA204)*(AS204/$AQ204)+(BB204)*(AT204/$AQ204)+(BC204)*(AU204/$AQ204))</f>
        <v>3.3971450780605656</v>
      </c>
      <c r="BG204" s="744">
        <f>+F204</f>
        <v>4</v>
      </c>
    </row>
    <row r="205" spans="1:59">
      <c r="A205" s="487"/>
      <c r="B205" s="701" t="str">
        <f>$B$44</f>
        <v>Year</v>
      </c>
      <c r="C205" s="487"/>
      <c r="D205" s="716">
        <f>(S205/S198-1)*100</f>
        <v>8.0790160386965404</v>
      </c>
      <c r="E205" s="487"/>
      <c r="F205" s="753">
        <f>((AZ205)*(AR205/$AQ205)+(BA205)*(AS205/$AQ205)+(BB205)*(AT205/$AQ205)+(BC205)*(AU205/$AQ205))</f>
        <v>1.9696190378362393</v>
      </c>
      <c r="G205" s="487"/>
      <c r="H205" s="716">
        <f>D205-F205</f>
        <v>6.1093970008603016</v>
      </c>
      <c r="I205" s="487"/>
      <c r="J205" s="487"/>
      <c r="K205" s="487"/>
      <c r="L205" s="727">
        <f>AVERAGE(L201:L204)</f>
        <v>3942</v>
      </c>
      <c r="M205" s="487"/>
      <c r="N205" s="716">
        <f>(L205/L198-1)*100</f>
        <v>6.2963462316300456</v>
      </c>
      <c r="O205" s="702"/>
      <c r="P205" s="719">
        <f>H205/N205*100</f>
        <v>97.030829883042429</v>
      </c>
      <c r="Q205" s="499"/>
      <c r="R205" s="487"/>
      <c r="S205" s="720">
        <f>SUM(S201:S204)</f>
        <v>35864.664000000004</v>
      </c>
      <c r="T205" s="487"/>
      <c r="U205" s="721">
        <f>SUM(U201:U204)</f>
        <v>9.0777658973027151</v>
      </c>
      <c r="V205" s="487"/>
      <c r="W205" s="740">
        <f>(U205/U198-1)*100</f>
        <v>1.5658639909281291</v>
      </c>
      <c r="X205" s="702"/>
      <c r="Y205" s="487"/>
      <c r="Z205" s="487"/>
      <c r="AA205" s="487"/>
      <c r="AB205" s="722">
        <f>AVERAGE(AB201:AB204)</f>
        <v>109.16250000000001</v>
      </c>
      <c r="AC205" s="487"/>
      <c r="AD205" s="716">
        <f>(AB205/AB198-1)*100</f>
        <v>4.3493846337674613</v>
      </c>
      <c r="AE205" s="702"/>
      <c r="AF205" s="719">
        <f>+H205/AD205*100</f>
        <v>140.46577884670336</v>
      </c>
      <c r="AG205" s="499"/>
      <c r="AH205" s="487"/>
      <c r="AI205" s="720">
        <f>SUM(AI201:AI204)</f>
        <v>35864.664000000004</v>
      </c>
      <c r="AJ205" s="487"/>
      <c r="AK205" s="723">
        <f>SUM(AK201:AK204)</f>
        <v>328.07540448269788</v>
      </c>
      <c r="AL205" s="487"/>
      <c r="AM205" s="740">
        <f>(AK205/AK198-1)*100</f>
        <v>3.5243947472766379</v>
      </c>
      <c r="AN205" s="702"/>
      <c r="AO205" s="702"/>
      <c r="AP205" s="725">
        <f>+S205-AQ205</f>
        <v>0</v>
      </c>
      <c r="AQ205" s="749">
        <f>SUM(AQ201:AQ204)</f>
        <v>35864.663999999997</v>
      </c>
      <c r="AR205" s="750">
        <f>SUM(AR201:AR204)</f>
        <v>22249.105</v>
      </c>
      <c r="AS205" s="750">
        <f>SUM(AS201:AS204)</f>
        <v>3642.2820000000002</v>
      </c>
      <c r="AT205" s="750">
        <f>SUM(AT201:AT204)</f>
        <v>4856.9490000000005</v>
      </c>
      <c r="AU205" s="750">
        <f>SUM(AU201:AU204)</f>
        <v>5116.3279999999995</v>
      </c>
      <c r="AV205" s="750"/>
      <c r="AW205" s="750"/>
      <c r="AX205" s="716"/>
      <c r="AY205" s="716"/>
      <c r="AZ205" s="724">
        <f>SegqtrSales!F169</f>
        <v>1</v>
      </c>
      <c r="BA205" s="724">
        <f>SegqtrSales!F345</f>
        <v>5</v>
      </c>
      <c r="BB205" s="724">
        <f>SegqtrSales!F522</f>
        <v>2</v>
      </c>
      <c r="BC205" s="724">
        <f>SegqtrSales!F699</f>
        <v>4</v>
      </c>
      <c r="BD205" s="716"/>
      <c r="BE205" s="716"/>
      <c r="BF205" s="746">
        <f>((AZ205)*(AR205/$AQ205)+(BA205)*(AS205/$AQ205)+(BB205)*(AT205/$AQ205)+(BC205)*(AU205/$AQ205))</f>
        <v>1.9696190378362393</v>
      </c>
      <c r="BG205" s="744">
        <f>+F205</f>
        <v>1.9696190378362393</v>
      </c>
    </row>
    <row r="206" spans="1:59">
      <c r="A206" s="487"/>
      <c r="B206" s="701"/>
      <c r="C206" s="487"/>
      <c r="D206" s="716"/>
      <c r="E206" s="487"/>
      <c r="F206" s="753"/>
      <c r="G206" s="487"/>
      <c r="H206" s="716"/>
      <c r="I206" s="487"/>
      <c r="J206" s="487"/>
      <c r="K206" s="487"/>
      <c r="L206" s="727"/>
      <c r="M206" s="487"/>
      <c r="N206" s="716"/>
      <c r="O206" s="702"/>
      <c r="P206" s="719"/>
      <c r="Q206" s="499"/>
      <c r="R206" s="487"/>
      <c r="S206" s="720"/>
      <c r="T206" s="487"/>
      <c r="U206" s="721"/>
      <c r="V206" s="487"/>
      <c r="W206" s="740"/>
      <c r="X206" s="702"/>
      <c r="Y206" s="487"/>
      <c r="Z206" s="487"/>
      <c r="AA206" s="487"/>
      <c r="AB206" s="722"/>
      <c r="AC206" s="487"/>
      <c r="AD206" s="716"/>
      <c r="AE206" s="702"/>
      <c r="AF206" s="719"/>
      <c r="AG206" s="499"/>
      <c r="AH206" s="487"/>
      <c r="AI206" s="720"/>
      <c r="AJ206" s="487"/>
      <c r="AK206" s="723"/>
      <c r="AL206" s="487"/>
      <c r="AM206" s="740"/>
      <c r="AN206" s="702"/>
      <c r="AO206" s="702"/>
      <c r="AP206" s="725"/>
      <c r="AQ206" s="758"/>
      <c r="AR206" s="769">
        <f>AR205/$AQ205</f>
        <v>0.62036284516704243</v>
      </c>
      <c r="AS206" s="769">
        <f>AS205/$AQ205</f>
        <v>0.10155628392336258</v>
      </c>
      <c r="AT206" s="769">
        <f>AT205/$AQ205</f>
        <v>0.13542435529299818</v>
      </c>
      <c r="AU206" s="769">
        <f>AU205/$AQ205</f>
        <v>0.14265651561659687</v>
      </c>
      <c r="AV206" s="750"/>
      <c r="AW206" s="750"/>
      <c r="AX206" s="716"/>
      <c r="AY206" s="716"/>
      <c r="AZ206" s="716"/>
      <c r="BA206" s="716"/>
      <c r="BB206" s="716"/>
      <c r="BC206" s="716"/>
      <c r="BD206" s="716"/>
      <c r="BE206" s="716"/>
      <c r="BF206" s="746"/>
      <c r="BG206" s="744"/>
    </row>
    <row r="207" spans="1:59">
      <c r="A207" s="715"/>
      <c r="B207" s="773">
        <f>+B200+1</f>
        <v>2018</v>
      </c>
      <c r="C207" s="487"/>
      <c r="D207" s="487"/>
      <c r="E207" s="702"/>
      <c r="F207" s="487"/>
      <c r="G207" s="702"/>
      <c r="H207" s="487"/>
      <c r="I207" s="702"/>
      <c r="J207" s="727"/>
      <c r="K207" s="487"/>
      <c r="L207" s="727"/>
      <c r="M207" s="487"/>
      <c r="N207" s="487"/>
      <c r="O207" s="702"/>
      <c r="P207" s="499"/>
      <c r="Q207" s="499"/>
      <c r="R207" s="487"/>
      <c r="S207" s="720"/>
      <c r="T207" s="487"/>
      <c r="U207" s="487"/>
      <c r="V207" s="487"/>
      <c r="W207" s="487"/>
      <c r="X207" s="702"/>
      <c r="Y207" s="487"/>
      <c r="Z207" s="487"/>
      <c r="AA207" s="487"/>
      <c r="AB207" s="487"/>
      <c r="AC207" s="487"/>
      <c r="AD207" s="487"/>
      <c r="AE207" s="702"/>
      <c r="AF207" s="499"/>
      <c r="AG207" s="499"/>
      <c r="AH207" s="487"/>
      <c r="AI207" s="487"/>
      <c r="AJ207" s="487"/>
      <c r="AK207" s="487"/>
      <c r="AL207" s="487"/>
      <c r="AM207" s="487"/>
      <c r="AN207" s="702"/>
      <c r="AO207" s="702"/>
      <c r="AP207" s="487"/>
      <c r="AQ207" s="487"/>
      <c r="AR207" s="487"/>
      <c r="AS207" s="487"/>
      <c r="AT207" s="487"/>
      <c r="AU207" s="487"/>
      <c r="AV207" s="487"/>
      <c r="AW207" s="487"/>
      <c r="AX207" s="487"/>
      <c r="AY207" s="487"/>
      <c r="AZ207" s="724"/>
      <c r="BA207" s="724"/>
      <c r="BB207" s="724"/>
      <c r="BC207" s="724"/>
      <c r="BD207" s="487"/>
      <c r="BE207" s="487"/>
      <c r="BF207" s="487"/>
      <c r="BG207" s="487"/>
    </row>
    <row r="208" spans="1:59">
      <c r="A208" s="487" t="str">
        <f>$A$40</f>
        <v>1Q</v>
      </c>
      <c r="B208" s="701" t="str">
        <f>$B$40</f>
        <v>Apr</v>
      </c>
      <c r="C208" s="487"/>
      <c r="D208" s="716">
        <f>(S208/S201-1)*100</f>
        <v>9.3003243566566631</v>
      </c>
      <c r="E208" s="487"/>
      <c r="F208" s="776">
        <f>((AZ208)*(AR208/$AQ208)+(BA208)*(AS208/$AQ208)+(BB208)*(AT208/$AQ208)+(BC208)*(AU208/$AQ208))</f>
        <v>2.4885815283259771</v>
      </c>
      <c r="G208" s="487"/>
      <c r="H208" s="716">
        <f>D208-F208</f>
        <v>6.8117428283306865</v>
      </c>
      <c r="I208" s="487"/>
      <c r="J208" s="742">
        <f>Stores!CW229</f>
        <v>4126</v>
      </c>
      <c r="K208" s="735"/>
      <c r="L208" s="727">
        <f>AVERAGE(J208,J204)</f>
        <v>4098</v>
      </c>
      <c r="M208" s="487"/>
      <c r="N208" s="716">
        <f>(L208/L201-1)*100</f>
        <v>6.8021892103205639</v>
      </c>
      <c r="O208" s="702"/>
      <c r="P208" s="719">
        <f>H208/N208*100</f>
        <v>100.14044916591894</v>
      </c>
      <c r="Q208" s="499"/>
      <c r="R208" s="487"/>
      <c r="S208" s="2065">
        <f>SegqtrSales!S172+SegqtrSales!S348+SegqtrSales!S525+SegqtrSales!S702</f>
        <v>8507.9634800000003</v>
      </c>
      <c r="T208" s="487"/>
      <c r="U208" s="726">
        <f>S208/L208</f>
        <v>2.0761257881893607</v>
      </c>
      <c r="V208" s="487"/>
      <c r="W208" s="740">
        <f>(U208/U201-1)*100</f>
        <v>2.3390299064157016</v>
      </c>
      <c r="X208" s="702" t="s">
        <v>190</v>
      </c>
      <c r="Y208" s="487"/>
      <c r="Z208" s="562">
        <f>Stores!$DB229</f>
        <v>115.91366032608083</v>
      </c>
      <c r="AA208" s="487"/>
      <c r="AB208" s="722">
        <f>AVERAGE(Z208,Z204)</f>
        <v>113.35683016304041</v>
      </c>
      <c r="AC208" s="487"/>
      <c r="AD208" s="716">
        <f>(AB208/AB201-1)*100</f>
        <v>5.5955567424689434</v>
      </c>
      <c r="AE208" s="702" t="s">
        <v>190</v>
      </c>
      <c r="AF208" s="719">
        <f>+H208/AD208*100</f>
        <v>121.73485395351602</v>
      </c>
      <c r="AG208" s="499" t="s">
        <v>190</v>
      </c>
      <c r="AH208" s="487"/>
      <c r="AI208" s="720">
        <f>+S208</f>
        <v>8507.9634800000003</v>
      </c>
      <c r="AJ208" s="487"/>
      <c r="AK208" s="723">
        <f>AI208/AB208</f>
        <v>75.054705285628131</v>
      </c>
      <c r="AL208" s="487"/>
      <c r="AM208" s="740">
        <f>(AK208/AK201-1)*100</f>
        <v>3.5084502875656565</v>
      </c>
      <c r="AN208" s="702" t="s">
        <v>190</v>
      </c>
      <c r="AO208" s="702"/>
      <c r="AP208" s="725">
        <f>+S208-AQ208</f>
        <v>0</v>
      </c>
      <c r="AQ208" s="745">
        <f>+AR208+AS208+AT208+AU208</f>
        <v>8507.9634800000003</v>
      </c>
      <c r="AR208" s="725">
        <f>SegqtrSales!S172</f>
        <v>5215.4917500000001</v>
      </c>
      <c r="AS208" s="725">
        <f>SegqtrSales!S348</f>
        <v>864.3620699999999</v>
      </c>
      <c r="AT208" s="725">
        <f>SegqtrSales!S525</f>
        <v>1138.65031</v>
      </c>
      <c r="AU208" s="725">
        <f>SegqtrSales!S702</f>
        <v>1289.4593499999999</v>
      </c>
      <c r="AV208" s="725"/>
      <c r="AW208" s="725"/>
      <c r="AX208" s="716"/>
      <c r="AY208" s="716"/>
      <c r="AZ208" s="724">
        <f>SegqtrSales!F172</f>
        <v>2</v>
      </c>
      <c r="BA208" s="724">
        <f>SegqtrSales!F348</f>
        <v>4</v>
      </c>
      <c r="BB208" s="724">
        <f>SegqtrSales!F525</f>
        <v>3</v>
      </c>
      <c r="BC208" s="724">
        <f>SegqtrSales!F702</f>
        <v>3</v>
      </c>
      <c r="BD208" s="716"/>
      <c r="BE208" s="716"/>
      <c r="BF208" s="746">
        <f>((AZ208)*(AR208/$AQ208)+(BA208)*(AS208/$AQ208)+(BB208)*(AT208/$AQ208)+(BC208)*(AU208/$AQ208))</f>
        <v>2.4885815283259771</v>
      </c>
      <c r="BG208" s="744">
        <f>+F208</f>
        <v>2.4885815283259771</v>
      </c>
    </row>
    <row r="209" spans="1:59">
      <c r="A209" s="487" t="str">
        <f>$A$41</f>
        <v>2Q</v>
      </c>
      <c r="B209" s="701" t="str">
        <f>$B$41</f>
        <v>Jul</v>
      </c>
      <c r="C209" s="487"/>
      <c r="D209" s="716">
        <f>(S209/S202-1)*100</f>
        <v>6.7877708580111884</v>
      </c>
      <c r="E209" s="487"/>
      <c r="F209" s="776">
        <f>((AZ209)*(AR209/$AQ209)+(BA209)*(AS209/$AQ209)+(BB209)*(AT209/$AQ209)+(BC209)*(AU209/$AQ209))</f>
        <v>2.0367859640225663</v>
      </c>
      <c r="G209" s="487"/>
      <c r="H209" s="716">
        <f>D209-F209</f>
        <v>4.7509848939886226</v>
      </c>
      <c r="I209" s="487"/>
      <c r="J209" s="742">
        <f>Stores!CW230</f>
        <v>4186</v>
      </c>
      <c r="K209" s="735"/>
      <c r="L209" s="727">
        <f>AVERAGE(J209,J208)</f>
        <v>4156</v>
      </c>
      <c r="M209" s="487"/>
      <c r="N209" s="716">
        <f>(L209/L202-1)*100</f>
        <v>6.9067524115755674</v>
      </c>
      <c r="O209" s="702"/>
      <c r="P209" s="719">
        <f>H209/N209*100</f>
        <v>68.787537338475829</v>
      </c>
      <c r="Q209" s="499"/>
      <c r="R209" s="487"/>
      <c r="S209" s="2066">
        <f>SegqtrSales!S173+SegqtrSales!S349+SegqtrSales!S526+SegqtrSales!S703</f>
        <v>8925.0015250000015</v>
      </c>
      <c r="T209" s="487"/>
      <c r="U209" s="726">
        <f>S209/L209</f>
        <v>2.1474979607795963</v>
      </c>
      <c r="V209" s="487"/>
      <c r="W209" s="740">
        <f>(U209/U202-1)*100</f>
        <v>-0.111294703917586</v>
      </c>
      <c r="X209" s="702"/>
      <c r="Y209" s="487"/>
      <c r="Z209" s="562">
        <f>+Stores!DB230</f>
        <v>117.52926449821709</v>
      </c>
      <c r="AA209" s="735"/>
      <c r="AB209" s="722">
        <f>AVERAGE(Z209,Z208)</f>
        <v>116.72146241214895</v>
      </c>
      <c r="AC209" s="487"/>
      <c r="AD209" s="716">
        <f>(AB209/AB202-1)*100</f>
        <v>7.8258313276202696</v>
      </c>
      <c r="AE209" s="702"/>
      <c r="AF209" s="719">
        <f>+H209/AD209*100</f>
        <v>60.709012181499865</v>
      </c>
      <c r="AG209" s="499"/>
      <c r="AH209" s="487"/>
      <c r="AI209" s="725">
        <f>+S209</f>
        <v>8925.0015250000015</v>
      </c>
      <c r="AJ209" s="487"/>
      <c r="AK209" s="727">
        <f>AI209/AB209</f>
        <v>76.464099579950457</v>
      </c>
      <c r="AL209" s="487"/>
      <c r="AM209" s="740">
        <f>(AK209/AK202-1)*100</f>
        <v>-0.9627196533778859</v>
      </c>
      <c r="AN209" s="702"/>
      <c r="AO209" s="702"/>
      <c r="AP209" s="725">
        <f>+S209-AQ209</f>
        <v>0</v>
      </c>
      <c r="AQ209" s="747">
        <f>+AR209+AS209+AT209+AU209</f>
        <v>8925.0015250000015</v>
      </c>
      <c r="AR209" s="725">
        <f>SegqtrSales!S173</f>
        <v>5496.0245600000007</v>
      </c>
      <c r="AS209" s="725">
        <f>SegqtrSales!S349</f>
        <v>902.74820999999997</v>
      </c>
      <c r="AT209" s="725">
        <f>SegqtrSales!S526</f>
        <v>1231.062995</v>
      </c>
      <c r="AU209" s="725">
        <f>SegqtrSales!S703</f>
        <v>1295.1657600000001</v>
      </c>
      <c r="AV209" s="725"/>
      <c r="AW209" s="725"/>
      <c r="AX209" s="716"/>
      <c r="AY209" s="716"/>
      <c r="AZ209" s="724">
        <f>SegqtrSales!F173</f>
        <v>2</v>
      </c>
      <c r="BA209" s="724">
        <f>SegqtrSales!F349</f>
        <v>1</v>
      </c>
      <c r="BB209" s="724">
        <f>SegqtrSales!F526</f>
        <v>3</v>
      </c>
      <c r="BC209" s="724">
        <f>SegqtrSales!F703</f>
        <v>2</v>
      </c>
      <c r="BD209" s="716"/>
      <c r="BE209" s="716"/>
      <c r="BF209" s="746">
        <f>((AZ209)*(AR209/$AQ209)+(BA209)*(AS209/$AQ209)+(BB209)*(AT209/$AQ209)+(BC209)*(AU209/$AQ209))</f>
        <v>2.0367859640225663</v>
      </c>
      <c r="BG209" s="744">
        <f>+F209</f>
        <v>2.0367859640225663</v>
      </c>
    </row>
    <row r="210" spans="1:59">
      <c r="A210" s="487" t="str">
        <f>$A$42</f>
        <v>3Q</v>
      </c>
      <c r="B210" s="701" t="str">
        <f>$B$42</f>
        <v>Oct</v>
      </c>
      <c r="C210" s="487"/>
      <c r="D210" s="716">
        <f>(S210/S203-1)*100</f>
        <v>6.5805870019241874</v>
      </c>
      <c r="E210" s="487"/>
      <c r="F210" s="776">
        <f>((AZ210)*(AR210/$AQ210)+(BA210)*(AS210/$AQ210)+(BB210)*(AT210/$AQ210)+(BC210)*(AU210/$AQ210))</f>
        <v>2.3781622246252603</v>
      </c>
      <c r="G210" s="487"/>
      <c r="H210" s="716">
        <f>D210-F210</f>
        <v>4.2024247772989272</v>
      </c>
      <c r="I210" s="487"/>
      <c r="J210" s="742">
        <f>Stores!CW231</f>
        <v>4289</v>
      </c>
      <c r="K210" s="735"/>
      <c r="L210" s="727">
        <f>AVERAGE(J210,J209)</f>
        <v>4237.5</v>
      </c>
      <c r="M210" s="487"/>
      <c r="N210" s="716">
        <f>(L210/L203-1)*100</f>
        <v>6.4030131826741998</v>
      </c>
      <c r="O210" s="702"/>
      <c r="P210" s="719">
        <f>H210/N210*100</f>
        <v>65.631986963109711</v>
      </c>
      <c r="Q210" s="499"/>
      <c r="R210" s="487"/>
      <c r="S210" s="777">
        <f>SegqtrSales!S174+SegqtrSales!S350+SegqtrSales!S527+SegqtrSales!S704</f>
        <v>9338.8255104000018</v>
      </c>
      <c r="T210" s="487"/>
      <c r="U210" s="726">
        <f>S210/L210</f>
        <v>2.2038526278230091</v>
      </c>
      <c r="V210" s="487"/>
      <c r="W210" s="740">
        <f>(U210/U203-1)*100</f>
        <v>0.16688796110042592</v>
      </c>
      <c r="X210" s="702"/>
      <c r="Y210" s="487"/>
      <c r="Z210" s="562">
        <f>+Stores!DB231</f>
        <v>120.29770785098687</v>
      </c>
      <c r="AA210" s="735"/>
      <c r="AB210" s="722">
        <f>AVERAGE(Z210,Z209)</f>
        <v>118.91348617460199</v>
      </c>
      <c r="AC210" s="487"/>
      <c r="AD210" s="716">
        <f>(AB210/AB203-1)*100</f>
        <v>8.1031692496381638</v>
      </c>
      <c r="AE210" s="702"/>
      <c r="AF210" s="719">
        <f>+H210/AD210*100</f>
        <v>51.861495765827435</v>
      </c>
      <c r="AG210" s="499"/>
      <c r="AH210" s="487"/>
      <c r="AI210" s="725">
        <f>+S210</f>
        <v>9338.8255104000018</v>
      </c>
      <c r="AJ210" s="487"/>
      <c r="AK210" s="727">
        <f>AI210/AB210</f>
        <v>78.534620511316106</v>
      </c>
      <c r="AL210" s="487"/>
      <c r="AM210" s="740">
        <f>(AK210/AK203-1)*100</f>
        <v>-1.4084529235196985</v>
      </c>
      <c r="AN210" s="702"/>
      <c r="AO210" s="702"/>
      <c r="AP210" s="725">
        <f>+S210-AQ210</f>
        <v>0</v>
      </c>
      <c r="AQ210" s="747">
        <f>+AR210+AS210+AT210+AU210</f>
        <v>9338.8255104000018</v>
      </c>
      <c r="AR210" s="725">
        <f>SegqtrSales!S174</f>
        <v>5478.6272860000008</v>
      </c>
      <c r="AS210" s="725">
        <f>SegqtrSales!S350</f>
        <v>1065.827824</v>
      </c>
      <c r="AT210" s="725">
        <f>SegqtrSales!S527</f>
        <v>1394.4350180000001</v>
      </c>
      <c r="AU210" s="725">
        <f>SegqtrSales!S704</f>
        <v>1399.9353824</v>
      </c>
      <c r="AV210" s="725"/>
      <c r="AW210" s="725"/>
      <c r="AX210" s="716"/>
      <c r="AY210" s="716"/>
      <c r="AZ210" s="724">
        <f>SegqtrSales!F174</f>
        <v>2</v>
      </c>
      <c r="BA210" s="724">
        <f>SegqtrSales!F350</f>
        <v>4</v>
      </c>
      <c r="BB210" s="724">
        <f>SegqtrSales!F527</f>
        <v>2</v>
      </c>
      <c r="BC210" s="724">
        <f>SegqtrSales!F704</f>
        <v>3</v>
      </c>
      <c r="BD210" s="716"/>
      <c r="BE210" s="716"/>
      <c r="BF210" s="746">
        <f>((AZ210)*(AR210/$AQ210)+(BA210)*(AS210/$AQ210)+(BB210)*(AT210/$AQ210)+(BC210)*(AU210/$AQ210))</f>
        <v>2.3781622246252603</v>
      </c>
      <c r="BG210" s="744">
        <f>+F210</f>
        <v>2.3781622246252603</v>
      </c>
    </row>
    <row r="211" spans="1:59">
      <c r="A211" s="487" t="str">
        <f>$A$43</f>
        <v>4Q</v>
      </c>
      <c r="B211" s="701" t="str">
        <f>$B$43</f>
        <v>Jan</v>
      </c>
      <c r="C211" s="487"/>
      <c r="D211" s="728">
        <f>(S211/S204-1)*100</f>
        <v>0.99716131786962148</v>
      </c>
      <c r="E211" s="487"/>
      <c r="F211" s="774">
        <f>((AZ211)*(AR211/$AQ211)+(BA211)*(AS211/$AQ211)+(BB211)*(AT211/$AQ211)+(BC211)*(AU211/$AQ211))</f>
        <v>2.2109307790832604</v>
      </c>
      <c r="G211" s="487"/>
      <c r="H211" s="728">
        <f>D211-F211</f>
        <v>-1.2137694612136389</v>
      </c>
      <c r="I211" s="487"/>
      <c r="J211" s="742">
        <f>Stores!CW232</f>
        <v>4308</v>
      </c>
      <c r="K211" s="735"/>
      <c r="L211" s="734">
        <f>AVERAGE(J211,J210)</f>
        <v>4298.5</v>
      </c>
      <c r="M211" s="487"/>
      <c r="N211" s="728">
        <f>(L211/L204-1)*100</f>
        <v>5.8483132233440038</v>
      </c>
      <c r="O211" s="702"/>
      <c r="P211" s="730">
        <f>H211/N211*100</f>
        <v>-20.754180134688792</v>
      </c>
      <c r="Q211" s="499"/>
      <c r="R211" s="487"/>
      <c r="S211" s="775">
        <f>SegqtrSales!S175+SegqtrSales!S351+SegqtrSales!S528+SegqtrSales!S705</f>
        <v>11070.016059999998</v>
      </c>
      <c r="T211" s="487"/>
      <c r="U211" s="732">
        <f>S211/L211</f>
        <v>2.5753207072234496</v>
      </c>
      <c r="V211" s="487"/>
      <c r="W211" s="729">
        <f>(U211/U204-1)*100</f>
        <v>-4.5831168752196056</v>
      </c>
      <c r="X211" s="702"/>
      <c r="Y211" s="487"/>
      <c r="Z211" s="562">
        <f>+Stores!DB232</f>
        <v>120.82306914457638</v>
      </c>
      <c r="AA211" s="735"/>
      <c r="AB211" s="733">
        <f>AVERAGE(Z211,Z210)</f>
        <v>120.56038849778162</v>
      </c>
      <c r="AC211" s="487"/>
      <c r="AD211" s="728">
        <f>(AB211/AB204-1)*100</f>
        <v>8.5640598809379789</v>
      </c>
      <c r="AE211" s="702"/>
      <c r="AF211" s="730">
        <f>+H211/AD211*100</f>
        <v>-14.172827818675888</v>
      </c>
      <c r="AG211" s="499"/>
      <c r="AH211" s="487"/>
      <c r="AI211" s="731">
        <f>+S211</f>
        <v>11070.016059999998</v>
      </c>
      <c r="AJ211" s="487"/>
      <c r="AK211" s="734">
        <f>AI211/AB211</f>
        <v>91.821336990828399</v>
      </c>
      <c r="AL211" s="487"/>
      <c r="AM211" s="729">
        <f>(AK211/AK204-1)*100</f>
        <v>-6.9699848839173573</v>
      </c>
      <c r="AN211" s="702"/>
      <c r="AO211" s="702"/>
      <c r="AP211" s="725">
        <f>+S211-AQ211</f>
        <v>0</v>
      </c>
      <c r="AQ211" s="747">
        <f>+AR211+AS211+AT211+AU211</f>
        <v>11070.016059999998</v>
      </c>
      <c r="AR211" s="725">
        <f>SegqtrSales!S175</f>
        <v>6564.8749600000001</v>
      </c>
      <c r="AS211" s="725">
        <f>SegqtrSales!S351</f>
        <v>1123.0729679999999</v>
      </c>
      <c r="AT211" s="725">
        <f>SegqtrSales!S528</f>
        <v>1646.603478</v>
      </c>
      <c r="AU211" s="725">
        <f>SegqtrSales!S705</f>
        <v>1735.4646540000001</v>
      </c>
      <c r="AV211" s="725"/>
      <c r="AW211" s="725"/>
      <c r="AX211" s="716"/>
      <c r="AY211" s="716"/>
      <c r="AZ211" s="730">
        <f>SegqtrSales!F175</f>
        <v>2</v>
      </c>
      <c r="BA211" s="730">
        <f>SegqtrSales!F351</f>
        <v>4</v>
      </c>
      <c r="BB211" s="730">
        <f>SegqtrSales!F528</f>
        <v>1</v>
      </c>
      <c r="BC211" s="730">
        <f>SegqtrSales!F705</f>
        <v>3</v>
      </c>
      <c r="BD211" s="716"/>
      <c r="BE211" s="716"/>
      <c r="BF211" s="746">
        <f>((AZ211)*(AR211/$AQ211)+(BA211)*(AS211/$AQ211)+(BB211)*(AT211/$AQ211)+(BC211)*(AU211/$AQ211))</f>
        <v>2.2109307790832604</v>
      </c>
      <c r="BG211" s="744">
        <f>+F211</f>
        <v>2.2109307790832604</v>
      </c>
    </row>
    <row r="212" spans="1:59">
      <c r="A212" s="487"/>
      <c r="B212" s="701" t="str">
        <f>$B$44</f>
        <v>Year</v>
      </c>
      <c r="C212" s="487"/>
      <c r="D212" s="716">
        <f>(S212/S205-1)*100</f>
        <v>5.5127871138008988</v>
      </c>
      <c r="E212" s="487"/>
      <c r="F212" s="753">
        <f>((AZ212)*(AR212/$AQ212)+(BA212)*(AS212/$AQ212)+(BB212)*(AT212/$AQ212)+(BC212)*(AU212/$AQ212))</f>
        <v>2.2735531853315218</v>
      </c>
      <c r="G212" s="487"/>
      <c r="H212" s="716">
        <f>D212-F212</f>
        <v>3.239233928469377</v>
      </c>
      <c r="I212" s="487"/>
      <c r="J212" s="487"/>
      <c r="K212" s="487"/>
      <c r="L212" s="727">
        <f>AVERAGE(L208:L211)</f>
        <v>4197.5</v>
      </c>
      <c r="M212" s="487"/>
      <c r="N212" s="716">
        <f>(L212/L205-1)*100</f>
        <v>6.4814814814814881</v>
      </c>
      <c r="O212" s="702"/>
      <c r="P212" s="719">
        <f>H212/N212*100</f>
        <v>49.976752039241767</v>
      </c>
      <c r="Q212" s="499"/>
      <c r="R212" s="487"/>
      <c r="S212" s="720">
        <f>SUM(S208:S211)</f>
        <v>37841.806575399998</v>
      </c>
      <c r="T212" s="487"/>
      <c r="U212" s="721">
        <f>SUM(U208:U211)</f>
        <v>9.0027970840154161</v>
      </c>
      <c r="V212" s="487"/>
      <c r="W212" s="740">
        <f>(U212/U205-1)*100</f>
        <v>-0.82585092120049941</v>
      </c>
      <c r="X212" s="702"/>
      <c r="Y212" s="487"/>
      <c r="Z212" s="487"/>
      <c r="AA212" s="487"/>
      <c r="AB212" s="722">
        <f>AVERAGE(AB208:AB211)</f>
        <v>117.38804181189325</v>
      </c>
      <c r="AC212" s="487"/>
      <c r="AD212" s="716">
        <f>(AB212/AB205-1)*100</f>
        <v>7.5351350618511281</v>
      </c>
      <c r="AE212" s="702"/>
      <c r="AF212" s="719">
        <f>+H212/AD212*100</f>
        <v>42.988399038379107</v>
      </c>
      <c r="AG212" s="499"/>
      <c r="AH212" s="487"/>
      <c r="AI212" s="720">
        <f>SUM(AI208:AI211)</f>
        <v>37841.806575399998</v>
      </c>
      <c r="AJ212" s="487"/>
      <c r="AK212" s="723">
        <f>SUM(AK208:AK211)</f>
        <v>321.87476236772312</v>
      </c>
      <c r="AL212" s="487"/>
      <c r="AM212" s="740">
        <f>(AK212/AK205-1)*100</f>
        <v>-1.8900051726680966</v>
      </c>
      <c r="AN212" s="702"/>
      <c r="AO212" s="702"/>
      <c r="AP212" s="725">
        <f>+S212-AQ212</f>
        <v>0</v>
      </c>
      <c r="AQ212" s="749">
        <f>SUM(AQ208:AQ211)</f>
        <v>37841.806575399998</v>
      </c>
      <c r="AR212" s="750">
        <f>SUM(AR208:AR211)</f>
        <v>22755.018556000003</v>
      </c>
      <c r="AS212" s="750">
        <f>SUM(AS208:AS211)</f>
        <v>3956.0110719999998</v>
      </c>
      <c r="AT212" s="750">
        <f>SUM(AT208:AT211)</f>
        <v>5410.7518010000003</v>
      </c>
      <c r="AU212" s="750">
        <f>SUM(AU208:AU211)</f>
        <v>5720.0251464000003</v>
      </c>
      <c r="AV212" s="750"/>
      <c r="AW212" s="750"/>
      <c r="AX212" s="716"/>
      <c r="AY212" s="716"/>
      <c r="AZ212" s="724">
        <f>SegqtrSales!F176</f>
        <v>1.9999999999999998</v>
      </c>
      <c r="BA212" s="724">
        <f>SegqtrSales!F352</f>
        <v>3.3154102501965896</v>
      </c>
      <c r="BB212" s="724">
        <f>SegqtrSales!F529</f>
        <v>2.1336431338185493</v>
      </c>
      <c r="BC212" s="724">
        <f>SegqtrSales!F706</f>
        <v>2.7735734150023559</v>
      </c>
      <c r="BD212" s="716"/>
      <c r="BE212" s="716"/>
      <c r="BF212" s="746">
        <f>((AZ212)*(AR212/$AQ212)+(BA212)*(AS212/$AQ212)+(BB212)*(AT212/$AQ212)+(BC212)*(AU212/$AQ212))</f>
        <v>2.2735531853315218</v>
      </c>
      <c r="BG212" s="744">
        <f>+F212</f>
        <v>2.2735531853315218</v>
      </c>
    </row>
    <row r="213" spans="1:59">
      <c r="A213" s="487"/>
      <c r="B213" s="701"/>
      <c r="C213" s="487"/>
      <c r="D213" s="487"/>
      <c r="E213" s="487"/>
      <c r="F213" s="487"/>
      <c r="G213" s="487"/>
      <c r="H213" s="487"/>
      <c r="I213" s="487"/>
      <c r="J213" s="487"/>
      <c r="K213" s="487"/>
      <c r="L213" s="487"/>
      <c r="M213" s="487"/>
      <c r="N213" s="487"/>
      <c r="O213" s="702"/>
      <c r="P213" s="725"/>
      <c r="Q213" s="487"/>
      <c r="R213" s="487"/>
      <c r="S213" s="778"/>
      <c r="T213" s="487"/>
      <c r="U213" s="487"/>
      <c r="V213" s="487"/>
      <c r="W213" s="487"/>
      <c r="X213" s="487"/>
      <c r="Y213" s="487"/>
      <c r="Z213" s="487"/>
      <c r="AA213" s="487"/>
      <c r="AB213" s="487"/>
      <c r="AC213" s="487"/>
      <c r="AD213" s="487"/>
      <c r="AE213" s="702"/>
      <c r="AF213" s="487"/>
      <c r="AG213" s="487"/>
      <c r="AH213" s="487"/>
      <c r="AI213" s="487"/>
      <c r="AJ213" s="487"/>
      <c r="AK213" s="487"/>
      <c r="AL213" s="487"/>
      <c r="AM213" s="487"/>
      <c r="AN213" s="487"/>
      <c r="AO213" s="487"/>
      <c r="AP213" s="487"/>
      <c r="AQ213" s="779"/>
      <c r="AR213" s="558"/>
      <c r="AS213" s="558"/>
      <c r="AT213" s="558"/>
      <c r="AU213" s="558"/>
      <c r="AV213" s="558"/>
      <c r="AW213" s="558"/>
      <c r="AX213" s="487"/>
      <c r="AY213" s="487"/>
      <c r="AZ213" s="487"/>
      <c r="BA213" s="487"/>
      <c r="BB213" s="487"/>
      <c r="BC213" s="487"/>
      <c r="BD213" s="487"/>
      <c r="BE213" s="487"/>
      <c r="BF213" s="487"/>
      <c r="BG213" s="487"/>
    </row>
    <row r="214" spans="1:59">
      <c r="A214" s="780" t="s">
        <v>497</v>
      </c>
      <c r="B214" s="701"/>
      <c r="C214" s="487"/>
      <c r="D214" s="487"/>
      <c r="E214" s="487"/>
      <c r="F214" s="487"/>
      <c r="G214" s="487"/>
      <c r="H214" s="487"/>
      <c r="I214" s="487"/>
      <c r="J214" s="487"/>
      <c r="K214" s="487"/>
      <c r="L214" s="487"/>
      <c r="M214" s="487"/>
      <c r="N214" s="720"/>
      <c r="O214" s="487"/>
      <c r="P214" s="725"/>
      <c r="Q214" s="487"/>
      <c r="R214" s="487"/>
      <c r="S214" s="487"/>
      <c r="T214" s="487"/>
      <c r="U214" s="487"/>
      <c r="V214" s="487"/>
      <c r="W214" s="487"/>
      <c r="X214" s="487"/>
      <c r="Y214" s="487"/>
      <c r="Z214" s="487"/>
      <c r="AA214" s="487"/>
      <c r="AB214" s="487"/>
      <c r="AC214" s="487"/>
      <c r="AD214" s="487"/>
      <c r="AE214" s="487"/>
      <c r="AF214" s="487"/>
      <c r="AG214" s="487"/>
      <c r="AH214" s="487"/>
      <c r="AI214" s="487"/>
      <c r="AJ214" s="487"/>
      <c r="AK214" s="487"/>
      <c r="AL214" s="487"/>
      <c r="AM214" s="487"/>
      <c r="AN214" s="487"/>
      <c r="AO214" s="487"/>
      <c r="AP214" s="487"/>
      <c r="AQ214" s="487"/>
      <c r="AR214" s="487"/>
      <c r="AS214" s="487"/>
      <c r="AT214" s="487"/>
      <c r="AU214" s="487"/>
      <c r="AV214" s="487"/>
      <c r="AW214" s="487"/>
      <c r="AX214" s="487"/>
      <c r="AY214" s="487"/>
      <c r="AZ214" s="487"/>
      <c r="BA214" s="487"/>
      <c r="BB214" s="487"/>
      <c r="BC214" s="487"/>
      <c r="BD214" s="487"/>
      <c r="BE214" s="487"/>
      <c r="BF214" s="487"/>
      <c r="BG214" s="487"/>
    </row>
    <row r="215" spans="1:59">
      <c r="A215" s="487"/>
      <c r="B215" s="701"/>
      <c r="C215" s="487"/>
      <c r="D215" s="487"/>
      <c r="E215" s="487"/>
      <c r="F215" s="487"/>
      <c r="G215" s="487"/>
      <c r="H215" s="487"/>
      <c r="I215" s="487"/>
      <c r="J215" s="487"/>
      <c r="K215" s="487"/>
      <c r="L215" s="487"/>
      <c r="M215" s="487"/>
      <c r="N215" s="720"/>
      <c r="O215" s="487"/>
      <c r="P215" s="725"/>
      <c r="Q215" s="487"/>
      <c r="R215" s="487"/>
      <c r="S215" s="558"/>
      <c r="T215" s="487"/>
      <c r="U215" s="487"/>
      <c r="V215" s="487"/>
      <c r="W215" s="487"/>
      <c r="X215" s="487"/>
      <c r="Y215" s="487"/>
      <c r="Z215" s="487"/>
      <c r="AA215" s="487"/>
      <c r="AB215" s="487"/>
      <c r="AC215" s="487"/>
      <c r="AD215" s="487"/>
      <c r="AE215" s="487"/>
      <c r="AF215" s="487"/>
      <c r="AG215" s="487"/>
      <c r="AH215" s="487"/>
      <c r="AI215" s="487"/>
      <c r="AJ215" s="487"/>
      <c r="AK215" s="487"/>
      <c r="AL215" s="487"/>
      <c r="AM215" s="487"/>
      <c r="AN215" s="487"/>
      <c r="AO215" s="487"/>
      <c r="AP215" s="487"/>
      <c r="AQ215" s="487"/>
      <c r="AR215" s="558"/>
      <c r="AS215" s="558"/>
      <c r="AT215" s="558"/>
      <c r="AU215" s="558"/>
      <c r="AV215" s="558"/>
      <c r="AW215" s="487"/>
      <c r="AX215" s="487"/>
      <c r="AY215" s="487"/>
      <c r="AZ215" s="487"/>
      <c r="BA215" s="487"/>
      <c r="BB215" s="487"/>
      <c r="BC215" s="487"/>
      <c r="BD215" s="487"/>
      <c r="BE215" s="487"/>
      <c r="BF215" s="487"/>
      <c r="BG215" s="487"/>
    </row>
    <row r="216" spans="1:59">
      <c r="A216" s="487"/>
      <c r="B216" s="701"/>
      <c r="C216" s="487"/>
      <c r="E216" s="487"/>
      <c r="F216" s="737"/>
      <c r="G216" s="487"/>
      <c r="H216" s="487"/>
      <c r="I216" s="487"/>
      <c r="J216" s="727"/>
      <c r="K216" s="487"/>
      <c r="L216" s="727"/>
      <c r="M216" s="487"/>
      <c r="N216" s="487"/>
      <c r="O216" s="487"/>
      <c r="P216" s="725"/>
      <c r="Q216" s="487"/>
      <c r="R216" s="487"/>
      <c r="S216" s="558"/>
      <c r="T216" s="487"/>
      <c r="U216" s="487"/>
      <c r="V216" s="487"/>
      <c r="W216" s="487"/>
      <c r="X216" s="487"/>
      <c r="Y216" s="487"/>
      <c r="Z216" s="487"/>
      <c r="AA216" s="487"/>
      <c r="AB216" s="487"/>
      <c r="AC216" s="487"/>
      <c r="AD216" s="487"/>
      <c r="AE216" s="487"/>
      <c r="AF216" s="487"/>
      <c r="AG216" s="487"/>
      <c r="AH216" s="487"/>
      <c r="AI216" s="487"/>
      <c r="AJ216" s="487"/>
      <c r="AK216" s="487"/>
      <c r="AL216" s="487"/>
      <c r="AM216" s="487"/>
      <c r="AN216" s="487"/>
      <c r="AO216" s="487"/>
      <c r="AP216" s="487"/>
      <c r="AQ216" s="487"/>
      <c r="AR216" s="487"/>
      <c r="AS216" s="487"/>
      <c r="AT216" s="487"/>
      <c r="AU216" s="487"/>
      <c r="AV216" s="487"/>
      <c r="AW216" s="487"/>
      <c r="AX216" s="487"/>
      <c r="AY216" s="487"/>
      <c r="AZ216" s="487"/>
      <c r="BA216" s="487"/>
      <c r="BB216" s="487"/>
      <c r="BC216" s="487"/>
      <c r="BD216" s="487"/>
      <c r="BE216" s="487"/>
      <c r="BF216" s="487"/>
      <c r="BG216" s="487"/>
    </row>
    <row r="219" spans="1:59">
      <c r="F219" s="781"/>
    </row>
    <row r="224" spans="1:59">
      <c r="F224" s="781"/>
    </row>
    <row r="228" spans="6:6">
      <c r="F228" s="781"/>
    </row>
    <row r="229" spans="6:6">
      <c r="F229" s="781"/>
    </row>
    <row r="230" spans="6:6">
      <c r="F230" s="781"/>
    </row>
  </sheetData>
  <mergeCells count="2">
    <mergeCell ref="BF93:BG93"/>
    <mergeCell ref="AZ8:BG8"/>
  </mergeCells>
  <phoneticPr fontId="0" type="noConversion"/>
  <dataValidations count="1">
    <dataValidation type="custom" allowBlank="1" showInputMessage="1" showErrorMessage="1" sqref="F96:F98 S145:S148 F131:F132 F100 F124:F125 S110:S113 F117:F118 S103:S106 S117:S120 F110:F112 F103:F106 S99 S124:S127 S138:S141 S131:S134 F138:F141 F145:F148 S159:S162 F152:F155 F159:F162 S152:S155 S166:S169 F166:F169 S173:S176 F173:F176 S180:S183 F194:F197 F180:F183 S187:S190 S194:S197 F187:F190 S201:S204 F201:F204 S208:S211 F208:F211">
      <formula1>-1</formula1>
    </dataValidation>
  </dataValidations>
  <printOptions horizontalCentered="1"/>
  <pageMargins left="0" right="0" top="0" bottom="0" header="0.5" footer="0.5"/>
  <pageSetup scale="88" fitToHeight="0" orientation="landscape"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7030A0"/>
  </sheetPr>
  <dimension ref="A1:BI878"/>
  <sheetViews>
    <sheetView topLeftCell="A503" zoomScale="90" zoomScaleNormal="90" workbookViewId="0">
      <selection activeCell="F169" sqref="F169"/>
    </sheetView>
  </sheetViews>
  <sheetFormatPr defaultRowHeight="12.75" outlineLevelRow="2" outlineLevelCol="1"/>
  <cols>
    <col min="1" max="1" width="2.7109375" style="451" customWidth="1"/>
    <col min="2" max="2" width="6.5703125" style="451" bestFit="1" customWidth="1"/>
    <col min="3" max="3" width="1.28515625" style="451" customWidth="1"/>
    <col min="4" max="4" width="6.140625" style="451" customWidth="1"/>
    <col min="5" max="5" width="1.7109375" style="451" customWidth="1"/>
    <col min="6" max="6" width="9.85546875" style="451" customWidth="1"/>
    <col min="7" max="7" width="1.5703125" style="451" customWidth="1"/>
    <col min="8" max="8" width="9.140625" style="451"/>
    <col min="9" max="9" width="1.7109375" style="451" customWidth="1"/>
    <col min="10" max="10" width="6.42578125" style="451" customWidth="1"/>
    <col min="11" max="11" width="1.28515625" style="451" customWidth="1"/>
    <col min="12" max="12" width="6.85546875" style="451" customWidth="1"/>
    <col min="13" max="13" width="1.28515625" style="451" customWidth="1"/>
    <col min="14" max="14" width="8.42578125" style="451" customWidth="1"/>
    <col min="15" max="15" width="1.7109375" style="451" customWidth="1"/>
    <col min="16" max="16" width="10.7109375" style="451" bestFit="1" customWidth="1"/>
    <col min="17" max="17" width="4" style="451" customWidth="1"/>
    <col min="18" max="18" width="1.28515625" style="451" customWidth="1"/>
    <col min="19" max="19" width="10.85546875" style="451" customWidth="1"/>
    <col min="20" max="20" width="1.5703125" style="451" customWidth="1"/>
    <col min="21" max="21" width="8" style="451" customWidth="1"/>
    <col min="22" max="22" width="1.28515625" style="451" customWidth="1"/>
    <col min="23" max="23" width="9.5703125" style="451" customWidth="1"/>
    <col min="24" max="25" width="1.7109375" style="451" customWidth="1"/>
    <col min="26" max="26" width="7.140625" style="451" customWidth="1"/>
    <col min="27" max="27" width="1.7109375" style="451" customWidth="1"/>
    <col min="28" max="28" width="10.85546875" style="451" bestFit="1" customWidth="1"/>
    <col min="29" max="29" width="1.28515625" style="451" customWidth="1"/>
    <col min="30" max="30" width="7.85546875" style="451" customWidth="1"/>
    <col min="31" max="31" width="1.7109375" style="451" customWidth="1"/>
    <col min="32" max="32" width="9.7109375" style="451" customWidth="1"/>
    <col min="33" max="33" width="4" style="451" customWidth="1"/>
    <col min="34" max="34" width="1.140625" style="451" customWidth="1"/>
    <col min="35" max="35" width="9.5703125" style="451" customWidth="1"/>
    <col min="36" max="36" width="1.28515625" style="451" customWidth="1"/>
    <col min="37" max="37" width="8.140625" style="451" customWidth="1"/>
    <col min="38" max="38" width="1.28515625" style="451" customWidth="1"/>
    <col min="39" max="39" width="9.28515625" style="451" customWidth="1"/>
    <col min="40" max="40" width="1.7109375" style="451" customWidth="1"/>
    <col min="41" max="41" width="9.140625" style="451"/>
    <col min="42" max="42" width="9" style="451" customWidth="1"/>
    <col min="43" max="45" width="11.42578125" style="451" customWidth="1"/>
    <col min="46" max="46" width="6.7109375" style="451" customWidth="1"/>
    <col min="47" max="47" width="4.28515625" style="451" customWidth="1"/>
    <col min="48" max="48" width="9" style="451" customWidth="1"/>
    <col min="49" max="49" width="5.7109375" style="451" customWidth="1"/>
    <col min="50" max="50" width="1.7109375" style="451" customWidth="1"/>
    <col min="51" max="51" width="6.85546875" style="451" customWidth="1"/>
    <col min="52" max="52" width="1.7109375" style="451" customWidth="1"/>
    <col min="53" max="53" width="6.85546875" style="451" bestFit="1" customWidth="1"/>
    <col min="54" max="54" width="2.28515625" style="451" customWidth="1"/>
    <col min="55" max="55" width="6.140625" style="451" customWidth="1"/>
    <col min="56" max="57" width="2.28515625" style="451" customWidth="1"/>
    <col min="58" max="58" width="7.140625" style="451" customWidth="1" outlineLevel="1"/>
    <col min="59" max="59" width="5" style="451" customWidth="1" outlineLevel="1"/>
    <col min="60" max="60" width="12.28515625" style="451" bestFit="1" customWidth="1"/>
    <col min="61" max="16384" width="9.140625" style="451"/>
  </cols>
  <sheetData>
    <row r="1" spans="1:60">
      <c r="A1" s="467"/>
      <c r="C1" s="1118">
        <f>+B284+1</f>
        <v>2010</v>
      </c>
      <c r="D1" s="1119"/>
      <c r="E1" s="1120"/>
      <c r="F1" s="1121"/>
      <c r="G1" s="1122"/>
      <c r="H1" s="1123"/>
      <c r="I1" s="598"/>
      <c r="J1" s="1124"/>
      <c r="K1" s="598"/>
      <c r="L1" s="598"/>
      <c r="M1" s="598"/>
      <c r="N1" s="598"/>
      <c r="O1" s="598"/>
      <c r="P1" s="1124"/>
      <c r="Q1" s="1125"/>
      <c r="R1" s="1125"/>
      <c r="S1" s="598"/>
      <c r="T1" s="1126"/>
      <c r="U1" s="1127"/>
      <c r="V1" s="1128"/>
      <c r="W1" s="598"/>
      <c r="X1" s="598"/>
      <c r="Y1" s="1124"/>
      <c r="Z1" s="598"/>
      <c r="AA1" s="1129"/>
      <c r="AB1" s="1127"/>
      <c r="AC1" s="598"/>
      <c r="AD1" s="598"/>
      <c r="AE1" s="598"/>
      <c r="AF1" s="1124"/>
      <c r="AG1" s="1125"/>
      <c r="AH1" s="1125"/>
      <c r="AI1" s="598"/>
      <c r="AJ1" s="598"/>
      <c r="AK1" s="598"/>
      <c r="AL1" s="598"/>
      <c r="AM1" s="598"/>
      <c r="AN1" s="598"/>
      <c r="AP1" s="695"/>
      <c r="AQ1" s="695"/>
      <c r="AR1" s="695"/>
      <c r="AS1" s="695"/>
      <c r="AT1" s="695"/>
      <c r="AU1" s="695"/>
      <c r="AV1" s="695"/>
      <c r="AW1" s="695"/>
      <c r="AX1" s="695"/>
      <c r="AY1" s="695"/>
      <c r="AZ1" s="695"/>
      <c r="BA1" s="695"/>
      <c r="BB1" s="695"/>
      <c r="BC1" s="695"/>
      <c r="BD1" s="695"/>
      <c r="BE1" s="695"/>
      <c r="BF1" s="695"/>
      <c r="BG1" s="695"/>
      <c r="BH1" s="695"/>
    </row>
    <row r="2" spans="1:60">
      <c r="A2" s="598"/>
      <c r="C2" s="598"/>
      <c r="D2" s="598"/>
      <c r="E2" s="598"/>
      <c r="F2" s="598"/>
      <c r="G2" s="598"/>
      <c r="H2" s="598"/>
      <c r="I2" s="598"/>
      <c r="J2" s="1130" t="s">
        <v>343</v>
      </c>
      <c r="K2" s="1131"/>
      <c r="L2" s="1131"/>
      <c r="M2" s="1131"/>
      <c r="N2" s="1131"/>
      <c r="O2" s="1131"/>
      <c r="P2" s="1131"/>
      <c r="Q2" s="1131"/>
      <c r="R2" s="1131"/>
      <c r="S2" s="1131"/>
      <c r="T2" s="1131"/>
      <c r="U2" s="1131"/>
      <c r="V2" s="1131"/>
      <c r="W2" s="1131"/>
      <c r="X2" s="1132"/>
      <c r="Y2" s="598"/>
      <c r="Z2" s="1130" t="s">
        <v>344</v>
      </c>
      <c r="AA2" s="1131"/>
      <c r="AB2" s="1131"/>
      <c r="AC2" s="1131"/>
      <c r="AD2" s="1131"/>
      <c r="AE2" s="1131"/>
      <c r="AF2" s="1131"/>
      <c r="AG2" s="1131"/>
      <c r="AH2" s="1131"/>
      <c r="AI2" s="1131"/>
      <c r="AJ2" s="1131"/>
      <c r="AK2" s="1131"/>
      <c r="AL2" s="1131"/>
      <c r="AM2" s="1131"/>
      <c r="AN2" s="1132"/>
      <c r="AP2" s="703" t="s">
        <v>771</v>
      </c>
      <c r="AQ2" s="704"/>
      <c r="AR2" s="704"/>
      <c r="AS2" s="704"/>
      <c r="AT2" s="704"/>
      <c r="AU2" s="704"/>
      <c r="AV2" s="704"/>
      <c r="AW2" s="704"/>
      <c r="AX2" s="704"/>
      <c r="AY2" s="704"/>
      <c r="AZ2" s="704"/>
      <c r="BA2" s="705"/>
      <c r="BB2" s="705"/>
      <c r="BC2" s="705"/>
      <c r="BD2" s="705"/>
      <c r="BE2" s="706"/>
      <c r="BF2" s="706"/>
      <c r="BG2" s="695"/>
      <c r="BH2" s="695"/>
    </row>
    <row r="3" spans="1:60">
      <c r="A3" s="598"/>
      <c r="C3" s="598"/>
      <c r="D3" s="1133"/>
      <c r="E3" s="1134" t="s">
        <v>556</v>
      </c>
      <c r="F3" s="1133"/>
      <c r="G3" s="598"/>
      <c r="H3" s="1121" t="s">
        <v>25</v>
      </c>
      <c r="I3" s="598"/>
      <c r="J3" s="598"/>
      <c r="K3" s="598"/>
      <c r="L3" s="598"/>
      <c r="M3" s="598"/>
      <c r="N3" s="598"/>
      <c r="O3" s="598"/>
      <c r="P3" s="1135" t="s">
        <v>36</v>
      </c>
      <c r="Q3" s="1135"/>
      <c r="R3" s="598"/>
      <c r="S3" s="1136"/>
      <c r="T3" s="1136"/>
      <c r="U3" s="1133" t="s">
        <v>340</v>
      </c>
      <c r="V3" s="1136"/>
      <c r="W3" s="1136"/>
      <c r="X3" s="1124"/>
      <c r="Y3" s="598"/>
      <c r="Z3" s="598"/>
      <c r="AA3" s="598"/>
      <c r="AB3" s="598"/>
      <c r="AC3" s="598"/>
      <c r="AD3" s="598"/>
      <c r="AE3" s="598"/>
      <c r="AF3" s="1135" t="s">
        <v>36</v>
      </c>
      <c r="AG3" s="1135"/>
      <c r="AH3" s="598"/>
      <c r="AI3" s="1136"/>
      <c r="AJ3" s="1136"/>
      <c r="AK3" s="1134" t="s">
        <v>341</v>
      </c>
      <c r="AL3" s="1136"/>
      <c r="AM3" s="1136"/>
      <c r="AN3" s="1124"/>
      <c r="AP3" s="704" t="s">
        <v>772</v>
      </c>
      <c r="AQ3" s="704"/>
      <c r="AR3" s="487"/>
      <c r="AS3" s="704" t="s">
        <v>773</v>
      </c>
      <c r="AT3" s="704"/>
      <c r="AU3" s="487"/>
      <c r="AV3" s="704" t="s">
        <v>774</v>
      </c>
      <c r="AW3" s="704"/>
      <c r="AX3" s="487"/>
      <c r="AY3" s="1137" t="s">
        <v>775</v>
      </c>
      <c r="AZ3" s="487"/>
      <c r="BA3" s="487"/>
      <c r="BB3" s="487"/>
      <c r="BC3" s="487"/>
      <c r="BD3" s="487"/>
      <c r="BE3" s="487"/>
      <c r="BF3" s="487"/>
      <c r="BG3" s="487"/>
      <c r="BH3" s="487"/>
    </row>
    <row r="4" spans="1:60">
      <c r="A4" s="598"/>
      <c r="C4" s="598"/>
      <c r="D4" s="1121"/>
      <c r="E4" s="1121"/>
      <c r="F4" s="1121" t="s">
        <v>24</v>
      </c>
      <c r="G4" s="1121"/>
      <c r="H4" s="1134" t="s">
        <v>26</v>
      </c>
      <c r="I4" s="598"/>
      <c r="J4" s="1134"/>
      <c r="K4" s="1134" t="s">
        <v>31</v>
      </c>
      <c r="L4" s="1134"/>
      <c r="M4" s="1121"/>
      <c r="N4" s="1121" t="s">
        <v>34</v>
      </c>
      <c r="O4" s="598"/>
      <c r="P4" s="1135" t="s">
        <v>37</v>
      </c>
      <c r="Q4" s="1135"/>
      <c r="R4" s="598"/>
      <c r="S4" s="598"/>
      <c r="T4" s="598"/>
      <c r="U4" s="1121" t="s">
        <v>41</v>
      </c>
      <c r="V4" s="598"/>
      <c r="W4" s="1121" t="s">
        <v>43</v>
      </c>
      <c r="X4" s="1124"/>
      <c r="Y4" s="598"/>
      <c r="Z4" s="1134"/>
      <c r="AA4" s="1134" t="s">
        <v>433</v>
      </c>
      <c r="AB4" s="1134"/>
      <c r="AC4" s="1121"/>
      <c r="AD4" s="1121" t="s">
        <v>34</v>
      </c>
      <c r="AE4" s="598"/>
      <c r="AF4" s="1135" t="s">
        <v>37</v>
      </c>
      <c r="AG4" s="1135"/>
      <c r="AH4" s="598"/>
      <c r="AI4" s="598"/>
      <c r="AJ4" s="598"/>
      <c r="AK4" s="1121" t="s">
        <v>41</v>
      </c>
      <c r="AL4" s="598"/>
      <c r="AM4" s="1121" t="s">
        <v>43</v>
      </c>
      <c r="AN4" s="1124"/>
      <c r="AP4" s="1069" t="s">
        <v>776</v>
      </c>
      <c r="AQ4" s="1138" t="s">
        <v>190</v>
      </c>
      <c r="AR4" s="1022"/>
      <c r="AS4" s="1069" t="s">
        <v>776</v>
      </c>
      <c r="AT4" s="1138" t="s">
        <v>190</v>
      </c>
      <c r="AU4" s="487"/>
      <c r="AV4" s="1069" t="s">
        <v>776</v>
      </c>
      <c r="AW4" s="1138" t="s">
        <v>190</v>
      </c>
      <c r="AX4" s="487"/>
      <c r="AY4" s="709" t="s">
        <v>777</v>
      </c>
      <c r="BA4" s="1069" t="s">
        <v>778</v>
      </c>
      <c r="BB4" s="487"/>
      <c r="BC4" s="1069" t="s">
        <v>778</v>
      </c>
      <c r="BD4" s="487"/>
      <c r="BE4" s="487"/>
      <c r="BF4" s="1022" t="s">
        <v>789</v>
      </c>
      <c r="BG4" s="487"/>
      <c r="BH4" s="1022" t="s">
        <v>135</v>
      </c>
    </row>
    <row r="5" spans="1:60">
      <c r="A5" s="598"/>
      <c r="C5" s="598"/>
      <c r="D5" s="1134" t="s">
        <v>610</v>
      </c>
      <c r="E5" s="1121"/>
      <c r="F5" s="1134" t="s">
        <v>578</v>
      </c>
      <c r="G5" s="1121"/>
      <c r="H5" s="1121" t="s">
        <v>27</v>
      </c>
      <c r="I5" s="598"/>
      <c r="J5" s="1134" t="s">
        <v>610</v>
      </c>
      <c r="K5" s="1121"/>
      <c r="L5" s="1134" t="s">
        <v>594</v>
      </c>
      <c r="M5" s="1121"/>
      <c r="N5" s="1134" t="s">
        <v>190</v>
      </c>
      <c r="O5" s="598"/>
      <c r="P5" s="1139" t="s">
        <v>38</v>
      </c>
      <c r="Q5" s="1139"/>
      <c r="R5" s="598"/>
      <c r="S5" s="1134" t="s">
        <v>610</v>
      </c>
      <c r="T5" s="598"/>
      <c r="U5" s="1134" t="s">
        <v>596</v>
      </c>
      <c r="V5" s="598"/>
      <c r="W5" s="1134" t="s">
        <v>597</v>
      </c>
      <c r="X5" s="1124"/>
      <c r="Y5" s="598"/>
      <c r="Z5" s="1134" t="s">
        <v>610</v>
      </c>
      <c r="AA5" s="1121"/>
      <c r="AB5" s="1134" t="s">
        <v>594</v>
      </c>
      <c r="AC5" s="1121"/>
      <c r="AD5" s="1134" t="s">
        <v>190</v>
      </c>
      <c r="AE5" s="598"/>
      <c r="AF5" s="1139" t="s">
        <v>339</v>
      </c>
      <c r="AG5" s="1139"/>
      <c r="AH5" s="598"/>
      <c r="AI5" s="1134" t="s">
        <v>610</v>
      </c>
      <c r="AJ5" s="598"/>
      <c r="AK5" s="1134" t="s">
        <v>334</v>
      </c>
      <c r="AL5" s="598"/>
      <c r="AM5" s="1134" t="s">
        <v>597</v>
      </c>
      <c r="AN5" s="1124"/>
      <c r="AP5" s="1140" t="s">
        <v>357</v>
      </c>
      <c r="AQ5" s="1140" t="s">
        <v>779</v>
      </c>
      <c r="AR5" s="1022"/>
      <c r="AS5" s="1140" t="s">
        <v>357</v>
      </c>
      <c r="AT5" s="1140" t="s">
        <v>779</v>
      </c>
      <c r="AU5" s="487"/>
      <c r="AV5" s="1140" t="s">
        <v>357</v>
      </c>
      <c r="AW5" s="1140" t="s">
        <v>779</v>
      </c>
      <c r="AX5" s="487"/>
      <c r="AY5" s="708" t="s">
        <v>780</v>
      </c>
      <c r="BA5" s="1140" t="s">
        <v>781</v>
      </c>
      <c r="BB5" s="487"/>
      <c r="BC5" s="1140" t="s">
        <v>781</v>
      </c>
      <c r="BD5" s="487"/>
      <c r="BE5" s="487"/>
      <c r="BF5" s="1022" t="s">
        <v>790</v>
      </c>
      <c r="BG5" s="487"/>
      <c r="BH5" s="1022" t="s">
        <v>782</v>
      </c>
    </row>
    <row r="6" spans="1:60">
      <c r="A6" s="598"/>
      <c r="C6" s="598"/>
      <c r="D6" s="1141" t="s">
        <v>29</v>
      </c>
      <c r="E6" s="1121"/>
      <c r="F6" s="1141" t="s">
        <v>30</v>
      </c>
      <c r="G6" s="1121"/>
      <c r="H6" s="1141" t="s">
        <v>28</v>
      </c>
      <c r="I6" s="598"/>
      <c r="J6" s="1141" t="s">
        <v>32</v>
      </c>
      <c r="K6" s="1121"/>
      <c r="L6" s="1141" t="s">
        <v>33</v>
      </c>
      <c r="M6" s="1121"/>
      <c r="N6" s="1141" t="s">
        <v>35</v>
      </c>
      <c r="O6" s="598"/>
      <c r="P6" s="1142" t="s">
        <v>39</v>
      </c>
      <c r="Q6" s="1142"/>
      <c r="R6" s="598"/>
      <c r="S6" s="1141" t="s">
        <v>40</v>
      </c>
      <c r="T6" s="598"/>
      <c r="U6" s="1141" t="s">
        <v>42</v>
      </c>
      <c r="V6" s="598"/>
      <c r="W6" s="1141" t="s">
        <v>44</v>
      </c>
      <c r="X6" s="1124"/>
      <c r="Y6" s="598"/>
      <c r="Z6" s="1141" t="s">
        <v>331</v>
      </c>
      <c r="AA6" s="1121"/>
      <c r="AB6" s="1141" t="s">
        <v>332</v>
      </c>
      <c r="AC6" s="1121"/>
      <c r="AD6" s="1141" t="s">
        <v>333</v>
      </c>
      <c r="AE6" s="598"/>
      <c r="AF6" s="1142" t="s">
        <v>335</v>
      </c>
      <c r="AG6" s="1142"/>
      <c r="AH6" s="598"/>
      <c r="AI6" s="1141" t="s">
        <v>336</v>
      </c>
      <c r="AJ6" s="598"/>
      <c r="AK6" s="1141" t="s">
        <v>337</v>
      </c>
      <c r="AL6" s="598"/>
      <c r="AM6" s="1141" t="s">
        <v>338</v>
      </c>
      <c r="AN6" s="1124"/>
    </row>
    <row r="7" spans="1:60">
      <c r="A7" s="1136"/>
      <c r="B7" s="1143"/>
      <c r="C7" s="1136"/>
      <c r="D7" s="1144"/>
      <c r="E7" s="1134"/>
      <c r="F7" s="1144"/>
      <c r="G7" s="1134"/>
      <c r="H7" s="1144"/>
      <c r="I7" s="1136"/>
      <c r="J7" s="1144"/>
      <c r="K7" s="1134"/>
      <c r="L7" s="1144"/>
      <c r="M7" s="1134"/>
      <c r="N7" s="1144"/>
      <c r="O7" s="1136"/>
      <c r="P7" s="1145"/>
      <c r="Q7" s="1145"/>
      <c r="R7" s="1136"/>
      <c r="S7" s="1144"/>
      <c r="T7" s="1136"/>
      <c r="U7" s="1144"/>
      <c r="V7" s="1136"/>
      <c r="W7" s="1144"/>
      <c r="X7" s="1146"/>
      <c r="Y7" s="1136"/>
      <c r="Z7" s="1144"/>
      <c r="AA7" s="1134"/>
      <c r="AB7" s="1144"/>
      <c r="AC7" s="1134"/>
      <c r="AD7" s="1144"/>
      <c r="AE7" s="1136"/>
      <c r="AF7" s="1145"/>
      <c r="AG7" s="1145"/>
      <c r="AH7" s="1136"/>
      <c r="AI7" s="1144"/>
      <c r="AJ7" s="1136"/>
      <c r="AK7" s="1144"/>
      <c r="AL7" s="1136"/>
      <c r="AM7" s="1144"/>
      <c r="AN7" s="1146"/>
    </row>
    <row r="8" spans="1:60">
      <c r="A8" s="1122" t="s">
        <v>384</v>
      </c>
      <c r="B8" s="1147"/>
      <c r="C8" s="1122"/>
      <c r="D8" s="1122"/>
      <c r="E8" s="1148"/>
      <c r="F8" s="1122"/>
      <c r="G8" s="1122"/>
      <c r="H8" s="1122"/>
      <c r="I8" s="1148"/>
      <c r="J8" s="1149"/>
      <c r="K8" s="1149"/>
      <c r="L8" s="1149"/>
      <c r="M8" s="1150"/>
      <c r="N8" s="1149"/>
      <c r="O8" s="1148"/>
      <c r="P8" s="1149"/>
      <c r="Q8" s="1149"/>
      <c r="R8" s="1150"/>
      <c r="U8" s="1150"/>
      <c r="V8" s="1150"/>
      <c r="W8" s="1149"/>
      <c r="X8" s="1151"/>
      <c r="Y8" s="1149"/>
      <c r="Z8" s="1149"/>
      <c r="AA8" s="1149"/>
      <c r="AB8" s="1149"/>
      <c r="AC8" s="1150"/>
      <c r="AD8" s="1149"/>
      <c r="AE8" s="1150"/>
      <c r="AF8" s="1149"/>
      <c r="AG8" s="1149"/>
      <c r="AH8" s="1150"/>
      <c r="AI8" s="1149"/>
      <c r="AJ8" s="1149"/>
      <c r="AK8" s="1150"/>
      <c r="AL8" s="1150"/>
      <c r="AM8" s="1149"/>
      <c r="AN8" s="1151"/>
    </row>
    <row r="9" spans="1:60">
      <c r="A9" s="1133" t="s">
        <v>810</v>
      </c>
      <c r="B9" s="1152"/>
      <c r="C9" s="1133"/>
      <c r="D9" s="1133"/>
      <c r="E9" s="1153"/>
      <c r="F9" s="1133"/>
      <c r="G9" s="1133"/>
      <c r="H9" s="1133"/>
      <c r="I9" s="1153"/>
      <c r="J9" s="1133"/>
      <c r="K9" s="1133"/>
      <c r="L9" s="1133"/>
      <c r="M9" s="1153"/>
      <c r="N9" s="1133"/>
      <c r="O9" s="1153"/>
      <c r="P9" s="1133"/>
      <c r="Q9" s="1133"/>
      <c r="R9" s="1153"/>
      <c r="S9" s="1133"/>
      <c r="T9" s="1133"/>
      <c r="U9" s="1153"/>
      <c r="V9" s="1153"/>
      <c r="W9" s="1133"/>
      <c r="X9" s="1134"/>
      <c r="Y9" s="1133"/>
      <c r="Z9" s="1133"/>
      <c r="AA9" s="1133"/>
      <c r="AB9" s="1133"/>
      <c r="AC9" s="1153"/>
      <c r="AD9" s="1133"/>
      <c r="AE9" s="1153"/>
      <c r="AF9" s="1133"/>
      <c r="AG9" s="1133"/>
      <c r="AH9" s="1153"/>
      <c r="AI9" s="1133"/>
      <c r="AJ9" s="1133"/>
      <c r="AK9" s="1153"/>
      <c r="AL9" s="1153"/>
      <c r="AM9" s="1133"/>
      <c r="AN9" s="1151"/>
      <c r="AP9" s="487"/>
      <c r="AQ9" s="487"/>
      <c r="AR9" s="487"/>
      <c r="AS9" s="487"/>
      <c r="AT9" s="487"/>
      <c r="AU9" s="487"/>
      <c r="AV9" s="487"/>
      <c r="AW9" s="487"/>
      <c r="AX9" s="487"/>
      <c r="BA9" s="702"/>
      <c r="BB9" s="487"/>
      <c r="BC9" s="702"/>
      <c r="BD9" s="487"/>
      <c r="BE9" s="487"/>
      <c r="BF9" s="487"/>
      <c r="BG9" s="487"/>
      <c r="BH9" s="487"/>
    </row>
    <row r="10" spans="1:60" hidden="1" outlineLevel="1" collapsed="1">
      <c r="A10" s="1154"/>
      <c r="B10" s="1155">
        <v>1995</v>
      </c>
      <c r="C10" s="598"/>
      <c r="D10" s="598"/>
      <c r="E10" s="598"/>
      <c r="F10" s="598"/>
      <c r="G10" s="598"/>
      <c r="H10" s="598"/>
      <c r="I10" s="598"/>
      <c r="J10" s="598"/>
      <c r="K10" s="598"/>
      <c r="L10" s="598"/>
      <c r="M10" s="598"/>
      <c r="N10" s="598"/>
      <c r="O10" s="598"/>
      <c r="P10" s="1125"/>
      <c r="Q10" s="1125"/>
      <c r="R10" s="598"/>
      <c r="S10" s="598"/>
      <c r="T10" s="598"/>
      <c r="U10" s="598"/>
      <c r="V10" s="598"/>
      <c r="W10" s="598"/>
      <c r="X10" s="1124"/>
      <c r="Y10" s="598"/>
      <c r="Z10" s="598"/>
      <c r="AA10" s="598"/>
      <c r="AB10" s="598"/>
      <c r="AC10" s="598"/>
      <c r="AD10" s="598"/>
      <c r="AE10" s="598"/>
      <c r="AF10" s="1125"/>
      <c r="AG10" s="1125"/>
      <c r="AH10" s="598"/>
      <c r="AI10" s="598"/>
      <c r="AJ10" s="598"/>
      <c r="AK10" s="598"/>
      <c r="AL10" s="598"/>
      <c r="AM10" s="598"/>
      <c r="AN10" s="1124"/>
      <c r="AP10" s="487"/>
      <c r="AQ10" s="487"/>
      <c r="AR10" s="487"/>
      <c r="AS10" s="487"/>
      <c r="AT10" s="1088"/>
      <c r="AU10" s="1088"/>
      <c r="AV10" s="1156"/>
      <c r="AW10" s="1156"/>
      <c r="AX10" s="1156"/>
      <c r="AY10" s="487"/>
      <c r="AZ10" s="487"/>
      <c r="BA10" s="1156"/>
      <c r="BB10" s="1156"/>
      <c r="BC10" s="1156"/>
      <c r="BD10" s="1156"/>
      <c r="BE10" s="1156"/>
      <c r="BF10" s="1156"/>
      <c r="BG10" s="1156"/>
      <c r="BH10" s="487"/>
    </row>
    <row r="11" spans="1:60" hidden="1" outlineLevel="1">
      <c r="A11" s="598" t="s">
        <v>527</v>
      </c>
      <c r="B11" s="1157" t="s">
        <v>514</v>
      </c>
      <c r="C11" s="598"/>
      <c r="D11" s="1120"/>
      <c r="E11" s="598" t="s">
        <v>190</v>
      </c>
      <c r="F11" s="1158"/>
      <c r="G11" s="598" t="s">
        <v>190</v>
      </c>
      <c r="H11" s="1120"/>
      <c r="I11" s="1124" t="s">
        <v>190</v>
      </c>
      <c r="J11" s="1127">
        <f>+Stores!D57</f>
        <v>558</v>
      </c>
      <c r="K11" s="598"/>
      <c r="L11" s="1128">
        <f>AVERAGE(J11,J5)</f>
        <v>558</v>
      </c>
      <c r="M11" s="598"/>
      <c r="N11" s="1120"/>
      <c r="O11" s="1124" t="s">
        <v>190</v>
      </c>
      <c r="P11" s="1159"/>
      <c r="Q11" s="1125" t="s">
        <v>190</v>
      </c>
      <c r="R11" s="598"/>
      <c r="S11" s="1160">
        <f>+'SegP&amp;L'!D46</f>
        <v>669.00199999999995</v>
      </c>
      <c r="T11" s="598"/>
      <c r="U11" s="1161"/>
      <c r="V11" s="598"/>
      <c r="W11" s="1158"/>
      <c r="X11" s="1124" t="s">
        <v>190</v>
      </c>
      <c r="Y11" s="598"/>
      <c r="Z11" s="1162">
        <f>+Stores!G57</f>
        <v>15.731417376490629</v>
      </c>
      <c r="AA11" s="598"/>
      <c r="AB11" s="1163">
        <f>AVERAGE(Z11,Z5)</f>
        <v>15.731417376490629</v>
      </c>
      <c r="AC11" s="598"/>
      <c r="AD11" s="1120"/>
      <c r="AE11" s="1124"/>
      <c r="AF11" s="1159"/>
      <c r="AG11" s="1125"/>
      <c r="AH11" s="598"/>
      <c r="AI11" s="1160"/>
      <c r="AJ11" s="598"/>
      <c r="AK11" s="1164"/>
      <c r="AL11" s="598"/>
      <c r="AM11" s="1120"/>
      <c r="AN11" s="1124" t="s">
        <v>190</v>
      </c>
      <c r="AP11" s="487"/>
      <c r="AQ11" s="487"/>
      <c r="AR11" s="487"/>
      <c r="AS11" s="487"/>
      <c r="AT11" s="487"/>
      <c r="AU11" s="487"/>
      <c r="AV11" s="487"/>
      <c r="AW11" s="487"/>
      <c r="AX11" s="487"/>
      <c r="AY11" s="487"/>
      <c r="AZ11" s="487"/>
      <c r="BA11" s="487"/>
      <c r="BB11" s="487"/>
      <c r="BC11" s="487"/>
      <c r="BD11" s="487"/>
      <c r="BE11" s="487"/>
      <c r="BF11" s="487"/>
      <c r="BG11" s="487"/>
      <c r="BH11" s="487"/>
    </row>
    <row r="12" spans="1:60" hidden="1" outlineLevel="1">
      <c r="A12" s="598" t="s">
        <v>528</v>
      </c>
      <c r="B12" s="1157" t="s">
        <v>515</v>
      </c>
      <c r="C12" s="598"/>
      <c r="D12" s="1120"/>
      <c r="E12" s="598"/>
      <c r="F12" s="1158"/>
      <c r="G12" s="598"/>
      <c r="H12" s="1120"/>
      <c r="I12" s="1124"/>
      <c r="J12" s="1127">
        <f>+Stores!D58</f>
        <v>565</v>
      </c>
      <c r="K12" s="598"/>
      <c r="L12" s="1128">
        <f>AVERAGE(J12,J11)</f>
        <v>561.5</v>
      </c>
      <c r="M12" s="598"/>
      <c r="N12" s="1120"/>
      <c r="O12" s="1124"/>
      <c r="P12" s="1159"/>
      <c r="Q12" s="1125"/>
      <c r="R12" s="598"/>
      <c r="S12" s="1165">
        <f>+'SegP&amp;L'!D47</f>
        <v>700.36500000000001</v>
      </c>
      <c r="T12" s="598"/>
      <c r="U12" s="1166"/>
      <c r="V12" s="598"/>
      <c r="W12" s="1158"/>
      <c r="X12" s="1124"/>
      <c r="Y12" s="598"/>
      <c r="Z12" s="1162">
        <f>+Stores!G58</f>
        <v>15.928764906303236</v>
      </c>
      <c r="AA12" s="598"/>
      <c r="AB12" s="1163">
        <f>AVERAGE(Z12,Z11)</f>
        <v>15.830091141396933</v>
      </c>
      <c r="AC12" s="598"/>
      <c r="AD12" s="1120"/>
      <c r="AE12" s="1124"/>
      <c r="AF12" s="1159"/>
      <c r="AG12" s="1125"/>
      <c r="AH12" s="598"/>
      <c r="AI12" s="1165"/>
      <c r="AJ12" s="598"/>
      <c r="AK12" s="1167"/>
      <c r="AL12" s="598"/>
      <c r="AM12" s="1158"/>
      <c r="AN12" s="1124"/>
      <c r="AP12" s="487"/>
      <c r="AQ12" s="487"/>
      <c r="AR12" s="487"/>
      <c r="AS12" s="487"/>
      <c r="AT12" s="487"/>
      <c r="AU12" s="487"/>
      <c r="AV12" s="487"/>
      <c r="AW12" s="487"/>
      <c r="AX12" s="487"/>
      <c r="AY12" s="487"/>
      <c r="AZ12" s="487"/>
      <c r="BA12" s="487"/>
      <c r="BB12" s="487"/>
      <c r="BC12" s="487"/>
      <c r="BD12" s="487"/>
      <c r="BE12" s="487"/>
      <c r="BF12" s="487"/>
      <c r="BG12" s="487"/>
      <c r="BH12" s="487"/>
    </row>
    <row r="13" spans="1:60" hidden="1" outlineLevel="1">
      <c r="A13" s="598" t="s">
        <v>529</v>
      </c>
      <c r="B13" s="1157" t="s">
        <v>516</v>
      </c>
      <c r="C13" s="598"/>
      <c r="D13" s="1120"/>
      <c r="E13" s="598"/>
      <c r="F13" s="1158"/>
      <c r="G13" s="598"/>
      <c r="H13" s="1120"/>
      <c r="I13" s="1124"/>
      <c r="J13" s="1127">
        <f>+Stores!D59</f>
        <v>581</v>
      </c>
      <c r="K13" s="598"/>
      <c r="L13" s="1128">
        <f>AVERAGE(J13,J12)</f>
        <v>573</v>
      </c>
      <c r="M13" s="598"/>
      <c r="N13" s="1120"/>
      <c r="O13" s="1124"/>
      <c r="P13" s="1159"/>
      <c r="Q13" s="1125"/>
      <c r="R13" s="598"/>
      <c r="S13" s="1165">
        <f>+'SegP&amp;L'!D48</f>
        <v>791.60900000000004</v>
      </c>
      <c r="T13" s="598"/>
      <c r="U13" s="1166"/>
      <c r="V13" s="598"/>
      <c r="W13" s="1158"/>
      <c r="X13" s="1124"/>
      <c r="Y13" s="598"/>
      <c r="Z13" s="1162">
        <f>+Stores!G59</f>
        <v>16.379844974446339</v>
      </c>
      <c r="AA13" s="598"/>
      <c r="AB13" s="1163">
        <f>AVERAGE(Z13,Z12)</f>
        <v>16.154304940374786</v>
      </c>
      <c r="AC13" s="598"/>
      <c r="AD13" s="1120"/>
      <c r="AE13" s="1124"/>
      <c r="AF13" s="1159"/>
      <c r="AG13" s="1125"/>
      <c r="AH13" s="598"/>
      <c r="AI13" s="1165"/>
      <c r="AJ13" s="598"/>
      <c r="AK13" s="1167"/>
      <c r="AL13" s="598"/>
      <c r="AM13" s="1158"/>
      <c r="AN13" s="1124"/>
      <c r="AP13" s="487"/>
      <c r="AQ13" s="487"/>
      <c r="AR13" s="487"/>
      <c r="AS13" s="487"/>
      <c r="AT13" s="487"/>
      <c r="AU13" s="487"/>
      <c r="AV13" s="487"/>
      <c r="AW13" s="487"/>
      <c r="AX13" s="487"/>
      <c r="AY13" s="487"/>
      <c r="AZ13" s="487"/>
      <c r="BA13" s="487"/>
      <c r="BB13" s="487"/>
      <c r="BC13" s="487"/>
      <c r="BD13" s="487"/>
      <c r="BE13" s="487"/>
      <c r="BF13" s="487"/>
      <c r="BG13" s="487"/>
      <c r="BH13" s="487"/>
    </row>
    <row r="14" spans="1:60" hidden="1" outlineLevel="1">
      <c r="A14" s="598" t="s">
        <v>530</v>
      </c>
      <c r="B14" s="1157" t="s">
        <v>517</v>
      </c>
      <c r="C14" s="598"/>
      <c r="D14" s="1168"/>
      <c r="E14" s="598"/>
      <c r="F14" s="1169"/>
      <c r="G14" s="598"/>
      <c r="H14" s="1168"/>
      <c r="I14" s="1124"/>
      <c r="J14" s="1170">
        <f>yrSales!G$92</f>
        <v>1083</v>
      </c>
      <c r="K14" s="598"/>
      <c r="L14" s="1171">
        <f>AVERAGE(J14,J13)</f>
        <v>832</v>
      </c>
      <c r="M14" s="598"/>
      <c r="N14" s="1168"/>
      <c r="O14" s="1124"/>
      <c r="P14" s="1171"/>
      <c r="Q14" s="1125"/>
      <c r="R14" s="598"/>
      <c r="S14" s="1172">
        <f>+'SegP&amp;L'!D49</f>
        <v>1557.9949999999999</v>
      </c>
      <c r="T14" s="598"/>
      <c r="U14" s="1173"/>
      <c r="V14" s="598"/>
      <c r="W14" s="1169"/>
      <c r="X14" s="1124"/>
      <c r="Y14" s="598"/>
      <c r="Z14" s="1129">
        <f>yrSales!G$110</f>
        <v>32.474000000000004</v>
      </c>
      <c r="AA14" s="598"/>
      <c r="AB14" s="1174">
        <f>AVERAGE(Z14,Z13)</f>
        <v>24.426922487223173</v>
      </c>
      <c r="AC14" s="598"/>
      <c r="AD14" s="1168"/>
      <c r="AE14" s="1124"/>
      <c r="AF14" s="1171"/>
      <c r="AG14" s="1125"/>
      <c r="AH14" s="598"/>
      <c r="AI14" s="1172"/>
      <c r="AJ14" s="598"/>
      <c r="AK14" s="1175"/>
      <c r="AL14" s="598"/>
      <c r="AM14" s="1169"/>
      <c r="AN14" s="1124"/>
      <c r="AP14" s="487"/>
      <c r="AQ14" s="487"/>
      <c r="AR14" s="487"/>
      <c r="AS14" s="487"/>
      <c r="AT14" s="487"/>
      <c r="AU14" s="487"/>
      <c r="AV14" s="487"/>
      <c r="AW14" s="487"/>
      <c r="AX14" s="487"/>
      <c r="AY14" s="487"/>
      <c r="AZ14" s="487"/>
      <c r="BA14" s="487"/>
      <c r="BB14" s="487"/>
      <c r="BC14" s="487"/>
      <c r="BD14" s="487"/>
      <c r="BE14" s="487"/>
      <c r="BF14" s="487"/>
      <c r="BG14" s="487"/>
      <c r="BH14" s="487"/>
    </row>
    <row r="15" spans="1:60" hidden="1" outlineLevel="1">
      <c r="A15" s="598"/>
      <c r="B15" s="1157" t="s">
        <v>531</v>
      </c>
      <c r="C15" s="598"/>
      <c r="D15" s="1120" t="e">
        <f>(S15/#REF!-1)*100</f>
        <v>#REF!</v>
      </c>
      <c r="E15" s="598"/>
      <c r="F15" s="1158"/>
      <c r="G15" s="598"/>
      <c r="H15" s="1120"/>
      <c r="I15" s="1124"/>
      <c r="J15" s="1127"/>
      <c r="K15" s="598"/>
      <c r="L15" s="1128">
        <f>AVERAGE(L11:L14)</f>
        <v>631.125</v>
      </c>
      <c r="M15" s="598"/>
      <c r="N15" s="1120"/>
      <c r="O15" s="1124"/>
      <c r="P15" s="1159"/>
      <c r="Q15" s="1125"/>
      <c r="R15" s="598"/>
      <c r="S15" s="1160">
        <f>yrSales!G$65</f>
        <v>3718.971</v>
      </c>
      <c r="T15" s="598"/>
      <c r="U15" s="1161">
        <f>S15/L15</f>
        <v>5.8926060606060604</v>
      </c>
      <c r="V15" s="598"/>
      <c r="W15" s="1158"/>
      <c r="X15" s="1124"/>
      <c r="Y15" s="598"/>
      <c r="Z15" s="598"/>
      <c r="AA15" s="598"/>
      <c r="AB15" s="1163">
        <f>AVERAGE(Z14,Z5)</f>
        <v>32.474000000000004</v>
      </c>
      <c r="AC15" s="598"/>
      <c r="AD15" s="1120"/>
      <c r="AE15" s="1124"/>
      <c r="AF15" s="1159"/>
      <c r="AG15" s="1125"/>
      <c r="AH15" s="598"/>
      <c r="AI15" s="1160">
        <f>+S15</f>
        <v>3718.971</v>
      </c>
      <c r="AJ15" s="598"/>
      <c r="AK15" s="1164"/>
      <c r="AL15" s="598"/>
      <c r="AM15" s="1158"/>
      <c r="AN15" s="1124"/>
      <c r="AP15" s="487"/>
      <c r="AQ15" s="487"/>
      <c r="AR15" s="487"/>
      <c r="AS15" s="487"/>
      <c r="AT15" s="487"/>
      <c r="AU15" s="487"/>
      <c r="AV15" s="487"/>
      <c r="AW15" s="487"/>
      <c r="AX15" s="487"/>
      <c r="AY15" s="487"/>
      <c r="AZ15" s="487"/>
      <c r="BA15" s="487"/>
      <c r="BB15" s="487"/>
      <c r="BC15" s="487"/>
      <c r="BD15" s="487"/>
      <c r="BE15" s="487"/>
      <c r="BF15" s="487"/>
      <c r="BG15" s="487"/>
      <c r="BH15" s="487"/>
    </row>
    <row r="16" spans="1:60" hidden="1" outlineLevel="1">
      <c r="A16" s="598"/>
      <c r="B16" s="1157"/>
      <c r="C16" s="598"/>
      <c r="D16" s="598"/>
      <c r="E16" s="598"/>
      <c r="F16" s="598"/>
      <c r="G16" s="598"/>
      <c r="H16" s="598"/>
      <c r="I16" s="1124"/>
      <c r="J16" s="1127"/>
      <c r="K16" s="598"/>
      <c r="L16" s="598"/>
      <c r="M16" s="598"/>
      <c r="N16" s="598"/>
      <c r="O16" s="1124"/>
      <c r="P16" s="1125"/>
      <c r="Q16" s="1125"/>
      <c r="R16" s="598"/>
      <c r="S16" s="598"/>
      <c r="T16" s="598"/>
      <c r="U16" s="598"/>
      <c r="V16" s="598"/>
      <c r="W16" s="598"/>
      <c r="X16" s="1124"/>
      <c r="Y16" s="598"/>
      <c r="Z16" s="1127"/>
      <c r="AA16" s="598"/>
      <c r="AB16" s="598"/>
      <c r="AC16" s="598"/>
      <c r="AD16" s="598"/>
      <c r="AE16" s="1124"/>
      <c r="AF16" s="1125"/>
      <c r="AG16" s="1125"/>
      <c r="AH16" s="598"/>
      <c r="AI16" s="598"/>
      <c r="AJ16" s="598"/>
      <c r="AK16" s="598"/>
      <c r="AL16" s="598"/>
      <c r="AM16" s="598"/>
      <c r="AN16" s="1124"/>
      <c r="AP16" s="487"/>
      <c r="AQ16" s="487"/>
      <c r="AR16" s="487"/>
      <c r="AS16" s="487"/>
      <c r="AT16" s="487"/>
      <c r="AU16" s="487"/>
      <c r="AV16" s="487"/>
      <c r="AW16" s="487"/>
      <c r="AX16" s="487"/>
      <c r="AY16" s="487"/>
      <c r="AZ16" s="487"/>
      <c r="BA16" s="487"/>
      <c r="BB16" s="487"/>
      <c r="BC16" s="487"/>
      <c r="BD16" s="487"/>
      <c r="BE16" s="487"/>
      <c r="BF16" s="487"/>
      <c r="BG16" s="487"/>
      <c r="BH16" s="487"/>
    </row>
    <row r="17" spans="1:60" hidden="1" outlineLevel="1">
      <c r="A17" s="1154"/>
      <c r="B17" s="1155">
        <f>B10+1</f>
        <v>1996</v>
      </c>
      <c r="C17" s="598"/>
      <c r="D17" s="598"/>
      <c r="E17" s="598"/>
      <c r="F17" s="598"/>
      <c r="G17" s="598"/>
      <c r="H17" s="598"/>
      <c r="I17" s="1124"/>
      <c r="J17" s="1127"/>
      <c r="K17" s="598"/>
      <c r="L17" s="598"/>
      <c r="M17" s="598"/>
      <c r="N17" s="598"/>
      <c r="O17" s="1124"/>
      <c r="P17" s="1125"/>
      <c r="Q17" s="1125"/>
      <c r="R17" s="598"/>
      <c r="S17" s="598"/>
      <c r="T17" s="598"/>
      <c r="U17" s="598"/>
      <c r="V17" s="598"/>
      <c r="W17" s="598"/>
      <c r="X17" s="1124"/>
      <c r="Y17" s="598"/>
      <c r="Z17" s="1127"/>
      <c r="AA17" s="598"/>
      <c r="AB17" s="598"/>
      <c r="AC17" s="598"/>
      <c r="AD17" s="598"/>
      <c r="AE17" s="1124"/>
      <c r="AF17" s="1125"/>
      <c r="AG17" s="1125"/>
      <c r="AH17" s="598"/>
      <c r="AI17" s="598"/>
      <c r="AJ17" s="598"/>
      <c r="AK17" s="598"/>
      <c r="AL17" s="598"/>
      <c r="AM17" s="598"/>
      <c r="AN17" s="1124"/>
      <c r="AP17" s="487"/>
      <c r="AQ17" s="487"/>
      <c r="AR17" s="487"/>
      <c r="AS17" s="487"/>
      <c r="AT17" s="487"/>
      <c r="AU17" s="487"/>
      <c r="AV17" s="487"/>
      <c r="AW17" s="487"/>
      <c r="AX17" s="487"/>
      <c r="AY17" s="487"/>
      <c r="AZ17" s="487"/>
      <c r="BA17" s="487"/>
      <c r="BB17" s="487"/>
      <c r="BC17" s="487"/>
      <c r="BD17" s="487"/>
      <c r="BE17" s="487"/>
      <c r="BF17" s="487"/>
      <c r="BG17" s="487"/>
      <c r="BH17" s="487"/>
    </row>
    <row r="18" spans="1:60" hidden="1" outlineLevel="1">
      <c r="A18" s="598" t="s">
        <v>527</v>
      </c>
      <c r="B18" s="1157" t="s">
        <v>514</v>
      </c>
      <c r="C18" s="598"/>
      <c r="D18" s="1120"/>
      <c r="E18" s="598" t="s">
        <v>190</v>
      </c>
      <c r="F18" s="1158"/>
      <c r="G18" s="598" t="s">
        <v>190</v>
      </c>
      <c r="H18" s="1120"/>
      <c r="I18" s="1124" t="s">
        <v>190</v>
      </c>
      <c r="J18" s="1127">
        <f>+Stores!D65</f>
        <v>1084</v>
      </c>
      <c r="K18" s="598"/>
      <c r="L18" s="1128">
        <f>AVERAGE(J18,J14)</f>
        <v>1083.5</v>
      </c>
      <c r="M18" s="598"/>
      <c r="N18" s="1120">
        <f>(L18/L11-1)*100</f>
        <v>94.17562724014337</v>
      </c>
      <c r="O18" s="1124" t="s">
        <v>190</v>
      </c>
      <c r="P18" s="1159"/>
      <c r="Q18" s="1125" t="s">
        <v>190</v>
      </c>
      <c r="R18" s="598"/>
      <c r="S18" s="1160">
        <f>+'SegP&amp;L'!D53</f>
        <v>1407.837</v>
      </c>
      <c r="T18" s="598"/>
      <c r="U18" s="1161"/>
      <c r="V18" s="598"/>
      <c r="W18" s="1120"/>
      <c r="X18" s="1124" t="s">
        <v>190</v>
      </c>
      <c r="Y18" s="598"/>
      <c r="Z18" s="1162">
        <f>+Stores!G65</f>
        <v>32.600985915278265</v>
      </c>
      <c r="AA18" s="598"/>
      <c r="AB18" s="1163">
        <f>AVERAGE(Z18,Z14)</f>
        <v>32.537492957639131</v>
      </c>
      <c r="AC18" s="598"/>
      <c r="AD18" s="1120"/>
      <c r="AE18" s="1124"/>
      <c r="AF18" s="1159"/>
      <c r="AG18" s="1125"/>
      <c r="AH18" s="598"/>
      <c r="AI18" s="1160"/>
      <c r="AJ18" s="598"/>
      <c r="AK18" s="1164"/>
      <c r="AL18" s="598"/>
      <c r="AM18" s="1120"/>
      <c r="AN18" s="1124" t="s">
        <v>190</v>
      </c>
      <c r="AP18" s="487"/>
      <c r="AQ18" s="487"/>
      <c r="AR18" s="487"/>
      <c r="AS18" s="487"/>
      <c r="AT18" s="487"/>
      <c r="AU18" s="487"/>
      <c r="AV18" s="487"/>
      <c r="AW18" s="487"/>
      <c r="AX18" s="487"/>
      <c r="AY18" s="487"/>
      <c r="AZ18" s="487"/>
      <c r="BA18" s="487"/>
      <c r="BB18" s="487"/>
      <c r="BC18" s="487"/>
      <c r="BD18" s="487"/>
      <c r="BE18" s="487"/>
      <c r="BF18" s="487"/>
      <c r="BG18" s="487"/>
      <c r="BH18" s="487"/>
    </row>
    <row r="19" spans="1:60" hidden="1" outlineLevel="1">
      <c r="A19" s="598" t="s">
        <v>528</v>
      </c>
      <c r="B19" s="1157" t="s">
        <v>515</v>
      </c>
      <c r="C19" s="598"/>
      <c r="D19" s="1120"/>
      <c r="E19" s="598"/>
      <c r="F19" s="1158"/>
      <c r="G19" s="598"/>
      <c r="H19" s="1120"/>
      <c r="I19" s="1124"/>
      <c r="J19" s="1127">
        <f>+Stores!D66</f>
        <v>1046</v>
      </c>
      <c r="K19" s="598"/>
      <c r="L19" s="1128">
        <f>AVERAGE(J19,J18)</f>
        <v>1065</v>
      </c>
      <c r="M19" s="598"/>
      <c r="N19" s="1120">
        <f>(L19/L12-1)*100</f>
        <v>89.670525378450577</v>
      </c>
      <c r="O19" s="1124"/>
      <c r="P19" s="1159"/>
      <c r="Q19" s="1125"/>
      <c r="R19" s="598"/>
      <c r="S19" s="1165">
        <f>+'SegP&amp;L'!D54</f>
        <v>1471.7280000000001</v>
      </c>
      <c r="T19" s="598"/>
      <c r="U19" s="1166"/>
      <c r="V19" s="598"/>
      <c r="W19" s="1120"/>
      <c r="X19" s="1124"/>
      <c r="Y19" s="598"/>
      <c r="Z19" s="1162">
        <f>+Stores!G66</f>
        <v>31.420726582625797</v>
      </c>
      <c r="AA19" s="598"/>
      <c r="AB19" s="1163">
        <f>AVERAGE(Z19,Z18)</f>
        <v>32.010856248952031</v>
      </c>
      <c r="AC19" s="598"/>
      <c r="AD19" s="1120"/>
      <c r="AE19" s="1124"/>
      <c r="AF19" s="1159"/>
      <c r="AG19" s="1125"/>
      <c r="AH19" s="598"/>
      <c r="AI19" s="1165"/>
      <c r="AJ19" s="598"/>
      <c r="AK19" s="1167"/>
      <c r="AL19" s="598"/>
      <c r="AM19" s="1120"/>
      <c r="AN19" s="1124"/>
      <c r="AP19" s="487"/>
      <c r="AQ19" s="487"/>
      <c r="AR19" s="487"/>
      <c r="AS19" s="487"/>
      <c r="AT19" s="487"/>
      <c r="AU19" s="487"/>
      <c r="AV19" s="487"/>
      <c r="AW19" s="487"/>
      <c r="AX19" s="487"/>
      <c r="AY19" s="487"/>
      <c r="AZ19" s="487"/>
      <c r="BA19" s="487"/>
      <c r="BB19" s="487"/>
      <c r="BC19" s="487"/>
      <c r="BD19" s="487"/>
      <c r="BE19" s="487"/>
      <c r="BF19" s="487"/>
      <c r="BG19" s="487"/>
      <c r="BH19" s="487"/>
    </row>
    <row r="20" spans="1:60" hidden="1" outlineLevel="1">
      <c r="A20" s="598" t="s">
        <v>529</v>
      </c>
      <c r="B20" s="1157" t="s">
        <v>516</v>
      </c>
      <c r="C20" s="598"/>
      <c r="D20" s="1120"/>
      <c r="E20" s="598"/>
      <c r="F20" s="1158"/>
      <c r="G20" s="598"/>
      <c r="H20" s="1120"/>
      <c r="I20" s="1124"/>
      <c r="J20" s="1127">
        <f>+Stores!D67</f>
        <v>1052</v>
      </c>
      <c r="K20" s="598"/>
      <c r="L20" s="1128">
        <f>AVERAGE(J20,J19)</f>
        <v>1049</v>
      </c>
      <c r="M20" s="598"/>
      <c r="N20" s="1120">
        <f>(L20/L13-1)*100</f>
        <v>83.071553228621298</v>
      </c>
      <c r="O20" s="1124"/>
      <c r="P20" s="1159"/>
      <c r="Q20" s="1125"/>
      <c r="R20" s="598"/>
      <c r="S20" s="1165">
        <f>+'SegP&amp;L'!D55</f>
        <v>1630.4179999999999</v>
      </c>
      <c r="T20" s="598"/>
      <c r="U20" s="1166"/>
      <c r="V20" s="598"/>
      <c r="W20" s="1120"/>
      <c r="X20" s="1124"/>
      <c r="Y20" s="598"/>
      <c r="Z20" s="1162">
        <f>+Stores!G67</f>
        <v>31.590156692529305</v>
      </c>
      <c r="AA20" s="598"/>
      <c r="AB20" s="1163">
        <f>AVERAGE(Z20,Z19)</f>
        <v>31.505441637577551</v>
      </c>
      <c r="AC20" s="598"/>
      <c r="AD20" s="1120"/>
      <c r="AE20" s="1124"/>
      <c r="AF20" s="1159"/>
      <c r="AG20" s="1125"/>
      <c r="AH20" s="598"/>
      <c r="AI20" s="1165"/>
      <c r="AJ20" s="598"/>
      <c r="AK20" s="1167"/>
      <c r="AL20" s="598"/>
      <c r="AM20" s="1120"/>
      <c r="AN20" s="1124"/>
      <c r="AP20" s="487"/>
      <c r="AQ20" s="487"/>
      <c r="AR20" s="487"/>
      <c r="AS20" s="487"/>
      <c r="AT20" s="487"/>
      <c r="AU20" s="487"/>
      <c r="AV20" s="487"/>
      <c r="AW20" s="487"/>
      <c r="AX20" s="487"/>
      <c r="AY20" s="487"/>
      <c r="AZ20" s="487"/>
      <c r="BA20" s="487"/>
      <c r="BB20" s="487"/>
      <c r="BC20" s="487"/>
      <c r="BD20" s="487"/>
      <c r="BE20" s="487"/>
      <c r="BF20" s="487"/>
      <c r="BG20" s="487"/>
      <c r="BH20" s="487"/>
    </row>
    <row r="21" spans="1:60" hidden="1" outlineLevel="1">
      <c r="A21" s="598" t="s">
        <v>530</v>
      </c>
      <c r="B21" s="1157" t="s">
        <v>517</v>
      </c>
      <c r="C21" s="598"/>
      <c r="D21" s="1168"/>
      <c r="E21" s="598"/>
      <c r="F21" s="1169"/>
      <c r="G21" s="598"/>
      <c r="H21" s="1168"/>
      <c r="I21" s="1124"/>
      <c r="J21" s="1170">
        <f>yrSales!H$92</f>
        <v>1032</v>
      </c>
      <c r="K21" s="598"/>
      <c r="L21" s="1171">
        <f>AVERAGE(J21,J20)</f>
        <v>1042</v>
      </c>
      <c r="M21" s="598"/>
      <c r="N21" s="1168">
        <f>(L21/L14-1)*100</f>
        <v>25.240384615384627</v>
      </c>
      <c r="O21" s="1124"/>
      <c r="P21" s="1171"/>
      <c r="Q21" s="1125"/>
      <c r="R21" s="598"/>
      <c r="S21" s="1172">
        <f>+'SegP&amp;L'!D56</f>
        <v>1840.0170000000005</v>
      </c>
      <c r="T21" s="598"/>
      <c r="U21" s="1173"/>
      <c r="V21" s="598"/>
      <c r="W21" s="1168"/>
      <c r="X21" s="1124"/>
      <c r="Y21" s="598"/>
      <c r="Z21" s="1129">
        <f>yrSales!H$110</f>
        <v>30.989000000000001</v>
      </c>
      <c r="AA21" s="598"/>
      <c r="AB21" s="1174">
        <f>AVERAGE(Z21,Z20)</f>
        <v>31.289578346264655</v>
      </c>
      <c r="AC21" s="598"/>
      <c r="AD21" s="1168"/>
      <c r="AE21" s="1124"/>
      <c r="AF21" s="1171"/>
      <c r="AG21" s="1125"/>
      <c r="AH21" s="598"/>
      <c r="AI21" s="1172"/>
      <c r="AJ21" s="598"/>
      <c r="AK21" s="1175"/>
      <c r="AL21" s="598"/>
      <c r="AM21" s="1168"/>
      <c r="AN21" s="1124"/>
      <c r="AP21" s="487"/>
      <c r="AQ21" s="487"/>
      <c r="AR21" s="487"/>
      <c r="AS21" s="487"/>
      <c r="AT21" s="487"/>
      <c r="AU21" s="487"/>
      <c r="AV21" s="487"/>
      <c r="AW21" s="487"/>
      <c r="AX21" s="487"/>
      <c r="AY21" s="487"/>
      <c r="AZ21" s="487"/>
      <c r="BA21" s="487"/>
      <c r="BB21" s="487"/>
      <c r="BC21" s="487"/>
      <c r="BD21" s="487"/>
      <c r="BE21" s="487"/>
      <c r="BF21" s="487"/>
      <c r="BG21" s="487"/>
      <c r="BH21" s="487"/>
    </row>
    <row r="22" spans="1:60" hidden="1" outlineLevel="1">
      <c r="A22" s="598"/>
      <c r="B22" s="1157" t="s">
        <v>531</v>
      </c>
      <c r="C22" s="598"/>
      <c r="D22" s="1120">
        <f>(S22/S15-1)*100</f>
        <v>70.746155320920792</v>
      </c>
      <c r="E22" s="598"/>
      <c r="F22" s="1158"/>
      <c r="G22" s="598"/>
      <c r="H22" s="1120"/>
      <c r="I22" s="1124"/>
      <c r="J22" s="1127"/>
      <c r="K22" s="598"/>
      <c r="L22" s="1128">
        <f>AVERAGE(L18:L21)</f>
        <v>1059.875</v>
      </c>
      <c r="M22" s="598"/>
      <c r="N22" s="1120">
        <f>(L22/L15-1)*100</f>
        <v>67.93424440483264</v>
      </c>
      <c r="O22" s="1124"/>
      <c r="P22" s="1159"/>
      <c r="Q22" s="1125"/>
      <c r="R22" s="598"/>
      <c r="S22" s="1160">
        <f>yrSales!H$65</f>
        <v>6350.0000000000009</v>
      </c>
      <c r="T22" s="598"/>
      <c r="U22" s="1161">
        <f>S22/L22</f>
        <v>5.9912725557259119</v>
      </c>
      <c r="V22" s="598"/>
      <c r="W22" s="1120">
        <f>(U22/U15-1)*100</f>
        <v>1.6744118664145713</v>
      </c>
      <c r="X22" s="1124"/>
      <c r="Y22" s="598"/>
      <c r="Z22" s="598"/>
      <c r="AA22" s="598"/>
      <c r="AB22" s="1163">
        <f>AVERAGE(Z21,Z14)</f>
        <v>31.731500000000004</v>
      </c>
      <c r="AC22" s="598"/>
      <c r="AD22" s="1120">
        <f>(AB22/AB15-1)*100</f>
        <v>-2.2864445402475786</v>
      </c>
      <c r="AE22" s="1124"/>
      <c r="AF22" s="1159"/>
      <c r="AG22" s="1125"/>
      <c r="AH22" s="598"/>
      <c r="AI22" s="1160">
        <f>+S22</f>
        <v>6350.0000000000009</v>
      </c>
      <c r="AJ22" s="598"/>
      <c r="AK22" s="1164">
        <f>AI22/AB22</f>
        <v>200.11660337519501</v>
      </c>
      <c r="AL22" s="598"/>
      <c r="AM22" s="1120"/>
      <c r="AN22" s="1124"/>
      <c r="AP22" s="487"/>
      <c r="AQ22" s="487"/>
      <c r="AR22" s="487"/>
      <c r="AS22" s="487"/>
      <c r="AT22" s="487"/>
      <c r="AU22" s="487"/>
      <c r="AV22" s="487"/>
      <c r="AW22" s="487"/>
      <c r="AX22" s="487"/>
      <c r="AY22" s="487"/>
      <c r="AZ22" s="487"/>
      <c r="BA22" s="487"/>
      <c r="BB22" s="487"/>
      <c r="BC22" s="487"/>
      <c r="BD22" s="487"/>
      <c r="BE22" s="487"/>
      <c r="BF22" s="487"/>
      <c r="BG22" s="487"/>
      <c r="BH22" s="487"/>
    </row>
    <row r="23" spans="1:60" hidden="1" outlineLevel="1">
      <c r="A23" s="598"/>
      <c r="B23" s="1157"/>
      <c r="C23" s="598"/>
      <c r="D23" s="598"/>
      <c r="E23" s="598"/>
      <c r="F23" s="598"/>
      <c r="G23" s="598"/>
      <c r="H23" s="598"/>
      <c r="I23" s="1124"/>
      <c r="J23" s="1127"/>
      <c r="K23" s="598"/>
      <c r="L23" s="598"/>
      <c r="M23" s="598"/>
      <c r="N23" s="598"/>
      <c r="O23" s="1124"/>
      <c r="P23" s="1125"/>
      <c r="Q23" s="1125"/>
      <c r="R23" s="598"/>
      <c r="S23" s="598"/>
      <c r="T23" s="598"/>
      <c r="U23" s="598"/>
      <c r="V23" s="598"/>
      <c r="W23" s="598"/>
      <c r="X23" s="1124"/>
      <c r="Y23" s="598"/>
      <c r="Z23" s="1127"/>
      <c r="AA23" s="598"/>
      <c r="AB23" s="598"/>
      <c r="AC23" s="598"/>
      <c r="AD23" s="598"/>
      <c r="AE23" s="1124"/>
      <c r="AF23" s="1125"/>
      <c r="AG23" s="1125"/>
      <c r="AH23" s="598"/>
      <c r="AI23" s="598"/>
      <c r="AJ23" s="598"/>
      <c r="AK23" s="598"/>
      <c r="AL23" s="598"/>
      <c r="AM23" s="598"/>
      <c r="AN23" s="1124"/>
      <c r="AP23" s="487"/>
      <c r="AQ23" s="487"/>
      <c r="AR23" s="487"/>
      <c r="AS23" s="487"/>
      <c r="AT23" s="487"/>
      <c r="AU23" s="487"/>
      <c r="AV23" s="487"/>
      <c r="AW23" s="487"/>
      <c r="AX23" s="487"/>
      <c r="AY23" s="487"/>
      <c r="AZ23" s="487"/>
      <c r="BA23" s="487"/>
      <c r="BB23" s="487"/>
      <c r="BC23" s="487"/>
      <c r="BD23" s="487"/>
      <c r="BE23" s="487"/>
      <c r="BF23" s="487"/>
      <c r="BG23" s="487"/>
      <c r="BH23" s="487"/>
    </row>
    <row r="24" spans="1:60" hidden="1" outlineLevel="1">
      <c r="A24" s="1154"/>
      <c r="B24" s="1155">
        <f>B17+1</f>
        <v>1997</v>
      </c>
      <c r="C24" s="598"/>
      <c r="D24" s="598"/>
      <c r="E24" s="598"/>
      <c r="F24" s="598"/>
      <c r="G24" s="598"/>
      <c r="H24" s="598"/>
      <c r="I24" s="1124"/>
      <c r="J24" s="1127"/>
      <c r="K24" s="598"/>
      <c r="L24" s="598"/>
      <c r="M24" s="598"/>
      <c r="N24" s="598"/>
      <c r="O24" s="1124"/>
      <c r="P24" s="1125"/>
      <c r="Q24" s="1125"/>
      <c r="R24" s="598"/>
      <c r="S24" s="598"/>
      <c r="T24" s="598"/>
      <c r="U24" s="598"/>
      <c r="V24" s="598"/>
      <c r="W24" s="598"/>
      <c r="X24" s="1124"/>
      <c r="Y24" s="598"/>
      <c r="Z24" s="1127"/>
      <c r="AA24" s="598"/>
      <c r="AB24" s="598"/>
      <c r="AC24" s="598"/>
      <c r="AD24" s="598"/>
      <c r="AE24" s="1124"/>
      <c r="AF24" s="1125"/>
      <c r="AG24" s="1125"/>
      <c r="AH24" s="598"/>
      <c r="AI24" s="598"/>
      <c r="AJ24" s="598"/>
      <c r="AK24" s="598"/>
      <c r="AL24" s="598"/>
      <c r="AM24" s="598"/>
      <c r="AN24" s="1124"/>
      <c r="AP24" s="487"/>
      <c r="AQ24" s="487"/>
      <c r="AR24" s="487"/>
      <c r="AS24" s="487"/>
      <c r="AT24" s="487"/>
      <c r="AU24" s="487"/>
      <c r="AV24" s="487"/>
      <c r="AW24" s="487"/>
      <c r="AX24" s="487"/>
      <c r="AY24" s="487"/>
      <c r="AZ24" s="487"/>
      <c r="BA24" s="487"/>
      <c r="BB24" s="487"/>
      <c r="BC24" s="487"/>
      <c r="BD24" s="487"/>
      <c r="BE24" s="487"/>
      <c r="BF24" s="487"/>
      <c r="BG24" s="487"/>
      <c r="BH24" s="487"/>
    </row>
    <row r="25" spans="1:60" hidden="1" outlineLevel="1">
      <c r="A25" s="598" t="s">
        <v>527</v>
      </c>
      <c r="B25" s="1157" t="s">
        <v>514</v>
      </c>
      <c r="C25" s="598"/>
      <c r="D25" s="1120"/>
      <c r="E25" s="598" t="s">
        <v>190</v>
      </c>
      <c r="F25" s="1158"/>
      <c r="G25" s="598" t="s">
        <v>190</v>
      </c>
      <c r="H25" s="1120"/>
      <c r="I25" s="1124" t="s">
        <v>190</v>
      </c>
      <c r="J25" s="1127">
        <f>+Stores!D73</f>
        <v>1034</v>
      </c>
      <c r="K25" s="598"/>
      <c r="L25" s="1128">
        <f>AVERAGE(J25,J21)</f>
        <v>1033</v>
      </c>
      <c r="M25" s="598"/>
      <c r="N25" s="1120">
        <f>(L25/L18-1)*100</f>
        <v>-4.6608214120904439</v>
      </c>
      <c r="O25" s="1124" t="s">
        <v>190</v>
      </c>
      <c r="P25" s="1159"/>
      <c r="Q25" s="1125" t="s">
        <v>190</v>
      </c>
      <c r="R25" s="598"/>
      <c r="S25" s="1160">
        <f>+'SegP&amp;L'!D60</f>
        <v>1455.7570000000001</v>
      </c>
      <c r="T25" s="598"/>
      <c r="U25" s="1161"/>
      <c r="V25" s="598"/>
      <c r="W25" s="1176"/>
      <c r="X25" s="1124" t="s">
        <v>190</v>
      </c>
      <c r="Y25" s="598"/>
      <c r="Z25" s="1162">
        <f>+Stores!G73</f>
        <v>31.073</v>
      </c>
      <c r="AA25" s="598"/>
      <c r="AB25" s="1163">
        <f>AVERAGE(Z25,Z21)</f>
        <v>31.030999999999999</v>
      </c>
      <c r="AC25" s="598"/>
      <c r="AD25" s="1120">
        <f>(AB25/AB18-1)*100</f>
        <v>-4.6300216172169399</v>
      </c>
      <c r="AE25" s="1124"/>
      <c r="AF25" s="1159"/>
      <c r="AG25" s="1125"/>
      <c r="AH25" s="598"/>
      <c r="AI25" s="1160"/>
      <c r="AJ25" s="598"/>
      <c r="AK25" s="1164"/>
      <c r="AL25" s="598"/>
      <c r="AM25" s="1120"/>
      <c r="AN25" s="1124" t="s">
        <v>190</v>
      </c>
      <c r="AP25" s="487"/>
      <c r="AQ25" s="487"/>
      <c r="AR25" s="487"/>
      <c r="AS25" s="487"/>
      <c r="AT25" s="487"/>
      <c r="AU25" s="487"/>
      <c r="AV25" s="487"/>
      <c r="AW25" s="487"/>
      <c r="AX25" s="487"/>
      <c r="AY25" s="487"/>
      <c r="AZ25" s="487"/>
      <c r="BA25" s="487"/>
      <c r="BB25" s="487"/>
      <c r="BC25" s="487"/>
      <c r="BD25" s="487"/>
      <c r="BE25" s="487"/>
      <c r="BF25" s="487"/>
      <c r="BG25" s="487"/>
      <c r="BH25" s="487"/>
    </row>
    <row r="26" spans="1:60" hidden="1" outlineLevel="1">
      <c r="A26" s="598" t="s">
        <v>528</v>
      </c>
      <c r="B26" s="1157" t="s">
        <v>515</v>
      </c>
      <c r="C26" s="598"/>
      <c r="D26" s="1120"/>
      <c r="E26" s="598"/>
      <c r="F26" s="1158"/>
      <c r="G26" s="598"/>
      <c r="H26" s="1120"/>
      <c r="I26" s="1124"/>
      <c r="J26" s="1127">
        <f>+Stores!D74</f>
        <v>1031</v>
      </c>
      <c r="K26" s="598"/>
      <c r="L26" s="1128">
        <f>AVERAGE(J26,J25)</f>
        <v>1032.5</v>
      </c>
      <c r="M26" s="598"/>
      <c r="N26" s="1120">
        <f>(L26/L19-1)*100</f>
        <v>-3.0516431924882625</v>
      </c>
      <c r="O26" s="1124"/>
      <c r="P26" s="1159"/>
      <c r="Q26" s="1125"/>
      <c r="R26" s="598"/>
      <c r="S26" s="1165">
        <f>+'SegP&amp;L'!D61</f>
        <v>1574.5940000000001</v>
      </c>
      <c r="T26" s="598"/>
      <c r="U26" s="1166"/>
      <c r="V26" s="598"/>
      <c r="W26" s="1176"/>
      <c r="X26" s="1124"/>
      <c r="Y26" s="598"/>
      <c r="Z26" s="1162">
        <f>+Stores!G74</f>
        <v>30.991</v>
      </c>
      <c r="AA26" s="598"/>
      <c r="AB26" s="1163">
        <f>AVERAGE(Z26,Z25)</f>
        <v>31.032</v>
      </c>
      <c r="AC26" s="598"/>
      <c r="AD26" s="1120">
        <f>(AB26/AB19-1)*100</f>
        <v>-3.0578883655574707</v>
      </c>
      <c r="AE26" s="1124"/>
      <c r="AF26" s="1159"/>
      <c r="AG26" s="1125"/>
      <c r="AH26" s="598"/>
      <c r="AI26" s="1165"/>
      <c r="AJ26" s="598"/>
      <c r="AK26" s="1167"/>
      <c r="AL26" s="598"/>
      <c r="AM26" s="1120"/>
      <c r="AN26" s="1124"/>
      <c r="AP26" s="487"/>
      <c r="AQ26" s="487"/>
      <c r="AR26" s="487"/>
      <c r="AS26" s="487"/>
      <c r="AT26" s="487"/>
      <c r="AU26" s="487"/>
      <c r="AV26" s="487"/>
      <c r="AW26" s="487"/>
      <c r="AX26" s="487"/>
      <c r="AY26" s="487"/>
      <c r="AZ26" s="487"/>
      <c r="BA26" s="487"/>
      <c r="BB26" s="487"/>
      <c r="BC26" s="487"/>
      <c r="BD26" s="487"/>
      <c r="BE26" s="487"/>
      <c r="BF26" s="487"/>
      <c r="BG26" s="487"/>
      <c r="BH26" s="487"/>
    </row>
    <row r="27" spans="1:60" hidden="1" outlineLevel="1">
      <c r="A27" s="598" t="s">
        <v>529</v>
      </c>
      <c r="B27" s="1157" t="s">
        <v>516</v>
      </c>
      <c r="C27" s="598"/>
      <c r="D27" s="1120"/>
      <c r="E27" s="598"/>
      <c r="F27" s="1158"/>
      <c r="G27" s="598"/>
      <c r="H27" s="1120"/>
      <c r="I27" s="1124"/>
      <c r="J27" s="1127">
        <f>+Stores!D75</f>
        <v>1042</v>
      </c>
      <c r="K27" s="598"/>
      <c r="L27" s="1128">
        <f>AVERAGE(J27,J26)</f>
        <v>1036.5</v>
      </c>
      <c r="M27" s="598"/>
      <c r="N27" s="1120">
        <f>(L27/L20-1)*100</f>
        <v>-1.1916110581506212</v>
      </c>
      <c r="O27" s="1124"/>
      <c r="P27" s="1159"/>
      <c r="Q27" s="1125"/>
      <c r="R27" s="598"/>
      <c r="S27" s="1165">
        <f>+'SegP&amp;L'!D62</f>
        <v>1736.1</v>
      </c>
      <c r="T27" s="598"/>
      <c r="U27" s="1166"/>
      <c r="V27" s="598"/>
      <c r="W27" s="1176"/>
      <c r="X27" s="1124"/>
      <c r="Y27" s="598"/>
      <c r="Z27" s="1162">
        <f>+Stores!G75</f>
        <v>31.335999999999999</v>
      </c>
      <c r="AA27" s="598"/>
      <c r="AB27" s="1163">
        <f>AVERAGE(Z27,Z26)</f>
        <v>31.163499999999999</v>
      </c>
      <c r="AC27" s="598"/>
      <c r="AD27" s="1120">
        <f>(AB27/AB20-1)*100</f>
        <v>-1.0853415150026247</v>
      </c>
      <c r="AE27" s="1124"/>
      <c r="AF27" s="1159"/>
      <c r="AG27" s="1125"/>
      <c r="AH27" s="598"/>
      <c r="AI27" s="1165"/>
      <c r="AJ27" s="598"/>
      <c r="AK27" s="1167"/>
      <c r="AL27" s="598"/>
      <c r="AM27" s="1120"/>
      <c r="AN27" s="1124"/>
      <c r="AP27" s="487"/>
      <c r="AQ27" s="487"/>
      <c r="AR27" s="487"/>
      <c r="AS27" s="487"/>
      <c r="AT27" s="487"/>
      <c r="AU27" s="487"/>
      <c r="AV27" s="487"/>
      <c r="AW27" s="487"/>
      <c r="AX27" s="487"/>
      <c r="AY27" s="487"/>
      <c r="AZ27" s="487"/>
      <c r="BA27" s="487"/>
      <c r="BB27" s="487"/>
      <c r="BC27" s="487"/>
      <c r="BD27" s="487"/>
      <c r="BE27" s="487"/>
      <c r="BF27" s="487"/>
      <c r="BG27" s="487"/>
      <c r="BH27" s="487"/>
    </row>
    <row r="28" spans="1:60" hidden="1" outlineLevel="1">
      <c r="A28" s="598" t="s">
        <v>530</v>
      </c>
      <c r="B28" s="1157" t="s">
        <v>517</v>
      </c>
      <c r="C28" s="598"/>
      <c r="D28" s="1168"/>
      <c r="E28" s="598"/>
      <c r="F28" s="1169"/>
      <c r="G28" s="598"/>
      <c r="H28" s="1168"/>
      <c r="I28" s="1124"/>
      <c r="J28" s="1170">
        <f>yrSales!I$92</f>
        <v>1041</v>
      </c>
      <c r="K28" s="598"/>
      <c r="L28" s="1171">
        <f>AVERAGE(J28,J27)</f>
        <v>1041.5</v>
      </c>
      <c r="M28" s="598"/>
      <c r="N28" s="1168">
        <f>(L28/L21-1)*100</f>
        <v>-4.798464491362342E-2</v>
      </c>
      <c r="O28" s="1124"/>
      <c r="P28" s="1171"/>
      <c r="Q28" s="1125"/>
      <c r="R28" s="598"/>
      <c r="S28" s="1172">
        <f>+'SegP&amp;L'!D63</f>
        <v>2047.5490000000004</v>
      </c>
      <c r="T28" s="598"/>
      <c r="U28" s="1173"/>
      <c r="V28" s="598"/>
      <c r="W28" s="1169"/>
      <c r="X28" s="1124"/>
      <c r="Y28" s="598"/>
      <c r="Z28" s="1129">
        <f>yrSales!I$110</f>
        <v>31.442</v>
      </c>
      <c r="AA28" s="598"/>
      <c r="AB28" s="1174">
        <f>AVERAGE(Z28,Z27)</f>
        <v>31.388999999999999</v>
      </c>
      <c r="AC28" s="598"/>
      <c r="AD28" s="1168">
        <f>(AB28/AB21-1)*100</f>
        <v>0.31774686330092727</v>
      </c>
      <c r="AE28" s="1124"/>
      <c r="AF28" s="1171"/>
      <c r="AG28" s="1125"/>
      <c r="AH28" s="598"/>
      <c r="AI28" s="1172"/>
      <c r="AJ28" s="598"/>
      <c r="AK28" s="1175"/>
      <c r="AL28" s="598"/>
      <c r="AM28" s="1168"/>
      <c r="AN28" s="1124"/>
      <c r="AP28" s="487"/>
      <c r="AQ28" s="487"/>
      <c r="AR28" s="487"/>
      <c r="AS28" s="487"/>
      <c r="AT28" s="487"/>
      <c r="AU28" s="487"/>
      <c r="AV28" s="487"/>
      <c r="AW28" s="487"/>
      <c r="AX28" s="487"/>
      <c r="AY28" s="487"/>
      <c r="AZ28" s="487"/>
      <c r="BA28" s="487"/>
      <c r="BB28" s="487"/>
      <c r="BC28" s="487"/>
      <c r="BD28" s="487"/>
      <c r="BE28" s="487"/>
      <c r="BF28" s="487"/>
      <c r="BG28" s="487"/>
      <c r="BH28" s="487"/>
    </row>
    <row r="29" spans="1:60" hidden="1" outlineLevel="1">
      <c r="A29" s="598"/>
      <c r="B29" s="1157" t="s">
        <v>531</v>
      </c>
      <c r="C29" s="598"/>
      <c r="D29" s="1120">
        <f>(S29/S22-1)*100</f>
        <v>7.3070866141732083</v>
      </c>
      <c r="E29" s="598"/>
      <c r="F29" s="1158"/>
      <c r="G29" s="598"/>
      <c r="H29" s="1120"/>
      <c r="I29" s="1124"/>
      <c r="J29" s="1127"/>
      <c r="K29" s="598"/>
      <c r="L29" s="1128">
        <f>AVERAGE(L25:L28)</f>
        <v>1035.875</v>
      </c>
      <c r="M29" s="598"/>
      <c r="N29" s="1120">
        <f>(L29/L22-1)*100</f>
        <v>-2.2644179738176673</v>
      </c>
      <c r="O29" s="1124"/>
      <c r="P29" s="1159"/>
      <c r="Q29" s="1125"/>
      <c r="R29" s="598"/>
      <c r="S29" s="1160">
        <f>yrSales!I$65</f>
        <v>6814</v>
      </c>
      <c r="T29" s="598"/>
      <c r="U29" s="1161">
        <f>S29/L29</f>
        <v>6.5780137564860626</v>
      </c>
      <c r="V29" s="598"/>
      <c r="W29" s="1176">
        <f>(U29/U22-1)*100</f>
        <v>9.7932650418214973</v>
      </c>
      <c r="X29" s="1124"/>
      <c r="Y29" s="598"/>
      <c r="Z29" s="1129"/>
      <c r="AA29" s="598"/>
      <c r="AB29" s="1163">
        <f>AVERAGE(Z28,Z21)</f>
        <v>31.215499999999999</v>
      </c>
      <c r="AC29" s="598"/>
      <c r="AD29" s="1120">
        <f>(AB29/AB22-1)*100</f>
        <v>-1.6261443675842813</v>
      </c>
      <c r="AE29" s="1124"/>
      <c r="AF29" s="1159"/>
      <c r="AG29" s="1125"/>
      <c r="AH29" s="598"/>
      <c r="AI29" s="1160">
        <f>+S29</f>
        <v>6814</v>
      </c>
      <c r="AJ29" s="598"/>
      <c r="AK29" s="1164">
        <f>AI29/AB29</f>
        <v>218.28899104611492</v>
      </c>
      <c r="AL29" s="598"/>
      <c r="AM29" s="1176">
        <f>(AK29/AK22-1)*100</f>
        <v>9.0808995177920515</v>
      </c>
      <c r="AN29" s="1124"/>
      <c r="AP29" s="487"/>
      <c r="AQ29" s="487"/>
      <c r="AR29" s="487"/>
      <c r="AS29" s="487"/>
      <c r="AT29" s="487"/>
      <c r="AU29" s="487"/>
      <c r="AV29" s="487"/>
      <c r="AW29" s="487"/>
      <c r="AX29" s="487"/>
      <c r="AY29" s="487"/>
      <c r="AZ29" s="487"/>
      <c r="BA29" s="487"/>
      <c r="BB29" s="487"/>
      <c r="BC29" s="487"/>
      <c r="BD29" s="487"/>
      <c r="BE29" s="487"/>
      <c r="BF29" s="487"/>
      <c r="BG29" s="487"/>
      <c r="BH29" s="487"/>
    </row>
    <row r="30" spans="1:60" hidden="1" outlineLevel="1">
      <c r="A30" s="598"/>
      <c r="B30" s="1157"/>
      <c r="C30" s="598"/>
      <c r="D30" s="598"/>
      <c r="E30" s="598"/>
      <c r="F30" s="598"/>
      <c r="G30" s="598"/>
      <c r="H30" s="598"/>
      <c r="I30" s="1124"/>
      <c r="J30" s="1127"/>
      <c r="K30" s="598"/>
      <c r="L30" s="598"/>
      <c r="M30" s="598"/>
      <c r="N30" s="598"/>
      <c r="O30" s="1124"/>
      <c r="P30" s="1125"/>
      <c r="Q30" s="1125"/>
      <c r="R30" s="598"/>
      <c r="S30" s="598"/>
      <c r="T30" s="598"/>
      <c r="U30" s="598"/>
      <c r="V30" s="598"/>
      <c r="W30" s="598"/>
      <c r="X30" s="1124"/>
      <c r="Y30" s="598"/>
      <c r="Z30" s="1127"/>
      <c r="AA30" s="598"/>
      <c r="AB30" s="598"/>
      <c r="AC30" s="598"/>
      <c r="AD30" s="598"/>
      <c r="AE30" s="1124"/>
      <c r="AF30" s="1125"/>
      <c r="AG30" s="1125"/>
      <c r="AH30" s="598"/>
      <c r="AI30" s="598"/>
      <c r="AJ30" s="598"/>
      <c r="AK30" s="598"/>
      <c r="AL30" s="598"/>
      <c r="AM30" s="598"/>
      <c r="AN30" s="1124"/>
      <c r="AP30" s="487"/>
      <c r="AQ30" s="487"/>
      <c r="AR30" s="487"/>
      <c r="AS30" s="487"/>
      <c r="AT30" s="487"/>
      <c r="AU30" s="487"/>
      <c r="AV30" s="487"/>
      <c r="AW30" s="487"/>
      <c r="AX30" s="487"/>
      <c r="AY30" s="487"/>
      <c r="AZ30" s="487"/>
      <c r="BA30" s="487"/>
      <c r="BB30" s="487"/>
      <c r="BC30" s="487"/>
      <c r="BD30" s="487"/>
      <c r="BE30" s="487"/>
      <c r="BF30" s="487"/>
      <c r="BG30" s="487"/>
      <c r="BH30" s="487"/>
    </row>
    <row r="31" spans="1:60" hidden="1" outlineLevel="1">
      <c r="A31" s="598"/>
      <c r="B31" s="1155">
        <f>B24+1</f>
        <v>1998</v>
      </c>
      <c r="C31" s="598"/>
      <c r="D31" s="598"/>
      <c r="E31" s="598"/>
      <c r="F31" s="598"/>
      <c r="G31" s="598"/>
      <c r="H31" s="598"/>
      <c r="I31" s="1124"/>
      <c r="J31" s="1127"/>
      <c r="K31" s="598"/>
      <c r="L31" s="598"/>
      <c r="M31" s="598"/>
      <c r="N31" s="598"/>
      <c r="O31" s="1124"/>
      <c r="P31" s="1125"/>
      <c r="Q31" s="1125"/>
      <c r="R31" s="598"/>
      <c r="S31" s="598"/>
      <c r="T31" s="598"/>
      <c r="U31" s="598"/>
      <c r="V31" s="598"/>
      <c r="W31" s="598"/>
      <c r="X31" s="1124"/>
      <c r="Y31" s="598"/>
      <c r="Z31" s="1127"/>
      <c r="AA31" s="598"/>
      <c r="AB31" s="598"/>
      <c r="AC31" s="598"/>
      <c r="AD31" s="598"/>
      <c r="AE31" s="1124"/>
      <c r="AF31" s="1125"/>
      <c r="AG31" s="1125"/>
      <c r="AH31" s="598"/>
      <c r="AI31" s="598"/>
      <c r="AJ31" s="598"/>
      <c r="AK31" s="598"/>
      <c r="AL31" s="598"/>
      <c r="AM31" s="598"/>
      <c r="AN31" s="1124"/>
      <c r="AP31" s="487"/>
      <c r="AQ31" s="487"/>
      <c r="AR31" s="487"/>
      <c r="AS31" s="487"/>
      <c r="AT31" s="487"/>
      <c r="AU31" s="487"/>
      <c r="AV31" s="487"/>
      <c r="AW31" s="487"/>
      <c r="AX31" s="487"/>
      <c r="AY31" s="487"/>
      <c r="AZ31" s="487"/>
      <c r="BA31" s="487"/>
      <c r="BB31" s="487"/>
      <c r="BC31" s="487"/>
      <c r="BD31" s="487"/>
      <c r="BE31" s="487"/>
      <c r="BF31" s="487"/>
      <c r="BG31" s="487"/>
      <c r="BH31" s="487"/>
    </row>
    <row r="32" spans="1:60" hidden="1" outlineLevel="1">
      <c r="A32" s="598" t="s">
        <v>527</v>
      </c>
      <c r="B32" s="1157" t="s">
        <v>514</v>
      </c>
      <c r="C32" s="598"/>
      <c r="D32" s="1120">
        <f>(S32/S25-1)*100</f>
        <v>11.795100418545124</v>
      </c>
      <c r="E32" s="1124" t="s">
        <v>190</v>
      </c>
      <c r="F32" s="1158">
        <f>+'SegP&amp;L'!F67</f>
        <v>7</v>
      </c>
      <c r="G32" s="1124" t="s">
        <v>190</v>
      </c>
      <c r="H32" s="1120">
        <f>D32-F32</f>
        <v>4.7951004185451236</v>
      </c>
      <c r="I32" s="1124" t="s">
        <v>190</v>
      </c>
      <c r="J32" s="1127">
        <f>+Stores!D81</f>
        <v>1049</v>
      </c>
      <c r="K32" s="598"/>
      <c r="L32" s="1128">
        <f>AVERAGE(J32,J28)</f>
        <v>1045</v>
      </c>
      <c r="M32" s="598"/>
      <c r="N32" s="1120">
        <f>(L32/L25-1)*100</f>
        <v>1.1616650532429773</v>
      </c>
      <c r="O32" s="1124" t="s">
        <v>190</v>
      </c>
      <c r="P32" s="1159">
        <f>H32/N32*100</f>
        <v>412.77822769642762</v>
      </c>
      <c r="Q32" s="1125" t="s">
        <v>190</v>
      </c>
      <c r="R32" s="598"/>
      <c r="S32" s="1160">
        <f>+'SegP&amp;L'!D67</f>
        <v>1627.4649999999999</v>
      </c>
      <c r="T32" s="598"/>
      <c r="U32" s="1161"/>
      <c r="V32" s="598"/>
      <c r="W32" s="1176"/>
      <c r="X32" s="1124" t="s">
        <v>190</v>
      </c>
      <c r="Y32" s="598"/>
      <c r="Z32" s="1162">
        <f>+Stores!G81</f>
        <v>31.666</v>
      </c>
      <c r="AA32" s="598"/>
      <c r="AB32" s="1163">
        <f>AVERAGE(Z32,Z28)</f>
        <v>31.554000000000002</v>
      </c>
      <c r="AC32" s="598"/>
      <c r="AD32" s="1120">
        <f>(AB32/AB25-1)*100</f>
        <v>1.6854113628307354</v>
      </c>
      <c r="AE32" s="1124" t="s">
        <v>190</v>
      </c>
      <c r="AF32" s="1159"/>
      <c r="AG32" s="1125" t="s">
        <v>190</v>
      </c>
      <c r="AH32" s="598"/>
      <c r="AI32" s="1160"/>
      <c r="AJ32" s="598"/>
      <c r="AK32" s="1164"/>
      <c r="AL32" s="598"/>
      <c r="AM32" s="1120"/>
      <c r="AN32" s="1124" t="s">
        <v>190</v>
      </c>
      <c r="AP32" s="487"/>
      <c r="AQ32" s="487"/>
      <c r="AR32" s="487"/>
      <c r="AS32" s="487"/>
      <c r="AT32" s="487"/>
      <c r="AU32" s="487"/>
      <c r="AV32" s="487"/>
      <c r="AW32" s="487"/>
      <c r="AX32" s="487"/>
      <c r="AY32" s="487"/>
      <c r="AZ32" s="487"/>
      <c r="BA32" s="487"/>
      <c r="BB32" s="487"/>
      <c r="BC32" s="487"/>
      <c r="BD32" s="487"/>
      <c r="BE32" s="487"/>
      <c r="BF32" s="487"/>
      <c r="BG32" s="487"/>
      <c r="BH32" s="487"/>
    </row>
    <row r="33" spans="1:60" hidden="1" outlineLevel="1">
      <c r="A33" s="598" t="s">
        <v>528</v>
      </c>
      <c r="B33" s="1157" t="s">
        <v>515</v>
      </c>
      <c r="C33" s="598"/>
      <c r="D33" s="1120">
        <f>(S33/S26-1)*100</f>
        <v>8.0862114297399756</v>
      </c>
      <c r="E33" s="598"/>
      <c r="F33" s="1158">
        <f>+'SegP&amp;L'!F68</f>
        <v>6</v>
      </c>
      <c r="G33" s="598"/>
      <c r="H33" s="1120">
        <f>D33-F33</f>
        <v>2.0862114297399756</v>
      </c>
      <c r="I33" s="1124"/>
      <c r="J33" s="1127">
        <f>+Stores!D82</f>
        <v>1057</v>
      </c>
      <c r="K33" s="598"/>
      <c r="L33" s="1128">
        <f>AVERAGE(J33,J32)</f>
        <v>1053</v>
      </c>
      <c r="M33" s="598"/>
      <c r="N33" s="1120">
        <f>(L33/L26-1)*100</f>
        <v>1.9854721549636745</v>
      </c>
      <c r="O33" s="1124"/>
      <c r="P33" s="1159">
        <f>H33/N33*100</f>
        <v>105.07381957105031</v>
      </c>
      <c r="Q33" s="1125"/>
      <c r="R33" s="598"/>
      <c r="S33" s="1165">
        <f>+'SegP&amp;L'!D68</f>
        <v>1701.9190000000001</v>
      </c>
      <c r="T33" s="598"/>
      <c r="U33" s="1166"/>
      <c r="V33" s="598"/>
      <c r="W33" s="1176"/>
      <c r="X33" s="1124"/>
      <c r="Y33" s="598"/>
      <c r="Z33" s="1162">
        <f>+Stores!G82</f>
        <v>31.902000000000001</v>
      </c>
      <c r="AA33" s="598"/>
      <c r="AB33" s="1163">
        <f>AVERAGE(Z33,Z32)</f>
        <v>31.783999999999999</v>
      </c>
      <c r="AC33" s="598"/>
      <c r="AD33" s="1120">
        <f>(AB33/AB26-1)*100</f>
        <v>2.4233049755091551</v>
      </c>
      <c r="AE33" s="1124"/>
      <c r="AF33" s="1159"/>
      <c r="AG33" s="1125"/>
      <c r="AH33" s="598"/>
      <c r="AI33" s="1165"/>
      <c r="AJ33" s="598"/>
      <c r="AK33" s="1167"/>
      <c r="AL33" s="598"/>
      <c r="AM33" s="1120"/>
      <c r="AN33" s="1124"/>
      <c r="AP33" s="487"/>
      <c r="AQ33" s="487"/>
      <c r="AR33" s="487"/>
      <c r="AS33" s="487"/>
      <c r="AT33" s="487"/>
      <c r="AU33" s="487"/>
      <c r="AV33" s="487"/>
      <c r="AW33" s="487"/>
      <c r="AX33" s="487"/>
      <c r="AY33" s="487"/>
      <c r="AZ33" s="487"/>
      <c r="BA33" s="487"/>
      <c r="BB33" s="487"/>
      <c r="BC33" s="487"/>
      <c r="BD33" s="487"/>
      <c r="BE33" s="487"/>
      <c r="BF33" s="487"/>
      <c r="BG33" s="487"/>
      <c r="BH33" s="487"/>
    </row>
    <row r="34" spans="1:60" hidden="1" outlineLevel="1">
      <c r="A34" s="598" t="s">
        <v>529</v>
      </c>
      <c r="B34" s="1157" t="s">
        <v>516</v>
      </c>
      <c r="C34" s="598"/>
      <c r="D34" s="1120">
        <f>(S34/S27-1)*100</f>
        <v>5.0054720350210191</v>
      </c>
      <c r="E34" s="598"/>
      <c r="F34" s="1158">
        <f>+'SegP&amp;L'!F69</f>
        <v>1</v>
      </c>
      <c r="G34" s="598"/>
      <c r="H34" s="1120">
        <f>D34-F34</f>
        <v>4.0054720350210191</v>
      </c>
      <c r="I34" s="1124"/>
      <c r="J34" s="1127">
        <f>+Stores!D83</f>
        <v>1071</v>
      </c>
      <c r="K34" s="598"/>
      <c r="L34" s="1128">
        <f>AVERAGE(J34,J33)</f>
        <v>1064</v>
      </c>
      <c r="M34" s="598"/>
      <c r="N34" s="1120">
        <f>(L34/L27-1)*100</f>
        <v>2.6531596719729933</v>
      </c>
      <c r="O34" s="1124"/>
      <c r="P34" s="1159">
        <f>H34/N34*100</f>
        <v>150.96988233815546</v>
      </c>
      <c r="Q34" s="1125"/>
      <c r="R34" s="598"/>
      <c r="S34" s="1165">
        <f>+'SegP&amp;L'!D69</f>
        <v>1823</v>
      </c>
      <c r="T34" s="598"/>
      <c r="U34" s="1166"/>
      <c r="V34" s="598"/>
      <c r="W34" s="1176"/>
      <c r="X34" s="1124"/>
      <c r="Y34" s="598"/>
      <c r="Z34" s="1162">
        <f>+Stores!G83</f>
        <v>32.344000000000001</v>
      </c>
      <c r="AA34" s="598"/>
      <c r="AB34" s="1163">
        <f>AVERAGE(Z34,Z33)</f>
        <v>32.123000000000005</v>
      </c>
      <c r="AC34" s="598"/>
      <c r="AD34" s="1120">
        <f>(AB34/AB27-1)*100</f>
        <v>3.0789224573619878</v>
      </c>
      <c r="AE34" s="1124"/>
      <c r="AF34" s="1159"/>
      <c r="AG34" s="1125"/>
      <c r="AH34" s="598"/>
      <c r="AI34" s="1165"/>
      <c r="AJ34" s="598"/>
      <c r="AK34" s="1167"/>
      <c r="AL34" s="598"/>
      <c r="AM34" s="1176"/>
      <c r="AN34" s="1124"/>
      <c r="AP34" s="487"/>
      <c r="AQ34" s="487"/>
      <c r="AR34" s="487"/>
      <c r="AS34" s="487"/>
      <c r="AT34" s="487"/>
      <c r="AU34" s="487"/>
      <c r="AV34" s="487"/>
      <c r="AW34" s="487"/>
      <c r="AX34" s="487"/>
      <c r="AY34" s="487"/>
      <c r="AZ34" s="487"/>
      <c r="BA34" s="487"/>
      <c r="BB34" s="487"/>
      <c r="BC34" s="487"/>
      <c r="BD34" s="487"/>
      <c r="BE34" s="487"/>
      <c r="BF34" s="487"/>
      <c r="BG34" s="487"/>
      <c r="BH34" s="487"/>
    </row>
    <row r="35" spans="1:60" hidden="1" outlineLevel="1">
      <c r="A35" s="598" t="s">
        <v>530</v>
      </c>
      <c r="B35" s="1157" t="s">
        <v>517</v>
      </c>
      <c r="C35" s="598"/>
      <c r="D35" s="1168">
        <f>(S35/S28-1)*100</f>
        <v>-0.17332918528447649</v>
      </c>
      <c r="E35" s="598"/>
      <c r="F35" s="1169">
        <f>+'SegP&amp;L'!F70</f>
        <v>4</v>
      </c>
      <c r="G35" s="598"/>
      <c r="H35" s="1168">
        <f>D35-F35</f>
        <v>-4.1733291852844765</v>
      </c>
      <c r="I35" s="1124"/>
      <c r="J35" s="1170">
        <f>yrSales!J$92</f>
        <v>1079</v>
      </c>
      <c r="K35" s="598"/>
      <c r="L35" s="1171">
        <f>AVERAGE(J35,J34)</f>
        <v>1075</v>
      </c>
      <c r="M35" s="598"/>
      <c r="N35" s="1168">
        <f>(L35/L28-1)*100</f>
        <v>3.2165146423427826</v>
      </c>
      <c r="O35" s="1124"/>
      <c r="P35" s="1171">
        <f>H35/N35*100</f>
        <v>-129.74693571563498</v>
      </c>
      <c r="Q35" s="1125"/>
      <c r="R35" s="598"/>
      <c r="S35" s="1172">
        <f>+'SegP&amp;L'!D70</f>
        <v>2044</v>
      </c>
      <c r="T35" s="598"/>
      <c r="U35" s="1173"/>
      <c r="V35" s="598"/>
      <c r="W35" s="1169"/>
      <c r="X35" s="1124"/>
      <c r="Y35" s="598"/>
      <c r="Z35" s="1129">
        <f>yrSales!J$110</f>
        <v>32.557000000000002</v>
      </c>
      <c r="AA35" s="598"/>
      <c r="AB35" s="1174">
        <f>AVERAGE(Z35,Z34)</f>
        <v>32.450500000000005</v>
      </c>
      <c r="AC35" s="598"/>
      <c r="AD35" s="1168">
        <f>(AB35/AB28-1)*100</f>
        <v>3.3817579406798748</v>
      </c>
      <c r="AE35" s="1124"/>
      <c r="AF35" s="1171"/>
      <c r="AG35" s="1125"/>
      <c r="AH35" s="598"/>
      <c r="AI35" s="1172"/>
      <c r="AJ35" s="598"/>
      <c r="AK35" s="1175"/>
      <c r="AL35" s="598"/>
      <c r="AM35" s="1169"/>
      <c r="AN35" s="1124"/>
      <c r="AP35" s="487"/>
      <c r="AQ35" s="487"/>
      <c r="AR35" s="487"/>
      <c r="AS35" s="487"/>
      <c r="AT35" s="487"/>
      <c r="AU35" s="487"/>
      <c r="AV35" s="487"/>
      <c r="AW35" s="487"/>
      <c r="AX35" s="487"/>
      <c r="AY35" s="487"/>
      <c r="AZ35" s="487"/>
      <c r="BA35" s="487"/>
      <c r="BB35" s="487"/>
      <c r="BC35" s="487"/>
      <c r="BD35" s="487"/>
      <c r="BE35" s="487"/>
      <c r="BF35" s="487"/>
      <c r="BG35" s="487"/>
      <c r="BH35" s="487"/>
    </row>
    <row r="36" spans="1:60" hidden="1" outlineLevel="1">
      <c r="A36" s="598"/>
      <c r="B36" s="1157" t="s">
        <v>531</v>
      </c>
      <c r="C36" s="598"/>
      <c r="D36" s="1120">
        <f>(S36/S29-1)*100</f>
        <v>5.6108746697974832</v>
      </c>
      <c r="E36" s="598"/>
      <c r="F36" s="1176">
        <f>yrSales!J$125*100</f>
        <v>5</v>
      </c>
      <c r="G36" s="598"/>
      <c r="H36" s="1120">
        <f>D36-F36</f>
        <v>0.61087466979748317</v>
      </c>
      <c r="I36" s="1124"/>
      <c r="J36" s="598"/>
      <c r="K36" s="598"/>
      <c r="L36" s="1128">
        <f>AVERAGE(L32:L35)</f>
        <v>1059.25</v>
      </c>
      <c r="M36" s="598"/>
      <c r="N36" s="1120">
        <f>(L36/L29-1)*100</f>
        <v>2.2565463979727252</v>
      </c>
      <c r="O36" s="1124"/>
      <c r="P36" s="1159">
        <f>H36/N36*100</f>
        <v>27.0712213294746</v>
      </c>
      <c r="Q36" s="1125"/>
      <c r="R36" s="598"/>
      <c r="S36" s="1160">
        <f>yrSales!J$65</f>
        <v>7196.3249999999998</v>
      </c>
      <c r="T36" s="598"/>
      <c r="U36" s="1161">
        <f>S36/L36</f>
        <v>6.793792777908898</v>
      </c>
      <c r="V36" s="598"/>
      <c r="W36" s="1176">
        <f>(U36/U29-1)*100</f>
        <v>3.2803066307070639</v>
      </c>
      <c r="X36" s="1124"/>
      <c r="Y36" s="598"/>
      <c r="Z36" s="598"/>
      <c r="AA36" s="598"/>
      <c r="AB36" s="1163">
        <f>AVERAGE(Z35,Z28)</f>
        <v>31.999500000000001</v>
      </c>
      <c r="AC36" s="598"/>
      <c r="AD36" s="1120">
        <f>(AB36/AB29-1)*100</f>
        <v>2.5115727763450835</v>
      </c>
      <c r="AE36" s="1124"/>
      <c r="AF36" s="1159"/>
      <c r="AG36" s="1125"/>
      <c r="AH36" s="598"/>
      <c r="AI36" s="1160">
        <f>+S36</f>
        <v>7196.3249999999998</v>
      </c>
      <c r="AJ36" s="598"/>
      <c r="AK36" s="1164">
        <f>AI36/AB36</f>
        <v>224.88867013547085</v>
      </c>
      <c r="AL36" s="598"/>
      <c r="AM36" s="1176">
        <f>(AK36/AK29-1)*100</f>
        <v>3.0233678105927586</v>
      </c>
      <c r="AN36" s="1124"/>
      <c r="AP36" s="487"/>
      <c r="AQ36" s="487"/>
      <c r="AR36" s="487"/>
      <c r="AS36" s="487"/>
      <c r="AT36" s="487"/>
      <c r="AU36" s="487"/>
      <c r="AV36" s="487"/>
      <c r="AW36" s="487"/>
      <c r="AX36" s="487"/>
      <c r="AY36" s="487"/>
      <c r="AZ36" s="487"/>
      <c r="BA36" s="487"/>
      <c r="BB36" s="487"/>
      <c r="BC36" s="487"/>
      <c r="BD36" s="487"/>
      <c r="BE36" s="487"/>
      <c r="BF36" s="487"/>
      <c r="BG36" s="487"/>
      <c r="BH36" s="487"/>
    </row>
    <row r="37" spans="1:60" hidden="1" outlineLevel="1">
      <c r="A37" s="598"/>
      <c r="B37" s="1157"/>
      <c r="C37" s="598"/>
      <c r="D37" s="598"/>
      <c r="E37" s="598"/>
      <c r="F37" s="598"/>
      <c r="G37" s="598"/>
      <c r="H37" s="598"/>
      <c r="I37" s="1124"/>
      <c r="J37" s="598"/>
      <c r="K37" s="598"/>
      <c r="L37" s="598"/>
      <c r="M37" s="598"/>
      <c r="N37" s="598"/>
      <c r="O37" s="1124"/>
      <c r="P37" s="1125"/>
      <c r="Q37" s="1125"/>
      <c r="R37" s="598"/>
      <c r="S37" s="598"/>
      <c r="T37" s="598"/>
      <c r="U37" s="598"/>
      <c r="V37" s="598"/>
      <c r="W37" s="598"/>
      <c r="X37" s="1124"/>
      <c r="Y37" s="598"/>
      <c r="Z37" s="598"/>
      <c r="AA37" s="598"/>
      <c r="AB37" s="598"/>
      <c r="AC37" s="598"/>
      <c r="AD37" s="598"/>
      <c r="AE37" s="1124"/>
      <c r="AF37" s="1125"/>
      <c r="AG37" s="1125"/>
      <c r="AH37" s="598"/>
      <c r="AI37" s="598"/>
      <c r="AJ37" s="598"/>
      <c r="AK37" s="598"/>
      <c r="AL37" s="598"/>
      <c r="AM37" s="598"/>
      <c r="AN37" s="1124"/>
      <c r="AP37" s="487"/>
      <c r="AQ37" s="487"/>
      <c r="AR37" s="487"/>
      <c r="AS37" s="487"/>
      <c r="AT37" s="487"/>
      <c r="AU37" s="487"/>
      <c r="AV37" s="487"/>
      <c r="AW37" s="487"/>
      <c r="AX37" s="487"/>
      <c r="AY37" s="487"/>
      <c r="AZ37" s="487"/>
      <c r="BA37" s="487"/>
      <c r="BB37" s="487"/>
      <c r="BC37" s="487"/>
      <c r="BD37" s="487"/>
      <c r="BE37" s="487"/>
      <c r="BF37" s="487"/>
      <c r="BG37" s="487"/>
      <c r="BH37" s="487"/>
    </row>
    <row r="38" spans="1:60" hidden="1" outlineLevel="1" collapsed="1">
      <c r="A38" s="1154"/>
      <c r="B38" s="1155">
        <f>B31+1</f>
        <v>1999</v>
      </c>
      <c r="C38" s="598"/>
      <c r="D38" s="598"/>
      <c r="E38" s="598"/>
      <c r="F38" s="598"/>
      <c r="G38" s="598"/>
      <c r="H38" s="598"/>
      <c r="I38" s="1124"/>
      <c r="J38" s="598"/>
      <c r="K38" s="598"/>
      <c r="L38" s="598"/>
      <c r="M38" s="598"/>
      <c r="N38" s="598"/>
      <c r="O38" s="1124"/>
      <c r="P38" s="1125"/>
      <c r="Q38" s="1125"/>
      <c r="R38" s="598"/>
      <c r="S38" s="598"/>
      <c r="T38" s="598"/>
      <c r="U38" s="598"/>
      <c r="V38" s="598"/>
      <c r="W38" s="598"/>
      <c r="X38" s="1124"/>
      <c r="Y38" s="598"/>
      <c r="Z38" s="598"/>
      <c r="AA38" s="598"/>
      <c r="AB38" s="598"/>
      <c r="AC38" s="598"/>
      <c r="AD38" s="598"/>
      <c r="AE38" s="1124"/>
      <c r="AF38" s="1125"/>
      <c r="AG38" s="1125"/>
      <c r="AH38" s="598"/>
      <c r="AI38" s="598"/>
      <c r="AJ38" s="598"/>
      <c r="AK38" s="598"/>
      <c r="AL38" s="598"/>
      <c r="AM38" s="598"/>
      <c r="AN38" s="1124"/>
      <c r="AP38" s="487"/>
      <c r="AQ38" s="487"/>
      <c r="AR38" s="487"/>
      <c r="AS38" s="487"/>
      <c r="AT38" s="487"/>
      <c r="AU38" s="487"/>
      <c r="AV38" s="487"/>
      <c r="AW38" s="487"/>
      <c r="AX38" s="487"/>
      <c r="AY38" s="487"/>
      <c r="AZ38" s="487"/>
      <c r="BA38" s="487"/>
      <c r="BB38" s="487"/>
      <c r="BC38" s="487"/>
      <c r="BD38" s="487"/>
      <c r="BE38" s="487"/>
      <c r="BF38" s="487"/>
      <c r="BG38" s="487"/>
      <c r="BH38" s="487"/>
    </row>
    <row r="39" spans="1:60" hidden="1" outlineLevel="1">
      <c r="A39" s="598" t="s">
        <v>527</v>
      </c>
      <c r="B39" s="1157" t="s">
        <v>514</v>
      </c>
      <c r="C39" s="598"/>
      <c r="D39" s="1120">
        <f>(S39/S32-1)*100</f>
        <v>6.8840190111615351</v>
      </c>
      <c r="E39" s="1124" t="s">
        <v>190</v>
      </c>
      <c r="F39" s="1158">
        <f>+'SegP&amp;L'!F74</f>
        <v>4</v>
      </c>
      <c r="G39" s="1124" t="s">
        <v>190</v>
      </c>
      <c r="H39" s="1120">
        <f>D39-F39</f>
        <v>2.8840190111615351</v>
      </c>
      <c r="I39" s="1124" t="s">
        <v>190</v>
      </c>
      <c r="J39" s="1167">
        <f>+Stores!D89</f>
        <v>1093</v>
      </c>
      <c r="K39" s="598"/>
      <c r="L39" s="1167">
        <f>AVERAGE(J39,J35)</f>
        <v>1086</v>
      </c>
      <c r="M39" s="598"/>
      <c r="N39" s="1120">
        <f>(L39/L32-1)*100</f>
        <v>3.9234449760765511</v>
      </c>
      <c r="O39" s="1124" t="s">
        <v>190</v>
      </c>
      <c r="P39" s="1159">
        <f>H39/N39*100</f>
        <v>73.507313821068465</v>
      </c>
      <c r="Q39" s="1125" t="s">
        <v>190</v>
      </c>
      <c r="R39" s="598"/>
      <c r="S39" s="1160">
        <f>+'SegP&amp;L'!D74</f>
        <v>1739.5</v>
      </c>
      <c r="T39" s="598"/>
      <c r="U39" s="1161">
        <f>S39/L39</f>
        <v>1.6017495395948436</v>
      </c>
      <c r="V39" s="598"/>
      <c r="W39" s="1176"/>
      <c r="X39" s="1124" t="s">
        <v>190</v>
      </c>
      <c r="Y39" s="598"/>
      <c r="Z39" s="1129">
        <f>+Stores!G89</f>
        <v>33.019000000000005</v>
      </c>
      <c r="AA39" s="598"/>
      <c r="AB39" s="1163">
        <f>AVERAGE(Z39,Z35)</f>
        <v>32.788000000000004</v>
      </c>
      <c r="AC39" s="598"/>
      <c r="AD39" s="1120">
        <f>(AB39/AB32-1)*100</f>
        <v>3.9107561640362665</v>
      </c>
      <c r="AE39" s="1124" t="s">
        <v>190</v>
      </c>
      <c r="AF39" s="1159"/>
      <c r="AG39" s="1125" t="s">
        <v>190</v>
      </c>
      <c r="AH39" s="598"/>
      <c r="AI39" s="1160"/>
      <c r="AJ39" s="598"/>
      <c r="AK39" s="1164"/>
      <c r="AL39" s="598"/>
      <c r="AM39" s="1120"/>
      <c r="AN39" s="1124" t="s">
        <v>190</v>
      </c>
      <c r="AP39" s="487"/>
      <c r="AQ39" s="487"/>
      <c r="AR39" s="487"/>
      <c r="AS39" s="487"/>
      <c r="AT39" s="487"/>
      <c r="AU39" s="487"/>
      <c r="AV39" s="487"/>
      <c r="AW39" s="487"/>
      <c r="AX39" s="487"/>
      <c r="AY39" s="487"/>
      <c r="AZ39" s="487"/>
      <c r="BA39" s="487"/>
      <c r="BB39" s="487"/>
      <c r="BC39" s="487"/>
      <c r="BD39" s="487"/>
      <c r="BE39" s="487"/>
      <c r="BF39" s="487"/>
      <c r="BG39" s="487"/>
      <c r="BH39" s="487"/>
    </row>
    <row r="40" spans="1:60" hidden="1" outlineLevel="1">
      <c r="A40" s="598" t="s">
        <v>528</v>
      </c>
      <c r="B40" s="1157" t="s">
        <v>515</v>
      </c>
      <c r="C40" s="598"/>
      <c r="D40" s="1120">
        <f>(S40/S33-1)*100</f>
        <v>10.498795771126579</v>
      </c>
      <c r="E40" s="1124"/>
      <c r="F40" s="1158">
        <f>+'SegP&amp;L'!F75</f>
        <v>7</v>
      </c>
      <c r="G40" s="1124"/>
      <c r="H40" s="1120">
        <f>D40-F40</f>
        <v>3.4987957711265789</v>
      </c>
      <c r="I40" s="1124"/>
      <c r="J40" s="1167">
        <f>+Stores!D90</f>
        <v>1104</v>
      </c>
      <c r="K40" s="598"/>
      <c r="L40" s="1167">
        <f>AVERAGE(J40,J39)</f>
        <v>1098.5</v>
      </c>
      <c r="M40" s="598"/>
      <c r="N40" s="1120">
        <f>(L40/L33-1)*100</f>
        <v>4.3209876543209846</v>
      </c>
      <c r="O40" s="1124"/>
      <c r="P40" s="1159">
        <f>H40/N40*100</f>
        <v>80.972130703215171</v>
      </c>
      <c r="Q40" s="1125"/>
      <c r="R40" s="598"/>
      <c r="S40" s="1165">
        <f>+'SegP&amp;L'!D75</f>
        <v>1880.6</v>
      </c>
      <c r="T40" s="598"/>
      <c r="U40" s="1161">
        <f>S40/L40</f>
        <v>1.711970869367319</v>
      </c>
      <c r="V40" s="598"/>
      <c r="W40" s="1176"/>
      <c r="X40" s="1124"/>
      <c r="Y40" s="598"/>
      <c r="Z40" s="1129">
        <f>+Stores!G90</f>
        <v>33.287999999999997</v>
      </c>
      <c r="AA40" s="598"/>
      <c r="AB40" s="1163">
        <f>AVERAGE(Z40,Z39)</f>
        <v>33.153500000000001</v>
      </c>
      <c r="AC40" s="598"/>
      <c r="AD40" s="1120">
        <f>(AB40/AB33-1)*100</f>
        <v>4.3087717090360078</v>
      </c>
      <c r="AE40" s="1124"/>
      <c r="AF40" s="1159"/>
      <c r="AG40" s="1125"/>
      <c r="AH40" s="598"/>
      <c r="AI40" s="1165"/>
      <c r="AJ40" s="598"/>
      <c r="AK40" s="1167"/>
      <c r="AL40" s="598"/>
      <c r="AM40" s="1120"/>
      <c r="AN40" s="1124"/>
      <c r="AP40" s="487"/>
      <c r="AQ40" s="487"/>
      <c r="AR40" s="487"/>
      <c r="AS40" s="487"/>
      <c r="AT40" s="487"/>
      <c r="AU40" s="487"/>
      <c r="AV40" s="487"/>
      <c r="AW40" s="487"/>
      <c r="AX40" s="487"/>
      <c r="AY40" s="487"/>
      <c r="AZ40" s="487"/>
      <c r="BA40" s="487"/>
      <c r="BB40" s="487"/>
      <c r="BC40" s="487"/>
      <c r="BD40" s="487"/>
      <c r="BE40" s="487"/>
      <c r="BF40" s="487"/>
      <c r="BG40" s="487"/>
      <c r="BH40" s="487"/>
    </row>
    <row r="41" spans="1:60" hidden="1" outlineLevel="1">
      <c r="A41" s="598" t="s">
        <v>529</v>
      </c>
      <c r="B41" s="1157" t="s">
        <v>516</v>
      </c>
      <c r="C41" s="598"/>
      <c r="D41" s="1120">
        <f>(S41/S34-1)*100</f>
        <v>7.8196928140428001</v>
      </c>
      <c r="E41" s="1124"/>
      <c r="F41" s="1158">
        <f>+'SegP&amp;L'!F76</f>
        <v>5</v>
      </c>
      <c r="G41" s="1124"/>
      <c r="H41" s="1120">
        <f>D41-F41</f>
        <v>2.8196928140428001</v>
      </c>
      <c r="I41" s="1124"/>
      <c r="J41" s="1167">
        <f>+Stores!D91</f>
        <v>1123</v>
      </c>
      <c r="K41" s="598"/>
      <c r="L41" s="1167">
        <f>AVERAGE(J41,J40)</f>
        <v>1113.5</v>
      </c>
      <c r="M41" s="598"/>
      <c r="N41" s="1120">
        <f>(L41/L34-1)*100</f>
        <v>4.6522556390977465</v>
      </c>
      <c r="O41" s="1124"/>
      <c r="P41" s="1159">
        <f>H41/N41*100</f>
        <v>60.609154629121974</v>
      </c>
      <c r="Q41" s="1125"/>
      <c r="R41" s="598"/>
      <c r="S41" s="1165">
        <f>+'SegP&amp;L'!D76</f>
        <v>1965.5530000000001</v>
      </c>
      <c r="T41" s="598"/>
      <c r="U41" s="1161">
        <f>S41/L41</f>
        <v>1.7652025145936239</v>
      </c>
      <c r="V41" s="598"/>
      <c r="W41" s="1176"/>
      <c r="X41" s="1124"/>
      <c r="Y41" s="598"/>
      <c r="Z41" s="1129">
        <f>+Stores!G91</f>
        <v>33.875</v>
      </c>
      <c r="AA41" s="598"/>
      <c r="AB41" s="1163">
        <f>AVERAGE(Z41,Z40)</f>
        <v>33.581499999999998</v>
      </c>
      <c r="AC41" s="598"/>
      <c r="AD41" s="1120">
        <f>(AB41/AB34-1)*100</f>
        <v>4.5403604893689664</v>
      </c>
      <c r="AE41" s="1124"/>
      <c r="AF41" s="1159"/>
      <c r="AG41" s="1125"/>
      <c r="AH41" s="598"/>
      <c r="AI41" s="1165"/>
      <c r="AJ41" s="598"/>
      <c r="AK41" s="1167"/>
      <c r="AL41" s="598"/>
      <c r="AM41" s="1176"/>
      <c r="AN41" s="1124"/>
      <c r="AP41" s="487"/>
      <c r="AQ41" s="487"/>
      <c r="AR41" s="487"/>
      <c r="AS41" s="487"/>
      <c r="AT41" s="487"/>
      <c r="AU41" s="487"/>
      <c r="AV41" s="487"/>
      <c r="AW41" s="487"/>
      <c r="AX41" s="487"/>
      <c r="AY41" s="487"/>
      <c r="AZ41" s="487"/>
      <c r="BA41" s="487"/>
      <c r="BB41" s="487"/>
      <c r="BC41" s="487"/>
      <c r="BD41" s="487"/>
      <c r="BE41" s="487"/>
      <c r="BF41" s="487"/>
      <c r="BG41" s="487"/>
      <c r="BH41" s="487"/>
    </row>
    <row r="42" spans="1:60" hidden="1" outlineLevel="1">
      <c r="A42" s="598" t="s">
        <v>530</v>
      </c>
      <c r="B42" s="1157" t="s">
        <v>517</v>
      </c>
      <c r="C42" s="598"/>
      <c r="D42" s="1168">
        <f>(S42/S35-1)*100</f>
        <v>7.3450097847358231</v>
      </c>
      <c r="E42" s="1124"/>
      <c r="F42" s="1169">
        <f>+'SegP&amp;L'!F77</f>
        <v>1</v>
      </c>
      <c r="G42" s="1124"/>
      <c r="H42" s="1168">
        <f>D42-F42</f>
        <v>6.3450097847358231</v>
      </c>
      <c r="I42" s="1124"/>
      <c r="J42" s="1167">
        <f>yrSales!K$92</f>
        <v>1137</v>
      </c>
      <c r="K42" s="598"/>
      <c r="L42" s="1175">
        <f>AVERAGE(J42,J41)</f>
        <v>1130</v>
      </c>
      <c r="M42" s="598"/>
      <c r="N42" s="1168">
        <f>(L42/L35-1)*100</f>
        <v>5.1162790697674376</v>
      </c>
      <c r="O42" s="1124"/>
      <c r="P42" s="1171">
        <f>H42/N42*100</f>
        <v>124.01610033801846</v>
      </c>
      <c r="Q42" s="1125"/>
      <c r="R42" s="598"/>
      <c r="S42" s="1172">
        <f>+'SegP&amp;L'!D77</f>
        <v>2194.1320000000001</v>
      </c>
      <c r="T42" s="598"/>
      <c r="U42" s="1177">
        <f>S42/L42</f>
        <v>1.9417097345132743</v>
      </c>
      <c r="V42" s="598"/>
      <c r="W42" s="1169"/>
      <c r="X42" s="1124"/>
      <c r="Y42" s="598"/>
      <c r="Z42" s="1129">
        <f>yrSales!K$110</f>
        <v>34.313000000000002</v>
      </c>
      <c r="AA42" s="598"/>
      <c r="AB42" s="1174">
        <f>AVERAGE(Z42,Z41)</f>
        <v>34.094000000000001</v>
      </c>
      <c r="AC42" s="598"/>
      <c r="AD42" s="1168">
        <f>(AB42/AB35-1)*100</f>
        <v>5.064636908522191</v>
      </c>
      <c r="AE42" s="1124"/>
      <c r="AF42" s="1171"/>
      <c r="AG42" s="1125"/>
      <c r="AH42" s="598"/>
      <c r="AI42" s="1172"/>
      <c r="AJ42" s="598"/>
      <c r="AK42" s="1175"/>
      <c r="AL42" s="598"/>
      <c r="AM42" s="1169"/>
      <c r="AN42" s="1124"/>
      <c r="AP42" s="487"/>
      <c r="AQ42" s="487"/>
      <c r="AR42" s="487"/>
      <c r="AS42" s="487"/>
      <c r="AT42" s="487"/>
      <c r="AU42" s="487"/>
      <c r="AV42" s="487"/>
      <c r="AW42" s="487"/>
      <c r="AX42" s="487"/>
      <c r="AY42" s="487"/>
      <c r="AZ42" s="487"/>
      <c r="BA42" s="487"/>
      <c r="BB42" s="487"/>
      <c r="BC42" s="487"/>
      <c r="BD42" s="487"/>
      <c r="BE42" s="487"/>
      <c r="BF42" s="487"/>
      <c r="BG42" s="487"/>
      <c r="BH42" s="487"/>
    </row>
    <row r="43" spans="1:60" hidden="1" outlineLevel="1">
      <c r="A43" s="598"/>
      <c r="B43" s="1157" t="s">
        <v>531</v>
      </c>
      <c r="C43" s="598"/>
      <c r="D43" s="1120">
        <f>(S43/S36-1)*100</f>
        <v>8.108319176802059</v>
      </c>
      <c r="E43" s="1124"/>
      <c r="F43" s="1176">
        <f>yrSales!K$125*100</f>
        <v>4</v>
      </c>
      <c r="G43" s="1124"/>
      <c r="H43" s="1120">
        <f>D43-F43</f>
        <v>4.108319176802059</v>
      </c>
      <c r="I43" s="1124"/>
      <c r="J43" s="1167"/>
      <c r="K43" s="598"/>
      <c r="L43" s="1167">
        <f>AVERAGE(L39:L42)</f>
        <v>1107</v>
      </c>
      <c r="M43" s="598"/>
      <c r="N43" s="1120">
        <f>(L43/L36-1)*100</f>
        <v>4.5079065376445682</v>
      </c>
      <c r="O43" s="1124"/>
      <c r="P43" s="1159">
        <f>H43/N43*100</f>
        <v>91.135855246650749</v>
      </c>
      <c r="Q43" s="1125"/>
      <c r="R43" s="598"/>
      <c r="S43" s="1160">
        <f>yrSales!K$65</f>
        <v>7779.826</v>
      </c>
      <c r="T43" s="598"/>
      <c r="U43" s="1161">
        <f>+S43/L43</f>
        <v>7.0278464317976512</v>
      </c>
      <c r="V43" s="598"/>
      <c r="W43" s="1176">
        <f>(U43/U36-1)*100</f>
        <v>3.4451102872877781</v>
      </c>
      <c r="X43" s="1124"/>
      <c r="Y43" s="598"/>
      <c r="Z43" s="598"/>
      <c r="AA43" s="598"/>
      <c r="AB43" s="1163">
        <f>AVERAGE(AB39:AB42)</f>
        <v>33.404249999999998</v>
      </c>
      <c r="AC43" s="598"/>
      <c r="AD43" s="1120">
        <f>(AB43/AB36-1)*100</f>
        <v>4.389912342380331</v>
      </c>
      <c r="AE43" s="1124"/>
      <c r="AF43" s="1159">
        <f>+H43/AD43*100</f>
        <v>93.585449010911574</v>
      </c>
      <c r="AG43" s="1125"/>
      <c r="AH43" s="598"/>
      <c r="AI43" s="1160">
        <f>+S43</f>
        <v>7779.826</v>
      </c>
      <c r="AJ43" s="598"/>
      <c r="AK43" s="1164">
        <f>AI43/AB43</f>
        <v>232.89928676740237</v>
      </c>
      <c r="AL43" s="598"/>
      <c r="AM43" s="1176">
        <f>(AK43/AK36-1)*100</f>
        <v>3.5620365521775721</v>
      </c>
      <c r="AN43" s="1124"/>
      <c r="AP43" s="487"/>
      <c r="AQ43" s="487"/>
      <c r="AR43" s="487"/>
      <c r="AS43" s="487"/>
      <c r="AT43" s="487"/>
      <c r="AU43" s="487"/>
      <c r="AV43" s="487"/>
      <c r="AW43" s="487"/>
      <c r="AX43" s="487"/>
      <c r="AY43" s="487"/>
      <c r="AZ43" s="487"/>
      <c r="BA43" s="487"/>
      <c r="BB43" s="487"/>
      <c r="BC43" s="487"/>
      <c r="BD43" s="487"/>
      <c r="BE43" s="487"/>
      <c r="BF43" s="487"/>
      <c r="BG43" s="487"/>
      <c r="BH43" s="487"/>
    </row>
    <row r="44" spans="1:60" hidden="1" outlineLevel="1">
      <c r="A44" s="598"/>
      <c r="B44" s="1157"/>
      <c r="C44" s="598"/>
      <c r="D44" s="598"/>
      <c r="E44" s="1124"/>
      <c r="F44" s="598"/>
      <c r="G44" s="1124"/>
      <c r="H44" s="598"/>
      <c r="I44" s="1124"/>
      <c r="J44" s="1167"/>
      <c r="K44" s="598"/>
      <c r="L44" s="1167"/>
      <c r="M44" s="598"/>
      <c r="N44" s="598"/>
      <c r="O44" s="1124"/>
      <c r="P44" s="1125"/>
      <c r="Q44" s="1125"/>
      <c r="R44" s="598"/>
      <c r="S44" s="598"/>
      <c r="T44" s="598"/>
      <c r="U44" s="598"/>
      <c r="V44" s="598"/>
      <c r="W44" s="598"/>
      <c r="X44" s="1124"/>
      <c r="Y44" s="598"/>
      <c r="Z44" s="598"/>
      <c r="AA44" s="598"/>
      <c r="AB44" s="598"/>
      <c r="AC44" s="598"/>
      <c r="AD44" s="598"/>
      <c r="AE44" s="1124"/>
      <c r="AF44" s="1125"/>
      <c r="AG44" s="1125"/>
      <c r="AH44" s="598"/>
      <c r="AI44" s="598"/>
      <c r="AJ44" s="598"/>
      <c r="AK44" s="598"/>
      <c r="AL44" s="598"/>
      <c r="AM44" s="598"/>
      <c r="AN44" s="1124"/>
      <c r="AP44" s="487"/>
      <c r="AQ44" s="487"/>
      <c r="AR44" s="487"/>
      <c r="AS44" s="487"/>
      <c r="AT44" s="487"/>
      <c r="AU44" s="487"/>
      <c r="AV44" s="487"/>
      <c r="AW44" s="487"/>
      <c r="AX44" s="487"/>
      <c r="AY44" s="487"/>
      <c r="AZ44" s="487"/>
      <c r="BA44" s="487"/>
      <c r="BB44" s="487"/>
      <c r="BC44" s="487"/>
      <c r="BD44" s="487"/>
      <c r="BE44" s="487"/>
      <c r="BF44" s="487"/>
      <c r="BG44" s="487"/>
      <c r="BH44" s="487"/>
    </row>
    <row r="45" spans="1:60" hidden="1" outlineLevel="1">
      <c r="A45" s="1154"/>
      <c r="B45" s="1155">
        <f>B38+1</f>
        <v>2000</v>
      </c>
      <c r="C45" s="598"/>
      <c r="D45" s="598"/>
      <c r="E45" s="1124"/>
      <c r="F45" s="598"/>
      <c r="G45" s="1124"/>
      <c r="H45" s="598"/>
      <c r="I45" s="1124"/>
      <c r="J45" s="1167"/>
      <c r="K45" s="598"/>
      <c r="L45" s="1167"/>
      <c r="M45" s="598"/>
      <c r="N45" s="598"/>
      <c r="O45" s="1124"/>
      <c r="P45" s="1125"/>
      <c r="Q45" s="1125"/>
      <c r="R45" s="598"/>
      <c r="S45" s="598"/>
      <c r="T45" s="598"/>
      <c r="U45" s="598"/>
      <c r="V45" s="598"/>
      <c r="W45" s="598"/>
      <c r="X45" s="1124"/>
      <c r="Y45" s="598"/>
      <c r="Z45" s="598"/>
      <c r="AA45" s="598"/>
      <c r="AB45" s="598"/>
      <c r="AC45" s="598"/>
      <c r="AD45" s="598"/>
      <c r="AE45" s="1124"/>
      <c r="AF45" s="1125"/>
      <c r="AG45" s="1125"/>
      <c r="AH45" s="598"/>
      <c r="AI45" s="598"/>
      <c r="AJ45" s="598"/>
      <c r="AK45" s="598"/>
      <c r="AL45" s="598"/>
      <c r="AM45" s="598"/>
      <c r="AN45" s="1124"/>
      <c r="AP45" s="487"/>
      <c r="AQ45" s="487"/>
      <c r="AR45" s="487"/>
      <c r="AS45" s="487"/>
      <c r="AT45" s="487"/>
      <c r="AU45" s="487"/>
      <c r="AV45" s="487"/>
      <c r="AW45" s="487"/>
      <c r="AX45" s="487"/>
      <c r="AY45" s="487"/>
      <c r="AZ45" s="487"/>
      <c r="BA45" s="487"/>
      <c r="BB45" s="487"/>
      <c r="BC45" s="487"/>
      <c r="BD45" s="487"/>
      <c r="BE45" s="487"/>
      <c r="BF45" s="487"/>
      <c r="BG45" s="487"/>
      <c r="BH45" s="487"/>
    </row>
    <row r="46" spans="1:60" hidden="1" outlineLevel="1">
      <c r="A46" s="598" t="s">
        <v>527</v>
      </c>
      <c r="B46" s="1157" t="s">
        <v>514</v>
      </c>
      <c r="C46" s="598"/>
      <c r="D46" s="1120">
        <f>(S46/S39-1)*100</f>
        <v>6.1456740442656033</v>
      </c>
      <c r="E46" s="1124" t="s">
        <v>190</v>
      </c>
      <c r="F46" s="1158">
        <f>+'SegP&amp;L'!F81</f>
        <v>2</v>
      </c>
      <c r="G46" s="1124" t="s">
        <v>190</v>
      </c>
      <c r="H46" s="1120">
        <f>D46-F46</f>
        <v>4.1456740442656033</v>
      </c>
      <c r="I46" s="1124" t="s">
        <v>190</v>
      </c>
      <c r="J46" s="1167">
        <f>+Stores!D97</f>
        <v>1147</v>
      </c>
      <c r="K46" s="598" t="s">
        <v>315</v>
      </c>
      <c r="L46" s="1167">
        <f>AVERAGE(J46,J42)</f>
        <v>1142</v>
      </c>
      <c r="M46" s="598"/>
      <c r="N46" s="1120">
        <f>(L46/L39-1)*100</f>
        <v>5.1565377532228451</v>
      </c>
      <c r="O46" s="1124" t="s">
        <v>190</v>
      </c>
      <c r="P46" s="1159">
        <f>H46/N46*100</f>
        <v>80.396464501293522</v>
      </c>
      <c r="Q46" s="1125" t="s">
        <v>190</v>
      </c>
      <c r="R46" s="598"/>
      <c r="S46" s="1160">
        <f>+'SegP&amp;L'!D81</f>
        <v>1846.404</v>
      </c>
      <c r="T46" s="598" t="s">
        <v>315</v>
      </c>
      <c r="U46" s="1161">
        <f>S46/L46</f>
        <v>1.616816112084063</v>
      </c>
      <c r="V46" s="598"/>
      <c r="W46" s="1176">
        <f>(U46/U39-1)*100</f>
        <v>0.9406322347394136</v>
      </c>
      <c r="X46" s="1124" t="s">
        <v>190</v>
      </c>
      <c r="Y46" s="598"/>
      <c r="Z46" s="1129">
        <f>+Stores!G97</f>
        <v>34.580999999999996</v>
      </c>
      <c r="AA46" s="598" t="s">
        <v>315</v>
      </c>
      <c r="AB46" s="1163">
        <f>AVERAGE(Z46,Z42)</f>
        <v>34.447000000000003</v>
      </c>
      <c r="AC46" s="598"/>
      <c r="AD46" s="1120">
        <f>(AB46/AB39-1)*100</f>
        <v>5.0597779675491061</v>
      </c>
      <c r="AE46" s="1124" t="s">
        <v>190</v>
      </c>
      <c r="AF46" s="1159"/>
      <c r="AG46" s="1125" t="s">
        <v>190</v>
      </c>
      <c r="AH46" s="598"/>
      <c r="AI46" s="1160">
        <f>+S46</f>
        <v>1846.404</v>
      </c>
      <c r="AJ46" s="598" t="s">
        <v>315</v>
      </c>
      <c r="AK46" s="1164">
        <f>AI46/AB46</f>
        <v>53.601300548668966</v>
      </c>
      <c r="AL46" s="598"/>
      <c r="AM46" s="1176"/>
      <c r="AN46" s="1124" t="s">
        <v>190</v>
      </c>
      <c r="AP46" s="487"/>
      <c r="AQ46" s="487"/>
      <c r="AR46" s="487"/>
      <c r="AS46" s="487"/>
      <c r="AT46" s="487"/>
      <c r="AU46" s="487"/>
      <c r="AV46" s="487"/>
      <c r="AW46" s="487"/>
      <c r="AX46" s="487"/>
      <c r="AY46" s="487"/>
      <c r="AZ46" s="487"/>
      <c r="BA46" s="487"/>
      <c r="BB46" s="487"/>
      <c r="BC46" s="487"/>
      <c r="BD46" s="487"/>
      <c r="BE46" s="487"/>
      <c r="BF46" s="487"/>
      <c r="BG46" s="487"/>
      <c r="BH46" s="487"/>
    </row>
    <row r="47" spans="1:60" hidden="1" outlineLevel="1">
      <c r="A47" s="598" t="s">
        <v>528</v>
      </c>
      <c r="B47" s="1157" t="s">
        <v>515</v>
      </c>
      <c r="C47" s="598"/>
      <c r="D47" s="1120">
        <f>(S47/S40-1)*100</f>
        <v>3.9815484419866154</v>
      </c>
      <c r="E47" s="598"/>
      <c r="F47" s="1158">
        <f>+'SegP&amp;L'!F82</f>
        <v>0</v>
      </c>
      <c r="G47" s="598"/>
      <c r="H47" s="1120">
        <f>D47-F47</f>
        <v>3.9815484419866154</v>
      </c>
      <c r="I47" s="598"/>
      <c r="J47" s="1167">
        <f>+Stores!D98</f>
        <v>1158</v>
      </c>
      <c r="K47" s="1127"/>
      <c r="L47" s="1167">
        <f>AVERAGE(J47,J46)</f>
        <v>1152.5</v>
      </c>
      <c r="M47" s="598"/>
      <c r="N47" s="1120">
        <f>(L47/L40-1)*100</f>
        <v>4.9157942649066921</v>
      </c>
      <c r="O47" s="1124"/>
      <c r="P47" s="1159">
        <f>H47/N47*100</f>
        <v>80.995017843005485</v>
      </c>
      <c r="Q47" s="1125"/>
      <c r="R47" s="598"/>
      <c r="S47" s="1165">
        <f>+'SegP&amp;L'!D82</f>
        <v>1955.4770000000001</v>
      </c>
      <c r="T47" s="598"/>
      <c r="U47" s="1161">
        <f>S47/L47</f>
        <v>1.6967262472885034</v>
      </c>
      <c r="V47" s="598"/>
      <c r="W47" s="1176">
        <f>(U47/U40-1)*100</f>
        <v>-0.89047204900452037</v>
      </c>
      <c r="X47" s="1124"/>
      <c r="Y47" s="598"/>
      <c r="Z47" s="1129">
        <f>+Stores!G98</f>
        <v>34.938000000000002</v>
      </c>
      <c r="AA47" s="1127"/>
      <c r="AB47" s="1163">
        <f>AVERAGE(Z47,Z46)</f>
        <v>34.759500000000003</v>
      </c>
      <c r="AC47" s="598"/>
      <c r="AD47" s="1120">
        <f>(AB47/AB40-1)*100</f>
        <v>4.8441341034883179</v>
      </c>
      <c r="AE47" s="1124"/>
      <c r="AF47" s="1159"/>
      <c r="AG47" s="1125"/>
      <c r="AH47" s="598"/>
      <c r="AI47" s="1165">
        <f>+S47</f>
        <v>1955.4770000000001</v>
      </c>
      <c r="AJ47" s="598"/>
      <c r="AK47" s="1167">
        <f>AI47/AB47</f>
        <v>56.257339720076523</v>
      </c>
      <c r="AL47" s="598"/>
      <c r="AM47" s="1176"/>
      <c r="AN47" s="1124"/>
      <c r="AP47" s="487"/>
      <c r="AQ47" s="487"/>
      <c r="AR47" s="487"/>
      <c r="AS47" s="487"/>
      <c r="AT47" s="487"/>
      <c r="AU47" s="487"/>
      <c r="AV47" s="487"/>
      <c r="AW47" s="487"/>
      <c r="AX47" s="487"/>
      <c r="AY47" s="487"/>
      <c r="AZ47" s="487"/>
      <c r="BA47" s="487"/>
      <c r="BB47" s="487"/>
      <c r="BC47" s="487"/>
      <c r="BD47" s="487"/>
      <c r="BE47" s="487"/>
      <c r="BF47" s="487"/>
      <c r="BG47" s="487"/>
      <c r="BH47" s="487"/>
    </row>
    <row r="48" spans="1:60" hidden="1" outlineLevel="1">
      <c r="A48" s="598" t="s">
        <v>529</v>
      </c>
      <c r="B48" s="1157" t="s">
        <v>516</v>
      </c>
      <c r="C48" s="598"/>
      <c r="D48" s="1120">
        <f>(S48/S41-1)*100</f>
        <v>7.2089127080267046</v>
      </c>
      <c r="E48" s="598"/>
      <c r="F48" s="1158">
        <f>+'SegP&amp;L'!F83</f>
        <v>3</v>
      </c>
      <c r="G48" s="598"/>
      <c r="H48" s="1120">
        <f>D48-F48</f>
        <v>4.2089127080267046</v>
      </c>
      <c r="I48" s="598"/>
      <c r="J48" s="1167">
        <f>+Stores!D99</f>
        <v>1187</v>
      </c>
      <c r="K48" s="1127"/>
      <c r="L48" s="1167">
        <f>AVERAGE(J48,J47)</f>
        <v>1172.5</v>
      </c>
      <c r="M48" s="598"/>
      <c r="N48" s="1120">
        <f>(L48/L41-1)*100</f>
        <v>5.2986079928154517</v>
      </c>
      <c r="O48" s="1124"/>
      <c r="P48" s="1159">
        <f>H48/N48*100</f>
        <v>79.434310176063235</v>
      </c>
      <c r="Q48" s="1125"/>
      <c r="R48" s="598"/>
      <c r="S48" s="1165">
        <f>+'SegP&amp;L'!D83</f>
        <v>2107.248</v>
      </c>
      <c r="T48" s="598"/>
      <c r="U48" s="1161">
        <f>S48/L48</f>
        <v>1.7972264392324093</v>
      </c>
      <c r="V48" s="598"/>
      <c r="W48" s="1176">
        <f>(U48/U41-1)*100</f>
        <v>1.8141785077933514</v>
      </c>
      <c r="X48" s="1124"/>
      <c r="Y48" s="598"/>
      <c r="Z48" s="1129">
        <f>+Stores!G99</f>
        <v>35.789000000000001</v>
      </c>
      <c r="AA48" s="1127"/>
      <c r="AB48" s="1163">
        <f>AVERAGE(Z48,Z47)</f>
        <v>35.363500000000002</v>
      </c>
      <c r="AC48" s="598"/>
      <c r="AD48" s="1120">
        <f>(AB48/AB41-1)*100</f>
        <v>5.3064931584354547</v>
      </c>
      <c r="AE48" s="1124"/>
      <c r="AF48" s="1159"/>
      <c r="AG48" s="1125"/>
      <c r="AH48" s="598"/>
      <c r="AI48" s="1165">
        <f>+S48</f>
        <v>2107.248</v>
      </c>
      <c r="AJ48" s="598"/>
      <c r="AK48" s="1167">
        <f>AI48/AB48</f>
        <v>59.588219491848939</v>
      </c>
      <c r="AL48" s="598"/>
      <c r="AM48" s="1176"/>
      <c r="AN48" s="1124"/>
      <c r="AP48" s="487"/>
      <c r="AQ48" s="487"/>
      <c r="AR48" s="487"/>
      <c r="AS48" s="487"/>
      <c r="AT48" s="487"/>
      <c r="AU48" s="487"/>
      <c r="AV48" s="487"/>
      <c r="AW48" s="487"/>
      <c r="AX48" s="487"/>
      <c r="AY48" s="487"/>
      <c r="AZ48" s="487"/>
      <c r="BA48" s="487"/>
      <c r="BB48" s="487"/>
      <c r="BC48" s="487"/>
      <c r="BD48" s="487"/>
      <c r="BE48" s="487"/>
      <c r="BF48" s="487"/>
      <c r="BG48" s="487"/>
      <c r="BH48" s="487"/>
    </row>
    <row r="49" spans="1:60" hidden="1" outlineLevel="1">
      <c r="A49" s="598" t="s">
        <v>530</v>
      </c>
      <c r="B49" s="1157" t="s">
        <v>517</v>
      </c>
      <c r="C49" s="598"/>
      <c r="D49" s="1168">
        <f>(S49/S42-1)*100</f>
        <v>5.7064479256489609</v>
      </c>
      <c r="E49" s="598"/>
      <c r="F49" s="1169">
        <f>+'SegP&amp;L'!F84</f>
        <v>2</v>
      </c>
      <c r="G49" s="598"/>
      <c r="H49" s="1168">
        <f>D49-F49</f>
        <v>3.7064479256489609</v>
      </c>
      <c r="I49" s="598"/>
      <c r="J49" s="1167">
        <f>yrSales!L$92</f>
        <v>1196</v>
      </c>
      <c r="K49" s="1127"/>
      <c r="L49" s="1175">
        <f>AVERAGE(J49,J48)</f>
        <v>1191.5</v>
      </c>
      <c r="M49" s="598"/>
      <c r="N49" s="1168">
        <f>(L49/L42-1)*100</f>
        <v>5.4424778761061887</v>
      </c>
      <c r="O49" s="1124"/>
      <c r="P49" s="1171">
        <f>H49/N49*100</f>
        <v>68.102213918428134</v>
      </c>
      <c r="Q49" s="1125"/>
      <c r="R49" s="598"/>
      <c r="S49" s="1172">
        <f>+'SegP&amp;L'!D84</f>
        <v>2319.3389999999999</v>
      </c>
      <c r="T49" s="598"/>
      <c r="U49" s="1177">
        <f>S49/L49</f>
        <v>1.9465707091900966</v>
      </c>
      <c r="V49" s="598"/>
      <c r="W49" s="1169">
        <f>(U49/U42-1)*100</f>
        <v>0.25034507426213715</v>
      </c>
      <c r="X49" s="1124"/>
      <c r="Y49" s="598"/>
      <c r="Z49" s="1129">
        <f>yrSales!L$110</f>
        <v>36.064999999999998</v>
      </c>
      <c r="AA49" s="1127"/>
      <c r="AB49" s="1174">
        <f>AVERAGE(Z49,Z48)</f>
        <v>35.927</v>
      </c>
      <c r="AC49" s="598"/>
      <c r="AD49" s="1168">
        <f>(AB49/AB42-1)*100</f>
        <v>5.3763125476623319</v>
      </c>
      <c r="AE49" s="1124"/>
      <c r="AF49" s="1171"/>
      <c r="AG49" s="1125"/>
      <c r="AH49" s="598"/>
      <c r="AI49" s="1172">
        <f>+S49</f>
        <v>2319.3389999999999</v>
      </c>
      <c r="AJ49" s="598"/>
      <c r="AK49" s="1175">
        <f>AI49/AB49</f>
        <v>64.556990564199623</v>
      </c>
      <c r="AL49" s="598"/>
      <c r="AM49" s="1169"/>
      <c r="AN49" s="1124"/>
      <c r="AP49" s="487"/>
      <c r="AQ49" s="487"/>
      <c r="AR49" s="487"/>
      <c r="AS49" s="487"/>
      <c r="AT49" s="487"/>
      <c r="AU49" s="487"/>
      <c r="AV49" s="487"/>
      <c r="AW49" s="487"/>
      <c r="AX49" s="487"/>
      <c r="AY49" s="487"/>
      <c r="AZ49" s="487"/>
      <c r="BA49" s="487"/>
      <c r="BB49" s="487"/>
      <c r="BC49" s="487"/>
      <c r="BD49" s="487"/>
      <c r="BE49" s="487"/>
      <c r="BF49" s="487"/>
      <c r="BG49" s="487"/>
      <c r="BH49" s="487"/>
    </row>
    <row r="50" spans="1:60" hidden="1" outlineLevel="1">
      <c r="A50" s="598"/>
      <c r="B50" s="1157" t="s">
        <v>531</v>
      </c>
      <c r="C50" s="598"/>
      <c r="D50" s="1120">
        <f>(S50/S43-1)*100</f>
        <v>5.7667356570699768</v>
      </c>
      <c r="E50" s="598"/>
      <c r="F50" s="1176">
        <f>yrSales!L$125*100</f>
        <v>2</v>
      </c>
      <c r="G50" s="598"/>
      <c r="H50" s="1120">
        <f>D50-F50</f>
        <v>3.7667356570699768</v>
      </c>
      <c r="I50" s="598"/>
      <c r="J50" s="1167"/>
      <c r="K50" s="598"/>
      <c r="L50" s="1167">
        <f>AVERAGE(L46:L49)</f>
        <v>1164.625</v>
      </c>
      <c r="M50" s="598"/>
      <c r="N50" s="1120">
        <f>(L50/L43-1)*100</f>
        <v>5.2055103884372178</v>
      </c>
      <c r="O50" s="1124"/>
      <c r="P50" s="1159">
        <f>H50/N50*100</f>
        <v>72.360544423018908</v>
      </c>
      <c r="Q50" s="1125"/>
      <c r="R50" s="598"/>
      <c r="S50" s="1160">
        <f>yrSales!L$65</f>
        <v>8228.4680000000008</v>
      </c>
      <c r="T50" s="598"/>
      <c r="U50" s="1161">
        <f>SUM(U46:U49)</f>
        <v>7.0573395077950725</v>
      </c>
      <c r="V50" s="598"/>
      <c r="W50" s="1176">
        <f>(U50/U43-1)*100</f>
        <v>0.41966022285260252</v>
      </c>
      <c r="X50" s="1124"/>
      <c r="Y50" s="598"/>
      <c r="Z50" s="598"/>
      <c r="AA50" s="598"/>
      <c r="AB50" s="1163">
        <f>AVERAGE(AB46:AB49)</f>
        <v>35.124250000000004</v>
      </c>
      <c r="AC50" s="598"/>
      <c r="AD50" s="1120">
        <f>(AB50/AB43-1)*100</f>
        <v>5.1490454058989776</v>
      </c>
      <c r="AE50" s="1124"/>
      <c r="AF50" s="1159">
        <f>+H50/AD50*100</f>
        <v>73.154057891092492</v>
      </c>
      <c r="AG50" s="1125"/>
      <c r="AH50" s="598"/>
      <c r="AI50" s="1160">
        <f>+S50</f>
        <v>8228.4680000000008</v>
      </c>
      <c r="AJ50" s="598"/>
      <c r="AK50" s="1164">
        <f>AI50/AB50</f>
        <v>234.26743631536615</v>
      </c>
      <c r="AL50" s="598"/>
      <c r="AM50" s="1176">
        <f>(AK50/AK43-1)*100</f>
        <v>0.58744256667910832</v>
      </c>
      <c r="AN50" s="1124"/>
      <c r="AP50" s="487"/>
      <c r="AQ50" s="487"/>
      <c r="AR50" s="487"/>
      <c r="AS50" s="487"/>
      <c r="AT50" s="487"/>
      <c r="AU50" s="487"/>
      <c r="AV50" s="487"/>
      <c r="AW50" s="487"/>
      <c r="AX50" s="487"/>
      <c r="AY50" s="487"/>
      <c r="AZ50" s="487"/>
      <c r="BA50" s="487"/>
      <c r="BB50" s="487"/>
      <c r="BC50" s="487"/>
      <c r="BD50" s="487"/>
      <c r="BE50" s="487"/>
      <c r="BF50" s="487"/>
      <c r="BG50" s="487"/>
      <c r="BH50" s="487"/>
    </row>
    <row r="51" spans="1:60" hidden="1" outlineLevel="1" collapsed="1">
      <c r="A51" s="598"/>
      <c r="B51" s="1157"/>
      <c r="C51" s="598"/>
      <c r="D51" s="598"/>
      <c r="E51" s="598"/>
      <c r="F51" s="598"/>
      <c r="G51" s="598"/>
      <c r="H51" s="598"/>
      <c r="I51" s="598"/>
      <c r="J51" s="1167"/>
      <c r="K51" s="598"/>
      <c r="L51" s="1167"/>
      <c r="M51" s="598"/>
      <c r="N51" s="598"/>
      <c r="O51" s="1124"/>
      <c r="P51" s="1125"/>
      <c r="Q51" s="1125"/>
      <c r="R51" s="598"/>
      <c r="S51" s="598"/>
      <c r="T51" s="598"/>
      <c r="U51" s="598"/>
      <c r="V51" s="598"/>
      <c r="W51" s="598"/>
      <c r="X51" s="1124"/>
      <c r="Y51" s="598"/>
      <c r="Z51" s="598"/>
      <c r="AA51" s="598"/>
      <c r="AB51" s="598"/>
      <c r="AC51" s="598"/>
      <c r="AD51" s="598"/>
      <c r="AE51" s="1124"/>
      <c r="AF51" s="1125"/>
      <c r="AG51" s="1125"/>
      <c r="AH51" s="598"/>
      <c r="AI51" s="598"/>
      <c r="AJ51" s="598"/>
      <c r="AK51" s="598"/>
      <c r="AL51" s="598"/>
      <c r="AM51" s="598"/>
      <c r="AN51" s="598"/>
      <c r="AP51" s="487"/>
      <c r="AQ51" s="487"/>
      <c r="AR51" s="487"/>
      <c r="AS51" s="487"/>
      <c r="AT51" s="487"/>
      <c r="AU51" s="487"/>
      <c r="AV51" s="487"/>
      <c r="AW51" s="487"/>
      <c r="AX51" s="487"/>
      <c r="AY51" s="487"/>
      <c r="AZ51" s="487"/>
      <c r="BA51" s="487"/>
      <c r="BB51" s="487"/>
      <c r="BC51" s="487"/>
      <c r="BD51" s="487"/>
      <c r="BE51" s="487"/>
      <c r="BF51" s="487"/>
      <c r="BG51" s="487"/>
      <c r="BH51" s="487"/>
    </row>
    <row r="52" spans="1:60" hidden="1" outlineLevel="1">
      <c r="A52" s="1154"/>
      <c r="B52" s="1155">
        <f>B45+1</f>
        <v>2001</v>
      </c>
      <c r="C52" s="598"/>
      <c r="D52" s="598"/>
      <c r="E52" s="1124"/>
      <c r="F52" s="598"/>
      <c r="G52" s="1124"/>
      <c r="H52" s="598"/>
      <c r="I52" s="1124"/>
      <c r="J52" s="1167"/>
      <c r="K52" s="598"/>
      <c r="L52" s="1167"/>
      <c r="M52" s="598"/>
      <c r="N52" s="598"/>
      <c r="O52" s="1124"/>
      <c r="P52" s="1125"/>
      <c r="Q52" s="1125"/>
      <c r="R52" s="598"/>
      <c r="S52" s="598"/>
      <c r="T52" s="598"/>
      <c r="U52" s="598"/>
      <c r="V52" s="598"/>
      <c r="W52" s="598"/>
      <c r="X52" s="1124"/>
      <c r="Y52" s="598"/>
      <c r="Z52" s="598"/>
      <c r="AA52" s="598"/>
      <c r="AB52" s="598"/>
      <c r="AC52" s="598"/>
      <c r="AD52" s="598"/>
      <c r="AE52" s="1124"/>
      <c r="AF52" s="1125"/>
      <c r="AG52" s="1125"/>
      <c r="AH52" s="598"/>
      <c r="AI52" s="598"/>
      <c r="AJ52" s="598"/>
      <c r="AK52" s="598"/>
      <c r="AL52" s="598"/>
      <c r="AM52" s="598"/>
      <c r="AN52" s="1124"/>
      <c r="AP52" s="487"/>
      <c r="AQ52" s="487"/>
      <c r="AR52" s="487"/>
      <c r="AS52" s="487"/>
      <c r="AT52" s="487"/>
      <c r="AU52" s="487"/>
      <c r="AV52" s="487"/>
      <c r="AW52" s="487"/>
      <c r="AX52" s="487"/>
      <c r="AY52" s="487"/>
      <c r="AZ52" s="487"/>
      <c r="BA52" s="487"/>
      <c r="BB52" s="487"/>
      <c r="BC52" s="487"/>
      <c r="BD52" s="487"/>
      <c r="BE52" s="487"/>
      <c r="BF52" s="487"/>
      <c r="BG52" s="487"/>
      <c r="BH52" s="487"/>
    </row>
    <row r="53" spans="1:60" hidden="1" outlineLevel="1">
      <c r="A53" s="598" t="s">
        <v>527</v>
      </c>
      <c r="B53" s="1157" t="s">
        <v>514</v>
      </c>
      <c r="C53" s="598"/>
      <c r="D53" s="1120">
        <f>(S53/S46-1)*100</f>
        <v>4.1678310922203421</v>
      </c>
      <c r="E53" s="1124" t="s">
        <v>190</v>
      </c>
      <c r="F53" s="1158">
        <f>+'SegP&amp;L'!F88</f>
        <v>0</v>
      </c>
      <c r="G53" s="1124" t="s">
        <v>190</v>
      </c>
      <c r="H53" s="1120">
        <f>D53-F53</f>
        <v>4.1678310922203421</v>
      </c>
      <c r="I53" s="1124" t="s">
        <v>190</v>
      </c>
      <c r="J53" s="1167">
        <f>+Stores!D105</f>
        <v>1211</v>
      </c>
      <c r="K53" s="598" t="s">
        <v>315</v>
      </c>
      <c r="L53" s="1167">
        <f>AVERAGE(J53,J49)</f>
        <v>1203.5</v>
      </c>
      <c r="M53" s="598"/>
      <c r="N53" s="1120">
        <f>(L53/L46-1)*100</f>
        <v>5.3852889667250547</v>
      </c>
      <c r="O53" s="1124" t="s">
        <v>190</v>
      </c>
      <c r="P53" s="1159">
        <f>H53/N53*100</f>
        <v>77.392896053912537</v>
      </c>
      <c r="Q53" s="1125" t="s">
        <v>190</v>
      </c>
      <c r="R53" s="598"/>
      <c r="S53" s="1160">
        <f>+'SegP&amp;L'!D88</f>
        <v>1923.3589999999999</v>
      </c>
      <c r="T53" s="598" t="s">
        <v>315</v>
      </c>
      <c r="U53" s="1161">
        <f>S53/L53</f>
        <v>1.5981379310344828</v>
      </c>
      <c r="V53" s="598"/>
      <c r="W53" s="1176">
        <f>(U53/U46-1)*100</f>
        <v>-1.1552446137801153</v>
      </c>
      <c r="X53" s="1124" t="s">
        <v>190</v>
      </c>
      <c r="Y53" s="598"/>
      <c r="Z53" s="1129">
        <f>+Stores!G105</f>
        <v>36.525000000000006</v>
      </c>
      <c r="AA53" s="598" t="s">
        <v>315</v>
      </c>
      <c r="AB53" s="1163">
        <f>AVERAGE(Z53,Z49)</f>
        <v>36.295000000000002</v>
      </c>
      <c r="AC53" s="598"/>
      <c r="AD53" s="1120">
        <f>(AB53/AB46-1)*100</f>
        <v>5.3647632595001049</v>
      </c>
      <c r="AE53" s="1124" t="s">
        <v>190</v>
      </c>
      <c r="AF53" s="1159">
        <f>+H53/AD53*100</f>
        <v>77.689003048546553</v>
      </c>
      <c r="AG53" s="1125" t="s">
        <v>190</v>
      </c>
      <c r="AH53" s="598"/>
      <c r="AI53" s="1160">
        <f>+S53</f>
        <v>1923.3589999999999</v>
      </c>
      <c r="AJ53" s="598" t="s">
        <v>315</v>
      </c>
      <c r="AK53" s="1164">
        <f>AI53/AB53</f>
        <v>52.992395646783301</v>
      </c>
      <c r="AL53" s="598"/>
      <c r="AM53" s="1176">
        <f>(AK53/AK46-1)*100</f>
        <v>-1.1359890443941589</v>
      </c>
      <c r="AN53" s="1124" t="s">
        <v>190</v>
      </c>
      <c r="AP53" s="487"/>
      <c r="AQ53" s="487"/>
      <c r="AR53" s="487"/>
      <c r="AS53" s="487"/>
      <c r="AT53" s="487"/>
      <c r="AU53" s="487"/>
      <c r="AV53" s="487"/>
      <c r="AW53" s="487"/>
      <c r="AX53" s="487"/>
      <c r="AY53" s="487"/>
      <c r="AZ53" s="487"/>
      <c r="BA53" s="487"/>
      <c r="BB53" s="487"/>
      <c r="BC53" s="487"/>
      <c r="BD53" s="487"/>
      <c r="BE53" s="487"/>
      <c r="BF53" s="487"/>
      <c r="BG53" s="487"/>
      <c r="BH53" s="487"/>
    </row>
    <row r="54" spans="1:60" hidden="1" outlineLevel="1">
      <c r="A54" s="598" t="s">
        <v>528</v>
      </c>
      <c r="B54" s="1157" t="s">
        <v>515</v>
      </c>
      <c r="C54" s="598"/>
      <c r="D54" s="1120">
        <f>(S54/S47-1)*100</f>
        <v>6.057908121650124</v>
      </c>
      <c r="E54" s="598"/>
      <c r="F54" s="1158">
        <f>+'SegP&amp;L'!F89</f>
        <v>2</v>
      </c>
      <c r="G54" s="598"/>
      <c r="H54" s="1120">
        <f>D54-F54</f>
        <v>4.057908121650124</v>
      </c>
      <c r="I54" s="598"/>
      <c r="J54" s="1167">
        <f>+Stores!D106</f>
        <v>1217</v>
      </c>
      <c r="K54" s="1127"/>
      <c r="L54" s="1167">
        <f>AVERAGE(J54,J53)</f>
        <v>1214</v>
      </c>
      <c r="M54" s="598"/>
      <c r="N54" s="1120">
        <f>(L54/L47-1)*100</f>
        <v>5.3362255965292871</v>
      </c>
      <c r="O54" s="1124"/>
      <c r="P54" s="1159">
        <f>H54/N54*100</f>
        <v>76.044538377264487</v>
      </c>
      <c r="Q54" s="1125"/>
      <c r="R54" s="598"/>
      <c r="S54" s="1165">
        <f>+'SegP&amp;L'!D89</f>
        <v>2073.9380000000001</v>
      </c>
      <c r="T54" s="598"/>
      <c r="U54" s="1161">
        <f>S54/L54</f>
        <v>1.708350906095552</v>
      </c>
      <c r="V54" s="598"/>
      <c r="W54" s="1176">
        <f>(U54/U47-1)*100</f>
        <v>0.68512282553685466</v>
      </c>
      <c r="X54" s="1124"/>
      <c r="Y54" s="598"/>
      <c r="Z54" s="1129">
        <f>+Stores!G106</f>
        <v>36.784000000000006</v>
      </c>
      <c r="AA54" s="1127"/>
      <c r="AB54" s="1163">
        <f>AVERAGE(Z54,Z53)</f>
        <v>36.654500000000006</v>
      </c>
      <c r="AC54" s="598"/>
      <c r="AD54" s="1120">
        <f>(AB54/AB47-1)*100</f>
        <v>5.4517470044160632</v>
      </c>
      <c r="AE54" s="1124"/>
      <c r="AF54" s="1159">
        <f>+H54/AD54*100</f>
        <v>74.433170107914179</v>
      </c>
      <c r="AG54" s="1125"/>
      <c r="AH54" s="598"/>
      <c r="AI54" s="1165">
        <f>+S54</f>
        <v>2073.9380000000001</v>
      </c>
      <c r="AJ54" s="598"/>
      <c r="AK54" s="1167">
        <f>AI54/AB54</f>
        <v>56.580719966170584</v>
      </c>
      <c r="AL54" s="598"/>
      <c r="AM54" s="1176">
        <f>(AK54/AK47-1)*100</f>
        <v>0.57482321009689752</v>
      </c>
      <c r="AN54" s="1124"/>
      <c r="AP54" s="487"/>
      <c r="AQ54" s="487"/>
      <c r="AR54" s="487"/>
      <c r="AS54" s="487"/>
      <c r="AT54" s="487"/>
      <c r="AU54" s="487"/>
      <c r="AV54" s="487"/>
      <c r="AW54" s="487"/>
      <c r="AX54" s="487"/>
      <c r="AY54" s="487"/>
      <c r="AZ54" s="487"/>
      <c r="BA54" s="487"/>
      <c r="BB54" s="487"/>
      <c r="BC54" s="487"/>
      <c r="BD54" s="487"/>
      <c r="BE54" s="487"/>
      <c r="BF54" s="487"/>
      <c r="BG54" s="487"/>
      <c r="BH54" s="487"/>
    </row>
    <row r="55" spans="1:60" hidden="1" outlineLevel="1">
      <c r="A55" s="598" t="s">
        <v>529</v>
      </c>
      <c r="B55" s="1157" t="s">
        <v>516</v>
      </c>
      <c r="C55" s="598"/>
      <c r="D55" s="1120">
        <f>(S55/S48-1)*100</f>
        <v>7.813271147961709</v>
      </c>
      <c r="E55" s="598"/>
      <c r="F55" s="1158">
        <f>+'SegP&amp;L'!F90</f>
        <v>3</v>
      </c>
      <c r="G55" s="598"/>
      <c r="H55" s="1120">
        <f>D55-F55</f>
        <v>4.813271147961709</v>
      </c>
      <c r="I55" s="598"/>
      <c r="J55" s="1167">
        <f>+Stores!D107</f>
        <v>1254</v>
      </c>
      <c r="K55" s="1127"/>
      <c r="L55" s="1167">
        <f>AVERAGE(J55,J54)</f>
        <v>1235.5</v>
      </c>
      <c r="M55" s="598"/>
      <c r="N55" s="1120">
        <f>(L55/L48-1)*100</f>
        <v>5.37313432835822</v>
      </c>
      <c r="O55" s="1124"/>
      <c r="P55" s="1159">
        <f>H55/N55*100</f>
        <v>89.580324142620512</v>
      </c>
      <c r="Q55" s="1125"/>
      <c r="R55" s="598"/>
      <c r="S55" s="1165">
        <f>+'SegP&amp;L'!D90</f>
        <v>2271.893</v>
      </c>
      <c r="T55" s="598"/>
      <c r="U55" s="1161">
        <f>S55/L55</f>
        <v>1.8388450020234723</v>
      </c>
      <c r="V55" s="598"/>
      <c r="W55" s="1176">
        <f>(U55/U48-1)*100</f>
        <v>2.3157105795104105</v>
      </c>
      <c r="X55" s="1124"/>
      <c r="Y55" s="598"/>
      <c r="Z55" s="1129">
        <f>+Stores!G107</f>
        <v>37.930999999999997</v>
      </c>
      <c r="AA55" s="1127"/>
      <c r="AB55" s="1163">
        <f>AVERAGE(Z55,Z54)</f>
        <v>37.357500000000002</v>
      </c>
      <c r="AC55" s="598"/>
      <c r="AD55" s="1120">
        <f>(AB55/AB48-1)*100</f>
        <v>5.6385821539157499</v>
      </c>
      <c r="AE55" s="1124"/>
      <c r="AF55" s="1159">
        <f>+H55/AD55*100</f>
        <v>85.363146560152572</v>
      </c>
      <c r="AG55" s="1125"/>
      <c r="AH55" s="598"/>
      <c r="AI55" s="1165">
        <f>+S55</f>
        <v>2271.893</v>
      </c>
      <c r="AJ55" s="598"/>
      <c r="AK55" s="1167">
        <f>AI55/AB55</f>
        <v>60.814909991300276</v>
      </c>
      <c r="AL55" s="598"/>
      <c r="AM55" s="1176">
        <f>(AK55/AK48-1)*100</f>
        <v>2.0586124403652262</v>
      </c>
      <c r="AN55" s="1124"/>
      <c r="AP55" s="487"/>
      <c r="AQ55" s="487"/>
      <c r="AR55" s="487"/>
      <c r="AS55" s="487"/>
      <c r="AT55" s="487"/>
      <c r="AU55" s="487"/>
      <c r="AV55" s="487"/>
      <c r="AW55" s="487"/>
      <c r="AX55" s="487"/>
      <c r="AY55" s="487"/>
      <c r="AZ55" s="487"/>
      <c r="BA55" s="487"/>
      <c r="BB55" s="487"/>
      <c r="BC55" s="487"/>
      <c r="BD55" s="487"/>
      <c r="BE55" s="487"/>
      <c r="BF55" s="487"/>
      <c r="BG55" s="487"/>
      <c r="BH55" s="487"/>
    </row>
    <row r="56" spans="1:60" hidden="1" outlineLevel="1">
      <c r="A56" s="598" t="s">
        <v>530</v>
      </c>
      <c r="B56" s="1157" t="s">
        <v>517</v>
      </c>
      <c r="C56" s="598"/>
      <c r="D56" s="1168">
        <f>(S56/S49-1)*100</f>
        <v>11.836303360569534</v>
      </c>
      <c r="E56" s="598"/>
      <c r="F56" s="1169">
        <f>+'SegP&amp;L'!F91</f>
        <v>6</v>
      </c>
      <c r="G56" s="598"/>
      <c r="H56" s="1168">
        <f>D56-F56</f>
        <v>5.8363033605695342</v>
      </c>
      <c r="I56" s="598"/>
      <c r="J56" s="1167">
        <f>yrSales!M$92</f>
        <v>1269</v>
      </c>
      <c r="K56" s="1127"/>
      <c r="L56" s="1175">
        <f>AVERAGE(J56,J55)</f>
        <v>1261.5</v>
      </c>
      <c r="M56" s="598"/>
      <c r="N56" s="1168">
        <f>(L56/L49-1)*100</f>
        <v>5.8749475451111977</v>
      </c>
      <c r="O56" s="1124"/>
      <c r="P56" s="1171">
        <f>H56/N56*100</f>
        <v>99.342220773122975</v>
      </c>
      <c r="Q56" s="1125"/>
      <c r="R56" s="598"/>
      <c r="S56" s="1172">
        <f>+'SegP&amp;L'!D91</f>
        <v>2593.8629999999998</v>
      </c>
      <c r="T56" s="598"/>
      <c r="U56" s="1177">
        <f>S56/L56</f>
        <v>2.0561736028537454</v>
      </c>
      <c r="V56" s="598"/>
      <c r="W56" s="1169">
        <f>(U56/U49-1)*100</f>
        <v>5.6305631820202873</v>
      </c>
      <c r="X56" s="1124"/>
      <c r="Y56" s="598"/>
      <c r="Z56" s="1129">
        <f>yrSales!M$110</f>
        <v>38.39</v>
      </c>
      <c r="AA56" s="1127"/>
      <c r="AB56" s="1174">
        <f>AVERAGE(Z56,Z55)</f>
        <v>38.160499999999999</v>
      </c>
      <c r="AC56" s="598"/>
      <c r="AD56" s="1168">
        <f>(AB56/AB49-1)*100</f>
        <v>6.2167729006040062</v>
      </c>
      <c r="AE56" s="1124"/>
      <c r="AF56" s="1171">
        <f>+H56/AD56*100</f>
        <v>93.879951123878016</v>
      </c>
      <c r="AG56" s="1125"/>
      <c r="AH56" s="598"/>
      <c r="AI56" s="1172">
        <f>+S56</f>
        <v>2593.8629999999998</v>
      </c>
      <c r="AJ56" s="598"/>
      <c r="AK56" s="1175">
        <f>AI56/AB56</f>
        <v>67.972458432148429</v>
      </c>
      <c r="AL56" s="598"/>
      <c r="AM56" s="1169">
        <f>(AK56/AK49-1)*100</f>
        <v>5.2906243585692625</v>
      </c>
      <c r="AN56" s="1124"/>
      <c r="AP56" s="487"/>
      <c r="AQ56" s="487"/>
      <c r="AR56" s="487"/>
      <c r="AS56" s="487"/>
      <c r="AT56" s="487"/>
      <c r="AU56" s="487"/>
      <c r="AV56" s="487"/>
      <c r="AW56" s="487"/>
      <c r="AX56" s="487"/>
      <c r="AY56" s="487"/>
      <c r="AZ56" s="487"/>
      <c r="BA56" s="487"/>
      <c r="BB56" s="487"/>
      <c r="BC56" s="487"/>
      <c r="BD56" s="487"/>
      <c r="BE56" s="487"/>
      <c r="BF56" s="487"/>
      <c r="BG56" s="487"/>
      <c r="BH56" s="487"/>
    </row>
    <row r="57" spans="1:60" hidden="1" outlineLevel="1">
      <c r="A57" s="598"/>
      <c r="B57" s="1157" t="s">
        <v>531</v>
      </c>
      <c r="C57" s="598"/>
      <c r="D57" s="1120">
        <f>(S57/S50-1)*100</f>
        <v>7.7120674225141128</v>
      </c>
      <c r="E57" s="598"/>
      <c r="F57" s="1176">
        <f>yrSales!M$125*100</f>
        <v>3</v>
      </c>
      <c r="G57" s="598"/>
      <c r="H57" s="1120">
        <f>D57-F57</f>
        <v>4.7120674225141128</v>
      </c>
      <c r="I57" s="598"/>
      <c r="J57" s="1167"/>
      <c r="K57" s="598"/>
      <c r="L57" s="1167">
        <f>AVERAGE(L53:L56)</f>
        <v>1228.625</v>
      </c>
      <c r="M57" s="598"/>
      <c r="N57" s="1120">
        <f>(L57/L50-1)*100</f>
        <v>5.4953311151658246</v>
      </c>
      <c r="O57" s="1124"/>
      <c r="P57" s="1159">
        <f>H57/N57*100</f>
        <v>85.746742530398436</v>
      </c>
      <c r="Q57" s="1125"/>
      <c r="R57" s="598"/>
      <c r="S57" s="1160">
        <f>yrSales!M$65</f>
        <v>8863.0529999999999</v>
      </c>
      <c r="T57" s="598"/>
      <c r="U57" s="1161">
        <f>SUM(U53:U56)</f>
        <v>7.2015074420072516</v>
      </c>
      <c r="V57" s="598"/>
      <c r="W57" s="1176">
        <f>(U57/U50-1)*100</f>
        <v>2.0428085407105723</v>
      </c>
      <c r="X57" s="1124"/>
      <c r="Y57" s="598"/>
      <c r="Z57" s="598"/>
      <c r="AA57" s="598"/>
      <c r="AB57" s="1163">
        <f>AVERAGE(AB53:AB56)</f>
        <v>37.116875</v>
      </c>
      <c r="AC57" s="598"/>
      <c r="AD57" s="1120">
        <f>(AB57/AB50-1)*100</f>
        <v>5.6730748699260314</v>
      </c>
      <c r="AE57" s="1124"/>
      <c r="AF57" s="1159">
        <f>+H57/AD57*100</f>
        <v>83.060201575932155</v>
      </c>
      <c r="AG57" s="1125"/>
      <c r="AH57" s="598"/>
      <c r="AI57" s="1160">
        <f>+S57</f>
        <v>8863.0529999999999</v>
      </c>
      <c r="AJ57" s="598"/>
      <c r="AK57" s="1164">
        <f>AI57/AB57</f>
        <v>238.78769427652517</v>
      </c>
      <c r="AL57" s="598"/>
      <c r="AM57" s="1176">
        <f>(AK57/AK50-1)*100</f>
        <v>1.9295289316582309</v>
      </c>
      <c r="AN57" s="1124"/>
      <c r="AP57" s="487"/>
      <c r="AQ57" s="487"/>
      <c r="AR57" s="487"/>
      <c r="AS57" s="487"/>
      <c r="AT57" s="487"/>
      <c r="AU57" s="487"/>
      <c r="AV57" s="487"/>
      <c r="AW57" s="487"/>
      <c r="AX57" s="487"/>
      <c r="AY57" s="487"/>
      <c r="AZ57" s="487"/>
      <c r="BA57" s="487"/>
      <c r="BB57" s="487"/>
      <c r="BC57" s="487"/>
      <c r="BD57" s="487"/>
      <c r="BE57" s="487"/>
      <c r="BF57" s="487"/>
      <c r="BG57" s="487"/>
      <c r="BH57" s="487"/>
    </row>
    <row r="58" spans="1:60" hidden="1" outlineLevel="1" collapsed="1">
      <c r="A58" s="598"/>
      <c r="B58" s="1157"/>
      <c r="C58" s="598"/>
      <c r="D58" s="598"/>
      <c r="E58" s="598"/>
      <c r="F58" s="598"/>
      <c r="G58" s="598"/>
      <c r="H58" s="598"/>
      <c r="I58" s="598"/>
      <c r="J58" s="1167"/>
      <c r="K58" s="598"/>
      <c r="L58" s="1167"/>
      <c r="M58" s="598"/>
      <c r="N58" s="598"/>
      <c r="O58" s="1124"/>
      <c r="P58" s="598"/>
      <c r="Q58" s="598"/>
      <c r="R58" s="598"/>
      <c r="S58" s="598"/>
      <c r="T58" s="598"/>
      <c r="U58" s="598"/>
      <c r="V58" s="598"/>
      <c r="W58" s="598"/>
      <c r="X58" s="598"/>
      <c r="Y58" s="598"/>
      <c r="Z58" s="598"/>
      <c r="AA58" s="598"/>
      <c r="AB58" s="598"/>
      <c r="AC58" s="598"/>
      <c r="AD58" s="598"/>
      <c r="AE58" s="1124"/>
      <c r="AF58" s="598"/>
      <c r="AG58" s="598"/>
      <c r="AH58" s="598"/>
      <c r="AI58" s="598"/>
      <c r="AJ58" s="598"/>
      <c r="AK58" s="598"/>
      <c r="AL58" s="598"/>
      <c r="AM58" s="598"/>
      <c r="AN58" s="598"/>
      <c r="AP58" s="487"/>
      <c r="AQ58" s="487"/>
      <c r="AR58" s="487"/>
      <c r="AS58" s="487"/>
      <c r="AT58" s="487"/>
      <c r="AU58" s="487"/>
      <c r="AV58" s="487"/>
      <c r="AW58" s="487"/>
      <c r="AX58" s="487"/>
      <c r="AY58" s="487"/>
      <c r="AZ58" s="487"/>
      <c r="BA58" s="487"/>
      <c r="BB58" s="487"/>
      <c r="BC58" s="487"/>
      <c r="BD58" s="487"/>
      <c r="BE58" s="487"/>
      <c r="BF58" s="487"/>
      <c r="BG58" s="487"/>
      <c r="BH58" s="487"/>
    </row>
    <row r="59" spans="1:60" hidden="1" outlineLevel="1">
      <c r="A59" s="1154"/>
      <c r="B59" s="1155">
        <f>+B52+1</f>
        <v>2002</v>
      </c>
      <c r="C59" s="598"/>
      <c r="D59" s="598"/>
      <c r="E59" s="1124"/>
      <c r="F59" s="598"/>
      <c r="G59" s="1124"/>
      <c r="H59" s="598"/>
      <c r="I59" s="1124"/>
      <c r="J59" s="1167"/>
      <c r="K59" s="598"/>
      <c r="L59" s="1167"/>
      <c r="M59" s="598"/>
      <c r="N59" s="598"/>
      <c r="O59" s="1124"/>
      <c r="P59" s="1125"/>
      <c r="Q59" s="1125"/>
      <c r="R59" s="598"/>
      <c r="S59" s="598"/>
      <c r="T59" s="598"/>
      <c r="U59" s="598"/>
      <c r="V59" s="598"/>
      <c r="W59" s="598"/>
      <c r="X59" s="1124"/>
      <c r="Y59" s="598"/>
      <c r="Z59" s="598"/>
      <c r="AA59" s="598"/>
      <c r="AB59" s="598"/>
      <c r="AC59" s="598"/>
      <c r="AD59" s="598"/>
      <c r="AE59" s="1124"/>
      <c r="AF59" s="1125"/>
      <c r="AG59" s="1125"/>
      <c r="AH59" s="598"/>
      <c r="AI59" s="598"/>
      <c r="AJ59" s="598"/>
      <c r="AK59" s="598"/>
      <c r="AL59" s="598"/>
      <c r="AM59" s="598"/>
      <c r="AN59" s="1124"/>
      <c r="AP59" s="487"/>
      <c r="AQ59" s="487"/>
      <c r="AR59" s="487"/>
      <c r="AS59" s="487"/>
      <c r="AT59" s="487"/>
      <c r="AU59" s="487"/>
      <c r="AV59" s="487"/>
      <c r="AW59" s="487"/>
      <c r="AX59" s="487"/>
      <c r="AY59" s="487"/>
      <c r="AZ59" s="487"/>
      <c r="BA59" s="487"/>
      <c r="BB59" s="487"/>
      <c r="BC59" s="487"/>
      <c r="BD59" s="487"/>
      <c r="BE59" s="487"/>
      <c r="BF59" s="487"/>
      <c r="BG59" s="487"/>
      <c r="BH59" s="487"/>
    </row>
    <row r="60" spans="1:60" hidden="1" outlineLevel="1">
      <c r="A60" s="598" t="s">
        <v>527</v>
      </c>
      <c r="B60" s="1157" t="s">
        <v>514</v>
      </c>
      <c r="C60" s="598"/>
      <c r="D60" s="1120">
        <f>(S60/S53-1)*100</f>
        <v>12.973553039240215</v>
      </c>
      <c r="E60" s="1124" t="s">
        <v>190</v>
      </c>
      <c r="F60" s="1158">
        <f>+'SegP&amp;L'!F95</f>
        <v>7</v>
      </c>
      <c r="G60" s="1124" t="s">
        <v>190</v>
      </c>
      <c r="H60" s="1120">
        <f>D60-F60</f>
        <v>5.9735530392402154</v>
      </c>
      <c r="I60" s="1124" t="s">
        <v>190</v>
      </c>
      <c r="J60" s="1167">
        <f>+Stores!D113</f>
        <v>1290</v>
      </c>
      <c r="K60" s="598" t="s">
        <v>315</v>
      </c>
      <c r="L60" s="1167">
        <f>AVERAGE(J60,J56)</f>
        <v>1279.5</v>
      </c>
      <c r="M60" s="598"/>
      <c r="N60" s="1120">
        <f>(L60/L53-1)*100</f>
        <v>6.3149148317407588</v>
      </c>
      <c r="O60" s="1124" t="s">
        <v>190</v>
      </c>
      <c r="P60" s="1159">
        <f>H60/N60*100</f>
        <v>94.594356351652578</v>
      </c>
      <c r="Q60" s="1125" t="s">
        <v>190</v>
      </c>
      <c r="R60" s="598"/>
      <c r="S60" s="1160">
        <f>+'SegP&amp;L'!D95</f>
        <v>2172.8870000000002</v>
      </c>
      <c r="T60" s="598" t="s">
        <v>315</v>
      </c>
      <c r="U60" s="1161">
        <f>S60/L60</f>
        <v>1.698231340367331</v>
      </c>
      <c r="V60" s="598"/>
      <c r="W60" s="1176">
        <f>(U60/U53-1)*100</f>
        <v>6.263127067390073</v>
      </c>
      <c r="X60" s="1124" t="s">
        <v>190</v>
      </c>
      <c r="Y60" s="598"/>
      <c r="Z60" s="1129">
        <f>+Stores!G113</f>
        <v>39.025999999999996</v>
      </c>
      <c r="AA60" s="598" t="s">
        <v>315</v>
      </c>
      <c r="AB60" s="1163">
        <f>AVERAGE(Z60,Z56)</f>
        <v>38.707999999999998</v>
      </c>
      <c r="AC60" s="598"/>
      <c r="AD60" s="1120">
        <f>(AB60/AB53-1)*100</f>
        <v>6.6482986637277808</v>
      </c>
      <c r="AE60" s="1124" t="s">
        <v>190</v>
      </c>
      <c r="AF60" s="1159">
        <f>+H60/AD60*100</f>
        <v>89.850852697564775</v>
      </c>
      <c r="AG60" s="1125" t="s">
        <v>190</v>
      </c>
      <c r="AH60" s="598"/>
      <c r="AI60" s="1160">
        <f>+S60</f>
        <v>2172.8870000000002</v>
      </c>
      <c r="AJ60" s="598" t="s">
        <v>315</v>
      </c>
      <c r="AK60" s="1164">
        <f>AI60/AB60</f>
        <v>56.135346698356933</v>
      </c>
      <c r="AL60" s="598"/>
      <c r="AM60" s="1176">
        <f>(AK60/AK53-1)*100</f>
        <v>5.9309472863290136</v>
      </c>
      <c r="AN60" s="1124" t="s">
        <v>190</v>
      </c>
      <c r="AP60" s="487"/>
      <c r="AQ60" s="487"/>
      <c r="AR60" s="487"/>
      <c r="AS60" s="487"/>
      <c r="AT60" s="487"/>
      <c r="AU60" s="487"/>
      <c r="AV60" s="487"/>
      <c r="AW60" s="487"/>
      <c r="AX60" s="487"/>
      <c r="AY60" s="487"/>
      <c r="AZ60" s="487"/>
      <c r="BA60" s="487"/>
      <c r="BB60" s="487"/>
      <c r="BC60" s="487"/>
      <c r="BD60" s="487"/>
      <c r="BE60" s="487"/>
      <c r="BF60" s="487"/>
      <c r="BG60" s="487"/>
      <c r="BH60" s="487"/>
    </row>
    <row r="61" spans="1:60" hidden="1" outlineLevel="1">
      <c r="A61" s="598" t="s">
        <v>528</v>
      </c>
      <c r="B61" s="1157" t="s">
        <v>515</v>
      </c>
      <c r="C61" s="598"/>
      <c r="D61" s="1120">
        <f>(S61/S54-1)*100</f>
        <v>6.3701036385851451</v>
      </c>
      <c r="E61" s="598"/>
      <c r="F61" s="1158">
        <f>+'SegP&amp;L'!F96</f>
        <v>1</v>
      </c>
      <c r="G61" s="598"/>
      <c r="H61" s="1120">
        <f>D61-F61</f>
        <v>5.3701036385851451</v>
      </c>
      <c r="I61" s="598"/>
      <c r="J61" s="1167">
        <f>+Stores!D114</f>
        <v>1301</v>
      </c>
      <c r="K61" s="1127"/>
      <c r="L61" s="1167">
        <f>AVERAGE(J61,J60)</f>
        <v>1295.5</v>
      </c>
      <c r="M61" s="598"/>
      <c r="N61" s="1120">
        <f>(L61/L54-1)*100</f>
        <v>6.7133443163097217</v>
      </c>
      <c r="O61" s="1124"/>
      <c r="P61" s="1159">
        <f>H61/N61*100</f>
        <v>79.991482420151698</v>
      </c>
      <c r="Q61" s="1125"/>
      <c r="R61" s="598"/>
      <c r="S61" s="1165">
        <f>+'SegP&amp;L'!D96</f>
        <v>2206.0500000000002</v>
      </c>
      <c r="T61" s="598"/>
      <c r="U61" s="1166">
        <f>S61/L61</f>
        <v>1.7028560401389425</v>
      </c>
      <c r="V61" s="598"/>
      <c r="W61" s="1176">
        <f>(U61/U54-1)*100</f>
        <v>-0.32164738151881922</v>
      </c>
      <c r="X61" s="1124"/>
      <c r="Y61" s="598"/>
      <c r="Z61" s="1129">
        <f>+Stores!G114</f>
        <v>39.347000000000001</v>
      </c>
      <c r="AA61" s="1127"/>
      <c r="AB61" s="1163">
        <f>AVERAGE(Z61,Z60)</f>
        <v>39.186499999999995</v>
      </c>
      <c r="AC61" s="598"/>
      <c r="AD61" s="1120">
        <f>(AB61/AB54-1)*100</f>
        <v>6.9077466613921557</v>
      </c>
      <c r="AE61" s="1124"/>
      <c r="AF61" s="1159">
        <f>+H61/AD61*100</f>
        <v>77.740309565766253</v>
      </c>
      <c r="AG61" s="1125"/>
      <c r="AH61" s="598"/>
      <c r="AI61" s="1165">
        <f>+S61</f>
        <v>2206.0500000000002</v>
      </c>
      <c r="AJ61" s="598"/>
      <c r="AK61" s="1167">
        <f>AI61/AB61</f>
        <v>56.296173427073107</v>
      </c>
      <c r="AL61" s="598"/>
      <c r="AM61" s="1176">
        <f>(AK61/AK54-1)*100</f>
        <v>-0.50290370866190592</v>
      </c>
      <c r="AN61" s="1124"/>
      <c r="AP61" s="487"/>
      <c r="AQ61" s="487"/>
      <c r="AR61" s="487"/>
      <c r="AS61" s="487"/>
      <c r="AT61" s="487"/>
      <c r="AU61" s="487"/>
      <c r="AV61" s="487"/>
      <c r="AW61" s="487"/>
      <c r="AX61" s="487"/>
      <c r="AY61" s="487"/>
      <c r="AZ61" s="487"/>
      <c r="BA61" s="487"/>
      <c r="BB61" s="487"/>
      <c r="BC61" s="487"/>
      <c r="BD61" s="487"/>
      <c r="BE61" s="487"/>
      <c r="BF61" s="487"/>
      <c r="BG61" s="487"/>
      <c r="BH61" s="487"/>
    </row>
    <row r="62" spans="1:60" hidden="1" outlineLevel="1">
      <c r="A62" s="598" t="s">
        <v>529</v>
      </c>
      <c r="B62" s="1157" t="s">
        <v>516</v>
      </c>
      <c r="C62" s="598"/>
      <c r="D62" s="1120">
        <f>(S62/S55-1)*100</f>
        <v>5.9320135235242155</v>
      </c>
      <c r="E62" s="598"/>
      <c r="F62" s="1158">
        <f>+'SegP&amp;L'!F97</f>
        <v>1</v>
      </c>
      <c r="G62" s="598"/>
      <c r="H62" s="1120">
        <f>D62-F62</f>
        <v>4.9320135235242155</v>
      </c>
      <c r="I62" s="598"/>
      <c r="J62" s="1167">
        <f>+Stores!D115</f>
        <v>1339</v>
      </c>
      <c r="K62" s="1127"/>
      <c r="L62" s="1167">
        <f>AVERAGE(J62,J61)</f>
        <v>1320</v>
      </c>
      <c r="M62" s="598"/>
      <c r="N62" s="1120">
        <f>(L62/L55-1)*100</f>
        <v>6.83933630109268</v>
      </c>
      <c r="O62" s="1124"/>
      <c r="P62" s="1159">
        <f>H62/N62*100</f>
        <v>72.112458086558149</v>
      </c>
      <c r="Q62" s="1125"/>
      <c r="R62" s="598"/>
      <c r="S62" s="1165">
        <f>+'SegP&amp;L'!D97</f>
        <v>2406.6619999999998</v>
      </c>
      <c r="T62" s="598"/>
      <c r="U62" s="1166">
        <f>S62/L62</f>
        <v>1.8232287878787878</v>
      </c>
      <c r="V62" s="598"/>
      <c r="W62" s="1176">
        <f>(U62/U55-1)*100</f>
        <v>-0.84924037248926831</v>
      </c>
      <c r="X62" s="1124"/>
      <c r="Y62" s="598"/>
      <c r="Z62" s="1129">
        <f>+Stores!G115</f>
        <v>40.599000000000004</v>
      </c>
      <c r="AA62" s="1127"/>
      <c r="AB62" s="1163">
        <f>AVERAGE(Z62,Z61)</f>
        <v>39.972999999999999</v>
      </c>
      <c r="AC62" s="598"/>
      <c r="AD62" s="1120">
        <f>(AB62/AB55-1)*100</f>
        <v>7.0012714983604285</v>
      </c>
      <c r="AE62" s="1124"/>
      <c r="AF62" s="1159">
        <f>+H62/AD62*100</f>
        <v>70.444540319272065</v>
      </c>
      <c r="AG62" s="1125"/>
      <c r="AH62" s="598"/>
      <c r="AI62" s="1165">
        <f>+S62</f>
        <v>2406.6619999999998</v>
      </c>
      <c r="AJ62" s="598"/>
      <c r="AK62" s="1167">
        <f>AI62/AB62</f>
        <v>60.207189853150872</v>
      </c>
      <c r="AL62" s="598"/>
      <c r="AM62" s="1176">
        <f>(AK62/AK55-1)*100</f>
        <v>-0.99929464375815291</v>
      </c>
      <c r="AN62" s="1124"/>
      <c r="AP62" s="487"/>
      <c r="AQ62" s="487"/>
      <c r="AR62" s="487"/>
      <c r="AS62" s="487"/>
      <c r="AT62" s="487"/>
      <c r="AU62" s="487"/>
      <c r="AV62" s="487"/>
      <c r="AW62" s="487"/>
      <c r="AX62" s="487"/>
      <c r="AY62" s="487"/>
      <c r="AZ62" s="487"/>
      <c r="BA62" s="487"/>
      <c r="BB62" s="487"/>
      <c r="BC62" s="487"/>
      <c r="BD62" s="487"/>
      <c r="BE62" s="487"/>
      <c r="BF62" s="487"/>
      <c r="BG62" s="487"/>
      <c r="BH62" s="487"/>
    </row>
    <row r="63" spans="1:60" hidden="1" outlineLevel="1">
      <c r="A63" s="598" t="s">
        <v>530</v>
      </c>
      <c r="B63" s="1157" t="s">
        <v>517</v>
      </c>
      <c r="C63" s="598"/>
      <c r="D63" s="1168">
        <f>(S63/S56-1)*100</f>
        <v>4.0911952558789766</v>
      </c>
      <c r="E63" s="598"/>
      <c r="F63" s="1178">
        <f>+'SegP&amp;L'!F98</f>
        <v>-1</v>
      </c>
      <c r="G63" s="598"/>
      <c r="H63" s="1168">
        <f>D63-F63</f>
        <v>5.0911952558789766</v>
      </c>
      <c r="I63" s="598"/>
      <c r="J63" s="1167">
        <f>yrSales!N$92</f>
        <v>1342</v>
      </c>
      <c r="K63" s="1127"/>
      <c r="L63" s="1175">
        <f>AVERAGE(J63,J62)</f>
        <v>1340.5</v>
      </c>
      <c r="M63" s="598"/>
      <c r="N63" s="1168">
        <f>(L63/L56-1)*100</f>
        <v>6.2623860483551397</v>
      </c>
      <c r="O63" s="1124"/>
      <c r="P63" s="1171">
        <f>H63/N63*100</f>
        <v>81.298010320143305</v>
      </c>
      <c r="Q63" s="1125"/>
      <c r="R63" s="598"/>
      <c r="S63" s="1172">
        <f>+'SegP&amp;L'!D98</f>
        <v>2699.9830000000002</v>
      </c>
      <c r="T63" s="598"/>
      <c r="U63" s="1173">
        <f>S63/L63</f>
        <v>2.0141611339052594</v>
      </c>
      <c r="V63" s="598"/>
      <c r="W63" s="1169">
        <f>(U63/U56-1)*100</f>
        <v>-2.0432354977311884</v>
      </c>
      <c r="X63" s="1124"/>
      <c r="Y63" s="598"/>
      <c r="Z63" s="1129">
        <f>yrSales!N$110</f>
        <v>40.575000000000003</v>
      </c>
      <c r="AA63" s="1127"/>
      <c r="AB63" s="1174">
        <f>AVERAGE(Z63,Z62)</f>
        <v>40.587000000000003</v>
      </c>
      <c r="AC63" s="598"/>
      <c r="AD63" s="1168">
        <f>(AB63/AB56-1)*100</f>
        <v>6.3586693046474796</v>
      </c>
      <c r="AE63" s="1124"/>
      <c r="AF63" s="1171">
        <f>+H63/AD63*100</f>
        <v>80.066992195330542</v>
      </c>
      <c r="AG63" s="1125"/>
      <c r="AH63" s="598"/>
      <c r="AI63" s="1172">
        <f>+S63</f>
        <v>2699.9830000000002</v>
      </c>
      <c r="AJ63" s="598"/>
      <c r="AK63" s="1175">
        <f>AI63/AB63</f>
        <v>66.523344913395917</v>
      </c>
      <c r="AL63" s="598"/>
      <c r="AM63" s="1169">
        <f>(AK63/AK56-1)*100</f>
        <v>-2.1319127661081239</v>
      </c>
      <c r="AN63" s="1124"/>
      <c r="AP63" s="487"/>
      <c r="AQ63" s="487"/>
      <c r="AR63" s="487"/>
      <c r="AS63" s="487"/>
      <c r="AT63" s="487"/>
      <c r="AU63" s="487"/>
      <c r="AV63" s="487"/>
      <c r="AW63" s="487"/>
      <c r="AX63" s="487"/>
      <c r="AY63" s="487"/>
      <c r="AZ63" s="487"/>
      <c r="BA63" s="487"/>
      <c r="BB63" s="487"/>
      <c r="BC63" s="487"/>
      <c r="BD63" s="487"/>
      <c r="BE63" s="487"/>
      <c r="BF63" s="487"/>
      <c r="BG63" s="487"/>
      <c r="BH63" s="487"/>
    </row>
    <row r="64" spans="1:60" hidden="1" outlineLevel="1">
      <c r="A64" s="598"/>
      <c r="B64" s="1157" t="s">
        <v>531</v>
      </c>
      <c r="C64" s="598"/>
      <c r="D64" s="1120">
        <f>(S64/S57-1)*100</f>
        <v>7.0238663810314517</v>
      </c>
      <c r="E64" s="598"/>
      <c r="F64" s="1176">
        <f>yrSales!N$125*100</f>
        <v>2</v>
      </c>
      <c r="G64" s="598"/>
      <c r="H64" s="1120">
        <f>D64-F64</f>
        <v>5.0238663810314517</v>
      </c>
      <c r="I64" s="598"/>
      <c r="J64" s="1167"/>
      <c r="K64" s="598"/>
      <c r="L64" s="1167">
        <f>AVERAGE(L60:L63)</f>
        <v>1308.875</v>
      </c>
      <c r="M64" s="598"/>
      <c r="N64" s="1120">
        <f>(L64/L57-1)*100</f>
        <v>6.5316919320378419</v>
      </c>
      <c r="O64" s="1124"/>
      <c r="P64" s="1159">
        <f>H64/N64*100</f>
        <v>76.915237786850739</v>
      </c>
      <c r="Q64" s="1125"/>
      <c r="R64" s="598"/>
      <c r="S64" s="1160">
        <f>SUM(S60:S63)</f>
        <v>9485.5820000000003</v>
      </c>
      <c r="T64" s="598"/>
      <c r="U64" s="1161">
        <f>SUM(U60:U63)</f>
        <v>7.2384773022903204</v>
      </c>
      <c r="V64" s="598"/>
      <c r="W64" s="1176">
        <f>(U64/U57-1)*100</f>
        <v>0.51336280050784389</v>
      </c>
      <c r="X64" s="1124"/>
      <c r="Y64" s="598"/>
      <c r="Z64" s="598"/>
      <c r="AA64" s="598"/>
      <c r="AB64" s="1163">
        <f>AVERAGE(AB60:AB63)</f>
        <v>39.613624999999999</v>
      </c>
      <c r="AC64" s="598"/>
      <c r="AD64" s="1120">
        <f>(AB64/AB57-1)*100</f>
        <v>6.7267247040598166</v>
      </c>
      <c r="AE64" s="1124"/>
      <c r="AF64" s="1159">
        <f>+H64/AD64*100</f>
        <v>74.68517892518139</v>
      </c>
      <c r="AG64" s="1125"/>
      <c r="AH64" s="598"/>
      <c r="AI64" s="1160">
        <f>SUM(AI60:AI63)</f>
        <v>9485.5820000000003</v>
      </c>
      <c r="AJ64" s="598"/>
      <c r="AK64" s="1164">
        <f>SUM(AK60:AK63)</f>
        <v>239.16205489197682</v>
      </c>
      <c r="AL64" s="598"/>
      <c r="AM64" s="1176">
        <f>(AK64/AK57-1)*100</f>
        <v>0.15677550578385713</v>
      </c>
      <c r="AN64" s="1124"/>
      <c r="AP64" s="487"/>
      <c r="AQ64" s="487"/>
      <c r="AR64" s="487"/>
      <c r="AS64" s="487"/>
      <c r="AT64" s="487"/>
      <c r="AU64" s="487"/>
      <c r="AV64" s="487"/>
      <c r="AW64" s="487"/>
      <c r="AX64" s="487"/>
      <c r="AY64" s="487"/>
      <c r="AZ64" s="487"/>
      <c r="BA64" s="487"/>
      <c r="BB64" s="487"/>
      <c r="BC64" s="487"/>
      <c r="BD64" s="487"/>
      <c r="BE64" s="487"/>
      <c r="BF64" s="487"/>
      <c r="BG64" s="487"/>
      <c r="BH64" s="487"/>
    </row>
    <row r="65" spans="1:60" hidden="1" outlineLevel="1">
      <c r="A65" s="598"/>
      <c r="B65" s="1157"/>
      <c r="C65" s="598"/>
      <c r="D65" s="598"/>
      <c r="E65" s="598"/>
      <c r="F65" s="598"/>
      <c r="G65" s="598"/>
      <c r="H65" s="598"/>
      <c r="I65" s="598"/>
      <c r="J65" s="1167"/>
      <c r="K65" s="598"/>
      <c r="L65" s="1167"/>
      <c r="M65" s="598"/>
      <c r="N65" s="598"/>
      <c r="O65" s="1124"/>
      <c r="P65" s="598"/>
      <c r="Q65" s="598"/>
      <c r="R65" s="598"/>
      <c r="S65" s="598"/>
      <c r="T65" s="598"/>
      <c r="U65" s="598"/>
      <c r="V65" s="598"/>
      <c r="W65" s="598"/>
      <c r="X65" s="598"/>
      <c r="Y65" s="598"/>
      <c r="Z65" s="598"/>
      <c r="AA65" s="598"/>
      <c r="AB65" s="598"/>
      <c r="AC65" s="598"/>
      <c r="AD65" s="598"/>
      <c r="AE65" s="1124"/>
      <c r="AF65" s="598"/>
      <c r="AG65" s="598"/>
      <c r="AH65" s="598"/>
      <c r="AI65" s="598"/>
      <c r="AJ65" s="598"/>
      <c r="AK65" s="598"/>
      <c r="AL65" s="598"/>
      <c r="AM65" s="598"/>
      <c r="AN65" s="598"/>
      <c r="AP65" s="487"/>
      <c r="AQ65" s="487"/>
      <c r="AR65" s="487"/>
      <c r="AS65" s="487"/>
      <c r="AT65" s="487"/>
      <c r="AU65" s="487"/>
      <c r="AV65" s="487"/>
      <c r="AW65" s="487"/>
      <c r="AX65" s="487"/>
      <c r="AY65" s="487"/>
      <c r="AZ65" s="487"/>
      <c r="BA65" s="487"/>
      <c r="BB65" s="487"/>
      <c r="BC65" s="487"/>
      <c r="BD65" s="487"/>
      <c r="BE65" s="487"/>
      <c r="BF65" s="487"/>
      <c r="BG65" s="487"/>
      <c r="BH65" s="487"/>
    </row>
    <row r="66" spans="1:60" hidden="1" outlineLevel="1">
      <c r="A66" s="1154"/>
      <c r="B66" s="1155">
        <v>2003</v>
      </c>
      <c r="C66" s="598"/>
      <c r="D66" s="598"/>
      <c r="E66" s="1124"/>
      <c r="F66" s="598"/>
      <c r="G66" s="1124"/>
      <c r="H66" s="598"/>
      <c r="I66" s="1124"/>
      <c r="J66" s="1167"/>
      <c r="K66" s="598"/>
      <c r="L66" s="1167"/>
      <c r="M66" s="598"/>
      <c r="N66" s="598"/>
      <c r="O66" s="1124"/>
      <c r="P66" s="1125"/>
      <c r="Q66" s="1125"/>
      <c r="R66" s="598"/>
      <c r="S66" s="598"/>
      <c r="T66" s="598"/>
      <c r="U66" s="598"/>
      <c r="V66" s="598"/>
      <c r="W66" s="598"/>
      <c r="X66" s="1124"/>
      <c r="Y66" s="598"/>
      <c r="Z66" s="598"/>
      <c r="AA66" s="598"/>
      <c r="AB66" s="598"/>
      <c r="AC66" s="598"/>
      <c r="AD66" s="598"/>
      <c r="AE66" s="1124"/>
      <c r="AF66" s="1125"/>
      <c r="AG66" s="1125"/>
      <c r="AH66" s="598"/>
      <c r="AI66" s="598"/>
      <c r="AJ66" s="598"/>
      <c r="AK66" s="598"/>
      <c r="AL66" s="598"/>
      <c r="AM66" s="598"/>
      <c r="AN66" s="1124"/>
      <c r="AP66" s="487"/>
      <c r="AQ66" s="487"/>
      <c r="AR66" s="487"/>
      <c r="AS66" s="487"/>
      <c r="AT66" s="487"/>
      <c r="AU66" s="487"/>
      <c r="AV66" s="487"/>
      <c r="AW66" s="487"/>
      <c r="AX66" s="487"/>
      <c r="AY66" s="487"/>
      <c r="AZ66" s="487"/>
      <c r="BA66" s="487"/>
      <c r="BB66" s="487"/>
      <c r="BC66" s="487"/>
      <c r="BD66" s="487"/>
      <c r="BE66" s="487"/>
      <c r="BF66" s="487"/>
      <c r="BG66" s="487"/>
      <c r="BH66" s="487"/>
    </row>
    <row r="67" spans="1:60" hidden="1" outlineLevel="1">
      <c r="A67" s="598" t="s">
        <v>527</v>
      </c>
      <c r="B67" s="1157" t="s">
        <v>514</v>
      </c>
      <c r="C67" s="598"/>
      <c r="D67" s="1120">
        <f>(S67/S60-1)*100</f>
        <v>-1.0493412680917302</v>
      </c>
      <c r="E67" s="1124" t="s">
        <v>190</v>
      </c>
      <c r="F67" s="1179">
        <f>'SegP&amp;L'!F102</f>
        <v>-5</v>
      </c>
      <c r="G67" s="1124" t="s">
        <v>190</v>
      </c>
      <c r="H67" s="1120">
        <f>D67-F67</f>
        <v>3.9506587319082698</v>
      </c>
      <c r="I67" s="1124" t="s">
        <v>190</v>
      </c>
      <c r="J67" s="1167">
        <f>+Stores!D121</f>
        <v>1358</v>
      </c>
      <c r="K67" s="598" t="s">
        <v>315</v>
      </c>
      <c r="L67" s="1167">
        <f>AVERAGE(J67,J63)</f>
        <v>1350</v>
      </c>
      <c r="M67" s="598"/>
      <c r="N67" s="1120">
        <f>(L67/L60-1)*100</f>
        <v>5.5099648300117154</v>
      </c>
      <c r="O67" s="1124" t="s">
        <v>190</v>
      </c>
      <c r="P67" s="1159">
        <f>H67/N67*100</f>
        <v>71.700253155696998</v>
      </c>
      <c r="Q67" s="1125" t="s">
        <v>190</v>
      </c>
      <c r="R67" s="598"/>
      <c r="S67" s="1160">
        <f>'SegP&amp;L'!D102</f>
        <v>2150.0859999999998</v>
      </c>
      <c r="T67" s="598" t="s">
        <v>315</v>
      </c>
      <c r="U67" s="1161">
        <f>S67/L67</f>
        <v>1.5926562962962962</v>
      </c>
      <c r="V67" s="598"/>
      <c r="W67" s="1176">
        <f>(U67/U60-1)*100</f>
        <v>-6.2167645574247032</v>
      </c>
      <c r="X67" s="1124" t="s">
        <v>190</v>
      </c>
      <c r="Y67" s="598"/>
      <c r="Z67" s="1129">
        <f>+Stores!G121</f>
        <v>41.075000000000003</v>
      </c>
      <c r="AA67" s="598" t="s">
        <v>315</v>
      </c>
      <c r="AB67" s="1163">
        <f>AVERAGE(Z67,Z63)</f>
        <v>40.825000000000003</v>
      </c>
      <c r="AC67" s="598"/>
      <c r="AD67" s="1120">
        <f>(AB67/AB60-1)*100</f>
        <v>5.4691536633254323</v>
      </c>
      <c r="AE67" s="1124" t="s">
        <v>190</v>
      </c>
      <c r="AF67" s="1159">
        <f>+H67/AD67*100</f>
        <v>72.23528492900553</v>
      </c>
      <c r="AG67" s="1125" t="s">
        <v>190</v>
      </c>
      <c r="AH67" s="598"/>
      <c r="AI67" s="1160">
        <f>+S67</f>
        <v>2150.0859999999998</v>
      </c>
      <c r="AJ67" s="598" t="s">
        <v>315</v>
      </c>
      <c r="AK67" s="1164">
        <f>AI67/AB67</f>
        <v>52.665915492957737</v>
      </c>
      <c r="AL67" s="598"/>
      <c r="AM67" s="1176">
        <f>(AK67/AK60-1)*100</f>
        <v>-6.1804752432405348</v>
      </c>
      <c r="AN67" s="1124" t="s">
        <v>190</v>
      </c>
      <c r="AP67" s="487"/>
      <c r="AQ67" s="487"/>
      <c r="AR67" s="487"/>
      <c r="AS67" s="487"/>
      <c r="AT67" s="487"/>
      <c r="AU67" s="487"/>
      <c r="AV67" s="487"/>
      <c r="AW67" s="487"/>
      <c r="AX67" s="487"/>
      <c r="AY67" s="487"/>
      <c r="AZ67" s="487"/>
      <c r="BA67" s="487"/>
      <c r="BB67" s="487"/>
      <c r="BC67" s="487"/>
      <c r="BD67" s="487"/>
      <c r="BE67" s="487"/>
      <c r="BF67" s="487"/>
      <c r="BG67" s="487"/>
      <c r="BH67" s="487"/>
    </row>
    <row r="68" spans="1:60" hidden="1" outlineLevel="1">
      <c r="A68" s="598" t="s">
        <v>528</v>
      </c>
      <c r="B68" s="1157" t="s">
        <v>515</v>
      </c>
      <c r="C68" s="598"/>
      <c r="D68" s="1120">
        <f>(S68/S61-1)*100</f>
        <v>4.3250606287255522</v>
      </c>
      <c r="E68" s="598"/>
      <c r="F68" s="1179">
        <f>'SegP&amp;L'!F103</f>
        <v>0</v>
      </c>
      <c r="G68" s="598"/>
      <c r="H68" s="1120">
        <f>D68-F68</f>
        <v>4.3250606287255522</v>
      </c>
      <c r="I68" s="598"/>
      <c r="J68" s="1167">
        <f>+Stores!D122</f>
        <v>1376</v>
      </c>
      <c r="K68" s="1127"/>
      <c r="L68" s="1167">
        <f>AVERAGE(J68,J67)</f>
        <v>1367</v>
      </c>
      <c r="M68" s="598"/>
      <c r="N68" s="1120">
        <f>(L68/L61-1)*100</f>
        <v>5.5191045928213001</v>
      </c>
      <c r="O68" s="1124"/>
      <c r="P68" s="1159">
        <f>H68/N68*100</f>
        <v>78.365259363831569</v>
      </c>
      <c r="Q68" s="1125"/>
      <c r="R68" s="598"/>
      <c r="S68" s="1165">
        <f>'SegP&amp;L'!D103</f>
        <v>2301.4630000000002</v>
      </c>
      <c r="T68" s="1127"/>
      <c r="U68" s="1166">
        <f>S68/L68</f>
        <v>1.683586686174104</v>
      </c>
      <c r="V68" s="598"/>
      <c r="W68" s="1176">
        <f>(U68/U61-1)*100</f>
        <v>-1.1315903112553372</v>
      </c>
      <c r="X68" s="1124"/>
      <c r="Y68" s="598"/>
      <c r="Z68" s="1129">
        <f>+Stores!G122</f>
        <v>41.625</v>
      </c>
      <c r="AA68" s="1127"/>
      <c r="AB68" s="1163">
        <f>AVERAGE(Z68,Z67)</f>
        <v>41.35</v>
      </c>
      <c r="AC68" s="598"/>
      <c r="AD68" s="1120">
        <f>(AB68/AB61-1)*100</f>
        <v>5.5210340295765326</v>
      </c>
      <c r="AE68" s="1124"/>
      <c r="AF68" s="1159">
        <f>+H68/AD68*100</f>
        <v>78.337873042548296</v>
      </c>
      <c r="AG68" s="1125"/>
      <c r="AH68" s="598"/>
      <c r="AI68" s="1165">
        <f>+S68</f>
        <v>2301.4630000000002</v>
      </c>
      <c r="AJ68" s="598"/>
      <c r="AK68" s="1167">
        <f>AI68/AB68</f>
        <v>55.658113663845228</v>
      </c>
      <c r="AL68" s="598"/>
      <c r="AM68" s="1176">
        <f>(AK68/AK61-1)*100</f>
        <v>-1.1333981057423559</v>
      </c>
      <c r="AN68" s="1124"/>
      <c r="AP68" s="487"/>
      <c r="AQ68" s="487"/>
      <c r="AR68" s="487"/>
      <c r="AS68" s="487"/>
      <c r="AT68" s="487"/>
      <c r="AU68" s="487"/>
      <c r="AV68" s="487"/>
      <c r="AW68" s="487"/>
      <c r="AX68" s="487"/>
      <c r="AY68" s="487"/>
      <c r="AZ68" s="487"/>
      <c r="BA68" s="487"/>
      <c r="BB68" s="487"/>
      <c r="BC68" s="487"/>
      <c r="BD68" s="487"/>
      <c r="BE68" s="487"/>
      <c r="BF68" s="487"/>
      <c r="BG68" s="487"/>
      <c r="BH68" s="487"/>
    </row>
    <row r="69" spans="1:60" hidden="1" outlineLevel="1">
      <c r="A69" s="598" t="s">
        <v>529</v>
      </c>
      <c r="B69" s="1157" t="s">
        <v>516</v>
      </c>
      <c r="C69" s="598"/>
      <c r="D69" s="1120">
        <f>(S69/S62-1)*100</f>
        <v>5.4281407193864428</v>
      </c>
      <c r="E69" s="598"/>
      <c r="F69" s="1179">
        <f>'SegP&amp;L'!F104</f>
        <v>0</v>
      </c>
      <c r="G69" s="598"/>
      <c r="H69" s="1120">
        <f>D69-F69</f>
        <v>5.4281407193864428</v>
      </c>
      <c r="I69" s="598"/>
      <c r="J69" s="1167">
        <f>+Stores!D123</f>
        <v>1408</v>
      </c>
      <c r="K69" s="1127"/>
      <c r="L69" s="1167">
        <f>AVERAGE(J69,J68)</f>
        <v>1392</v>
      </c>
      <c r="M69" s="598"/>
      <c r="N69" s="1120">
        <f>(L69/L62-1)*100</f>
        <v>5.4545454545454453</v>
      </c>
      <c r="O69" s="1124"/>
      <c r="P69" s="1159">
        <f>H69/N69*100</f>
        <v>99.515913188751625</v>
      </c>
      <c r="Q69" s="1125"/>
      <c r="R69" s="598"/>
      <c r="S69" s="1165">
        <f>'SegP&amp;L'!D104</f>
        <v>2537.299</v>
      </c>
      <c r="T69" s="1127"/>
      <c r="U69" s="1166">
        <f>S69/L69</f>
        <v>1.8227722701149425</v>
      </c>
      <c r="V69" s="598"/>
      <c r="W69" s="1176">
        <f>(U69/U62-1)*100</f>
        <v>-2.5038972995616859E-2</v>
      </c>
      <c r="X69" s="1124"/>
      <c r="Y69" s="598"/>
      <c r="Z69" s="1129">
        <f>+Stores!G123</f>
        <v>42.613</v>
      </c>
      <c r="AA69" s="1127"/>
      <c r="AB69" s="1163">
        <f>AVERAGE(Z69,Z68)</f>
        <v>42.119</v>
      </c>
      <c r="AC69" s="598"/>
      <c r="AD69" s="1120">
        <f>(AB69/AB62-1)*100</f>
        <v>5.3686238210792325</v>
      </c>
      <c r="AE69" s="1124"/>
      <c r="AF69" s="1159">
        <f>+H69/AD69*100</f>
        <v>101.10860623300751</v>
      </c>
      <c r="AG69" s="1125"/>
      <c r="AH69" s="598"/>
      <c r="AI69" s="1165">
        <f>+S69</f>
        <v>2537.299</v>
      </c>
      <c r="AJ69" s="598"/>
      <c r="AK69" s="1167">
        <f>AI69/AB69</f>
        <v>60.241197559296282</v>
      </c>
      <c r="AL69" s="598"/>
      <c r="AM69" s="1176">
        <f>(AK69/AK62-1)*100</f>
        <v>5.6484460125694191E-2</v>
      </c>
      <c r="AN69" s="1124"/>
      <c r="AP69" s="487"/>
      <c r="AQ69" s="487"/>
      <c r="AR69" s="487"/>
      <c r="AS69" s="487"/>
      <c r="AT69" s="487"/>
      <c r="AU69" s="487"/>
      <c r="AV69" s="487"/>
      <c r="AW69" s="487"/>
      <c r="AX69" s="487"/>
      <c r="AY69" s="487"/>
      <c r="AZ69" s="487"/>
      <c r="BA69" s="487"/>
      <c r="BB69" s="487"/>
      <c r="BC69" s="487"/>
      <c r="BD69" s="487"/>
      <c r="BE69" s="487"/>
      <c r="BF69" s="487"/>
      <c r="BG69" s="487"/>
      <c r="BH69" s="487"/>
    </row>
    <row r="70" spans="1:60" hidden="1" outlineLevel="1">
      <c r="A70" s="598" t="s">
        <v>530</v>
      </c>
      <c r="B70" s="1157" t="s">
        <v>517</v>
      </c>
      <c r="C70" s="598"/>
      <c r="D70" s="1168">
        <f>(S70/S63-1)*100</f>
        <v>9.1991319945347705</v>
      </c>
      <c r="E70" s="598"/>
      <c r="F70" s="1178">
        <f>'SegP&amp;L'!F105</f>
        <v>0</v>
      </c>
      <c r="G70" s="598"/>
      <c r="H70" s="1168">
        <f>D70-F70</f>
        <v>9.1991319945347705</v>
      </c>
      <c r="I70" s="598"/>
      <c r="J70" s="1167">
        <f>yrSales!O$92</f>
        <v>1418</v>
      </c>
      <c r="K70" s="1127"/>
      <c r="L70" s="1175">
        <f>AVERAGE(J70,J69)</f>
        <v>1413</v>
      </c>
      <c r="M70" s="598"/>
      <c r="N70" s="1168">
        <f>(L70/L63-1)*100</f>
        <v>5.4084296904140183</v>
      </c>
      <c r="O70" s="1124"/>
      <c r="P70" s="1171">
        <f>H70/N70*100</f>
        <v>170.08877846446723</v>
      </c>
      <c r="Q70" s="1125"/>
      <c r="R70" s="598"/>
      <c r="S70" s="1172">
        <f>'SegP&amp;L'!D105</f>
        <v>2948.3580000000002</v>
      </c>
      <c r="T70" s="1127"/>
      <c r="U70" s="1173">
        <f>S70/L70</f>
        <v>2.0865944798301488</v>
      </c>
      <c r="V70" s="598"/>
      <c r="W70" s="1169">
        <f>(U70/U63-1)*100</f>
        <v>3.5962041321117244</v>
      </c>
      <c r="X70" s="1124"/>
      <c r="Y70" s="598"/>
      <c r="Z70" s="1129">
        <f>yrSales!O$110</f>
        <v>42.9</v>
      </c>
      <c r="AA70" s="1127"/>
      <c r="AB70" s="1174">
        <f>AVERAGE(Z70,Z69)</f>
        <v>42.756500000000003</v>
      </c>
      <c r="AC70" s="598"/>
      <c r="AD70" s="1168">
        <f>(AB70/AB63-1)*100</f>
        <v>5.345307610811334</v>
      </c>
      <c r="AE70" s="1124"/>
      <c r="AF70" s="1171">
        <f>+H70/AD70*100</f>
        <v>172.09733591250676</v>
      </c>
      <c r="AG70" s="1125"/>
      <c r="AH70" s="598"/>
      <c r="AI70" s="1172">
        <f>+S70</f>
        <v>2948.3580000000002</v>
      </c>
      <c r="AJ70" s="598"/>
      <c r="AK70" s="1175">
        <f>AI70/AB70</f>
        <v>68.95695391344006</v>
      </c>
      <c r="AL70" s="598"/>
      <c r="AM70" s="1169">
        <f>(AK70/AK63-1)*100</f>
        <v>3.6582781626695926</v>
      </c>
      <c r="AN70" s="1124"/>
      <c r="AP70" s="487"/>
      <c r="AQ70" s="487"/>
      <c r="AR70" s="487"/>
      <c r="AS70" s="487"/>
      <c r="AT70" s="487"/>
      <c r="AU70" s="487"/>
      <c r="AV70" s="487"/>
      <c r="AW70" s="487"/>
      <c r="AX70" s="487"/>
      <c r="AY70" s="487"/>
      <c r="AZ70" s="487"/>
      <c r="BA70" s="487"/>
      <c r="BB70" s="487"/>
      <c r="BC70" s="487"/>
      <c r="BD70" s="487"/>
      <c r="BE70" s="487"/>
      <c r="BF70" s="487"/>
      <c r="BG70" s="487"/>
      <c r="BH70" s="487"/>
    </row>
    <row r="71" spans="1:60" hidden="1" outlineLevel="1">
      <c r="A71" s="598"/>
      <c r="B71" s="1157" t="s">
        <v>531</v>
      </c>
      <c r="C71" s="598"/>
      <c r="D71" s="1120">
        <f>(S71/S64-1)*100</f>
        <v>4.7611627836858128</v>
      </c>
      <c r="E71" s="598"/>
      <c r="F71" s="1179">
        <f>F67*S67/$S71+F68*S68/$S71+F69*S69/$S71+F70*S70/$S71</f>
        <v>-1.0818362827539247</v>
      </c>
      <c r="G71" s="598"/>
      <c r="H71" s="1120">
        <f>D71-F71</f>
        <v>5.842999066439738</v>
      </c>
      <c r="I71" s="598"/>
      <c r="J71" s="598"/>
      <c r="K71" s="598"/>
      <c r="L71" s="1167">
        <f>AVERAGE(L67:L70)</f>
        <v>1380.5</v>
      </c>
      <c r="M71" s="598"/>
      <c r="N71" s="1120">
        <f>(L71/L64-1)*100</f>
        <v>5.4722567090058183</v>
      </c>
      <c r="O71" s="1124"/>
      <c r="P71" s="1159">
        <f>H71/N71*100</f>
        <v>106.77494454570781</v>
      </c>
      <c r="Q71" s="1125"/>
      <c r="R71" s="598"/>
      <c r="S71" s="1160">
        <f>SUM(S67:S70)</f>
        <v>9937.2060000000001</v>
      </c>
      <c r="T71" s="598"/>
      <c r="U71" s="1161">
        <f>SUM(U67:U70)</f>
        <v>7.1856097324154913</v>
      </c>
      <c r="V71" s="598"/>
      <c r="W71" s="1176">
        <f>(U71/U64-1)*100</f>
        <v>-0.73036866273106238</v>
      </c>
      <c r="X71" s="1124"/>
      <c r="Y71" s="598"/>
      <c r="Z71" s="598"/>
      <c r="AA71" s="598"/>
      <c r="AB71" s="1163">
        <f>AVERAGE(AB67:AB70)</f>
        <v>41.762625</v>
      </c>
      <c r="AC71" s="598"/>
      <c r="AD71" s="1120">
        <f>(AB71/AB64-1)*100</f>
        <v>5.4249011545901116</v>
      </c>
      <c r="AE71" s="1124"/>
      <c r="AF71" s="1159">
        <f>+H71/AD71*100</f>
        <v>107.70701437566039</v>
      </c>
      <c r="AG71" s="1125"/>
      <c r="AH71" s="598"/>
      <c r="AI71" s="1160">
        <f>SUM(AI67:AI70)</f>
        <v>9937.2060000000001</v>
      </c>
      <c r="AJ71" s="598"/>
      <c r="AK71" s="1164">
        <f>SUM(AK67:AK70)</f>
        <v>237.52218062953929</v>
      </c>
      <c r="AL71" s="598"/>
      <c r="AM71" s="1176">
        <f>(AK71/AK64-1)*100</f>
        <v>-0.68567493416888947</v>
      </c>
      <c r="AN71" s="1124"/>
      <c r="AP71" s="487"/>
      <c r="AQ71" s="487"/>
      <c r="AR71" s="487"/>
      <c r="AS71" s="487"/>
      <c r="AT71" s="487"/>
      <c r="AU71" s="487"/>
      <c r="AV71" s="487"/>
      <c r="AW71" s="487"/>
      <c r="AX71" s="487"/>
      <c r="AY71" s="487"/>
      <c r="AZ71" s="487"/>
      <c r="BA71" s="487"/>
      <c r="BB71" s="487"/>
      <c r="BC71" s="487"/>
      <c r="BD71" s="487"/>
      <c r="BE71" s="487"/>
      <c r="BF71" s="487"/>
      <c r="BG71" s="487"/>
      <c r="BH71" s="487"/>
    </row>
    <row r="72" spans="1:60" hidden="1" outlineLevel="1">
      <c r="A72" s="598"/>
      <c r="B72" s="1157"/>
      <c r="C72" s="598"/>
      <c r="D72" s="598"/>
      <c r="E72" s="598"/>
      <c r="F72" s="598"/>
      <c r="G72" s="598"/>
      <c r="H72" s="598"/>
      <c r="I72" s="598"/>
      <c r="J72" s="1167"/>
      <c r="K72" s="598"/>
      <c r="L72" s="1167"/>
      <c r="M72" s="598"/>
      <c r="N72" s="598"/>
      <c r="O72" s="1124"/>
      <c r="P72" s="598"/>
      <c r="Q72" s="598"/>
      <c r="R72" s="598"/>
      <c r="S72" s="598"/>
      <c r="T72" s="598"/>
      <c r="U72" s="598"/>
      <c r="V72" s="598"/>
      <c r="W72" s="598"/>
      <c r="X72" s="598"/>
      <c r="Y72" s="598"/>
      <c r="Z72" s="598"/>
      <c r="AA72" s="598"/>
      <c r="AB72" s="598"/>
      <c r="AC72" s="598"/>
      <c r="AD72" s="598"/>
      <c r="AE72" s="1124"/>
      <c r="AF72" s="598"/>
      <c r="AG72" s="598"/>
      <c r="AH72" s="598"/>
      <c r="AI72" s="598"/>
      <c r="AJ72" s="598"/>
      <c r="AK72" s="598"/>
      <c r="AL72" s="598"/>
      <c r="AM72" s="598"/>
      <c r="AN72" s="598"/>
      <c r="AP72" s="487"/>
      <c r="AQ72" s="487"/>
      <c r="AR72" s="487"/>
      <c r="AS72" s="487"/>
      <c r="AT72" s="487"/>
      <c r="AU72" s="487"/>
      <c r="AV72" s="487"/>
      <c r="AW72" s="487"/>
      <c r="AX72" s="487"/>
      <c r="AY72" s="487"/>
      <c r="AZ72" s="487"/>
      <c r="BA72" s="487"/>
      <c r="BB72" s="487"/>
      <c r="BC72" s="487"/>
      <c r="BD72" s="487"/>
      <c r="BE72" s="487"/>
      <c r="BF72" s="487"/>
      <c r="BG72" s="487"/>
      <c r="BH72" s="487"/>
    </row>
    <row r="73" spans="1:60" hidden="1" outlineLevel="1" collapsed="1">
      <c r="A73" s="1154"/>
      <c r="B73" s="1155">
        <f>+B66+1</f>
        <v>2004</v>
      </c>
      <c r="C73" s="598"/>
      <c r="D73" s="598"/>
      <c r="E73" s="1124"/>
      <c r="F73" s="598"/>
      <c r="G73" s="1124"/>
      <c r="H73" s="598"/>
      <c r="I73" s="1124"/>
      <c r="J73" s="1167"/>
      <c r="K73" s="598"/>
      <c r="L73" s="1167"/>
      <c r="M73" s="598"/>
      <c r="N73" s="598"/>
      <c r="O73" s="1124"/>
      <c r="P73" s="1125"/>
      <c r="Q73" s="1125"/>
      <c r="R73" s="598"/>
      <c r="S73" s="598"/>
      <c r="T73" s="598"/>
      <c r="U73" s="598"/>
      <c r="V73" s="598"/>
      <c r="W73" s="598"/>
      <c r="X73" s="1124"/>
      <c r="Y73" s="598"/>
      <c r="Z73" s="598"/>
      <c r="AA73" s="598"/>
      <c r="AB73" s="598"/>
      <c r="AC73" s="598"/>
      <c r="AD73" s="598"/>
      <c r="AE73" s="1124"/>
      <c r="AF73" s="1125"/>
      <c r="AG73" s="1125"/>
      <c r="AH73" s="598"/>
      <c r="AI73" s="598"/>
      <c r="AJ73" s="598"/>
      <c r="AK73" s="598"/>
      <c r="AL73" s="598"/>
      <c r="AM73" s="598"/>
      <c r="AN73" s="1124"/>
      <c r="AP73" s="487"/>
      <c r="AQ73" s="487"/>
      <c r="AR73" s="487"/>
      <c r="AS73" s="487"/>
      <c r="AT73" s="487"/>
      <c r="AU73" s="487"/>
      <c r="AV73" s="487"/>
      <c r="AW73" s="487"/>
      <c r="AX73" s="487"/>
      <c r="AY73" s="487"/>
      <c r="AZ73" s="487"/>
      <c r="BA73" s="487"/>
      <c r="BB73" s="487"/>
      <c r="BC73" s="487"/>
      <c r="BD73" s="487"/>
      <c r="BE73" s="487"/>
      <c r="BF73" s="487"/>
      <c r="BG73" s="487"/>
      <c r="BH73" s="487"/>
    </row>
    <row r="74" spans="1:60" hidden="1" outlineLevel="1">
      <c r="A74" s="598" t="s">
        <v>527</v>
      </c>
      <c r="B74" s="1157" t="s">
        <v>514</v>
      </c>
      <c r="C74" s="598"/>
      <c r="D74" s="1120">
        <f>(S74/S67-1)*100</f>
        <v>12.610565344828096</v>
      </c>
      <c r="E74" s="1124" t="s">
        <v>190</v>
      </c>
      <c r="F74" s="1179">
        <f>'SegP&amp;L'!F109</f>
        <v>6</v>
      </c>
      <c r="G74" s="1124" t="s">
        <v>190</v>
      </c>
      <c r="H74" s="1120">
        <f>D74-F74</f>
        <v>6.6105653448280961</v>
      </c>
      <c r="I74" s="1124" t="s">
        <v>190</v>
      </c>
      <c r="J74" s="1167">
        <f>+Stores!D129</f>
        <v>1432</v>
      </c>
      <c r="K74" s="598"/>
      <c r="L74" s="1167">
        <f>AVERAGE(J74,J70)</f>
        <v>1425</v>
      </c>
      <c r="M74" s="598"/>
      <c r="N74" s="1120">
        <f>(L74/L67-1)*100</f>
        <v>5.555555555555558</v>
      </c>
      <c r="O74" s="1124" t="s">
        <v>190</v>
      </c>
      <c r="P74" s="1159">
        <f>H74/N74*100</f>
        <v>118.99017620690569</v>
      </c>
      <c r="Q74" s="1125" t="s">
        <v>190</v>
      </c>
      <c r="R74" s="598"/>
      <c r="S74" s="1160">
        <f>'SegP&amp;L'!D109</f>
        <v>2421.2240000000002</v>
      </c>
      <c r="T74" s="598" t="s">
        <v>315</v>
      </c>
      <c r="U74" s="1161">
        <f>S74/L74</f>
        <v>1.699104561403509</v>
      </c>
      <c r="V74" s="598"/>
      <c r="W74" s="1176">
        <f>(U74/U67-1)*100</f>
        <v>6.6836934845739826</v>
      </c>
      <c r="X74" s="1124" t="s">
        <v>190</v>
      </c>
      <c r="Y74" s="598"/>
      <c r="Z74" s="1129">
        <f>+Stores!G129</f>
        <v>43.457054788495867</v>
      </c>
      <c r="AA74" s="598"/>
      <c r="AB74" s="1163">
        <f>AVERAGE(Z74,Z70)</f>
        <v>43.178527394247936</v>
      </c>
      <c r="AC74" s="598"/>
      <c r="AD74" s="1120">
        <f>(AB74/AB67-1)*100</f>
        <v>5.7649170710298403</v>
      </c>
      <c r="AE74" s="1124" t="s">
        <v>190</v>
      </c>
      <c r="AF74" s="1159">
        <f>+H74/AD74*100</f>
        <v>114.66887144045576</v>
      </c>
      <c r="AG74" s="1125" t="s">
        <v>190</v>
      </c>
      <c r="AH74" s="598"/>
      <c r="AI74" s="1160">
        <f>+S74</f>
        <v>2421.2240000000002</v>
      </c>
      <c r="AJ74" s="598"/>
      <c r="AK74" s="1164">
        <f>AI74/AB74</f>
        <v>56.074723852730223</v>
      </c>
      <c r="AL74" s="598"/>
      <c r="AM74" s="1176">
        <f>(AK74/AK67-1)*100</f>
        <v>6.4725132523867357</v>
      </c>
      <c r="AN74" s="1124" t="s">
        <v>190</v>
      </c>
      <c r="AP74" s="487"/>
      <c r="AQ74" s="487"/>
      <c r="AR74" s="487"/>
      <c r="AS74" s="487"/>
      <c r="AT74" s="487"/>
      <c r="AU74" s="487"/>
      <c r="AV74" s="487"/>
      <c r="AW74" s="487"/>
      <c r="AX74" s="487"/>
      <c r="AY74" s="487"/>
      <c r="AZ74" s="487"/>
      <c r="BA74" s="487"/>
      <c r="BB74" s="487"/>
      <c r="BC74" s="487"/>
      <c r="BD74" s="487"/>
      <c r="BE74" s="487"/>
      <c r="BF74" s="487"/>
      <c r="BG74" s="487"/>
      <c r="BH74" s="487"/>
    </row>
    <row r="75" spans="1:60" hidden="1" outlineLevel="1">
      <c r="A75" s="598" t="s">
        <v>528</v>
      </c>
      <c r="B75" s="1157" t="s">
        <v>515</v>
      </c>
      <c r="C75" s="598"/>
      <c r="D75" s="1120">
        <f>(S75/S68-1)*100</f>
        <v>6.1134591344722766</v>
      </c>
      <c r="E75" s="598"/>
      <c r="F75" s="1179">
        <f>'SegP&amp;L'!F110</f>
        <v>2</v>
      </c>
      <c r="G75" s="598"/>
      <c r="H75" s="1120">
        <f>D75-F75</f>
        <v>4.1134591344722766</v>
      </c>
      <c r="I75" s="598"/>
      <c r="J75" s="1167">
        <f>+Stores!D130</f>
        <v>1437</v>
      </c>
      <c r="K75" s="1127"/>
      <c r="L75" s="1167">
        <f>AVERAGE(J75,J74)</f>
        <v>1434.5</v>
      </c>
      <c r="M75" s="598"/>
      <c r="N75" s="1120">
        <f>(L75/L68-1)*100</f>
        <v>4.9378200438917386</v>
      </c>
      <c r="O75" s="1124"/>
      <c r="P75" s="1159">
        <f>H75/N75*100</f>
        <v>83.305164989979204</v>
      </c>
      <c r="Q75" s="1125"/>
      <c r="R75" s="598"/>
      <c r="S75" s="1165">
        <f>'SegP&amp;L'!D110</f>
        <v>2442.1619999999998</v>
      </c>
      <c r="T75" s="1127"/>
      <c r="U75" s="1166">
        <f>S75/L75</f>
        <v>1.70244823980481</v>
      </c>
      <c r="V75" s="598"/>
      <c r="W75" s="1176">
        <f>(U75/U68-1)*100</f>
        <v>1.1203197189429082</v>
      </c>
      <c r="X75" s="1124"/>
      <c r="Y75" s="598"/>
      <c r="Z75" s="1129">
        <f>+Stores!G130</f>
        <v>43.613332559669715</v>
      </c>
      <c r="AA75" s="1127"/>
      <c r="AB75" s="1163">
        <f>AVERAGE(Z75,Z74)</f>
        <v>43.535193674082791</v>
      </c>
      <c r="AC75" s="598"/>
      <c r="AD75" s="1120">
        <f>(AB75/AB68-1)*100</f>
        <v>5.2846279905266913</v>
      </c>
      <c r="AE75" s="1124"/>
      <c r="AF75" s="1159">
        <f>+H75/AD75*100</f>
        <v>77.838196782178983</v>
      </c>
      <c r="AG75" s="1125"/>
      <c r="AH75" s="598"/>
      <c r="AI75" s="1165">
        <f>+S75</f>
        <v>2442.1619999999998</v>
      </c>
      <c r="AJ75" s="598"/>
      <c r="AK75" s="1167">
        <f>AI75/AB75</f>
        <v>56.096270485959927</v>
      </c>
      <c r="AL75" s="598"/>
      <c r="AM75" s="1176">
        <f>(AK75/AK68-1)*100</f>
        <v>0.78722901886507657</v>
      </c>
      <c r="AN75" s="1124"/>
      <c r="AP75" s="487"/>
      <c r="AQ75" s="487"/>
      <c r="AR75" s="487"/>
      <c r="AS75" s="487"/>
      <c r="AT75" s="487"/>
      <c r="AU75" s="487"/>
      <c r="AV75" s="487"/>
      <c r="AW75" s="487"/>
      <c r="AX75" s="487"/>
      <c r="AY75" s="487"/>
      <c r="AZ75" s="487"/>
      <c r="BA75" s="487"/>
      <c r="BB75" s="487"/>
      <c r="BC75" s="487"/>
      <c r="BD75" s="487"/>
      <c r="BE75" s="487"/>
      <c r="BF75" s="487"/>
      <c r="BG75" s="487"/>
      <c r="BH75" s="487"/>
    </row>
    <row r="76" spans="1:60" hidden="1" outlineLevel="1">
      <c r="A76" s="598" t="s">
        <v>529</v>
      </c>
      <c r="B76" s="1157" t="s">
        <v>516</v>
      </c>
      <c r="C76" s="598"/>
      <c r="D76" s="1120">
        <f>(S76/S69-1)*100</f>
        <v>5.3044595847789422</v>
      </c>
      <c r="E76" s="598"/>
      <c r="F76" s="1179">
        <f>'SegP&amp;L'!F111</f>
        <v>2</v>
      </c>
      <c r="G76" s="598"/>
      <c r="H76" s="1120">
        <f>D76-F76</f>
        <v>3.3044595847789422</v>
      </c>
      <c r="I76" s="598"/>
      <c r="J76" s="1167">
        <f>+Stores!D131</f>
        <v>1462</v>
      </c>
      <c r="K76" s="1127"/>
      <c r="L76" s="1167">
        <f>AVERAGE(J76,J75)</f>
        <v>1449.5</v>
      </c>
      <c r="M76" s="598"/>
      <c r="N76" s="1120">
        <f>(L76/L69-1)*100</f>
        <v>4.1307471264367734</v>
      </c>
      <c r="O76" s="1124"/>
      <c r="P76" s="1159">
        <f>H76/N76*100</f>
        <v>79.99665638282255</v>
      </c>
      <c r="Q76" s="1125"/>
      <c r="R76" s="598"/>
      <c r="S76" s="1165">
        <f>'SegP&amp;L'!D111</f>
        <v>2671.8890000000001</v>
      </c>
      <c r="T76" s="1127"/>
      <c r="U76" s="1166">
        <f>S76/L76</f>
        <v>1.8433176957571578</v>
      </c>
      <c r="V76" s="598"/>
      <c r="W76" s="1176">
        <f>(U76/U69-1)*100</f>
        <v>1.1271526333303195</v>
      </c>
      <c r="X76" s="1124"/>
      <c r="Y76" s="598"/>
      <c r="Z76" s="1129">
        <f>+Stores!G131</f>
        <v>44.370534716654859</v>
      </c>
      <c r="AA76" s="1127"/>
      <c r="AB76" s="1163">
        <f>AVERAGE(Z76,Z75)</f>
        <v>43.991933638162287</v>
      </c>
      <c r="AC76" s="598"/>
      <c r="AD76" s="1120">
        <f>(AB76/AB69-1)*100</f>
        <v>4.4467666330214151</v>
      </c>
      <c r="AE76" s="1124"/>
      <c r="AF76" s="1159">
        <f>+H76/AD76*100</f>
        <v>74.31151345429798</v>
      </c>
      <c r="AG76" s="1125"/>
      <c r="AH76" s="598"/>
      <c r="AI76" s="1165">
        <f>+S76</f>
        <v>2671.8890000000001</v>
      </c>
      <c r="AJ76" s="598"/>
      <c r="AK76" s="1167">
        <f>AI76/AB76</f>
        <v>60.735884491382755</v>
      </c>
      <c r="AL76" s="598"/>
      <c r="AM76" s="1176">
        <f>(AK76/AK69-1)*100</f>
        <v>0.82117712151978939</v>
      </c>
      <c r="AN76" s="1124"/>
      <c r="AP76" s="487"/>
      <c r="AQ76" s="487"/>
      <c r="AR76" s="487"/>
      <c r="AS76" s="487"/>
      <c r="AT76" s="487"/>
      <c r="AU76" s="487"/>
      <c r="AV76" s="487"/>
      <c r="AW76" s="487"/>
      <c r="AX76" s="487"/>
      <c r="AY76" s="487"/>
      <c r="AZ76" s="487"/>
      <c r="BA76" s="487"/>
      <c r="BB76" s="487"/>
      <c r="BC76" s="487"/>
      <c r="BD76" s="487"/>
      <c r="BE76" s="487"/>
      <c r="BF76" s="487"/>
      <c r="BG76" s="487"/>
      <c r="BH76" s="487"/>
    </row>
    <row r="77" spans="1:60" hidden="1" outlineLevel="1">
      <c r="A77" s="598" t="s">
        <v>530</v>
      </c>
      <c r="B77" s="1157" t="s">
        <v>517</v>
      </c>
      <c r="C77" s="598"/>
      <c r="D77" s="1168">
        <f>(S77/S70-1)*100</f>
        <v>0.19824593892598941</v>
      </c>
      <c r="E77" s="598"/>
      <c r="F77" s="1178">
        <f>'SegP&amp;L'!F112</f>
        <v>4</v>
      </c>
      <c r="G77" s="598"/>
      <c r="H77" s="1168">
        <f>D77-F77</f>
        <v>-3.8017540610740106</v>
      </c>
      <c r="I77" s="598"/>
      <c r="J77" s="1167">
        <f>+Stores!D132</f>
        <v>1468</v>
      </c>
      <c r="K77" s="1127"/>
      <c r="L77" s="1175">
        <f>AVERAGE(J77,J76)</f>
        <v>1465</v>
      </c>
      <c r="M77" s="598"/>
      <c r="N77" s="1168">
        <f>(L77/L70-1)*100</f>
        <v>3.6801132342533682</v>
      </c>
      <c r="O77" s="1124"/>
      <c r="P77" s="1159">
        <f>H77/N77*100</f>
        <v>-103.30535554418398</v>
      </c>
      <c r="Q77" s="1125"/>
      <c r="R77" s="598"/>
      <c r="S77" s="1172">
        <f>'SegP&amp;L'!D112</f>
        <v>2954.203</v>
      </c>
      <c r="T77" s="1127"/>
      <c r="U77" s="1173">
        <f>S77/L77</f>
        <v>2.0165208191126278</v>
      </c>
      <c r="V77" s="598"/>
      <c r="W77" s="1169">
        <f>(U77/U70-1)*100</f>
        <v>-3.3582788316024459</v>
      </c>
      <c r="X77" s="1124"/>
      <c r="Y77" s="598"/>
      <c r="Z77" s="1129">
        <f>+Stores!G132</f>
        <v>44.551157556668024</v>
      </c>
      <c r="AA77" s="1127"/>
      <c r="AB77" s="1174">
        <f>AVERAGE(Z77,Z76)</f>
        <v>44.460846136661445</v>
      </c>
      <c r="AC77" s="598"/>
      <c r="AD77" s="1168">
        <f>(AB77/AB70-1)*100</f>
        <v>3.986168504581622</v>
      </c>
      <c r="AE77" s="1124"/>
      <c r="AF77" s="1171">
        <f>+H77/AD77*100</f>
        <v>-95.373641548377876</v>
      </c>
      <c r="AG77" s="1125"/>
      <c r="AH77" s="598"/>
      <c r="AI77" s="1172">
        <f>+S77</f>
        <v>2954.203</v>
      </c>
      <c r="AJ77" s="598"/>
      <c r="AK77" s="1175">
        <f>AI77/AB77</f>
        <v>66.44504674786269</v>
      </c>
      <c r="AL77" s="598"/>
      <c r="AM77" s="1169">
        <f>(AK77/AK70-1)*100</f>
        <v>-3.6427176999878852</v>
      </c>
      <c r="AN77" s="1124"/>
      <c r="AP77" s="487"/>
      <c r="AQ77" s="487"/>
      <c r="AR77" s="487"/>
      <c r="AS77" s="487"/>
      <c r="AT77" s="487"/>
      <c r="AU77" s="487"/>
      <c r="AV77" s="487"/>
      <c r="AW77" s="487"/>
      <c r="AX77" s="487"/>
      <c r="AY77" s="487"/>
      <c r="AZ77" s="487"/>
      <c r="BA77" s="487"/>
      <c r="BB77" s="487"/>
      <c r="BC77" s="487"/>
      <c r="BD77" s="487"/>
      <c r="BE77" s="487"/>
      <c r="BF77" s="487"/>
      <c r="BG77" s="487"/>
      <c r="BH77" s="487"/>
    </row>
    <row r="78" spans="1:60" hidden="1" outlineLevel="1">
      <c r="A78" s="598"/>
      <c r="B78" s="1157" t="s">
        <v>531</v>
      </c>
      <c r="C78" s="598"/>
      <c r="D78" s="1120">
        <f>(S78/S71-1)*100</f>
        <v>5.5576185096696262</v>
      </c>
      <c r="E78" s="598"/>
      <c r="F78" s="1179">
        <f>F74*S74/$S78+F75*S75/$S78+F76*S76/$S78+F77*S77/$S78</f>
        <v>3.4865660617239485</v>
      </c>
      <c r="G78" s="598"/>
      <c r="H78" s="1120">
        <f>D78-F78</f>
        <v>2.0710524479456778</v>
      </c>
      <c r="I78" s="598"/>
      <c r="J78" s="598"/>
      <c r="K78" s="598"/>
      <c r="L78" s="1167">
        <f>AVERAGE(L74:L77)</f>
        <v>1443.5</v>
      </c>
      <c r="M78" s="598"/>
      <c r="N78" s="1120">
        <f>(L78/L71-1)*100</f>
        <v>4.5635639261137229</v>
      </c>
      <c r="O78" s="1124"/>
      <c r="P78" s="1159">
        <f>H78/N78*100</f>
        <v>45.382347688714461</v>
      </c>
      <c r="Q78" s="1125"/>
      <c r="R78" s="598"/>
      <c r="S78" s="1160">
        <f>SUM(S74:S77)</f>
        <v>10489.478000000001</v>
      </c>
      <c r="T78" s="598"/>
      <c r="U78" s="1161">
        <f>SUM(U74:U77)</f>
        <v>7.2613913160781038</v>
      </c>
      <c r="V78" s="598"/>
      <c r="W78" s="1176">
        <f>(U78/U71-1)*100</f>
        <v>1.0546298294040302</v>
      </c>
      <c r="X78" s="1124"/>
      <c r="Y78" s="598"/>
      <c r="Z78" s="598"/>
      <c r="AA78" s="598"/>
      <c r="AB78" s="1163">
        <f>AVERAGE(AB74:AB77)</f>
        <v>43.791625210788617</v>
      </c>
      <c r="AC78" s="598"/>
      <c r="AD78" s="1120">
        <f>(AB78/AB71-1)*100</f>
        <v>4.8584115840146991</v>
      </c>
      <c r="AE78" s="1124"/>
      <c r="AF78" s="1159">
        <f>+H78/AD78*100</f>
        <v>42.628180262864532</v>
      </c>
      <c r="AG78" s="1125"/>
      <c r="AH78" s="598"/>
      <c r="AI78" s="1160">
        <f>SUM(AI74:AI77)</f>
        <v>10489.478000000001</v>
      </c>
      <c r="AJ78" s="598"/>
      <c r="AK78" s="1164">
        <f>SUM(AK74:AK77)</f>
        <v>239.35192557793562</v>
      </c>
      <c r="AL78" s="598"/>
      <c r="AM78" s="1176">
        <f>(AK78/AK71-1)*100</f>
        <v>0.77034698129947454</v>
      </c>
      <c r="AN78" s="1124"/>
      <c r="AP78" s="487"/>
      <c r="AQ78" s="487"/>
      <c r="AR78" s="487"/>
      <c r="AS78" s="487"/>
      <c r="AT78" s="487"/>
      <c r="AU78" s="487"/>
      <c r="AV78" s="487"/>
      <c r="AW78" s="487"/>
      <c r="AX78" s="487"/>
      <c r="AY78" s="487"/>
      <c r="AZ78" s="487"/>
      <c r="BA78" s="487"/>
      <c r="BB78" s="487"/>
      <c r="BC78" s="487"/>
      <c r="BD78" s="487"/>
      <c r="BE78" s="487"/>
      <c r="BF78" s="487"/>
      <c r="BG78" s="487"/>
      <c r="BH78" s="487"/>
    </row>
    <row r="79" spans="1:60" hidden="1" outlineLevel="1">
      <c r="A79" s="598"/>
      <c r="B79" s="1157"/>
      <c r="C79" s="598"/>
      <c r="D79" s="598"/>
      <c r="E79" s="598"/>
      <c r="F79" s="598"/>
      <c r="G79" s="598"/>
      <c r="H79" s="598"/>
      <c r="I79" s="598"/>
      <c r="J79" s="1167"/>
      <c r="K79" s="598"/>
      <c r="L79" s="1167"/>
      <c r="M79" s="598"/>
      <c r="N79" s="598"/>
      <c r="O79" s="1124"/>
      <c r="P79" s="598"/>
      <c r="Q79" s="598"/>
      <c r="R79" s="598"/>
      <c r="S79" s="598"/>
      <c r="T79" s="598"/>
      <c r="U79" s="598"/>
      <c r="V79" s="598"/>
      <c r="W79" s="598"/>
      <c r="X79" s="598"/>
      <c r="Y79" s="598"/>
      <c r="Z79" s="598"/>
      <c r="AA79" s="598"/>
      <c r="AB79" s="598"/>
      <c r="AC79" s="598"/>
      <c r="AD79" s="598"/>
      <c r="AE79" s="1124"/>
      <c r="AF79" s="598"/>
      <c r="AG79" s="598"/>
      <c r="AH79" s="598"/>
      <c r="AI79" s="598"/>
      <c r="AJ79" s="598"/>
      <c r="AK79" s="598"/>
      <c r="AL79" s="598"/>
      <c r="AM79" s="598"/>
      <c r="AN79" s="598"/>
      <c r="AP79" s="487"/>
      <c r="AQ79" s="487"/>
      <c r="AR79" s="487"/>
      <c r="AS79" s="487"/>
      <c r="AT79" s="487"/>
      <c r="AU79" s="487"/>
      <c r="AV79" s="487"/>
      <c r="AW79" s="487"/>
      <c r="AX79" s="487"/>
      <c r="AY79" s="487"/>
      <c r="AZ79" s="487"/>
      <c r="BA79" s="487"/>
      <c r="BB79" s="487"/>
      <c r="BC79" s="487"/>
      <c r="BD79" s="487"/>
      <c r="BE79" s="487"/>
      <c r="BF79" s="487"/>
      <c r="BG79" s="487"/>
      <c r="BH79" s="487"/>
    </row>
    <row r="80" spans="1:60" hidden="1" outlineLevel="1" collapsed="1">
      <c r="A80" s="1154"/>
      <c r="B80" s="1118">
        <f>+B73+1</f>
        <v>2005</v>
      </c>
      <c r="C80" s="598"/>
      <c r="D80" s="598"/>
      <c r="E80" s="1124"/>
      <c r="F80" s="598"/>
      <c r="G80" s="1124"/>
      <c r="H80" s="598"/>
      <c r="I80" s="1124"/>
      <c r="J80" s="1167"/>
      <c r="K80" s="598"/>
      <c r="L80" s="1167"/>
      <c r="M80" s="598"/>
      <c r="N80" s="598"/>
      <c r="O80" s="1124"/>
      <c r="P80" s="1125"/>
      <c r="Q80" s="1125"/>
      <c r="R80" s="598"/>
      <c r="S80" s="598"/>
      <c r="T80" s="598"/>
      <c r="U80" s="598"/>
      <c r="V80" s="598"/>
      <c r="W80" s="598"/>
      <c r="X80" s="1124"/>
      <c r="Y80" s="598"/>
      <c r="Z80" s="598"/>
      <c r="AA80" s="598"/>
      <c r="AB80" s="598"/>
      <c r="AC80" s="598"/>
      <c r="AD80" s="598"/>
      <c r="AE80" s="1124"/>
      <c r="AF80" s="1125"/>
      <c r="AG80" s="1125"/>
      <c r="AH80" s="598"/>
      <c r="AI80" s="598"/>
      <c r="AJ80" s="598"/>
      <c r="AK80" s="598"/>
      <c r="AL80" s="598"/>
      <c r="AM80" s="598"/>
      <c r="AN80" s="1124"/>
      <c r="AP80" s="487"/>
      <c r="AQ80" s="487"/>
      <c r="AR80" s="487"/>
      <c r="AS80" s="487"/>
      <c r="AT80" s="487"/>
      <c r="AU80" s="487"/>
      <c r="AV80" s="487"/>
      <c r="AW80" s="487"/>
      <c r="AX80" s="487"/>
      <c r="AY80" s="487"/>
      <c r="AZ80" s="487"/>
      <c r="BA80" s="487"/>
      <c r="BB80" s="487"/>
      <c r="BC80" s="487"/>
      <c r="BD80" s="487"/>
      <c r="BE80" s="487"/>
      <c r="BF80" s="487"/>
      <c r="BG80" s="487"/>
      <c r="BH80" s="487"/>
    </row>
    <row r="81" spans="1:60" hidden="1" outlineLevel="1">
      <c r="A81" s="598" t="s">
        <v>527</v>
      </c>
      <c r="B81" s="1157" t="s">
        <v>514</v>
      </c>
      <c r="C81" s="598"/>
      <c r="D81" s="1120">
        <f>(S81/S74-1)*100</f>
        <v>5.8797533809345826</v>
      </c>
      <c r="E81" s="1124" t="s">
        <v>190</v>
      </c>
      <c r="F81" s="1179">
        <f>'SegP&amp;L'!F116</f>
        <v>3</v>
      </c>
      <c r="G81" s="1124" t="s">
        <v>190</v>
      </c>
      <c r="H81" s="1120">
        <f>D81-F81</f>
        <v>2.8797533809345826</v>
      </c>
      <c r="I81" s="1124" t="s">
        <v>190</v>
      </c>
      <c r="J81" s="1167">
        <f>+Stores!D137</f>
        <v>1472</v>
      </c>
      <c r="K81" s="598"/>
      <c r="L81" s="1167">
        <f>AVERAGE(J81,J77)</f>
        <v>1470</v>
      </c>
      <c r="M81" s="598"/>
      <c r="N81" s="1120">
        <f>(L81/L74-1)*100</f>
        <v>3.1578947368421151</v>
      </c>
      <c r="O81" s="1124" t="s">
        <v>190</v>
      </c>
      <c r="P81" s="1159">
        <f>H81/N81*100</f>
        <v>91.192190396261495</v>
      </c>
      <c r="Q81" s="1125" t="s">
        <v>190</v>
      </c>
      <c r="R81" s="598"/>
      <c r="S81" s="1160">
        <f>+'SegP&amp;L'!D116</f>
        <v>2563.5859999999998</v>
      </c>
      <c r="T81" s="598" t="s">
        <v>315</v>
      </c>
      <c r="U81" s="1161">
        <f>S81/L81</f>
        <v>1.7439360544217686</v>
      </c>
      <c r="V81" s="598"/>
      <c r="W81" s="1176">
        <f>(U81/U74-1)*100</f>
        <v>2.6385364407018885</v>
      </c>
      <c r="X81" s="1124" t="s">
        <v>190</v>
      </c>
      <c r="Y81" s="598"/>
      <c r="Z81" s="1129">
        <f>+Stores!G137</f>
        <v>44.672724530909377</v>
      </c>
      <c r="AA81" s="598"/>
      <c r="AB81" s="1163">
        <f>AVERAGE(Z81,Z77)</f>
        <v>44.611941043788704</v>
      </c>
      <c r="AC81" s="598"/>
      <c r="AD81" s="1120">
        <f>(AB81/AB74-1)*100</f>
        <v>3.3197372306210671</v>
      </c>
      <c r="AE81" s="1124" t="s">
        <v>190</v>
      </c>
      <c r="AF81" s="1159">
        <f>+H81/AD81*100</f>
        <v>86.746425421021328</v>
      </c>
      <c r="AG81" s="1125" t="s">
        <v>190</v>
      </c>
      <c r="AH81" s="598"/>
      <c r="AI81" s="1160">
        <f>+S81</f>
        <v>2563.5859999999998</v>
      </c>
      <c r="AJ81" s="598"/>
      <c r="AK81" s="1164">
        <f>AI81/AB81</f>
        <v>57.464121488991488</v>
      </c>
      <c r="AL81" s="598"/>
      <c r="AM81" s="1176">
        <f>(AK81/AK74-1)*100</f>
        <v>2.4777609960420888</v>
      </c>
      <c r="AN81" s="1124" t="s">
        <v>190</v>
      </c>
      <c r="AP81" s="487"/>
      <c r="AQ81" s="487"/>
      <c r="AR81" s="487"/>
      <c r="AS81" s="487"/>
      <c r="AT81" s="487"/>
      <c r="AU81" s="487"/>
      <c r="AV81" s="487"/>
      <c r="AW81" s="487"/>
      <c r="AX81" s="487"/>
      <c r="AY81" s="487"/>
      <c r="AZ81" s="487"/>
      <c r="BA81" s="487"/>
      <c r="BB81" s="487"/>
      <c r="BC81" s="487"/>
      <c r="BD81" s="487"/>
      <c r="BE81" s="487"/>
      <c r="BF81" s="487"/>
      <c r="BG81" s="487"/>
      <c r="BH81" s="487"/>
    </row>
    <row r="82" spans="1:60" hidden="1" outlineLevel="1">
      <c r="A82" s="598" t="s">
        <v>528</v>
      </c>
      <c r="B82" s="1157" t="s">
        <v>515</v>
      </c>
      <c r="C82" s="598"/>
      <c r="D82" s="1120">
        <f>(S82/S75-1)*100</f>
        <v>3.8960969829192393</v>
      </c>
      <c r="E82" s="598"/>
      <c r="F82" s="1179">
        <f>'SegP&amp;L'!F117</f>
        <v>2</v>
      </c>
      <c r="G82" s="598"/>
      <c r="H82" s="1120">
        <f>D82-F82</f>
        <v>1.8960969829192393</v>
      </c>
      <c r="I82" s="598"/>
      <c r="J82" s="1167">
        <f>+Stores!D138</f>
        <v>1477</v>
      </c>
      <c r="K82" s="1127"/>
      <c r="L82" s="1167">
        <f>AVERAGE(J82,J81)</f>
        <v>1474.5</v>
      </c>
      <c r="M82" s="598"/>
      <c r="N82" s="1120">
        <f>(L82/L75-1)*100</f>
        <v>2.7884280237016279</v>
      </c>
      <c r="O82" s="1124"/>
      <c r="P82" s="1159">
        <f>H82/N82*100</f>
        <v>67.998778049941478</v>
      </c>
      <c r="Q82" s="1125"/>
      <c r="R82" s="598"/>
      <c r="S82" s="1165">
        <f>+'SegP&amp;L'!D117</f>
        <v>2537.3110000000001</v>
      </c>
      <c r="T82" s="1127"/>
      <c r="U82" s="1166">
        <f>S82/L82</f>
        <v>1.7207941675144118</v>
      </c>
      <c r="V82" s="598"/>
      <c r="W82" s="1176">
        <f>(U82/U75-1)*100</f>
        <v>1.0776202929790868</v>
      </c>
      <c r="X82" s="1124"/>
      <c r="Y82" s="598"/>
      <c r="Z82" s="1129">
        <f>+Stores!G138</f>
        <v>44.822091816687774</v>
      </c>
      <c r="AA82" s="1127"/>
      <c r="AB82" s="1163">
        <f>AVERAGE(Z82,Z81)</f>
        <v>44.747408173798576</v>
      </c>
      <c r="AC82" s="598"/>
      <c r="AD82" s="1120">
        <f>(AB82/AB75-1)*100</f>
        <v>2.7844472423639077</v>
      </c>
      <c r="AE82" s="1124"/>
      <c r="AF82" s="1159">
        <f>+H82/AD82*100</f>
        <v>68.0959924135432</v>
      </c>
      <c r="AG82" s="1125"/>
      <c r="AH82" s="598"/>
      <c r="AI82" s="1165">
        <f>+S82</f>
        <v>2537.3110000000001</v>
      </c>
      <c r="AJ82" s="598"/>
      <c r="AK82" s="1167">
        <f>AI82/AB82</f>
        <v>56.70297126808115</v>
      </c>
      <c r="AL82" s="598"/>
      <c r="AM82" s="1176">
        <f>(AK82/AK75-1)*100</f>
        <v>1.0815349699104804</v>
      </c>
      <c r="AN82" s="1124"/>
      <c r="AP82" s="487"/>
      <c r="AQ82" s="487"/>
      <c r="AR82" s="487"/>
      <c r="AS82" s="487"/>
      <c r="AT82" s="487"/>
      <c r="AU82" s="487"/>
      <c r="AV82" s="487"/>
      <c r="AW82" s="487"/>
      <c r="AX82" s="487"/>
      <c r="AY82" s="487"/>
      <c r="AZ82" s="487"/>
      <c r="BA82" s="487"/>
      <c r="BB82" s="487"/>
      <c r="BC82" s="487"/>
      <c r="BD82" s="487"/>
      <c r="BE82" s="487"/>
      <c r="BF82" s="487"/>
      <c r="BG82" s="487"/>
      <c r="BH82" s="487"/>
    </row>
    <row r="83" spans="1:60" hidden="1" outlineLevel="1">
      <c r="A83" s="598" t="s">
        <v>529</v>
      </c>
      <c r="B83" s="1157" t="s">
        <v>516</v>
      </c>
      <c r="C83" s="598"/>
      <c r="D83" s="1120">
        <f>(S83/S76-1)*100</f>
        <v>2.0910299791645492</v>
      </c>
      <c r="E83" s="598"/>
      <c r="F83" s="1179">
        <f>'SegP&amp;L'!F118</f>
        <v>0</v>
      </c>
      <c r="G83" s="598"/>
      <c r="H83" s="1120">
        <f>D83-F83</f>
        <v>2.0910299791645492</v>
      </c>
      <c r="I83" s="598"/>
      <c r="J83" s="1167">
        <f>+Stores!D139</f>
        <v>1513</v>
      </c>
      <c r="K83" s="1127"/>
      <c r="L83" s="1167">
        <f>AVERAGE(J83,J82)</f>
        <v>1495</v>
      </c>
      <c r="M83" s="598"/>
      <c r="N83" s="1120">
        <f>(L83/L76-1)*100</f>
        <v>3.1390134529148073</v>
      </c>
      <c r="O83" s="1124"/>
      <c r="P83" s="1159">
        <f>H83/N83*100</f>
        <v>66.614240764813303</v>
      </c>
      <c r="Q83" s="1125"/>
      <c r="R83" s="598"/>
      <c r="S83" s="1165">
        <f>+'SegP&amp;L'!D118</f>
        <v>2727.759</v>
      </c>
      <c r="T83" s="1127"/>
      <c r="U83" s="1166">
        <f>S83/L83</f>
        <v>1.8245879598662207</v>
      </c>
      <c r="V83" s="598"/>
      <c r="W83" s="1176">
        <f>(U83/U76-1)*100</f>
        <v>-1.0160883245491581</v>
      </c>
      <c r="X83" s="1124"/>
      <c r="Y83" s="598"/>
      <c r="Z83" s="1129">
        <f>+Stores!G139</f>
        <v>45.916194584859937</v>
      </c>
      <c r="AA83" s="1127"/>
      <c r="AB83" s="1163">
        <f>AVERAGE(Z83,Z82)</f>
        <v>45.369143200773856</v>
      </c>
      <c r="AC83" s="598"/>
      <c r="AD83" s="1120">
        <f>(AB83/AB76-1)*100</f>
        <v>3.1305956540561342</v>
      </c>
      <c r="AE83" s="1124"/>
      <c r="AF83" s="1159">
        <f>+H83/AD83*100</f>
        <v>66.793358524449516</v>
      </c>
      <c r="AG83" s="1125"/>
      <c r="AH83" s="598"/>
      <c r="AI83" s="1165">
        <f>+S83</f>
        <v>2727.759</v>
      </c>
      <c r="AJ83" s="598"/>
      <c r="AK83" s="1167">
        <f>AI83/AB83</f>
        <v>60.123661315990489</v>
      </c>
      <c r="AL83" s="598"/>
      <c r="AM83" s="1176">
        <f>(AK83/AK76-1)*100</f>
        <v>-1.0080089892806732</v>
      </c>
      <c r="AN83" s="1124"/>
      <c r="AP83" s="487"/>
      <c r="AQ83" s="487"/>
      <c r="AR83" s="487"/>
      <c r="AS83" s="487"/>
      <c r="AT83" s="487"/>
      <c r="AU83" s="487"/>
      <c r="AV83" s="487"/>
      <c r="AW83" s="487"/>
      <c r="AX83" s="487"/>
      <c r="AY83" s="487"/>
      <c r="AZ83" s="487"/>
      <c r="BA83" s="487"/>
      <c r="BB83" s="487"/>
      <c r="BC83" s="487"/>
      <c r="BD83" s="487"/>
      <c r="BE83" s="487"/>
      <c r="BF83" s="487"/>
      <c r="BG83" s="487"/>
      <c r="BH83" s="487"/>
    </row>
    <row r="84" spans="1:60" hidden="1" outlineLevel="1">
      <c r="A84" s="598" t="s">
        <v>530</v>
      </c>
      <c r="B84" s="1157" t="s">
        <v>517</v>
      </c>
      <c r="C84" s="598"/>
      <c r="D84" s="1168">
        <f>(S84/S77-1)*100</f>
        <v>5.887510100016824</v>
      </c>
      <c r="E84" s="598"/>
      <c r="F84" s="1178">
        <f>'SegP&amp;L'!F119</f>
        <v>4</v>
      </c>
      <c r="G84" s="598"/>
      <c r="H84" s="1168">
        <f>D84-F84</f>
        <v>1.887510100016824</v>
      </c>
      <c r="I84" s="598"/>
      <c r="J84" s="1167">
        <f>yrSales!Q$92</f>
        <v>1514</v>
      </c>
      <c r="K84" s="1127"/>
      <c r="L84" s="1175">
        <f>AVERAGE(J84,J83)</f>
        <v>1513.5</v>
      </c>
      <c r="M84" s="598"/>
      <c r="N84" s="1168">
        <f>(L84/L77-1)*100</f>
        <v>3.3105802047781463</v>
      </c>
      <c r="O84" s="1124"/>
      <c r="P84" s="1171">
        <f>H84/N84*100</f>
        <v>57.014480340714556</v>
      </c>
      <c r="Q84" s="1125"/>
      <c r="R84" s="598"/>
      <c r="S84" s="1172">
        <f>+'SegP&amp;L'!D119</f>
        <v>3128.1320000000001</v>
      </c>
      <c r="T84" s="1127"/>
      <c r="U84" s="1173">
        <f>S84/L84</f>
        <v>2.066819953749587</v>
      </c>
      <c r="V84" s="598"/>
      <c r="W84" s="1169">
        <f>(U84/U77-1)*100</f>
        <v>2.4943523597784401</v>
      </c>
      <c r="X84" s="1124"/>
      <c r="Y84" s="598"/>
      <c r="Z84" s="1129">
        <f>yrSales!Q$110</f>
        <v>46.417000000000002</v>
      </c>
      <c r="AA84" s="1127"/>
      <c r="AB84" s="1174">
        <f>AVERAGE(Z84,Z83)</f>
        <v>46.166597292429969</v>
      </c>
      <c r="AC84" s="598"/>
      <c r="AD84" s="1168">
        <f>(AB84/AB77-1)*100</f>
        <v>3.8365242769457852</v>
      </c>
      <c r="AE84" s="1124"/>
      <c r="AF84" s="1171">
        <f>+H84/AD84*100</f>
        <v>49.198440144355089</v>
      </c>
      <c r="AG84" s="1125"/>
      <c r="AH84" s="598"/>
      <c r="AI84" s="1172">
        <f>+S84</f>
        <v>3128.1320000000001</v>
      </c>
      <c r="AJ84" s="598"/>
      <c r="AK84" s="1175">
        <f>AI84/AB84</f>
        <v>67.757473659704317</v>
      </c>
      <c r="AL84" s="598"/>
      <c r="AM84" s="1169">
        <f>(AK84/AK77-1)*100</f>
        <v>1.9752065444725408</v>
      </c>
      <c r="AN84" s="1124"/>
      <c r="AP84" s="487"/>
      <c r="AQ84" s="487"/>
      <c r="AR84" s="487"/>
      <c r="AS84" s="487"/>
      <c r="AT84" s="487"/>
      <c r="AU84" s="487"/>
      <c r="AV84" s="487"/>
      <c r="AW84" s="487"/>
      <c r="AX84" s="487"/>
      <c r="AY84" s="487"/>
      <c r="AZ84" s="487"/>
      <c r="BA84" s="487"/>
      <c r="BB84" s="487"/>
      <c r="BC84" s="487"/>
      <c r="BD84" s="487"/>
      <c r="BE84" s="487"/>
      <c r="BF84" s="487"/>
      <c r="BG84" s="487"/>
      <c r="BH84" s="487"/>
    </row>
    <row r="85" spans="1:60" hidden="1" outlineLevel="1">
      <c r="A85" s="598"/>
      <c r="B85" s="1157" t="s">
        <v>531</v>
      </c>
      <c r="C85" s="598"/>
      <c r="D85" s="1120">
        <f>(S85/S78-1)*100</f>
        <v>4.4550357987308775</v>
      </c>
      <c r="E85" s="598"/>
      <c r="F85" s="1179">
        <f>F81*S81/$S85+F82*S82/$S85+F83*S83/$S85+F84*S84/$S85</f>
        <v>2.3070545857052265</v>
      </c>
      <c r="G85" s="598"/>
      <c r="H85" s="1120">
        <f>D85-F85</f>
        <v>2.147981213025651</v>
      </c>
      <c r="I85" s="598"/>
      <c r="J85" s="598"/>
      <c r="K85" s="598"/>
      <c r="L85" s="1167">
        <f>AVERAGE(L81:L84)</f>
        <v>1488.25</v>
      </c>
      <c r="M85" s="598"/>
      <c r="N85" s="1120">
        <f>(L85/L78-1)*100</f>
        <v>3.1001039140976738</v>
      </c>
      <c r="O85" s="1124"/>
      <c r="P85" s="1159">
        <f>H85/N85*100</f>
        <v>69.287393988883423</v>
      </c>
      <c r="Q85" s="1125"/>
      <c r="R85" s="598"/>
      <c r="S85" s="1160">
        <f>SUM(S81:S84)</f>
        <v>10956.788</v>
      </c>
      <c r="T85" s="598"/>
      <c r="U85" s="1161">
        <f>SUM(U81:U84)</f>
        <v>7.3561381355519888</v>
      </c>
      <c r="V85" s="598"/>
      <c r="W85" s="1176">
        <f>(U85/U78-1)*100</f>
        <v>1.3048025557319543</v>
      </c>
      <c r="X85" s="1124"/>
      <c r="Y85" s="598"/>
      <c r="Z85" s="598"/>
      <c r="AA85" s="598"/>
      <c r="AB85" s="1163">
        <f>AVERAGE(AB81:AB84)</f>
        <v>45.223772427697774</v>
      </c>
      <c r="AC85" s="598"/>
      <c r="AD85" s="1120">
        <f>(AB85/AB78-1)*100</f>
        <v>3.2703678157994798</v>
      </c>
      <c r="AE85" s="1124"/>
      <c r="AF85" s="1159">
        <f>+H85/AD85*100</f>
        <v>65.680111045874881</v>
      </c>
      <c r="AG85" s="1125"/>
      <c r="AH85" s="598"/>
      <c r="AI85" s="1160">
        <f>SUM(AI81:AI84)</f>
        <v>10956.788</v>
      </c>
      <c r="AJ85" s="598"/>
      <c r="AK85" s="1164">
        <f>SUM(AK81:AK84)</f>
        <v>242.04822773276743</v>
      </c>
      <c r="AL85" s="598"/>
      <c r="AM85" s="1176">
        <f>(AK85/AK78-1)*100</f>
        <v>1.1265011335594544</v>
      </c>
      <c r="AN85" s="1124"/>
      <c r="AP85" s="487"/>
      <c r="AQ85" s="487"/>
      <c r="AR85" s="487"/>
      <c r="AS85" s="487"/>
      <c r="AT85" s="487"/>
      <c r="AU85" s="487"/>
      <c r="AV85" s="487"/>
      <c r="AW85" s="487"/>
      <c r="AX85" s="487"/>
      <c r="AY85" s="487"/>
      <c r="AZ85" s="487"/>
      <c r="BA85" s="487"/>
      <c r="BB85" s="487"/>
      <c r="BC85" s="487"/>
      <c r="BD85" s="487"/>
      <c r="BE85" s="487"/>
      <c r="BF85" s="487"/>
      <c r="BG85" s="487"/>
      <c r="BH85" s="487"/>
    </row>
    <row r="86" spans="1:60" hidden="1" outlineLevel="1">
      <c r="A86" s="598"/>
      <c r="B86" s="1157"/>
      <c r="C86" s="598"/>
      <c r="D86" s="598"/>
      <c r="E86" s="598"/>
      <c r="F86" s="598"/>
      <c r="G86" s="598"/>
      <c r="H86" s="598"/>
      <c r="I86" s="598"/>
      <c r="J86" s="598"/>
      <c r="K86" s="598"/>
      <c r="L86" s="598"/>
      <c r="M86" s="598"/>
      <c r="N86" s="598"/>
      <c r="O86" s="1124"/>
      <c r="P86" s="598"/>
      <c r="Q86" s="598"/>
      <c r="R86" s="598"/>
      <c r="S86" s="598"/>
      <c r="T86" s="598"/>
      <c r="U86" s="598"/>
      <c r="V86" s="598"/>
      <c r="W86" s="598"/>
      <c r="X86" s="598"/>
      <c r="Y86" s="598"/>
      <c r="Z86" s="598"/>
      <c r="AA86" s="598"/>
      <c r="AB86" s="598"/>
      <c r="AC86" s="598"/>
      <c r="AD86" s="598"/>
      <c r="AE86" s="1124"/>
      <c r="AF86" s="598"/>
      <c r="AG86" s="598"/>
      <c r="AH86" s="598"/>
      <c r="AI86" s="598"/>
      <c r="AJ86" s="598"/>
      <c r="AK86" s="598"/>
      <c r="AL86" s="598"/>
      <c r="AM86" s="598"/>
      <c r="AN86" s="598"/>
      <c r="AP86" s="487"/>
      <c r="AQ86" s="487"/>
      <c r="AR86" s="487"/>
      <c r="AS86" s="487"/>
      <c r="AT86" s="487"/>
      <c r="AU86" s="487"/>
      <c r="AV86" s="487"/>
      <c r="AW86" s="487"/>
      <c r="AX86" s="487"/>
      <c r="AY86" s="487"/>
      <c r="AZ86" s="487"/>
      <c r="BA86" s="487"/>
      <c r="BB86" s="487"/>
      <c r="BC86" s="487"/>
      <c r="BD86" s="487"/>
      <c r="BE86" s="487"/>
      <c r="BF86" s="487"/>
      <c r="BG86" s="487"/>
      <c r="BH86" s="487"/>
    </row>
    <row r="87" spans="1:60" hidden="1" outlineLevel="1">
      <c r="A87" s="1154"/>
      <c r="B87" s="1118">
        <f>+B80+1</f>
        <v>2006</v>
      </c>
      <c r="C87" s="598"/>
      <c r="D87" s="598"/>
      <c r="E87" s="1124"/>
      <c r="F87" s="598"/>
      <c r="G87" s="1124"/>
      <c r="H87" s="598"/>
      <c r="I87" s="1124"/>
      <c r="J87" s="1167"/>
      <c r="K87" s="598"/>
      <c r="L87" s="1167"/>
      <c r="M87" s="598"/>
      <c r="N87" s="598"/>
      <c r="O87" s="1124"/>
      <c r="P87" s="1125"/>
      <c r="Q87" s="1125"/>
      <c r="R87" s="598"/>
      <c r="S87" s="598"/>
      <c r="T87" s="598"/>
      <c r="U87" s="598"/>
      <c r="V87" s="598"/>
      <c r="W87" s="598"/>
      <c r="X87" s="1124"/>
      <c r="Y87" s="598"/>
      <c r="Z87" s="598"/>
      <c r="AA87" s="598"/>
      <c r="AB87" s="598"/>
      <c r="AC87" s="598"/>
      <c r="AD87" s="598"/>
      <c r="AE87" s="1124"/>
      <c r="AF87" s="1125"/>
      <c r="AG87" s="1125"/>
      <c r="AH87" s="598"/>
      <c r="AI87" s="598"/>
      <c r="AJ87" s="598"/>
      <c r="AK87" s="598"/>
      <c r="AL87" s="598"/>
      <c r="AM87" s="598"/>
      <c r="AN87" s="1124"/>
      <c r="AP87" s="487"/>
      <c r="AQ87" s="487"/>
      <c r="AR87" s="487"/>
      <c r="AS87" s="487"/>
      <c r="AT87" s="487"/>
      <c r="AU87" s="487"/>
      <c r="AV87" s="487"/>
      <c r="AW87" s="487"/>
      <c r="AX87" s="487"/>
      <c r="AY87" s="487"/>
      <c r="AZ87" s="487"/>
      <c r="BA87" s="487"/>
      <c r="BB87" s="487"/>
      <c r="BC87" s="487"/>
      <c r="BD87" s="487"/>
      <c r="BE87" s="487"/>
      <c r="BF87" s="487"/>
      <c r="BG87" s="487"/>
      <c r="BH87" s="487"/>
    </row>
    <row r="88" spans="1:60" hidden="1" outlineLevel="1">
      <c r="A88" s="598" t="s">
        <v>527</v>
      </c>
      <c r="B88" s="1157" t="s">
        <v>514</v>
      </c>
      <c r="C88" s="598"/>
      <c r="D88" s="1120">
        <f>(S88/S81-1)*100</f>
        <v>3.2421771690124945</v>
      </c>
      <c r="E88" s="1124" t="s">
        <v>190</v>
      </c>
      <c r="F88" s="1179">
        <f>'SegP&amp;L'!$F$123</f>
        <v>1</v>
      </c>
      <c r="G88" s="1124" t="s">
        <v>190</v>
      </c>
      <c r="H88" s="1120">
        <f>D88-F88</f>
        <v>2.2421771690124945</v>
      </c>
      <c r="I88" s="1124" t="s">
        <v>190</v>
      </c>
      <c r="J88" s="1167">
        <f>+Stores!D145</f>
        <v>1530</v>
      </c>
      <c r="K88" s="598"/>
      <c r="L88" s="1167">
        <f>AVERAGE(J88,J84)</f>
        <v>1522</v>
      </c>
      <c r="M88" s="598"/>
      <c r="N88" s="1120">
        <f>(L88/L81-1)*100</f>
        <v>3.5374149659863852</v>
      </c>
      <c r="O88" s="1124" t="s">
        <v>190</v>
      </c>
      <c r="P88" s="1159">
        <f>H88/N88*100</f>
        <v>63.384623816314921</v>
      </c>
      <c r="Q88" s="1125" t="s">
        <v>190</v>
      </c>
      <c r="R88" s="598"/>
      <c r="S88" s="1160">
        <f>+'SegP&amp;L'!D123</f>
        <v>2646.7020000000002</v>
      </c>
      <c r="T88" s="598" t="s">
        <v>315</v>
      </c>
      <c r="U88" s="1161">
        <f>S88/L88</f>
        <v>1.7389632063074902</v>
      </c>
      <c r="V88" s="598"/>
      <c r="W88" s="1176">
        <f>(U88/U81-1)*100</f>
        <v>-0.28515082887756726</v>
      </c>
      <c r="X88" s="1124" t="s">
        <v>190</v>
      </c>
      <c r="Y88" s="598"/>
      <c r="Z88" s="1129">
        <f>+Stores!G145</f>
        <v>47.1</v>
      </c>
      <c r="AA88" s="598"/>
      <c r="AB88" s="1163">
        <f>AVERAGE(Z88,Z84)</f>
        <v>46.758499999999998</v>
      </c>
      <c r="AC88" s="598"/>
      <c r="AD88" s="1120">
        <f>(AB88/AB81-1)*100</f>
        <v>4.8116242108908525</v>
      </c>
      <c r="AE88" s="1124" t="s">
        <v>190</v>
      </c>
      <c r="AF88" s="1159">
        <f>+H88/AD88*100</f>
        <v>46.599174639146739</v>
      </c>
      <c r="AG88" s="1125" t="s">
        <v>190</v>
      </c>
      <c r="AH88" s="598"/>
      <c r="AI88" s="1160">
        <f>+S88</f>
        <v>2646.7020000000002</v>
      </c>
      <c r="AJ88" s="598"/>
      <c r="AK88" s="1164">
        <f>AI88/AB88</f>
        <v>56.603654950436827</v>
      </c>
      <c r="AL88" s="598"/>
      <c r="AM88" s="1176">
        <f>(AK88/AK81-1)*100</f>
        <v>-1.4973978828154544</v>
      </c>
      <c r="AN88" s="1124" t="s">
        <v>190</v>
      </c>
      <c r="AP88" s="487"/>
      <c r="AQ88" s="487"/>
      <c r="AR88" s="487"/>
      <c r="AS88" s="487"/>
      <c r="AT88" s="487"/>
      <c r="AU88" s="487"/>
      <c r="AV88" s="487"/>
      <c r="AW88" s="487"/>
      <c r="AX88" s="487"/>
      <c r="AY88" s="487"/>
      <c r="AZ88" s="487"/>
      <c r="BA88" s="487"/>
      <c r="BB88" s="487"/>
      <c r="BC88" s="487"/>
      <c r="BD88" s="487"/>
      <c r="BE88" s="487"/>
      <c r="BF88" s="487"/>
      <c r="BG88" s="487"/>
      <c r="BH88" s="487"/>
    </row>
    <row r="89" spans="1:60" hidden="1" outlineLevel="1">
      <c r="A89" s="598" t="s">
        <v>528</v>
      </c>
      <c r="B89" s="1157" t="s">
        <v>515</v>
      </c>
      <c r="C89" s="598"/>
      <c r="D89" s="1120">
        <f>(S89/S82-1)*100</f>
        <v>4.7763951679553607</v>
      </c>
      <c r="E89" s="598"/>
      <c r="F89" s="1179">
        <f>'SegP&amp;L'!$F$124</f>
        <v>2</v>
      </c>
      <c r="G89" s="598"/>
      <c r="H89" s="1120">
        <f>D89-F89</f>
        <v>2.7763951679553607</v>
      </c>
      <c r="I89" s="598"/>
      <c r="J89" s="1167">
        <f>+Stores!D146</f>
        <v>1536</v>
      </c>
      <c r="K89" s="1127"/>
      <c r="L89" s="1167">
        <f>AVERAGE(J89,J88)</f>
        <v>1533</v>
      </c>
      <c r="M89" s="598"/>
      <c r="N89" s="1120">
        <f>(L89/L82-1)*100</f>
        <v>3.9674465920651159</v>
      </c>
      <c r="O89" s="1124"/>
      <c r="P89" s="1159">
        <f>H89/N89*100</f>
        <v>69.979396156413159</v>
      </c>
      <c r="Q89" s="1125"/>
      <c r="R89" s="598"/>
      <c r="S89" s="1165">
        <f>+'SegP&amp;L'!D124</f>
        <v>2658.5030000000002</v>
      </c>
      <c r="T89" s="1127"/>
      <c r="U89" s="1166">
        <f>S89/L89</f>
        <v>1.7341833007175473</v>
      </c>
      <c r="V89" s="598"/>
      <c r="W89" s="1176">
        <f>(U89/U82-1)*100</f>
        <v>0.77807871829758124</v>
      </c>
      <c r="X89" s="1124"/>
      <c r="Y89" s="598"/>
      <c r="Z89" s="1129">
        <f>+Stores!G146</f>
        <v>47.3</v>
      </c>
      <c r="AA89" s="1127"/>
      <c r="AB89" s="1163">
        <f>AVERAGE(Z89,Z88)</f>
        <v>47.2</v>
      </c>
      <c r="AC89" s="598"/>
      <c r="AD89" s="1120">
        <f>(AB89/AB82-1)*100</f>
        <v>5.4809695718589513</v>
      </c>
      <c r="AE89" s="1124"/>
      <c r="AF89" s="1159">
        <f>+H89/AD89*100</f>
        <v>50.655183021089201</v>
      </c>
      <c r="AG89" s="1125"/>
      <c r="AH89" s="598"/>
      <c r="AI89" s="1165">
        <f>+S89</f>
        <v>2658.5030000000002</v>
      </c>
      <c r="AJ89" s="598"/>
      <c r="AK89" s="1167">
        <f>AI89/AB89</f>
        <v>56.324216101694915</v>
      </c>
      <c r="AL89" s="598"/>
      <c r="AM89" s="1176">
        <f>(AK89/AK82-1)*100</f>
        <v>-0.66796352627722655</v>
      </c>
      <c r="AN89" s="1124"/>
      <c r="AP89" s="487"/>
      <c r="AQ89" s="487"/>
      <c r="AR89" s="487"/>
      <c r="AS89" s="487"/>
      <c r="AT89" s="487"/>
      <c r="AU89" s="487"/>
      <c r="AV89" s="487"/>
      <c r="AW89" s="487"/>
      <c r="AX89" s="487"/>
      <c r="AY89" s="487"/>
      <c r="AZ89" s="487"/>
      <c r="BA89" s="487"/>
      <c r="BB89" s="487"/>
      <c r="BC89" s="487"/>
      <c r="BD89" s="487"/>
      <c r="BE89" s="487"/>
      <c r="BF89" s="487"/>
      <c r="BG89" s="487"/>
      <c r="BH89" s="487"/>
    </row>
    <row r="90" spans="1:60" hidden="1" outlineLevel="1">
      <c r="A90" s="598" t="s">
        <v>529</v>
      </c>
      <c r="B90" s="1157" t="s">
        <v>516</v>
      </c>
      <c r="C90" s="598"/>
      <c r="D90" s="1120">
        <f>(S90/S83-1)*100</f>
        <v>8.0412895714027535</v>
      </c>
      <c r="E90" s="598"/>
      <c r="F90" s="1179">
        <f>'SegP&amp;L'!$F$125</f>
        <v>5</v>
      </c>
      <c r="G90" s="598"/>
      <c r="H90" s="1120">
        <f>D90-F90</f>
        <v>3.0412895714027535</v>
      </c>
      <c r="I90" s="598"/>
      <c r="J90" s="1167">
        <f>+Stores!D147</f>
        <v>1575</v>
      </c>
      <c r="K90" s="1127"/>
      <c r="L90" s="1167">
        <f>AVERAGE(J90,J89)</f>
        <v>1555.5</v>
      </c>
      <c r="M90" s="598"/>
      <c r="N90" s="1120">
        <f>(L90/L83-1)*100</f>
        <v>4.0468227424749204</v>
      </c>
      <c r="O90" s="1124"/>
      <c r="P90" s="1159">
        <f>H90/N90*100</f>
        <v>75.152527425572103</v>
      </c>
      <c r="Q90" s="1125"/>
      <c r="R90" s="598"/>
      <c r="S90" s="1165">
        <f>+'SegP&amp;L'!D125</f>
        <v>2947.1060000000002</v>
      </c>
      <c r="T90" s="1127"/>
      <c r="U90" s="1166">
        <f>S90/L90</f>
        <v>1.8946358084217294</v>
      </c>
      <c r="V90" s="598"/>
      <c r="W90" s="1176">
        <f>(U90/U83-1)*100</f>
        <v>3.8391050525536041</v>
      </c>
      <c r="X90" s="1124"/>
      <c r="Y90" s="598"/>
      <c r="Z90" s="1129">
        <f>+Stores!G147</f>
        <v>48.8</v>
      </c>
      <c r="AA90" s="1127"/>
      <c r="AB90" s="1163">
        <f>AVERAGE(Z90,Z89)</f>
        <v>48.05</v>
      </c>
      <c r="AC90" s="598"/>
      <c r="AD90" s="1120">
        <f>(AB90/AB83-1)*100</f>
        <v>5.9089870561637836</v>
      </c>
      <c r="AE90" s="1124"/>
      <c r="AF90" s="1159">
        <f>+H90/AD90*100</f>
        <v>51.468881933500313</v>
      </c>
      <c r="AG90" s="1125"/>
      <c r="AH90" s="598"/>
      <c r="AI90" s="1165">
        <f>+S90</f>
        <v>2947.1060000000002</v>
      </c>
      <c r="AJ90" s="598"/>
      <c r="AK90" s="1167">
        <f>AI90/AB90</f>
        <v>61.334151925078054</v>
      </c>
      <c r="AL90" s="598"/>
      <c r="AM90" s="1176">
        <f>(AK90/AK83-1)*100</f>
        <v>2.0133348212538538</v>
      </c>
      <c r="AN90" s="1124"/>
      <c r="AP90" s="487"/>
      <c r="AQ90" s="487"/>
      <c r="AR90" s="487"/>
      <c r="AS90" s="487"/>
      <c r="AT90" s="487"/>
      <c r="AU90" s="487"/>
      <c r="AV90" s="487"/>
      <c r="AW90" s="487"/>
      <c r="AX90" s="487"/>
      <c r="AY90" s="487"/>
      <c r="AZ90" s="487"/>
      <c r="BA90" s="487"/>
      <c r="BB90" s="487"/>
      <c r="BC90" s="487"/>
      <c r="BD90" s="487"/>
      <c r="BE90" s="487"/>
      <c r="BF90" s="487"/>
      <c r="BG90" s="487"/>
      <c r="BH90" s="487"/>
    </row>
    <row r="91" spans="1:60" hidden="1" outlineLevel="1">
      <c r="A91" s="598" t="s">
        <v>530</v>
      </c>
      <c r="B91" s="1157" t="s">
        <v>517</v>
      </c>
      <c r="C91" s="598"/>
      <c r="D91" s="1168">
        <f>(S91/S84-1)*100</f>
        <v>4.8380950675994461</v>
      </c>
      <c r="E91" s="598"/>
      <c r="F91" s="1178">
        <f>'SegP&amp;L'!$F$126</f>
        <v>2</v>
      </c>
      <c r="G91" s="598"/>
      <c r="H91" s="1168">
        <f>D91-F91</f>
        <v>2.8380950675994461</v>
      </c>
      <c r="I91" s="598"/>
      <c r="J91" s="1167">
        <f>+Stores!D148</f>
        <v>1569</v>
      </c>
      <c r="K91" s="1127"/>
      <c r="L91" s="1175">
        <f>AVERAGE(J91,J90)</f>
        <v>1572</v>
      </c>
      <c r="M91" s="598"/>
      <c r="N91" s="1168">
        <f>(L91/L84-1)*100</f>
        <v>3.8652130822596664</v>
      </c>
      <c r="O91" s="1124"/>
      <c r="P91" s="1171">
        <f>H91/N91*100</f>
        <v>73.426613415585607</v>
      </c>
      <c r="Q91" s="1125"/>
      <c r="R91" s="598"/>
      <c r="S91" s="1172">
        <f>+'SegP&amp;L'!D126</f>
        <v>3279.4740000000002</v>
      </c>
      <c r="T91" s="1127"/>
      <c r="U91" s="1173">
        <f>S91/L91</f>
        <v>2.0861793893129774</v>
      </c>
      <c r="V91" s="598"/>
      <c r="W91" s="1169">
        <f>(U91/U84-1)*100</f>
        <v>0.93667740764109553</v>
      </c>
      <c r="X91" s="1124"/>
      <c r="Y91" s="598"/>
      <c r="Z91" s="1129">
        <f>+Stores!G148</f>
        <v>48.7</v>
      </c>
      <c r="AA91" s="1127"/>
      <c r="AB91" s="1174">
        <f>AVERAGE(Z91,Z90)</f>
        <v>48.75</v>
      </c>
      <c r="AC91" s="598"/>
      <c r="AD91" s="1168">
        <f>(AB91/AB84-1)*100</f>
        <v>5.5958265479393088</v>
      </c>
      <c r="AE91" s="1124"/>
      <c r="AF91" s="1171">
        <f>+H91/AD91*100</f>
        <v>50.718067175341396</v>
      </c>
      <c r="AG91" s="1125"/>
      <c r="AH91" s="598"/>
      <c r="AI91" s="1172">
        <f>+S91</f>
        <v>3279.4740000000002</v>
      </c>
      <c r="AJ91" s="598"/>
      <c r="AK91" s="1175">
        <f>AI91/AB91</f>
        <v>67.271261538461545</v>
      </c>
      <c r="AL91" s="598"/>
      <c r="AM91" s="1169">
        <f>(AK91/AK84-1)*100</f>
        <v>-0.7175771099209749</v>
      </c>
      <c r="AN91" s="1124"/>
      <c r="AP91" s="487"/>
      <c r="AQ91" s="487"/>
      <c r="AR91" s="487"/>
      <c r="AS91" s="487"/>
      <c r="AT91" s="487"/>
      <c r="AU91" s="487"/>
      <c r="AV91" s="487"/>
      <c r="AW91" s="487"/>
      <c r="AX91" s="487"/>
      <c r="AY91" s="487"/>
      <c r="AZ91" s="487"/>
      <c r="BA91" s="487"/>
      <c r="BB91" s="487"/>
      <c r="BC91" s="487"/>
      <c r="BD91" s="487"/>
      <c r="BE91" s="487"/>
      <c r="BF91" s="487"/>
      <c r="BG91" s="487"/>
      <c r="BH91" s="487"/>
    </row>
    <row r="92" spans="1:60" hidden="1" outlineLevel="1">
      <c r="A92" s="598"/>
      <c r="B92" s="1157" t="s">
        <v>531</v>
      </c>
      <c r="C92" s="598"/>
      <c r="D92" s="1120">
        <f>(S92/S85-1)*100</f>
        <v>5.247860960712214</v>
      </c>
      <c r="E92" s="598"/>
      <c r="F92" s="1179">
        <f>'SegP&amp;L'!$F$127</f>
        <v>2</v>
      </c>
      <c r="G92" s="598"/>
      <c r="H92" s="1120">
        <f>D92-F92</f>
        <v>3.247860960712214</v>
      </c>
      <c r="I92" s="598"/>
      <c r="J92" s="598"/>
      <c r="K92" s="598"/>
      <c r="L92" s="1167">
        <f>AVERAGE(L88:L91)</f>
        <v>1545.625</v>
      </c>
      <c r="M92" s="598"/>
      <c r="N92" s="1120">
        <f>(L92/L85-1)*100</f>
        <v>3.8551990592978314</v>
      </c>
      <c r="O92" s="1124"/>
      <c r="P92" s="1159">
        <f>H92/N92*100</f>
        <v>84.246258383964346</v>
      </c>
      <c r="Q92" s="1125"/>
      <c r="R92" s="598"/>
      <c r="S92" s="1165">
        <f>SUM(S88:S91)</f>
        <v>11531.785</v>
      </c>
      <c r="T92" s="598"/>
      <c r="U92" s="1161">
        <f>SUM(U88:U91)</f>
        <v>7.4539617047597453</v>
      </c>
      <c r="V92" s="598"/>
      <c r="W92" s="1176">
        <f>(U92/U85-1)*100</f>
        <v>1.3298223525055608</v>
      </c>
      <c r="X92" s="1124"/>
      <c r="Y92" s="598"/>
      <c r="Z92" s="598"/>
      <c r="AA92" s="598"/>
      <c r="AB92" s="1163">
        <f>AVERAGE(AB88:AB91)</f>
        <v>47.689624999999999</v>
      </c>
      <c r="AC92" s="598"/>
      <c r="AD92" s="1120">
        <f>(AB92/AB85-1)*100</f>
        <v>5.4525583336607841</v>
      </c>
      <c r="AE92" s="1124"/>
      <c r="AF92" s="1159">
        <f>+H92/AD92*100</f>
        <v>59.565817767815389</v>
      </c>
      <c r="AG92" s="1125"/>
      <c r="AH92" s="598"/>
      <c r="AI92" s="1160">
        <f>SUM(AI88:AI91)</f>
        <v>11531.785</v>
      </c>
      <c r="AJ92" s="598"/>
      <c r="AK92" s="1164">
        <f>SUM(AK88:AK91)</f>
        <v>241.53328451567134</v>
      </c>
      <c r="AL92" s="598"/>
      <c r="AM92" s="1176">
        <f>(AK92/AK85-1)*100</f>
        <v>-0.21274405597574431</v>
      </c>
      <c r="AN92" s="1124"/>
      <c r="AP92" s="487"/>
      <c r="AQ92" s="487"/>
      <c r="AR92" s="487"/>
      <c r="AS92" s="487"/>
      <c r="AT92" s="487"/>
      <c r="AU92" s="487"/>
      <c r="AV92" s="487"/>
      <c r="AW92" s="487"/>
      <c r="AX92" s="487"/>
      <c r="AY92" s="487"/>
      <c r="AZ92" s="487"/>
      <c r="BA92" s="487"/>
      <c r="BB92" s="487"/>
      <c r="BC92" s="487"/>
      <c r="BD92" s="487"/>
      <c r="BE92" s="487"/>
      <c r="BF92" s="487"/>
      <c r="BG92" s="487"/>
      <c r="BH92" s="487"/>
    </row>
    <row r="93" spans="1:60" hidden="1" outlineLevel="1">
      <c r="A93" s="598"/>
      <c r="B93" s="1157"/>
      <c r="C93" s="598"/>
      <c r="D93" s="598"/>
      <c r="E93" s="598"/>
      <c r="F93" s="598"/>
      <c r="G93" s="598"/>
      <c r="H93" s="598"/>
      <c r="I93" s="598"/>
      <c r="J93" s="598"/>
      <c r="K93" s="598"/>
      <c r="L93" s="598"/>
      <c r="M93" s="598"/>
      <c r="N93" s="598"/>
      <c r="O93" s="1124"/>
      <c r="P93" s="598"/>
      <c r="Q93" s="598"/>
      <c r="R93" s="598"/>
      <c r="S93" s="598"/>
      <c r="T93" s="598"/>
      <c r="U93" s="598"/>
      <c r="V93" s="598"/>
      <c r="W93" s="598"/>
      <c r="X93" s="598"/>
      <c r="Y93" s="598"/>
      <c r="Z93" s="598"/>
      <c r="AA93" s="598"/>
      <c r="AB93" s="598"/>
      <c r="AC93" s="598"/>
      <c r="AD93" s="598"/>
      <c r="AE93" s="1124"/>
      <c r="AF93" s="598"/>
      <c r="AG93" s="598"/>
      <c r="AH93" s="598"/>
      <c r="AI93" s="598"/>
      <c r="AJ93" s="598"/>
      <c r="AK93" s="598"/>
      <c r="AL93" s="598"/>
      <c r="AM93" s="598"/>
      <c r="AN93" s="598"/>
      <c r="AP93" s="487"/>
      <c r="AQ93" s="487"/>
      <c r="AR93" s="487"/>
      <c r="AS93" s="487"/>
      <c r="AT93" s="487"/>
      <c r="AU93" s="487"/>
      <c r="AV93" s="487"/>
      <c r="AW93" s="487"/>
      <c r="AX93" s="487"/>
      <c r="AY93" s="487"/>
      <c r="AZ93" s="487"/>
      <c r="BA93" s="487"/>
      <c r="BB93" s="487"/>
      <c r="BC93" s="487"/>
      <c r="BD93" s="487"/>
      <c r="BE93" s="487"/>
      <c r="BF93" s="487"/>
      <c r="BG93" s="487"/>
      <c r="BH93" s="487"/>
    </row>
    <row r="94" spans="1:60" hidden="1" outlineLevel="1">
      <c r="A94" s="1154"/>
      <c r="B94" s="1118">
        <f>+B87+1</f>
        <v>2007</v>
      </c>
      <c r="C94" s="598"/>
      <c r="D94" s="598"/>
      <c r="E94" s="1124"/>
      <c r="F94" s="598"/>
      <c r="G94" s="1124"/>
      <c r="H94" s="598"/>
      <c r="I94" s="1124"/>
      <c r="J94" s="1167"/>
      <c r="K94" s="598"/>
      <c r="L94" s="1167"/>
      <c r="M94" s="598"/>
      <c r="N94" s="598"/>
      <c r="O94" s="1124"/>
      <c r="P94" s="1125"/>
      <c r="Q94" s="1125"/>
      <c r="R94" s="598"/>
      <c r="S94" s="598"/>
      <c r="T94" s="598"/>
      <c r="U94" s="598"/>
      <c r="V94" s="598"/>
      <c r="W94" s="598"/>
      <c r="X94" s="1124"/>
      <c r="Y94" s="598"/>
      <c r="Z94" s="598"/>
      <c r="AA94" s="598"/>
      <c r="AB94" s="598"/>
      <c r="AC94" s="598"/>
      <c r="AD94" s="598"/>
      <c r="AE94" s="1124"/>
      <c r="AF94" s="1125"/>
      <c r="AG94" s="1125"/>
      <c r="AH94" s="598"/>
      <c r="AI94" s="598"/>
      <c r="AJ94" s="598"/>
      <c r="AK94" s="598"/>
      <c r="AL94" s="598"/>
      <c r="AM94" s="598"/>
      <c r="AN94" s="1124"/>
      <c r="AP94" s="487"/>
      <c r="AQ94" s="487"/>
      <c r="AR94" s="487"/>
      <c r="AS94" s="487"/>
      <c r="AT94" s="487"/>
      <c r="AU94" s="487"/>
      <c r="AV94" s="487"/>
      <c r="AW94" s="487"/>
      <c r="AX94" s="487"/>
      <c r="AY94" s="487"/>
      <c r="AZ94" s="487"/>
      <c r="BA94" s="487"/>
      <c r="BB94" s="487"/>
      <c r="BC94" s="487"/>
      <c r="BD94" s="487"/>
      <c r="BE94" s="487"/>
      <c r="BF94" s="487"/>
      <c r="BG94" s="487"/>
      <c r="BH94" s="487"/>
    </row>
    <row r="95" spans="1:60" hidden="1" outlineLevel="1">
      <c r="A95" s="598" t="s">
        <v>527</v>
      </c>
      <c r="B95" s="1157" t="s">
        <v>514</v>
      </c>
      <c r="C95" s="598"/>
      <c r="D95" s="1120">
        <f>(S95/S88-1)*100</f>
        <v>3.128157231150297</v>
      </c>
      <c r="E95" s="1124" t="s">
        <v>190</v>
      </c>
      <c r="F95" s="1179">
        <f>'SegP&amp;L'!F130</f>
        <v>0</v>
      </c>
      <c r="G95" s="1124" t="s">
        <v>190</v>
      </c>
      <c r="H95" s="1120">
        <f>D95-F95</f>
        <v>3.128157231150297</v>
      </c>
      <c r="I95" s="1124" t="s">
        <v>190</v>
      </c>
      <c r="J95" s="1167">
        <f>+Stores!D152</f>
        <v>1593</v>
      </c>
      <c r="K95" s="598"/>
      <c r="L95" s="1167">
        <f>AVERAGE(J95,J91)</f>
        <v>1581</v>
      </c>
      <c r="M95" s="598"/>
      <c r="N95" s="1120">
        <f>(L95/L88-1)*100</f>
        <v>3.8764783180026186</v>
      </c>
      <c r="O95" s="1124" t="s">
        <v>190</v>
      </c>
      <c r="P95" s="1159">
        <f>H95/N95*100</f>
        <v>80.695852640860394</v>
      </c>
      <c r="Q95" s="1125" t="s">
        <v>190</v>
      </c>
      <c r="R95" s="598"/>
      <c r="S95" s="1160">
        <f>'SegP&amp;L'!D130</f>
        <v>2729.4949999999999</v>
      </c>
      <c r="T95" s="598" t="s">
        <v>315</v>
      </c>
      <c r="U95" s="1161">
        <f>S95/L95</f>
        <v>1.7264358001265021</v>
      </c>
      <c r="V95" s="598"/>
      <c r="W95" s="1176">
        <f>(U95/U88-1)*100</f>
        <v>-0.7203951259894037</v>
      </c>
      <c r="X95" s="1124" t="s">
        <v>190</v>
      </c>
      <c r="Y95" s="598"/>
      <c r="Z95" s="1129">
        <f>+Stores!G152</f>
        <v>49.4</v>
      </c>
      <c r="AA95" s="598"/>
      <c r="AB95" s="1163">
        <f>AVERAGE(Z95,Z91)</f>
        <v>49.05</v>
      </c>
      <c r="AC95" s="598"/>
      <c r="AD95" s="1120">
        <f>(AB95/AB88-1)*100</f>
        <v>4.9007132393040775</v>
      </c>
      <c r="AE95" s="1124" t="s">
        <v>190</v>
      </c>
      <c r="AF95" s="1159">
        <f>+H95/AD95*100</f>
        <v>63.830652364277263</v>
      </c>
      <c r="AG95" s="1125" t="s">
        <v>190</v>
      </c>
      <c r="AH95" s="598"/>
      <c r="AI95" s="1160">
        <f>+S95</f>
        <v>2729.4949999999999</v>
      </c>
      <c r="AJ95" s="598"/>
      <c r="AK95" s="1164">
        <f>AI95/AB95</f>
        <v>55.64719673802243</v>
      </c>
      <c r="AL95" s="598"/>
      <c r="AM95" s="1176">
        <f>(AK95/AK88-1)*100</f>
        <v>-1.6897463834303461</v>
      </c>
      <c r="AN95" s="1124" t="s">
        <v>190</v>
      </c>
      <c r="AP95" s="487"/>
      <c r="AQ95" s="487"/>
      <c r="AR95" s="487"/>
      <c r="AS95" s="487"/>
      <c r="AT95" s="487"/>
      <c r="AU95" s="487"/>
      <c r="AV95" s="487"/>
      <c r="AW95" s="487"/>
      <c r="AX95" s="487"/>
      <c r="AY95" s="487"/>
      <c r="AZ95" s="487"/>
      <c r="BA95" s="487"/>
      <c r="BB95" s="487"/>
      <c r="BC95" s="487"/>
      <c r="BD95" s="487"/>
      <c r="BE95" s="487"/>
      <c r="BF95" s="487"/>
      <c r="BG95" s="487"/>
      <c r="BH95" s="487"/>
    </row>
    <row r="96" spans="1:60" hidden="1" outlineLevel="1">
      <c r="A96" s="598" t="s">
        <v>528</v>
      </c>
      <c r="B96" s="1157" t="s">
        <v>515</v>
      </c>
      <c r="C96" s="598"/>
      <c r="D96" s="1120">
        <f>(S96/S89-1)*100</f>
        <v>5.9105820079947247</v>
      </c>
      <c r="E96" s="598"/>
      <c r="F96" s="1179">
        <f>'SegP&amp;L'!F131</f>
        <v>3</v>
      </c>
      <c r="G96" s="598"/>
      <c r="H96" s="1120">
        <f>D96-F96</f>
        <v>2.9105820079947247</v>
      </c>
      <c r="I96" s="598"/>
      <c r="J96" s="1167">
        <f>+Stores!D153</f>
        <v>1594</v>
      </c>
      <c r="K96" s="1127"/>
      <c r="L96" s="1167">
        <f>AVERAGE(J96,J95)</f>
        <v>1593.5</v>
      </c>
      <c r="M96" s="598"/>
      <c r="N96" s="1120">
        <f>(L96/L89-1)*100</f>
        <v>3.946510110893664</v>
      </c>
      <c r="O96" s="1124"/>
      <c r="P96" s="1159">
        <f>H96/N96*100</f>
        <v>73.750780467040045</v>
      </c>
      <c r="Q96" s="1125"/>
      <c r="R96" s="598"/>
      <c r="S96" s="1165">
        <f>'SegP&amp;L'!D131</f>
        <v>2815.636</v>
      </c>
      <c r="T96" s="1127"/>
      <c r="U96" s="1166">
        <f>S96/L96</f>
        <v>1.766950737370568</v>
      </c>
      <c r="V96" s="598"/>
      <c r="W96" s="1176">
        <f>(U96/U89-1)*100</f>
        <v>1.8895024902766844</v>
      </c>
      <c r="X96" s="1124"/>
      <c r="Y96" s="598"/>
      <c r="Z96" s="1129">
        <f>+Stores!G153</f>
        <v>49.4</v>
      </c>
      <c r="AA96" s="1127"/>
      <c r="AB96" s="1163">
        <f>AVERAGE(Z96,Z95)</f>
        <v>49.4</v>
      </c>
      <c r="AC96" s="598"/>
      <c r="AD96" s="1120">
        <f>(AB96/AB89-1)*100</f>
        <v>4.66101694915253</v>
      </c>
      <c r="AE96" s="1124"/>
      <c r="AF96" s="1159">
        <f>+H96/AD96*100</f>
        <v>62.445213989705174</v>
      </c>
      <c r="AG96" s="1125"/>
      <c r="AH96" s="598"/>
      <c r="AI96" s="1165">
        <f>+S96</f>
        <v>2815.636</v>
      </c>
      <c r="AJ96" s="598"/>
      <c r="AK96" s="1167">
        <f>AI96/AB96</f>
        <v>56.996680161943324</v>
      </c>
      <c r="AL96" s="598"/>
      <c r="AM96" s="1176">
        <f>(AK96/AK89-1)*100</f>
        <v>1.1939164124969981</v>
      </c>
      <c r="AN96" s="1124"/>
      <c r="AP96" s="487"/>
      <c r="AQ96" s="487"/>
      <c r="AR96" s="487"/>
      <c r="AS96" s="487"/>
      <c r="AT96" s="487"/>
      <c r="AU96" s="487"/>
      <c r="AV96" s="487"/>
      <c r="AW96" s="487"/>
      <c r="AX96" s="487"/>
      <c r="AY96" s="487"/>
      <c r="AZ96" s="487"/>
      <c r="BA96" s="487"/>
      <c r="BB96" s="487"/>
      <c r="BC96" s="487"/>
      <c r="BD96" s="487"/>
      <c r="BE96" s="487"/>
      <c r="BF96" s="487"/>
      <c r="BG96" s="487"/>
      <c r="BH96" s="487"/>
    </row>
    <row r="97" spans="1:60" hidden="1" outlineLevel="1">
      <c r="A97" s="598" t="s">
        <v>529</v>
      </c>
      <c r="B97" s="1157" t="s">
        <v>516</v>
      </c>
      <c r="C97" s="598"/>
      <c r="D97" s="1120">
        <f>(S97/S90-1)*100</f>
        <v>2.0948007977996008</v>
      </c>
      <c r="E97" s="598"/>
      <c r="F97" s="1179">
        <f>'SegP&amp;L'!F132</f>
        <v>-1</v>
      </c>
      <c r="G97" s="598"/>
      <c r="H97" s="1120">
        <f>D97-F97</f>
        <v>3.0948007977996008</v>
      </c>
      <c r="I97" s="598"/>
      <c r="J97" s="1167">
        <f>+Stores!D154</f>
        <v>1628</v>
      </c>
      <c r="K97" s="1127"/>
      <c r="L97" s="1167">
        <f>AVERAGE(J97,J96)</f>
        <v>1611</v>
      </c>
      <c r="M97" s="598"/>
      <c r="N97" s="1120">
        <f>(L97/L90-1)*100</f>
        <v>3.5679845708775249</v>
      </c>
      <c r="O97" s="1124"/>
      <c r="P97" s="1159">
        <f>H97/N97*100</f>
        <v>86.738065603194386</v>
      </c>
      <c r="Q97" s="1125"/>
      <c r="R97" s="598"/>
      <c r="S97" s="1165">
        <f>'SegP&amp;L'!D132</f>
        <v>3008.8420000000001</v>
      </c>
      <c r="T97" s="1127"/>
      <c r="U97" s="1166">
        <f>S97/L97</f>
        <v>1.8676859093730602</v>
      </c>
      <c r="V97" s="598"/>
      <c r="W97" s="1176">
        <f>(U97/U90-1)*100</f>
        <v>-1.4224316319197516</v>
      </c>
      <c r="X97" s="1124"/>
      <c r="Y97" s="598"/>
      <c r="Z97" s="1129">
        <f>+Stores!G154</f>
        <v>50.7</v>
      </c>
      <c r="AA97" s="1127"/>
      <c r="AB97" s="1163">
        <f>AVERAGE(Z97,Z96)</f>
        <v>50.05</v>
      </c>
      <c r="AC97" s="598"/>
      <c r="AD97" s="1120">
        <f>(AB97/AB90-1)*100</f>
        <v>4.1623309053069768</v>
      </c>
      <c r="AE97" s="1124"/>
      <c r="AF97" s="1159">
        <f>+H97/AD97*100</f>
        <v>74.352589167135321</v>
      </c>
      <c r="AG97" s="1125"/>
      <c r="AH97" s="598"/>
      <c r="AI97" s="1165">
        <f>+S97</f>
        <v>3008.8420000000001</v>
      </c>
      <c r="AJ97" s="598"/>
      <c r="AK97" s="1167">
        <f>AI97/AB97</f>
        <v>60.116723276723285</v>
      </c>
      <c r="AL97" s="598"/>
      <c r="AM97" s="1176">
        <f>(AK97/AK90-1)*100</f>
        <v>-1.9849115217927871</v>
      </c>
      <c r="AN97" s="1124"/>
      <c r="AP97" s="487"/>
      <c r="AQ97" s="487"/>
      <c r="AR97" s="487"/>
      <c r="AS97" s="487"/>
      <c r="AT97" s="487"/>
      <c r="AU97" s="487"/>
      <c r="AV97" s="487"/>
      <c r="AW97" s="487"/>
      <c r="AX97" s="487"/>
      <c r="AY97" s="487"/>
      <c r="AZ97" s="487"/>
      <c r="BA97" s="487"/>
      <c r="BB97" s="487"/>
      <c r="BC97" s="487"/>
      <c r="BD97" s="487"/>
      <c r="BE97" s="487"/>
      <c r="BF97" s="487"/>
      <c r="BG97" s="487"/>
      <c r="BH97" s="487"/>
    </row>
    <row r="98" spans="1:60" hidden="1" outlineLevel="1">
      <c r="A98" s="598" t="s">
        <v>530</v>
      </c>
      <c r="B98" s="1157" t="s">
        <v>517</v>
      </c>
      <c r="C98" s="598"/>
      <c r="D98" s="1168">
        <f>(S98/S91-1)*100</f>
        <v>4.0617489268095941</v>
      </c>
      <c r="E98" s="598"/>
      <c r="F98" s="1178">
        <f>'SegP&amp;L'!F133</f>
        <v>1</v>
      </c>
      <c r="G98" s="598"/>
      <c r="H98" s="1168">
        <f>D98-F98</f>
        <v>3.0617489268095941</v>
      </c>
      <c r="I98" s="598"/>
      <c r="J98" s="1167">
        <f>+Stores!D155</f>
        <v>1623</v>
      </c>
      <c r="K98" s="1127"/>
      <c r="L98" s="1175">
        <f>AVERAGE(J98,J97)</f>
        <v>1625.5</v>
      </c>
      <c r="M98" s="598"/>
      <c r="N98" s="1168">
        <f>(L98/L91-1)*100</f>
        <v>3.4033078880407075</v>
      </c>
      <c r="O98" s="1124"/>
      <c r="P98" s="1171">
        <f>H98/N98*100</f>
        <v>89.963912391489515</v>
      </c>
      <c r="Q98" s="1125"/>
      <c r="R98" s="598"/>
      <c r="S98" s="1172">
        <f>'SegP&amp;L'!D133</f>
        <v>3412.6779999999999</v>
      </c>
      <c r="T98" s="1127"/>
      <c r="U98" s="1173">
        <f>S98/L98</f>
        <v>2.0994635496770222</v>
      </c>
      <c r="V98" s="598"/>
      <c r="W98" s="1169">
        <f>(U98/U91-1)*100</f>
        <v>0.63676980187306054</v>
      </c>
      <c r="X98" s="1124"/>
      <c r="Y98" s="598"/>
      <c r="Z98" s="1129">
        <f>+Stores!G155</f>
        <v>49.894000000000005</v>
      </c>
      <c r="AA98" s="1127"/>
      <c r="AB98" s="1174">
        <f>AVERAGE(Z98,Z97)</f>
        <v>50.297000000000004</v>
      </c>
      <c r="AC98" s="598"/>
      <c r="AD98" s="1168">
        <f>(AB98/AB91-1)*100</f>
        <v>3.1733333333333391</v>
      </c>
      <c r="AE98" s="1124"/>
      <c r="AF98" s="1171">
        <f>+H98/AD98*100</f>
        <v>96.483684668369392</v>
      </c>
      <c r="AG98" s="1125"/>
      <c r="AH98" s="598"/>
      <c r="AI98" s="1172">
        <f>+S98</f>
        <v>3412.6779999999999</v>
      </c>
      <c r="AJ98" s="598"/>
      <c r="AK98" s="1175">
        <f>AI98/AB98</f>
        <v>67.850527864484945</v>
      </c>
      <c r="AL98" s="598"/>
      <c r="AM98" s="1169">
        <f>(AK98/AK91-1)*100</f>
        <v>0.861090327096381</v>
      </c>
      <c r="AN98" s="1124"/>
      <c r="AP98" s="487"/>
      <c r="AQ98" s="487"/>
      <c r="AR98" s="487"/>
      <c r="AS98" s="487"/>
      <c r="AT98" s="487"/>
      <c r="AU98" s="487"/>
      <c r="AV98" s="487"/>
      <c r="AW98" s="487"/>
      <c r="AX98" s="487"/>
      <c r="AY98" s="487"/>
      <c r="AZ98" s="487"/>
      <c r="BA98" s="487"/>
      <c r="BB98" s="487"/>
      <c r="BC98" s="487"/>
      <c r="BD98" s="487"/>
      <c r="BE98" s="487"/>
      <c r="BF98" s="487"/>
      <c r="BG98" s="487"/>
      <c r="BH98" s="487"/>
    </row>
    <row r="99" spans="1:60" hidden="1" outlineLevel="1">
      <c r="A99" s="598"/>
      <c r="B99" s="1157" t="s">
        <v>531</v>
      </c>
      <c r="C99" s="598"/>
      <c r="D99" s="1120">
        <f>(S99/S92-1)*100</f>
        <v>3.7710207049472366</v>
      </c>
      <c r="E99" s="598"/>
      <c r="F99" s="1179">
        <f>'SegP&amp;L'!F134</f>
        <v>1</v>
      </c>
      <c r="G99" s="598"/>
      <c r="H99" s="1120">
        <f>D99-F99</f>
        <v>2.7710207049472366</v>
      </c>
      <c r="I99" s="598"/>
      <c r="J99" s="598"/>
      <c r="K99" s="598"/>
      <c r="L99" s="1167">
        <f>AVERAGE(L95:L98)</f>
        <v>1602.75</v>
      </c>
      <c r="M99" s="598"/>
      <c r="N99" s="1120">
        <f>(L99/L92-1)*100</f>
        <v>3.6959158916296087</v>
      </c>
      <c r="O99" s="1124"/>
      <c r="P99" s="1159">
        <f>H99/N99*100</f>
        <v>74.975210102128003</v>
      </c>
      <c r="Q99" s="1125"/>
      <c r="R99" s="598"/>
      <c r="S99" s="1160">
        <f>SUM(S95:S98)</f>
        <v>11966.651</v>
      </c>
      <c r="T99" s="598"/>
      <c r="U99" s="1161">
        <f>SUM(U95:U98)</f>
        <v>7.4605359965471525</v>
      </c>
      <c r="V99" s="598"/>
      <c r="W99" s="1176">
        <f>(U99/U92-1)*100</f>
        <v>8.8198625748359127E-2</v>
      </c>
      <c r="X99" s="1124"/>
      <c r="Y99" s="598"/>
      <c r="Z99" s="598"/>
      <c r="AA99" s="598"/>
      <c r="AB99" s="1163">
        <f>AVERAGE(AB95:AB98)</f>
        <v>49.699249999999999</v>
      </c>
      <c r="AC99" s="598"/>
      <c r="AD99" s="1120">
        <f>(AB99/AB92-1)*100</f>
        <v>4.2139668743463643</v>
      </c>
      <c r="AE99" s="1124"/>
      <c r="AF99" s="1159">
        <f>+H99/AD99*100</f>
        <v>65.758008726090296</v>
      </c>
      <c r="AG99" s="1125"/>
      <c r="AH99" s="598"/>
      <c r="AI99" s="1165">
        <f>SUM(AI95:AI98)</f>
        <v>11966.651</v>
      </c>
      <c r="AJ99" s="598"/>
      <c r="AK99" s="1164">
        <f>SUM(AK95:AK98)</f>
        <v>240.611128041174</v>
      </c>
      <c r="AL99" s="598"/>
      <c r="AM99" s="1176">
        <f>(AK99/AK92-1)*100</f>
        <v>-0.381792710825124</v>
      </c>
      <c r="AN99" s="1124"/>
      <c r="AP99" s="487"/>
      <c r="AQ99" s="487"/>
      <c r="AR99" s="487"/>
      <c r="AS99" s="487"/>
      <c r="AT99" s="487"/>
      <c r="AU99" s="487"/>
      <c r="AV99" s="487"/>
      <c r="AW99" s="487"/>
      <c r="AX99" s="487"/>
      <c r="AY99" s="487"/>
      <c r="AZ99" s="487"/>
      <c r="BA99" s="487"/>
      <c r="BB99" s="487"/>
      <c r="BC99" s="487"/>
      <c r="BD99" s="487"/>
      <c r="BE99" s="487"/>
      <c r="BF99" s="487"/>
      <c r="BG99" s="487"/>
      <c r="BH99" s="487"/>
    </row>
    <row r="100" spans="1:60" hidden="1" outlineLevel="1">
      <c r="A100" s="598"/>
      <c r="B100" s="1157"/>
      <c r="C100" s="598"/>
      <c r="D100" s="1120"/>
      <c r="E100" s="598"/>
      <c r="F100" s="1179"/>
      <c r="G100" s="598"/>
      <c r="H100" s="1120"/>
      <c r="I100" s="598"/>
      <c r="J100" s="598"/>
      <c r="K100" s="598"/>
      <c r="L100" s="1167"/>
      <c r="M100" s="598"/>
      <c r="N100" s="1120"/>
      <c r="O100" s="1124"/>
      <c r="P100" s="1159"/>
      <c r="Q100" s="1125"/>
      <c r="R100" s="598"/>
      <c r="S100" s="1160"/>
      <c r="T100" s="598"/>
      <c r="U100" s="1161"/>
      <c r="V100" s="598"/>
      <c r="W100" s="1176"/>
      <c r="X100" s="1124"/>
      <c r="Y100" s="598"/>
      <c r="Z100" s="598"/>
      <c r="AA100" s="598"/>
      <c r="AB100" s="1163"/>
      <c r="AC100" s="598"/>
      <c r="AD100" s="1120"/>
      <c r="AE100" s="1124"/>
      <c r="AF100" s="1159"/>
      <c r="AG100" s="1125"/>
      <c r="AH100" s="598"/>
      <c r="AI100" s="1160"/>
      <c r="AJ100" s="598"/>
      <c r="AK100" s="1164"/>
      <c r="AL100" s="598"/>
      <c r="AM100" s="1176"/>
      <c r="AN100" s="1124"/>
      <c r="AP100" s="487"/>
      <c r="AQ100" s="487"/>
      <c r="AR100" s="487"/>
      <c r="AS100" s="487"/>
      <c r="AT100" s="487"/>
      <c r="AU100" s="487"/>
      <c r="AV100" s="487"/>
      <c r="AW100" s="487"/>
      <c r="AX100" s="487"/>
      <c r="AY100" s="487"/>
      <c r="AZ100" s="487"/>
      <c r="BA100" s="487"/>
      <c r="BB100" s="487"/>
      <c r="BC100" s="487"/>
      <c r="BD100" s="487"/>
      <c r="BE100" s="487"/>
      <c r="BF100" s="487"/>
      <c r="BG100" s="487"/>
      <c r="BH100" s="487"/>
    </row>
    <row r="101" spans="1:60" hidden="1" outlineLevel="1">
      <c r="A101" s="1154"/>
      <c r="B101" s="1118">
        <f>+B94+1</f>
        <v>2008</v>
      </c>
      <c r="C101" s="598"/>
      <c r="D101" s="598"/>
      <c r="E101" s="1124"/>
      <c r="F101" s="598"/>
      <c r="G101" s="1124"/>
      <c r="H101" s="598"/>
      <c r="I101" s="1124"/>
      <c r="J101" s="1167"/>
      <c r="K101" s="598"/>
      <c r="L101" s="1167"/>
      <c r="M101" s="598"/>
      <c r="N101" s="598"/>
      <c r="O101" s="1124"/>
      <c r="P101" s="1125"/>
      <c r="Q101" s="1125"/>
      <c r="R101" s="598"/>
      <c r="S101" s="598"/>
      <c r="T101" s="598"/>
      <c r="U101" s="598"/>
      <c r="V101" s="598"/>
      <c r="W101" s="598"/>
      <c r="X101" s="1124"/>
      <c r="Y101" s="598"/>
      <c r="Z101" s="598"/>
      <c r="AA101" s="598"/>
      <c r="AB101" s="598"/>
      <c r="AC101" s="598"/>
      <c r="AD101" s="598"/>
      <c r="AE101" s="1124"/>
      <c r="AF101" s="1125"/>
      <c r="AG101" s="1125"/>
      <c r="AH101" s="598"/>
      <c r="AI101" s="598"/>
      <c r="AJ101" s="598"/>
      <c r="AK101" s="598"/>
      <c r="AL101" s="598"/>
      <c r="AM101" s="598"/>
      <c r="AN101" s="1124"/>
      <c r="AP101" s="487"/>
      <c r="AQ101" s="487"/>
      <c r="AR101" s="487"/>
      <c r="AS101" s="487"/>
      <c r="AT101" s="487"/>
      <c r="AU101" s="487"/>
      <c r="AV101" s="487"/>
      <c r="AW101" s="487"/>
      <c r="AX101" s="487"/>
      <c r="AY101" s="487"/>
      <c r="AZ101" s="487"/>
      <c r="BA101" s="487"/>
      <c r="BB101" s="487"/>
      <c r="BC101" s="487"/>
      <c r="BD101" s="487"/>
      <c r="BE101" s="487"/>
      <c r="BF101" s="487"/>
      <c r="BG101" s="487"/>
      <c r="BH101" s="487"/>
    </row>
    <row r="102" spans="1:60" hidden="1" outlineLevel="1">
      <c r="A102" s="598" t="s">
        <v>527</v>
      </c>
      <c r="B102" s="1157" t="s">
        <v>514</v>
      </c>
      <c r="C102" s="598"/>
      <c r="D102" s="1120">
        <f>(S102/S95-1)*100</f>
        <v>2.6669768583565956</v>
      </c>
      <c r="E102" s="1124" t="s">
        <v>190</v>
      </c>
      <c r="F102" s="1179">
        <f>'SegP&amp;L'!F137</f>
        <v>1</v>
      </c>
      <c r="G102" s="1124" t="s">
        <v>190</v>
      </c>
      <c r="H102" s="1120">
        <f>D102-F102</f>
        <v>1.6669768583565956</v>
      </c>
      <c r="I102" s="1124" t="s">
        <v>190</v>
      </c>
      <c r="J102" s="1167">
        <f>+Stores!D159</f>
        <v>1641</v>
      </c>
      <c r="K102" s="598"/>
      <c r="L102" s="1167">
        <f>AVERAGE(J102,J98)</f>
        <v>1632</v>
      </c>
      <c r="M102" s="598"/>
      <c r="N102" s="1120">
        <f>(L102/L95-1)*100</f>
        <v>3.2258064516129004</v>
      </c>
      <c r="O102" s="1124" t="s">
        <v>190</v>
      </c>
      <c r="P102" s="1159">
        <f>H102/N102*100</f>
        <v>51.67628260905451</v>
      </c>
      <c r="Q102" s="1125" t="s">
        <v>190</v>
      </c>
      <c r="R102" s="598"/>
      <c r="S102" s="1160">
        <f>'SegP&amp;L'!D137</f>
        <v>2802.29</v>
      </c>
      <c r="T102" s="598"/>
      <c r="U102" s="1161">
        <f>S102/L102</f>
        <v>1.7170894607843137</v>
      </c>
      <c r="V102" s="598"/>
      <c r="W102" s="1176">
        <f>(U102/U95-1)*100</f>
        <v>-0.5413661684670612</v>
      </c>
      <c r="X102" s="1124" t="s">
        <v>190</v>
      </c>
      <c r="Y102" s="598"/>
      <c r="Z102" s="1129">
        <f>+Stores!G159</f>
        <v>50.4</v>
      </c>
      <c r="AA102" s="598"/>
      <c r="AB102" s="1163">
        <f>AVERAGE(Z102,Z98)</f>
        <v>50.147000000000006</v>
      </c>
      <c r="AC102" s="598"/>
      <c r="AD102" s="1120">
        <f>(AB102/AB95-1)*100</f>
        <v>2.2364933741080728</v>
      </c>
      <c r="AE102" s="1124" t="s">
        <v>190</v>
      </c>
      <c r="AF102" s="1159">
        <f>+H102/AD102*100</f>
        <v>74.535291615670275</v>
      </c>
      <c r="AG102" s="1125" t="s">
        <v>190</v>
      </c>
      <c r="AH102" s="598"/>
      <c r="AI102" s="1160">
        <f>+S102</f>
        <v>2802.29</v>
      </c>
      <c r="AJ102" s="598"/>
      <c r="AK102" s="1164">
        <f>AI102/AB102</f>
        <v>55.881508365405701</v>
      </c>
      <c r="AL102" s="598"/>
      <c r="AM102" s="1176">
        <f>(AK102/AK95-1)*100</f>
        <v>0.4210663629407474</v>
      </c>
      <c r="AN102" s="1124" t="s">
        <v>190</v>
      </c>
      <c r="AP102" s="487"/>
      <c r="AQ102" s="487"/>
      <c r="AR102" s="487"/>
      <c r="AS102" s="487"/>
      <c r="AT102" s="487"/>
      <c r="AU102" s="487"/>
      <c r="AV102" s="487"/>
      <c r="AW102" s="487"/>
      <c r="AX102" s="487"/>
      <c r="AY102" s="487"/>
      <c r="AZ102" s="487"/>
      <c r="BA102" s="487"/>
      <c r="BB102" s="487"/>
      <c r="BC102" s="487"/>
      <c r="BD102" s="487"/>
      <c r="BE102" s="487"/>
      <c r="BF102" s="487"/>
      <c r="BG102" s="487"/>
      <c r="BH102" s="487"/>
    </row>
    <row r="103" spans="1:60" hidden="1" outlineLevel="1">
      <c r="A103" s="598" t="s">
        <v>528</v>
      </c>
      <c r="B103" s="1157" t="s">
        <v>515</v>
      </c>
      <c r="C103" s="598"/>
      <c r="D103" s="1120">
        <f>(S103/S96-1)*100</f>
        <v>5.0274254200471935</v>
      </c>
      <c r="E103" s="598"/>
      <c r="F103" s="1179">
        <f>'SegP&amp;L'!F138</f>
        <v>3</v>
      </c>
      <c r="G103" s="598"/>
      <c r="H103" s="1120">
        <f>D103-F103</f>
        <v>2.0274254200471935</v>
      </c>
      <c r="I103" s="598"/>
      <c r="J103" s="1167">
        <f>+Stores!D160</f>
        <v>1646</v>
      </c>
      <c r="K103" s="1127"/>
      <c r="L103" s="1167">
        <f>AVERAGE(J103,J102)</f>
        <v>1643.5</v>
      </c>
      <c r="M103" s="598"/>
      <c r="N103" s="1120">
        <f>(L103/L96-1)*100</f>
        <v>3.1377470975839428</v>
      </c>
      <c r="O103" s="1124"/>
      <c r="P103" s="1159">
        <f>H103/N103*100</f>
        <v>64.614048136903889</v>
      </c>
      <c r="Q103" s="1125"/>
      <c r="R103" s="598"/>
      <c r="S103" s="1165">
        <f>'SegP&amp;L'!D138</f>
        <v>2957.19</v>
      </c>
      <c r="T103" s="1127"/>
      <c r="U103" s="1166">
        <f>S103/L103</f>
        <v>1.7993246121083055</v>
      </c>
      <c r="V103" s="598"/>
      <c r="W103" s="1176">
        <f>(U103/U96-1)*100</f>
        <v>1.832188869391671</v>
      </c>
      <c r="X103" s="1124"/>
      <c r="Y103" s="598"/>
      <c r="Z103" s="1129">
        <f>+Stores!G160</f>
        <v>50.5</v>
      </c>
      <c r="AA103" s="1127"/>
      <c r="AB103" s="1163">
        <f>AVERAGE(Z103,Z102)</f>
        <v>50.45</v>
      </c>
      <c r="AC103" s="598"/>
      <c r="AD103" s="1120">
        <f>(AB103/AB96-1)*100</f>
        <v>2.1255060728744946</v>
      </c>
      <c r="AE103" s="1124"/>
      <c r="AF103" s="1159">
        <f>+H103/AD103*100</f>
        <v>95.38553880983936</v>
      </c>
      <c r="AG103" s="1125"/>
      <c r="AH103" s="598"/>
      <c r="AI103" s="1165">
        <f>+S103</f>
        <v>2957.19</v>
      </c>
      <c r="AJ103" s="598"/>
      <c r="AK103" s="1167">
        <f>AI103/AB103</f>
        <v>58.616253716551036</v>
      </c>
      <c r="AL103" s="598"/>
      <c r="AM103" s="1176">
        <f>(AK103/AK96-1)*100</f>
        <v>2.8415226115030778</v>
      </c>
      <c r="AN103" s="1124"/>
      <c r="AP103" s="487"/>
      <c r="AQ103" s="487"/>
      <c r="AR103" s="487"/>
      <c r="AS103" s="487"/>
      <c r="AT103" s="487"/>
      <c r="AU103" s="487"/>
      <c r="AV103" s="487"/>
      <c r="AW103" s="487"/>
      <c r="AX103" s="487"/>
      <c r="AY103" s="487"/>
      <c r="AZ103" s="487"/>
      <c r="BA103" s="487"/>
      <c r="BB103" s="487"/>
      <c r="BC103" s="487"/>
      <c r="BD103" s="487"/>
      <c r="BE103" s="487"/>
      <c r="BF103" s="487"/>
      <c r="BG103" s="487"/>
      <c r="BH103" s="487"/>
    </row>
    <row r="104" spans="1:60" hidden="1" outlineLevel="1">
      <c r="A104" s="598" t="s">
        <v>529</v>
      </c>
      <c r="B104" s="1157" t="s">
        <v>516</v>
      </c>
      <c r="C104" s="598"/>
      <c r="D104" s="1120">
        <f>(S104/S97-1)*100</f>
        <v>1.6406644150806171</v>
      </c>
      <c r="E104" s="598"/>
      <c r="F104" s="1179">
        <f>'SegP&amp;L'!F139</f>
        <v>0</v>
      </c>
      <c r="G104" s="598"/>
      <c r="H104" s="1120">
        <f>D104-F104</f>
        <v>1.6406644150806171</v>
      </c>
      <c r="I104" s="598"/>
      <c r="J104" s="1167">
        <f>+Stores!D161</f>
        <v>1679</v>
      </c>
      <c r="K104" s="1127"/>
      <c r="L104" s="1167">
        <f>AVERAGE(J104,J103)</f>
        <v>1662.5</v>
      </c>
      <c r="M104" s="598"/>
      <c r="N104" s="1120">
        <f>(L104/L97-1)*100</f>
        <v>3.1967721911855929</v>
      </c>
      <c r="O104" s="1124"/>
      <c r="P104" s="1159">
        <f>H104/N104*100</f>
        <v>51.322531508638434</v>
      </c>
      <c r="Q104" s="1125"/>
      <c r="R104" s="598"/>
      <c r="S104" s="1165">
        <f>'SegP&amp;L'!D139</f>
        <v>3058.2069999999999</v>
      </c>
      <c r="T104" s="1127"/>
      <c r="U104" s="1166">
        <f>S104/L104</f>
        <v>1.8395230075187969</v>
      </c>
      <c r="V104" s="598"/>
      <c r="W104" s="1176">
        <f>(U104/U97-1)*100</f>
        <v>-1.5079035352211334</v>
      </c>
      <c r="X104" s="1124"/>
      <c r="Y104" s="598"/>
      <c r="Z104" s="1129">
        <f>+Stores!G161</f>
        <v>51.4</v>
      </c>
      <c r="AA104" s="1127"/>
      <c r="AB104" s="1163">
        <f>AVERAGE(Z104,Z103)</f>
        <v>50.95</v>
      </c>
      <c r="AC104" s="598"/>
      <c r="AD104" s="1120">
        <f>(AB104/AB97-1)*100</f>
        <v>1.7982017982018039</v>
      </c>
      <c r="AE104" s="1124"/>
      <c r="AF104" s="1159">
        <f>+H104/AD104*100</f>
        <v>91.239171083094021</v>
      </c>
      <c r="AG104" s="1125"/>
      <c r="AH104" s="598"/>
      <c r="AI104" s="1165">
        <f>+S104</f>
        <v>3058.2069999999999</v>
      </c>
      <c r="AJ104" s="598"/>
      <c r="AK104" s="1167">
        <f>AI104/AB104</f>
        <v>60.023689892051024</v>
      </c>
      <c r="AL104" s="598"/>
      <c r="AM104" s="1176">
        <f>(AK104/AK97-1)*100</f>
        <v>-0.15475458341935866</v>
      </c>
      <c r="AN104" s="1124"/>
      <c r="AP104" s="487"/>
      <c r="AQ104" s="487"/>
      <c r="AR104" s="487"/>
      <c r="AS104" s="487"/>
      <c r="AT104" s="487"/>
      <c r="AU104" s="487"/>
      <c r="AV104" s="487"/>
      <c r="AW104" s="487"/>
      <c r="AX104" s="487"/>
      <c r="AY104" s="487"/>
      <c r="AZ104" s="487"/>
      <c r="BA104" s="487"/>
      <c r="BB104" s="487"/>
      <c r="BC104" s="487"/>
      <c r="BD104" s="487"/>
      <c r="BE104" s="487"/>
      <c r="BF104" s="487"/>
      <c r="BG104" s="487"/>
      <c r="BH104" s="487"/>
    </row>
    <row r="105" spans="1:60" hidden="1" outlineLevel="1">
      <c r="A105" s="598" t="s">
        <v>530</v>
      </c>
      <c r="B105" s="1157" t="s">
        <v>517</v>
      </c>
      <c r="C105" s="598"/>
      <c r="D105" s="1168">
        <f>(S105/S98-1)*100</f>
        <v>3.8608096046565121</v>
      </c>
      <c r="E105" s="598"/>
      <c r="F105" s="1178">
        <f>'SegP&amp;L'!F140</f>
        <v>-3</v>
      </c>
      <c r="G105" s="598"/>
      <c r="H105" s="1168">
        <f>D105-F105</f>
        <v>6.8608096046565121</v>
      </c>
      <c r="I105" s="598"/>
      <c r="J105" s="1167">
        <f>+Stores!D162</f>
        <v>1680</v>
      </c>
      <c r="K105" s="1127"/>
      <c r="L105" s="1175">
        <f>AVERAGE(J105,J104)</f>
        <v>1679.5</v>
      </c>
      <c r="M105" s="598"/>
      <c r="N105" s="1168">
        <f>(L105/L98-1)*100</f>
        <v>3.3220547523838739</v>
      </c>
      <c r="O105" s="1124"/>
      <c r="P105" s="1171">
        <f>H105/N105*100</f>
        <v>206.52307430313309</v>
      </c>
      <c r="Q105" s="1125"/>
      <c r="R105" s="598"/>
      <c r="S105" s="1172">
        <f>'SegP&amp;L'!D140</f>
        <v>3544.4349999999999</v>
      </c>
      <c r="T105" s="1127"/>
      <c r="U105" s="1173">
        <f>S105/L105</f>
        <v>2.1104108365584997</v>
      </c>
      <c r="V105" s="598"/>
      <c r="W105" s="1169">
        <f>(U105/U98-1)*100</f>
        <v>0.52143257658183728</v>
      </c>
      <c r="X105" s="1124"/>
      <c r="Y105" s="598"/>
      <c r="Z105" s="1129">
        <f>+Stores!G162</f>
        <v>51.4</v>
      </c>
      <c r="AA105" s="1127"/>
      <c r="AB105" s="1174">
        <f>AVERAGE(Z105,Z104)</f>
        <v>51.4</v>
      </c>
      <c r="AC105" s="598"/>
      <c r="AD105" s="1168">
        <f>(AB105/AB98-1)*100</f>
        <v>2.1929737360081081</v>
      </c>
      <c r="AE105" s="1124"/>
      <c r="AF105" s="1171">
        <f>+H105/AD105*100</f>
        <v>312.85416199946434</v>
      </c>
      <c r="AG105" s="1125"/>
      <c r="AH105" s="598"/>
      <c r="AI105" s="1172">
        <f>+S105</f>
        <v>3544.4349999999999</v>
      </c>
      <c r="AJ105" s="598"/>
      <c r="AK105" s="1175">
        <f>AI105/AB105</f>
        <v>68.957879377431908</v>
      </c>
      <c r="AL105" s="598"/>
      <c r="AM105" s="1169">
        <f>(AK105/AK98-1)*100</f>
        <v>1.6320455386266586</v>
      </c>
      <c r="AN105" s="1124"/>
      <c r="AP105" s="487"/>
      <c r="AQ105" s="487"/>
      <c r="AR105" s="487"/>
      <c r="AS105" s="487"/>
      <c r="AT105" s="487"/>
      <c r="AU105" s="487"/>
      <c r="AV105" s="487"/>
      <c r="AW105" s="487"/>
      <c r="AX105" s="487"/>
      <c r="AY105" s="487"/>
      <c r="AZ105" s="487"/>
      <c r="BA105" s="487"/>
      <c r="BB105" s="487"/>
      <c r="BC105" s="487"/>
      <c r="BD105" s="487"/>
      <c r="BE105" s="487"/>
      <c r="BF105" s="487"/>
      <c r="BG105" s="487"/>
      <c r="BH105" s="487"/>
    </row>
    <row r="106" spans="1:60" hidden="1" outlineLevel="1">
      <c r="A106" s="598"/>
      <c r="B106" s="1157" t="s">
        <v>531</v>
      </c>
      <c r="C106" s="598"/>
      <c r="D106" s="1120">
        <f>(S106/S99-1)*100</f>
        <v>3.3047759143305822</v>
      </c>
      <c r="E106" s="598"/>
      <c r="F106" s="1179">
        <f>'SegP&amp;L'!F141</f>
        <v>0</v>
      </c>
      <c r="G106" s="598"/>
      <c r="H106" s="1120">
        <f>D106-F106</f>
        <v>3.3047759143305822</v>
      </c>
      <c r="I106" s="598"/>
      <c r="J106" s="598"/>
      <c r="K106" s="598"/>
      <c r="L106" s="1167">
        <f>AVERAGE(L102:L105)</f>
        <v>1654.375</v>
      </c>
      <c r="M106" s="598"/>
      <c r="N106" s="1120">
        <f>(L106/L99-1)*100</f>
        <v>3.2210263609421252</v>
      </c>
      <c r="O106" s="1124"/>
      <c r="P106" s="1159">
        <f>H106/N106*100</f>
        <v>102.60008904006487</v>
      </c>
      <c r="Q106" s="1125"/>
      <c r="R106" s="598"/>
      <c r="S106" s="1160">
        <f>SUM(S102:S105)</f>
        <v>12362.121999999999</v>
      </c>
      <c r="T106" s="598"/>
      <c r="U106" s="1161">
        <f>SUM(U102:U105)</f>
        <v>7.4663479169699158</v>
      </c>
      <c r="V106" s="598"/>
      <c r="W106" s="1176">
        <f>(U106/U99-1)*100</f>
        <v>7.7902183240641243E-2</v>
      </c>
      <c r="X106" s="1124"/>
      <c r="Y106" s="598"/>
      <c r="Z106" s="598"/>
      <c r="AA106" s="598"/>
      <c r="AB106" s="1163">
        <f>AVERAGE(AB102:AB105)</f>
        <v>50.736750000000008</v>
      </c>
      <c r="AC106" s="598"/>
      <c r="AD106" s="1120">
        <f>(AB106/AB99-1)*100</f>
        <v>2.087556653269429</v>
      </c>
      <c r="AE106" s="1124"/>
      <c r="AF106" s="1159">
        <f>+H106/AD106*100</f>
        <v>158.30832227498132</v>
      </c>
      <c r="AG106" s="1125"/>
      <c r="AH106" s="598"/>
      <c r="AI106" s="1160">
        <f>SUM(AI102:AI105)</f>
        <v>12362.121999999999</v>
      </c>
      <c r="AJ106" s="598"/>
      <c r="AK106" s="1164">
        <f>SUM(AK102:AK105)</f>
        <v>243.47933135143967</v>
      </c>
      <c r="AL106" s="598"/>
      <c r="AM106" s="1176">
        <f>(AK106/AK99-1)*100</f>
        <v>1.1920493177584257</v>
      </c>
      <c r="AN106" s="1124"/>
      <c r="AP106" s="487"/>
      <c r="AQ106" s="487"/>
      <c r="AR106" s="487"/>
      <c r="AS106" s="487"/>
      <c r="AT106" s="487"/>
      <c r="AU106" s="487"/>
      <c r="AV106" s="487"/>
      <c r="AW106" s="487"/>
      <c r="AX106" s="487"/>
      <c r="AY106" s="487"/>
      <c r="AZ106" s="487"/>
      <c r="BA106" s="487"/>
      <c r="BB106" s="487"/>
      <c r="BC106" s="487"/>
      <c r="BD106" s="487"/>
      <c r="BE106" s="487"/>
      <c r="BF106" s="487"/>
      <c r="BG106" s="487"/>
      <c r="BH106" s="487"/>
    </row>
    <row r="107" spans="1:60" hidden="1" outlineLevel="1">
      <c r="A107" s="598"/>
      <c r="B107" s="1157"/>
      <c r="C107" s="598"/>
      <c r="D107" s="1120"/>
      <c r="E107" s="598"/>
      <c r="F107" s="1179"/>
      <c r="G107" s="598"/>
      <c r="H107" s="1120"/>
      <c r="I107" s="598"/>
      <c r="J107" s="598"/>
      <c r="K107" s="598"/>
      <c r="L107" s="1167"/>
      <c r="M107" s="598"/>
      <c r="N107" s="1120"/>
      <c r="O107" s="1124"/>
      <c r="P107" s="1159"/>
      <c r="Q107" s="1125"/>
      <c r="R107" s="598"/>
      <c r="S107" s="1160"/>
      <c r="T107" s="598"/>
      <c r="U107" s="1161"/>
      <c r="V107" s="598"/>
      <c r="W107" s="1176"/>
      <c r="X107" s="1124"/>
      <c r="Y107" s="598"/>
      <c r="Z107" s="598"/>
      <c r="AA107" s="598"/>
      <c r="AB107" s="1163"/>
      <c r="AC107" s="598"/>
      <c r="AD107" s="1120"/>
      <c r="AE107" s="1124"/>
      <c r="AF107" s="1159"/>
      <c r="AG107" s="1125"/>
      <c r="AH107" s="598"/>
      <c r="AI107" s="1160"/>
      <c r="AJ107" s="598"/>
      <c r="AK107" s="1164"/>
      <c r="AL107" s="598"/>
      <c r="AM107" s="1176"/>
      <c r="AN107" s="1124"/>
      <c r="AP107" s="487"/>
      <c r="AQ107" s="487"/>
      <c r="AR107" s="487"/>
      <c r="AS107" s="487"/>
      <c r="AT107" s="487"/>
      <c r="AU107" s="487"/>
      <c r="AV107" s="487"/>
      <c r="AW107" s="487"/>
      <c r="AX107" s="487"/>
      <c r="AY107" s="487"/>
      <c r="AZ107" s="487"/>
      <c r="BA107" s="487"/>
      <c r="BB107" s="487"/>
      <c r="BC107" s="487"/>
      <c r="BD107" s="487"/>
      <c r="BE107" s="487"/>
      <c r="BF107" s="487"/>
      <c r="BG107" s="487"/>
      <c r="BH107" s="487"/>
    </row>
    <row r="108" spans="1:60" hidden="1" outlineLevel="1">
      <c r="A108" s="1154"/>
      <c r="B108" s="1118">
        <f>+B101+1</f>
        <v>2009</v>
      </c>
      <c r="C108" s="598"/>
      <c r="D108" s="598"/>
      <c r="E108" s="1124"/>
      <c r="F108" s="598"/>
      <c r="G108" s="1124"/>
      <c r="H108" s="598"/>
      <c r="I108" s="1124"/>
      <c r="J108" s="1167"/>
      <c r="K108" s="598"/>
      <c r="L108" s="1167"/>
      <c r="M108" s="598"/>
      <c r="N108" s="598"/>
      <c r="O108" s="1124"/>
      <c r="P108" s="1125"/>
      <c r="Q108" s="1125"/>
      <c r="R108" s="598"/>
      <c r="S108" s="598"/>
      <c r="T108" s="598"/>
      <c r="U108" s="598"/>
      <c r="V108" s="598"/>
      <c r="W108" s="598"/>
      <c r="X108" s="1124"/>
      <c r="Y108" s="598"/>
      <c r="Z108" s="598"/>
      <c r="AA108" s="598"/>
      <c r="AB108" s="598"/>
      <c r="AC108" s="598"/>
      <c r="AD108" s="598"/>
      <c r="AE108" s="1124"/>
      <c r="AF108" s="1125"/>
      <c r="AG108" s="1125"/>
      <c r="AH108" s="598"/>
      <c r="AI108" s="598"/>
      <c r="AJ108" s="598"/>
      <c r="AK108" s="598"/>
      <c r="AL108" s="598"/>
      <c r="AM108" s="598"/>
      <c r="AN108" s="1124"/>
      <c r="AP108" s="487"/>
      <c r="AQ108" s="487"/>
      <c r="AR108" s="487"/>
      <c r="AS108" s="487"/>
      <c r="AT108" s="487"/>
      <c r="AU108" s="487"/>
      <c r="AV108" s="487"/>
      <c r="AW108" s="487"/>
      <c r="AX108" s="487"/>
      <c r="AY108" s="487"/>
      <c r="AZ108" s="487"/>
      <c r="BA108" s="487"/>
      <c r="BB108" s="487"/>
      <c r="BC108" s="487"/>
      <c r="BD108" s="487"/>
      <c r="BE108" s="487"/>
      <c r="BF108" s="487"/>
      <c r="BG108" s="487"/>
      <c r="BH108" s="487"/>
    </row>
    <row r="109" spans="1:60" hidden="1" outlineLevel="1">
      <c r="A109" s="598" t="s">
        <v>527</v>
      </c>
      <c r="B109" s="1157" t="s">
        <v>514</v>
      </c>
      <c r="C109" s="598"/>
      <c r="D109" s="1120">
        <f>(S109/S102-1)*100</f>
        <v>4.853851671311693</v>
      </c>
      <c r="E109" s="1124" t="s">
        <v>190</v>
      </c>
      <c r="F109" s="1179">
        <f>'SegP&amp;L'!F144</f>
        <v>1</v>
      </c>
      <c r="G109" s="1124" t="s">
        <v>190</v>
      </c>
      <c r="H109" s="1120">
        <f>D109-F109</f>
        <v>3.853851671311693</v>
      </c>
      <c r="I109" s="1124" t="s">
        <v>190</v>
      </c>
      <c r="J109" s="1167">
        <f>+Stores!D166</f>
        <v>1691</v>
      </c>
      <c r="K109" s="598"/>
      <c r="L109" s="1167">
        <f>AVERAGE(J109,J105)</f>
        <v>1685.5</v>
      </c>
      <c r="M109" s="598"/>
      <c r="N109" s="1120">
        <f>(L109/L102-1)*100</f>
        <v>3.2781862745097978</v>
      </c>
      <c r="O109" s="1124" t="s">
        <v>190</v>
      </c>
      <c r="P109" s="1159">
        <f>H109/N109*100</f>
        <v>117.56048462767654</v>
      </c>
      <c r="Q109" s="1125" t="s">
        <v>190</v>
      </c>
      <c r="R109" s="598"/>
      <c r="S109" s="1160">
        <f>'SegP&amp;L'!D144</f>
        <v>2938.3090000000002</v>
      </c>
      <c r="T109" s="598"/>
      <c r="U109" s="1161">
        <f>S109/L109</f>
        <v>1.743286265203204</v>
      </c>
      <c r="V109" s="598"/>
      <c r="W109" s="1176">
        <f>(U109/U102-1)*100</f>
        <v>1.5256516924240238</v>
      </c>
      <c r="X109" s="1124" t="s">
        <v>190</v>
      </c>
      <c r="Y109" s="598"/>
      <c r="Z109" s="1129">
        <f>+Stores!G166</f>
        <v>51.7</v>
      </c>
      <c r="AA109" s="598"/>
      <c r="AB109" s="1163">
        <f>AVERAGE(Z109,Z105)</f>
        <v>51.55</v>
      </c>
      <c r="AC109" s="598"/>
      <c r="AD109" s="1120">
        <f>(AB109/AB102-1)*100</f>
        <v>2.7977745428440226</v>
      </c>
      <c r="AE109" s="1124" t="s">
        <v>190</v>
      </c>
      <c r="AF109" s="1159">
        <f>+H109/AD109*100</f>
        <v>137.74704188258627</v>
      </c>
      <c r="AG109" s="1125" t="s">
        <v>190</v>
      </c>
      <c r="AH109" s="598"/>
      <c r="AI109" s="1160">
        <f>+S109</f>
        <v>2938.3090000000002</v>
      </c>
      <c r="AJ109" s="598"/>
      <c r="AK109" s="1164">
        <f>AI109/AB109</f>
        <v>56.999204655674113</v>
      </c>
      <c r="AL109" s="598"/>
      <c r="AM109" s="1176">
        <f>(AK109/AK102-1)*100</f>
        <v>2.0001183270857092</v>
      </c>
      <c r="AN109" s="1124" t="s">
        <v>190</v>
      </c>
      <c r="AP109" s="487"/>
      <c r="AQ109" s="487"/>
      <c r="AR109" s="487"/>
      <c r="AS109" s="487"/>
      <c r="AT109" s="487"/>
      <c r="AU109" s="487"/>
      <c r="AV109" s="487"/>
      <c r="AW109" s="487"/>
      <c r="AX109" s="487"/>
      <c r="AY109" s="487"/>
      <c r="AZ109" s="487"/>
      <c r="BA109" s="487"/>
      <c r="BB109" s="487"/>
      <c r="BC109" s="487"/>
      <c r="BD109" s="487"/>
      <c r="BE109" s="487"/>
      <c r="BF109" s="487"/>
      <c r="BG109" s="487"/>
      <c r="BH109" s="487"/>
    </row>
    <row r="110" spans="1:60" hidden="1" outlineLevel="1">
      <c r="A110" s="598" t="s">
        <v>528</v>
      </c>
      <c r="B110" s="1157" t="s">
        <v>515</v>
      </c>
      <c r="C110" s="598"/>
      <c r="D110" s="1120">
        <f>(S110/S103-1)*100</f>
        <v>6.3680047612767465</v>
      </c>
      <c r="E110" s="598"/>
      <c r="F110" s="1179">
        <f>'SegP&amp;L'!F145</f>
        <v>4</v>
      </c>
      <c r="G110" s="598"/>
      <c r="H110" s="1120">
        <f>D110-F110</f>
        <v>2.3680047612767465</v>
      </c>
      <c r="I110" s="598"/>
      <c r="J110" s="1167">
        <f>+Stores!D167</f>
        <v>1693</v>
      </c>
      <c r="K110" s="1127"/>
      <c r="L110" s="1167">
        <f>AVERAGE(J110,J109)</f>
        <v>1692</v>
      </c>
      <c r="M110" s="598"/>
      <c r="N110" s="1120">
        <f>(L110/L103-1)*100</f>
        <v>2.951019166413138</v>
      </c>
      <c r="O110" s="1124"/>
      <c r="P110" s="1159">
        <f>H110/N110*100</f>
        <v>80.24362526099668</v>
      </c>
      <c r="Q110" s="1125"/>
      <c r="R110" s="598"/>
      <c r="S110" s="1165">
        <f>'SegP&amp;L'!D145</f>
        <v>3145.5039999999999</v>
      </c>
      <c r="T110" s="1127"/>
      <c r="U110" s="1166">
        <f>S110/L110</f>
        <v>1.8590449172576831</v>
      </c>
      <c r="V110" s="598"/>
      <c r="W110" s="1176">
        <f>(U110/U103-1)*100</f>
        <v>3.3190400857909808</v>
      </c>
      <c r="X110" s="1124"/>
      <c r="Y110" s="598"/>
      <c r="Z110" s="1129">
        <f>+Stores!G167</f>
        <v>51.8</v>
      </c>
      <c r="AA110" s="1127"/>
      <c r="AB110" s="1163">
        <f>AVERAGE(Z110,Z109)</f>
        <v>51.75</v>
      </c>
      <c r="AC110" s="598"/>
      <c r="AD110" s="1120">
        <f>(AB110/AB103-1)*100</f>
        <v>2.5768087215064295</v>
      </c>
      <c r="AE110" s="1124"/>
      <c r="AF110" s="1159">
        <f>+H110/AD110*100</f>
        <v>91.896800158778802</v>
      </c>
      <c r="AG110" s="1125"/>
      <c r="AH110" s="598"/>
      <c r="AI110" s="1165">
        <f>+S110</f>
        <v>3145.5039999999999</v>
      </c>
      <c r="AJ110" s="598"/>
      <c r="AK110" s="1167">
        <f>AI110/AB110</f>
        <v>60.782685990338159</v>
      </c>
      <c r="AL110" s="598"/>
      <c r="AM110" s="1176">
        <f>(AK110/AK103-1)*100</f>
        <v>3.6959582648582012</v>
      </c>
      <c r="AN110" s="1124"/>
      <c r="AP110" s="487"/>
      <c r="AQ110" s="487"/>
      <c r="AR110" s="487"/>
      <c r="AS110" s="487"/>
      <c r="AT110" s="487"/>
      <c r="AU110" s="487"/>
      <c r="AV110" s="487"/>
      <c r="AW110" s="487"/>
      <c r="AX110" s="487"/>
      <c r="AY110" s="487"/>
      <c r="AZ110" s="487"/>
      <c r="BA110" s="487"/>
      <c r="BB110" s="487"/>
      <c r="BC110" s="487"/>
      <c r="BD110" s="487"/>
      <c r="BE110" s="487"/>
      <c r="BF110" s="487"/>
      <c r="BG110" s="487"/>
      <c r="BH110" s="487"/>
    </row>
    <row r="111" spans="1:60" hidden="1" outlineLevel="1">
      <c r="A111" s="598" t="s">
        <v>529</v>
      </c>
      <c r="B111" s="1157" t="s">
        <v>516</v>
      </c>
      <c r="C111" s="598"/>
      <c r="D111" s="1120">
        <f>(S111/S104-1)*100</f>
        <v>10.540032116858033</v>
      </c>
      <c r="E111" s="598"/>
      <c r="F111" s="1179">
        <f>'SegP&amp;L'!F146</f>
        <v>9</v>
      </c>
      <c r="G111" s="598"/>
      <c r="H111" s="1120">
        <f>D111-F111</f>
        <v>1.5400321168580327</v>
      </c>
      <c r="I111" s="598"/>
      <c r="J111" s="1167">
        <f>+Stores!D168</f>
        <v>1709</v>
      </c>
      <c r="K111" s="1127"/>
      <c r="L111" s="1167">
        <f>AVERAGE(J111,J110)</f>
        <v>1701</v>
      </c>
      <c r="M111" s="598"/>
      <c r="N111" s="1120">
        <f>(L111/L104-1)*100</f>
        <v>2.3157894736842044</v>
      </c>
      <c r="O111" s="1124"/>
      <c r="P111" s="1159">
        <f>H111/N111*100</f>
        <v>66.501386864324303</v>
      </c>
      <c r="Q111" s="1180"/>
      <c r="R111" s="598"/>
      <c r="S111" s="1165">
        <f>'SegP&amp;L'!D146</f>
        <v>3380.5430000000001</v>
      </c>
      <c r="T111" s="1127"/>
      <c r="U111" s="1166">
        <f>S111/L111</f>
        <v>1.9873856554967666</v>
      </c>
      <c r="V111" s="598"/>
      <c r="W111" s="1176">
        <f>(U111/U104-1)*100</f>
        <v>8.038097233554641</v>
      </c>
      <c r="X111" s="1124"/>
      <c r="Y111" s="598"/>
      <c r="Z111" s="1129">
        <f>+Stores!G168</f>
        <v>52.3</v>
      </c>
      <c r="AA111" s="1127"/>
      <c r="AB111" s="1163">
        <f>AVERAGE(Z111,Z110)</f>
        <v>52.05</v>
      </c>
      <c r="AC111" s="598"/>
      <c r="AD111" s="1120">
        <f>(AB111/AB104-1)*100</f>
        <v>2.1589793915603339</v>
      </c>
      <c r="AE111" s="1124"/>
      <c r="AF111" s="1159">
        <f>+H111/AD111*100</f>
        <v>71.331487594470417</v>
      </c>
      <c r="AG111" s="1125"/>
      <c r="AH111" s="598"/>
      <c r="AI111" s="1165">
        <f>+S111</f>
        <v>3380.5430000000001</v>
      </c>
      <c r="AJ111" s="598"/>
      <c r="AK111" s="1167">
        <f>AI111/AB111</f>
        <v>64.947992315081663</v>
      </c>
      <c r="AL111" s="598"/>
      <c r="AM111" s="1176">
        <f>(AK111/AK104-1)*100</f>
        <v>8.2039315341770891</v>
      </c>
      <c r="AN111" s="1124"/>
      <c r="AP111" s="487"/>
      <c r="AQ111" s="487"/>
      <c r="AR111" s="487"/>
      <c r="AS111" s="487"/>
      <c r="AT111" s="487"/>
      <c r="AU111" s="487"/>
      <c r="AV111" s="487"/>
      <c r="AW111" s="487"/>
      <c r="AX111" s="487"/>
      <c r="AY111" s="487"/>
      <c r="AZ111" s="487"/>
      <c r="BA111" s="487"/>
      <c r="BB111" s="487"/>
      <c r="BC111" s="487"/>
      <c r="BD111" s="487"/>
      <c r="BE111" s="487"/>
      <c r="BF111" s="487"/>
      <c r="BG111" s="487"/>
      <c r="BH111" s="487"/>
    </row>
    <row r="112" spans="1:60" hidden="1" outlineLevel="1">
      <c r="A112" s="598" t="s">
        <v>530</v>
      </c>
      <c r="B112" s="1157" t="s">
        <v>517</v>
      </c>
      <c r="C112" s="598"/>
      <c r="D112" s="1168">
        <f>(S112/S105-1)*100</f>
        <v>7.3939005793589141</v>
      </c>
      <c r="E112" s="598"/>
      <c r="F112" s="1178">
        <f>'SegP&amp;L'!F147</f>
        <v>13</v>
      </c>
      <c r="G112" s="598"/>
      <c r="H112" s="1168">
        <f>D112-F112</f>
        <v>-5.6060994206410859</v>
      </c>
      <c r="I112" s="598"/>
      <c r="J112" s="1167">
        <f>+Stores!D169</f>
        <v>1703</v>
      </c>
      <c r="K112" s="1127"/>
      <c r="L112" s="1175">
        <f>AVERAGE(J112,J111)</f>
        <v>1706</v>
      </c>
      <c r="M112" s="598"/>
      <c r="N112" s="1168">
        <f>(L112/L105-1)*100</f>
        <v>1.5778505507591634</v>
      </c>
      <c r="O112" s="1124"/>
      <c r="P112" s="1171">
        <f>H112/N112*100</f>
        <v>-355.29977271572267</v>
      </c>
      <c r="Q112" s="1180"/>
      <c r="R112" s="598"/>
      <c r="S112" s="1172">
        <f>'SegP&amp;L'!D147</f>
        <v>3806.5070000000001</v>
      </c>
      <c r="T112" s="1127"/>
      <c r="U112" s="1173">
        <f>S112/L112</f>
        <v>2.2312467760844079</v>
      </c>
      <c r="V112" s="598"/>
      <c r="W112" s="1169">
        <f>(U112/U105-1)*100</f>
        <v>5.7257069302656838</v>
      </c>
      <c r="X112" s="1124"/>
      <c r="Y112" s="598"/>
      <c r="Z112" s="1129">
        <f>+Stores!G169</f>
        <v>52.099999999999994</v>
      </c>
      <c r="AA112" s="1127"/>
      <c r="AB112" s="1174">
        <f>AVERAGE(Z112,Z111)</f>
        <v>52.199999999999996</v>
      </c>
      <c r="AC112" s="598"/>
      <c r="AD112" s="1168">
        <f>(AB112/AB105-1)*100</f>
        <v>1.5564202334630295</v>
      </c>
      <c r="AE112" s="1124"/>
      <c r="AF112" s="1171">
        <f>+H112/AD112*100</f>
        <v>-360.19188777619104</v>
      </c>
      <c r="AG112" s="1125"/>
      <c r="AH112" s="598"/>
      <c r="AI112" s="1172">
        <f>+S112</f>
        <v>3806.5070000000001</v>
      </c>
      <c r="AJ112" s="598"/>
      <c r="AK112" s="1175">
        <f>AI112/AB112</f>
        <v>72.921590038314179</v>
      </c>
      <c r="AL112" s="598"/>
      <c r="AM112" s="1169">
        <f>(AK112/AK105-1)*100</f>
        <v>5.7480170455756374</v>
      </c>
      <c r="AN112" s="1124"/>
      <c r="AP112" s="487"/>
      <c r="AQ112" s="487"/>
      <c r="AR112" s="487"/>
      <c r="AS112" s="487"/>
      <c r="AT112" s="487"/>
      <c r="AU112" s="487"/>
      <c r="AV112" s="487"/>
      <c r="AW112" s="487"/>
      <c r="AX112" s="487"/>
      <c r="AY112" s="487"/>
      <c r="AZ112" s="487"/>
      <c r="BA112" s="487"/>
      <c r="BB112" s="487"/>
      <c r="BC112" s="487"/>
      <c r="BD112" s="487"/>
      <c r="BE112" s="487"/>
      <c r="BF112" s="487"/>
      <c r="BG112" s="487"/>
      <c r="BH112" s="487"/>
    </row>
    <row r="113" spans="1:60" hidden="1" outlineLevel="1">
      <c r="A113" s="598"/>
      <c r="B113" s="1157" t="s">
        <v>531</v>
      </c>
      <c r="C113" s="598"/>
      <c r="D113" s="1120">
        <f>(S113/S106-1)*100</f>
        <v>7.3510114202076204</v>
      </c>
      <c r="E113" s="598"/>
      <c r="F113" s="1179">
        <f>'SegP&amp;L'!F148</f>
        <v>7</v>
      </c>
      <c r="G113" s="598"/>
      <c r="H113" s="1120">
        <f>D113-F113</f>
        <v>0.35101142020762044</v>
      </c>
      <c r="I113" s="598"/>
      <c r="J113" s="598"/>
      <c r="K113" s="598"/>
      <c r="L113" s="1167">
        <f>AVERAGE(L109:L112)</f>
        <v>1696.125</v>
      </c>
      <c r="M113" s="598"/>
      <c r="N113" s="1120">
        <f>(L113/L106-1)*100</f>
        <v>2.5236116358141381</v>
      </c>
      <c r="O113" s="1124"/>
      <c r="P113" s="1159">
        <f>H113/N113*100</f>
        <v>13.909090258825868</v>
      </c>
      <c r="Q113" s="1125"/>
      <c r="R113" s="598"/>
      <c r="S113" s="1160">
        <f>SUM(S109:S112)</f>
        <v>13270.862999999999</v>
      </c>
      <c r="T113" s="598"/>
      <c r="U113" s="1161">
        <f>SUM(U109:U112)</f>
        <v>7.8209636140420615</v>
      </c>
      <c r="V113" s="598"/>
      <c r="W113" s="1176">
        <f>(U113/U106-1)*100</f>
        <v>4.7495201270510767</v>
      </c>
      <c r="X113" s="1124"/>
      <c r="Y113" s="598"/>
      <c r="Z113" s="598"/>
      <c r="AA113" s="598"/>
      <c r="AB113" s="1163">
        <f>AVERAGE(AB109:AB112)</f>
        <v>51.887499999999996</v>
      </c>
      <c r="AC113" s="598"/>
      <c r="AD113" s="1120">
        <f>(AB113/AB106-1)*100</f>
        <v>2.2680798435059213</v>
      </c>
      <c r="AE113" s="1124"/>
      <c r="AF113" s="1159">
        <f>+H113/AD113*100</f>
        <v>15.476149184635354</v>
      </c>
      <c r="AG113" s="1125"/>
      <c r="AH113" s="598"/>
      <c r="AI113" s="1165">
        <f>SUM(AI109:AI112)</f>
        <v>13270.862999999999</v>
      </c>
      <c r="AJ113" s="598"/>
      <c r="AK113" s="1164">
        <f>SUM(AK109:AK112)</f>
        <v>255.65147299940813</v>
      </c>
      <c r="AL113" s="598"/>
      <c r="AM113" s="1176">
        <f>(AK113/AK106-1)*100</f>
        <v>4.9992504827438999</v>
      </c>
      <c r="AN113" s="1124"/>
      <c r="AP113" s="487"/>
      <c r="AQ113" s="487"/>
      <c r="AR113" s="487"/>
      <c r="AS113" s="487"/>
      <c r="AT113" s="487"/>
      <c r="AU113" s="487"/>
      <c r="AV113" s="487"/>
      <c r="AW113" s="487"/>
      <c r="AX113" s="487"/>
      <c r="AY113" s="487"/>
      <c r="AZ113" s="487"/>
      <c r="BA113" s="487"/>
      <c r="BB113" s="487"/>
      <c r="BC113" s="487"/>
      <c r="BD113" s="487"/>
      <c r="BE113" s="487"/>
      <c r="BF113" s="487"/>
      <c r="BG113" s="487"/>
      <c r="BH113" s="487"/>
    </row>
    <row r="114" spans="1:60" hidden="1" outlineLevel="1">
      <c r="A114" s="598"/>
      <c r="B114" s="1157"/>
      <c r="C114" s="598"/>
      <c r="D114" s="1120"/>
      <c r="E114" s="598"/>
      <c r="F114" s="1179"/>
      <c r="G114" s="598"/>
      <c r="H114" s="1120"/>
      <c r="I114" s="598"/>
      <c r="J114" s="598"/>
      <c r="K114" s="598"/>
      <c r="L114" s="1167"/>
      <c r="M114" s="598"/>
      <c r="N114" s="1120"/>
      <c r="O114" s="1124"/>
      <c r="P114" s="1159"/>
      <c r="Q114" s="1125"/>
      <c r="R114" s="598"/>
      <c r="S114" s="1160"/>
      <c r="T114" s="598"/>
      <c r="U114" s="1161"/>
      <c r="V114" s="598"/>
      <c r="W114" s="1176"/>
      <c r="X114" s="1124"/>
      <c r="Y114" s="598"/>
      <c r="Z114" s="598"/>
      <c r="AA114" s="598"/>
      <c r="AB114" s="1163"/>
      <c r="AC114" s="598"/>
      <c r="AD114" s="1120"/>
      <c r="AE114" s="1124"/>
      <c r="AF114" s="1159"/>
      <c r="AG114" s="1125"/>
      <c r="AH114" s="598"/>
      <c r="AI114" s="1160"/>
      <c r="AJ114" s="598"/>
      <c r="AK114" s="1164"/>
      <c r="AL114" s="598"/>
      <c r="AM114" s="1176"/>
      <c r="AN114" s="1124"/>
      <c r="AP114" s="487"/>
      <c r="AQ114" s="487"/>
      <c r="AR114" s="487"/>
      <c r="AS114" s="487"/>
      <c r="AT114" s="487"/>
      <c r="AU114" s="487"/>
      <c r="AV114" s="487"/>
      <c r="AW114" s="487"/>
      <c r="AX114" s="487"/>
      <c r="AY114" s="487"/>
      <c r="AZ114" s="487"/>
      <c r="BA114" s="487"/>
      <c r="BB114" s="487"/>
      <c r="BC114" s="487"/>
      <c r="BD114" s="487"/>
      <c r="BE114" s="487"/>
      <c r="BF114" s="487"/>
      <c r="BG114" s="487"/>
      <c r="BH114" s="487"/>
    </row>
    <row r="115" spans="1:60" hidden="1" outlineLevel="1">
      <c r="A115" s="1154"/>
      <c r="B115" s="1118">
        <f>+B108+1</f>
        <v>2010</v>
      </c>
      <c r="C115" s="598"/>
      <c r="D115" s="598"/>
      <c r="E115" s="1124"/>
      <c r="F115" s="598"/>
      <c r="G115" s="1124"/>
      <c r="H115" s="598"/>
      <c r="I115" s="1124"/>
      <c r="J115" s="1167"/>
      <c r="K115" s="598"/>
      <c r="L115" s="1167"/>
      <c r="M115" s="598"/>
      <c r="N115" s="598"/>
      <c r="O115" s="1124"/>
      <c r="P115" s="1125"/>
      <c r="Q115" s="1125"/>
      <c r="R115" s="598"/>
      <c r="S115" s="598"/>
      <c r="T115" s="598"/>
      <c r="U115" s="598"/>
      <c r="V115" s="598"/>
      <c r="W115" s="598"/>
      <c r="X115" s="1124"/>
      <c r="Y115" s="598"/>
      <c r="Z115" s="598"/>
      <c r="AA115" s="598"/>
      <c r="AB115" s="598"/>
      <c r="AC115" s="598"/>
      <c r="AD115" s="598"/>
      <c r="AE115" s="1124"/>
      <c r="AF115" s="1125"/>
      <c r="AG115" s="1125"/>
      <c r="AH115" s="598"/>
      <c r="AI115" s="598"/>
      <c r="AJ115" s="598"/>
      <c r="AK115" s="598"/>
      <c r="AL115" s="598"/>
      <c r="AM115" s="598"/>
      <c r="AN115" s="1124"/>
      <c r="AP115" s="487"/>
      <c r="AQ115" s="487"/>
      <c r="AR115" s="487"/>
      <c r="AS115" s="487"/>
      <c r="AT115" s="487"/>
      <c r="AU115" s="487"/>
      <c r="AV115" s="487"/>
      <c r="AW115" s="487"/>
      <c r="AX115" s="487"/>
      <c r="AY115" s="487"/>
      <c r="AZ115" s="487"/>
      <c r="BA115" s="487"/>
      <c r="BB115" s="487"/>
      <c r="BC115" s="487"/>
      <c r="BD115" s="487"/>
      <c r="BE115" s="487"/>
      <c r="BF115" s="487"/>
      <c r="BG115" s="487"/>
      <c r="BH115" s="487"/>
    </row>
    <row r="116" spans="1:60" hidden="1" outlineLevel="1">
      <c r="A116" s="598" t="s">
        <v>527</v>
      </c>
      <c r="B116" s="1157" t="s">
        <v>514</v>
      </c>
      <c r="C116" s="598"/>
      <c r="D116" s="1120">
        <f>(S116/S109-1)*100</f>
        <v>11.556136539758066</v>
      </c>
      <c r="E116" s="1124" t="s">
        <v>190</v>
      </c>
      <c r="F116" s="1179">
        <f>'SegP&amp;L'!F151</f>
        <v>10</v>
      </c>
      <c r="G116" s="1124" t="s">
        <v>190</v>
      </c>
      <c r="H116" s="1120">
        <f>D116-F116</f>
        <v>1.5561365397580662</v>
      </c>
      <c r="I116" s="1124" t="s">
        <v>190</v>
      </c>
      <c r="J116" s="1167">
        <f>+Stores!D173</f>
        <v>1713</v>
      </c>
      <c r="K116" s="598"/>
      <c r="L116" s="1167">
        <f>AVERAGE(J116,J112)</f>
        <v>1708</v>
      </c>
      <c r="M116" s="598"/>
      <c r="N116" s="1120">
        <f>(L116/L109-1)*100</f>
        <v>1.3349154553544906</v>
      </c>
      <c r="O116" s="1124" t="s">
        <v>190</v>
      </c>
      <c r="P116" s="1159">
        <f>H116/N116*100</f>
        <v>116.57191723387679</v>
      </c>
      <c r="Q116" s="1125" t="s">
        <v>190</v>
      </c>
      <c r="R116" s="598"/>
      <c r="S116" s="1160">
        <f>'SegP&amp;L'!D151</f>
        <v>3277.864</v>
      </c>
      <c r="T116" s="598"/>
      <c r="U116" s="1161">
        <f>S116/L116</f>
        <v>1.9191241217798596</v>
      </c>
      <c r="V116" s="598"/>
      <c r="W116" s="1176">
        <f>(U116/U109-1)*100</f>
        <v>10.086573851148838</v>
      </c>
      <c r="X116" s="1124" t="s">
        <v>190</v>
      </c>
      <c r="Y116" s="598"/>
      <c r="Z116" s="1129">
        <f>+Stores!G173</f>
        <v>52.2</v>
      </c>
      <c r="AA116" s="598"/>
      <c r="AB116" s="1163">
        <f>AVERAGE(Z116,Z112)</f>
        <v>52.15</v>
      </c>
      <c r="AC116" s="598"/>
      <c r="AD116" s="1120">
        <f>(AB116/AB109-1)*100</f>
        <v>1.1639185257032114</v>
      </c>
      <c r="AE116" s="1124" t="s">
        <v>190</v>
      </c>
      <c r="AF116" s="1159">
        <f>+H116/AD116*100</f>
        <v>133.69806437421263</v>
      </c>
      <c r="AG116" s="1125" t="s">
        <v>190</v>
      </c>
      <c r="AH116" s="598"/>
      <c r="AI116" s="1160">
        <f>+S116</f>
        <v>3277.864</v>
      </c>
      <c r="AJ116" s="598"/>
      <c r="AK116" s="1164">
        <f>AI116/AB116</f>
        <v>62.854534995206137</v>
      </c>
      <c r="AL116" s="598"/>
      <c r="AM116" s="1176">
        <f>(AK116/AK109-1)*100</f>
        <v>10.272652706127094</v>
      </c>
      <c r="AN116" s="1124" t="s">
        <v>190</v>
      </c>
      <c r="AP116" s="487"/>
      <c r="AQ116" s="487"/>
      <c r="AR116" s="487"/>
      <c r="AS116" s="487"/>
      <c r="AT116" s="487"/>
      <c r="AU116" s="487"/>
      <c r="AV116" s="487"/>
      <c r="AW116" s="487"/>
      <c r="AX116" s="487"/>
      <c r="AY116" s="487"/>
      <c r="AZ116" s="487"/>
      <c r="BA116" s="487"/>
      <c r="BB116" s="487"/>
      <c r="BC116" s="487"/>
      <c r="BD116" s="487"/>
      <c r="BE116" s="487"/>
      <c r="BF116" s="487"/>
      <c r="BG116" s="487"/>
      <c r="BH116" s="487"/>
    </row>
    <row r="117" spans="1:60" hidden="1" outlineLevel="1">
      <c r="A117" s="598" t="s">
        <v>528</v>
      </c>
      <c r="B117" s="1157" t="s">
        <v>515</v>
      </c>
      <c r="C117" s="598"/>
      <c r="D117" s="1120">
        <f>(S117/S110-1)*100</f>
        <v>5.2152214716624234</v>
      </c>
      <c r="E117" s="598"/>
      <c r="F117" s="1179">
        <f>'SegP&amp;L'!F152</f>
        <v>3</v>
      </c>
      <c r="G117" s="598"/>
      <c r="H117" s="1120">
        <f>D117-F117</f>
        <v>2.2152214716624234</v>
      </c>
      <c r="I117" s="598"/>
      <c r="J117" s="1167">
        <f>+Stores!D174</f>
        <v>1723</v>
      </c>
      <c r="K117" s="1127"/>
      <c r="L117" s="1167">
        <f>AVERAGE(J117,J116)</f>
        <v>1718</v>
      </c>
      <c r="M117" s="598"/>
      <c r="N117" s="1120">
        <f>(L117/L110-1)*100</f>
        <v>1.5366430260047359</v>
      </c>
      <c r="O117" s="1124"/>
      <c r="P117" s="1159">
        <f>H117/N117*100</f>
        <v>144.15979730972313</v>
      </c>
      <c r="Q117" s="1125"/>
      <c r="R117" s="598"/>
      <c r="S117" s="1165">
        <f>'SegP&amp;L'!D152</f>
        <v>3309.549</v>
      </c>
      <c r="T117" s="1127"/>
      <c r="U117" s="1166">
        <f>S117/L117</f>
        <v>1.9263963911525028</v>
      </c>
      <c r="V117" s="598"/>
      <c r="W117" s="1176">
        <f>(U117/U110-1)*100</f>
        <v>3.6229072933951167</v>
      </c>
      <c r="X117" s="1124"/>
      <c r="Y117" s="598"/>
      <c r="Z117" s="1129">
        <f>+Stores!G174</f>
        <v>52.599999999999994</v>
      </c>
      <c r="AA117" s="1127"/>
      <c r="AB117" s="1163">
        <f>AVERAGE(Z117,Z116)</f>
        <v>52.4</v>
      </c>
      <c r="AC117" s="598"/>
      <c r="AD117" s="1120">
        <f>(AB117/AB110-1)*100</f>
        <v>1.256038647342983</v>
      </c>
      <c r="AE117" s="1124"/>
      <c r="AF117" s="1159">
        <f>+H117/AD117*100</f>
        <v>176.36570947466387</v>
      </c>
      <c r="AG117" s="1125"/>
      <c r="AH117" s="598"/>
      <c r="AI117" s="1165">
        <f>+S117</f>
        <v>3309.549</v>
      </c>
      <c r="AJ117" s="598"/>
      <c r="AK117" s="1167">
        <f>AI117/AB117</f>
        <v>63.159332061068703</v>
      </c>
      <c r="AL117" s="598"/>
      <c r="AM117" s="1176">
        <f>(AK117/AK110-1)*100</f>
        <v>3.9100708236360804</v>
      </c>
      <c r="AN117" s="1124"/>
      <c r="AP117" s="487"/>
      <c r="AQ117" s="487"/>
      <c r="AR117" s="487"/>
      <c r="AS117" s="487"/>
      <c r="AT117" s="487"/>
      <c r="AU117" s="487"/>
      <c r="AV117" s="487"/>
      <c r="AW117" s="487"/>
      <c r="AX117" s="487"/>
      <c r="AY117" s="487"/>
      <c r="AZ117" s="487"/>
      <c r="BA117" s="487"/>
      <c r="BB117" s="487"/>
      <c r="BC117" s="487"/>
      <c r="BD117" s="487"/>
      <c r="BE117" s="487"/>
      <c r="BF117" s="487"/>
      <c r="BG117" s="487"/>
      <c r="BH117" s="487"/>
    </row>
    <row r="118" spans="1:60" hidden="1" outlineLevel="1">
      <c r="A118" s="598" t="s">
        <v>529</v>
      </c>
      <c r="B118" s="1157" t="s">
        <v>516</v>
      </c>
      <c r="C118" s="598"/>
      <c r="D118" s="1120">
        <f>(S118/S111-1)*100</f>
        <v>3.6126444775292033</v>
      </c>
      <c r="E118" s="598"/>
      <c r="F118" s="1179">
        <f>'SegP&amp;L'!F153</f>
        <v>1</v>
      </c>
      <c r="G118" s="598"/>
      <c r="H118" s="1120">
        <f>D118-F118</f>
        <v>2.6126444775292033</v>
      </c>
      <c r="I118" s="598"/>
      <c r="J118" s="1167">
        <f>+Stores!D175</f>
        <v>1751</v>
      </c>
      <c r="K118" s="1127"/>
      <c r="L118" s="1167">
        <f>AVERAGE(J118,J117)</f>
        <v>1737</v>
      </c>
      <c r="M118" s="598"/>
      <c r="N118" s="1120">
        <f>(L118/L111-1)*100</f>
        <v>2.1164021164021163</v>
      </c>
      <c r="O118" s="1124"/>
      <c r="P118" s="1159">
        <f>H118/N118*100</f>
        <v>123.44745156325484</v>
      </c>
      <c r="Q118" s="1125"/>
      <c r="R118" s="598"/>
      <c r="S118" s="1165">
        <f>'SegP&amp;L'!D153</f>
        <v>3502.67</v>
      </c>
      <c r="T118" s="1127"/>
      <c r="U118" s="1166">
        <f>S118/L118</f>
        <v>2.0165054691997697</v>
      </c>
      <c r="V118" s="598"/>
      <c r="W118" s="1176">
        <f>(U118/U111-1)*100</f>
        <v>1.4652321567513837</v>
      </c>
      <c r="X118" s="1124"/>
      <c r="Y118" s="598"/>
      <c r="Z118" s="1129">
        <f>+Stores!G175</f>
        <v>53.4</v>
      </c>
      <c r="AA118" s="1127"/>
      <c r="AB118" s="1163">
        <f>AVERAGE(Z118,Z117)</f>
        <v>53</v>
      </c>
      <c r="AC118" s="598"/>
      <c r="AD118" s="1120">
        <f>(AB118/AB111-1)*100</f>
        <v>1.8251681075888593</v>
      </c>
      <c r="AE118" s="1124"/>
      <c r="AF118" s="1159">
        <f>+H118/AD118*100</f>
        <v>143.14541584778405</v>
      </c>
      <c r="AG118" s="1125"/>
      <c r="AH118" s="598"/>
      <c r="AI118" s="1165">
        <f>+S118</f>
        <v>3502.67</v>
      </c>
      <c r="AJ118" s="598"/>
      <c r="AK118" s="1167">
        <f>AI118/AB118</f>
        <v>66.088113207547167</v>
      </c>
      <c r="AL118" s="598"/>
      <c r="AM118" s="1176">
        <f>(AK118/AK111-1)*100</f>
        <v>1.7554366991583636</v>
      </c>
      <c r="AN118" s="1124"/>
      <c r="AP118" s="487"/>
      <c r="AQ118" s="487"/>
      <c r="AR118" s="487"/>
      <c r="AS118" s="487"/>
      <c r="AT118" s="487"/>
      <c r="AU118" s="487"/>
      <c r="AV118" s="487"/>
      <c r="AW118" s="487"/>
      <c r="AX118" s="487"/>
      <c r="AY118" s="487"/>
      <c r="AZ118" s="487"/>
      <c r="BA118" s="487"/>
      <c r="BB118" s="487"/>
      <c r="BC118" s="487"/>
      <c r="BD118" s="487"/>
      <c r="BE118" s="487"/>
      <c r="BF118" s="487"/>
      <c r="BG118" s="487"/>
      <c r="BH118" s="487"/>
    </row>
    <row r="119" spans="1:60" hidden="1" outlineLevel="1">
      <c r="A119" s="598" t="s">
        <v>530</v>
      </c>
      <c r="B119" s="1157" t="s">
        <v>517</v>
      </c>
      <c r="C119" s="598"/>
      <c r="D119" s="1168">
        <f>(S119/S112-1)*100</f>
        <v>5.1377549023290836</v>
      </c>
      <c r="E119" s="598"/>
      <c r="F119" s="1178">
        <f>'SegP&amp;L'!F154</f>
        <v>3</v>
      </c>
      <c r="G119" s="598"/>
      <c r="H119" s="1168">
        <f>D119-F119</f>
        <v>2.1377549023290836</v>
      </c>
      <c r="I119" s="598"/>
      <c r="J119" s="1167">
        <f>+Stores!D176</f>
        <v>1753</v>
      </c>
      <c r="K119" s="1127"/>
      <c r="L119" s="1175">
        <f>AVERAGE(J119,J118)</f>
        <v>1752</v>
      </c>
      <c r="M119" s="598"/>
      <c r="N119" s="1168">
        <f>(L119/L112-1)*100</f>
        <v>2.6963657678780839</v>
      </c>
      <c r="O119" s="1124"/>
      <c r="P119" s="1171">
        <f>H119/N119*100</f>
        <v>79.282823116813219</v>
      </c>
      <c r="Q119" s="1125"/>
      <c r="R119" s="598"/>
      <c r="S119" s="1172">
        <f>'SegP&amp;L'!D154</f>
        <v>4002.076</v>
      </c>
      <c r="T119" s="1127"/>
      <c r="U119" s="1173">
        <f>S119/L119</f>
        <v>2.2842899543378996</v>
      </c>
      <c r="V119" s="598"/>
      <c r="W119" s="1169">
        <f>(U119/U112-1)*100</f>
        <v>2.3772887348021854</v>
      </c>
      <c r="X119" s="1124"/>
      <c r="Y119" s="598"/>
      <c r="Z119" s="1129">
        <f>+Stores!G176</f>
        <v>53.5</v>
      </c>
      <c r="AA119" s="1127"/>
      <c r="AB119" s="1174">
        <f>AVERAGE(Z119,Z118)</f>
        <v>53.45</v>
      </c>
      <c r="AC119" s="598"/>
      <c r="AD119" s="1168">
        <f>(AB119/AB112-1)*100</f>
        <v>2.3946360153256796</v>
      </c>
      <c r="AE119" s="1124"/>
      <c r="AF119" s="1171">
        <f>+H119/AD119*100</f>
        <v>89.272644721262196</v>
      </c>
      <c r="AG119" s="1125"/>
      <c r="AH119" s="598"/>
      <c r="AI119" s="1172">
        <f>+S119</f>
        <v>4002.076</v>
      </c>
      <c r="AJ119" s="598"/>
      <c r="AK119" s="1175">
        <f>AI119/AB119</f>
        <v>74.875135640785771</v>
      </c>
      <c r="AL119" s="598"/>
      <c r="AM119" s="1169">
        <f>(AK119/AK112-1)*100</f>
        <v>2.6789673695337246</v>
      </c>
      <c r="AN119" s="1124"/>
      <c r="AP119" s="487"/>
      <c r="AQ119" s="487"/>
      <c r="AR119" s="487"/>
      <c r="AS119" s="487"/>
      <c r="AT119" s="487"/>
      <c r="AU119" s="487"/>
      <c r="AV119" s="487"/>
      <c r="AW119" s="487"/>
      <c r="AX119" s="487"/>
      <c r="AY119" s="487"/>
      <c r="AZ119" s="487"/>
      <c r="BA119" s="487"/>
      <c r="BB119" s="487"/>
      <c r="BC119" s="487"/>
      <c r="BD119" s="487"/>
      <c r="BE119" s="487"/>
      <c r="BF119" s="487"/>
      <c r="BG119" s="487"/>
      <c r="BH119" s="487"/>
    </row>
    <row r="120" spans="1:60" hidden="1" outlineLevel="1">
      <c r="A120" s="598"/>
      <c r="B120" s="1157" t="s">
        <v>531</v>
      </c>
      <c r="C120" s="598"/>
      <c r="D120" s="1120">
        <f>(S120/S113-1)*100</f>
        <v>6.1887158355865779</v>
      </c>
      <c r="E120" s="598"/>
      <c r="F120" s="1179">
        <f>'SegP&amp;L'!F155</f>
        <v>4</v>
      </c>
      <c r="G120" s="598"/>
      <c r="H120" s="1120">
        <f>D120-F120</f>
        <v>2.1887158355865779</v>
      </c>
      <c r="I120" s="598"/>
      <c r="J120" s="598"/>
      <c r="K120" s="598"/>
      <c r="L120" s="1167">
        <f>AVERAGE(L116:L119)</f>
        <v>1728.75</v>
      </c>
      <c r="M120" s="598"/>
      <c r="N120" s="1120">
        <f>(L120/L113-1)*100</f>
        <v>1.9235021003758623</v>
      </c>
      <c r="O120" s="1124"/>
      <c r="P120" s="1159">
        <f>H120/N120*100</f>
        <v>113.78806579721912</v>
      </c>
      <c r="Q120" s="1125"/>
      <c r="R120" s="598"/>
      <c r="S120" s="1160">
        <f>SUM(S116:S119)</f>
        <v>14092.159</v>
      </c>
      <c r="T120" s="598"/>
      <c r="U120" s="1161">
        <f>SUM(U116:U119)</f>
        <v>8.1463159364700317</v>
      </c>
      <c r="V120" s="598"/>
      <c r="W120" s="1176">
        <f>(U120/U113-1)*100</f>
        <v>4.1600030186027315</v>
      </c>
      <c r="X120" s="1124"/>
      <c r="Y120" s="598"/>
      <c r="Z120" s="598"/>
      <c r="AA120" s="598"/>
      <c r="AB120" s="1163">
        <f>AVERAGE(AB116:AB119)</f>
        <v>52.75</v>
      </c>
      <c r="AC120" s="598"/>
      <c r="AD120" s="1120">
        <f>(AB120/AB113-1)*100</f>
        <v>1.6622500602264667</v>
      </c>
      <c r="AE120" s="1124"/>
      <c r="AF120" s="1159">
        <f>+H120/AD120*100</f>
        <v>131.67187584811307</v>
      </c>
      <c r="AG120" s="1125"/>
      <c r="AH120" s="598"/>
      <c r="AI120" s="1160">
        <f>SUM(AI116:AI119)</f>
        <v>14092.159</v>
      </c>
      <c r="AJ120" s="598"/>
      <c r="AK120" s="1164">
        <f>SUM(AK116:AK119)</f>
        <v>266.97711590460779</v>
      </c>
      <c r="AL120" s="598"/>
      <c r="AM120" s="1176">
        <f>(AK120/AK113-1)*100</f>
        <v>4.430110561195888</v>
      </c>
      <c r="AN120" s="1124"/>
      <c r="AP120" s="487"/>
      <c r="AQ120" s="487"/>
      <c r="AR120" s="487"/>
      <c r="AS120" s="487"/>
      <c r="AT120" s="487"/>
      <c r="AU120" s="487"/>
      <c r="AV120" s="487"/>
      <c r="AW120" s="487"/>
      <c r="AX120" s="487"/>
      <c r="AY120" s="487"/>
      <c r="AZ120" s="487"/>
      <c r="BA120" s="487"/>
      <c r="BB120" s="487"/>
      <c r="BC120" s="487"/>
      <c r="BD120" s="487"/>
      <c r="BE120" s="487"/>
      <c r="BF120" s="487"/>
      <c r="BG120" s="487"/>
      <c r="BH120" s="487"/>
    </row>
    <row r="121" spans="1:60" hidden="1" outlineLevel="1">
      <c r="A121" s="598"/>
      <c r="B121" s="1157"/>
      <c r="C121" s="598"/>
      <c r="D121" s="1120"/>
      <c r="E121" s="598"/>
      <c r="F121" s="1179"/>
      <c r="G121" s="598"/>
      <c r="H121" s="1120"/>
      <c r="I121" s="598"/>
      <c r="J121" s="598"/>
      <c r="K121" s="598"/>
      <c r="L121" s="1167"/>
      <c r="M121" s="598"/>
      <c r="N121" s="1120"/>
      <c r="O121" s="1124"/>
      <c r="P121" s="1159"/>
      <c r="Q121" s="1125"/>
      <c r="R121" s="598"/>
      <c r="S121" s="1181"/>
      <c r="T121" s="598"/>
      <c r="U121" s="1161"/>
      <c r="V121" s="598"/>
      <c r="W121" s="1176"/>
      <c r="X121" s="1124"/>
      <c r="Y121" s="598"/>
      <c r="Z121" s="598"/>
      <c r="AA121" s="598"/>
      <c r="AB121" s="1163"/>
      <c r="AC121" s="598"/>
      <c r="AD121" s="1120"/>
      <c r="AE121" s="1124"/>
      <c r="AF121" s="1159"/>
      <c r="AG121" s="1125"/>
      <c r="AH121" s="598"/>
      <c r="AI121" s="1160"/>
      <c r="AJ121" s="598"/>
      <c r="AK121" s="1164"/>
      <c r="AL121" s="598"/>
      <c r="AM121" s="1176"/>
      <c r="AN121" s="1124"/>
      <c r="AP121" s="487"/>
      <c r="AQ121" s="487"/>
      <c r="AR121" s="487"/>
      <c r="AS121" s="487"/>
      <c r="AT121" s="487"/>
      <c r="AU121" s="487"/>
      <c r="AV121" s="487"/>
      <c r="AW121" s="487"/>
      <c r="AX121" s="487"/>
      <c r="AY121" s="487"/>
      <c r="AZ121" s="487"/>
      <c r="BA121" s="487"/>
      <c r="BB121" s="487"/>
      <c r="BC121" s="487"/>
      <c r="BD121" s="487"/>
      <c r="BE121" s="487"/>
      <c r="BF121" s="487"/>
      <c r="BG121" s="487"/>
      <c r="BH121" s="487"/>
    </row>
    <row r="122" spans="1:60" hidden="1" outlineLevel="1">
      <c r="A122" s="1154"/>
      <c r="B122" s="1118">
        <f>+B115+1</f>
        <v>2011</v>
      </c>
      <c r="C122" s="598"/>
      <c r="D122" s="598"/>
      <c r="E122" s="1124"/>
      <c r="F122" s="598"/>
      <c r="G122" s="1124"/>
      <c r="H122" s="598"/>
      <c r="I122" s="1124"/>
      <c r="J122" s="1167"/>
      <c r="K122" s="598"/>
      <c r="L122" s="1167"/>
      <c r="M122" s="598"/>
      <c r="N122" s="598"/>
      <c r="O122" s="1124"/>
      <c r="P122" s="1125"/>
      <c r="Q122" s="1125"/>
      <c r="R122" s="598"/>
      <c r="S122" s="598"/>
      <c r="T122" s="598"/>
      <c r="U122" s="598"/>
      <c r="V122" s="598"/>
      <c r="W122" s="598"/>
      <c r="X122" s="1124"/>
      <c r="Y122" s="598"/>
      <c r="Z122" s="598"/>
      <c r="AA122" s="598"/>
      <c r="AB122" s="598"/>
      <c r="AC122" s="598"/>
      <c r="AD122" s="598"/>
      <c r="AE122" s="1124"/>
      <c r="AF122" s="1125"/>
      <c r="AG122" s="1125"/>
      <c r="AH122" s="598"/>
      <c r="AI122" s="598"/>
      <c r="AJ122" s="598"/>
      <c r="AK122" s="598"/>
      <c r="AL122" s="598"/>
      <c r="AM122" s="598"/>
      <c r="AN122" s="1124"/>
      <c r="AP122" s="487"/>
      <c r="AQ122" s="487"/>
      <c r="AR122" s="487"/>
      <c r="AS122" s="487"/>
      <c r="AT122" s="487"/>
      <c r="AU122" s="487"/>
      <c r="AV122" s="487"/>
      <c r="AW122" s="487"/>
      <c r="AX122" s="487"/>
      <c r="AY122" s="487"/>
      <c r="AZ122" s="487"/>
      <c r="BA122" s="487"/>
      <c r="BB122" s="487"/>
      <c r="BC122" s="487"/>
      <c r="BD122" s="487"/>
      <c r="BE122" s="487"/>
      <c r="BF122" s="487"/>
      <c r="BG122" s="487"/>
      <c r="BH122" s="487"/>
    </row>
    <row r="123" spans="1:60" hidden="1" outlineLevel="1">
      <c r="A123" s="598" t="s">
        <v>527</v>
      </c>
      <c r="B123" s="1157" t="s">
        <v>514</v>
      </c>
      <c r="C123" s="598"/>
      <c r="D123" s="1120">
        <f>(S123/S116-1)*100</f>
        <v>7.5459201479988192</v>
      </c>
      <c r="E123" s="1124" t="s">
        <v>190</v>
      </c>
      <c r="F123" s="1179">
        <f>'SegP&amp;L'!F158</f>
        <v>4</v>
      </c>
      <c r="G123" s="1124" t="s">
        <v>190</v>
      </c>
      <c r="H123" s="1120">
        <f>D123-F123</f>
        <v>3.5459201479988192</v>
      </c>
      <c r="I123" s="1124" t="s">
        <v>190</v>
      </c>
      <c r="J123" s="1167">
        <f>+Stores!D180</f>
        <v>1828</v>
      </c>
      <c r="K123" s="598"/>
      <c r="L123" s="1167">
        <f>AVERAGE(J123,J119)</f>
        <v>1790.5</v>
      </c>
      <c r="M123" s="598"/>
      <c r="N123" s="1120">
        <f>(L123/L116-1)*100</f>
        <v>4.8302107728337207</v>
      </c>
      <c r="O123" s="1124" t="s">
        <v>190</v>
      </c>
      <c r="P123" s="1159">
        <f>H123/N123*100</f>
        <v>73.411292276145289</v>
      </c>
      <c r="Q123" s="1125" t="s">
        <v>190</v>
      </c>
      <c r="R123" s="598"/>
      <c r="S123" s="1160">
        <f>'SegP&amp;L'!D158</f>
        <v>3525.2089999999998</v>
      </c>
      <c r="T123" s="598"/>
      <c r="U123" s="1161">
        <f>S123/L123</f>
        <v>1.9688405473331472</v>
      </c>
      <c r="V123" s="598"/>
      <c r="W123" s="1176">
        <f>(U123/U116-1)*100</f>
        <v>2.5905789515677125</v>
      </c>
      <c r="X123" s="1124" t="s">
        <v>190</v>
      </c>
      <c r="Y123" s="598"/>
      <c r="Z123" s="1129">
        <f>+Stores!G180</f>
        <v>55.3</v>
      </c>
      <c r="AA123" s="598"/>
      <c r="AB123" s="1163">
        <f>AVERAGE(Z123,Z119)</f>
        <v>54.4</v>
      </c>
      <c r="AC123" s="598"/>
      <c r="AD123" s="1120">
        <f>(AB123/AB116-1)*100</f>
        <v>4.3144774688398835</v>
      </c>
      <c r="AE123" s="1124" t="s">
        <v>190</v>
      </c>
      <c r="AF123" s="1159">
        <f>+H123/AD123*100</f>
        <v>82.18654920806155</v>
      </c>
      <c r="AG123" s="1125" t="s">
        <v>190</v>
      </c>
      <c r="AH123" s="598"/>
      <c r="AI123" s="1160">
        <f>+S123</f>
        <v>3525.2089999999998</v>
      </c>
      <c r="AJ123" s="598"/>
      <c r="AK123" s="1164">
        <f>AI123/AB123</f>
        <v>64.801636029411767</v>
      </c>
      <c r="AL123" s="598"/>
      <c r="AM123" s="1176">
        <f>(AK123/AK116-1)*100</f>
        <v>3.097789259524597</v>
      </c>
      <c r="AN123" s="1124" t="s">
        <v>190</v>
      </c>
      <c r="AP123" s="487"/>
      <c r="AQ123" s="487"/>
      <c r="AR123" s="487"/>
      <c r="AS123" s="487"/>
      <c r="AT123" s="487"/>
      <c r="AU123" s="487"/>
      <c r="AV123" s="487"/>
      <c r="AW123" s="487"/>
      <c r="AX123" s="487"/>
      <c r="AY123" s="487"/>
      <c r="AZ123" s="487"/>
      <c r="BA123" s="487"/>
      <c r="BB123" s="487"/>
      <c r="BC123" s="487"/>
      <c r="BD123" s="487"/>
      <c r="BE123" s="487"/>
      <c r="BF123" s="487"/>
      <c r="BG123" s="487"/>
      <c r="BH123" s="487"/>
    </row>
    <row r="124" spans="1:60" hidden="1" outlineLevel="1">
      <c r="A124" s="598" t="s">
        <v>528</v>
      </c>
      <c r="B124" s="1157" t="s">
        <v>515</v>
      </c>
      <c r="C124" s="598"/>
      <c r="D124" s="1120">
        <f>(S124/S117-1)*100</f>
        <v>10.395283466115778</v>
      </c>
      <c r="E124" s="598"/>
      <c r="F124" s="1179">
        <f>'SegP&amp;L'!F159</f>
        <v>5</v>
      </c>
      <c r="G124" s="598"/>
      <c r="H124" s="1120">
        <f>D124-F124</f>
        <v>5.395283466115778</v>
      </c>
      <c r="I124" s="598"/>
      <c r="J124" s="1167">
        <f>+Stores!D181</f>
        <v>1838</v>
      </c>
      <c r="K124" s="1127"/>
      <c r="L124" s="1167">
        <f>AVERAGE(J124,J123)</f>
        <v>1833</v>
      </c>
      <c r="M124" s="598"/>
      <c r="N124" s="1120">
        <f>(L124/L117-1)*100</f>
        <v>6.6938300349243196</v>
      </c>
      <c r="O124" s="1124"/>
      <c r="P124" s="1159">
        <f>H124/N124*100</f>
        <v>80.600843432929764</v>
      </c>
      <c r="Q124" s="1125"/>
      <c r="R124" s="598"/>
      <c r="S124" s="1165">
        <f>'SegP&amp;L'!D159</f>
        <v>3653.5859999999998</v>
      </c>
      <c r="T124" s="1127"/>
      <c r="U124" s="1166">
        <f>S124/L124</f>
        <v>1.9932274959083469</v>
      </c>
      <c r="V124" s="598"/>
      <c r="W124" s="1176">
        <f>(U124/U117-1)*100</f>
        <v>3.4692291297255373</v>
      </c>
      <c r="X124" s="1124"/>
      <c r="Y124" s="598"/>
      <c r="Z124" s="1129">
        <f>+Stores!G181</f>
        <v>55.6</v>
      </c>
      <c r="AA124" s="1127"/>
      <c r="AB124" s="1163">
        <f>AVERAGE(Z124,Z123)</f>
        <v>55.45</v>
      </c>
      <c r="AC124" s="598"/>
      <c r="AD124" s="1120">
        <f>(AB124/AB117-1)*100</f>
        <v>5.8206106870229091</v>
      </c>
      <c r="AE124" s="1124"/>
      <c r="AF124" s="1159">
        <f>+H124/AD124*100</f>
        <v>92.692738893267659</v>
      </c>
      <c r="AG124" s="1125"/>
      <c r="AH124" s="598"/>
      <c r="AI124" s="1165">
        <f>+S124</f>
        <v>3653.5859999999998</v>
      </c>
      <c r="AJ124" s="598"/>
      <c r="AK124" s="1167">
        <f>AI124/AB124</f>
        <v>65.889738503155982</v>
      </c>
      <c r="AL124" s="598"/>
      <c r="AM124" s="1176">
        <f>(AK124/AK117-1)*100</f>
        <v>4.3230451510273271</v>
      </c>
      <c r="AN124" s="1124"/>
      <c r="AP124" s="487"/>
      <c r="AQ124" s="487"/>
      <c r="AR124" s="487"/>
      <c r="AS124" s="487"/>
      <c r="AT124" s="487"/>
      <c r="AU124" s="487"/>
      <c r="AV124" s="487"/>
      <c r="AW124" s="487"/>
      <c r="AX124" s="487"/>
      <c r="AY124" s="487"/>
      <c r="AZ124" s="487"/>
      <c r="BA124" s="487"/>
      <c r="BB124" s="487"/>
      <c r="BC124" s="487"/>
      <c r="BD124" s="487"/>
      <c r="BE124" s="487"/>
      <c r="BF124" s="487"/>
      <c r="BG124" s="487"/>
      <c r="BH124" s="487"/>
    </row>
    <row r="125" spans="1:60" hidden="1" outlineLevel="1">
      <c r="A125" s="598" t="s">
        <v>529</v>
      </c>
      <c r="B125" s="1157" t="s">
        <v>516</v>
      </c>
      <c r="C125" s="598"/>
      <c r="D125" s="1120">
        <f>(S125/S118-1)*100</f>
        <v>8.2128776047986296</v>
      </c>
      <c r="E125" s="598"/>
      <c r="F125" s="1179">
        <f>'SegP&amp;L'!F160</f>
        <v>4</v>
      </c>
      <c r="G125" s="598"/>
      <c r="H125" s="1120">
        <f>D125-F125</f>
        <v>4.2128776047986296</v>
      </c>
      <c r="I125" s="598"/>
      <c r="J125" s="1167">
        <f>+Stores!D182</f>
        <v>1864</v>
      </c>
      <c r="K125" s="1127"/>
      <c r="L125" s="1167">
        <f>AVERAGE(J125,J124)</f>
        <v>1851</v>
      </c>
      <c r="M125" s="598"/>
      <c r="N125" s="1120">
        <f>(L125/L118-1)*100</f>
        <v>6.563039723661479</v>
      </c>
      <c r="O125" s="1124"/>
      <c r="P125" s="1159">
        <f>H125/N125*100</f>
        <v>64.190950873116023</v>
      </c>
      <c r="Q125" s="1125"/>
      <c r="R125" s="598"/>
      <c r="S125" s="1165">
        <f>'SegP&amp;L'!D160</f>
        <v>3790.34</v>
      </c>
      <c r="T125" s="1127"/>
      <c r="U125" s="1166">
        <f>S125/L125</f>
        <v>2.0477255537547272</v>
      </c>
      <c r="V125" s="598"/>
      <c r="W125" s="1176">
        <f>(U125/U118-1)*100</f>
        <v>1.5482271202243103</v>
      </c>
      <c r="X125" s="1124"/>
      <c r="Y125" s="598"/>
      <c r="Z125" s="1129">
        <f>+Stores!G182</f>
        <v>56.2</v>
      </c>
      <c r="AA125" s="1127"/>
      <c r="AB125" s="1163">
        <f>AVERAGE(Z125,Z124)</f>
        <v>55.900000000000006</v>
      </c>
      <c r="AC125" s="598"/>
      <c r="AD125" s="1120">
        <f>(AB125/AB118-1)*100</f>
        <v>5.4716981132075571</v>
      </c>
      <c r="AE125" s="1124"/>
      <c r="AF125" s="1159">
        <f>+H125/AD125*100</f>
        <v>76.993970018733435</v>
      </c>
      <c r="AG125" s="1125"/>
      <c r="AH125" s="598"/>
      <c r="AI125" s="1165">
        <f>+S125</f>
        <v>3790.34</v>
      </c>
      <c r="AJ125" s="598"/>
      <c r="AK125" s="1167">
        <f>AI125/AB125</f>
        <v>67.805724508050091</v>
      </c>
      <c r="AL125" s="598"/>
      <c r="AM125" s="1176">
        <f>(AK125/AK118-1)*100</f>
        <v>2.5989716109897643</v>
      </c>
      <c r="AN125" s="1124"/>
      <c r="AP125" s="487"/>
      <c r="AQ125" s="487"/>
      <c r="AR125" s="487"/>
      <c r="AS125" s="487"/>
      <c r="AT125" s="487"/>
      <c r="AU125" s="487"/>
      <c r="AV125" s="487"/>
      <c r="AW125" s="487"/>
      <c r="AX125" s="487"/>
      <c r="AY125" s="487"/>
      <c r="AZ125" s="487"/>
      <c r="BA125" s="487"/>
      <c r="BB125" s="487"/>
      <c r="BC125" s="487"/>
      <c r="BD125" s="487"/>
      <c r="BE125" s="487"/>
      <c r="BF125" s="487"/>
      <c r="BG125" s="487"/>
      <c r="BH125" s="487"/>
    </row>
    <row r="126" spans="1:60" hidden="1" outlineLevel="1">
      <c r="A126" s="598" t="s">
        <v>530</v>
      </c>
      <c r="B126" s="1157" t="s">
        <v>517</v>
      </c>
      <c r="C126" s="598"/>
      <c r="D126" s="1168">
        <f>(S126/S119-1)*100</f>
        <v>9.9025605710636242</v>
      </c>
      <c r="E126" s="598"/>
      <c r="F126" s="1178">
        <f>'SegP&amp;L'!F161</f>
        <v>6</v>
      </c>
      <c r="G126" s="598"/>
      <c r="H126" s="1168">
        <f>D126-F126</f>
        <v>3.9025605710636242</v>
      </c>
      <c r="I126" s="598"/>
      <c r="J126" s="1167">
        <f>+Stores!D183</f>
        <v>1867</v>
      </c>
      <c r="K126" s="1127"/>
      <c r="L126" s="1175">
        <f>AVERAGE(J126,J125)</f>
        <v>1865.5</v>
      </c>
      <c r="M126" s="598"/>
      <c r="N126" s="1168">
        <f>(L126/L119-1)*100</f>
        <v>6.4783105022831133</v>
      </c>
      <c r="O126" s="1124"/>
      <c r="P126" s="1171">
        <f>H126/N126*100</f>
        <v>60.240406348048111</v>
      </c>
      <c r="Q126" s="1125"/>
      <c r="R126" s="598"/>
      <c r="S126" s="1172">
        <f>'SegP&amp;L'!D161</f>
        <v>4398.384</v>
      </c>
      <c r="T126" s="1127"/>
      <c r="U126" s="1173">
        <f>S126/L126</f>
        <v>2.3577507370678101</v>
      </c>
      <c r="V126" s="598"/>
      <c r="W126" s="1169">
        <f>(U126/U119-1)*100</f>
        <v>3.2159132246065036</v>
      </c>
      <c r="X126" s="1124"/>
      <c r="Y126" s="598"/>
      <c r="Z126" s="1129">
        <f>+Stores!G183</f>
        <v>56.3</v>
      </c>
      <c r="AA126" s="1127"/>
      <c r="AB126" s="1174">
        <f>AVERAGE(Z126,Z125)</f>
        <v>56.25</v>
      </c>
      <c r="AC126" s="598"/>
      <c r="AD126" s="1168">
        <f>(AB126/AB119-1)*100</f>
        <v>5.2385406922357269</v>
      </c>
      <c r="AE126" s="1124"/>
      <c r="AF126" s="1171">
        <f>+H126/AD126*100</f>
        <v>74.497093758339645</v>
      </c>
      <c r="AG126" s="1125"/>
      <c r="AH126" s="598"/>
      <c r="AI126" s="1172">
        <f>+S126</f>
        <v>4398.384</v>
      </c>
      <c r="AJ126" s="598"/>
      <c r="AK126" s="1175">
        <f>AI126/AB126</f>
        <v>78.193493333333336</v>
      </c>
      <c r="AL126" s="598"/>
      <c r="AM126" s="1169">
        <f>(AK126/AK119-1)*100</f>
        <v>4.4318553337484579</v>
      </c>
      <c r="AN126" s="1124"/>
      <c r="AP126" s="487"/>
      <c r="AQ126" s="487"/>
      <c r="AR126" s="487"/>
      <c r="AS126" s="487"/>
      <c r="AT126" s="487"/>
      <c r="AU126" s="487"/>
      <c r="AV126" s="487"/>
      <c r="AW126" s="487"/>
      <c r="AX126" s="487"/>
      <c r="AY126" s="487"/>
      <c r="AZ126" s="487"/>
      <c r="BA126" s="487"/>
      <c r="BB126" s="487"/>
      <c r="BC126" s="487"/>
      <c r="BD126" s="487"/>
      <c r="BE126" s="487"/>
      <c r="BF126" s="487"/>
      <c r="BG126" s="487"/>
      <c r="BH126" s="487"/>
    </row>
    <row r="127" spans="1:60" hidden="1" outlineLevel="1">
      <c r="A127" s="598"/>
      <c r="B127" s="1157" t="s">
        <v>531</v>
      </c>
      <c r="C127" s="598"/>
      <c r="D127" s="1120">
        <f>(S127/S120-1)*100</f>
        <v>9.0501391589464788</v>
      </c>
      <c r="E127" s="598"/>
      <c r="F127" s="1179">
        <f>'SegP&amp;L'!F162</f>
        <v>5</v>
      </c>
      <c r="G127" s="598"/>
      <c r="H127" s="1120">
        <f>D127-F127</f>
        <v>4.0501391589464788</v>
      </c>
      <c r="I127" s="598"/>
      <c r="J127" s="598"/>
      <c r="K127" s="598"/>
      <c r="L127" s="1167">
        <f>AVERAGE(L123:L126)</f>
        <v>1835</v>
      </c>
      <c r="M127" s="598"/>
      <c r="N127" s="1120">
        <f>(L127/L120-1)*100</f>
        <v>6.1460592913955114</v>
      </c>
      <c r="O127" s="1124"/>
      <c r="P127" s="1159">
        <f>H127/N127*100</f>
        <v>65.898146550858655</v>
      </c>
      <c r="Q127" s="1125"/>
      <c r="R127" s="598"/>
      <c r="S127" s="1160">
        <f>SUM(S123:S126)</f>
        <v>15367.519</v>
      </c>
      <c r="T127" s="598"/>
      <c r="U127" s="1161">
        <f>SUM(U123:U126)</f>
        <v>8.3675443340640321</v>
      </c>
      <c r="V127" s="598"/>
      <c r="W127" s="1176">
        <f>(U127/U120-1)*100</f>
        <v>2.7156864442684947</v>
      </c>
      <c r="X127" s="1124"/>
      <c r="Y127" s="598"/>
      <c r="Z127" s="598"/>
      <c r="AA127" s="598"/>
      <c r="AB127" s="1163">
        <f>AVERAGE(AB123:AB126)</f>
        <v>55.5</v>
      </c>
      <c r="AC127" s="598"/>
      <c r="AD127" s="1120">
        <f>(AB127/AB120-1)*100</f>
        <v>5.2132701421800931</v>
      </c>
      <c r="AE127" s="1124"/>
      <c r="AF127" s="1159">
        <f>+H127/AD127*100</f>
        <v>77.689032957973396</v>
      </c>
      <c r="AG127" s="1125"/>
      <c r="AH127" s="598"/>
      <c r="AI127" s="1160">
        <f>SUM(AI123:AI126)</f>
        <v>15367.519</v>
      </c>
      <c r="AJ127" s="598"/>
      <c r="AK127" s="1164">
        <f>SUM(AK123:AK126)</f>
        <v>276.69059237395118</v>
      </c>
      <c r="AL127" s="598"/>
      <c r="AM127" s="1176">
        <f>(AK127/AK120-1)*100</f>
        <v>3.6383180020620465</v>
      </c>
      <c r="AN127" s="1124"/>
      <c r="AP127" s="487"/>
      <c r="AQ127" s="487"/>
      <c r="AR127" s="487"/>
      <c r="AS127" s="487"/>
      <c r="AT127" s="487"/>
      <c r="AU127" s="487"/>
      <c r="AV127" s="487"/>
      <c r="AW127" s="487"/>
      <c r="AX127" s="487"/>
      <c r="AY127" s="487"/>
      <c r="AZ127" s="487"/>
      <c r="BA127" s="487"/>
      <c r="BB127" s="487"/>
      <c r="BC127" s="487"/>
      <c r="BD127" s="487"/>
      <c r="BE127" s="487"/>
      <c r="BF127" s="487"/>
      <c r="BG127" s="487"/>
      <c r="BH127" s="487"/>
    </row>
    <row r="128" spans="1:60" hidden="1" outlineLevel="1">
      <c r="A128" s="598"/>
      <c r="B128" s="1157"/>
      <c r="C128" s="598"/>
      <c r="D128" s="1120"/>
      <c r="E128" s="598"/>
      <c r="F128" s="1179"/>
      <c r="G128" s="598"/>
      <c r="H128" s="1120"/>
      <c r="I128" s="598"/>
      <c r="J128" s="598"/>
      <c r="K128" s="598"/>
      <c r="L128" s="1167"/>
      <c r="M128" s="598"/>
      <c r="N128" s="1120"/>
      <c r="O128" s="1124"/>
      <c r="P128" s="1159"/>
      <c r="Q128" s="1125"/>
      <c r="R128" s="598"/>
      <c r="S128" s="1181"/>
      <c r="T128" s="598"/>
      <c r="U128" s="1161"/>
      <c r="V128" s="598"/>
      <c r="W128" s="1176"/>
      <c r="X128" s="1124"/>
      <c r="Y128" s="598"/>
      <c r="Z128" s="598"/>
      <c r="AA128" s="598"/>
      <c r="AB128" s="1163"/>
      <c r="AC128" s="598"/>
      <c r="AD128" s="1120"/>
      <c r="AE128" s="1124"/>
      <c r="AF128" s="1159"/>
      <c r="AG128" s="1125"/>
      <c r="AH128" s="598"/>
      <c r="AI128" s="1160"/>
      <c r="AJ128" s="598"/>
      <c r="AK128" s="1164"/>
      <c r="AL128" s="598"/>
      <c r="AM128" s="1176"/>
      <c r="AN128" s="1124"/>
      <c r="AP128" s="487"/>
      <c r="AQ128" s="487"/>
      <c r="AR128" s="487"/>
      <c r="AS128" s="487"/>
      <c r="AT128" s="487"/>
      <c r="AU128" s="487"/>
      <c r="AV128" s="487"/>
      <c r="AW128" s="487"/>
      <c r="AX128" s="487"/>
      <c r="AY128" s="487"/>
      <c r="AZ128" s="487"/>
      <c r="BA128" s="487"/>
      <c r="BB128" s="487"/>
      <c r="BC128" s="487"/>
      <c r="BD128" s="487"/>
      <c r="BE128" s="487"/>
      <c r="BF128" s="487"/>
      <c r="BG128" s="487"/>
      <c r="BH128" s="487"/>
    </row>
    <row r="129" spans="1:60" collapsed="1">
      <c r="A129" s="1154"/>
      <c r="B129" s="1118">
        <f>+B122+1</f>
        <v>2012</v>
      </c>
      <c r="C129" s="598"/>
      <c r="D129" s="598"/>
      <c r="E129" s="1124"/>
      <c r="F129" s="598"/>
      <c r="G129" s="1124"/>
      <c r="H129" s="598"/>
      <c r="I129" s="1124"/>
      <c r="J129" s="1167"/>
      <c r="K129" s="598"/>
      <c r="L129" s="1167"/>
      <c r="M129" s="598"/>
      <c r="N129" s="598"/>
      <c r="O129" s="1124"/>
      <c r="P129" s="1125"/>
      <c r="Q129" s="1125"/>
      <c r="R129" s="598"/>
      <c r="S129" s="1165"/>
      <c r="T129" s="598"/>
      <c r="U129" s="598"/>
      <c r="V129" s="598"/>
      <c r="W129" s="598"/>
      <c r="X129" s="1124"/>
      <c r="Y129" s="598"/>
      <c r="Z129" s="598"/>
      <c r="AA129" s="598"/>
      <c r="AB129" s="598"/>
      <c r="AC129" s="598"/>
      <c r="AD129" s="598"/>
      <c r="AE129" s="1124"/>
      <c r="AF129" s="1125"/>
      <c r="AG129" s="1125"/>
      <c r="AH129" s="598"/>
      <c r="AI129" s="598"/>
      <c r="AJ129" s="598"/>
      <c r="AK129" s="598"/>
      <c r="AL129" s="598"/>
      <c r="AM129" s="598"/>
      <c r="AN129" s="1124"/>
      <c r="AP129" s="487"/>
      <c r="AQ129" s="487"/>
      <c r="AR129" s="487"/>
      <c r="AS129" s="487"/>
      <c r="AT129" s="487"/>
      <c r="AU129" s="487"/>
      <c r="AV129" s="487"/>
      <c r="AW129" s="487"/>
      <c r="AX129" s="487"/>
      <c r="AY129" s="487"/>
      <c r="AZ129" s="487"/>
      <c r="BA129" s="487"/>
      <c r="BB129" s="487"/>
      <c r="BC129" s="487"/>
      <c r="BD129" s="487"/>
      <c r="BE129" s="487"/>
      <c r="BF129" s="487"/>
      <c r="BG129" s="487"/>
      <c r="BH129" s="487"/>
    </row>
    <row r="130" spans="1:60">
      <c r="A130" s="598" t="s">
        <v>527</v>
      </c>
      <c r="B130" s="1157" t="s">
        <v>514</v>
      </c>
      <c r="C130" s="598"/>
      <c r="D130" s="1120">
        <f>(S130/S123-1)*100</f>
        <v>10.321345486182532</v>
      </c>
      <c r="E130" s="1124" t="s">
        <v>190</v>
      </c>
      <c r="F130" s="1179">
        <f>'SegP&amp;L'!F165</f>
        <v>8</v>
      </c>
      <c r="G130" s="1124" t="s">
        <v>190</v>
      </c>
      <c r="H130" s="1120">
        <f>D130-F130</f>
        <v>2.3213454861825316</v>
      </c>
      <c r="I130" s="1124" t="s">
        <v>190</v>
      </c>
      <c r="J130" s="1167">
        <f>+Stores!D187</f>
        <v>1878</v>
      </c>
      <c r="K130" s="598"/>
      <c r="L130" s="1167">
        <f>AVERAGE(J130,J126)</f>
        <v>1872.5</v>
      </c>
      <c r="M130" s="598"/>
      <c r="N130" s="1120">
        <f>(L130/L123-1)*100</f>
        <v>4.579726333426426</v>
      </c>
      <c r="O130" s="1124" t="s">
        <v>190</v>
      </c>
      <c r="P130" s="1159">
        <f>H130/N130*100</f>
        <v>50.687427963534326</v>
      </c>
      <c r="Q130" s="1125" t="s">
        <v>190</v>
      </c>
      <c r="R130" s="598"/>
      <c r="S130" s="1160">
        <f>'SegP&amp;L'!D165</f>
        <v>3889.058</v>
      </c>
      <c r="T130" s="598"/>
      <c r="U130" s="1161">
        <f>S130/L130</f>
        <v>2.0769335113484648</v>
      </c>
      <c r="V130" s="598"/>
      <c r="W130" s="1176">
        <f>(U130/U123-1)*100</f>
        <v>5.4901837612869597</v>
      </c>
      <c r="X130" s="1124" t="s">
        <v>190</v>
      </c>
      <c r="Y130" s="598"/>
      <c r="Z130" s="1129">
        <f>+Stores!G187</f>
        <v>56.5</v>
      </c>
      <c r="AA130" s="598"/>
      <c r="AB130" s="1163">
        <f>AVERAGE(Z130,Z126)</f>
        <v>56.4</v>
      </c>
      <c r="AC130" s="598"/>
      <c r="AD130" s="1120">
        <f>(AB130/AB123-1)*100</f>
        <v>3.6764705882353033</v>
      </c>
      <c r="AE130" s="1124" t="s">
        <v>190</v>
      </c>
      <c r="AF130" s="1159">
        <f>+H130/AD130*100</f>
        <v>63.140597224164694</v>
      </c>
      <c r="AG130" s="1125" t="s">
        <v>190</v>
      </c>
      <c r="AH130" s="598"/>
      <c r="AI130" s="1160">
        <f>+S130</f>
        <v>3889.058</v>
      </c>
      <c r="AJ130" s="598"/>
      <c r="AK130" s="1164">
        <f>AI130/AB130</f>
        <v>68.954929078014189</v>
      </c>
      <c r="AL130" s="598"/>
      <c r="AM130" s="1176">
        <f>(AK130/AK123-1)*100</f>
        <v>6.4092410363179031</v>
      </c>
      <c r="AN130" s="1124" t="s">
        <v>190</v>
      </c>
      <c r="AP130" s="487"/>
      <c r="AQ130" s="487"/>
      <c r="AR130" s="487"/>
      <c r="AS130" s="487"/>
      <c r="AT130" s="487"/>
      <c r="AU130" s="487"/>
      <c r="AV130" s="487"/>
      <c r="AW130" s="487"/>
      <c r="AX130" s="487"/>
      <c r="AY130" s="487"/>
      <c r="AZ130" s="487"/>
      <c r="BA130" s="487"/>
      <c r="BB130" s="487"/>
      <c r="BC130" s="487"/>
      <c r="BD130" s="487"/>
      <c r="BE130" s="487"/>
      <c r="BF130" s="487"/>
      <c r="BG130" s="487"/>
      <c r="BH130" s="487"/>
    </row>
    <row r="131" spans="1:60">
      <c r="A131" s="598" t="s">
        <v>528</v>
      </c>
      <c r="B131" s="1157" t="s">
        <v>515</v>
      </c>
      <c r="C131" s="598"/>
      <c r="D131" s="1120">
        <f>(S131/S124-1)*100</f>
        <v>8.8259863049617628</v>
      </c>
      <c r="E131" s="598"/>
      <c r="F131" s="1179">
        <f>'SegP&amp;L'!F166</f>
        <v>7</v>
      </c>
      <c r="G131" s="598"/>
      <c r="H131" s="1120">
        <f>D131-F131</f>
        <v>1.8259863049617628</v>
      </c>
      <c r="I131" s="598"/>
      <c r="J131" s="1167">
        <f>+Stores!D188</f>
        <v>1896</v>
      </c>
      <c r="K131" s="1127"/>
      <c r="L131" s="1167">
        <f>AVERAGE(J131,J130)</f>
        <v>1887</v>
      </c>
      <c r="M131" s="598"/>
      <c r="N131" s="1120">
        <f>(L131/L124-1)*100</f>
        <v>2.9459901800327426</v>
      </c>
      <c r="O131" s="1124"/>
      <c r="P131" s="1159">
        <f>H131/N131*100</f>
        <v>61.982090685090753</v>
      </c>
      <c r="Q131" s="1125"/>
      <c r="R131" s="598"/>
      <c r="S131" s="1165">
        <f>'SegP&amp;L'!D166</f>
        <v>3976.0509999999999</v>
      </c>
      <c r="T131" s="1127"/>
      <c r="U131" s="1166">
        <f>S131/L131</f>
        <v>2.1070752517223106</v>
      </c>
      <c r="V131" s="598"/>
      <c r="W131" s="1176">
        <f>(U131/U124-1)*100</f>
        <v>5.7117291452013275</v>
      </c>
      <c r="X131" s="1124"/>
      <c r="Y131" s="598"/>
      <c r="Z131" s="1129">
        <f>+Stores!G188</f>
        <v>57.099999999999994</v>
      </c>
      <c r="AA131" s="1127"/>
      <c r="AB131" s="1163">
        <f>AVERAGE(Z131,Z130)</f>
        <v>56.8</v>
      </c>
      <c r="AC131" s="598"/>
      <c r="AD131" s="1120">
        <f>(AB131/AB124-1)*100</f>
        <v>2.4346257889990897</v>
      </c>
      <c r="AE131" s="1124"/>
      <c r="AF131" s="1159">
        <f>+H131/AD131*100</f>
        <v>75.000696748244522</v>
      </c>
      <c r="AG131" s="1125"/>
      <c r="AH131" s="598"/>
      <c r="AI131" s="1165">
        <f>+S131</f>
        <v>3976.0509999999999</v>
      </c>
      <c r="AJ131" s="598"/>
      <c r="AK131" s="1167">
        <f>AI131/AB131</f>
        <v>70.000897887323944</v>
      </c>
      <c r="AL131" s="598"/>
      <c r="AM131" s="1176">
        <f>(AK131/AK124-1)*100</f>
        <v>6.2394531797558273</v>
      </c>
      <c r="AN131" s="1124"/>
      <c r="AP131" s="487"/>
      <c r="AQ131" s="487"/>
      <c r="AR131" s="487"/>
      <c r="AS131" s="487"/>
      <c r="AT131" s="487"/>
      <c r="AU131" s="487"/>
      <c r="AV131" s="487"/>
      <c r="AW131" s="487"/>
      <c r="AX131" s="487"/>
      <c r="AY131" s="487"/>
      <c r="AZ131" s="487"/>
      <c r="BA131" s="487"/>
      <c r="BB131" s="487"/>
      <c r="BC131" s="487"/>
      <c r="BD131" s="487"/>
      <c r="BE131" s="487"/>
      <c r="BF131" s="487"/>
      <c r="BG131" s="487"/>
      <c r="BH131" s="487"/>
    </row>
    <row r="132" spans="1:60">
      <c r="A132" s="598" t="s">
        <v>529</v>
      </c>
      <c r="B132" s="1157" t="s">
        <v>516</v>
      </c>
      <c r="C132" s="598"/>
      <c r="D132" s="1120">
        <f>(S132/S125-1)*100</f>
        <v>9.7898605402153791</v>
      </c>
      <c r="E132" s="598"/>
      <c r="F132" s="1179">
        <f>'SegP&amp;L'!F167</f>
        <v>7</v>
      </c>
      <c r="G132" s="598"/>
      <c r="H132" s="1120">
        <f>D132-F132</f>
        <v>2.7898605402153791</v>
      </c>
      <c r="I132" s="598"/>
      <c r="J132" s="1167">
        <f>+Stores!D189</f>
        <v>1941</v>
      </c>
      <c r="K132" s="1127"/>
      <c r="L132" s="1167">
        <f>AVERAGE(J132,J131)</f>
        <v>1918.5</v>
      </c>
      <c r="M132" s="598"/>
      <c r="N132" s="1120">
        <f>(L132/L125-1)*100</f>
        <v>3.646677471636961</v>
      </c>
      <c r="O132" s="1124"/>
      <c r="P132" s="1159">
        <f>H132/N132*100</f>
        <v>76.504175702794896</v>
      </c>
      <c r="Q132" s="1125"/>
      <c r="R132" s="598"/>
      <c r="S132" s="1165">
        <f>'SegP&amp;L'!D167</f>
        <v>4161.4089999999997</v>
      </c>
      <c r="T132" s="1127"/>
      <c r="U132" s="1166">
        <f>S132/L132</f>
        <v>2.1690951264008338</v>
      </c>
      <c r="V132" s="598"/>
      <c r="W132" s="1176">
        <f>(U132/U125-1)*100</f>
        <v>5.9270429293399429</v>
      </c>
      <c r="X132" s="1124"/>
      <c r="Y132" s="598"/>
      <c r="Z132" s="1129">
        <f>+Stores!G189</f>
        <v>58.2</v>
      </c>
      <c r="AA132" s="1127"/>
      <c r="AB132" s="1163">
        <f>AVERAGE(Z132,Z131)</f>
        <v>57.65</v>
      </c>
      <c r="AC132" s="598"/>
      <c r="AD132" s="1120">
        <f>(AB132/AB125-1)*100</f>
        <v>3.1305903398926471</v>
      </c>
      <c r="AE132" s="1124"/>
      <c r="AF132" s="1159">
        <f>+H132/AD132*100</f>
        <v>89.116116684594644</v>
      </c>
      <c r="AG132" s="1125"/>
      <c r="AH132" s="598"/>
      <c r="AI132" s="1165">
        <f>+S132</f>
        <v>4161.4089999999997</v>
      </c>
      <c r="AJ132" s="598"/>
      <c r="AK132" s="1167">
        <f>AI132/AB132</f>
        <v>72.184024284475271</v>
      </c>
      <c r="AL132" s="598"/>
      <c r="AM132" s="1176">
        <f>(AK132/AK125-1)*100</f>
        <v>6.4571240971038835</v>
      </c>
      <c r="AN132" s="1124"/>
      <c r="AP132" s="487"/>
      <c r="AQ132" s="487"/>
      <c r="AR132" s="487"/>
      <c r="AS132" s="487"/>
      <c r="AT132" s="487"/>
      <c r="AU132" s="487"/>
      <c r="AV132" s="487"/>
      <c r="AW132" s="487"/>
      <c r="AX132" s="487"/>
      <c r="AY132" s="487"/>
      <c r="AZ132" s="487"/>
      <c r="BA132" s="487"/>
      <c r="BB132" s="487"/>
      <c r="BC132" s="487"/>
      <c r="BD132" s="487"/>
      <c r="BE132" s="487"/>
      <c r="BF132" s="487"/>
      <c r="BG132" s="487"/>
      <c r="BH132" s="487"/>
    </row>
    <row r="133" spans="1:60">
      <c r="A133" s="598" t="s">
        <v>530</v>
      </c>
      <c r="B133" s="1157" t="s">
        <v>517</v>
      </c>
      <c r="C133" s="598"/>
      <c r="D133" s="1168">
        <f>(S133/S126-1)*100</f>
        <v>13.334601981091222</v>
      </c>
      <c r="E133" s="598"/>
      <c r="F133" s="1178">
        <f>'SegP&amp;L'!F168</f>
        <v>4</v>
      </c>
      <c r="G133" s="598"/>
      <c r="H133" s="1168">
        <f>D133-F133</f>
        <v>9.3346019810912217</v>
      </c>
      <c r="I133" s="598"/>
      <c r="J133" s="1167">
        <f>+Stores!D190</f>
        <v>1940</v>
      </c>
      <c r="K133" s="1127"/>
      <c r="L133" s="1175">
        <f>AVERAGE(J133,J132)</f>
        <v>1940.5</v>
      </c>
      <c r="M133" s="598"/>
      <c r="N133" s="1168">
        <f>(L133/L126-1)*100</f>
        <v>4.0203698740284066</v>
      </c>
      <c r="O133" s="1124"/>
      <c r="P133" s="1171">
        <f>H133/N133*100</f>
        <v>232.18266660967589</v>
      </c>
      <c r="Q133" s="1125"/>
      <c r="R133" s="598"/>
      <c r="S133" s="1172">
        <f>'SegP&amp;L'!D168</f>
        <v>4984.8909999999996</v>
      </c>
      <c r="T133" s="1127"/>
      <c r="U133" s="1173">
        <f>S133/L133</f>
        <v>2.5688693635660909</v>
      </c>
      <c r="V133" s="598"/>
      <c r="W133" s="1169">
        <f>(U133/U126-1)*100</f>
        <v>8.9542385960967188</v>
      </c>
      <c r="X133" s="1124"/>
      <c r="Y133" s="598"/>
      <c r="Z133" s="1129">
        <f>+Stores!G190</f>
        <v>58.2</v>
      </c>
      <c r="AA133" s="1127"/>
      <c r="AB133" s="1174">
        <f>AVERAGE(Z133,Z132)</f>
        <v>58.2</v>
      </c>
      <c r="AC133" s="598"/>
      <c r="AD133" s="1168">
        <f>(AB133/AB126-1)*100</f>
        <v>3.4666666666666623</v>
      </c>
      <c r="AE133" s="1124"/>
      <c r="AF133" s="1171">
        <f>+H133/AD133*100</f>
        <v>269.26736483917017</v>
      </c>
      <c r="AG133" s="1125"/>
      <c r="AH133" s="598"/>
      <c r="AI133" s="1172">
        <f>+S133</f>
        <v>4984.8909999999996</v>
      </c>
      <c r="AJ133" s="598"/>
      <c r="AK133" s="1175">
        <f>AI133/AB133</f>
        <v>85.651048109965629</v>
      </c>
      <c r="AL133" s="598"/>
      <c r="AM133" s="1169">
        <f>(AK133/AK126-1)*100</f>
        <v>9.5373086157453777</v>
      </c>
      <c r="AN133" s="1124"/>
      <c r="AP133" s="487"/>
      <c r="AQ133" s="487"/>
      <c r="AR133" s="487"/>
      <c r="AS133" s="487"/>
      <c r="AT133" s="487"/>
      <c r="AU133" s="487"/>
      <c r="AV133" s="487"/>
      <c r="AW133" s="487"/>
      <c r="AX133" s="487"/>
      <c r="AY133" s="487"/>
      <c r="AZ133" s="487"/>
      <c r="BA133" s="487"/>
      <c r="BB133" s="487"/>
      <c r="BC133" s="487"/>
      <c r="BD133" s="487"/>
      <c r="BE133" s="487"/>
      <c r="BF133" s="487"/>
      <c r="BG133" s="487"/>
      <c r="BH133" s="487"/>
    </row>
    <row r="134" spans="1:60">
      <c r="A134" s="598"/>
      <c r="B134" s="1157" t="s">
        <v>531</v>
      </c>
      <c r="C134" s="598"/>
      <c r="D134" s="1120">
        <f>(S134/S127-1)*100</f>
        <v>10.697172393279608</v>
      </c>
      <c r="E134" s="598"/>
      <c r="F134" s="1179">
        <f>'SegP&amp;L'!F169</f>
        <v>6</v>
      </c>
      <c r="G134" s="598"/>
      <c r="H134" s="1120">
        <f>D134-F134</f>
        <v>4.6971723932796081</v>
      </c>
      <c r="I134" s="598"/>
      <c r="J134" s="598"/>
      <c r="K134" s="598"/>
      <c r="L134" s="1167">
        <f>AVERAGE(L130:L133)</f>
        <v>1904.625</v>
      </c>
      <c r="M134" s="598"/>
      <c r="N134" s="1120">
        <f>(L134/L127-1)*100</f>
        <v>3.7942779291553208</v>
      </c>
      <c r="O134" s="1124"/>
      <c r="P134" s="1159">
        <f>H134/N134*100</f>
        <v>123.79621316578906</v>
      </c>
      <c r="Q134" s="1125"/>
      <c r="R134" s="598"/>
      <c r="S134" s="1160">
        <f>SUM(S130:S133)</f>
        <v>17011.409</v>
      </c>
      <c r="T134" s="598"/>
      <c r="U134" s="1161">
        <f>SUM(U130:U133)</f>
        <v>8.9219732530376987</v>
      </c>
      <c r="V134" s="598"/>
      <c r="W134" s="1176">
        <f>(U134/U127-1)*100</f>
        <v>6.625945400929667</v>
      </c>
      <c r="X134" s="1124"/>
      <c r="Y134" s="598"/>
      <c r="Z134" s="598"/>
      <c r="AA134" s="598"/>
      <c r="AB134" s="1163">
        <f>AVERAGE(AB130:AB133)</f>
        <v>57.262500000000003</v>
      </c>
      <c r="AC134" s="598"/>
      <c r="AD134" s="1120">
        <f>(AB134/AB127-1)*100</f>
        <v>3.175675675675671</v>
      </c>
      <c r="AE134" s="1124"/>
      <c r="AF134" s="1159">
        <f>+H134/AD134*100</f>
        <v>147.91096046923042</v>
      </c>
      <c r="AG134" s="1125"/>
      <c r="AH134" s="598"/>
      <c r="AI134" s="1160">
        <f>SUM(AI130:AI133)</f>
        <v>17011.409</v>
      </c>
      <c r="AJ134" s="598"/>
      <c r="AK134" s="1164">
        <f>SUM(AK130:AK133)</f>
        <v>296.79089935977902</v>
      </c>
      <c r="AL134" s="598"/>
      <c r="AM134" s="1176">
        <f>(AK134/AK127-1)*100</f>
        <v>7.2645429732074218</v>
      </c>
      <c r="AN134" s="1124"/>
      <c r="AP134" s="487"/>
      <c r="AQ134" s="487"/>
      <c r="AR134" s="487"/>
      <c r="AS134" s="487"/>
      <c r="AT134" s="487"/>
      <c r="AU134" s="487"/>
      <c r="AV134" s="487"/>
      <c r="AW134" s="487"/>
      <c r="AX134" s="487"/>
      <c r="AY134" s="487"/>
      <c r="AZ134" s="487"/>
      <c r="BA134" s="487"/>
      <c r="BB134" s="487"/>
      <c r="BC134" s="487"/>
      <c r="BD134" s="487"/>
      <c r="BE134" s="487"/>
      <c r="BF134" s="487"/>
      <c r="BG134" s="487"/>
      <c r="BH134" s="487"/>
    </row>
    <row r="135" spans="1:60">
      <c r="A135" s="598"/>
      <c r="B135" s="1157"/>
      <c r="C135" s="598"/>
      <c r="D135" s="1120"/>
      <c r="E135" s="598"/>
      <c r="F135" s="1179"/>
      <c r="G135" s="598"/>
      <c r="H135" s="1120"/>
      <c r="I135" s="598"/>
      <c r="J135" s="598"/>
      <c r="K135" s="598"/>
      <c r="L135" s="1167"/>
      <c r="M135" s="598"/>
      <c r="N135" s="1120"/>
      <c r="O135" s="1124"/>
      <c r="P135" s="1159"/>
      <c r="Q135" s="1125"/>
      <c r="R135" s="598"/>
      <c r="S135" s="1182"/>
      <c r="T135" s="598"/>
      <c r="U135" s="1161"/>
      <c r="V135" s="598"/>
      <c r="W135" s="1176"/>
      <c r="X135" s="1124"/>
      <c r="Y135" s="598"/>
      <c r="Z135" s="598"/>
      <c r="AA135" s="598"/>
      <c r="AB135" s="1163"/>
      <c r="AC135" s="598"/>
      <c r="AD135" s="1120"/>
      <c r="AE135" s="1124"/>
      <c r="AF135" s="1159"/>
      <c r="AG135" s="1125"/>
      <c r="AH135" s="598"/>
      <c r="AI135" s="1160"/>
      <c r="AJ135" s="598"/>
      <c r="AK135" s="1164"/>
      <c r="AL135" s="598"/>
      <c r="AM135" s="1176"/>
      <c r="AN135" s="1124"/>
      <c r="AP135" s="487"/>
      <c r="AQ135" s="487"/>
      <c r="AR135" s="487"/>
      <c r="AS135" s="487"/>
      <c r="AT135" s="487"/>
      <c r="AU135" s="487"/>
      <c r="AV135" s="487"/>
      <c r="AW135" s="487"/>
      <c r="AX135" s="487"/>
      <c r="AY135" s="487"/>
      <c r="AZ135" s="487"/>
      <c r="BA135" s="487"/>
      <c r="BB135" s="487"/>
      <c r="BC135" s="487"/>
      <c r="BD135" s="487"/>
      <c r="BE135" s="487"/>
      <c r="BF135" s="487"/>
      <c r="BG135" s="487"/>
      <c r="BH135" s="487"/>
    </row>
    <row r="136" spans="1:60">
      <c r="A136" s="1154"/>
      <c r="B136" s="1118">
        <f>+B129+1</f>
        <v>2013</v>
      </c>
      <c r="C136" s="598"/>
      <c r="D136" s="598"/>
      <c r="E136" s="1124"/>
      <c r="F136" s="598"/>
      <c r="G136" s="1124"/>
      <c r="H136" s="598"/>
      <c r="I136" s="1124"/>
      <c r="J136" s="1167"/>
      <c r="K136" s="598"/>
      <c r="L136" s="1167"/>
      <c r="M136" s="598"/>
      <c r="N136" s="598"/>
      <c r="O136" s="1124"/>
      <c r="P136" s="1125"/>
      <c r="Q136" s="1125"/>
      <c r="R136" s="598"/>
      <c r="S136" s="1165"/>
      <c r="T136" s="598"/>
      <c r="U136" s="598"/>
      <c r="V136" s="598"/>
      <c r="W136" s="598"/>
      <c r="X136" s="1124"/>
      <c r="Y136" s="598"/>
      <c r="Z136" s="598"/>
      <c r="AA136" s="598"/>
      <c r="AB136" s="598"/>
      <c r="AC136" s="598"/>
      <c r="AD136" s="598"/>
      <c r="AE136" s="1124"/>
      <c r="AF136" s="1125"/>
      <c r="AG136" s="1125"/>
      <c r="AH136" s="598"/>
      <c r="AI136" s="598"/>
      <c r="AJ136" s="598"/>
      <c r="AK136" s="598"/>
      <c r="AL136" s="598"/>
      <c r="AM136" s="598"/>
      <c r="AN136" s="1124"/>
      <c r="AP136" s="487"/>
      <c r="AQ136" s="487"/>
      <c r="AR136" s="487"/>
      <c r="AS136" s="487"/>
      <c r="AT136" s="487"/>
      <c r="AU136" s="487"/>
      <c r="AV136" s="487"/>
      <c r="AW136" s="487"/>
      <c r="AX136" s="487"/>
      <c r="AY136" s="487"/>
      <c r="AZ136" s="487"/>
      <c r="BA136" s="487"/>
      <c r="BB136" s="487"/>
      <c r="BC136" s="487"/>
      <c r="BD136" s="487"/>
      <c r="BE136" s="487"/>
      <c r="BF136" s="487"/>
      <c r="BG136" s="487"/>
      <c r="BH136" s="487"/>
    </row>
    <row r="137" spans="1:60">
      <c r="A137" s="598" t="s">
        <v>527</v>
      </c>
      <c r="B137" s="1157" t="s">
        <v>514</v>
      </c>
      <c r="C137" s="598"/>
      <c r="D137" s="1120">
        <f>(S137/S130-1)*100</f>
        <v>6.3432070182547928</v>
      </c>
      <c r="E137" s="1124" t="s">
        <v>190</v>
      </c>
      <c r="F137" s="1179">
        <f>'SegP&amp;L'!F172</f>
        <v>1</v>
      </c>
      <c r="G137" s="1124" t="s">
        <v>190</v>
      </c>
      <c r="H137" s="1120">
        <f>D137-F137</f>
        <v>5.3432070182547928</v>
      </c>
      <c r="I137" s="1124" t="s">
        <v>190</v>
      </c>
      <c r="J137" s="1167">
        <f>+Stores!D194</f>
        <v>1958</v>
      </c>
      <c r="K137" s="598"/>
      <c r="L137" s="1167">
        <f>AVERAGE(J137,J133)</f>
        <v>1949</v>
      </c>
      <c r="M137" s="598"/>
      <c r="N137" s="1120">
        <f>(L137/L130-1)*100</f>
        <v>4.0854472630173611</v>
      </c>
      <c r="O137" s="1124" t="s">
        <v>190</v>
      </c>
      <c r="P137" s="1159">
        <f>H137/N137*100</f>
        <v>130.78634172133451</v>
      </c>
      <c r="Q137" s="1125" t="s">
        <v>190</v>
      </c>
      <c r="R137" s="598"/>
      <c r="S137" s="1160">
        <f>'SegP&amp;L'!D172</f>
        <v>4135.7489999999998</v>
      </c>
      <c r="T137" s="598"/>
      <c r="U137" s="1161">
        <f>S137/L137</f>
        <v>2.1219851205746534</v>
      </c>
      <c r="V137" s="598"/>
      <c r="W137" s="1176">
        <f>(U137/U130-1)*100</f>
        <v>2.1691406576100913</v>
      </c>
      <c r="X137" s="1124" t="s">
        <v>190</v>
      </c>
      <c r="Y137" s="598"/>
      <c r="Z137" s="1129">
        <f>+Stores!G194</f>
        <v>58.7</v>
      </c>
      <c r="AA137" s="598"/>
      <c r="AB137" s="1163">
        <f>AVERAGE(Z137,Z133)</f>
        <v>58.45</v>
      </c>
      <c r="AC137" s="598"/>
      <c r="AD137" s="1120">
        <f>(AB137/AB130-1)*100</f>
        <v>3.6347517730496604</v>
      </c>
      <c r="AE137" s="1124" t="s">
        <v>190</v>
      </c>
      <c r="AF137" s="1159">
        <f>+H137/AD137*100</f>
        <v>147.00335406320443</v>
      </c>
      <c r="AG137" s="1125" t="s">
        <v>190</v>
      </c>
      <c r="AH137" s="598"/>
      <c r="AI137" s="1160">
        <f>+S137</f>
        <v>4135.7489999999998</v>
      </c>
      <c r="AJ137" s="598"/>
      <c r="AK137" s="1164">
        <f>AI137/AB137</f>
        <v>70.757040205303667</v>
      </c>
      <c r="AL137" s="598"/>
      <c r="AM137" s="1176">
        <f>(AK137/AK130-1)*100</f>
        <v>2.613462375185116</v>
      </c>
      <c r="AN137" s="1124" t="s">
        <v>190</v>
      </c>
      <c r="AP137" s="1183">
        <f>F137+F130</f>
        <v>9</v>
      </c>
      <c r="AQ137" s="487"/>
      <c r="AR137" s="487"/>
      <c r="AS137" s="487"/>
      <c r="AT137" s="487"/>
      <c r="AU137" s="487"/>
      <c r="AV137" s="487"/>
      <c r="AW137" s="487"/>
      <c r="AX137" s="487"/>
      <c r="AY137" s="487"/>
      <c r="AZ137" s="487"/>
      <c r="BA137" s="487"/>
      <c r="BB137" s="487"/>
      <c r="BC137" s="487"/>
      <c r="BD137" s="487"/>
      <c r="BE137" s="487"/>
      <c r="BF137" s="487"/>
      <c r="BG137" s="487"/>
      <c r="BH137" s="487"/>
    </row>
    <row r="138" spans="1:60">
      <c r="A138" s="598" t="s">
        <v>528</v>
      </c>
      <c r="B138" s="1157" t="s">
        <v>515</v>
      </c>
      <c r="C138" s="598"/>
      <c r="D138" s="1120">
        <f>(S138/S131-1)*100</f>
        <v>8.0304553437569037</v>
      </c>
      <c r="E138" s="598"/>
      <c r="F138" s="1179">
        <f>'SegP&amp;L'!F173</f>
        <v>4</v>
      </c>
      <c r="G138" s="598"/>
      <c r="H138" s="1120">
        <f>D138-F138</f>
        <v>4.0304553437569037</v>
      </c>
      <c r="I138" s="598"/>
      <c r="J138" s="1167">
        <f>+Stores!D195</f>
        <v>1966</v>
      </c>
      <c r="K138" s="1127"/>
      <c r="L138" s="1167">
        <f>AVERAGE(J138,J137)</f>
        <v>1962</v>
      </c>
      <c r="M138" s="598"/>
      <c r="N138" s="1120">
        <f>(L138/L131-1)*100</f>
        <v>3.9745627980922071</v>
      </c>
      <c r="O138" s="1124"/>
      <c r="P138" s="1159">
        <f>H138/N138*100</f>
        <v>101.40625644892376</v>
      </c>
      <c r="Q138" s="1125"/>
      <c r="R138" s="598"/>
      <c r="S138" s="1165">
        <f>'SegP&amp;L'!D173</f>
        <v>4295.3459999999995</v>
      </c>
      <c r="T138" s="1127"/>
      <c r="U138" s="1166">
        <f>S138/L138</f>
        <v>2.1892691131498467</v>
      </c>
      <c r="V138" s="598"/>
      <c r="W138" s="1176">
        <f>(U138/U131-1)*100</f>
        <v>3.9008507816866711</v>
      </c>
      <c r="X138" s="1124"/>
      <c r="Y138" s="598"/>
      <c r="Z138" s="1129">
        <f>+Stores!G195</f>
        <v>58.900000000000006</v>
      </c>
      <c r="AA138" s="1127"/>
      <c r="AB138" s="1163">
        <f>AVERAGE(Z138,Z137)</f>
        <v>58.800000000000004</v>
      </c>
      <c r="AC138" s="598"/>
      <c r="AD138" s="1120">
        <f>(AB138/AB131-1)*100</f>
        <v>3.5211267605633978</v>
      </c>
      <c r="AE138" s="1124"/>
      <c r="AF138" s="1159">
        <f>+H138/AD138*100</f>
        <v>114.4649317626955</v>
      </c>
      <c r="AG138" s="1125"/>
      <c r="AH138" s="598"/>
      <c r="AI138" s="1165">
        <f>+S138</f>
        <v>4295.3459999999995</v>
      </c>
      <c r="AJ138" s="598"/>
      <c r="AK138" s="1167">
        <f>AI138/AB138</f>
        <v>73.050102040816313</v>
      </c>
      <c r="AL138" s="598"/>
      <c r="AM138" s="1176">
        <f>(AK138/AK131-1)*100</f>
        <v>4.3559500599556378</v>
      </c>
      <c r="AN138" s="1124"/>
      <c r="AP138" s="1183">
        <f>F138+F131</f>
        <v>11</v>
      </c>
      <c r="BB138" s="487"/>
      <c r="BD138" s="487"/>
      <c r="BE138" s="487"/>
      <c r="BF138" s="487"/>
      <c r="BG138" s="487"/>
      <c r="BH138" s="487"/>
    </row>
    <row r="139" spans="1:60">
      <c r="A139" s="598" t="s">
        <v>529</v>
      </c>
      <c r="B139" s="1157" t="s">
        <v>516</v>
      </c>
      <c r="C139" s="598"/>
      <c r="D139" s="1120">
        <f>(S139/S132-1)*100</f>
        <v>7.7561470165513846</v>
      </c>
      <c r="E139" s="598"/>
      <c r="F139" s="1179">
        <f>'SegP&amp;L'!F174</f>
        <v>4</v>
      </c>
      <c r="G139" s="598"/>
      <c r="H139" s="1120">
        <f>D139-F139</f>
        <v>3.7561470165513846</v>
      </c>
      <c r="I139" s="598"/>
      <c r="J139" s="1167">
        <f>+Stores!D196</f>
        <v>2016</v>
      </c>
      <c r="K139" s="1127"/>
      <c r="L139" s="1167">
        <f>AVERAGE(J139,J138)</f>
        <v>1991</v>
      </c>
      <c r="M139" s="598"/>
      <c r="N139" s="1120">
        <f>(L139/L132-1)*100</f>
        <v>3.7789940057336491</v>
      </c>
      <c r="O139" s="1124"/>
      <c r="P139" s="1159">
        <f>H139/N139*100</f>
        <v>99.39542139660449</v>
      </c>
      <c r="Q139" s="1125"/>
      <c r="R139" s="598"/>
      <c r="S139" s="1165">
        <f>'SegP&amp;L'!D174</f>
        <v>4484.174</v>
      </c>
      <c r="T139" s="1127"/>
      <c r="U139" s="1166">
        <f>S139/L139</f>
        <v>2.2522219989954797</v>
      </c>
      <c r="V139" s="598"/>
      <c r="W139" s="1176">
        <f>(U139/U132-1)*100</f>
        <v>3.8323295084147668</v>
      </c>
      <c r="X139" s="1124"/>
      <c r="Y139" s="598"/>
      <c r="Z139" s="1129">
        <f>+Stores!G196</f>
        <v>60</v>
      </c>
      <c r="AA139" s="1127"/>
      <c r="AB139" s="1163">
        <f>AVERAGE(Z139,Z138)</f>
        <v>59.45</v>
      </c>
      <c r="AC139" s="598"/>
      <c r="AD139" s="1120">
        <f>(AB139/AB132-1)*100</f>
        <v>3.1222896790980226</v>
      </c>
      <c r="AE139" s="1124"/>
      <c r="AF139" s="1159">
        <f>+H139/AD139*100</f>
        <v>120.30104194677007</v>
      </c>
      <c r="AG139" s="1125"/>
      <c r="AH139" s="598"/>
      <c r="AI139" s="1165">
        <f>+S139</f>
        <v>4484.174</v>
      </c>
      <c r="AJ139" s="598"/>
      <c r="AK139" s="1167">
        <f>AI139/AB139</f>
        <v>75.427653490327998</v>
      </c>
      <c r="AL139" s="598"/>
      <c r="AM139" s="1176">
        <f>(AK139/AK132-1)*100</f>
        <v>4.4935555173118091</v>
      </c>
      <c r="AN139" s="1124"/>
      <c r="AP139" s="1183">
        <f>F139+F132</f>
        <v>11</v>
      </c>
      <c r="BB139" s="695"/>
      <c r="BD139" s="695"/>
      <c r="BE139" s="695"/>
      <c r="BF139" s="695"/>
      <c r="BG139" s="695"/>
      <c r="BH139" s="695"/>
    </row>
    <row r="140" spans="1:60">
      <c r="A140" s="598" t="s">
        <v>530</v>
      </c>
      <c r="B140" s="1157" t="s">
        <v>517</v>
      </c>
      <c r="C140" s="598"/>
      <c r="D140" s="1168">
        <f>(S140/S133-1)*100</f>
        <v>0.59010317377050647</v>
      </c>
      <c r="E140" s="598"/>
      <c r="F140" s="1178">
        <f>'SegP&amp;L'!F175</f>
        <v>3</v>
      </c>
      <c r="G140" s="598"/>
      <c r="H140" s="1168">
        <f>D140-F140</f>
        <v>-2.4098968262294935</v>
      </c>
      <c r="I140" s="598"/>
      <c r="J140" s="1167">
        <f>+Stores!D197</f>
        <v>2021</v>
      </c>
      <c r="K140" s="1127"/>
      <c r="L140" s="1175">
        <f>AVERAGE(J140,J139)</f>
        <v>2018.5</v>
      </c>
      <c r="M140" s="598"/>
      <c r="N140" s="1168">
        <f>(L140/L133-1)*100</f>
        <v>4.0195825818088116</v>
      </c>
      <c r="O140" s="1124"/>
      <c r="P140" s="1171">
        <f>H140/N140*100</f>
        <v>-59.953907580747853</v>
      </c>
      <c r="Q140" s="1125"/>
      <c r="R140" s="598"/>
      <c r="S140" s="1172">
        <f>'SegP&amp;L'!D175</f>
        <v>5014.3069999999998</v>
      </c>
      <c r="T140" s="1127"/>
      <c r="U140" s="1173">
        <f>S140/L140</f>
        <v>2.4841748823383698</v>
      </c>
      <c r="V140" s="598"/>
      <c r="W140" s="1169">
        <f>(U140/U133-1)*100</f>
        <v>-3.296955556749237</v>
      </c>
      <c r="X140" s="1124"/>
      <c r="Y140" s="598"/>
      <c r="Z140" s="1129">
        <f>+Stores!G197</f>
        <v>60.099999999999994</v>
      </c>
      <c r="AA140" s="1127"/>
      <c r="AB140" s="1174">
        <f>AVERAGE(Z140,Z139)</f>
        <v>60.05</v>
      </c>
      <c r="AC140" s="598"/>
      <c r="AD140" s="1168">
        <f>(AB140/AB133-1)*100</f>
        <v>3.1786941580755901</v>
      </c>
      <c r="AE140" s="1124"/>
      <c r="AF140" s="1171">
        <f>+H140/AD140*100</f>
        <v>-75.81405150624704</v>
      </c>
      <c r="AG140" s="1125"/>
      <c r="AH140" s="598"/>
      <c r="AI140" s="1172">
        <f>+S140</f>
        <v>5014.3069999999998</v>
      </c>
      <c r="AJ140" s="598"/>
      <c r="AK140" s="1175">
        <f>AI140/AB140</f>
        <v>83.502198168193175</v>
      </c>
      <c r="AL140" s="598"/>
      <c r="AM140" s="1169">
        <f>(AK140/AK133-1)*100</f>
        <v>-2.5088425526487268</v>
      </c>
      <c r="AN140" s="1124"/>
      <c r="AP140" s="1183">
        <f>F140+F133</f>
        <v>7</v>
      </c>
      <c r="BB140" s="487"/>
      <c r="BD140" s="487"/>
      <c r="BE140" s="487"/>
      <c r="BF140" s="487"/>
      <c r="BG140" s="487"/>
      <c r="BH140" s="487"/>
    </row>
    <row r="141" spans="1:60">
      <c r="A141" s="598"/>
      <c r="B141" s="1157" t="s">
        <v>531</v>
      </c>
      <c r="C141" s="598"/>
      <c r="D141" s="1120">
        <f>(S141/S134-1)*100</f>
        <v>5.3973600893376883</v>
      </c>
      <c r="E141" s="598"/>
      <c r="F141" s="1184">
        <f>'SegP&amp;L'!F176</f>
        <v>3</v>
      </c>
      <c r="G141" s="598"/>
      <c r="H141" s="1120">
        <f>D141-F141</f>
        <v>2.3973600893376883</v>
      </c>
      <c r="I141" s="598"/>
      <c r="J141" s="598"/>
      <c r="K141" s="598"/>
      <c r="L141" s="1167">
        <f>AVERAGE(L137:L140)</f>
        <v>1980.125</v>
      </c>
      <c r="M141" s="598"/>
      <c r="N141" s="1120">
        <f>(L141/L134-1)*100</f>
        <v>3.9640349150095178</v>
      </c>
      <c r="O141" s="1124"/>
      <c r="P141" s="1159">
        <f>H141/N141*100</f>
        <v>60.477774306685994</v>
      </c>
      <c r="Q141" s="1125"/>
      <c r="R141" s="598"/>
      <c r="S141" s="1160">
        <f>SUM(S137:S140)</f>
        <v>17929.576000000001</v>
      </c>
      <c r="T141" s="598"/>
      <c r="U141" s="1161">
        <f>SUM(U137:U140)</f>
        <v>9.0476511150583505</v>
      </c>
      <c r="V141" s="598"/>
      <c r="W141" s="1176">
        <f>(U141/U134-1)*100</f>
        <v>1.4086330283254567</v>
      </c>
      <c r="X141" s="1124"/>
      <c r="Y141" s="598"/>
      <c r="Z141" s="598"/>
      <c r="AA141" s="598"/>
      <c r="AB141" s="1163">
        <f>AVERAGE(AB137:AB140)</f>
        <v>59.1875</v>
      </c>
      <c r="AC141" s="598"/>
      <c r="AD141" s="1120">
        <f>(AB141/AB134-1)*100</f>
        <v>3.3617114167212359</v>
      </c>
      <c r="AE141" s="1124"/>
      <c r="AF141" s="1159">
        <f>+H141/AD141*100</f>
        <v>71.313679021142619</v>
      </c>
      <c r="AG141" s="1125"/>
      <c r="AH141" s="598"/>
      <c r="AI141" s="1160">
        <f>SUM(AI137:AI140)</f>
        <v>17929.576000000001</v>
      </c>
      <c r="AJ141" s="598"/>
      <c r="AK141" s="1164">
        <f>SUM(AK137:AK140)</f>
        <v>302.73699390464117</v>
      </c>
      <c r="AL141" s="598"/>
      <c r="AM141" s="1176">
        <f>(AK141/AK134-1)*100</f>
        <v>2.0034625582147969</v>
      </c>
      <c r="AN141" s="1124"/>
      <c r="BB141" s="487"/>
      <c r="BD141" s="487"/>
      <c r="BE141" s="487"/>
      <c r="BF141" s="487"/>
      <c r="BG141" s="487"/>
      <c r="BH141" s="487"/>
    </row>
    <row r="142" spans="1:60">
      <c r="A142" s="598"/>
      <c r="B142" s="1157"/>
      <c r="C142" s="598"/>
      <c r="D142" s="1120"/>
      <c r="E142" s="598"/>
      <c r="F142" s="1179"/>
      <c r="G142" s="598"/>
      <c r="H142" s="1120"/>
      <c r="I142" s="598"/>
      <c r="J142" s="598"/>
      <c r="K142" s="598"/>
      <c r="L142" s="1167"/>
      <c r="M142" s="598"/>
      <c r="N142" s="1120"/>
      <c r="O142" s="1124"/>
      <c r="P142" s="1159"/>
      <c r="Q142" s="1125"/>
      <c r="R142" s="598"/>
      <c r="S142" s="1182"/>
      <c r="T142" s="598"/>
      <c r="U142" s="1161"/>
      <c r="V142" s="598"/>
      <c r="W142" s="1176"/>
      <c r="X142" s="1124"/>
      <c r="Y142" s="598"/>
      <c r="Z142" s="598"/>
      <c r="AA142" s="598"/>
      <c r="AB142" s="1163"/>
      <c r="AC142" s="598"/>
      <c r="AD142" s="1120"/>
      <c r="AE142" s="1124"/>
      <c r="AF142" s="1159"/>
      <c r="AG142" s="1125"/>
      <c r="AH142" s="598"/>
      <c r="AI142" s="1160"/>
      <c r="AJ142" s="598"/>
      <c r="AK142" s="1164"/>
      <c r="AL142" s="598"/>
      <c r="AM142" s="1176"/>
      <c r="AN142" s="1124"/>
      <c r="BB142" s="487"/>
      <c r="BD142" s="487"/>
      <c r="BE142" s="487"/>
      <c r="BF142" s="487"/>
      <c r="BG142" s="487"/>
      <c r="BH142" s="487"/>
    </row>
    <row r="143" spans="1:60">
      <c r="A143" s="1154"/>
      <c r="B143" s="1118">
        <f>+B136+1</f>
        <v>2014</v>
      </c>
      <c r="C143" s="598"/>
      <c r="D143" s="598"/>
      <c r="E143" s="1124"/>
      <c r="F143" s="598"/>
      <c r="G143" s="1124"/>
      <c r="H143" s="598"/>
      <c r="I143" s="1124"/>
      <c r="J143" s="1167"/>
      <c r="K143" s="598"/>
      <c r="L143" s="1167"/>
      <c r="M143" s="598"/>
      <c r="N143" s="598"/>
      <c r="O143" s="1124"/>
      <c r="P143" s="1125"/>
      <c r="Q143" s="1125"/>
      <c r="R143" s="598"/>
      <c r="S143" s="1165"/>
      <c r="T143" s="598"/>
      <c r="U143" s="598"/>
      <c r="V143" s="598"/>
      <c r="W143" s="598"/>
      <c r="X143" s="1124"/>
      <c r="Y143" s="598"/>
      <c r="Z143" s="598"/>
      <c r="AA143" s="598"/>
      <c r="AB143" s="598"/>
      <c r="AC143" s="598"/>
      <c r="AD143" s="598"/>
      <c r="AE143" s="1124"/>
      <c r="AF143" s="1125"/>
      <c r="AG143" s="1125"/>
      <c r="AH143" s="598"/>
      <c r="AI143" s="598"/>
      <c r="AJ143" s="598"/>
      <c r="AK143" s="598"/>
      <c r="AL143" s="598"/>
      <c r="AM143" s="598"/>
      <c r="AN143" s="1124"/>
      <c r="BB143" s="487"/>
      <c r="BD143" s="487"/>
      <c r="BE143" s="487"/>
      <c r="BF143" s="487"/>
      <c r="BG143" s="487"/>
      <c r="BH143" s="487"/>
    </row>
    <row r="144" spans="1:60">
      <c r="A144" s="598" t="s">
        <v>527</v>
      </c>
      <c r="B144" s="1157" t="s">
        <v>514</v>
      </c>
      <c r="C144" s="598"/>
      <c r="D144" s="1120">
        <f>(S144/S137-1)*100</f>
        <v>2.3939073672024191</v>
      </c>
      <c r="E144" s="1124" t="s">
        <v>190</v>
      </c>
      <c r="F144" s="1179">
        <f>'SegP&amp;L'!F179</f>
        <v>0</v>
      </c>
      <c r="G144" s="1124" t="s">
        <v>190</v>
      </c>
      <c r="H144" s="1120">
        <f>D144-F144</f>
        <v>2.3939073672024191</v>
      </c>
      <c r="I144" s="1124" t="s">
        <v>190</v>
      </c>
      <c r="J144" s="1167">
        <f>+Stores!D201</f>
        <v>2032</v>
      </c>
      <c r="K144" s="598"/>
      <c r="L144" s="1167">
        <f>AVERAGE(J144,J140)</f>
        <v>2026.5</v>
      </c>
      <c r="M144" s="598"/>
      <c r="N144" s="1120">
        <f>(L144/L137-1)*100</f>
        <v>3.976398152898919</v>
      </c>
      <c r="O144" s="1124" t="s">
        <v>190</v>
      </c>
      <c r="P144" s="1159">
        <f>H144/N144*100</f>
        <v>60.202909144226055</v>
      </c>
      <c r="Q144" s="1125" t="s">
        <v>190</v>
      </c>
      <c r="R144" s="598"/>
      <c r="S144" s="1160">
        <f>'SegP&amp;L'!D179</f>
        <v>4234.7550000000001</v>
      </c>
      <c r="T144" s="1127"/>
      <c r="U144" s="1166">
        <f>S144/L144</f>
        <v>2.0896891191709845</v>
      </c>
      <c r="V144" s="598"/>
      <c r="W144" s="1176">
        <f>(U144/U137-1)*100</f>
        <v>-1.521971152885504</v>
      </c>
      <c r="X144" s="1124"/>
      <c r="Y144" s="598"/>
      <c r="Z144" s="1129">
        <f>+Stores!G201</f>
        <v>60.3</v>
      </c>
      <c r="AA144" s="1127"/>
      <c r="AB144" s="1163">
        <f>AVERAGE(Z144,Z140)</f>
        <v>60.199999999999996</v>
      </c>
      <c r="AC144" s="598"/>
      <c r="AD144" s="1120">
        <f>(AB144/AB137-1)*100</f>
        <v>2.9940119760478945</v>
      </c>
      <c r="AE144" s="1124"/>
      <c r="AF144" s="1159">
        <f>+H144/AD144*100</f>
        <v>79.956506064561069</v>
      </c>
      <c r="AG144" s="1125"/>
      <c r="AH144" s="598"/>
      <c r="AI144" s="1165">
        <f>+S144</f>
        <v>4234.7550000000001</v>
      </c>
      <c r="AJ144" s="598"/>
      <c r="AK144" s="1167">
        <f>AI144/AB144</f>
        <v>70.344767441860469</v>
      </c>
      <c r="AL144" s="598"/>
      <c r="AM144" s="1176">
        <f>(AK144/AK137-1)*100</f>
        <v>-0.58265970742554796</v>
      </c>
      <c r="AN144" s="1124"/>
      <c r="AP144" s="1183">
        <f>F144+F137</f>
        <v>1</v>
      </c>
      <c r="BB144" s="487"/>
      <c r="BD144" s="487"/>
      <c r="BE144" s="487"/>
      <c r="BF144" s="487"/>
      <c r="BG144" s="487"/>
      <c r="BH144" s="487"/>
    </row>
    <row r="145" spans="1:60">
      <c r="A145" s="598" t="s">
        <v>528</v>
      </c>
      <c r="B145" s="1157" t="s">
        <v>515</v>
      </c>
      <c r="C145" s="598"/>
      <c r="D145" s="1120">
        <f>(S145/S138-1)*100</f>
        <v>4.6220257925671193</v>
      </c>
      <c r="E145" s="1124"/>
      <c r="F145" s="1179">
        <f>'SegP&amp;L'!F180</f>
        <v>2</v>
      </c>
      <c r="G145" s="1124"/>
      <c r="H145" s="1120">
        <f>D145-F145</f>
        <v>2.6220257925671193</v>
      </c>
      <c r="I145" s="1124"/>
      <c r="J145" s="1167">
        <f>+Stores!D202</f>
        <v>2046</v>
      </c>
      <c r="K145" s="598"/>
      <c r="L145" s="1167">
        <f>AVERAGE(J145,J141)</f>
        <v>2046</v>
      </c>
      <c r="M145" s="598"/>
      <c r="N145" s="1120">
        <f>(L145/L138-1)*100</f>
        <v>4.2813455657492394</v>
      </c>
      <c r="O145" s="1124"/>
      <c r="P145" s="1159">
        <f>H145/N145*100</f>
        <v>61.24303101210338</v>
      </c>
      <c r="Q145" s="1125"/>
      <c r="R145" s="598"/>
      <c r="S145" s="1165">
        <f>'SegP&amp;L'!D180</f>
        <v>4493.8779999999997</v>
      </c>
      <c r="T145" s="1127"/>
      <c r="U145" s="1166">
        <f>S145/L145</f>
        <v>2.1964213098729228</v>
      </c>
      <c r="V145" s="598"/>
      <c r="W145" s="1176">
        <f>(U145/U138-1)*100</f>
        <v>0.32669335533563881</v>
      </c>
      <c r="X145" s="1124"/>
      <c r="Y145" s="598"/>
      <c r="Z145" s="1129">
        <f>+Stores!G202</f>
        <v>60.7</v>
      </c>
      <c r="AA145" s="1127"/>
      <c r="AB145" s="1163">
        <f>AVERAGE(Z145,Z144)</f>
        <v>60.5</v>
      </c>
      <c r="AC145" s="598"/>
      <c r="AD145" s="1120">
        <f>(AB145/AB138-1)*100</f>
        <v>2.8911564625850206</v>
      </c>
      <c r="AE145" s="1124"/>
      <c r="AF145" s="1159">
        <f>+H145/AD145*100</f>
        <v>90.691245060557264</v>
      </c>
      <c r="AG145" s="1125"/>
      <c r="AH145" s="598"/>
      <c r="AI145" s="1165">
        <f>+S145</f>
        <v>4493.8779999999997</v>
      </c>
      <c r="AJ145" s="598"/>
      <c r="AK145" s="1167">
        <f>AI145/AB145</f>
        <v>74.278975206611562</v>
      </c>
      <c r="AL145" s="598"/>
      <c r="AM145" s="1176">
        <f>(AK145/AK138-1)*100</f>
        <v>1.6822333322801253</v>
      </c>
      <c r="AN145" s="1124"/>
      <c r="AP145" s="1183">
        <f>F145+F138</f>
        <v>6</v>
      </c>
      <c r="BB145" s="487"/>
      <c r="BD145" s="487"/>
      <c r="BE145" s="487"/>
      <c r="BF145" s="487"/>
      <c r="BG145" s="487"/>
      <c r="BH145" s="487"/>
    </row>
    <row r="146" spans="1:60">
      <c r="A146" s="598" t="s">
        <v>529</v>
      </c>
      <c r="B146" s="1157" t="s">
        <v>516</v>
      </c>
      <c r="C146" s="598"/>
      <c r="D146" s="1120">
        <f>(S146/S139-1)*100</f>
        <v>4.2269546186209483</v>
      </c>
      <c r="E146" s="1124"/>
      <c r="F146" s="1179">
        <f>'SegP&amp;L'!F181</f>
        <v>1</v>
      </c>
      <c r="G146" s="1124"/>
      <c r="H146" s="1120">
        <f>D146-F146</f>
        <v>3.2269546186209483</v>
      </c>
      <c r="I146" s="1124"/>
      <c r="J146" s="1167">
        <f>+Stores!D203</f>
        <v>2086</v>
      </c>
      <c r="K146" s="598"/>
      <c r="L146" s="1167">
        <f>AVERAGE(J146,J142)</f>
        <v>2086</v>
      </c>
      <c r="M146" s="598"/>
      <c r="N146" s="1120">
        <f>(L146/L139-1)*100</f>
        <v>4.7714716223003606</v>
      </c>
      <c r="O146" s="1124"/>
      <c r="P146" s="1159">
        <f>H146/N146*100</f>
        <v>67.630175217624171</v>
      </c>
      <c r="Q146" s="1125"/>
      <c r="R146" s="598"/>
      <c r="S146" s="1165">
        <f>'SegP&amp;L'!D181</f>
        <v>4673.7179999999998</v>
      </c>
      <c r="T146" s="1127"/>
      <c r="U146" s="1166">
        <f>S146/L146</f>
        <v>2.2405167785234901</v>
      </c>
      <c r="V146" s="598"/>
      <c r="W146" s="1176">
        <f>(U146/U139-1)*100</f>
        <v>-0.51971877005065892</v>
      </c>
      <c r="X146" s="1124"/>
      <c r="Y146" s="598"/>
      <c r="Z146" s="1129">
        <f>+Stores!G203</f>
        <v>61.6</v>
      </c>
      <c r="AA146" s="1127"/>
      <c r="AB146" s="1163">
        <f>AVERAGE(Z146,Z145)</f>
        <v>61.150000000000006</v>
      </c>
      <c r="AC146" s="598"/>
      <c r="AD146" s="1120">
        <f>(AB146/AB139-1)*100</f>
        <v>2.8595458368376736</v>
      </c>
      <c r="AE146" s="1124"/>
      <c r="AF146" s="1159">
        <f>+H146/AD146*100</f>
        <v>112.84850122177394</v>
      </c>
      <c r="AG146" s="1125"/>
      <c r="AH146" s="598"/>
      <c r="AI146" s="1165">
        <f>+S146</f>
        <v>4673.7179999999998</v>
      </c>
      <c r="AJ146" s="598"/>
      <c r="AK146" s="1167">
        <f>AI146/AB146</f>
        <v>76.430384300899419</v>
      </c>
      <c r="AL146" s="598"/>
      <c r="AM146" s="1176">
        <f>(AK146/AK139-1)*100</f>
        <v>1.3293941468031978</v>
      </c>
      <c r="AN146" s="1124"/>
      <c r="AP146" s="1183">
        <f>F146+F139</f>
        <v>5</v>
      </c>
      <c r="BB146" s="487"/>
      <c r="BD146" s="487"/>
      <c r="BE146" s="487"/>
      <c r="BF146" s="487"/>
      <c r="BG146" s="487"/>
      <c r="BH146" s="487"/>
    </row>
    <row r="147" spans="1:60" ht="15">
      <c r="A147" s="598" t="s">
        <v>530</v>
      </c>
      <c r="B147" s="1157" t="s">
        <v>517</v>
      </c>
      <c r="C147" s="598"/>
      <c r="D147" s="1168">
        <f>(S147/S140-1)*100</f>
        <v>5.4183559163808681</v>
      </c>
      <c r="E147" s="598"/>
      <c r="F147" s="1178">
        <f>'SegP&amp;L'!F182</f>
        <v>3</v>
      </c>
      <c r="G147" s="598"/>
      <c r="H147" s="1168">
        <f>D147-F147</f>
        <v>2.4183559163808681</v>
      </c>
      <c r="I147" s="598"/>
      <c r="J147" s="1167">
        <f>+Stores!D204</f>
        <v>2094</v>
      </c>
      <c r="K147" s="1127"/>
      <c r="L147" s="1175">
        <f>AVERAGE(J147,J146)</f>
        <v>2090</v>
      </c>
      <c r="M147" s="598"/>
      <c r="N147" s="1168">
        <f>(L147/L140-1)*100</f>
        <v>3.5422343324250649</v>
      </c>
      <c r="O147" s="1124"/>
      <c r="P147" s="1171">
        <f>H147/N147*100</f>
        <v>68.272047793213801</v>
      </c>
      <c r="Q147" s="1125"/>
      <c r="R147" s="598"/>
      <c r="S147" s="1185">
        <f>'SegP&amp;L'!D182</f>
        <v>5286</v>
      </c>
      <c r="T147" s="1127"/>
      <c r="U147" s="1173">
        <f>S147/L147</f>
        <v>2.5291866028708134</v>
      </c>
      <c r="V147" s="598"/>
      <c r="W147" s="1169">
        <f>(U147/U140-1)*100</f>
        <v>1.8119384771362768</v>
      </c>
      <c r="X147" s="1124"/>
      <c r="Y147" s="598"/>
      <c r="Z147" s="1129">
        <f>+Stores!G204</f>
        <v>61.8</v>
      </c>
      <c r="AA147" s="1127"/>
      <c r="AB147" s="1174">
        <f>AVERAGE(Z147,Z146)</f>
        <v>61.7</v>
      </c>
      <c r="AC147" s="598"/>
      <c r="AD147" s="1168">
        <f>(AB147/AB140-1)*100</f>
        <v>2.7477102414654508</v>
      </c>
      <c r="AE147" s="1124"/>
      <c r="AF147" s="1171">
        <f>+H147/AD147*100</f>
        <v>88.013498653739902</v>
      </c>
      <c r="AG147" s="1125"/>
      <c r="AH147" s="598"/>
      <c r="AI147" s="1172">
        <f>+S147</f>
        <v>5286</v>
      </c>
      <c r="AJ147" s="598"/>
      <c r="AK147" s="1175">
        <f>AI147/AB147</f>
        <v>85.672609400324149</v>
      </c>
      <c r="AL147" s="598"/>
      <c r="AM147" s="1169">
        <f>(AK147/AK140-1)*100</f>
        <v>2.5992264631875317</v>
      </c>
      <c r="AN147" s="1124"/>
      <c r="AP147" s="1183">
        <f>F147+F140</f>
        <v>6</v>
      </c>
      <c r="BB147" s="487"/>
      <c r="BD147" s="487"/>
      <c r="BE147" s="487"/>
      <c r="BF147" s="487"/>
      <c r="BG147" s="487"/>
      <c r="BH147" s="487"/>
    </row>
    <row r="148" spans="1:60">
      <c r="A148" s="598"/>
      <c r="B148" s="1157" t="s">
        <v>531</v>
      </c>
      <c r="C148" s="598"/>
      <c r="D148" s="1120">
        <f>(S148/S141-1)*100</f>
        <v>4.2319740299491704</v>
      </c>
      <c r="E148" s="598"/>
      <c r="F148" s="1179">
        <f>'SegP&amp;L'!F183</f>
        <v>1</v>
      </c>
      <c r="G148" s="598"/>
      <c r="H148" s="1120">
        <f>D148-F148</f>
        <v>3.2319740299491704</v>
      </c>
      <c r="I148" s="598"/>
      <c r="J148" s="598"/>
      <c r="K148" s="598"/>
      <c r="L148" s="1167">
        <f>AVERAGE(L144:L147)</f>
        <v>2062.125</v>
      </c>
      <c r="M148" s="598"/>
      <c r="N148" s="1120">
        <f>(L148/L141-1)*100</f>
        <v>4.1411527050059904</v>
      </c>
      <c r="O148" s="1124"/>
      <c r="P148" s="1159">
        <f>H148/N148*100</f>
        <v>78.045275317720879</v>
      </c>
      <c r="Q148" s="1125"/>
      <c r="R148" s="598"/>
      <c r="S148" s="1160">
        <f>SUM(S144:S147)</f>
        <v>18688.350999999999</v>
      </c>
      <c r="T148" s="598"/>
      <c r="U148" s="1161">
        <f>SUM(U144:U147)</f>
        <v>9.0558138104382113</v>
      </c>
      <c r="V148" s="598"/>
      <c r="W148" s="1176">
        <f>(U148/U141-1)*100</f>
        <v>9.0218944962128234E-2</v>
      </c>
      <c r="X148" s="1124"/>
      <c r="Y148" s="598"/>
      <c r="Z148" s="598"/>
      <c r="AA148" s="598"/>
      <c r="AB148" s="1163">
        <f>AVERAGE(AB144:AB147)</f>
        <v>60.887500000000003</v>
      </c>
      <c r="AC148" s="598"/>
      <c r="AD148" s="1120">
        <f>(AB148/AB141-1)*100</f>
        <v>2.8722280887011564</v>
      </c>
      <c r="AE148" s="1124"/>
      <c r="AF148" s="1159">
        <f>+H148/AD148*100</f>
        <v>112.52497817506875</v>
      </c>
      <c r="AG148" s="1125"/>
      <c r="AH148" s="598"/>
      <c r="AI148" s="1160">
        <f>SUM(AI144:AI147)</f>
        <v>18688.350999999999</v>
      </c>
      <c r="AJ148" s="598"/>
      <c r="AK148" s="1164">
        <f>SUM(AK144:AK147)</f>
        <v>306.72673634969561</v>
      </c>
      <c r="AL148" s="598"/>
      <c r="AM148" s="1176">
        <f>(AK148/AK141-1)*100</f>
        <v>1.3178906197077289</v>
      </c>
      <c r="AN148" s="1124"/>
      <c r="BB148" s="487"/>
      <c r="BD148" s="487"/>
      <c r="BE148" s="487"/>
      <c r="BF148" s="487"/>
      <c r="BG148" s="487"/>
      <c r="BH148" s="487"/>
    </row>
    <row r="149" spans="1:60">
      <c r="A149" s="598"/>
      <c r="B149" s="1157"/>
      <c r="C149" s="598"/>
      <c r="D149" s="1120"/>
      <c r="E149" s="598"/>
      <c r="F149" s="1179"/>
      <c r="G149" s="598"/>
      <c r="H149" s="1120"/>
      <c r="I149" s="598"/>
      <c r="J149" s="598"/>
      <c r="K149" s="598"/>
      <c r="L149" s="1167"/>
      <c r="M149" s="598"/>
      <c r="N149" s="1120"/>
      <c r="O149" s="1124"/>
      <c r="P149" s="1159"/>
      <c r="Q149" s="1125"/>
      <c r="R149" s="598"/>
      <c r="S149" s="1182"/>
      <c r="T149" s="598"/>
      <c r="U149" s="1161"/>
      <c r="V149" s="598"/>
      <c r="W149" s="1176"/>
      <c r="X149" s="1124"/>
      <c r="Y149" s="598"/>
      <c r="Z149" s="598"/>
      <c r="AA149" s="598"/>
      <c r="AB149" s="1163"/>
      <c r="AC149" s="598"/>
      <c r="AD149" s="1120"/>
      <c r="AE149" s="1124"/>
      <c r="AF149" s="1159"/>
      <c r="AG149" s="1125"/>
      <c r="AH149" s="598"/>
      <c r="AI149" s="1160"/>
      <c r="AJ149" s="598"/>
      <c r="AK149" s="1164"/>
      <c r="AL149" s="598"/>
      <c r="AM149" s="1176"/>
      <c r="AN149" s="1124"/>
      <c r="BB149" s="487"/>
      <c r="BD149" s="487"/>
      <c r="BE149" s="487"/>
      <c r="BF149" s="487"/>
      <c r="BG149" s="487"/>
      <c r="BH149" s="487"/>
    </row>
    <row r="150" spans="1:60">
      <c r="A150" s="1154"/>
      <c r="B150" s="1118">
        <f>+B143+1</f>
        <v>2015</v>
      </c>
      <c r="C150" s="598"/>
      <c r="D150" s="598"/>
      <c r="E150" s="1124"/>
      <c r="F150" s="598"/>
      <c r="G150" s="1124"/>
      <c r="H150" s="598"/>
      <c r="I150" s="1124"/>
      <c r="J150" s="1167"/>
      <c r="K150" s="598"/>
      <c r="L150" s="1167"/>
      <c r="M150" s="598"/>
      <c r="N150" s="598"/>
      <c r="O150" s="1124"/>
      <c r="P150" s="1125"/>
      <c r="Q150" s="1125"/>
      <c r="R150" s="598"/>
      <c r="S150" s="1165"/>
      <c r="T150" s="598"/>
      <c r="U150" s="598"/>
      <c r="V150" s="598"/>
      <c r="W150" s="598"/>
      <c r="X150" s="1124"/>
      <c r="Y150" s="598"/>
      <c r="Z150" s="598"/>
      <c r="AA150" s="598"/>
      <c r="AB150" s="598"/>
      <c r="AC150" s="598"/>
      <c r="AD150" s="598"/>
      <c r="AE150" s="1124"/>
      <c r="AF150" s="1125"/>
      <c r="AG150" s="1125"/>
      <c r="AH150" s="598"/>
      <c r="AI150" s="598"/>
      <c r="AJ150" s="598"/>
      <c r="AK150" s="598"/>
      <c r="AL150" s="598"/>
      <c r="AM150" s="598"/>
      <c r="AN150" s="1124"/>
      <c r="BB150" s="487"/>
      <c r="BD150" s="487"/>
      <c r="BE150" s="487"/>
      <c r="BF150" s="487"/>
      <c r="BG150" s="487"/>
      <c r="BH150" s="487"/>
    </row>
    <row r="151" spans="1:60">
      <c r="A151" s="598" t="s">
        <v>527</v>
      </c>
      <c r="B151" s="1157" t="s">
        <v>514</v>
      </c>
      <c r="C151" s="598"/>
      <c r="D151" s="1120">
        <f>(S151/S144-1)*100</f>
        <v>6.1551376643985245</v>
      </c>
      <c r="E151" s="1124" t="s">
        <v>190</v>
      </c>
      <c r="F151" s="1179">
        <f>'SegP&amp;L'!F186</f>
        <v>3</v>
      </c>
      <c r="G151" s="1124" t="s">
        <v>190</v>
      </c>
      <c r="H151" s="1120">
        <f>D151-F151</f>
        <v>3.1551376643985245</v>
      </c>
      <c r="I151" s="598"/>
      <c r="J151" s="1167">
        <f>+Stores!D208</f>
        <v>2113</v>
      </c>
      <c r="K151" s="1127"/>
      <c r="L151" s="1167">
        <f>AVERAGE(J151,J147)</f>
        <v>2103.5</v>
      </c>
      <c r="M151" s="598"/>
      <c r="N151" s="1120">
        <f>(L151/L144-1)*100</f>
        <v>3.7996545768566481</v>
      </c>
      <c r="O151" s="1124"/>
      <c r="P151" s="1159">
        <f>H151/N151*100</f>
        <v>83.037486713033928</v>
      </c>
      <c r="Q151" s="1125" t="s">
        <v>190</v>
      </c>
      <c r="R151" s="598"/>
      <c r="S151" s="1160">
        <f>'SegP&amp;L'!D186</f>
        <v>4495.41</v>
      </c>
      <c r="T151" s="1127"/>
      <c r="U151" s="1166">
        <f>S151/L151</f>
        <v>2.1371095792726407</v>
      </c>
      <c r="V151" s="598"/>
      <c r="W151" s="1176">
        <f>(U151/U144-1)*100</f>
        <v>2.2692590810095448</v>
      </c>
      <c r="X151" s="1124"/>
      <c r="Y151" s="598"/>
      <c r="Z151" s="1129">
        <f>+Stores!G208</f>
        <v>62.4</v>
      </c>
      <c r="AA151" s="1127"/>
      <c r="AB151" s="1163">
        <f>AVERAGE(Z151,Z147)</f>
        <v>62.099999999999994</v>
      </c>
      <c r="AC151" s="598"/>
      <c r="AD151" s="1120">
        <f>(AB151/AB144-1)*100</f>
        <v>3.1561461794019863</v>
      </c>
      <c r="AE151" s="1124"/>
      <c r="AF151" s="1159">
        <f>+H151/AD151*100</f>
        <v>99.968045998311368</v>
      </c>
      <c r="AG151" s="1125"/>
      <c r="AH151" s="598"/>
      <c r="AI151" s="1165">
        <f>+S151</f>
        <v>4495.41</v>
      </c>
      <c r="AJ151" s="598"/>
      <c r="AK151" s="1167">
        <f>AI151/AB151</f>
        <v>72.389855072463774</v>
      </c>
      <c r="AL151" s="598"/>
      <c r="AM151" s="1176">
        <f>(AK151/AK144-1)*100</f>
        <v>2.9072349017196686</v>
      </c>
      <c r="AN151" s="1124"/>
      <c r="AP151" s="1183">
        <f>F151+F144</f>
        <v>3</v>
      </c>
      <c r="BB151" s="487"/>
      <c r="BD151" s="487"/>
      <c r="BE151" s="487"/>
      <c r="BF151" s="487"/>
      <c r="BG151" s="487"/>
      <c r="BH151" s="487"/>
    </row>
    <row r="152" spans="1:60">
      <c r="A152" s="598" t="s">
        <v>528</v>
      </c>
      <c r="B152" s="1157" t="s">
        <v>515</v>
      </c>
      <c r="C152" s="598"/>
      <c r="D152" s="1120">
        <f>(S152/S145-1)*100</f>
        <v>6.9428898603834055</v>
      </c>
      <c r="E152" s="598"/>
      <c r="F152" s="1179">
        <f>'SegP&amp;L'!F187</f>
        <v>4</v>
      </c>
      <c r="G152" s="598"/>
      <c r="H152" s="1120">
        <f>D152-F152</f>
        <v>2.9428898603834055</v>
      </c>
      <c r="I152" s="598"/>
      <c r="J152" s="1167">
        <f>+Stores!D209</f>
        <v>2120</v>
      </c>
      <c r="K152" s="1127"/>
      <c r="L152" s="1167">
        <f>AVERAGE(J152,J151)</f>
        <v>2116.5</v>
      </c>
      <c r="M152" s="598"/>
      <c r="N152" s="1120">
        <f>(L152/L145-1)*100</f>
        <v>3.4457478005865072</v>
      </c>
      <c r="O152" s="1124"/>
      <c r="P152" s="1159">
        <f>H152/N152*100</f>
        <v>85.406420628999342</v>
      </c>
      <c r="Q152" s="1125"/>
      <c r="R152" s="598"/>
      <c r="S152" s="1165">
        <f>'SegP&amp;L'!D187</f>
        <v>4805.8829999999998</v>
      </c>
      <c r="T152" s="1127"/>
      <c r="U152" s="1166">
        <f>S152/L152</f>
        <v>2.2706746987951805</v>
      </c>
      <c r="V152" s="598"/>
      <c r="W152" s="1176">
        <f>(U152/U145-1)*100</f>
        <v>3.3806532739637962</v>
      </c>
      <c r="X152" s="1124"/>
      <c r="Y152" s="598"/>
      <c r="Z152" s="1129">
        <f>+Stores!G209</f>
        <v>62.4</v>
      </c>
      <c r="AA152" s="1127"/>
      <c r="AB152" s="1163">
        <f>AVERAGE(Z152,Z151)</f>
        <v>62.4</v>
      </c>
      <c r="AC152" s="598"/>
      <c r="AD152" s="1120">
        <f>(AB152/AB145-1)*100</f>
        <v>3.140495867768589</v>
      </c>
      <c r="AE152" s="1124"/>
      <c r="AF152" s="1159">
        <f>+H152/AD152*100</f>
        <v>93.707808712208617</v>
      </c>
      <c r="AG152" s="1125"/>
      <c r="AH152" s="598"/>
      <c r="AI152" s="1165">
        <f>+S152</f>
        <v>4805.8829999999998</v>
      </c>
      <c r="AJ152" s="598"/>
      <c r="AK152" s="1167">
        <f>AI152/AB152</f>
        <v>77.017355769230761</v>
      </c>
      <c r="AL152" s="598"/>
      <c r="AM152" s="1176">
        <f>(AK152/AK145-1)*100</f>
        <v>3.6866159704037615</v>
      </c>
      <c r="AN152" s="1124"/>
      <c r="AP152" s="1183">
        <f>F152+F145</f>
        <v>6</v>
      </c>
      <c r="BB152" s="487"/>
      <c r="BD152" s="487"/>
      <c r="BE152" s="487"/>
      <c r="BF152" s="487"/>
      <c r="BG152" s="487"/>
      <c r="BH152" s="487"/>
    </row>
    <row r="153" spans="1:60">
      <c r="A153" s="598" t="s">
        <v>529</v>
      </c>
      <c r="B153" s="1157" t="s">
        <v>516</v>
      </c>
      <c r="C153" s="598"/>
      <c r="D153" s="1120">
        <f>(S153/S146-1)*100</f>
        <v>5.4087345449597146</v>
      </c>
      <c r="E153" s="598"/>
      <c r="F153" s="1179">
        <f>'SegP&amp;L'!F188</f>
        <v>3</v>
      </c>
      <c r="G153" s="598"/>
      <c r="H153" s="1120">
        <f>D153-F153</f>
        <v>2.4087345449597146</v>
      </c>
      <c r="I153" s="598"/>
      <c r="J153" s="1167">
        <f>+Stores!D210</f>
        <v>2150</v>
      </c>
      <c r="K153" s="1127"/>
      <c r="L153" s="1167">
        <f>AVERAGE(J153,J152)</f>
        <v>2135</v>
      </c>
      <c r="M153" s="598"/>
      <c r="N153" s="1120">
        <f>(L153/L146-1)*100</f>
        <v>2.3489932885905951</v>
      </c>
      <c r="O153" s="1124"/>
      <c r="P153" s="1159">
        <f>H153/N153*100</f>
        <v>102.54327062828538</v>
      </c>
      <c r="Q153" s="1125"/>
      <c r="R153" s="598"/>
      <c r="S153" s="1165">
        <f>'SegP&amp;L'!D188</f>
        <v>4926.5069999999996</v>
      </c>
      <c r="T153" s="1127"/>
      <c r="U153" s="1166">
        <f>S153/L153</f>
        <v>2.3074974238875878</v>
      </c>
      <c r="V153" s="598"/>
      <c r="W153" s="1176">
        <f>(U153/U146-1)*100</f>
        <v>2.9895176865508022</v>
      </c>
      <c r="X153" s="1124"/>
      <c r="Y153" s="598"/>
      <c r="Z153" s="1129">
        <f>+Stores!G210</f>
        <v>63.099999999999994</v>
      </c>
      <c r="AA153" s="1127"/>
      <c r="AB153" s="1163">
        <f>AVERAGE(Z153,Z152)</f>
        <v>62.75</v>
      </c>
      <c r="AC153" s="598"/>
      <c r="AD153" s="1120">
        <f>(AB153/AB146-1)*100</f>
        <v>2.6165167620604945</v>
      </c>
      <c r="AE153" s="1124"/>
      <c r="AF153" s="1159">
        <f>+H153/AD153*100</f>
        <v>92.058823390179541</v>
      </c>
      <c r="AG153" s="1125"/>
      <c r="AH153" s="598"/>
      <c r="AI153" s="1165">
        <f>+S153</f>
        <v>4926.5069999999996</v>
      </c>
      <c r="AJ153" s="598"/>
      <c r="AK153" s="1167">
        <f>AI153/AB153</f>
        <v>78.510071713147397</v>
      </c>
      <c r="AL153" s="598"/>
      <c r="AM153" s="1176">
        <f>(AK153/AK146-1)*100</f>
        <v>2.7210217916220802</v>
      </c>
      <c r="AN153" s="1124"/>
      <c r="AP153" s="1183">
        <f>F153+F146</f>
        <v>4</v>
      </c>
      <c r="BB153" s="487"/>
      <c r="BD153" s="487"/>
      <c r="BE153" s="487"/>
      <c r="BF153" s="487"/>
      <c r="BG153" s="487"/>
      <c r="BH153" s="701"/>
    </row>
    <row r="154" spans="1:60" ht="15">
      <c r="A154" s="598" t="s">
        <v>530</v>
      </c>
      <c r="B154" s="1157" t="s">
        <v>517</v>
      </c>
      <c r="C154" s="598"/>
      <c r="D154" s="1168">
        <f>(S154/S147-1)*100</f>
        <v>8.2184449489216771</v>
      </c>
      <c r="E154" s="598"/>
      <c r="F154" s="1178">
        <f>'SegP&amp;L'!F189</f>
        <v>6</v>
      </c>
      <c r="G154" s="598"/>
      <c r="H154" s="1168">
        <f>D154-F154</f>
        <v>2.2184449489216771</v>
      </c>
      <c r="I154" s="598"/>
      <c r="J154" s="1167">
        <f>+Stores!D211</f>
        <v>2163</v>
      </c>
      <c r="K154" s="1127"/>
      <c r="L154" s="1175">
        <f>AVERAGE(J154,J153)</f>
        <v>2156.5</v>
      </c>
      <c r="M154" s="598"/>
      <c r="N154" s="1168">
        <f>(L154/L147-1)*100</f>
        <v>3.1818181818181746</v>
      </c>
      <c r="O154" s="1124"/>
      <c r="P154" s="1159">
        <f>H154/N154*100</f>
        <v>69.722555537538582</v>
      </c>
      <c r="Q154" s="1125"/>
      <c r="R154" s="598"/>
      <c r="S154" s="1185">
        <f>'SegP&amp;L'!D189</f>
        <v>5720.4269999999997</v>
      </c>
      <c r="T154" s="1127"/>
      <c r="U154" s="1173">
        <f>S154/L154</f>
        <v>2.652644099234871</v>
      </c>
      <c r="V154" s="598"/>
      <c r="W154" s="1169">
        <f>(U154/U147-1)*100</f>
        <v>4.8813122852985336</v>
      </c>
      <c r="X154" s="1124"/>
      <c r="Y154" s="598"/>
      <c r="Z154" s="1129">
        <f>+Stores!G211</f>
        <v>63.3</v>
      </c>
      <c r="AA154" s="1127"/>
      <c r="AB154" s="1174">
        <f>AVERAGE(Z154,Z153)</f>
        <v>63.199999999999996</v>
      </c>
      <c r="AC154" s="598"/>
      <c r="AD154" s="1168">
        <f>(AB154/AB147-1)*100</f>
        <v>2.4311183144246185</v>
      </c>
      <c r="AE154" s="1124"/>
      <c r="AF154" s="1171">
        <f>+H154/AD154*100</f>
        <v>91.252035565645613</v>
      </c>
      <c r="AG154" s="1125"/>
      <c r="AH154" s="598"/>
      <c r="AI154" s="1172">
        <f>+S154</f>
        <v>5720.4269999999997</v>
      </c>
      <c r="AJ154" s="598"/>
      <c r="AK154" s="1175">
        <f>AI154/AB154</f>
        <v>90.51308544303798</v>
      </c>
      <c r="AL154" s="598"/>
      <c r="AM154" s="1169">
        <f>(AK154/AK147-1)*100</f>
        <v>5.6499691985517186</v>
      </c>
      <c r="AN154" s="1124"/>
      <c r="AP154" s="1183">
        <f>F154+F147</f>
        <v>9</v>
      </c>
      <c r="BB154" s="487"/>
      <c r="BD154" s="487"/>
      <c r="BE154" s="487"/>
      <c r="BF154" s="487"/>
      <c r="BG154" s="487"/>
      <c r="BH154" s="487"/>
    </row>
    <row r="155" spans="1:60">
      <c r="A155" s="598"/>
      <c r="B155" s="1157" t="s">
        <v>531</v>
      </c>
      <c r="C155" s="598"/>
      <c r="D155" s="1120">
        <f>(S155/S148-1)*100</f>
        <v>6.7415043734998292</v>
      </c>
      <c r="E155" s="598"/>
      <c r="F155" s="1179">
        <f>'SegP&amp;L'!F190</f>
        <v>4</v>
      </c>
      <c r="G155" s="598"/>
      <c r="H155" s="1120">
        <f>D155-F155</f>
        <v>2.7415043734998292</v>
      </c>
      <c r="I155" s="598"/>
      <c r="J155" s="598"/>
      <c r="K155" s="598"/>
      <c r="L155" s="1167">
        <f>AVERAGE(L151:L154)</f>
        <v>2127.875</v>
      </c>
      <c r="M155" s="598"/>
      <c r="N155" s="1120">
        <f>(L155/L148-1)*100</f>
        <v>3.1884585076074501</v>
      </c>
      <c r="O155" s="1124"/>
      <c r="P155" s="1159">
        <f>H155/N155*100</f>
        <v>85.982124809176028</v>
      </c>
      <c r="Q155" s="1125"/>
      <c r="R155" s="598"/>
      <c r="S155" s="1160">
        <f>SUM(S151:S154)</f>
        <v>19948.226999999999</v>
      </c>
      <c r="T155" s="598"/>
      <c r="U155" s="1161">
        <f>SUM(U151:U154)</f>
        <v>9.36792580119028</v>
      </c>
      <c r="V155" s="598"/>
      <c r="W155" s="1176">
        <f>(U155/U148-1)*100</f>
        <v>3.4465371890962659</v>
      </c>
      <c r="X155" s="1124"/>
      <c r="Y155" s="598"/>
      <c r="Z155" s="598"/>
      <c r="AA155" s="598"/>
      <c r="AB155" s="1163">
        <f>AVERAGE(AB151:AB154)</f>
        <v>62.612499999999997</v>
      </c>
      <c r="AC155" s="598"/>
      <c r="AD155" s="1120">
        <f>(AB155/AB148-1)*100</f>
        <v>2.833093820570709</v>
      </c>
      <c r="AE155" s="1124"/>
      <c r="AF155" s="1159">
        <f>+H155/AD155*100</f>
        <v>96.767157995056095</v>
      </c>
      <c r="AG155" s="1125"/>
      <c r="AH155" s="598"/>
      <c r="AI155" s="1160">
        <f>SUM(AI151:AI154)</f>
        <v>19948.226999999999</v>
      </c>
      <c r="AJ155" s="598"/>
      <c r="AK155" s="1164">
        <f>SUM(AK151:AK154)</f>
        <v>318.4303679978799</v>
      </c>
      <c r="AL155" s="598"/>
      <c r="AM155" s="1176">
        <f>(AK155/AK148-1)*100</f>
        <v>3.8156542163449103</v>
      </c>
      <c r="AN155" s="1124"/>
      <c r="BB155" s="487"/>
      <c r="BD155" s="487"/>
      <c r="BE155" s="487"/>
      <c r="BF155" s="487"/>
      <c r="BG155" s="487"/>
      <c r="BH155" s="487"/>
    </row>
    <row r="156" spans="1:60">
      <c r="A156" s="598"/>
      <c r="B156" s="1157"/>
      <c r="C156" s="598"/>
      <c r="D156" s="1120"/>
      <c r="E156" s="598"/>
      <c r="F156" s="1179"/>
      <c r="G156" s="598"/>
      <c r="H156" s="1120"/>
      <c r="I156" s="598"/>
      <c r="J156" s="598"/>
      <c r="K156" s="598"/>
      <c r="L156" s="1167"/>
      <c r="M156" s="598"/>
      <c r="N156" s="1120"/>
      <c r="O156" s="1124"/>
      <c r="P156" s="1159"/>
      <c r="Q156" s="1125"/>
      <c r="R156" s="598"/>
      <c r="S156" s="1160"/>
      <c r="T156" s="598"/>
      <c r="U156" s="1161"/>
      <c r="V156" s="598"/>
      <c r="W156" s="1176"/>
      <c r="X156" s="1124"/>
      <c r="Y156" s="598"/>
      <c r="Z156" s="598"/>
      <c r="AA156" s="598"/>
      <c r="AB156" s="1163"/>
      <c r="AC156" s="598"/>
      <c r="AD156" s="1120"/>
      <c r="AE156" s="1124"/>
      <c r="AF156" s="1159"/>
      <c r="AG156" s="1125"/>
      <c r="AH156" s="598"/>
      <c r="AI156" s="1160"/>
      <c r="AJ156" s="598"/>
      <c r="AK156" s="1164"/>
      <c r="AL156" s="598"/>
      <c r="AM156" s="1176"/>
      <c r="AN156" s="1124"/>
      <c r="BB156" s="487"/>
      <c r="BD156" s="487"/>
      <c r="BE156" s="487"/>
      <c r="BF156" s="487"/>
      <c r="BG156" s="487"/>
      <c r="BH156" s="487"/>
    </row>
    <row r="157" spans="1:60">
      <c r="A157" s="1154"/>
      <c r="B157" s="1118">
        <f>+B150+1</f>
        <v>2016</v>
      </c>
      <c r="C157" s="598"/>
      <c r="D157" s="598"/>
      <c r="E157" s="1124"/>
      <c r="F157" s="598"/>
      <c r="G157" s="1124"/>
      <c r="H157" s="598"/>
      <c r="I157" s="1124"/>
      <c r="J157" s="1167"/>
      <c r="K157" s="598"/>
      <c r="L157" s="1167"/>
      <c r="M157" s="598"/>
      <c r="N157" s="598"/>
      <c r="O157" s="1124"/>
      <c r="P157" s="1125"/>
      <c r="Q157" s="1125"/>
      <c r="R157" s="598"/>
      <c r="S157" s="1165"/>
      <c r="T157" s="598"/>
      <c r="U157" s="598"/>
      <c r="V157" s="598"/>
      <c r="W157" s="598"/>
      <c r="X157" s="1124"/>
      <c r="Y157" s="598"/>
      <c r="Z157" s="598"/>
      <c r="AA157" s="598"/>
      <c r="AB157" s="598"/>
      <c r="AC157" s="598"/>
      <c r="AD157" s="598"/>
      <c r="AE157" s="1124"/>
      <c r="AF157" s="1125"/>
      <c r="AG157" s="1125"/>
      <c r="AH157" s="598"/>
      <c r="AI157" s="598"/>
      <c r="AJ157" s="598"/>
      <c r="AK157" s="598"/>
      <c r="AL157" s="598"/>
      <c r="AM157" s="598"/>
      <c r="AN157" s="1124"/>
      <c r="BB157" s="487"/>
      <c r="BD157" s="487"/>
      <c r="BE157" s="487"/>
      <c r="BF157" s="487"/>
      <c r="BG157" s="487"/>
      <c r="BH157" s="487"/>
    </row>
    <row r="158" spans="1:60">
      <c r="A158" s="598" t="s">
        <v>527</v>
      </c>
      <c r="B158" s="1157" t="s">
        <v>514</v>
      </c>
      <c r="C158" s="598"/>
      <c r="D158" s="1120">
        <f>(S158/S151-1)*100</f>
        <v>8.2298388801021574</v>
      </c>
      <c r="E158" s="1124" t="s">
        <v>190</v>
      </c>
      <c r="F158" s="1179">
        <f>'SegP&amp;L'!$F193</f>
        <v>6</v>
      </c>
      <c r="G158" s="1124" t="s">
        <v>190</v>
      </c>
      <c r="H158" s="1120">
        <f>D158-F158</f>
        <v>2.2298388801021574</v>
      </c>
      <c r="I158" s="598"/>
      <c r="J158" s="1167">
        <f>+Stores!D215</f>
        <v>2173</v>
      </c>
      <c r="K158" s="1127"/>
      <c r="L158" s="1167">
        <f>AVERAGE(J158,J154)</f>
        <v>2168</v>
      </c>
      <c r="M158" s="598"/>
      <c r="N158" s="1120">
        <f>(L158/L151-1)*100</f>
        <v>3.0663180413596391</v>
      </c>
      <c r="O158" s="1124"/>
      <c r="P158" s="1159">
        <f>H158/N158*100</f>
        <v>72.720404407672675</v>
      </c>
      <c r="Q158" s="1125" t="s">
        <v>190</v>
      </c>
      <c r="R158" s="598"/>
      <c r="S158" s="1160">
        <f>'SegP&amp;L'!$D193</f>
        <v>4865.375</v>
      </c>
      <c r="T158" s="1127"/>
      <c r="U158" s="1166">
        <f>S158/L158</f>
        <v>2.2441766605166054</v>
      </c>
      <c r="V158" s="598"/>
      <c r="W158" s="1176">
        <f>(U158/U151-1)*100</f>
        <v>5.0099013303943396</v>
      </c>
      <c r="X158" s="1124"/>
      <c r="Y158" s="598"/>
      <c r="Z158" s="1129">
        <f>+Stores!G215</f>
        <v>63.6</v>
      </c>
      <c r="AA158" s="1127"/>
      <c r="AB158" s="1163">
        <f>AVERAGE(Z158,Z154)</f>
        <v>63.45</v>
      </c>
      <c r="AC158" s="598"/>
      <c r="AD158" s="1120">
        <f>(AB158/AB151-1)*100</f>
        <v>2.1739130434782705</v>
      </c>
      <c r="AE158" s="1124"/>
      <c r="AF158" s="1159">
        <f>+H158/AD158*100</f>
        <v>102.57258848469878</v>
      </c>
      <c r="AG158" s="1125"/>
      <c r="AH158" s="598"/>
      <c r="AI158" s="1165">
        <f>+S158</f>
        <v>4865.375</v>
      </c>
      <c r="AJ158" s="598"/>
      <c r="AK158" s="1167">
        <f>AI158/AB158</f>
        <v>76.680457052797479</v>
      </c>
      <c r="AL158" s="598"/>
      <c r="AM158" s="1176">
        <f>(AK158/AK151-1)*100</f>
        <v>5.9270763507382584</v>
      </c>
      <c r="AN158" s="1124"/>
      <c r="AP158" s="1183">
        <f>F158+F151</f>
        <v>9</v>
      </c>
      <c r="BB158" s="487"/>
      <c r="BD158" s="487"/>
      <c r="BE158" s="487"/>
      <c r="BF158" s="487"/>
      <c r="BG158" s="487"/>
      <c r="BH158" s="487"/>
    </row>
    <row r="159" spans="1:60">
      <c r="A159" s="598" t="s">
        <v>528</v>
      </c>
      <c r="B159" s="1157" t="s">
        <v>515</v>
      </c>
      <c r="C159" s="598"/>
      <c r="D159" s="1120">
        <f>(S159/S152-1)*100</f>
        <v>6.099087306120432</v>
      </c>
      <c r="E159" s="598"/>
      <c r="F159" s="1179">
        <f>'SegP&amp;L'!$F194</f>
        <v>4</v>
      </c>
      <c r="G159" s="598"/>
      <c r="H159" s="1120">
        <f>D159-F159</f>
        <v>2.099087306120432</v>
      </c>
      <c r="I159" s="598"/>
      <c r="J159" s="1167">
        <f>+Stores!D216</f>
        <v>2178</v>
      </c>
      <c r="K159" s="1127"/>
      <c r="L159" s="1167">
        <f>AVERAGE(J159,J158)</f>
        <v>2175.5</v>
      </c>
      <c r="M159" s="598"/>
      <c r="N159" s="1120">
        <f>(L159/L152-1)*100</f>
        <v>2.7876210725253925</v>
      </c>
      <c r="O159" s="1124"/>
      <c r="P159" s="1159">
        <f>H159/N159*100</f>
        <v>75.300309888201696</v>
      </c>
      <c r="Q159" s="1125"/>
      <c r="R159" s="598"/>
      <c r="S159" s="1165">
        <f>'SegP&amp;L'!$D194</f>
        <v>5098.9979999999996</v>
      </c>
      <c r="T159" s="1127"/>
      <c r="U159" s="1166">
        <f>S159/L159</f>
        <v>2.3438280854975866</v>
      </c>
      <c r="V159" s="598"/>
      <c r="W159" s="1176">
        <f>(U159/U152-1)*100</f>
        <v>3.2216585995880953</v>
      </c>
      <c r="X159" s="1124"/>
      <c r="Y159" s="598"/>
      <c r="Z159" s="1129">
        <f>+Stores!G216</f>
        <v>63.6</v>
      </c>
      <c r="AA159" s="1127"/>
      <c r="AB159" s="1163">
        <f>AVERAGE(Z159,Z158)</f>
        <v>63.6</v>
      </c>
      <c r="AC159" s="598"/>
      <c r="AD159" s="1120">
        <f>(AB159/AB152-1)*100</f>
        <v>1.9230769230769384</v>
      </c>
      <c r="AE159" s="1124"/>
      <c r="AF159" s="1159">
        <f>+H159/AD159*100</f>
        <v>109.1525399182616</v>
      </c>
      <c r="AG159" s="1125"/>
      <c r="AH159" s="598"/>
      <c r="AI159" s="1165">
        <f>+S159</f>
        <v>5098.9979999999996</v>
      </c>
      <c r="AJ159" s="598"/>
      <c r="AK159" s="1167">
        <f>AI159/AB159</f>
        <v>80.172924528301877</v>
      </c>
      <c r="AL159" s="598"/>
      <c r="AM159" s="1176">
        <f>(AK159/AK152-1)*100</f>
        <v>4.0972177343068461</v>
      </c>
      <c r="AN159" s="1124"/>
      <c r="AP159" s="1183">
        <f>F159+F152</f>
        <v>8</v>
      </c>
      <c r="BB159" s="487"/>
      <c r="BD159" s="487"/>
      <c r="BE159" s="487"/>
      <c r="BF159" s="487"/>
      <c r="BG159" s="487"/>
      <c r="BH159" s="487"/>
    </row>
    <row r="160" spans="1:60">
      <c r="A160" s="598" t="s">
        <v>529</v>
      </c>
      <c r="B160" s="1157" t="s">
        <v>516</v>
      </c>
      <c r="C160" s="598"/>
      <c r="D160" s="1120">
        <f>(S160/S153-1)*100</f>
        <v>6.6235164184279105</v>
      </c>
      <c r="E160" s="598"/>
      <c r="F160" s="1179">
        <f>'SegP&amp;L'!$F195</f>
        <v>5</v>
      </c>
      <c r="G160" s="598"/>
      <c r="H160" s="1120">
        <f>D160-F160</f>
        <v>1.6235164184279105</v>
      </c>
      <c r="I160" s="598"/>
      <c r="J160" s="1167">
        <f>+Stores!D217</f>
        <v>2206</v>
      </c>
      <c r="K160" s="1127"/>
      <c r="L160" s="1167">
        <f>AVERAGE(J160,J159)</f>
        <v>2192</v>
      </c>
      <c r="M160" s="598"/>
      <c r="N160" s="1120">
        <f>(L160/L153-1)*100</f>
        <v>2.6697892271662749</v>
      </c>
      <c r="O160" s="1124"/>
      <c r="P160" s="1159">
        <f>H160/N160*100</f>
        <v>60.810658830589318</v>
      </c>
      <c r="Q160" s="1125"/>
      <c r="R160" s="598"/>
      <c r="S160" s="1165">
        <f>'SegP&amp;L'!$D195</f>
        <v>5252.8149999999996</v>
      </c>
      <c r="T160" s="1127"/>
      <c r="U160" s="1166">
        <f>S160/L160</f>
        <v>2.3963572080291971</v>
      </c>
      <c r="V160" s="598"/>
      <c r="W160" s="1176">
        <f>(U160/U153-1)*100</f>
        <v>3.8509158546275346</v>
      </c>
      <c r="X160" s="1124"/>
      <c r="Y160" s="598"/>
      <c r="Z160" s="1129">
        <f>+Stores!G217</f>
        <v>64.2</v>
      </c>
      <c r="AA160" s="1127"/>
      <c r="AB160" s="1163">
        <f>AVERAGE(Z160,Z159)</f>
        <v>63.900000000000006</v>
      </c>
      <c r="AC160" s="598"/>
      <c r="AD160" s="1120">
        <f>(AB160/AB153-1)*100</f>
        <v>1.8326693227091795</v>
      </c>
      <c r="AE160" s="1124"/>
      <c r="AF160" s="1159">
        <f>+H160/AD160*100</f>
        <v>88.587526309869986</v>
      </c>
      <c r="AG160" s="1125"/>
      <c r="AH160" s="598"/>
      <c r="AI160" s="1165">
        <f>+S160</f>
        <v>5252.8149999999996</v>
      </c>
      <c r="AJ160" s="598"/>
      <c r="AK160" s="1167">
        <f>AI160/AB160</f>
        <v>82.203677621283248</v>
      </c>
      <c r="AL160" s="598"/>
      <c r="AM160" s="1176">
        <f>(AK160/AK153-1)*100</f>
        <v>4.7046268428224014</v>
      </c>
      <c r="AN160" s="1124"/>
      <c r="AP160" s="1183">
        <f>F160+F153</f>
        <v>8</v>
      </c>
      <c r="BB160" s="487"/>
      <c r="BD160" s="487"/>
      <c r="BE160" s="487"/>
      <c r="BF160" s="487"/>
      <c r="BG160" s="487"/>
      <c r="BH160" s="701"/>
    </row>
    <row r="161" spans="1:60" ht="15">
      <c r="A161" s="598" t="s">
        <v>530</v>
      </c>
      <c r="B161" s="1157" t="s">
        <v>517</v>
      </c>
      <c r="C161" s="598"/>
      <c r="D161" s="1168">
        <f>(S161/S154-1)*100</f>
        <v>5.3915380792377787</v>
      </c>
      <c r="E161" s="598"/>
      <c r="F161" s="1178">
        <f>'SegP&amp;L'!$F196</f>
        <v>3</v>
      </c>
      <c r="G161" s="598"/>
      <c r="H161" s="1168">
        <f>D161-F161</f>
        <v>2.3915380792377787</v>
      </c>
      <c r="I161" s="598"/>
      <c r="J161" s="1167">
        <f>+Stores!D218</f>
        <v>2221</v>
      </c>
      <c r="K161" s="1127"/>
      <c r="L161" s="1175">
        <f>AVERAGE(J161,J160)</f>
        <v>2213.5</v>
      </c>
      <c r="M161" s="598"/>
      <c r="N161" s="1168">
        <f>(L161/L154-1)*100</f>
        <v>2.6431718061673992</v>
      </c>
      <c r="O161" s="1124"/>
      <c r="P161" s="1171">
        <f>H161/N161*100</f>
        <v>90.479857331162677</v>
      </c>
      <c r="Q161" s="1125"/>
      <c r="R161" s="598"/>
      <c r="S161" s="1185">
        <f>'SegP&amp;L'!$D196</f>
        <v>6028.8459999999995</v>
      </c>
      <c r="T161" s="1127"/>
      <c r="U161" s="1173">
        <f>S161/L161</f>
        <v>2.72367110910323</v>
      </c>
      <c r="V161" s="598"/>
      <c r="W161" s="1169">
        <f>(U161/U154-1)*100</f>
        <v>2.6775928926479731</v>
      </c>
      <c r="X161" s="1124"/>
      <c r="Y161" s="598"/>
      <c r="Z161" s="1129">
        <f>+Stores!G218</f>
        <v>64.5</v>
      </c>
      <c r="AA161" s="1127"/>
      <c r="AB161" s="1174">
        <f>AVERAGE(Z161,Z160)</f>
        <v>64.349999999999994</v>
      </c>
      <c r="AC161" s="598"/>
      <c r="AD161" s="1168">
        <f>(AB161/AB154-1)*100</f>
        <v>1.8196202531645556</v>
      </c>
      <c r="AE161" s="1124"/>
      <c r="AF161" s="1171">
        <f>+H161/AD161*100</f>
        <v>131.43061444158931</v>
      </c>
      <c r="AG161" s="1125"/>
      <c r="AH161" s="598"/>
      <c r="AI161" s="1172">
        <f>+S161</f>
        <v>6028.8459999999995</v>
      </c>
      <c r="AJ161" s="598"/>
      <c r="AK161" s="1175">
        <f>AI161/AB161</f>
        <v>93.688360528360533</v>
      </c>
      <c r="AL161" s="598"/>
      <c r="AM161" s="1169">
        <f>(AK161/AK154-1)*100</f>
        <v>3.5080840187696749</v>
      </c>
      <c r="AN161" s="1124"/>
      <c r="AP161" s="1183">
        <f>F161+F154</f>
        <v>9</v>
      </c>
      <c r="BB161" s="487"/>
      <c r="BD161" s="487"/>
      <c r="BE161" s="487"/>
      <c r="BF161" s="487"/>
      <c r="BG161" s="487"/>
      <c r="BH161" s="487"/>
    </row>
    <row r="162" spans="1:60">
      <c r="A162" s="598"/>
      <c r="B162" s="1157" t="s">
        <v>531</v>
      </c>
      <c r="C162" s="598"/>
      <c r="D162" s="1120">
        <f>(S162/S155-1)*100</f>
        <v>6.505876437038749</v>
      </c>
      <c r="E162" s="598"/>
      <c r="F162" s="1184">
        <f>'SegP&amp;L'!$F197</f>
        <v>5</v>
      </c>
      <c r="G162" s="598"/>
      <c r="H162" s="1120">
        <f>D162-F162</f>
        <v>1.505876437038749</v>
      </c>
      <c r="I162" s="598"/>
      <c r="J162" s="598"/>
      <c r="K162" s="598"/>
      <c r="L162" s="1167">
        <f>AVERAGE(L158:L161)</f>
        <v>2187.25</v>
      </c>
      <c r="M162" s="598"/>
      <c r="N162" s="1120">
        <f>(L162/L155-1)*100</f>
        <v>2.7903424778241259</v>
      </c>
      <c r="O162" s="1124"/>
      <c r="P162" s="1159">
        <f>H162/N162*100</f>
        <v>53.967441237285421</v>
      </c>
      <c r="Q162" s="1125"/>
      <c r="R162" s="598"/>
      <c r="S162" s="1160">
        <f>SUM(S158:S161)</f>
        <v>21246.034</v>
      </c>
      <c r="T162" s="598"/>
      <c r="U162" s="1161">
        <f>SUM(U158:U161)</f>
        <v>9.708033063146619</v>
      </c>
      <c r="V162" s="598"/>
      <c r="W162" s="1176">
        <f>(U162/U155-1)*100</f>
        <v>3.6305503392557226</v>
      </c>
      <c r="X162" s="1124"/>
      <c r="Y162" s="598"/>
      <c r="Z162" s="598"/>
      <c r="AA162" s="598"/>
      <c r="AB162" s="1163">
        <f>AVERAGE(AB158:AB161)</f>
        <v>63.825000000000003</v>
      </c>
      <c r="AC162" s="598"/>
      <c r="AD162" s="1120">
        <f>(AB162/AB155-1)*100</f>
        <v>1.9365142743062558</v>
      </c>
      <c r="AE162" s="1124"/>
      <c r="AF162" s="1159">
        <f>+H162/AD162*100</f>
        <v>77.76221724873264</v>
      </c>
      <c r="AG162" s="1125"/>
      <c r="AH162" s="598"/>
      <c r="AI162" s="1160">
        <f>SUM(AI158:AI161)</f>
        <v>21246.034</v>
      </c>
      <c r="AJ162" s="598"/>
      <c r="AK162" s="1164">
        <f>SUM(AK158:AK161)</f>
        <v>332.74541973074315</v>
      </c>
      <c r="AL162" s="598"/>
      <c r="AM162" s="1176">
        <f>(AK162/AK155-1)*100</f>
        <v>4.4955045659962112</v>
      </c>
      <c r="AN162" s="1124"/>
      <c r="BB162" s="487"/>
      <c r="BD162" s="487"/>
      <c r="BE162" s="487"/>
      <c r="BF162" s="487"/>
      <c r="BG162" s="487"/>
      <c r="BH162" s="487"/>
    </row>
    <row r="163" spans="1:60">
      <c r="A163" s="598"/>
      <c r="B163" s="1157"/>
      <c r="C163" s="598"/>
      <c r="D163" s="1120"/>
      <c r="E163" s="598"/>
      <c r="F163" s="1179"/>
      <c r="G163" s="598"/>
      <c r="H163" s="1120"/>
      <c r="I163" s="598"/>
      <c r="J163" s="598"/>
      <c r="K163" s="598"/>
      <c r="L163" s="1167"/>
      <c r="M163" s="598"/>
      <c r="N163" s="1120"/>
      <c r="O163" s="1124"/>
      <c r="P163" s="1159"/>
      <c r="Q163" s="1125"/>
      <c r="R163" s="598"/>
      <c r="S163" s="1160"/>
      <c r="T163" s="598"/>
      <c r="U163" s="1161"/>
      <c r="V163" s="598"/>
      <c r="W163" s="1176"/>
      <c r="X163" s="1124"/>
      <c r="Y163" s="598"/>
      <c r="Z163" s="598"/>
      <c r="AA163" s="598"/>
      <c r="AB163" s="1163"/>
      <c r="AC163" s="598"/>
      <c r="AD163" s="1120"/>
      <c r="AE163" s="1124"/>
      <c r="AF163" s="1159"/>
      <c r="AG163" s="1125"/>
      <c r="AH163" s="598"/>
      <c r="AI163" s="1160"/>
      <c r="AJ163" s="598"/>
      <c r="AK163" s="1164"/>
      <c r="AL163" s="598"/>
      <c r="AM163" s="1176"/>
      <c r="AN163" s="1124"/>
      <c r="BB163" s="487"/>
      <c r="BD163" s="487"/>
      <c r="BE163" s="487"/>
      <c r="BF163" s="487"/>
      <c r="BG163" s="487"/>
      <c r="BH163" s="487"/>
    </row>
    <row r="164" spans="1:60">
      <c r="A164" s="1154"/>
      <c r="B164" s="1118">
        <f>+B157+1</f>
        <v>2017</v>
      </c>
      <c r="C164" s="598"/>
      <c r="D164" s="598"/>
      <c r="E164" s="1124"/>
      <c r="F164" s="598"/>
      <c r="G164" s="1124"/>
      <c r="H164" s="598"/>
      <c r="I164" s="1124"/>
      <c r="J164" s="1167"/>
      <c r="K164" s="598"/>
      <c r="L164" s="1167"/>
      <c r="M164" s="598"/>
      <c r="N164" s="598"/>
      <c r="O164" s="1124"/>
      <c r="P164" s="1125"/>
      <c r="Q164" s="1125"/>
      <c r="R164" s="598"/>
      <c r="S164" s="1165"/>
      <c r="T164" s="598"/>
      <c r="U164" s="598"/>
      <c r="V164" s="598"/>
      <c r="W164" s="598"/>
      <c r="X164" s="1124"/>
      <c r="Y164" s="598"/>
      <c r="Z164" s="598"/>
      <c r="AA164" s="598"/>
      <c r="AB164" s="598"/>
      <c r="AC164" s="598"/>
      <c r="AD164" s="598"/>
      <c r="AE164" s="1124"/>
      <c r="AF164" s="1125"/>
      <c r="AG164" s="1125"/>
      <c r="AH164" s="598"/>
      <c r="AI164" s="598"/>
      <c r="AJ164" s="598"/>
      <c r="AK164" s="598"/>
      <c r="AL164" s="598"/>
      <c r="AM164" s="598"/>
      <c r="AN164" s="1124"/>
      <c r="BB164" s="487"/>
      <c r="BD164" s="487"/>
      <c r="BE164" s="487"/>
      <c r="BF164" s="487"/>
      <c r="BG164" s="487"/>
      <c r="BH164" s="487"/>
    </row>
    <row r="165" spans="1:60">
      <c r="A165" s="598" t="s">
        <v>527</v>
      </c>
      <c r="B165" s="1157" t="s">
        <v>514</v>
      </c>
      <c r="C165" s="598"/>
      <c r="D165" s="1120">
        <f>(S165/S158-1)*100</f>
        <v>2.0915140148498379</v>
      </c>
      <c r="E165" s="1124" t="s">
        <v>190</v>
      </c>
      <c r="F165" s="1179">
        <f>'SegP&amp;L'!$F200</f>
        <v>0</v>
      </c>
      <c r="G165" s="1124" t="s">
        <v>190</v>
      </c>
      <c r="H165" s="1120">
        <f>D165-F165</f>
        <v>2.0915140148498379</v>
      </c>
      <c r="I165" s="598"/>
      <c r="J165" s="1167">
        <f>+Stores!D222</f>
        <v>2230</v>
      </c>
      <c r="K165" s="1127"/>
      <c r="L165" s="1167">
        <f>AVERAGE(J165,J161)</f>
        <v>2225.5</v>
      </c>
      <c r="M165" s="598"/>
      <c r="N165" s="1120">
        <f>(L165/L158-1)*100</f>
        <v>2.6522140221402202</v>
      </c>
      <c r="O165" s="1124"/>
      <c r="P165" s="1159">
        <f>H165/N165*100</f>
        <v>78.859171899033925</v>
      </c>
      <c r="Q165" s="1125" t="s">
        <v>190</v>
      </c>
      <c r="R165" s="598"/>
      <c r="S165" s="1160">
        <f>'SegP&amp;L'!$D200</f>
        <v>4967.1350000000002</v>
      </c>
      <c r="T165" s="1127"/>
      <c r="U165" s="1166">
        <f>S165/L165</f>
        <v>2.2319186699618063</v>
      </c>
      <c r="V165" s="598"/>
      <c r="W165" s="1176">
        <f>(U165/U158-1)*100</f>
        <v>-0.54621326255025471</v>
      </c>
      <c r="X165" s="1124"/>
      <c r="Y165" s="598"/>
      <c r="Z165" s="1129">
        <f>+Stores!G222</f>
        <v>64.5</v>
      </c>
      <c r="AA165" s="1127"/>
      <c r="AB165" s="1163">
        <f>AVERAGE(Z165,Z161)</f>
        <v>64.5</v>
      </c>
      <c r="AC165" s="598"/>
      <c r="AD165" s="1120">
        <f>(AB165/AB158-1)*100</f>
        <v>1.6548463356973908</v>
      </c>
      <c r="AE165" s="1124"/>
      <c r="AF165" s="1159">
        <f>+H165/AD165*100</f>
        <v>126.38720404021231</v>
      </c>
      <c r="AG165" s="1125"/>
      <c r="AH165" s="598"/>
      <c r="AI165" s="1165">
        <f>+S165</f>
        <v>4967.1350000000002</v>
      </c>
      <c r="AJ165" s="598"/>
      <c r="AK165" s="1167">
        <f>AI165/AB165</f>
        <v>77.009844961240319</v>
      </c>
      <c r="AL165" s="598"/>
      <c r="AM165" s="1176">
        <f>(AK165/AK158-1)*100</f>
        <v>0.42955913553832659</v>
      </c>
      <c r="AN165" s="1124"/>
      <c r="AP165" s="1183">
        <f>F165+F158</f>
        <v>6</v>
      </c>
      <c r="BB165" s="487"/>
      <c r="BD165" s="487"/>
      <c r="BE165" s="487"/>
      <c r="BF165" s="487"/>
      <c r="BG165" s="487"/>
      <c r="BH165" s="487"/>
    </row>
    <row r="166" spans="1:60" ht="15">
      <c r="A166" s="598" t="s">
        <v>528</v>
      </c>
      <c r="B166" s="1157" t="s">
        <v>515</v>
      </c>
      <c r="C166" s="598"/>
      <c r="D166" s="1120">
        <f>(S166/S159-1)*100</f>
        <v>3.6407349051715832</v>
      </c>
      <c r="E166" s="598"/>
      <c r="F166" s="1179">
        <f>'SegP&amp;L'!$F201</f>
        <v>2</v>
      </c>
      <c r="G166" s="598"/>
      <c r="H166" s="1120">
        <f>D166-F166</f>
        <v>1.6407349051715832</v>
      </c>
      <c r="I166" s="598"/>
      <c r="J166" s="1167">
        <f>+Stores!D223</f>
        <v>2237</v>
      </c>
      <c r="K166" s="1127"/>
      <c r="L166" s="1167">
        <f>AVERAGE(J166,J165)</f>
        <v>2233.5</v>
      </c>
      <c r="M166" s="598"/>
      <c r="N166" s="1120">
        <f>(L166/L159-1)*100</f>
        <v>2.6660537807400519</v>
      </c>
      <c r="O166" s="1124"/>
      <c r="P166" s="1159">
        <f>H166/N166*100</f>
        <v>61.541703210358442</v>
      </c>
      <c r="Q166" s="1125"/>
      <c r="R166" s="598"/>
      <c r="S166" s="2049">
        <f>'SegP&amp;L'!$D201</f>
        <v>5284.6390000000001</v>
      </c>
      <c r="T166" s="1127"/>
      <c r="U166" s="1166">
        <f>S166/L166</f>
        <v>2.3660796955451087</v>
      </c>
      <c r="V166" s="598"/>
      <c r="W166" s="1176">
        <f>(U166/U159-1)*100</f>
        <v>0.94937039901534792</v>
      </c>
      <c r="X166" s="1124"/>
      <c r="Y166" s="598"/>
      <c r="Z166" s="1129">
        <f>+Stores!G223</f>
        <v>64.5</v>
      </c>
      <c r="AA166" s="1127"/>
      <c r="AB166" s="1163">
        <f>AVERAGE(Z166,Z165)</f>
        <v>64.5</v>
      </c>
      <c r="AC166" s="598"/>
      <c r="AD166" s="1120">
        <f>(AB166/AB159-1)*100</f>
        <v>1.4150943396226356</v>
      </c>
      <c r="AE166" s="1124"/>
      <c r="AF166" s="1159">
        <f>+H166/AD166*100</f>
        <v>115.94526663212569</v>
      </c>
      <c r="AG166" s="1125"/>
      <c r="AH166" s="598"/>
      <c r="AI166" s="1165">
        <f>+S166</f>
        <v>5284.6390000000001</v>
      </c>
      <c r="AJ166" s="598"/>
      <c r="AK166" s="1167">
        <f>AI166/AB166</f>
        <v>81.932387596899233</v>
      </c>
      <c r="AL166" s="598"/>
      <c r="AM166" s="1176">
        <f>(AK166/AK159-1)*100</f>
        <v>2.1945851157971097</v>
      </c>
      <c r="AN166" s="1124"/>
      <c r="AP166" s="1183">
        <f>F166+F159</f>
        <v>6</v>
      </c>
      <c r="BB166" s="487"/>
      <c r="BD166" s="487"/>
      <c r="BE166" s="487"/>
      <c r="BF166" s="487"/>
      <c r="BG166" s="487"/>
      <c r="BH166" s="487"/>
    </row>
    <row r="167" spans="1:60" ht="15">
      <c r="A167" s="598" t="s">
        <v>529</v>
      </c>
      <c r="B167" s="1157" t="s">
        <v>516</v>
      </c>
      <c r="C167" s="598"/>
      <c r="D167" s="1120">
        <f>(S167/S160-1)*100</f>
        <v>0.86932435275182129</v>
      </c>
      <c r="E167" s="598"/>
      <c r="F167" s="1179">
        <f>'SegP&amp;L'!$F202</f>
        <v>-1</v>
      </c>
      <c r="G167" s="598"/>
      <c r="H167" s="1120">
        <f>D167-F167</f>
        <v>1.8693243527518213</v>
      </c>
      <c r="I167" s="598"/>
      <c r="J167" s="1167">
        <f>+Stores!D224</f>
        <v>2276</v>
      </c>
      <c r="K167" s="1127"/>
      <c r="L167" s="1167">
        <f>AVERAGE(J167,J166)</f>
        <v>2256.5</v>
      </c>
      <c r="M167" s="598"/>
      <c r="N167" s="1120">
        <f>(L167/L160-1)*100</f>
        <v>2.9425182481751744</v>
      </c>
      <c r="O167" s="1124"/>
      <c r="P167" s="1159">
        <f>H167/N167*100</f>
        <v>63.528046220651213</v>
      </c>
      <c r="Q167" s="1125"/>
      <c r="R167" s="598"/>
      <c r="S167" s="2049">
        <f>'SegP&amp;L'!$D202</f>
        <v>5298.4790000000003</v>
      </c>
      <c r="T167" s="1127"/>
      <c r="U167" s="1166">
        <f>S167/L167</f>
        <v>2.3480961666297366</v>
      </c>
      <c r="V167" s="598"/>
      <c r="W167" s="1176">
        <f>(U167/U160-1)*100</f>
        <v>-2.0139335336884501</v>
      </c>
      <c r="X167" s="1124"/>
      <c r="Y167" s="598"/>
      <c r="Z167" s="1129">
        <f>+Stores!G224</f>
        <v>65</v>
      </c>
      <c r="AA167" s="1127"/>
      <c r="AB167" s="1163">
        <f>AVERAGE(Z167,Z166)</f>
        <v>64.75</v>
      </c>
      <c r="AC167" s="598"/>
      <c r="AD167" s="1120">
        <f>(AB167/AB160-1)*100</f>
        <v>1.3302034428794851</v>
      </c>
      <c r="AE167" s="1124"/>
      <c r="AF167" s="1159">
        <f>+H167/AD167*100</f>
        <v>140.52920722452075</v>
      </c>
      <c r="AG167" s="1125"/>
      <c r="AH167" s="598"/>
      <c r="AI167" s="1165">
        <f>+S167</f>
        <v>5298.4790000000003</v>
      </c>
      <c r="AJ167" s="598"/>
      <c r="AK167" s="1167">
        <f>AI167/AB167</f>
        <v>81.829791505791505</v>
      </c>
      <c r="AL167" s="598"/>
      <c r="AM167" s="1176">
        <f>(AK167/AK160-1)*100</f>
        <v>-0.45482893990979045</v>
      </c>
      <c r="AN167" s="1124"/>
      <c r="AP167" s="1183">
        <f>F167+F160</f>
        <v>4</v>
      </c>
      <c r="BB167" s="487"/>
      <c r="BD167" s="487"/>
      <c r="BE167" s="487"/>
      <c r="BF167" s="487"/>
      <c r="BG167" s="487"/>
      <c r="BH167" s="701"/>
    </row>
    <row r="168" spans="1:60" ht="15">
      <c r="A168" s="598" t="s">
        <v>530</v>
      </c>
      <c r="B168" s="1157" t="s">
        <v>517</v>
      </c>
      <c r="C168" s="598"/>
      <c r="D168" s="1168">
        <f>(S168/S161-1)*100</f>
        <v>11.113337444678484</v>
      </c>
      <c r="E168" s="598"/>
      <c r="F168" s="1178">
        <f>'SegP&amp;L'!$F203</f>
        <v>3</v>
      </c>
      <c r="G168" s="598"/>
      <c r="H168" s="1168">
        <f>D168-F168</f>
        <v>8.1133374446784838</v>
      </c>
      <c r="I168" s="598"/>
      <c r="J168" s="1167">
        <f>+Stores!D225</f>
        <v>2285</v>
      </c>
      <c r="K168" s="1127"/>
      <c r="L168" s="1175">
        <f>AVERAGE(J168,J167)</f>
        <v>2280.5</v>
      </c>
      <c r="M168" s="598"/>
      <c r="N168" s="1168">
        <f>(L168/L161-1)*100</f>
        <v>3.0268805059859849</v>
      </c>
      <c r="O168" s="1124"/>
      <c r="P168" s="1171">
        <f>H168/N168*100</f>
        <v>268.04287214620723</v>
      </c>
      <c r="Q168" s="1125"/>
      <c r="R168" s="598"/>
      <c r="S168" s="1185">
        <f>'SegP&amp;L'!$D203</f>
        <v>6698.8519999999999</v>
      </c>
      <c r="T168" s="1127"/>
      <c r="U168" s="1173">
        <f>S168/L168</f>
        <v>2.9374488050866039</v>
      </c>
      <c r="V168" s="598"/>
      <c r="W168" s="1169">
        <f>(U168/U161-1)*100</f>
        <v>7.8488806988799897</v>
      </c>
      <c r="X168" s="1124"/>
      <c r="Y168" s="598"/>
      <c r="Z168" s="1129">
        <f>+Stores!G225</f>
        <v>65.3</v>
      </c>
      <c r="AA168" s="1127"/>
      <c r="AB168" s="1174">
        <f>AVERAGE(Z168,Z167)</f>
        <v>65.150000000000006</v>
      </c>
      <c r="AC168" s="598"/>
      <c r="AD168" s="1168">
        <f>(AB168/AB161-1)*100</f>
        <v>1.2432012432012529</v>
      </c>
      <c r="AE168" s="1124"/>
      <c r="AF168" s="1171">
        <f>+H168/AD168*100</f>
        <v>652.61658070632041</v>
      </c>
      <c r="AG168" s="1125"/>
      <c r="AH168" s="598"/>
      <c r="AI168" s="1172">
        <f>+S168</f>
        <v>6698.8519999999999</v>
      </c>
      <c r="AJ168" s="598"/>
      <c r="AK168" s="1175">
        <f>AI168/AB168</f>
        <v>102.82198004604757</v>
      </c>
      <c r="AL168" s="598"/>
      <c r="AM168" s="1169">
        <f>(AK168/AK161-1)*100</f>
        <v>9.7489372918658113</v>
      </c>
      <c r="AN168" s="1124"/>
      <c r="AP168" s="1183">
        <f>F168+F161</f>
        <v>6</v>
      </c>
      <c r="BB168" s="487"/>
      <c r="BD168" s="487"/>
      <c r="BE168" s="487"/>
      <c r="BF168" s="487"/>
      <c r="BG168" s="487"/>
      <c r="BH168" s="487"/>
    </row>
    <row r="169" spans="1:60">
      <c r="A169" s="598"/>
      <c r="B169" s="1157" t="s">
        <v>531</v>
      </c>
      <c r="C169" s="598"/>
      <c r="D169" s="1120">
        <f>(S169/S162-1)*100</f>
        <v>4.7212152630462745</v>
      </c>
      <c r="E169" s="598"/>
      <c r="F169" s="1179">
        <f>'SegP&amp;L'!$F204</f>
        <v>1</v>
      </c>
      <c r="G169" s="598"/>
      <c r="H169" s="1120">
        <f>D169-F169</f>
        <v>3.7212152630462745</v>
      </c>
      <c r="I169" s="598"/>
      <c r="J169" s="598"/>
      <c r="K169" s="598"/>
      <c r="L169" s="1167">
        <f>AVERAGE(L165:L168)</f>
        <v>2249</v>
      </c>
      <c r="M169" s="598"/>
      <c r="N169" s="1120">
        <f>(L169/L162-1)*100</f>
        <v>2.8231797919762158</v>
      </c>
      <c r="O169" s="1124"/>
      <c r="P169" s="1159">
        <f>H169/N169*100</f>
        <v>131.80936168579746</v>
      </c>
      <c r="Q169" s="1125"/>
      <c r="R169" s="598"/>
      <c r="S169" s="1160">
        <f>SUM(S165:S168)</f>
        <v>22249.105</v>
      </c>
      <c r="T169" s="598"/>
      <c r="U169" s="1161">
        <f>SUM(U165:U168)</f>
        <v>9.8835433372232551</v>
      </c>
      <c r="V169" s="598"/>
      <c r="W169" s="1176">
        <f>(U169/U162-1)*100</f>
        <v>1.8078870656395241</v>
      </c>
      <c r="X169" s="1124"/>
      <c r="Y169" s="598"/>
      <c r="Z169" s="598"/>
      <c r="AA169" s="598"/>
      <c r="AB169" s="1163">
        <f>AVERAGE(AB165:AB168)</f>
        <v>64.724999999999994</v>
      </c>
      <c r="AC169" s="598"/>
      <c r="AD169" s="1120">
        <f>(AB169/AB162-1)*100</f>
        <v>1.4101057579318343</v>
      </c>
      <c r="AE169" s="1124"/>
      <c r="AF169" s="1159">
        <f>+H169/AD169*100</f>
        <v>263.89618240436693</v>
      </c>
      <c r="AG169" s="1125"/>
      <c r="AH169" s="598"/>
      <c r="AI169" s="1160">
        <f>SUM(AI165:AI168)</f>
        <v>22249.105</v>
      </c>
      <c r="AJ169" s="598"/>
      <c r="AK169" s="1164">
        <f>SUM(AK165:AK168)</f>
        <v>343.59400410997864</v>
      </c>
      <c r="AL169" s="598"/>
      <c r="AM169" s="1176">
        <f>(AK169/AK162-1)*100</f>
        <v>3.2603256832247629</v>
      </c>
      <c r="AN169" s="1124"/>
      <c r="BB169" s="487"/>
      <c r="BD169" s="487"/>
      <c r="BE169" s="487"/>
      <c r="BF169" s="487"/>
      <c r="BG169" s="487"/>
      <c r="BH169" s="487"/>
    </row>
    <row r="170" spans="1:60">
      <c r="A170" s="598"/>
      <c r="B170" s="1157"/>
      <c r="C170" s="598"/>
      <c r="D170" s="1120"/>
      <c r="E170" s="598"/>
      <c r="F170" s="1179"/>
      <c r="G170" s="598"/>
      <c r="H170" s="1120"/>
      <c r="I170" s="598"/>
      <c r="J170" s="598"/>
      <c r="K170" s="598"/>
      <c r="L170" s="1167"/>
      <c r="M170" s="598"/>
      <c r="N170" s="1120"/>
      <c r="O170" s="1124"/>
      <c r="P170" s="1159"/>
      <c r="Q170" s="1125"/>
      <c r="R170" s="598"/>
      <c r="S170" s="1160"/>
      <c r="T170" s="598"/>
      <c r="U170" s="1161"/>
      <c r="V170" s="598"/>
      <c r="W170" s="1176"/>
      <c r="X170" s="1124"/>
      <c r="Y170" s="598"/>
      <c r="Z170" s="598"/>
      <c r="AA170" s="598"/>
      <c r="AB170" s="1163"/>
      <c r="AC170" s="598"/>
      <c r="AD170" s="1120"/>
      <c r="AE170" s="1124"/>
      <c r="AF170" s="1159"/>
      <c r="AG170" s="1125"/>
      <c r="AH170" s="598"/>
      <c r="AI170" s="1160"/>
      <c r="AJ170" s="598"/>
      <c r="AK170" s="1164"/>
      <c r="AL170" s="598"/>
      <c r="AM170" s="1176"/>
      <c r="AN170" s="1124"/>
      <c r="BB170" s="487"/>
      <c r="BD170" s="487"/>
      <c r="BE170" s="487"/>
      <c r="BF170" s="487"/>
      <c r="BG170" s="487"/>
      <c r="BH170" s="487"/>
    </row>
    <row r="171" spans="1:60">
      <c r="A171" s="1154"/>
      <c r="B171" s="1186">
        <f>+B164+1</f>
        <v>2018</v>
      </c>
      <c r="C171" s="598"/>
      <c r="D171" s="598"/>
      <c r="E171" s="1124"/>
      <c r="F171" s="598"/>
      <c r="G171" s="1124"/>
      <c r="H171" s="598"/>
      <c r="I171" s="1124"/>
      <c r="J171" s="1167"/>
      <c r="K171" s="598"/>
      <c r="L171" s="1167"/>
      <c r="M171" s="598"/>
      <c r="N171" s="598"/>
      <c r="O171" s="1124"/>
      <c r="P171" s="1125"/>
      <c r="Q171" s="1125"/>
      <c r="R171" s="598"/>
      <c r="S171" s="1165"/>
      <c r="T171" s="598"/>
      <c r="U171" s="598"/>
      <c r="V171" s="598"/>
      <c r="W171" s="598"/>
      <c r="X171" s="1124"/>
      <c r="Y171" s="598"/>
      <c r="Z171" s="598"/>
      <c r="AA171" s="598"/>
      <c r="AB171" s="598"/>
      <c r="AC171" s="598"/>
      <c r="AD171" s="598"/>
      <c r="AE171" s="1124"/>
      <c r="AF171" s="1125"/>
      <c r="AG171" s="1125"/>
      <c r="AH171" s="598"/>
      <c r="AI171" s="598"/>
      <c r="AJ171" s="598"/>
      <c r="AK171" s="598"/>
      <c r="AL171" s="598"/>
      <c r="AM171" s="598"/>
      <c r="AN171" s="1124"/>
      <c r="BB171" s="487"/>
      <c r="BD171" s="487"/>
      <c r="BE171" s="487"/>
      <c r="BF171" s="487"/>
      <c r="BG171" s="487"/>
      <c r="BH171" s="487"/>
    </row>
    <row r="172" spans="1:60" ht="15">
      <c r="A172" s="598" t="s">
        <v>527</v>
      </c>
      <c r="B172" s="1157" t="s">
        <v>514</v>
      </c>
      <c r="C172" s="598"/>
      <c r="D172" s="1189">
        <f>F172+H172</f>
        <v>5</v>
      </c>
      <c r="E172" s="1124" t="s">
        <v>190</v>
      </c>
      <c r="F172" s="1190">
        <v>2</v>
      </c>
      <c r="G172" s="1124" t="s">
        <v>190</v>
      </c>
      <c r="H172" s="2082">
        <f>3</f>
        <v>3</v>
      </c>
      <c r="I172" s="598"/>
      <c r="J172" s="1167">
        <f>+Stores!D229</f>
        <v>2295</v>
      </c>
      <c r="K172" s="1127"/>
      <c r="L172" s="1167">
        <f>AVERAGE(J172,J168)</f>
        <v>2290</v>
      </c>
      <c r="M172" s="598"/>
      <c r="N172" s="1120">
        <f>(L172/L165-1)*100</f>
        <v>2.8982251179510143</v>
      </c>
      <c r="O172" s="1124"/>
      <c r="P172" s="1159">
        <f>H172/N172*100</f>
        <v>103.51162790697703</v>
      </c>
      <c r="Q172" s="1125" t="s">
        <v>190</v>
      </c>
      <c r="R172" s="598"/>
      <c r="S172" s="2064">
        <f>S165*(1+D172/100)</f>
        <v>5215.4917500000001</v>
      </c>
      <c r="T172" s="1127"/>
      <c r="U172" s="1166">
        <f>S172/L172</f>
        <v>2.2775073144104803</v>
      </c>
      <c r="V172" s="598"/>
      <c r="W172" s="1176">
        <f>(U172/U165-1)*100</f>
        <v>2.0425764192139706</v>
      </c>
      <c r="X172" s="1124"/>
      <c r="Y172" s="598"/>
      <c r="Z172" s="1129">
        <f>+Stores!G229</f>
        <v>67.167700892195384</v>
      </c>
      <c r="AA172" s="1127"/>
      <c r="AB172" s="1163">
        <f>AVERAGE(Z172,Z168)</f>
        <v>66.233850446097691</v>
      </c>
      <c r="AC172" s="598"/>
      <c r="AD172" s="1120">
        <f>(AB172/AB165-1)*100</f>
        <v>2.6881402265080512</v>
      </c>
      <c r="AE172" s="1124"/>
      <c r="AF172" s="1159">
        <f>+H172/AD172*100</f>
        <v>111.6013208841066</v>
      </c>
      <c r="AG172" s="1125"/>
      <c r="AH172" s="598"/>
      <c r="AI172" s="1165">
        <f>+S172</f>
        <v>5215.4917500000001</v>
      </c>
      <c r="AJ172" s="598"/>
      <c r="AK172" s="1167">
        <f>AI172/AB172</f>
        <v>78.743598852741655</v>
      </c>
      <c r="AL172" s="598"/>
      <c r="AM172" s="1176">
        <f>(AK172/AK165-1)*100</f>
        <v>2.2513405816801058</v>
      </c>
      <c r="AN172" s="1124"/>
      <c r="AP172" s="1183">
        <f>F172+F165</f>
        <v>2</v>
      </c>
      <c r="BB172" s="487"/>
      <c r="BD172" s="487"/>
      <c r="BE172" s="487"/>
      <c r="BF172" s="487"/>
      <c r="BG172" s="487"/>
      <c r="BH172" s="487"/>
    </row>
    <row r="173" spans="1:60" ht="15">
      <c r="A173" s="598" t="s">
        <v>528</v>
      </c>
      <c r="B173" s="1157" t="s">
        <v>515</v>
      </c>
      <c r="C173" s="598"/>
      <c r="D173" s="1189">
        <f>F173+H173</f>
        <v>4</v>
      </c>
      <c r="E173" s="598"/>
      <c r="F173" s="1190">
        <v>2</v>
      </c>
      <c r="G173" s="598"/>
      <c r="H173" s="2082">
        <f>2</f>
        <v>2</v>
      </c>
      <c r="I173" s="598"/>
      <c r="J173" s="1167">
        <f>+Stores!D230</f>
        <v>2308</v>
      </c>
      <c r="K173" s="1127"/>
      <c r="L173" s="1167">
        <f>AVERAGE(J173,J172)</f>
        <v>2301.5</v>
      </c>
      <c r="M173" s="598"/>
      <c r="N173" s="1120">
        <f>(L173/L166-1)*100</f>
        <v>3.0445489142601367</v>
      </c>
      <c r="O173" s="1124"/>
      <c r="P173" s="1159">
        <f>H173/N173*100</f>
        <v>65.69117647058809</v>
      </c>
      <c r="Q173" s="1125"/>
      <c r="R173" s="598"/>
      <c r="S173" s="1191">
        <f>S166*(1+D173/100)</f>
        <v>5496.0245600000007</v>
      </c>
      <c r="T173" s="1127"/>
      <c r="U173" s="1166">
        <f>S173/L173</f>
        <v>2.3880184922876388</v>
      </c>
      <c r="V173" s="598"/>
      <c r="W173" s="1176">
        <f>(U173/U166-1)*100</f>
        <v>0.92722137736260812</v>
      </c>
      <c r="X173" s="1124"/>
      <c r="Y173" s="598"/>
      <c r="Z173" s="1129">
        <f>+Stores!G230</f>
        <v>67.54721611968472</v>
      </c>
      <c r="AA173" s="1127"/>
      <c r="AB173" s="1163">
        <f>AVERAGE(Z173,Z172)</f>
        <v>67.357458505940059</v>
      </c>
      <c r="AC173" s="598"/>
      <c r="AD173" s="1120">
        <f>(AB173/AB166-1)*100</f>
        <v>4.4301682262636533</v>
      </c>
      <c r="AE173" s="1124"/>
      <c r="AF173" s="1159">
        <f>+H173/AD173*100</f>
        <v>45.145012510885493</v>
      </c>
      <c r="AG173" s="1125"/>
      <c r="AH173" s="598"/>
      <c r="AI173" s="1165">
        <f>+S173</f>
        <v>5496.0245600000007</v>
      </c>
      <c r="AJ173" s="598"/>
      <c r="AK173" s="1167">
        <f>AI173/AB173</f>
        <v>81.59489211599815</v>
      </c>
      <c r="AL173" s="598"/>
      <c r="AM173" s="1176">
        <f>(AK173/AK166-1)*100</f>
        <v>-0.41191949947990691</v>
      </c>
      <c r="AN173" s="1124"/>
      <c r="AP173" s="1183">
        <f>F173+F166</f>
        <v>4</v>
      </c>
      <c r="BB173" s="487"/>
      <c r="BD173" s="487"/>
      <c r="BE173" s="487"/>
      <c r="BF173" s="487"/>
      <c r="BG173" s="487"/>
      <c r="BH173" s="487"/>
    </row>
    <row r="174" spans="1:60" ht="15">
      <c r="A174" s="598" t="s">
        <v>529</v>
      </c>
      <c r="B174" s="1157" t="s">
        <v>516</v>
      </c>
      <c r="C174" s="598"/>
      <c r="D174" s="1189">
        <f>F174+H174</f>
        <v>3.4</v>
      </c>
      <c r="E174" s="598"/>
      <c r="F174" s="1190">
        <v>2</v>
      </c>
      <c r="G174" s="598"/>
      <c r="H174" s="2082">
        <f>2-0.6</f>
        <v>1.4</v>
      </c>
      <c r="I174" s="598"/>
      <c r="J174" s="1167">
        <f>+Stores!D231</f>
        <v>2343</v>
      </c>
      <c r="K174" s="1127"/>
      <c r="L174" s="1167">
        <f>AVERAGE(J174,J173)</f>
        <v>2325.5</v>
      </c>
      <c r="M174" s="598"/>
      <c r="N174" s="1120">
        <f>(L174/L167-1)*100</f>
        <v>3.0578329270994908</v>
      </c>
      <c r="O174" s="1124"/>
      <c r="P174" s="1159">
        <f>H174/N174*100</f>
        <v>45.784057971014477</v>
      </c>
      <c r="Q174" s="1125"/>
      <c r="R174" s="598"/>
      <c r="S174" s="1191">
        <f>S167*(1+D174/100)</f>
        <v>5478.6272860000008</v>
      </c>
      <c r="T174" s="1127"/>
      <c r="U174" s="1166">
        <f>S174/L174</f>
        <v>2.3558921892066227</v>
      </c>
      <c r="V174" s="598"/>
      <c r="W174" s="1176">
        <f>(U174/U167-1)*100</f>
        <v>0.33201462051173358</v>
      </c>
      <c r="X174" s="1124"/>
      <c r="Y174" s="598"/>
      <c r="Z174" s="1129">
        <f>+Stores!G231</f>
        <v>68.606873576303315</v>
      </c>
      <c r="AA174" s="1127"/>
      <c r="AB174" s="1163">
        <f>AVERAGE(Z174,Z173)</f>
        <v>68.077044847994017</v>
      </c>
      <c r="AC174" s="598"/>
      <c r="AD174" s="1120">
        <f>(AB174/AB167-1)*100</f>
        <v>5.1382932015351601</v>
      </c>
      <c r="AE174" s="1124"/>
      <c r="AF174" s="1159">
        <f>+H174/AD174*100</f>
        <v>27.246401579063722</v>
      </c>
      <c r="AG174" s="1125"/>
      <c r="AH174" s="598"/>
      <c r="AI174" s="1165">
        <f>+S174</f>
        <v>5478.6272860000008</v>
      </c>
      <c r="AJ174" s="598"/>
      <c r="AK174" s="1167">
        <f>AI174/AB174</f>
        <v>80.476867029598097</v>
      </c>
      <c r="AL174" s="598"/>
      <c r="AM174" s="1176">
        <f>(AK174/AK167-1)*100</f>
        <v>-1.6533397571930175</v>
      </c>
      <c r="AN174" s="1124"/>
      <c r="AP174" s="1183">
        <f>F174+F167</f>
        <v>1</v>
      </c>
      <c r="BB174" s="487"/>
      <c r="BD174" s="487"/>
      <c r="BE174" s="487"/>
      <c r="BF174" s="487"/>
      <c r="BG174" s="487"/>
      <c r="BH174" s="701"/>
    </row>
    <row r="175" spans="1:60" ht="15">
      <c r="A175" s="598" t="s">
        <v>530</v>
      </c>
      <c r="B175" s="1157" t="s">
        <v>517</v>
      </c>
      <c r="C175" s="598"/>
      <c r="D175" s="1168">
        <f>F175+H175</f>
        <v>-2</v>
      </c>
      <c r="E175" s="598"/>
      <c r="F175" s="1187">
        <v>2</v>
      </c>
      <c r="G175" s="598"/>
      <c r="H175" s="2083">
        <f>2-6</f>
        <v>-4</v>
      </c>
      <c r="I175" s="598"/>
      <c r="J175" s="1167">
        <f>+Stores!D232</f>
        <v>2350</v>
      </c>
      <c r="K175" s="1127"/>
      <c r="L175" s="1175">
        <f>AVERAGE(J175,J174)</f>
        <v>2346.5</v>
      </c>
      <c r="M175" s="598"/>
      <c r="N175" s="1168">
        <f>(L175/L168-1)*100</f>
        <v>2.8941021705766179</v>
      </c>
      <c r="O175" s="1124"/>
      <c r="P175" s="1171">
        <f>H175/N175*100</f>
        <v>-138.2121212121217</v>
      </c>
      <c r="Q175" s="1125"/>
      <c r="R175" s="598"/>
      <c r="S175" s="1188">
        <f>S168*(1+D175/100)</f>
        <v>6564.8749600000001</v>
      </c>
      <c r="T175" s="1127"/>
      <c r="U175" s="1173">
        <f>S175/L175</f>
        <v>2.7977306456424462</v>
      </c>
      <c r="V175" s="598"/>
      <c r="W175" s="1169">
        <f>(U175/U168-1)*100</f>
        <v>-4.7564457702961915</v>
      </c>
      <c r="X175" s="1124"/>
      <c r="Y175" s="598"/>
      <c r="Z175" s="1129">
        <f>+Stores!G232</f>
        <v>68.828337596154441</v>
      </c>
      <c r="AA175" s="1127"/>
      <c r="AB175" s="1174">
        <f>AVERAGE(Z175,Z174)</f>
        <v>68.717605586228871</v>
      </c>
      <c r="AC175" s="598"/>
      <c r="AD175" s="1168">
        <f>(AB175/AB168-1)*100</f>
        <v>5.4759870855393133</v>
      </c>
      <c r="AE175" s="1124"/>
      <c r="AF175" s="1171">
        <f>+H175/AD175*100</f>
        <v>-73.04619126226541</v>
      </c>
      <c r="AG175" s="1125"/>
      <c r="AH175" s="598"/>
      <c r="AI175" s="1172">
        <f>+S175</f>
        <v>6564.8749600000001</v>
      </c>
      <c r="AJ175" s="598"/>
      <c r="AK175" s="1175">
        <f>AI175/AB175</f>
        <v>95.534105183018966</v>
      </c>
      <c r="AL175" s="598"/>
      <c r="AM175" s="1169">
        <f>(AK175/AK168-1)*100</f>
        <v>-7.0878569540917429</v>
      </c>
      <c r="AN175" s="1124"/>
      <c r="AP175" s="1183">
        <f>F175+F168</f>
        <v>5</v>
      </c>
      <c r="BB175" s="487"/>
      <c r="BD175" s="487"/>
      <c r="BE175" s="487"/>
      <c r="BF175" s="487"/>
      <c r="BG175" s="487"/>
      <c r="BH175" s="487"/>
    </row>
    <row r="176" spans="1:60">
      <c r="A176" s="598"/>
      <c r="B176" s="1157" t="s">
        <v>531</v>
      </c>
      <c r="C176" s="598"/>
      <c r="D176" s="1120">
        <f>(S176/S169-1)*100</f>
        <v>2.2738602564013499</v>
      </c>
      <c r="E176" s="598"/>
      <c r="F176" s="1179">
        <f>F172*S172/$S176+F173*S173/$S176+F174*S174/$S176+F175*S175/$S176</f>
        <v>1.9999999999999998</v>
      </c>
      <c r="G176" s="598"/>
      <c r="H176" s="1120">
        <f>D176-F176</f>
        <v>0.27386025640135014</v>
      </c>
      <c r="I176" s="598"/>
      <c r="J176" s="598"/>
      <c r="K176" s="598"/>
      <c r="L176" s="1167">
        <f>AVERAGE(L172:L175)</f>
        <v>2315.875</v>
      </c>
      <c r="M176" s="598"/>
      <c r="N176" s="1120">
        <f>(L176/L169-1)*100</f>
        <v>2.9735437972432166</v>
      </c>
      <c r="O176" s="1124"/>
      <c r="P176" s="1159">
        <f>H176/N176*100</f>
        <v>9.2098948283609268</v>
      </c>
      <c r="Q176" s="1125"/>
      <c r="R176" s="598"/>
      <c r="S176" s="1160">
        <f>SUM(S172:S175)</f>
        <v>22755.018556000003</v>
      </c>
      <c r="T176" s="598"/>
      <c r="U176" s="1161">
        <f>SUM(U172:U175)</f>
        <v>9.8191486415471871</v>
      </c>
      <c r="V176" s="598"/>
      <c r="W176" s="1176">
        <f>(U176/U169-1)*100</f>
        <v>-0.65153451023526321</v>
      </c>
      <c r="X176" s="1124"/>
      <c r="Y176" s="598"/>
      <c r="Z176" s="598"/>
      <c r="AA176" s="598"/>
      <c r="AB176" s="1163">
        <f>AVERAGE(AB172:AB175)</f>
        <v>67.596489846565163</v>
      </c>
      <c r="AC176" s="598"/>
      <c r="AD176" s="1120">
        <f>(AB176/AB169-1)*100</f>
        <v>4.4364462673853522</v>
      </c>
      <c r="AE176" s="1124"/>
      <c r="AF176" s="1159">
        <f>+H176/AD176*100</f>
        <v>6.1729645733487359</v>
      </c>
      <c r="AG176" s="1125"/>
      <c r="AH176" s="598"/>
      <c r="AI176" s="1160">
        <f>SUM(AI172:AI175)</f>
        <v>22755.018556000003</v>
      </c>
      <c r="AJ176" s="598"/>
      <c r="AK176" s="1164">
        <f>SUM(AK172:AK175)</f>
        <v>336.3494631813569</v>
      </c>
      <c r="AL176" s="598"/>
      <c r="AM176" s="1176">
        <f>(AK176/AK169-1)*100</f>
        <v>-2.1084596477134343</v>
      </c>
      <c r="AN176" s="1124"/>
      <c r="BB176" s="487"/>
      <c r="BD176" s="487"/>
      <c r="BE176" s="487"/>
      <c r="BF176" s="487"/>
      <c r="BG176" s="487"/>
      <c r="BH176" s="487"/>
    </row>
    <row r="177" spans="1:61">
      <c r="A177" s="598"/>
      <c r="B177" s="1157"/>
      <c r="C177" s="598"/>
      <c r="D177" s="1120"/>
      <c r="E177" s="598"/>
      <c r="F177" s="1179"/>
      <c r="G177" s="598"/>
      <c r="H177" s="1120"/>
      <c r="I177" s="598"/>
      <c r="J177" s="598"/>
      <c r="K177" s="598"/>
      <c r="L177" s="1167"/>
      <c r="M177" s="598"/>
      <c r="N177" s="1120"/>
      <c r="O177" s="1124"/>
      <c r="P177" s="1159"/>
      <c r="Q177" s="1125"/>
      <c r="R177" s="598"/>
      <c r="S177" s="1160"/>
      <c r="T177" s="598"/>
      <c r="U177" s="1161"/>
      <c r="V177" s="598"/>
      <c r="W177" s="1176"/>
      <c r="X177" s="1124"/>
      <c r="Y177" s="598"/>
      <c r="Z177" s="598"/>
      <c r="AA177" s="598"/>
      <c r="AB177" s="1163"/>
      <c r="AC177" s="598"/>
      <c r="AD177" s="1120"/>
      <c r="AE177" s="1124"/>
      <c r="AF177" s="1159"/>
      <c r="AG177" s="1125"/>
      <c r="AH177" s="598"/>
      <c r="AI177" s="1160"/>
      <c r="AJ177" s="598"/>
      <c r="AK177" s="1164"/>
      <c r="AL177" s="598"/>
      <c r="AM177" s="1176"/>
      <c r="AN177" s="1124"/>
      <c r="BB177" s="702"/>
      <c r="BD177" s="702"/>
      <c r="BE177" s="702"/>
      <c r="BF177" s="702"/>
      <c r="BG177" s="487"/>
      <c r="BH177" s="487"/>
    </row>
    <row r="178" spans="1:61">
      <c r="A178" s="1122" t="s">
        <v>629</v>
      </c>
      <c r="B178" s="1147"/>
      <c r="C178" s="1122"/>
      <c r="D178" s="1122"/>
      <c r="E178" s="1148"/>
      <c r="F178" s="1122"/>
      <c r="G178" s="1122"/>
      <c r="H178" s="1122"/>
      <c r="I178" s="1148"/>
      <c r="J178" s="1149"/>
      <c r="K178" s="1149"/>
      <c r="L178" s="1149"/>
      <c r="M178" s="1150"/>
      <c r="N178" s="1160"/>
      <c r="O178" s="1148"/>
      <c r="P178" s="598"/>
      <c r="Q178" s="1149"/>
      <c r="R178" s="1150"/>
      <c r="S178" s="1182">
        <f>S162/'qtrP&amp;L'!DF14</f>
        <v>0.64025427631071397</v>
      </c>
      <c r="T178" s="1149"/>
      <c r="U178" s="2054">
        <f>S178*'qtrP&amp;L'!DJ19</f>
        <v>0</v>
      </c>
      <c r="V178" s="1150"/>
      <c r="W178" s="1149"/>
      <c r="X178" s="1151"/>
      <c r="Y178" s="1149"/>
      <c r="Z178" s="1149"/>
      <c r="AA178" s="1149"/>
      <c r="AB178" s="1149"/>
      <c r="AC178" s="1150"/>
      <c r="AD178" s="1149"/>
      <c r="AE178" s="1150"/>
      <c r="AF178" s="1149"/>
      <c r="AG178" s="1149"/>
      <c r="AH178" s="1150"/>
      <c r="AI178" s="1149"/>
      <c r="AJ178" s="1149"/>
      <c r="AK178" s="1150"/>
      <c r="AL178" s="1150"/>
      <c r="AM178" s="1149"/>
      <c r="AN178" s="1151"/>
      <c r="BB178" s="487"/>
      <c r="BD178" s="487"/>
      <c r="BE178" s="487"/>
      <c r="BF178" s="487"/>
      <c r="BG178" s="487"/>
      <c r="BH178" s="487"/>
    </row>
    <row r="179" spans="1:61">
      <c r="A179" s="1133" t="str">
        <f>$A$9</f>
        <v>Analysis of Space Productivity, 1999A-2017E</v>
      </c>
      <c r="B179" s="1152"/>
      <c r="C179" s="1133"/>
      <c r="D179" s="1133"/>
      <c r="E179" s="1153"/>
      <c r="F179" s="1133"/>
      <c r="G179" s="1133"/>
      <c r="H179" s="1133"/>
      <c r="I179" s="1153"/>
      <c r="J179" s="1133"/>
      <c r="K179" s="1133"/>
      <c r="L179" s="1133"/>
      <c r="M179" s="1153"/>
      <c r="N179" s="1133"/>
      <c r="O179" s="1153"/>
      <c r="P179" s="1133"/>
      <c r="Q179" s="1133"/>
      <c r="R179" s="1133"/>
      <c r="S179" s="1937">
        <f>S161*(1+F168/100)+U178</f>
        <v>6209.7113799999997</v>
      </c>
      <c r="T179" s="1133"/>
      <c r="U179" s="1133"/>
      <c r="V179" s="1133"/>
      <c r="W179" s="1133"/>
      <c r="X179" s="1134"/>
      <c r="Y179" s="1133"/>
      <c r="Z179" s="1133"/>
      <c r="AA179" s="1133"/>
      <c r="AB179" s="1133"/>
      <c r="AC179" s="1153"/>
      <c r="AD179" s="1133"/>
      <c r="AE179" s="1153"/>
      <c r="AF179" s="1133"/>
      <c r="AG179" s="1133"/>
      <c r="AH179" s="1153"/>
      <c r="AI179" s="1133"/>
      <c r="AJ179" s="1133"/>
      <c r="AK179" s="1153"/>
      <c r="AL179" s="1153"/>
      <c r="AM179" s="1133"/>
      <c r="AN179" s="1151"/>
      <c r="BB179" s="487"/>
      <c r="BD179" s="487"/>
      <c r="BE179" s="487"/>
      <c r="BF179" s="754"/>
      <c r="BG179" s="487"/>
      <c r="BH179" s="487"/>
    </row>
    <row r="180" spans="1:61">
      <c r="A180" s="598"/>
      <c r="B180" s="1157"/>
      <c r="C180" s="598"/>
      <c r="D180" s="598"/>
      <c r="E180" s="598"/>
      <c r="F180" s="598"/>
      <c r="G180" s="598"/>
      <c r="H180" s="598"/>
      <c r="I180" s="598"/>
      <c r="J180" s="598"/>
      <c r="K180" s="598"/>
      <c r="L180" s="598"/>
      <c r="M180" s="598"/>
      <c r="N180" s="598"/>
      <c r="O180" s="598"/>
      <c r="P180" s="598"/>
      <c r="Q180" s="598"/>
      <c r="R180" s="598"/>
      <c r="S180" s="598"/>
      <c r="T180" s="598"/>
      <c r="U180" s="598"/>
      <c r="V180" s="598"/>
      <c r="W180" s="598"/>
      <c r="X180" s="1124"/>
      <c r="Y180" s="598"/>
      <c r="Z180" s="598"/>
      <c r="AA180" s="598"/>
      <c r="AB180" s="598"/>
      <c r="AC180" s="598"/>
      <c r="AD180" s="598"/>
      <c r="AE180" s="598"/>
      <c r="AF180" s="598"/>
      <c r="AG180" s="598"/>
      <c r="AH180" s="598"/>
      <c r="AI180" s="598"/>
      <c r="AJ180" s="598"/>
      <c r="AK180" s="598"/>
      <c r="AL180" s="598"/>
      <c r="AM180" s="598"/>
      <c r="AN180" s="1124"/>
      <c r="BB180" s="487"/>
      <c r="BD180" s="487"/>
      <c r="BE180" s="487"/>
      <c r="BF180" s="754"/>
      <c r="BG180" s="487"/>
      <c r="BH180" s="487"/>
    </row>
    <row r="181" spans="1:61">
      <c r="A181" s="598"/>
      <c r="B181" s="1157"/>
      <c r="C181" s="598"/>
      <c r="D181" s="598"/>
      <c r="E181" s="598"/>
      <c r="F181" s="598"/>
      <c r="G181" s="598"/>
      <c r="H181" s="598"/>
      <c r="I181" s="598"/>
      <c r="J181" s="1130" t="s">
        <v>343</v>
      </c>
      <c r="K181" s="1131"/>
      <c r="L181" s="1131"/>
      <c r="M181" s="1131"/>
      <c r="N181" s="1131"/>
      <c r="O181" s="1131"/>
      <c r="P181" s="1131"/>
      <c r="Q181" s="1131"/>
      <c r="R181" s="1131"/>
      <c r="S181" s="1131"/>
      <c r="T181" s="1131"/>
      <c r="U181" s="1131"/>
      <c r="V181" s="1131"/>
      <c r="W181" s="1131"/>
      <c r="X181" s="1132"/>
      <c r="Y181" s="598"/>
      <c r="Z181" s="1130" t="s">
        <v>344</v>
      </c>
      <c r="AA181" s="1131"/>
      <c r="AB181" s="1131"/>
      <c r="AC181" s="1131"/>
      <c r="AD181" s="1131"/>
      <c r="AE181" s="1131"/>
      <c r="AF181" s="1131"/>
      <c r="AG181" s="1131"/>
      <c r="AH181" s="1131"/>
      <c r="AI181" s="1131"/>
      <c r="AJ181" s="1131"/>
      <c r="AK181" s="1131"/>
      <c r="AL181" s="1131"/>
      <c r="AM181" s="1131"/>
      <c r="AN181" s="1132"/>
      <c r="BB181" s="487"/>
      <c r="BD181" s="487"/>
      <c r="BE181" s="487"/>
      <c r="BF181" s="754"/>
      <c r="BG181" s="487"/>
      <c r="BH181" s="701"/>
    </row>
    <row r="182" spans="1:61">
      <c r="A182" s="598"/>
      <c r="B182" s="1157"/>
      <c r="C182" s="598"/>
      <c r="D182" s="1133"/>
      <c r="E182" s="1134" t="s">
        <v>556</v>
      </c>
      <c r="F182" s="1133"/>
      <c r="G182" s="598"/>
      <c r="H182" s="1121" t="s">
        <v>25</v>
      </c>
      <c r="I182" s="598"/>
      <c r="J182" s="598"/>
      <c r="K182" s="598"/>
      <c r="L182" s="598"/>
      <c r="M182" s="598"/>
      <c r="N182" s="598"/>
      <c r="O182" s="598"/>
      <c r="P182" s="1135" t="s">
        <v>36</v>
      </c>
      <c r="Q182" s="1135"/>
      <c r="R182" s="598"/>
      <c r="S182" s="1136"/>
      <c r="T182" s="1136"/>
      <c r="U182" s="1133" t="s">
        <v>340</v>
      </c>
      <c r="V182" s="1136"/>
      <c r="W182" s="1136"/>
      <c r="X182" s="1124"/>
      <c r="Y182" s="598"/>
      <c r="Z182" s="598"/>
      <c r="AA182" s="598"/>
      <c r="AB182" s="598"/>
      <c r="AC182" s="598"/>
      <c r="AD182" s="598"/>
      <c r="AE182" s="598"/>
      <c r="AF182" s="1135" t="s">
        <v>36</v>
      </c>
      <c r="AG182" s="1135"/>
      <c r="AH182" s="598"/>
      <c r="AI182" s="1136"/>
      <c r="AJ182" s="1136"/>
      <c r="AK182" s="1134" t="s">
        <v>341</v>
      </c>
      <c r="AL182" s="1136"/>
      <c r="AM182" s="1136"/>
      <c r="AN182" s="1124"/>
      <c r="BB182" s="487"/>
      <c r="BD182" s="487"/>
      <c r="BE182" s="487"/>
      <c r="BF182" s="754"/>
      <c r="BG182" s="487"/>
      <c r="BH182" s="487"/>
    </row>
    <row r="183" spans="1:61">
      <c r="A183" s="598"/>
      <c r="B183" s="1157"/>
      <c r="C183" s="598"/>
      <c r="D183" s="1121"/>
      <c r="E183" s="1121"/>
      <c r="F183" s="1121" t="s">
        <v>24</v>
      </c>
      <c r="G183" s="1121"/>
      <c r="H183" s="1134" t="s">
        <v>26</v>
      </c>
      <c r="I183" s="598"/>
      <c r="J183" s="1134"/>
      <c r="K183" s="1134" t="s">
        <v>31</v>
      </c>
      <c r="L183" s="1134"/>
      <c r="M183" s="1121"/>
      <c r="N183" s="1121" t="s">
        <v>34</v>
      </c>
      <c r="O183" s="598"/>
      <c r="P183" s="1135" t="s">
        <v>37</v>
      </c>
      <c r="Q183" s="1135"/>
      <c r="R183" s="598"/>
      <c r="S183" s="598"/>
      <c r="T183" s="598"/>
      <c r="U183" s="1121" t="s">
        <v>41</v>
      </c>
      <c r="V183" s="598"/>
      <c r="W183" s="1121" t="s">
        <v>43</v>
      </c>
      <c r="X183" s="1124"/>
      <c r="Y183" s="598"/>
      <c r="Z183" s="1134"/>
      <c r="AA183" s="1134" t="s">
        <v>433</v>
      </c>
      <c r="AB183" s="1134"/>
      <c r="AC183" s="1121"/>
      <c r="AD183" s="1121" t="s">
        <v>34</v>
      </c>
      <c r="AE183" s="598"/>
      <c r="AF183" s="1135" t="s">
        <v>37</v>
      </c>
      <c r="AG183" s="1135"/>
      <c r="AH183" s="598"/>
      <c r="AI183" s="598"/>
      <c r="AJ183" s="598"/>
      <c r="AK183" s="1121" t="s">
        <v>41</v>
      </c>
      <c r="AL183" s="598"/>
      <c r="AM183" s="1121" t="s">
        <v>43</v>
      </c>
      <c r="AN183" s="1124"/>
      <c r="AP183" s="487"/>
      <c r="AQ183" s="487"/>
      <c r="AR183" s="487"/>
      <c r="AS183" s="1192"/>
      <c r="AT183" s="1193"/>
      <c r="AU183" s="1193"/>
      <c r="AV183" s="1194"/>
      <c r="AX183" s="487"/>
      <c r="AY183" s="709" t="s">
        <v>777</v>
      </c>
      <c r="BA183" s="1069" t="s">
        <v>778</v>
      </c>
      <c r="BB183" s="487"/>
      <c r="BC183" s="1069" t="s">
        <v>778</v>
      </c>
      <c r="BD183" s="487"/>
      <c r="BE183" s="487"/>
      <c r="BF183" s="754"/>
      <c r="BG183" s="487"/>
      <c r="BH183" s="487"/>
      <c r="BI183" s="451" t="s">
        <v>786</v>
      </c>
    </row>
    <row r="184" spans="1:61">
      <c r="A184" s="598"/>
      <c r="B184" s="1157"/>
      <c r="C184" s="598"/>
      <c r="D184" s="1134" t="s">
        <v>610</v>
      </c>
      <c r="E184" s="1121"/>
      <c r="F184" s="1134" t="s">
        <v>578</v>
      </c>
      <c r="G184" s="1121"/>
      <c r="H184" s="1121" t="s">
        <v>27</v>
      </c>
      <c r="I184" s="598"/>
      <c r="J184" s="1134" t="s">
        <v>610</v>
      </c>
      <c r="K184" s="1121"/>
      <c r="L184" s="1134" t="s">
        <v>594</v>
      </c>
      <c r="M184" s="1121"/>
      <c r="N184" s="1134" t="s">
        <v>190</v>
      </c>
      <c r="O184" s="598"/>
      <c r="P184" s="1139" t="s">
        <v>38</v>
      </c>
      <c r="Q184" s="1139"/>
      <c r="R184" s="598"/>
      <c r="S184" s="1134" t="s">
        <v>610</v>
      </c>
      <c r="T184" s="598"/>
      <c r="U184" s="1134" t="s">
        <v>596</v>
      </c>
      <c r="V184" s="598"/>
      <c r="W184" s="1134" t="s">
        <v>597</v>
      </c>
      <c r="X184" s="1124"/>
      <c r="Y184" s="598"/>
      <c r="Z184" s="1134" t="s">
        <v>610</v>
      </c>
      <c r="AA184" s="1121"/>
      <c r="AB184" s="1134" t="s">
        <v>594</v>
      </c>
      <c r="AC184" s="1121"/>
      <c r="AD184" s="1134" t="s">
        <v>190</v>
      </c>
      <c r="AE184" s="598"/>
      <c r="AF184" s="1139" t="s">
        <v>339</v>
      </c>
      <c r="AG184" s="1139"/>
      <c r="AH184" s="598"/>
      <c r="AI184" s="1134" t="s">
        <v>610</v>
      </c>
      <c r="AJ184" s="598"/>
      <c r="AK184" s="1134" t="s">
        <v>334</v>
      </c>
      <c r="AL184" s="598"/>
      <c r="AM184" s="1134" t="s">
        <v>597</v>
      </c>
      <c r="AN184" s="1124"/>
      <c r="AP184" s="711" t="s">
        <v>783</v>
      </c>
      <c r="AQ184" s="711"/>
      <c r="AR184" s="807"/>
      <c r="AS184" s="1192"/>
      <c r="AT184" s="1193"/>
      <c r="AU184" s="1193"/>
      <c r="AV184" s="1194"/>
      <c r="AX184" s="695"/>
      <c r="AY184" s="708" t="s">
        <v>780</v>
      </c>
      <c r="BA184" s="1140" t="s">
        <v>781</v>
      </c>
      <c r="BB184" s="702"/>
      <c r="BC184" s="1140" t="s">
        <v>781</v>
      </c>
      <c r="BD184" s="702"/>
      <c r="BE184" s="702"/>
      <c r="BF184" s="1195"/>
      <c r="BG184" s="487"/>
      <c r="BH184" s="487"/>
      <c r="BI184" s="451" t="s">
        <v>787</v>
      </c>
    </row>
    <row r="185" spans="1:61">
      <c r="A185" s="598"/>
      <c r="B185" s="1157"/>
      <c r="C185" s="598"/>
      <c r="D185" s="1141" t="s">
        <v>29</v>
      </c>
      <c r="E185" s="1121"/>
      <c r="F185" s="1141" t="s">
        <v>30</v>
      </c>
      <c r="G185" s="1121"/>
      <c r="H185" s="1141" t="s">
        <v>28</v>
      </c>
      <c r="I185" s="598"/>
      <c r="J185" s="1141" t="s">
        <v>32</v>
      </c>
      <c r="K185" s="1121"/>
      <c r="L185" s="1141" t="s">
        <v>33</v>
      </c>
      <c r="M185" s="1121"/>
      <c r="N185" s="1141" t="s">
        <v>35</v>
      </c>
      <c r="O185" s="598"/>
      <c r="P185" s="1142" t="s">
        <v>39</v>
      </c>
      <c r="Q185" s="1142"/>
      <c r="R185" s="598"/>
      <c r="S185" s="1141" t="s">
        <v>40</v>
      </c>
      <c r="T185" s="598"/>
      <c r="U185" s="1141" t="s">
        <v>42</v>
      </c>
      <c r="V185" s="598"/>
      <c r="W185" s="1141" t="s">
        <v>44</v>
      </c>
      <c r="X185" s="1124"/>
      <c r="Y185" s="598"/>
      <c r="Z185" s="1141" t="s">
        <v>331</v>
      </c>
      <c r="AA185" s="1121"/>
      <c r="AB185" s="1141" t="s">
        <v>332</v>
      </c>
      <c r="AC185" s="1121"/>
      <c r="AD185" s="1141" t="s">
        <v>333</v>
      </c>
      <c r="AE185" s="598"/>
      <c r="AF185" s="1142" t="s">
        <v>335</v>
      </c>
      <c r="AG185" s="1142"/>
      <c r="AH185" s="598"/>
      <c r="AI185" s="1141" t="s">
        <v>336</v>
      </c>
      <c r="AJ185" s="598"/>
      <c r="AK185" s="1141" t="s">
        <v>337</v>
      </c>
      <c r="AL185" s="598"/>
      <c r="AM185" s="1141" t="s">
        <v>338</v>
      </c>
      <c r="AN185" s="1124"/>
      <c r="AP185" s="487"/>
      <c r="AQ185" s="487"/>
      <c r="AR185" s="487"/>
      <c r="AS185" s="1193"/>
      <c r="AT185" s="1193"/>
      <c r="AU185" s="1193"/>
      <c r="AV185" s="499"/>
      <c r="AW185" s="499"/>
      <c r="AX185" s="499"/>
      <c r="AY185" s="499"/>
      <c r="AZ185" s="499"/>
      <c r="BA185" s="499"/>
      <c r="BB185" s="487"/>
      <c r="BC185" s="499"/>
      <c r="BD185" s="487"/>
      <c r="BE185" s="487"/>
      <c r="BF185" s="754"/>
      <c r="BG185" s="487"/>
      <c r="BH185" s="487"/>
    </row>
    <row r="186" spans="1:61" ht="13.5" hidden="1" outlineLevel="1" collapsed="1" thickBot="1">
      <c r="A186" s="1154"/>
      <c r="B186" s="1155">
        <v>1995</v>
      </c>
      <c r="C186" s="598"/>
      <c r="D186" s="598"/>
      <c r="E186" s="598"/>
      <c r="F186" s="598"/>
      <c r="G186" s="598"/>
      <c r="H186" s="598"/>
      <c r="I186" s="598"/>
      <c r="J186" s="598"/>
      <c r="K186" s="598"/>
      <c r="L186" s="598"/>
      <c r="M186" s="598"/>
      <c r="N186" s="598"/>
      <c r="O186" s="598"/>
      <c r="P186" s="1125"/>
      <c r="Q186" s="1125"/>
      <c r="R186" s="598"/>
      <c r="S186" s="598"/>
      <c r="T186" s="598"/>
      <c r="U186" s="598"/>
      <c r="V186" s="598"/>
      <c r="W186" s="598"/>
      <c r="X186" s="1124"/>
      <c r="Y186" s="598"/>
      <c r="Z186" s="598"/>
      <c r="AA186" s="598"/>
      <c r="AB186" s="598"/>
      <c r="AC186" s="598"/>
      <c r="AD186" s="598"/>
      <c r="AE186" s="598"/>
      <c r="AF186" s="1125"/>
      <c r="AG186" s="1125"/>
      <c r="AH186" s="598"/>
      <c r="AI186" s="598"/>
      <c r="AJ186" s="598"/>
      <c r="AK186" s="598"/>
      <c r="AL186" s="598"/>
      <c r="AM186" s="598"/>
      <c r="AN186" s="1124"/>
      <c r="AP186" s="1196">
        <v>1</v>
      </c>
      <c r="AQ186" s="735"/>
      <c r="AR186" s="487"/>
      <c r="AS186" s="1197"/>
      <c r="AT186" s="1081"/>
      <c r="AU186" s="1193"/>
      <c r="AV186" s="1197"/>
      <c r="AW186" s="1081"/>
      <c r="AX186" s="499"/>
      <c r="AY186" s="499"/>
      <c r="AZ186" s="499"/>
      <c r="BA186" s="499"/>
      <c r="BB186" s="487"/>
      <c r="BC186" s="499"/>
      <c r="BD186" s="487"/>
      <c r="BE186" s="487"/>
      <c r="BF186" s="754"/>
      <c r="BG186" s="487"/>
      <c r="BH186" s="487"/>
    </row>
    <row r="187" spans="1:61" hidden="1" outlineLevel="1">
      <c r="A187" s="598" t="s">
        <v>527</v>
      </c>
      <c r="B187" s="1157" t="s">
        <v>514</v>
      </c>
      <c r="C187" s="598"/>
      <c r="D187" s="1120"/>
      <c r="E187" s="598" t="s">
        <v>190</v>
      </c>
      <c r="F187" s="1179">
        <f>'SegP&amp;L'!Y46</f>
        <v>5</v>
      </c>
      <c r="G187" s="598" t="s">
        <v>190</v>
      </c>
      <c r="H187" s="1120"/>
      <c r="I187" s="1124" t="s">
        <v>190</v>
      </c>
      <c r="J187" s="1127">
        <f>Stores!Y57</f>
        <v>39</v>
      </c>
      <c r="K187" s="598"/>
      <c r="L187" s="1128">
        <f>AVERAGE(J187,37)</f>
        <v>38</v>
      </c>
      <c r="M187" s="598"/>
      <c r="N187" s="1120"/>
      <c r="O187" s="1124" t="s">
        <v>190</v>
      </c>
      <c r="P187" s="1159"/>
      <c r="Q187" s="1125" t="s">
        <v>190</v>
      </c>
      <c r="R187" s="598"/>
      <c r="S187" s="1160">
        <f>'SegP&amp;L'!W46</f>
        <v>31.712</v>
      </c>
      <c r="T187" s="598"/>
      <c r="U187" s="1161">
        <f>S187/L187</f>
        <v>0.83452631578947367</v>
      </c>
      <c r="V187" s="598"/>
      <c r="W187" s="1158"/>
      <c r="X187" s="1124" t="s">
        <v>190</v>
      </c>
      <c r="Y187" s="598"/>
      <c r="Z187" s="1162">
        <f>Stores!AB57</f>
        <v>0.94874999999999998</v>
      </c>
      <c r="AA187" s="598"/>
      <c r="AB187" s="1163"/>
      <c r="AC187" s="598"/>
      <c r="AD187" s="1120"/>
      <c r="AE187" s="1124" t="s">
        <v>190</v>
      </c>
      <c r="AF187" s="1159"/>
      <c r="AG187" s="1125" t="s">
        <v>190</v>
      </c>
      <c r="AH187" s="598"/>
      <c r="AI187" s="1160"/>
      <c r="AJ187" s="598"/>
      <c r="AK187" s="1164"/>
      <c r="AL187" s="598"/>
      <c r="AM187" s="1120"/>
      <c r="AN187" s="1124" t="s">
        <v>190</v>
      </c>
      <c r="AP187" s="562"/>
      <c r="AQ187" s="1198"/>
      <c r="AR187" s="1198"/>
      <c r="AS187" s="1199"/>
      <c r="AT187" s="1200"/>
      <c r="AU187" s="1193"/>
      <c r="AV187" s="1199"/>
      <c r="AW187" s="1200"/>
      <c r="AX187" s="499"/>
      <c r="AY187" s="499"/>
      <c r="AZ187" s="499"/>
      <c r="BA187" s="499"/>
      <c r="BB187" s="487"/>
      <c r="BC187" s="499"/>
      <c r="BD187" s="487"/>
      <c r="BE187" s="487"/>
      <c r="BF187" s="754"/>
      <c r="BG187" s="487"/>
      <c r="BH187" s="487"/>
    </row>
    <row r="188" spans="1:61" hidden="1" outlineLevel="1">
      <c r="A188" s="598" t="s">
        <v>528</v>
      </c>
      <c r="B188" s="1157" t="s">
        <v>515</v>
      </c>
      <c r="C188" s="598"/>
      <c r="D188" s="1120"/>
      <c r="E188" s="598"/>
      <c r="F188" s="1179">
        <f>'SegP&amp;L'!Y47</f>
        <v>18</v>
      </c>
      <c r="G188" s="598"/>
      <c r="H188" s="1120"/>
      <c r="I188" s="1124"/>
      <c r="J188" s="1127">
        <f>Stores!Y58</f>
        <v>42</v>
      </c>
      <c r="K188" s="598"/>
      <c r="L188" s="1128">
        <f>AVERAGE(J188,J187)</f>
        <v>40.5</v>
      </c>
      <c r="M188" s="598"/>
      <c r="N188" s="1120"/>
      <c r="O188" s="1124"/>
      <c r="P188" s="1159"/>
      <c r="Q188" s="1125"/>
      <c r="R188" s="598"/>
      <c r="S188" s="1165">
        <f>'SegP&amp;L'!W47</f>
        <v>41.686999999999998</v>
      </c>
      <c r="T188" s="598"/>
      <c r="U188" s="1166">
        <f>S188/L188</f>
        <v>1.0293086419753086</v>
      </c>
      <c r="V188" s="598"/>
      <c r="W188" s="1158"/>
      <c r="X188" s="1124"/>
      <c r="Y188" s="598"/>
      <c r="Z188" s="1162">
        <f>Stores!AB58</f>
        <v>1.0217307692307691</v>
      </c>
      <c r="AA188" s="598"/>
      <c r="AB188" s="1163">
        <f>AVERAGE(Z188,Z187)</f>
        <v>0.98524038461538455</v>
      </c>
      <c r="AC188" s="598"/>
      <c r="AD188" s="1120"/>
      <c r="AE188" s="1124"/>
      <c r="AF188" s="1159"/>
      <c r="AG188" s="1125"/>
      <c r="AH188" s="598"/>
      <c r="AI188" s="1165"/>
      <c r="AJ188" s="598"/>
      <c r="AK188" s="1167"/>
      <c r="AL188" s="598"/>
      <c r="AM188" s="1158"/>
      <c r="AN188" s="1124"/>
      <c r="AP188" s="562"/>
      <c r="AQ188" s="1198"/>
      <c r="AR188" s="1198"/>
      <c r="AS188" s="1199"/>
      <c r="AT188" s="1200"/>
      <c r="AU188" s="1193"/>
      <c r="AV188" s="1199"/>
      <c r="AW188" s="1200"/>
      <c r="AX188" s="499"/>
      <c r="AY188" s="499"/>
      <c r="AZ188" s="499"/>
      <c r="BA188" s="499"/>
      <c r="BB188" s="487"/>
      <c r="BC188" s="499"/>
      <c r="BD188" s="487"/>
      <c r="BE188" s="487"/>
      <c r="BF188" s="754"/>
      <c r="BG188" s="487"/>
      <c r="BH188" s="701"/>
    </row>
    <row r="189" spans="1:61" hidden="1" outlineLevel="1">
      <c r="A189" s="598" t="s">
        <v>529</v>
      </c>
      <c r="B189" s="1157" t="s">
        <v>516</v>
      </c>
      <c r="C189" s="598"/>
      <c r="D189" s="1120"/>
      <c r="E189" s="598"/>
      <c r="F189" s="1179">
        <f>'SegP&amp;L'!Y48</f>
        <v>-1</v>
      </c>
      <c r="G189" s="598"/>
      <c r="H189" s="1120"/>
      <c r="I189" s="1124"/>
      <c r="J189" s="1127">
        <f>Stores!Y59</f>
        <v>49</v>
      </c>
      <c r="K189" s="598"/>
      <c r="L189" s="1128">
        <f>AVERAGE(J189,J188)</f>
        <v>45.5</v>
      </c>
      <c r="M189" s="598"/>
      <c r="N189" s="1120"/>
      <c r="O189" s="1124"/>
      <c r="P189" s="1159"/>
      <c r="Q189" s="1125"/>
      <c r="R189" s="598"/>
      <c r="S189" s="1165">
        <f>'SegP&amp;L'!W48</f>
        <v>49.066000000000003</v>
      </c>
      <c r="T189" s="598"/>
      <c r="U189" s="1166">
        <f>S189/L189</f>
        <v>1.0783736263736263</v>
      </c>
      <c r="V189" s="598"/>
      <c r="W189" s="1158"/>
      <c r="X189" s="1124"/>
      <c r="Y189" s="598"/>
      <c r="Z189" s="1162">
        <f>Stores!AB59</f>
        <v>1.1920192307692308</v>
      </c>
      <c r="AA189" s="598"/>
      <c r="AB189" s="1163">
        <f>AVERAGE(Z189,Z188)</f>
        <v>1.1068750000000001</v>
      </c>
      <c r="AC189" s="598"/>
      <c r="AD189" s="1120"/>
      <c r="AE189" s="1124"/>
      <c r="AF189" s="1159"/>
      <c r="AG189" s="1125"/>
      <c r="AH189" s="598"/>
      <c r="AI189" s="1165"/>
      <c r="AJ189" s="598"/>
      <c r="AK189" s="1167"/>
      <c r="AL189" s="598"/>
      <c r="AM189" s="1158"/>
      <c r="AN189" s="1124"/>
      <c r="AP189" s="562"/>
      <c r="AQ189" s="1198"/>
      <c r="AR189" s="1198"/>
      <c r="AS189" s="1199"/>
      <c r="AT189" s="1200"/>
      <c r="AU189" s="1193"/>
      <c r="AV189" s="1199"/>
      <c r="AW189" s="1200"/>
      <c r="AX189" s="499"/>
      <c r="AY189" s="499"/>
      <c r="AZ189" s="499"/>
      <c r="BA189" s="499"/>
      <c r="BB189" s="487"/>
      <c r="BC189" s="499"/>
      <c r="BD189" s="487"/>
      <c r="BE189" s="487"/>
      <c r="BF189" s="754"/>
      <c r="BG189" s="487"/>
      <c r="BH189" s="487"/>
    </row>
    <row r="190" spans="1:61" hidden="1" outlineLevel="1">
      <c r="A190" s="598" t="s">
        <v>530</v>
      </c>
      <c r="B190" s="1157" t="s">
        <v>517</v>
      </c>
      <c r="C190" s="598"/>
      <c r="D190" s="1168"/>
      <c r="E190" s="598"/>
      <c r="F190" s="1178">
        <f>'SegP&amp;L'!Y49</f>
        <v>7</v>
      </c>
      <c r="G190" s="598"/>
      <c r="H190" s="1168"/>
      <c r="I190" s="1124"/>
      <c r="J190" s="1170">
        <f>yrSales!G$156</f>
        <v>52</v>
      </c>
      <c r="K190" s="598"/>
      <c r="L190" s="1171">
        <f>AVERAGE(J190,J189)</f>
        <v>50.5</v>
      </c>
      <c r="M190" s="598"/>
      <c r="N190" s="1168"/>
      <c r="O190" s="1124"/>
      <c r="P190" s="1171"/>
      <c r="Q190" s="1125"/>
      <c r="R190" s="598"/>
      <c r="S190" s="1172">
        <f>'SegP&amp;L'!W49</f>
        <v>55.293999999999997</v>
      </c>
      <c r="T190" s="598"/>
      <c r="U190" s="1173">
        <f>S190/L190</f>
        <v>1.0949306930693068</v>
      </c>
      <c r="V190" s="598"/>
      <c r="W190" s="1169"/>
      <c r="X190" s="1124"/>
      <c r="Y190" s="598"/>
      <c r="Z190" s="1129">
        <f>yrSales!G$169</f>
        <v>1.2649999999999999</v>
      </c>
      <c r="AA190" s="598"/>
      <c r="AB190" s="1174">
        <f>AVERAGE(Z190,Z189)</f>
        <v>1.2285096153846153</v>
      </c>
      <c r="AC190" s="598"/>
      <c r="AD190" s="1168"/>
      <c r="AE190" s="1124"/>
      <c r="AF190" s="1171"/>
      <c r="AG190" s="1125"/>
      <c r="AH190" s="598"/>
      <c r="AI190" s="1172"/>
      <c r="AJ190" s="598"/>
      <c r="AK190" s="1175"/>
      <c r="AL190" s="598"/>
      <c r="AM190" s="1169"/>
      <c r="AN190" s="1124"/>
      <c r="AP190" s="1201"/>
      <c r="AQ190" s="1202"/>
      <c r="AR190" s="487"/>
      <c r="AS190" s="1199"/>
      <c r="AT190" s="1200"/>
      <c r="AU190" s="1193"/>
      <c r="AV190" s="1199"/>
      <c r="AW190" s="1200"/>
      <c r="AX190" s="499"/>
      <c r="AY190" s="499"/>
      <c r="AZ190" s="499"/>
      <c r="BA190" s="499"/>
      <c r="BB190" s="487"/>
      <c r="BC190" s="499"/>
      <c r="BD190" s="487"/>
      <c r="BE190" s="487"/>
      <c r="BF190" s="754"/>
      <c r="BG190" s="487"/>
      <c r="BH190" s="487"/>
    </row>
    <row r="191" spans="1:61" hidden="1" outlineLevel="1">
      <c r="A191" s="598"/>
      <c r="B191" s="1157" t="s">
        <v>531</v>
      </c>
      <c r="C191" s="598"/>
      <c r="D191" s="1120"/>
      <c r="E191" s="598"/>
      <c r="F191" s="1179">
        <f>'SegP&amp;L'!Y50</f>
        <v>7</v>
      </c>
      <c r="G191" s="598"/>
      <c r="H191" s="1120">
        <f>D191-F191</f>
        <v>-7</v>
      </c>
      <c r="I191" s="1124"/>
      <c r="J191" s="1127"/>
      <c r="K191" s="598"/>
      <c r="L191" s="1128">
        <f>AVERAGE(J190,37)</f>
        <v>44.5</v>
      </c>
      <c r="M191" s="598"/>
      <c r="N191" s="1120"/>
      <c r="O191" s="1124"/>
      <c r="P191" s="1159"/>
      <c r="Q191" s="1125"/>
      <c r="R191" s="598"/>
      <c r="S191" s="1160">
        <f>yrSales!G$138</f>
        <v>177.75900000000001</v>
      </c>
      <c r="T191" s="598"/>
      <c r="U191" s="1161">
        <f>S191/L191</f>
        <v>3.9945842696629215</v>
      </c>
      <c r="V191" s="598"/>
      <c r="W191" s="1158"/>
      <c r="X191" s="1124"/>
      <c r="Y191" s="598"/>
      <c r="Z191" s="1127"/>
      <c r="AA191" s="598"/>
      <c r="AB191" s="1163">
        <f>AVERAGE(Z190,Z183)</f>
        <v>1.2649999999999999</v>
      </c>
      <c r="AC191" s="598"/>
      <c r="AD191" s="1120"/>
      <c r="AE191" s="1124"/>
      <c r="AF191" s="1159"/>
      <c r="AG191" s="1125"/>
      <c r="AH191" s="598"/>
      <c r="AI191" s="1160">
        <f>+S191</f>
        <v>177.75900000000001</v>
      </c>
      <c r="AJ191" s="598"/>
      <c r="AK191" s="1164">
        <f>AI191/AB191</f>
        <v>140.5209486166008</v>
      </c>
      <c r="AL191" s="598"/>
      <c r="AM191" s="1158"/>
      <c r="AN191" s="1124"/>
      <c r="AP191" s="562"/>
      <c r="AQ191" s="1198"/>
      <c r="AR191" s="1198"/>
      <c r="AS191" s="1199"/>
      <c r="AT191" s="1200"/>
      <c r="AU191" s="1193"/>
      <c r="AV191" s="1199"/>
      <c r="AW191" s="1200"/>
      <c r="AX191" s="499"/>
      <c r="AY191" s="499"/>
      <c r="AZ191" s="499"/>
      <c r="BA191" s="499"/>
      <c r="BB191" s="702"/>
      <c r="BC191" s="499"/>
      <c r="BD191" s="702"/>
      <c r="BE191" s="702"/>
      <c r="BF191" s="1195"/>
      <c r="BG191" s="487"/>
      <c r="BH191" s="487"/>
    </row>
    <row r="192" spans="1:61" hidden="1" outlineLevel="1">
      <c r="A192" s="598"/>
      <c r="B192" s="1157"/>
      <c r="C192" s="598"/>
      <c r="D192" s="598"/>
      <c r="E192" s="598"/>
      <c r="F192" s="598"/>
      <c r="G192" s="598"/>
      <c r="H192" s="598"/>
      <c r="I192" s="1124"/>
      <c r="J192" s="1127"/>
      <c r="K192" s="598"/>
      <c r="L192" s="598"/>
      <c r="M192" s="598"/>
      <c r="N192" s="598"/>
      <c r="O192" s="1124"/>
      <c r="P192" s="1125"/>
      <c r="Q192" s="1125"/>
      <c r="R192" s="598"/>
      <c r="S192" s="598"/>
      <c r="T192" s="598"/>
      <c r="U192" s="598"/>
      <c r="V192" s="598"/>
      <c r="W192" s="598"/>
      <c r="X192" s="1124"/>
      <c r="Y192" s="598"/>
      <c r="Z192" s="1127"/>
      <c r="AA192" s="598"/>
      <c r="AB192" s="598"/>
      <c r="AC192" s="598"/>
      <c r="AD192" s="598"/>
      <c r="AE192" s="1124"/>
      <c r="AF192" s="1125"/>
      <c r="AG192" s="1125"/>
      <c r="AH192" s="598"/>
      <c r="AI192" s="598"/>
      <c r="AJ192" s="598"/>
      <c r="AK192" s="598"/>
      <c r="AL192" s="598"/>
      <c r="AM192" s="598"/>
      <c r="AN192" s="1124"/>
      <c r="AP192" s="487"/>
      <c r="AQ192" s="487"/>
      <c r="AR192" s="487"/>
      <c r="AS192" s="499"/>
      <c r="AT192" s="1193"/>
      <c r="AU192" s="1193"/>
      <c r="AV192" s="1193"/>
      <c r="AW192" s="499"/>
      <c r="AX192" s="499"/>
      <c r="AY192" s="499"/>
      <c r="AZ192" s="499"/>
      <c r="BA192" s="499"/>
      <c r="BB192" s="487"/>
      <c r="BC192" s="499"/>
      <c r="BD192" s="487"/>
      <c r="BE192" s="487"/>
      <c r="BF192" s="754"/>
      <c r="BG192" s="487"/>
      <c r="BH192" s="487"/>
    </row>
    <row r="193" spans="1:60" ht="13.5" hidden="1" outlineLevel="1" thickBot="1">
      <c r="A193" s="1154"/>
      <c r="B193" s="1155">
        <f>B186+1</f>
        <v>1996</v>
      </c>
      <c r="C193" s="598"/>
      <c r="D193" s="598"/>
      <c r="E193" s="598"/>
      <c r="F193" s="598"/>
      <c r="G193" s="598"/>
      <c r="H193" s="598"/>
      <c r="I193" s="1124"/>
      <c r="J193" s="1127"/>
      <c r="K193" s="598"/>
      <c r="L193" s="598"/>
      <c r="M193" s="598"/>
      <c r="N193" s="598"/>
      <c r="O193" s="1124"/>
      <c r="P193" s="1125"/>
      <c r="Q193" s="1125"/>
      <c r="R193" s="598"/>
      <c r="S193" s="598"/>
      <c r="T193" s="598"/>
      <c r="U193" s="598"/>
      <c r="V193" s="598"/>
      <c r="W193" s="598"/>
      <c r="X193" s="1124"/>
      <c r="Y193" s="598"/>
      <c r="Z193" s="1127"/>
      <c r="AA193" s="598"/>
      <c r="AB193" s="598"/>
      <c r="AC193" s="598"/>
      <c r="AD193" s="598"/>
      <c r="AE193" s="1124"/>
      <c r="AF193" s="1125"/>
      <c r="AG193" s="1125"/>
      <c r="AH193" s="598"/>
      <c r="AI193" s="598"/>
      <c r="AJ193" s="598"/>
      <c r="AK193" s="598"/>
      <c r="AL193" s="598"/>
      <c r="AM193" s="598"/>
      <c r="AN193" s="1124"/>
      <c r="AP193" s="1196">
        <v>1</v>
      </c>
      <c r="AQ193" s="735"/>
      <c r="AR193" s="487"/>
      <c r="AS193" s="1197"/>
      <c r="AT193" s="1081"/>
      <c r="AU193" s="1193"/>
      <c r="AV193" s="1197"/>
      <c r="AW193" s="1081"/>
      <c r="AX193" s="499"/>
      <c r="AY193" s="499"/>
      <c r="AZ193" s="499"/>
      <c r="BA193" s="499"/>
      <c r="BB193" s="487"/>
      <c r="BC193" s="499"/>
      <c r="BD193" s="487"/>
      <c r="BE193" s="487"/>
      <c r="BF193" s="754"/>
      <c r="BG193" s="487"/>
      <c r="BH193" s="487"/>
    </row>
    <row r="194" spans="1:60" hidden="1" outlineLevel="1">
      <c r="A194" s="598" t="s">
        <v>527</v>
      </c>
      <c r="B194" s="1157" t="s">
        <v>514</v>
      </c>
      <c r="C194" s="598"/>
      <c r="D194" s="1120">
        <f>(S194/S187-1)*100</f>
        <v>41.987260343087797</v>
      </c>
      <c r="E194" s="598" t="s">
        <v>190</v>
      </c>
      <c r="F194" s="1179">
        <f>'SegP&amp;L'!Y53</f>
        <v>4</v>
      </c>
      <c r="G194" s="598" t="s">
        <v>190</v>
      </c>
      <c r="H194" s="1120">
        <f>D194-F194</f>
        <v>37.987260343087797</v>
      </c>
      <c r="I194" s="1124" t="s">
        <v>190</v>
      </c>
      <c r="J194" s="1127">
        <f>Stores!Y65</f>
        <v>57</v>
      </c>
      <c r="K194" s="598"/>
      <c r="L194" s="1128">
        <f>AVERAGE(J194,J190)</f>
        <v>54.5</v>
      </c>
      <c r="M194" s="598"/>
      <c r="N194" s="1120">
        <f>(L194/L187-1)*100</f>
        <v>43.421052631578938</v>
      </c>
      <c r="O194" s="1124" t="s">
        <v>190</v>
      </c>
      <c r="P194" s="1159">
        <f>H194/N194*100</f>
        <v>87.485811699232514</v>
      </c>
      <c r="Q194" s="1125" t="s">
        <v>190</v>
      </c>
      <c r="R194" s="598"/>
      <c r="S194" s="1160">
        <f>'SegP&amp;L'!W53</f>
        <v>45.027000000000001</v>
      </c>
      <c r="T194" s="598"/>
      <c r="U194" s="1161">
        <f>S194/L194</f>
        <v>0.82618348623853211</v>
      </c>
      <c r="V194" s="598"/>
      <c r="W194" s="1176">
        <f>(U194/U187-1)*100</f>
        <v>-0.99970838463603329</v>
      </c>
      <c r="X194" s="1124" t="s">
        <v>190</v>
      </c>
      <c r="Y194" s="598"/>
      <c r="Z194" s="1162">
        <f>Stores!AB65</f>
        <v>1.4363999999999999</v>
      </c>
      <c r="AA194" s="598"/>
      <c r="AB194" s="1163">
        <f>AVERAGE(Z194,Z190)</f>
        <v>1.3506999999999998</v>
      </c>
      <c r="AC194" s="598"/>
      <c r="AD194" s="1120"/>
      <c r="AE194" s="1124" t="s">
        <v>190</v>
      </c>
      <c r="AF194" s="1159"/>
      <c r="AG194" s="1125" t="s">
        <v>190</v>
      </c>
      <c r="AH194" s="598"/>
      <c r="AI194" s="1160">
        <f>+S194</f>
        <v>45.027000000000001</v>
      </c>
      <c r="AJ194" s="598" t="s">
        <v>315</v>
      </c>
      <c r="AK194" s="1164">
        <f>AI194/AB194</f>
        <v>33.336047975124018</v>
      </c>
      <c r="AL194" s="598"/>
      <c r="AM194" s="1176"/>
      <c r="AN194" s="1124" t="s">
        <v>190</v>
      </c>
      <c r="AP194" s="562"/>
      <c r="AQ194" s="1198"/>
      <c r="AR194" s="1198"/>
      <c r="AS194" s="1199"/>
      <c r="AT194" s="1200"/>
      <c r="AU194" s="1193"/>
      <c r="AV194" s="1199"/>
      <c r="AW194" s="1200"/>
      <c r="AX194" s="499"/>
      <c r="AY194" s="1199"/>
      <c r="AZ194" s="1199"/>
      <c r="BA194" s="499"/>
      <c r="BB194" s="487"/>
      <c r="BC194" s="499"/>
      <c r="BD194" s="487"/>
      <c r="BE194" s="487"/>
      <c r="BF194" s="754"/>
      <c r="BG194" s="487"/>
      <c r="BH194" s="487"/>
    </row>
    <row r="195" spans="1:60" hidden="1" outlineLevel="1">
      <c r="A195" s="598" t="s">
        <v>528</v>
      </c>
      <c r="B195" s="1157" t="s">
        <v>515</v>
      </c>
      <c r="C195" s="598"/>
      <c r="D195" s="1120">
        <f>(S195/S188-1)*100</f>
        <v>35.41151917864083</v>
      </c>
      <c r="E195" s="598"/>
      <c r="F195" s="1179">
        <f>'SegP&amp;L'!Y54</f>
        <v>7</v>
      </c>
      <c r="G195" s="598"/>
      <c r="H195" s="1120">
        <f>D195-F195</f>
        <v>28.41151917864083</v>
      </c>
      <c r="I195" s="1124"/>
      <c r="J195" s="1127">
        <f>Stores!Y66</f>
        <v>57</v>
      </c>
      <c r="K195" s="598"/>
      <c r="L195" s="1128">
        <f>AVERAGE(J195,J194)</f>
        <v>57</v>
      </c>
      <c r="M195" s="598"/>
      <c r="N195" s="1120">
        <f>(L195/L188-1)*100</f>
        <v>40.740740740740748</v>
      </c>
      <c r="O195" s="1124"/>
      <c r="P195" s="1159">
        <f>H195/N195*100</f>
        <v>69.737365256663836</v>
      </c>
      <c r="Q195" s="1125"/>
      <c r="R195" s="598"/>
      <c r="S195" s="1165">
        <f>'SegP&amp;L'!W54</f>
        <v>56.448999999999998</v>
      </c>
      <c r="T195" s="598"/>
      <c r="U195" s="1166">
        <f>S195/L195</f>
        <v>0.99033333333333329</v>
      </c>
      <c r="V195" s="598"/>
      <c r="W195" s="1176">
        <f>(U195/U188-1)*100</f>
        <v>-3.7865521625446763</v>
      </c>
      <c r="X195" s="1124"/>
      <c r="Y195" s="598"/>
      <c r="Z195" s="1162">
        <f>Stores!AB66</f>
        <v>1.4363999999999999</v>
      </c>
      <c r="AA195" s="598"/>
      <c r="AB195" s="1163">
        <f>AVERAGE(Z195,Z194)</f>
        <v>1.4363999999999999</v>
      </c>
      <c r="AC195" s="598"/>
      <c r="AD195" s="1120">
        <f>(AB195/AB188-1)*100</f>
        <v>45.791831357048743</v>
      </c>
      <c r="AE195" s="1124"/>
      <c r="AF195" s="1159">
        <f>+H195/AD195*100</f>
        <v>62.044950674957974</v>
      </c>
      <c r="AG195" s="1125"/>
      <c r="AH195" s="598"/>
      <c r="AI195" s="1165">
        <f>+S195</f>
        <v>56.448999999999998</v>
      </c>
      <c r="AJ195" s="598"/>
      <c r="AK195" s="1167">
        <f>AI195/AB195</f>
        <v>39.298941798941797</v>
      </c>
      <c r="AL195" s="598"/>
      <c r="AM195" s="1176"/>
      <c r="AN195" s="1124"/>
      <c r="AP195" s="562"/>
      <c r="AQ195" s="1198"/>
      <c r="AR195" s="1198"/>
      <c r="AS195" s="1199"/>
      <c r="AT195" s="1200"/>
      <c r="AU195" s="1193"/>
      <c r="AV195" s="1199"/>
      <c r="AW195" s="1200"/>
      <c r="AX195" s="499"/>
      <c r="AY195" s="1199"/>
      <c r="AZ195" s="1199"/>
      <c r="BA195" s="499"/>
      <c r="BB195" s="487"/>
      <c r="BC195" s="499"/>
      <c r="BD195" s="487"/>
      <c r="BE195" s="487"/>
      <c r="BF195" s="754"/>
      <c r="BG195" s="487"/>
      <c r="BH195" s="701"/>
    </row>
    <row r="196" spans="1:60" hidden="1" outlineLevel="1">
      <c r="A196" s="598" t="s">
        <v>529</v>
      </c>
      <c r="B196" s="1157" t="s">
        <v>516</v>
      </c>
      <c r="C196" s="598"/>
      <c r="D196" s="1120">
        <f>(S196/S189-1)*100</f>
        <v>47.556352667835156</v>
      </c>
      <c r="E196" s="598"/>
      <c r="F196" s="1179">
        <f>'SegP&amp;L'!Y55</f>
        <v>22</v>
      </c>
      <c r="G196" s="598"/>
      <c r="H196" s="1120">
        <f>D196-F196</f>
        <v>25.556352667835156</v>
      </c>
      <c r="I196" s="1124"/>
      <c r="J196" s="1127">
        <f>Stores!Y67</f>
        <v>63</v>
      </c>
      <c r="K196" s="598"/>
      <c r="L196" s="1128">
        <f>AVERAGE(J196,J195)</f>
        <v>60</v>
      </c>
      <c r="M196" s="598"/>
      <c r="N196" s="1120">
        <f>(L196/L189-1)*100</f>
        <v>31.868131868131865</v>
      </c>
      <c r="O196" s="1124"/>
      <c r="P196" s="1159">
        <f>H196/N196*100</f>
        <v>80.194072164586188</v>
      </c>
      <c r="Q196" s="1125"/>
      <c r="R196" s="598"/>
      <c r="S196" s="1165">
        <f>'SegP&amp;L'!W55</f>
        <v>72.400000000000006</v>
      </c>
      <c r="T196" s="598"/>
      <c r="U196" s="1166">
        <f>S196/L196</f>
        <v>1.2066666666666668</v>
      </c>
      <c r="V196" s="598"/>
      <c r="W196" s="1176">
        <f>(U196/U189-1)*100</f>
        <v>11.896900773108342</v>
      </c>
      <c r="X196" s="1124"/>
      <c r="Y196" s="598"/>
      <c r="Z196" s="1162">
        <f>Stores!AB67</f>
        <v>1.5875999999999999</v>
      </c>
      <c r="AA196" s="598"/>
      <c r="AB196" s="1163">
        <f>AVERAGE(Z196,Z195)</f>
        <v>1.512</v>
      </c>
      <c r="AC196" s="598"/>
      <c r="AD196" s="1120">
        <f>(AB196/AB189-1)*100</f>
        <v>36.600790513833978</v>
      </c>
      <c r="AE196" s="1124"/>
      <c r="AF196" s="1159">
        <f>+H196/AD196*100</f>
        <v>69.824592062227836</v>
      </c>
      <c r="AG196" s="1125"/>
      <c r="AH196" s="598"/>
      <c r="AI196" s="1165">
        <f>+S196</f>
        <v>72.400000000000006</v>
      </c>
      <c r="AJ196" s="598"/>
      <c r="AK196" s="1167">
        <f>AI196/AB196</f>
        <v>47.883597883597886</v>
      </c>
      <c r="AL196" s="598"/>
      <c r="AM196" s="1176"/>
      <c r="AN196" s="1124"/>
      <c r="AP196" s="562"/>
      <c r="AQ196" s="1198"/>
      <c r="AR196" s="1198"/>
      <c r="AS196" s="1199"/>
      <c r="AT196" s="1200"/>
      <c r="AU196" s="1193"/>
      <c r="AV196" s="1199"/>
      <c r="AW196" s="1200"/>
      <c r="AX196" s="499"/>
      <c r="AY196" s="1199"/>
      <c r="AZ196" s="1199"/>
      <c r="BA196" s="499"/>
      <c r="BB196" s="487"/>
      <c r="BC196" s="499"/>
      <c r="BD196" s="487"/>
      <c r="BE196" s="487"/>
      <c r="BF196" s="754"/>
      <c r="BG196" s="487"/>
      <c r="BH196" s="701"/>
    </row>
    <row r="197" spans="1:60" hidden="1" outlineLevel="1">
      <c r="A197" s="598" t="s">
        <v>530</v>
      </c>
      <c r="B197" s="1157" t="s">
        <v>517</v>
      </c>
      <c r="C197" s="598"/>
      <c r="D197" s="1168">
        <f>(S197/S190-1)*100</f>
        <v>41.995514884074225</v>
      </c>
      <c r="E197" s="598"/>
      <c r="F197" s="1178">
        <f>'SegP&amp;L'!Y56</f>
        <v>16</v>
      </c>
      <c r="G197" s="598"/>
      <c r="H197" s="1168">
        <f>D197-F197</f>
        <v>25.995514884074225</v>
      </c>
      <c r="I197" s="1124"/>
      <c r="J197" s="1170">
        <f>yrSales!H$156</f>
        <v>65</v>
      </c>
      <c r="K197" s="598"/>
      <c r="L197" s="1171">
        <f>AVERAGE(J197,J196)</f>
        <v>64</v>
      </c>
      <c r="M197" s="598"/>
      <c r="N197" s="1168">
        <f>(L197/L190-1)*100</f>
        <v>26.732673267326735</v>
      </c>
      <c r="O197" s="1124"/>
      <c r="P197" s="1171">
        <f>H197/N197*100</f>
        <v>97.242481603388768</v>
      </c>
      <c r="Q197" s="1125"/>
      <c r="R197" s="598"/>
      <c r="S197" s="1172">
        <f>'SegP&amp;L'!W56</f>
        <v>78.515000000000001</v>
      </c>
      <c r="T197" s="598"/>
      <c r="U197" s="1173">
        <f>S197/L197</f>
        <v>1.226796875</v>
      </c>
      <c r="V197" s="598"/>
      <c r="W197" s="1169">
        <f>(U197/U190-1)*100</f>
        <v>12.04333596321483</v>
      </c>
      <c r="X197" s="1124"/>
      <c r="Y197" s="598"/>
      <c r="Z197" s="1129">
        <f>yrSales!H$169</f>
        <v>1.6379999999999999</v>
      </c>
      <c r="AA197" s="598"/>
      <c r="AB197" s="1174">
        <f>AVERAGE(Z197,Z196)</f>
        <v>1.6128</v>
      </c>
      <c r="AC197" s="598"/>
      <c r="AD197" s="1168">
        <f>(AB197/AB190-1)*100</f>
        <v>31.281023754549373</v>
      </c>
      <c r="AE197" s="1124"/>
      <c r="AF197" s="1171">
        <f>+H197/AD197*100</f>
        <v>83.103146137579827</v>
      </c>
      <c r="AG197" s="1125"/>
      <c r="AH197" s="598"/>
      <c r="AI197" s="1172">
        <f>+S197</f>
        <v>78.515000000000001</v>
      </c>
      <c r="AJ197" s="598"/>
      <c r="AK197" s="1175">
        <f>AI197/AB197</f>
        <v>48.682415674603178</v>
      </c>
      <c r="AL197" s="598"/>
      <c r="AM197" s="1169"/>
      <c r="AN197" s="1124"/>
      <c r="AP197" s="1201"/>
      <c r="AQ197" s="1202"/>
      <c r="AR197" s="487"/>
      <c r="AS197" s="1199"/>
      <c r="AT197" s="1200"/>
      <c r="AU197" s="1193"/>
      <c r="AV197" s="1199"/>
      <c r="AW197" s="1200"/>
      <c r="AX197" s="499"/>
      <c r="AY197" s="1199"/>
      <c r="AZ197" s="1199"/>
      <c r="BA197" s="499"/>
      <c r="BB197" s="487"/>
      <c r="BC197" s="499"/>
      <c r="BD197" s="487"/>
      <c r="BE197" s="487"/>
      <c r="BF197" s="754"/>
      <c r="BG197" s="487"/>
      <c r="BH197" s="487"/>
    </row>
    <row r="198" spans="1:60" hidden="1" outlineLevel="1">
      <c r="A198" s="598"/>
      <c r="B198" s="1157" t="s">
        <v>531</v>
      </c>
      <c r="C198" s="598"/>
      <c r="D198" s="1120">
        <f>(S198/S191-1)*100</f>
        <v>41.984934658723326</v>
      </c>
      <c r="E198" s="598"/>
      <c r="F198" s="1179">
        <f>'SegP&amp;L'!Y57</f>
        <v>13</v>
      </c>
      <c r="G198" s="598"/>
      <c r="H198" s="1120">
        <f>D198-F198</f>
        <v>28.984934658723326</v>
      </c>
      <c r="I198" s="1124"/>
      <c r="J198" s="1127"/>
      <c r="K198" s="598"/>
      <c r="L198" s="1128">
        <f>AVERAGE(J197,J190)</f>
        <v>58.5</v>
      </c>
      <c r="M198" s="598"/>
      <c r="N198" s="1120">
        <f>(L198/L191-1)*100</f>
        <v>31.46067415730338</v>
      </c>
      <c r="O198" s="1124"/>
      <c r="P198" s="1159">
        <f>H198/N198*100</f>
        <v>92.130685165227689</v>
      </c>
      <c r="Q198" s="1125"/>
      <c r="R198" s="598"/>
      <c r="S198" s="1160">
        <f>yrSales!H$138</f>
        <v>252.39100000000002</v>
      </c>
      <c r="T198" s="598"/>
      <c r="U198" s="1161">
        <f>S198/L198</f>
        <v>4.3143760683760686</v>
      </c>
      <c r="V198" s="598"/>
      <c r="W198" s="1176">
        <f>(U198/U191-1)*100</f>
        <v>8.0056340566357029</v>
      </c>
      <c r="X198" s="1124"/>
      <c r="Y198" s="598"/>
      <c r="Z198" s="1127"/>
      <c r="AA198" s="598"/>
      <c r="AB198" s="1163">
        <f>AVERAGE(Z197,Z190)</f>
        <v>1.4514999999999998</v>
      </c>
      <c r="AC198" s="598"/>
      <c r="AD198" s="1120">
        <f>(AB198/AB191-1)*100</f>
        <v>14.743083003952551</v>
      </c>
      <c r="AE198" s="1124"/>
      <c r="AF198" s="1159">
        <f>+H198/AD198*100</f>
        <v>196.60022704174293</v>
      </c>
      <c r="AG198" s="1125"/>
      <c r="AH198" s="598"/>
      <c r="AI198" s="1160">
        <f>+S198</f>
        <v>252.39100000000002</v>
      </c>
      <c r="AJ198" s="598"/>
      <c r="AK198" s="1164">
        <f>AI198/AB198</f>
        <v>173.88287977953846</v>
      </c>
      <c r="AL198" s="598"/>
      <c r="AM198" s="1120">
        <f>(AK198/AK191-1)*100</f>
        <v>23.741606850351381</v>
      </c>
      <c r="AN198" s="1124"/>
      <c r="AP198" s="562"/>
      <c r="AQ198" s="1198"/>
      <c r="AR198" s="1198"/>
      <c r="AS198" s="1199"/>
      <c r="AT198" s="1200"/>
      <c r="AU198" s="1193"/>
      <c r="AV198" s="1199"/>
      <c r="AW198" s="1200"/>
      <c r="AX198" s="499"/>
      <c r="AY198" s="1199"/>
      <c r="AZ198" s="1199"/>
      <c r="BA198" s="499"/>
      <c r="BB198" s="702"/>
      <c r="BC198" s="499"/>
      <c r="BD198" s="702"/>
      <c r="BE198" s="702"/>
      <c r="BF198" s="1195"/>
      <c r="BG198" s="487"/>
      <c r="BH198" s="487"/>
    </row>
    <row r="199" spans="1:60" hidden="1" outlineLevel="1">
      <c r="A199" s="598"/>
      <c r="B199" s="1157"/>
      <c r="C199" s="598"/>
      <c r="D199" s="598"/>
      <c r="E199" s="598"/>
      <c r="F199" s="598"/>
      <c r="G199" s="598"/>
      <c r="H199" s="598"/>
      <c r="I199" s="1124"/>
      <c r="J199" s="1127"/>
      <c r="K199" s="598"/>
      <c r="L199" s="598"/>
      <c r="M199" s="598"/>
      <c r="N199" s="598"/>
      <c r="O199" s="1124"/>
      <c r="P199" s="1125"/>
      <c r="Q199" s="1125"/>
      <c r="R199" s="598"/>
      <c r="S199" s="598"/>
      <c r="T199" s="598"/>
      <c r="U199" s="598"/>
      <c r="V199" s="598"/>
      <c r="W199" s="598"/>
      <c r="X199" s="1124"/>
      <c r="Y199" s="598"/>
      <c r="Z199" s="1127"/>
      <c r="AA199" s="598"/>
      <c r="AB199" s="598"/>
      <c r="AC199" s="598"/>
      <c r="AD199" s="598"/>
      <c r="AE199" s="1124"/>
      <c r="AF199" s="1125"/>
      <c r="AG199" s="1125"/>
      <c r="AH199" s="598"/>
      <c r="AI199" s="598"/>
      <c r="AJ199" s="598"/>
      <c r="AK199" s="598"/>
      <c r="AL199" s="598"/>
      <c r="AM199" s="598"/>
      <c r="AN199" s="1124"/>
      <c r="AP199" s="487"/>
      <c r="AQ199" s="487"/>
      <c r="AR199" s="487"/>
      <c r="AS199" s="499"/>
      <c r="AT199" s="1193"/>
      <c r="AU199" s="1193"/>
      <c r="AV199" s="1193"/>
      <c r="AW199" s="499"/>
      <c r="AX199" s="499"/>
      <c r="AY199" s="499"/>
      <c r="AZ199" s="499"/>
      <c r="BA199" s="499"/>
      <c r="BB199" s="487"/>
      <c r="BC199" s="499"/>
      <c r="BD199" s="487"/>
      <c r="BE199" s="487"/>
      <c r="BF199" s="754"/>
      <c r="BG199" s="487"/>
      <c r="BH199" s="487"/>
    </row>
    <row r="200" spans="1:60" ht="13.5" hidden="1" outlineLevel="1" thickBot="1">
      <c r="A200" s="1154"/>
      <c r="B200" s="1155">
        <f>B193+1</f>
        <v>1997</v>
      </c>
      <c r="C200" s="598"/>
      <c r="D200" s="598"/>
      <c r="E200" s="598"/>
      <c r="F200" s="598"/>
      <c r="G200" s="598"/>
      <c r="H200" s="598"/>
      <c r="I200" s="1124"/>
      <c r="J200" s="1127"/>
      <c r="K200" s="598"/>
      <c r="L200" s="598"/>
      <c r="M200" s="598"/>
      <c r="N200" s="598"/>
      <c r="O200" s="1124"/>
      <c r="P200" s="1125"/>
      <c r="Q200" s="1125"/>
      <c r="R200" s="598"/>
      <c r="S200" s="598"/>
      <c r="T200" s="598"/>
      <c r="U200" s="598"/>
      <c r="V200" s="598"/>
      <c r="W200" s="598"/>
      <c r="X200" s="1124"/>
      <c r="Y200" s="598"/>
      <c r="Z200" s="1127"/>
      <c r="AA200" s="598"/>
      <c r="AB200" s="598"/>
      <c r="AC200" s="598"/>
      <c r="AD200" s="598"/>
      <c r="AE200" s="1124"/>
      <c r="AF200" s="1125"/>
      <c r="AG200" s="1125"/>
      <c r="AH200" s="598"/>
      <c r="AI200" s="598"/>
      <c r="AJ200" s="598"/>
      <c r="AK200" s="598"/>
      <c r="AL200" s="598"/>
      <c r="AM200" s="598"/>
      <c r="AN200" s="1124"/>
      <c r="AP200" s="1196">
        <v>1</v>
      </c>
      <c r="AQ200" s="735"/>
      <c r="AR200" s="487"/>
      <c r="AS200" s="1197"/>
      <c r="AT200" s="1081"/>
      <c r="AU200" s="1193"/>
      <c r="AV200" s="1197"/>
      <c r="AW200" s="1081"/>
      <c r="AX200" s="499"/>
      <c r="AY200" s="1193"/>
      <c r="AZ200" s="1193"/>
      <c r="BA200" s="499"/>
      <c r="BB200" s="487"/>
      <c r="BC200" s="499"/>
      <c r="BD200" s="487"/>
      <c r="BE200" s="487"/>
      <c r="BF200" s="754"/>
      <c r="BG200" s="487"/>
      <c r="BH200" s="487"/>
    </row>
    <row r="201" spans="1:60" hidden="1" outlineLevel="1">
      <c r="A201" s="598" t="s">
        <v>527</v>
      </c>
      <c r="B201" s="1157" t="s">
        <v>514</v>
      </c>
      <c r="C201" s="598"/>
      <c r="D201" s="1120">
        <f>(S201/S194-1)*100</f>
        <v>37.89726164301419</v>
      </c>
      <c r="E201" s="598" t="s">
        <v>190</v>
      </c>
      <c r="F201" s="1179">
        <f>'SegP&amp;L'!Y60</f>
        <v>19</v>
      </c>
      <c r="G201" s="598" t="s">
        <v>190</v>
      </c>
      <c r="H201" s="1120">
        <f>D201-F201</f>
        <v>18.89726164301419</v>
      </c>
      <c r="I201" s="1124" t="s">
        <v>190</v>
      </c>
      <c r="J201" s="1127">
        <f>Stores!Y73</f>
        <v>68</v>
      </c>
      <c r="K201" s="598"/>
      <c r="L201" s="1128">
        <f>AVERAGE(J201,J197)</f>
        <v>66.5</v>
      </c>
      <c r="M201" s="598"/>
      <c r="N201" s="1120">
        <f>(L201/L194-1)*100</f>
        <v>22.018348623853214</v>
      </c>
      <c r="O201" s="1124" t="s">
        <v>190</v>
      </c>
      <c r="P201" s="1159">
        <f>H201/N201*100</f>
        <v>85.825063295356102</v>
      </c>
      <c r="Q201" s="1125" t="s">
        <v>190</v>
      </c>
      <c r="R201" s="598"/>
      <c r="S201" s="1160">
        <f>'SegP&amp;L'!W60</f>
        <v>62.091000000000001</v>
      </c>
      <c r="T201" s="598"/>
      <c r="U201" s="1161">
        <f>S201/L201</f>
        <v>0.93369924812030081</v>
      </c>
      <c r="V201" s="598"/>
      <c r="W201" s="1176">
        <f>(U201/U194-1)*100</f>
        <v>13.013545256304869</v>
      </c>
      <c r="X201" s="1124" t="s">
        <v>190</v>
      </c>
      <c r="Y201" s="598"/>
      <c r="Z201" s="1162">
        <f>Stores!AB73</f>
        <v>1.7030000000000001</v>
      </c>
      <c r="AA201" s="598"/>
      <c r="AB201" s="1163">
        <f>AVERAGE(Z201,Z197)</f>
        <v>1.6705000000000001</v>
      </c>
      <c r="AC201" s="598"/>
      <c r="AD201" s="1120">
        <f>(AB201/AB194-1)*100</f>
        <v>23.67661212704526</v>
      </c>
      <c r="AE201" s="1124" t="s">
        <v>190</v>
      </c>
      <c r="AF201" s="1159">
        <f>+H201/AD201*100</f>
        <v>79.814044093868802</v>
      </c>
      <c r="AG201" s="1125" t="s">
        <v>190</v>
      </c>
      <c r="AH201" s="598"/>
      <c r="AI201" s="1160">
        <f>+S201</f>
        <v>62.091000000000001</v>
      </c>
      <c r="AJ201" s="598" t="s">
        <v>315</v>
      </c>
      <c r="AK201" s="1164">
        <f>AI201/AB201</f>
        <v>37.169111044597422</v>
      </c>
      <c r="AL201" s="598"/>
      <c r="AM201" s="1176">
        <f>(AK201/AK194-1)*100</f>
        <v>11.498252799293152</v>
      </c>
      <c r="AN201" s="1124" t="s">
        <v>190</v>
      </c>
      <c r="AP201" s="562"/>
      <c r="AQ201" s="1198"/>
      <c r="AR201" s="1203"/>
      <c r="AS201" s="1199"/>
      <c r="AT201" s="1200"/>
      <c r="AU201" s="1193"/>
      <c r="AV201" s="1199"/>
      <c r="AW201" s="1200"/>
      <c r="AX201" s="499"/>
      <c r="AY201" s="740"/>
      <c r="AZ201" s="1088"/>
      <c r="BA201" s="740"/>
      <c r="BB201" s="487"/>
      <c r="BC201" s="740"/>
      <c r="BD201" s="487"/>
      <c r="BE201" s="487"/>
      <c r="BF201" s="754"/>
      <c r="BG201" s="487"/>
      <c r="BH201" s="487"/>
    </row>
    <row r="202" spans="1:60" hidden="1" outlineLevel="1">
      <c r="A202" s="598" t="s">
        <v>528</v>
      </c>
      <c r="B202" s="1157" t="s">
        <v>515</v>
      </c>
      <c r="C202" s="598"/>
      <c r="D202" s="1120">
        <f>(S202/S195-1)*100</f>
        <v>31.493914861202164</v>
      </c>
      <c r="E202" s="598"/>
      <c r="F202" s="1179">
        <f>'SegP&amp;L'!Y61</f>
        <v>15</v>
      </c>
      <c r="G202" s="598"/>
      <c r="H202" s="1120">
        <f>D202-F202</f>
        <v>16.493914861202164</v>
      </c>
      <c r="I202" s="1124"/>
      <c r="J202" s="1127">
        <f>Stores!Y74</f>
        <v>68</v>
      </c>
      <c r="K202" s="598"/>
      <c r="L202" s="1128">
        <f>AVERAGE(J202,J201)</f>
        <v>68</v>
      </c>
      <c r="M202" s="598"/>
      <c r="N202" s="1120">
        <f>(L202/L195-1)*100</f>
        <v>19.298245614035082</v>
      </c>
      <c r="O202" s="1124"/>
      <c r="P202" s="1159">
        <f>H202/N202*100</f>
        <v>85.468467917138511</v>
      </c>
      <c r="Q202" s="1125"/>
      <c r="R202" s="598"/>
      <c r="S202" s="1165">
        <f>'SegP&amp;L'!W61</f>
        <v>74.227000000000004</v>
      </c>
      <c r="T202" s="598"/>
      <c r="U202" s="1166">
        <f>S202/L202</f>
        <v>1.0915735294117648</v>
      </c>
      <c r="V202" s="598"/>
      <c r="W202" s="1176">
        <f>(U202/U195-1)*100</f>
        <v>10.222840398360633</v>
      </c>
      <c r="X202" s="1124"/>
      <c r="Y202" s="598"/>
      <c r="Z202" s="1162">
        <f>Stores!AB74</f>
        <v>1.7689999999999999</v>
      </c>
      <c r="AA202" s="598"/>
      <c r="AB202" s="1163">
        <f>AVERAGE(Z202,Z201)</f>
        <v>1.736</v>
      </c>
      <c r="AC202" s="598"/>
      <c r="AD202" s="1120">
        <f>(AB202/AB195-1)*100</f>
        <v>20.857699805068243</v>
      </c>
      <c r="AE202" s="1124"/>
      <c r="AF202" s="1159">
        <f>+H202/AD202*100</f>
        <v>79.078302091557973</v>
      </c>
      <c r="AG202" s="1125"/>
      <c r="AH202" s="598"/>
      <c r="AI202" s="1165">
        <f>+S202</f>
        <v>74.227000000000004</v>
      </c>
      <c r="AJ202" s="598"/>
      <c r="AK202" s="1167">
        <f>AI202/AB202</f>
        <v>42.757488479262676</v>
      </c>
      <c r="AL202" s="598"/>
      <c r="AM202" s="1176">
        <f>(AK202/AK195-1)*100</f>
        <v>8.8006101996721107</v>
      </c>
      <c r="AN202" s="1124"/>
      <c r="AP202" s="562"/>
      <c r="AQ202" s="1198"/>
      <c r="AR202" s="1198"/>
      <c r="AS202" s="1199"/>
      <c r="AT202" s="1200"/>
      <c r="AU202" s="1193"/>
      <c r="AV202" s="1199"/>
      <c r="AW202" s="1200"/>
      <c r="AX202" s="499"/>
      <c r="AY202" s="740"/>
      <c r="AZ202" s="1200"/>
      <c r="BA202" s="740"/>
      <c r="BB202" s="487"/>
      <c r="BC202" s="740"/>
      <c r="BD202" s="487"/>
      <c r="BE202" s="487"/>
      <c r="BF202" s="754"/>
      <c r="BG202" s="487"/>
      <c r="BH202" s="701"/>
    </row>
    <row r="203" spans="1:60" hidden="1" outlineLevel="1">
      <c r="A203" s="598" t="s">
        <v>529</v>
      </c>
      <c r="B203" s="1157" t="s">
        <v>516</v>
      </c>
      <c r="C203" s="598"/>
      <c r="D203" s="1120">
        <f>(S203/S196-1)*100</f>
        <v>28.176795580110479</v>
      </c>
      <c r="E203" s="598"/>
      <c r="F203" s="1179">
        <f>'SegP&amp;L'!Y62</f>
        <v>14</v>
      </c>
      <c r="G203" s="598"/>
      <c r="H203" s="1120">
        <f>D203-F203</f>
        <v>14.176795580110479</v>
      </c>
      <c r="I203" s="1124"/>
      <c r="J203" s="1127">
        <f>Stores!Y75</f>
        <v>75</v>
      </c>
      <c r="K203" s="598"/>
      <c r="L203" s="1128">
        <f>AVERAGE(J203,J202)</f>
        <v>71.5</v>
      </c>
      <c r="M203" s="598"/>
      <c r="N203" s="1120">
        <f>(L203/L196-1)*100</f>
        <v>19.166666666666664</v>
      </c>
      <c r="O203" s="1124"/>
      <c r="P203" s="1159">
        <f>H203/N203*100</f>
        <v>73.965889983185122</v>
      </c>
      <c r="Q203" s="1125"/>
      <c r="R203" s="598"/>
      <c r="S203" s="1165">
        <f>'SegP&amp;L'!W62</f>
        <v>92.8</v>
      </c>
      <c r="T203" s="598"/>
      <c r="U203" s="1166">
        <f>S203/L203</f>
        <v>1.2979020979020979</v>
      </c>
      <c r="V203" s="598"/>
      <c r="W203" s="1176">
        <f>(U203/U196-1)*100</f>
        <v>7.5609473399528504</v>
      </c>
      <c r="X203" s="1124"/>
      <c r="Y203" s="598"/>
      <c r="Z203" s="1162">
        <f>Stores!AB75</f>
        <v>1.96</v>
      </c>
      <c r="AA203" s="598"/>
      <c r="AB203" s="1163">
        <f>AVERAGE(Z203,Z202)</f>
        <v>1.8645</v>
      </c>
      <c r="AC203" s="598"/>
      <c r="AD203" s="1120">
        <f>(AB203/AB196-1)*100</f>
        <v>23.31349206349207</v>
      </c>
      <c r="AE203" s="1124"/>
      <c r="AF203" s="1159">
        <f>+H203/AD203*100</f>
        <v>60.809404020218551</v>
      </c>
      <c r="AG203" s="1125"/>
      <c r="AH203" s="598"/>
      <c r="AI203" s="1165">
        <f>+S203</f>
        <v>92.8</v>
      </c>
      <c r="AJ203" s="598"/>
      <c r="AK203" s="1167">
        <f>AI203/AB203</f>
        <v>49.772056851702864</v>
      </c>
      <c r="AL203" s="598"/>
      <c r="AM203" s="1176">
        <f>(AK203/AK196-1)*100</f>
        <v>3.94385353560045</v>
      </c>
      <c r="AN203" s="1124"/>
      <c r="AP203" s="562"/>
      <c r="AQ203" s="1198"/>
      <c r="AR203" s="1198"/>
      <c r="AS203" s="1199"/>
      <c r="AT203" s="1200"/>
      <c r="AU203" s="1193"/>
      <c r="AV203" s="1199"/>
      <c r="AW203" s="1200"/>
      <c r="AX203" s="499"/>
      <c r="AY203" s="740"/>
      <c r="AZ203" s="1200"/>
      <c r="BA203" s="740"/>
      <c r="BB203" s="487"/>
      <c r="BC203" s="740"/>
      <c r="BD203" s="487"/>
      <c r="BE203" s="487"/>
      <c r="BF203" s="754"/>
      <c r="BG203" s="487"/>
      <c r="BH203" s="701"/>
    </row>
    <row r="204" spans="1:60" hidden="1" outlineLevel="1">
      <c r="A204" s="598" t="s">
        <v>530</v>
      </c>
      <c r="B204" s="1157" t="s">
        <v>517</v>
      </c>
      <c r="C204" s="598"/>
      <c r="D204" s="1168">
        <f>(S204/S197-1)*100</f>
        <v>24.614404890785192</v>
      </c>
      <c r="E204" s="598"/>
      <c r="F204" s="1178">
        <f>'SegP&amp;L'!Y63</f>
        <v>11</v>
      </c>
      <c r="G204" s="598"/>
      <c r="H204" s="1168">
        <f>D204-F204</f>
        <v>13.614404890785192</v>
      </c>
      <c r="I204" s="1124"/>
      <c r="J204" s="1170">
        <f>yrSales!I$156</f>
        <v>76</v>
      </c>
      <c r="K204" s="598"/>
      <c r="L204" s="1171">
        <f>AVERAGE(J204,J203)</f>
        <v>75.5</v>
      </c>
      <c r="M204" s="598"/>
      <c r="N204" s="1168">
        <f>(L204/L197-1)*100</f>
        <v>17.96875</v>
      </c>
      <c r="O204" s="1124"/>
      <c r="P204" s="1171">
        <f>H204/N204*100</f>
        <v>75.767122870456717</v>
      </c>
      <c r="Q204" s="1125"/>
      <c r="R204" s="598"/>
      <c r="S204" s="1172">
        <f>'SegP&amp;L'!W63</f>
        <v>97.840999999999994</v>
      </c>
      <c r="T204" s="598"/>
      <c r="U204" s="1173">
        <f>S204/L204</f>
        <v>1.2959072847682118</v>
      </c>
      <c r="V204" s="598"/>
      <c r="W204" s="1169">
        <f>(U204/U197-1)*100</f>
        <v>5.6334028213278486</v>
      </c>
      <c r="X204" s="1124"/>
      <c r="Y204" s="598"/>
      <c r="Z204" s="1129">
        <f>yrSales!I$169</f>
        <v>1.998</v>
      </c>
      <c r="AA204" s="598"/>
      <c r="AB204" s="1174">
        <f>AVERAGE(Z204,Z203)</f>
        <v>1.9790000000000001</v>
      </c>
      <c r="AC204" s="598"/>
      <c r="AD204" s="1168">
        <f>(AB204/AB197-1)*100</f>
        <v>22.705853174603185</v>
      </c>
      <c r="AE204" s="1124"/>
      <c r="AF204" s="1171">
        <f>+H204/AD204*100</f>
        <v>59.959891337679814</v>
      </c>
      <c r="AG204" s="1125"/>
      <c r="AH204" s="598"/>
      <c r="AI204" s="1172">
        <f>+S204</f>
        <v>97.840999999999994</v>
      </c>
      <c r="AJ204" s="598"/>
      <c r="AK204" s="1175">
        <f>AI204/AB204</f>
        <v>49.43961596766043</v>
      </c>
      <c r="AL204" s="598"/>
      <c r="AM204" s="1169">
        <f>(AK204/AK197-1)*100</f>
        <v>1.5553876745115325</v>
      </c>
      <c r="AN204" s="1124"/>
      <c r="AP204" s="1201"/>
      <c r="AQ204" s="1202"/>
      <c r="AR204" s="487"/>
      <c r="AS204" s="1199"/>
      <c r="AT204" s="1200"/>
      <c r="AU204" s="1193"/>
      <c r="AV204" s="1199"/>
      <c r="AW204" s="1200"/>
      <c r="AX204" s="499"/>
      <c r="AY204" s="740"/>
      <c r="AZ204" s="1200"/>
      <c r="BA204" s="740"/>
      <c r="BB204" s="487"/>
      <c r="BC204" s="740"/>
      <c r="BD204" s="487"/>
      <c r="BE204" s="487"/>
      <c r="BF204" s="754"/>
      <c r="BG204" s="487"/>
      <c r="BH204" s="487"/>
    </row>
    <row r="205" spans="1:60" hidden="1" outlineLevel="1">
      <c r="A205" s="598"/>
      <c r="B205" s="1157" t="s">
        <v>531</v>
      </c>
      <c r="C205" s="598"/>
      <c r="D205" s="1120">
        <f>(S205/S198-1)*100</f>
        <v>29.544635109809782</v>
      </c>
      <c r="E205" s="598"/>
      <c r="F205" s="1179">
        <f>'SegP&amp;L'!Y64</f>
        <v>14</v>
      </c>
      <c r="G205" s="598"/>
      <c r="H205" s="1120">
        <f>D205-F205</f>
        <v>15.544635109809782</v>
      </c>
      <c r="I205" s="1124"/>
      <c r="J205" s="1127"/>
      <c r="K205" s="598"/>
      <c r="L205" s="1128">
        <f>AVERAGE(J204,J197)</f>
        <v>70.5</v>
      </c>
      <c r="M205" s="598"/>
      <c r="N205" s="1120">
        <f>(L205/L198-1)*100</f>
        <v>20.512820512820507</v>
      </c>
      <c r="O205" s="1124"/>
      <c r="P205" s="1159">
        <f>H205/N205*100</f>
        <v>75.780096160322714</v>
      </c>
      <c r="Q205" s="1125"/>
      <c r="R205" s="598"/>
      <c r="S205" s="1160">
        <f>yrSales!I$138</f>
        <v>326.959</v>
      </c>
      <c r="T205" s="598"/>
      <c r="U205" s="1161">
        <f>S205/L205</f>
        <v>4.637716312056738</v>
      </c>
      <c r="V205" s="598"/>
      <c r="W205" s="1176">
        <f>(U205/U198-1)*100</f>
        <v>7.494484452820882</v>
      </c>
      <c r="X205" s="1124"/>
      <c r="Y205" s="598"/>
      <c r="Z205" s="1127"/>
      <c r="AA205" s="598"/>
      <c r="AB205" s="1163">
        <f>AVERAGE(Z204,Z197)</f>
        <v>1.8180000000000001</v>
      </c>
      <c r="AC205" s="598"/>
      <c r="AD205" s="1120">
        <f>(AB205/AB198-1)*100</f>
        <v>25.249741646572545</v>
      </c>
      <c r="AE205" s="1124"/>
      <c r="AF205" s="1159">
        <f>+H205/AD205*100</f>
        <v>61.563541232984633</v>
      </c>
      <c r="AG205" s="1125"/>
      <c r="AH205" s="598"/>
      <c r="AI205" s="1160">
        <f>+S205</f>
        <v>326.959</v>
      </c>
      <c r="AJ205" s="598"/>
      <c r="AK205" s="1164">
        <f>AI205/AB205</f>
        <v>179.84543454345433</v>
      </c>
      <c r="AL205" s="598"/>
      <c r="AM205" s="1120">
        <f>(AK205/AK198-1)*100</f>
        <v>3.4290637304118965</v>
      </c>
      <c r="AN205" s="1124"/>
      <c r="AP205" s="562"/>
      <c r="AQ205" s="1198"/>
      <c r="AR205" s="1198"/>
      <c r="AS205" s="1199"/>
      <c r="AT205" s="1200"/>
      <c r="AU205" s="1193"/>
      <c r="AV205" s="1199"/>
      <c r="AW205" s="1200"/>
      <c r="AX205" s="499"/>
      <c r="AY205" s="740"/>
      <c r="AZ205" s="1200"/>
      <c r="BA205" s="740"/>
      <c r="BB205" s="702"/>
      <c r="BC205" s="740"/>
      <c r="BD205" s="702"/>
      <c r="BE205" s="702"/>
      <c r="BF205" s="1195"/>
      <c r="BG205" s="487"/>
      <c r="BH205" s="487"/>
    </row>
    <row r="206" spans="1:60" hidden="1" outlineLevel="1">
      <c r="A206" s="598"/>
      <c r="B206" s="1157"/>
      <c r="C206" s="598"/>
      <c r="D206" s="598"/>
      <c r="E206" s="598"/>
      <c r="F206" s="598"/>
      <c r="G206" s="598"/>
      <c r="H206" s="598"/>
      <c r="I206" s="1124"/>
      <c r="J206" s="1127"/>
      <c r="K206" s="598"/>
      <c r="L206" s="598"/>
      <c r="M206" s="598"/>
      <c r="N206" s="598"/>
      <c r="O206" s="1124"/>
      <c r="P206" s="1125"/>
      <c r="Q206" s="1125"/>
      <c r="R206" s="598"/>
      <c r="S206" s="598"/>
      <c r="T206" s="598"/>
      <c r="U206" s="598"/>
      <c r="V206" s="598"/>
      <c r="W206" s="598"/>
      <c r="X206" s="1124"/>
      <c r="Y206" s="598"/>
      <c r="Z206" s="1127"/>
      <c r="AA206" s="598"/>
      <c r="AB206" s="598"/>
      <c r="AC206" s="598"/>
      <c r="AD206" s="598"/>
      <c r="AE206" s="1124"/>
      <c r="AF206" s="1125"/>
      <c r="AG206" s="1125"/>
      <c r="AH206" s="598"/>
      <c r="AI206" s="598"/>
      <c r="AJ206" s="598"/>
      <c r="AK206" s="598"/>
      <c r="AL206" s="598"/>
      <c r="AM206" s="598"/>
      <c r="AN206" s="1124"/>
      <c r="AP206" s="487"/>
      <c r="AQ206" s="487"/>
      <c r="AR206" s="487"/>
      <c r="AS206" s="841"/>
      <c r="AT206" s="1193"/>
      <c r="AU206" s="1193"/>
      <c r="AV206" s="1193"/>
      <c r="AW206" s="499"/>
      <c r="AX206" s="499"/>
      <c r="AY206" s="499"/>
      <c r="AZ206" s="499"/>
      <c r="BA206" s="499"/>
      <c r="BB206" s="487"/>
      <c r="BC206" s="499"/>
      <c r="BD206" s="487"/>
      <c r="BE206" s="487"/>
      <c r="BF206" s="754"/>
      <c r="BG206" s="487"/>
      <c r="BH206" s="487"/>
    </row>
    <row r="207" spans="1:60" ht="13.5" hidden="1" outlineLevel="1" thickBot="1">
      <c r="A207" s="1154"/>
      <c r="B207" s="1155">
        <f>B200+1</f>
        <v>1998</v>
      </c>
      <c r="C207" s="598"/>
      <c r="D207" s="598"/>
      <c r="E207" s="598"/>
      <c r="F207" s="598"/>
      <c r="G207" s="598"/>
      <c r="H207" s="598"/>
      <c r="I207" s="1124"/>
      <c r="J207" s="1127"/>
      <c r="K207" s="598"/>
      <c r="L207" s="598"/>
      <c r="M207" s="598"/>
      <c r="N207" s="598"/>
      <c r="O207" s="1124"/>
      <c r="P207" s="1125"/>
      <c r="Q207" s="1125"/>
      <c r="R207" s="598"/>
      <c r="S207" s="598"/>
      <c r="T207" s="598"/>
      <c r="U207" s="598"/>
      <c r="V207" s="598"/>
      <c r="W207" s="598"/>
      <c r="X207" s="1124"/>
      <c r="Y207" s="598"/>
      <c r="Z207" s="1127"/>
      <c r="AA207" s="598"/>
      <c r="AB207" s="598"/>
      <c r="AC207" s="598"/>
      <c r="AD207" s="598"/>
      <c r="AE207" s="1124"/>
      <c r="AF207" s="1125"/>
      <c r="AG207" s="1125"/>
      <c r="AH207" s="598"/>
      <c r="AI207" s="598"/>
      <c r="AJ207" s="598"/>
      <c r="AK207" s="598"/>
      <c r="AL207" s="598"/>
      <c r="AM207" s="598"/>
      <c r="AN207" s="1124"/>
      <c r="AP207" s="1196">
        <v>1</v>
      </c>
      <c r="AQ207" s="735"/>
      <c r="AR207" s="487"/>
      <c r="AS207" s="1197"/>
      <c r="AT207" s="1081"/>
      <c r="AU207" s="1193"/>
      <c r="AV207" s="1197"/>
      <c r="AW207" s="1081"/>
      <c r="AX207" s="499"/>
      <c r="AY207" s="499"/>
      <c r="AZ207" s="499"/>
      <c r="BA207" s="499"/>
      <c r="BB207" s="487"/>
      <c r="BC207" s="499"/>
      <c r="BD207" s="487"/>
      <c r="BE207" s="487"/>
      <c r="BF207" s="754"/>
      <c r="BG207" s="487"/>
      <c r="BH207" s="487"/>
    </row>
    <row r="208" spans="1:60" hidden="1" outlineLevel="1">
      <c r="A208" s="598" t="s">
        <v>527</v>
      </c>
      <c r="B208" s="1157" t="s">
        <v>514</v>
      </c>
      <c r="C208" s="598"/>
      <c r="D208" s="1120">
        <f>(S208/S201-1)*100</f>
        <v>28.843149570791262</v>
      </c>
      <c r="E208" s="1124" t="s">
        <v>190</v>
      </c>
      <c r="F208" s="1179">
        <f>'SegP&amp;L'!Y67</f>
        <v>12</v>
      </c>
      <c r="G208" s="1124" t="s">
        <v>190</v>
      </c>
      <c r="H208" s="1120">
        <f>D208-F208</f>
        <v>16.843149570791262</v>
      </c>
      <c r="I208" s="1124" t="s">
        <v>190</v>
      </c>
      <c r="J208" s="1127">
        <f>Stores!Y81</f>
        <v>79</v>
      </c>
      <c r="K208" s="598"/>
      <c r="L208" s="1128">
        <f>AVERAGE(J208,J204)</f>
        <v>77.5</v>
      </c>
      <c r="M208" s="598"/>
      <c r="N208" s="1120">
        <f>(L208/L201-1)*100</f>
        <v>16.541353383458656</v>
      </c>
      <c r="O208" s="1124" t="s">
        <v>190</v>
      </c>
      <c r="P208" s="1159">
        <f>H208/N208*100</f>
        <v>101.82449513251075</v>
      </c>
      <c r="Q208" s="1125" t="s">
        <v>190</v>
      </c>
      <c r="R208" s="598"/>
      <c r="S208" s="1160">
        <f>'SegP&amp;L'!W67</f>
        <v>80</v>
      </c>
      <c r="T208" s="598"/>
      <c r="U208" s="1161">
        <f>S208/L208</f>
        <v>1.032258064516129</v>
      </c>
      <c r="V208" s="598"/>
      <c r="W208" s="1176">
        <f>(U208/U201-1)*100</f>
        <v>10.555734793001514</v>
      </c>
      <c r="X208" s="1124" t="s">
        <v>190</v>
      </c>
      <c r="Y208" s="598"/>
      <c r="Z208" s="1162">
        <f>Stores!AB81</f>
        <v>2.0870000000000002</v>
      </c>
      <c r="AA208" s="598"/>
      <c r="AB208" s="1163">
        <f>AVERAGE(Z208,Z204)</f>
        <v>2.0425</v>
      </c>
      <c r="AC208" s="598"/>
      <c r="AD208" s="1120">
        <f>(AB208/AB201-1)*100</f>
        <v>22.26878180185572</v>
      </c>
      <c r="AE208" s="1124" t="s">
        <v>190</v>
      </c>
      <c r="AF208" s="1159">
        <f>+H208/AD208*100</f>
        <v>75.635702575287141</v>
      </c>
      <c r="AG208" s="1125" t="s">
        <v>190</v>
      </c>
      <c r="AH208" s="598"/>
      <c r="AI208" s="1160">
        <f>+S208</f>
        <v>80</v>
      </c>
      <c r="AJ208" s="598" t="s">
        <v>315</v>
      </c>
      <c r="AK208" s="1164">
        <f>AI208/AB208</f>
        <v>39.167686658506732</v>
      </c>
      <c r="AL208" s="598"/>
      <c r="AM208" s="1176">
        <f>(AK208/AK201-1)*100</f>
        <v>5.3769798570412863</v>
      </c>
      <c r="AN208" s="1124" t="s">
        <v>190</v>
      </c>
      <c r="AP208" s="562"/>
      <c r="AQ208" s="1198"/>
      <c r="AR208" s="1198"/>
      <c r="AS208" s="1199"/>
      <c r="AT208" s="1200"/>
      <c r="AU208" s="1193"/>
      <c r="AV208" s="1199"/>
      <c r="AW208" s="1200"/>
      <c r="AX208" s="499"/>
      <c r="AY208" s="740"/>
      <c r="AZ208" s="1200"/>
      <c r="BA208" s="740"/>
      <c r="BB208" s="487"/>
      <c r="BC208" s="740"/>
      <c r="BD208" s="487"/>
      <c r="BE208" s="487"/>
      <c r="BF208" s="754"/>
      <c r="BG208" s="487"/>
      <c r="BH208" s="487"/>
    </row>
    <row r="209" spans="1:60" hidden="1" outlineLevel="1">
      <c r="A209" s="598" t="s">
        <v>528</v>
      </c>
      <c r="B209" s="1157" t="s">
        <v>515</v>
      </c>
      <c r="C209" s="598"/>
      <c r="D209" s="1120">
        <f>(S209/S202-1)*100</f>
        <v>25.964945370283044</v>
      </c>
      <c r="E209" s="598"/>
      <c r="F209" s="1179">
        <f>'SegP&amp;L'!Y68</f>
        <v>17</v>
      </c>
      <c r="G209" s="598"/>
      <c r="H209" s="1120">
        <f>D209-F209</f>
        <v>8.9649453702830435</v>
      </c>
      <c r="I209" s="1124"/>
      <c r="J209" s="1127">
        <f>Stores!Y82</f>
        <v>81</v>
      </c>
      <c r="K209" s="598"/>
      <c r="L209" s="1128">
        <f>AVERAGE(J209,J208)</f>
        <v>80</v>
      </c>
      <c r="M209" s="598"/>
      <c r="N209" s="1120">
        <f>(L209/L202-1)*100</f>
        <v>17.647058823529417</v>
      </c>
      <c r="O209" s="1124"/>
      <c r="P209" s="1159">
        <f>H209/N209*100</f>
        <v>50.801357098270557</v>
      </c>
      <c r="Q209" s="1125"/>
      <c r="R209" s="598"/>
      <c r="S209" s="1165">
        <f>'SegP&amp;L'!W68</f>
        <v>93.5</v>
      </c>
      <c r="T209" s="598"/>
      <c r="U209" s="1166">
        <f>S209/L209</f>
        <v>1.16875</v>
      </c>
      <c r="V209" s="598"/>
      <c r="W209" s="1176">
        <f>(U209/U202-1)*100</f>
        <v>7.0702035647405737</v>
      </c>
      <c r="X209" s="1124"/>
      <c r="Y209" s="598"/>
      <c r="Z209" s="1162">
        <f>Stores!AB82</f>
        <v>2.1429999999999998</v>
      </c>
      <c r="AA209" s="598"/>
      <c r="AB209" s="1163">
        <f>AVERAGE(Z209,Z208)</f>
        <v>2.1150000000000002</v>
      </c>
      <c r="AC209" s="598"/>
      <c r="AD209" s="1120">
        <f>(AB209/AB202-1)*100</f>
        <v>21.831797235023064</v>
      </c>
      <c r="AE209" s="1124"/>
      <c r="AF209" s="1159">
        <f>+H209/AD209*100</f>
        <v>41.063707553591946</v>
      </c>
      <c r="AG209" s="1125"/>
      <c r="AH209" s="598"/>
      <c r="AI209" s="1165">
        <f>+S209</f>
        <v>93.5</v>
      </c>
      <c r="AJ209" s="598"/>
      <c r="AK209" s="1167">
        <f>AI209/AB209</f>
        <v>44.208037825059094</v>
      </c>
      <c r="AL209" s="598"/>
      <c r="AM209" s="1176">
        <f>(AK209/AK202-1)*100</f>
        <v>3.3925036230786354</v>
      </c>
      <c r="AN209" s="1124"/>
      <c r="AP209" s="562"/>
      <c r="AQ209" s="1198"/>
      <c r="AR209" s="1198"/>
      <c r="AS209" s="1199"/>
      <c r="AT209" s="1200"/>
      <c r="AU209" s="1193"/>
      <c r="AV209" s="1199"/>
      <c r="AW209" s="1200"/>
      <c r="AX209" s="499"/>
      <c r="AY209" s="740"/>
      <c r="AZ209" s="1200"/>
      <c r="BA209" s="740"/>
      <c r="BB209" s="487"/>
      <c r="BC209" s="740"/>
      <c r="BD209" s="487"/>
      <c r="BE209" s="487"/>
      <c r="BF209" s="754"/>
      <c r="BG209" s="487"/>
      <c r="BH209" s="701"/>
    </row>
    <row r="210" spans="1:60" hidden="1" outlineLevel="1">
      <c r="A210" s="598" t="s">
        <v>529</v>
      </c>
      <c r="B210" s="1157" t="s">
        <v>516</v>
      </c>
      <c r="C210" s="598"/>
      <c r="D210" s="1120">
        <f>(S210/S203-1)*100</f>
        <v>16.144396551724128</v>
      </c>
      <c r="E210" s="598"/>
      <c r="F210" s="1179">
        <f>'SegP&amp;L'!Y69</f>
        <v>10</v>
      </c>
      <c r="G210" s="598"/>
      <c r="H210" s="1120">
        <f>D210-F210</f>
        <v>6.1443965517241281</v>
      </c>
      <c r="I210" s="1124"/>
      <c r="J210" s="1127">
        <f>Stores!Y83</f>
        <v>87</v>
      </c>
      <c r="K210" s="598"/>
      <c r="L210" s="1128">
        <f>AVERAGE(J210,J209)</f>
        <v>84</v>
      </c>
      <c r="M210" s="598"/>
      <c r="N210" s="1120">
        <f>(L210/L203-1)*100</f>
        <v>17.48251748251748</v>
      </c>
      <c r="O210" s="1124"/>
      <c r="P210" s="1159">
        <f>H210/N210*100</f>
        <v>35.145948275862018</v>
      </c>
      <c r="Q210" s="1125"/>
      <c r="R210" s="598"/>
      <c r="S210" s="1165">
        <f>'SegP&amp;L'!W69</f>
        <v>107.782</v>
      </c>
      <c r="T210" s="598"/>
      <c r="U210" s="1166">
        <f>S210/L210</f>
        <v>1.2831190476190475</v>
      </c>
      <c r="V210" s="598"/>
      <c r="W210" s="1176">
        <f>(U210/U203-1)*100</f>
        <v>-1.1389957922824379</v>
      </c>
      <c r="X210" s="1124"/>
      <c r="Y210" s="598"/>
      <c r="Z210" s="1162">
        <f>Stores!AB83</f>
        <v>2.323</v>
      </c>
      <c r="AA210" s="598"/>
      <c r="AB210" s="1163">
        <f>AVERAGE(Z210,Z209)</f>
        <v>2.2329999999999997</v>
      </c>
      <c r="AC210" s="598"/>
      <c r="AD210" s="1120">
        <f>(AB210/AB203-1)*100</f>
        <v>19.764011799410007</v>
      </c>
      <c r="AE210" s="1124"/>
      <c r="AF210" s="1159">
        <f>+H210/AD210*100</f>
        <v>31.088812403499727</v>
      </c>
      <c r="AG210" s="1125"/>
      <c r="AH210" s="598"/>
      <c r="AI210" s="1165">
        <f>+S210</f>
        <v>107.782</v>
      </c>
      <c r="AJ210" s="598"/>
      <c r="AK210" s="1167">
        <f>AI210/AB210</f>
        <v>48.267801164352896</v>
      </c>
      <c r="AL210" s="598"/>
      <c r="AM210" s="1176">
        <f>(AK210/AK203-1)*100</f>
        <v>-3.022289578732773</v>
      </c>
      <c r="AN210" s="1124"/>
      <c r="AP210" s="562"/>
      <c r="AQ210" s="1198"/>
      <c r="AR210" s="1198"/>
      <c r="AS210" s="1199"/>
      <c r="AT210" s="1200"/>
      <c r="AU210" s="1193"/>
      <c r="AV210" s="1199"/>
      <c r="AW210" s="1200"/>
      <c r="AX210" s="499"/>
      <c r="AY210" s="740"/>
      <c r="AZ210" s="1200"/>
      <c r="BA210" s="740"/>
      <c r="BB210" s="487"/>
      <c r="BC210" s="740"/>
      <c r="BD210" s="487"/>
      <c r="BE210" s="487"/>
      <c r="BF210" s="754"/>
      <c r="BG210" s="487"/>
      <c r="BH210" s="701"/>
    </row>
    <row r="211" spans="1:60" hidden="1" outlineLevel="1">
      <c r="A211" s="598" t="s">
        <v>530</v>
      </c>
      <c r="B211" s="1157" t="s">
        <v>517</v>
      </c>
      <c r="C211" s="598"/>
      <c r="D211" s="1168">
        <f>(S211/S204-1)*100</f>
        <v>9.0728835559734868</v>
      </c>
      <c r="E211" s="598"/>
      <c r="F211" s="1178">
        <f>'SegP&amp;L'!Y70</f>
        <v>13</v>
      </c>
      <c r="G211" s="598"/>
      <c r="H211" s="1168">
        <f>D211-F211</f>
        <v>-3.9271164440265132</v>
      </c>
      <c r="I211" s="1124"/>
      <c r="J211" s="1170">
        <f>yrSales!J$156</f>
        <v>87</v>
      </c>
      <c r="K211" s="598"/>
      <c r="L211" s="1171">
        <f>AVERAGE(J211,J210)</f>
        <v>87</v>
      </c>
      <c r="M211" s="598"/>
      <c r="N211" s="1168">
        <f>(L211/L204-1)*100</f>
        <v>15.231788079470189</v>
      </c>
      <c r="O211" s="1124"/>
      <c r="P211" s="1171">
        <f>H211/N211*100</f>
        <v>-25.782373176000167</v>
      </c>
      <c r="Q211" s="1125"/>
      <c r="R211" s="598"/>
      <c r="S211" s="1172">
        <f>'SegP&amp;L'!W70</f>
        <v>106.718</v>
      </c>
      <c r="T211" s="598"/>
      <c r="U211" s="1173">
        <f>S211/L211</f>
        <v>1.2266436781609196</v>
      </c>
      <c r="V211" s="598"/>
      <c r="W211" s="1169">
        <f>(U211/U204-1)*100</f>
        <v>-5.3447964542988835</v>
      </c>
      <c r="X211" s="1124"/>
      <c r="Y211" s="598"/>
      <c r="Z211" s="1129">
        <f>yrSales!J$169</f>
        <v>2.323</v>
      </c>
      <c r="AA211" s="598"/>
      <c r="AB211" s="1174">
        <f>AVERAGE(Z211,Z210)</f>
        <v>2.323</v>
      </c>
      <c r="AC211" s="598"/>
      <c r="AD211" s="1168">
        <f>(AB211/AB204-1)*100</f>
        <v>17.382516422435558</v>
      </c>
      <c r="AE211" s="1124"/>
      <c r="AF211" s="1171">
        <f>+H211/AD211*100</f>
        <v>-22.592335589326968</v>
      </c>
      <c r="AG211" s="1125"/>
      <c r="AH211" s="598"/>
      <c r="AI211" s="1172">
        <f>+S211</f>
        <v>106.718</v>
      </c>
      <c r="AJ211" s="598"/>
      <c r="AK211" s="1175">
        <f>AI211/AB211</f>
        <v>45.939733103745162</v>
      </c>
      <c r="AL211" s="598"/>
      <c r="AM211" s="1169">
        <f>(AK211/AK204-1)*100</f>
        <v>-7.0791060881310592</v>
      </c>
      <c r="AN211" s="1124"/>
      <c r="AP211" s="1201"/>
      <c r="AQ211" s="1202"/>
      <c r="AR211" s="487"/>
      <c r="AS211" s="1199"/>
      <c r="AT211" s="1200"/>
      <c r="AU211" s="1193"/>
      <c r="AV211" s="1199"/>
      <c r="AW211" s="1200"/>
      <c r="AX211" s="499"/>
      <c r="AY211" s="740"/>
      <c r="AZ211" s="1200"/>
      <c r="BA211" s="740"/>
      <c r="BB211" s="487"/>
      <c r="BC211" s="740"/>
      <c r="BD211" s="487"/>
      <c r="BE211" s="487"/>
      <c r="BF211" s="754"/>
      <c r="BG211" s="487"/>
      <c r="BH211" s="487"/>
    </row>
    <row r="212" spans="1:60" hidden="1" outlineLevel="1">
      <c r="A212" s="598"/>
      <c r="B212" s="1157" t="s">
        <v>531</v>
      </c>
      <c r="C212" s="598"/>
      <c r="D212" s="1120">
        <f>(S212/S205-1)*100</f>
        <v>18.497426282806106</v>
      </c>
      <c r="E212" s="598"/>
      <c r="F212" s="1179">
        <f>'SegP&amp;L'!Y71</f>
        <v>13</v>
      </c>
      <c r="G212" s="598"/>
      <c r="H212" s="1120">
        <f>D212-F212</f>
        <v>5.4974262828061065</v>
      </c>
      <c r="I212" s="1124"/>
      <c r="J212" s="598"/>
      <c r="K212" s="598"/>
      <c r="L212" s="1128">
        <f>AVERAGE(J211,J204)</f>
        <v>81.5</v>
      </c>
      <c r="M212" s="598"/>
      <c r="N212" s="1120">
        <f>(L212/L205-1)*100</f>
        <v>15.602836879432624</v>
      </c>
      <c r="O212" s="1124"/>
      <c r="P212" s="1159">
        <f>H212/N212*100</f>
        <v>35.23350481253005</v>
      </c>
      <c r="Q212" s="1125"/>
      <c r="R212" s="598"/>
      <c r="S212" s="1160">
        <f>yrSales!J$138</f>
        <v>387.43799999999999</v>
      </c>
      <c r="T212" s="598"/>
      <c r="U212" s="1161">
        <f>S212/L212</f>
        <v>4.753840490797546</v>
      </c>
      <c r="V212" s="598"/>
      <c r="W212" s="1176">
        <f>(U212/U205-1)*100</f>
        <v>2.5039086250040477</v>
      </c>
      <c r="X212" s="1124"/>
      <c r="Y212" s="598"/>
      <c r="Z212" s="1127"/>
      <c r="AA212" s="598"/>
      <c r="AB212" s="1163">
        <f>AVERAGE(Z211,Z204)</f>
        <v>2.1604999999999999</v>
      </c>
      <c r="AC212" s="598"/>
      <c r="AD212" s="1120">
        <f>(AB212/AB205-1)*100</f>
        <v>18.839383938393837</v>
      </c>
      <c r="AE212" s="1124"/>
      <c r="AF212" s="1159">
        <f>+H212/AD212*100</f>
        <v>29.180499217931395</v>
      </c>
      <c r="AG212" s="1125"/>
      <c r="AH212" s="598"/>
      <c r="AI212" s="1160">
        <f>+S212</f>
        <v>387.43799999999999</v>
      </c>
      <c r="AJ212" s="598"/>
      <c r="AK212" s="1164">
        <f>AI212/AB212</f>
        <v>179.32793334876186</v>
      </c>
      <c r="AL212" s="598"/>
      <c r="AM212" s="1176">
        <f>(AK212/AK205-1)*100</f>
        <v>-0.28774775184378099</v>
      </c>
      <c r="AN212" s="1124"/>
      <c r="AP212" s="562"/>
      <c r="AQ212" s="1198"/>
      <c r="AR212" s="1198"/>
      <c r="AS212" s="1199"/>
      <c r="AT212" s="1200"/>
      <c r="AU212" s="1193"/>
      <c r="AV212" s="1199"/>
      <c r="AW212" s="1200"/>
      <c r="AX212" s="499"/>
      <c r="AY212" s="740"/>
      <c r="AZ212" s="499"/>
      <c r="BA212" s="740"/>
      <c r="BB212" s="487"/>
      <c r="BC212" s="740"/>
      <c r="BD212" s="487"/>
      <c r="BE212" s="487"/>
      <c r="BF212" s="754"/>
      <c r="BG212" s="487"/>
      <c r="BH212" s="487"/>
    </row>
    <row r="213" spans="1:60" hidden="1" outlineLevel="1">
      <c r="A213" s="598"/>
      <c r="B213" s="1157"/>
      <c r="C213" s="598"/>
      <c r="D213" s="598"/>
      <c r="E213" s="598"/>
      <c r="F213" s="598"/>
      <c r="G213" s="598"/>
      <c r="H213" s="598"/>
      <c r="I213" s="1124"/>
      <c r="J213" s="598"/>
      <c r="K213" s="598"/>
      <c r="L213" s="598"/>
      <c r="M213" s="598"/>
      <c r="N213" s="598"/>
      <c r="O213" s="1124"/>
      <c r="P213" s="1125"/>
      <c r="Q213" s="1125"/>
      <c r="R213" s="598"/>
      <c r="S213" s="598"/>
      <c r="T213" s="598"/>
      <c r="U213" s="598"/>
      <c r="V213" s="598"/>
      <c r="W213" s="598"/>
      <c r="X213" s="1124"/>
      <c r="Y213" s="598"/>
      <c r="Z213" s="598"/>
      <c r="AA213" s="598"/>
      <c r="AB213" s="598"/>
      <c r="AC213" s="598"/>
      <c r="AD213" s="598"/>
      <c r="AE213" s="1124"/>
      <c r="AF213" s="1125"/>
      <c r="AG213" s="1125"/>
      <c r="AH213" s="598"/>
      <c r="AI213" s="598"/>
      <c r="AJ213" s="598"/>
      <c r="AK213" s="598"/>
      <c r="AL213" s="598"/>
      <c r="AM213" s="598"/>
      <c r="AN213" s="1124"/>
      <c r="AS213" s="1193"/>
      <c r="AT213" s="1193"/>
      <c r="AU213" s="1193"/>
      <c r="AV213" s="1193"/>
      <c r="AW213" s="1193"/>
      <c r="AX213" s="1193"/>
      <c r="AY213" s="1193"/>
      <c r="AZ213" s="1193"/>
      <c r="BA213" s="1193"/>
      <c r="BB213" s="487"/>
      <c r="BC213" s="1193"/>
      <c r="BD213" s="487"/>
      <c r="BE213" s="487"/>
      <c r="BF213" s="754"/>
      <c r="BG213" s="487"/>
      <c r="BH213" s="487"/>
    </row>
    <row r="214" spans="1:60" ht="13.5" hidden="1" outlineLevel="1" thickBot="1">
      <c r="A214" s="1154"/>
      <c r="B214" s="1155">
        <f>B207+1</f>
        <v>1999</v>
      </c>
      <c r="C214" s="598"/>
      <c r="D214" s="598"/>
      <c r="E214" s="598"/>
      <c r="F214" s="598"/>
      <c r="G214" s="598"/>
      <c r="H214" s="598"/>
      <c r="I214" s="1124"/>
      <c r="J214" s="598"/>
      <c r="K214" s="598"/>
      <c r="L214" s="598"/>
      <c r="M214" s="598"/>
      <c r="N214" s="598"/>
      <c r="O214" s="1124"/>
      <c r="P214" s="1125"/>
      <c r="Q214" s="1125"/>
      <c r="R214" s="598"/>
      <c r="S214" s="598"/>
      <c r="T214" s="598"/>
      <c r="U214" s="598"/>
      <c r="V214" s="598"/>
      <c r="W214" s="598"/>
      <c r="X214" s="1124"/>
      <c r="Y214" s="598"/>
      <c r="Z214" s="598"/>
      <c r="AA214" s="598"/>
      <c r="AB214" s="598"/>
      <c r="AC214" s="598"/>
      <c r="AD214" s="598"/>
      <c r="AE214" s="1124"/>
      <c r="AF214" s="1125"/>
      <c r="AG214" s="1125"/>
      <c r="AH214" s="598"/>
      <c r="AI214" s="598"/>
      <c r="AJ214" s="598"/>
      <c r="AK214" s="598"/>
      <c r="AL214" s="598"/>
      <c r="AM214" s="598"/>
      <c r="AN214" s="1124"/>
      <c r="AP214" s="1196">
        <v>1</v>
      </c>
      <c r="AQ214" s="735"/>
      <c r="AS214" s="1193"/>
      <c r="AT214" s="1193"/>
      <c r="AU214" s="1193"/>
      <c r="AV214" s="1193"/>
      <c r="AW214" s="1193"/>
      <c r="AX214" s="1193"/>
      <c r="AY214" s="1193"/>
      <c r="AZ214" s="1193"/>
      <c r="BA214" s="1193"/>
      <c r="BB214" s="487"/>
      <c r="BC214" s="1193"/>
      <c r="BD214" s="487"/>
      <c r="BE214" s="487"/>
      <c r="BF214" s="754"/>
      <c r="BG214" s="487"/>
      <c r="BH214" s="487"/>
    </row>
    <row r="215" spans="1:60" hidden="1" outlineLevel="1">
      <c r="A215" s="598" t="s">
        <v>527</v>
      </c>
      <c r="B215" s="1157" t="s">
        <v>514</v>
      </c>
      <c r="C215" s="598"/>
      <c r="D215" s="1120">
        <f>(S215/S208-1)*100</f>
        <v>14.000000000000012</v>
      </c>
      <c r="E215" s="1124" t="s">
        <v>190</v>
      </c>
      <c r="F215" s="1179">
        <f>'SegP&amp;L'!Y74</f>
        <v>10</v>
      </c>
      <c r="G215" s="1124" t="s">
        <v>190</v>
      </c>
      <c r="H215" s="1120">
        <f>D215-F215</f>
        <v>4.0000000000000124</v>
      </c>
      <c r="I215" s="1124" t="s">
        <v>190</v>
      </c>
      <c r="J215" s="598">
        <f>Stores!Y89</f>
        <v>90</v>
      </c>
      <c r="K215" s="598"/>
      <c r="L215" s="1128">
        <f>AVERAGE(J215,J211)</f>
        <v>88.5</v>
      </c>
      <c r="M215" s="598"/>
      <c r="N215" s="1120">
        <f>(L215/L208-1)*100</f>
        <v>14.193548387096765</v>
      </c>
      <c r="O215" s="1124" t="s">
        <v>190</v>
      </c>
      <c r="P215" s="1159">
        <f>H215/N215*100</f>
        <v>28.181818181818286</v>
      </c>
      <c r="Q215" s="1125" t="s">
        <v>190</v>
      </c>
      <c r="R215" s="598"/>
      <c r="S215" s="1160">
        <f>'SegP&amp;L'!W74</f>
        <v>91.2</v>
      </c>
      <c r="T215" s="598"/>
      <c r="U215" s="1161">
        <f>S215/L215</f>
        <v>1.0305084745762711</v>
      </c>
      <c r="V215" s="598"/>
      <c r="W215" s="1176">
        <f>(U215/U208-1)*100</f>
        <v>-0.16949152542372614</v>
      </c>
      <c r="X215" s="1124" t="s">
        <v>190</v>
      </c>
      <c r="Y215" s="598"/>
      <c r="Z215" s="1129">
        <f>Stores!AB89</f>
        <v>2.4249999999999998</v>
      </c>
      <c r="AA215" s="598"/>
      <c r="AB215" s="1163">
        <f>AVERAGE(Z215,Z211)</f>
        <v>2.3739999999999997</v>
      </c>
      <c r="AC215" s="598"/>
      <c r="AD215" s="1120">
        <f>(AB215/AB208-1)*100</f>
        <v>16.230110159118706</v>
      </c>
      <c r="AE215" s="1124" t="s">
        <v>190</v>
      </c>
      <c r="AF215" s="1159">
        <f>+H215/AD215*100</f>
        <v>24.645550527903577</v>
      </c>
      <c r="AG215" s="1125" t="s">
        <v>190</v>
      </c>
      <c r="AH215" s="598"/>
      <c r="AI215" s="1160">
        <f>+S215</f>
        <v>91.2</v>
      </c>
      <c r="AJ215" s="598" t="s">
        <v>315</v>
      </c>
      <c r="AK215" s="1164">
        <f>AI215/AB215</f>
        <v>38.416175231676505</v>
      </c>
      <c r="AL215" s="598"/>
      <c r="AM215" s="1176">
        <f>(AK215/AK208-1)*100</f>
        <v>-1.918702611625922</v>
      </c>
      <c r="AN215" s="1124" t="s">
        <v>190</v>
      </c>
      <c r="AP215" s="562"/>
      <c r="AQ215" s="1198"/>
      <c r="AS215" s="1193"/>
      <c r="AT215" s="1193"/>
      <c r="AU215" s="1193"/>
      <c r="AV215" s="1193"/>
      <c r="AW215" s="1193"/>
      <c r="AX215" s="1193"/>
      <c r="AY215" s="1193"/>
      <c r="AZ215" s="1193"/>
      <c r="BA215" s="1193"/>
      <c r="BB215" s="487"/>
      <c r="BC215" s="1193"/>
      <c r="BD215" s="487"/>
      <c r="BE215" s="487"/>
      <c r="BF215" s="754"/>
      <c r="BG215" s="487"/>
      <c r="BH215" s="487"/>
    </row>
    <row r="216" spans="1:60" hidden="1" outlineLevel="1">
      <c r="A216" s="598" t="s">
        <v>528</v>
      </c>
      <c r="B216" s="1157" t="s">
        <v>515</v>
      </c>
      <c r="C216" s="598"/>
      <c r="D216" s="1120">
        <f>(S216/S209-1)*100</f>
        <v>14.438502673796783</v>
      </c>
      <c r="E216" s="1124"/>
      <c r="F216" s="1179">
        <f>'SegP&amp;L'!Y75</f>
        <v>6</v>
      </c>
      <c r="G216" s="1124"/>
      <c r="H216" s="1120">
        <f>D216-F216</f>
        <v>8.4385026737967834</v>
      </c>
      <c r="I216" s="1124"/>
      <c r="J216" s="598">
        <f>Stores!Y90</f>
        <v>91</v>
      </c>
      <c r="K216" s="598"/>
      <c r="L216" s="1128">
        <f>AVERAGE(J216,J215)</f>
        <v>90.5</v>
      </c>
      <c r="M216" s="598"/>
      <c r="N216" s="1120">
        <f>(L216/L209-1)*100</f>
        <v>13.125000000000009</v>
      </c>
      <c r="O216" s="1124"/>
      <c r="P216" s="1159">
        <f>H216/N216*100</f>
        <v>64.293353705118307</v>
      </c>
      <c r="Q216" s="1125"/>
      <c r="R216" s="598"/>
      <c r="S216" s="1165">
        <f>'SegP&amp;L'!W75</f>
        <v>107</v>
      </c>
      <c r="T216" s="598"/>
      <c r="U216" s="1166">
        <f>S216/L216</f>
        <v>1.1823204419889504</v>
      </c>
      <c r="V216" s="598"/>
      <c r="W216" s="1176">
        <f>(U216/U209-1)*100</f>
        <v>1.1611073359529822</v>
      </c>
      <c r="X216" s="1124"/>
      <c r="Y216" s="598"/>
      <c r="Z216" s="1129">
        <f>Stores!AB90</f>
        <v>2.4500000000000002</v>
      </c>
      <c r="AA216" s="598"/>
      <c r="AB216" s="1163">
        <f>AVERAGE(Z216,Z215)</f>
        <v>2.4375</v>
      </c>
      <c r="AC216" s="598"/>
      <c r="AD216" s="1120">
        <f>(AB216/AB209-1)*100</f>
        <v>15.248226950354592</v>
      </c>
      <c r="AE216" s="1124"/>
      <c r="AF216" s="1159">
        <f>+H216/AD216*100</f>
        <v>55.340878000248736</v>
      </c>
      <c r="AG216" s="1125"/>
      <c r="AH216" s="598"/>
      <c r="AI216" s="1165">
        <f>+S216</f>
        <v>107</v>
      </c>
      <c r="AJ216" s="598"/>
      <c r="AK216" s="1167">
        <f>AI216/AB216</f>
        <v>43.897435897435898</v>
      </c>
      <c r="AL216" s="598"/>
      <c r="AM216" s="1176">
        <f>(AK216/AK209-1)*100</f>
        <v>-0.70259152612092146</v>
      </c>
      <c r="AN216" s="1124"/>
      <c r="AP216" s="562"/>
      <c r="AQ216" s="1198"/>
      <c r="AS216" s="1193"/>
      <c r="AT216" s="1193"/>
      <c r="AU216" s="1193"/>
      <c r="AV216" s="1193"/>
      <c r="AW216" s="1193"/>
      <c r="AX216" s="1193"/>
      <c r="AY216" s="1193"/>
      <c r="AZ216" s="1193"/>
      <c r="BA216" s="1193"/>
      <c r="BB216" s="487"/>
      <c r="BC216" s="1193"/>
      <c r="BD216" s="487"/>
      <c r="BE216" s="487"/>
      <c r="BF216" s="754"/>
      <c r="BG216" s="487"/>
      <c r="BH216" s="701"/>
    </row>
    <row r="217" spans="1:60" hidden="1" outlineLevel="1">
      <c r="A217" s="598" t="s">
        <v>529</v>
      </c>
      <c r="B217" s="1157" t="s">
        <v>516</v>
      </c>
      <c r="C217" s="598"/>
      <c r="D217" s="1120">
        <f>(S217/S210-1)*100</f>
        <v>21.979551316546363</v>
      </c>
      <c r="E217" s="1124"/>
      <c r="F217" s="1179">
        <f>'SegP&amp;L'!Y76</f>
        <v>7</v>
      </c>
      <c r="G217" s="1124"/>
      <c r="H217" s="1120">
        <f>D217-F217</f>
        <v>14.979551316546363</v>
      </c>
      <c r="I217" s="1124"/>
      <c r="J217" s="598">
        <f>Stores!Y91</f>
        <v>99</v>
      </c>
      <c r="K217" s="598"/>
      <c r="L217" s="1128">
        <f>AVERAGE(J217,J216)</f>
        <v>95</v>
      </c>
      <c r="M217" s="598"/>
      <c r="N217" s="1120">
        <f>(L217/L210-1)*100</f>
        <v>13.095238095238093</v>
      </c>
      <c r="O217" s="1124"/>
      <c r="P217" s="1159">
        <f>H217/N217*100</f>
        <v>114.38930096271771</v>
      </c>
      <c r="Q217" s="1125"/>
      <c r="R217" s="598"/>
      <c r="S217" s="1165">
        <f>'SegP&amp;L'!W76</f>
        <v>131.47200000000001</v>
      </c>
      <c r="T217" s="598"/>
      <c r="U217" s="1166">
        <f>S217/L217</f>
        <v>1.3839157894736842</v>
      </c>
      <c r="V217" s="598"/>
      <c r="W217" s="1176">
        <f>(U217/U210-1)*100</f>
        <v>7.8556032693673172</v>
      </c>
      <c r="X217" s="1124"/>
      <c r="Y217" s="598"/>
      <c r="Z217" s="1129">
        <f>Stores!AB91</f>
        <v>2.6789999999999998</v>
      </c>
      <c r="AA217" s="598"/>
      <c r="AB217" s="1163">
        <f>AVERAGE(Z217,Z216)</f>
        <v>2.5644999999999998</v>
      </c>
      <c r="AC217" s="598"/>
      <c r="AD217" s="1120">
        <f>(AB217/AB210-1)*100</f>
        <v>14.845499328257961</v>
      </c>
      <c r="AE217" s="1124"/>
      <c r="AF217" s="1159">
        <f>+H217/AD217*100</f>
        <v>100.90298066319157</v>
      </c>
      <c r="AG217" s="1125"/>
      <c r="AH217" s="598"/>
      <c r="AI217" s="1165">
        <f>+S217</f>
        <v>131.47200000000001</v>
      </c>
      <c r="AJ217" s="598"/>
      <c r="AK217" s="1167">
        <f>AI217/AB217</f>
        <v>51.266133749268874</v>
      </c>
      <c r="AL217" s="598"/>
      <c r="AM217" s="1176">
        <f>(AK217/AK210-1)*100</f>
        <v>6.2118690153433631</v>
      </c>
      <c r="AN217" s="1124"/>
      <c r="AP217" s="562"/>
      <c r="AQ217" s="1198"/>
      <c r="AR217" s="720"/>
      <c r="AS217" s="1204"/>
      <c r="AT217" s="1199"/>
      <c r="AU217" s="1199"/>
      <c r="AV217" s="1200"/>
      <c r="AW217" s="1200"/>
      <c r="AX217" s="499"/>
      <c r="AY217" s="499"/>
      <c r="AZ217" s="499"/>
      <c r="BA217" s="499"/>
      <c r="BB217" s="487"/>
      <c r="BC217" s="499"/>
      <c r="BD217" s="487"/>
      <c r="BE217" s="487"/>
      <c r="BF217" s="754"/>
      <c r="BG217" s="487"/>
      <c r="BH217" s="701"/>
    </row>
    <row r="218" spans="1:60" hidden="1" outlineLevel="1">
      <c r="A218" s="598" t="s">
        <v>530</v>
      </c>
      <c r="B218" s="1157" t="s">
        <v>517</v>
      </c>
      <c r="C218" s="598"/>
      <c r="D218" s="1168">
        <f>(S218/S211-1)*100</f>
        <v>28.469424089656847</v>
      </c>
      <c r="E218" s="1124"/>
      <c r="F218" s="1178">
        <f>'SegP&amp;L'!Y77</f>
        <v>10</v>
      </c>
      <c r="G218" s="1124"/>
      <c r="H218" s="1168">
        <f>D218-F218</f>
        <v>18.469424089656847</v>
      </c>
      <c r="I218" s="1124"/>
      <c r="J218" s="598">
        <f>yrSales!K$156</f>
        <v>100</v>
      </c>
      <c r="K218" s="598"/>
      <c r="L218" s="1171">
        <f>AVERAGE(J218,J217)</f>
        <v>99.5</v>
      </c>
      <c r="M218" s="598"/>
      <c r="N218" s="1168">
        <f>(L218/L211-1)*100</f>
        <v>14.367816091954033</v>
      </c>
      <c r="O218" s="1124"/>
      <c r="P218" s="1171">
        <f>H218/N218*100</f>
        <v>128.54719166401156</v>
      </c>
      <c r="Q218" s="1125"/>
      <c r="R218" s="598"/>
      <c r="S218" s="1172">
        <f>'SegP&amp;L'!W77</f>
        <v>137.1</v>
      </c>
      <c r="T218" s="598"/>
      <c r="U218" s="1173">
        <f>S218/L218</f>
        <v>1.3778894472361809</v>
      </c>
      <c r="V218" s="598"/>
      <c r="W218" s="1169">
        <f>(U218/U211-1)*100</f>
        <v>12.330049204021565</v>
      </c>
      <c r="X218" s="1124"/>
      <c r="Y218" s="598"/>
      <c r="Z218" s="1129">
        <f>yrSales!K$169</f>
        <v>2.7149999999999999</v>
      </c>
      <c r="AA218" s="598"/>
      <c r="AB218" s="1174">
        <f>AVERAGE(Z218,Z217)</f>
        <v>2.6970000000000001</v>
      </c>
      <c r="AC218" s="598"/>
      <c r="AD218" s="1168">
        <f>(AB218/AB211-1)*100</f>
        <v>16.099870856650877</v>
      </c>
      <c r="AE218" s="1124"/>
      <c r="AF218" s="1171">
        <f>+H218/AD218*100</f>
        <v>114.71784000072959</v>
      </c>
      <c r="AG218" s="1125"/>
      <c r="AH218" s="598"/>
      <c r="AI218" s="1172">
        <f>+S218</f>
        <v>137.1</v>
      </c>
      <c r="AJ218" s="598"/>
      <c r="AK218" s="1175">
        <f>AI218/AB218</f>
        <v>50.834260289210228</v>
      </c>
      <c r="AL218" s="598"/>
      <c r="AM218" s="1169">
        <f>(AK218/AK211-1)*100</f>
        <v>10.654235135436707</v>
      </c>
      <c r="AN218" s="1124"/>
      <c r="AP218" s="1201"/>
      <c r="AQ218" s="1202"/>
      <c r="AR218" s="487"/>
      <c r="AS218" s="1197"/>
      <c r="AT218" s="1081"/>
      <c r="AU218" s="1193"/>
      <c r="AV218" s="1197"/>
      <c r="AW218" s="1081"/>
      <c r="AX218" s="499"/>
      <c r="AY218" s="499"/>
      <c r="AZ218" s="499"/>
      <c r="BA218" s="499"/>
      <c r="BB218" s="487"/>
      <c r="BC218" s="499"/>
      <c r="BD218" s="487"/>
      <c r="BE218" s="487"/>
      <c r="BF218" s="754"/>
      <c r="BG218" s="487"/>
      <c r="BH218" s="487"/>
    </row>
    <row r="219" spans="1:60" hidden="1" outlineLevel="1">
      <c r="A219" s="598"/>
      <c r="B219" s="1157" t="s">
        <v>531</v>
      </c>
      <c r="C219" s="598"/>
      <c r="D219" s="1120">
        <f>(S219/S212-1)*100</f>
        <v>20.474759832540947</v>
      </c>
      <c r="E219" s="1124"/>
      <c r="F219" s="1179">
        <f>'SegP&amp;L'!Y78</f>
        <v>8</v>
      </c>
      <c r="G219" s="1124"/>
      <c r="H219" s="1120">
        <f>D219-F219</f>
        <v>12.474759832540947</v>
      </c>
      <c r="I219" s="1124"/>
      <c r="J219" s="598"/>
      <c r="K219" s="598"/>
      <c r="L219" s="1128">
        <f>AVERAGE(L215:L218)</f>
        <v>93.375</v>
      </c>
      <c r="M219" s="598"/>
      <c r="N219" s="1120">
        <f>(L219/L212-1)*100</f>
        <v>14.570552147239258</v>
      </c>
      <c r="O219" s="1124"/>
      <c r="P219" s="1159">
        <f>H219/N219*100</f>
        <v>85.616246429649479</v>
      </c>
      <c r="Q219" s="1125"/>
      <c r="R219" s="598"/>
      <c r="S219" s="1160">
        <f>yrSales!K$138</f>
        <v>466.76499999999999</v>
      </c>
      <c r="T219" s="598"/>
      <c r="U219" s="1161">
        <f>S219/L219</f>
        <v>4.9988219544846046</v>
      </c>
      <c r="V219" s="598"/>
      <c r="W219" s="1176">
        <f>(U219/U212-1)*100</f>
        <v>5.1533378993529944</v>
      </c>
      <c r="X219" s="1124"/>
      <c r="Y219" s="598"/>
      <c r="Z219" s="598"/>
      <c r="AA219" s="598"/>
      <c r="AB219" s="1163">
        <f>AVERAGE(AB215:AB218)</f>
        <v>2.5182500000000001</v>
      </c>
      <c r="AC219" s="598"/>
      <c r="AD219" s="1120">
        <f>(AB219/AB212-1)*100</f>
        <v>16.558666975237223</v>
      </c>
      <c r="AE219" s="1124"/>
      <c r="AF219" s="1159">
        <f>+H219/AD219*100</f>
        <v>75.336739673528157</v>
      </c>
      <c r="AG219" s="1125"/>
      <c r="AH219" s="598"/>
      <c r="AI219" s="1160">
        <f>SUM(AI215:AI218)</f>
        <v>466.77200000000005</v>
      </c>
      <c r="AJ219" s="598"/>
      <c r="AK219" s="1164">
        <f>SUM(AK215:AK218)</f>
        <v>184.41400516759151</v>
      </c>
      <c r="AL219" s="598"/>
      <c r="AM219" s="1176">
        <f>(AK219/AK212-1)*100</f>
        <v>2.836184928835439</v>
      </c>
      <c r="AN219" s="1124"/>
      <c r="AP219" s="562"/>
      <c r="AQ219" s="1198"/>
      <c r="AR219" s="1198"/>
      <c r="AS219" s="1199"/>
      <c r="AT219" s="1200"/>
      <c r="AU219" s="1193"/>
      <c r="AV219" s="1199"/>
      <c r="AW219" s="1200"/>
      <c r="AX219" s="499"/>
      <c r="AY219" s="740"/>
      <c r="AZ219" s="1200"/>
      <c r="BA219" s="740"/>
      <c r="BB219" s="487"/>
      <c r="BC219" s="740"/>
      <c r="BD219" s="487"/>
      <c r="BE219" s="487"/>
      <c r="BF219" s="754"/>
      <c r="BG219" s="487"/>
      <c r="BH219" s="487"/>
    </row>
    <row r="220" spans="1:60" hidden="1" outlineLevel="1">
      <c r="A220" s="598"/>
      <c r="B220" s="1157"/>
      <c r="C220" s="598"/>
      <c r="D220" s="598"/>
      <c r="E220" s="1124"/>
      <c r="F220" s="598"/>
      <c r="G220" s="1124"/>
      <c r="H220" s="598"/>
      <c r="I220" s="1124"/>
      <c r="J220" s="598"/>
      <c r="K220" s="598"/>
      <c r="L220" s="598"/>
      <c r="M220" s="598"/>
      <c r="N220" s="598"/>
      <c r="O220" s="1124"/>
      <c r="P220" s="1125"/>
      <c r="Q220" s="1125"/>
      <c r="R220" s="598"/>
      <c r="S220" s="598"/>
      <c r="T220" s="598"/>
      <c r="U220" s="598"/>
      <c r="V220" s="598"/>
      <c r="W220" s="598"/>
      <c r="X220" s="1124"/>
      <c r="Y220" s="598"/>
      <c r="Z220" s="598"/>
      <c r="AA220" s="598"/>
      <c r="AB220" s="598"/>
      <c r="AC220" s="598"/>
      <c r="AD220" s="598"/>
      <c r="AE220" s="1124"/>
      <c r="AF220" s="1125"/>
      <c r="AG220" s="1125"/>
      <c r="AH220" s="598"/>
      <c r="AI220" s="598"/>
      <c r="AJ220" s="598"/>
      <c r="AK220" s="598"/>
      <c r="AL220" s="598"/>
      <c r="AM220" s="598"/>
      <c r="AN220" s="1124"/>
      <c r="AP220" s="562"/>
      <c r="AQ220" s="1198"/>
      <c r="AR220" s="1198"/>
      <c r="AS220" s="1199"/>
      <c r="AT220" s="1200"/>
      <c r="AU220" s="1193"/>
      <c r="AV220" s="1199"/>
      <c r="AW220" s="1200"/>
      <c r="AX220" s="499"/>
      <c r="AY220" s="740"/>
      <c r="AZ220" s="1200"/>
      <c r="BA220" s="740"/>
      <c r="BB220" s="487"/>
      <c r="BC220" s="740"/>
      <c r="BD220" s="487"/>
      <c r="BE220" s="487"/>
      <c r="BF220" s="754"/>
      <c r="BG220" s="487"/>
      <c r="BH220" s="487"/>
    </row>
    <row r="221" spans="1:60" ht="13.5" hidden="1" outlineLevel="1" collapsed="1" thickBot="1">
      <c r="A221" s="1154"/>
      <c r="B221" s="1155">
        <f>B214+1</f>
        <v>2000</v>
      </c>
      <c r="C221" s="598"/>
      <c r="D221" s="598"/>
      <c r="E221" s="1124"/>
      <c r="F221" s="598"/>
      <c r="G221" s="1124"/>
      <c r="H221" s="598"/>
      <c r="I221" s="1124"/>
      <c r="J221" s="598"/>
      <c r="K221" s="598"/>
      <c r="L221" s="598"/>
      <c r="M221" s="598"/>
      <c r="N221" s="598"/>
      <c r="O221" s="1124"/>
      <c r="P221" s="1125"/>
      <c r="Q221" s="1125"/>
      <c r="R221" s="598"/>
      <c r="S221" s="598"/>
      <c r="T221" s="598"/>
      <c r="U221" s="598"/>
      <c r="V221" s="598"/>
      <c r="W221" s="598"/>
      <c r="X221" s="1124"/>
      <c r="Y221" s="598"/>
      <c r="Z221" s="598"/>
      <c r="AA221" s="598"/>
      <c r="AB221" s="598"/>
      <c r="AC221" s="598"/>
      <c r="AD221" s="598"/>
      <c r="AE221" s="1124"/>
      <c r="AF221" s="1125"/>
      <c r="AG221" s="1125"/>
      <c r="AH221" s="598"/>
      <c r="AI221" s="598"/>
      <c r="AJ221" s="598"/>
      <c r="AK221" s="598"/>
      <c r="AL221" s="598"/>
      <c r="AM221" s="598"/>
      <c r="AN221" s="1124"/>
      <c r="AP221" s="1196">
        <v>1</v>
      </c>
      <c r="AQ221" s="735"/>
      <c r="AR221" s="1198"/>
      <c r="AS221" s="1199"/>
      <c r="AT221" s="1200"/>
      <c r="AU221" s="1193"/>
      <c r="AV221" s="1199"/>
      <c r="AW221" s="1200"/>
      <c r="AX221" s="499"/>
      <c r="AY221" s="740"/>
      <c r="AZ221" s="1200"/>
      <c r="BA221" s="740"/>
      <c r="BB221" s="487"/>
      <c r="BC221" s="740"/>
      <c r="BD221" s="487"/>
      <c r="BE221" s="487"/>
      <c r="BF221" s="754"/>
      <c r="BG221" s="487"/>
      <c r="BH221" s="487"/>
    </row>
    <row r="222" spans="1:60" hidden="1" outlineLevel="1">
      <c r="A222" s="598" t="s">
        <v>527</v>
      </c>
      <c r="B222" s="1157" t="s">
        <v>514</v>
      </c>
      <c r="C222" s="598"/>
      <c r="D222" s="1120">
        <f>(S222/S215-1)*100</f>
        <v>28.224780701754383</v>
      </c>
      <c r="E222" s="1124" t="s">
        <v>190</v>
      </c>
      <c r="F222" s="1179">
        <f>'SegP&amp;L'!Y81</f>
        <v>12</v>
      </c>
      <c r="G222" s="1124" t="s">
        <v>190</v>
      </c>
      <c r="H222" s="1120">
        <f>D222-F222</f>
        <v>16.224780701754383</v>
      </c>
      <c r="I222" s="1124" t="s">
        <v>190</v>
      </c>
      <c r="J222" s="598">
        <f>Stores!Y97</f>
        <v>105</v>
      </c>
      <c r="K222" s="598" t="s">
        <v>315</v>
      </c>
      <c r="L222" s="1128">
        <f>AVERAGE(J222,J218)</f>
        <v>102.5</v>
      </c>
      <c r="M222" s="598"/>
      <c r="N222" s="1120">
        <f>(L222/L215-1)*100</f>
        <v>15.819209039548031</v>
      </c>
      <c r="O222" s="1124" t="s">
        <v>190</v>
      </c>
      <c r="P222" s="1159">
        <f>H222/N222*100</f>
        <v>102.56379229323301</v>
      </c>
      <c r="Q222" s="1125" t="s">
        <v>190</v>
      </c>
      <c r="R222" s="598"/>
      <c r="S222" s="1160">
        <f>'SegP&amp;L'!W81</f>
        <v>116.941</v>
      </c>
      <c r="T222" s="598" t="s">
        <v>315</v>
      </c>
      <c r="U222" s="1161">
        <f>S222/L222</f>
        <v>1.1408878048780489</v>
      </c>
      <c r="V222" s="598"/>
      <c r="W222" s="1176">
        <f>(U222/U215-1)*100</f>
        <v>10.711152118100141</v>
      </c>
      <c r="X222" s="1124" t="s">
        <v>190</v>
      </c>
      <c r="Y222" s="598"/>
      <c r="Z222" s="1129">
        <f>Stores!AB97</f>
        <v>2.8420000000000001</v>
      </c>
      <c r="AA222" s="598" t="s">
        <v>315</v>
      </c>
      <c r="AB222" s="1163">
        <f>AVERAGE(Z222,Z218)</f>
        <v>2.7785000000000002</v>
      </c>
      <c r="AC222" s="598"/>
      <c r="AD222" s="1120">
        <f>(AB222/AB215-1)*100</f>
        <v>17.03875315922496</v>
      </c>
      <c r="AE222" s="1124" t="s">
        <v>190</v>
      </c>
      <c r="AF222" s="1159">
        <f>+H222/AD222*100</f>
        <v>95.22281677618011</v>
      </c>
      <c r="AG222" s="1125" t="s">
        <v>190</v>
      </c>
      <c r="AH222" s="598"/>
      <c r="AI222" s="1160">
        <f>+S222</f>
        <v>116.941</v>
      </c>
      <c r="AJ222" s="598" t="s">
        <v>315</v>
      </c>
      <c r="AK222" s="1164">
        <f>AI222/AB222</f>
        <v>42.087817167536436</v>
      </c>
      <c r="AL222" s="598"/>
      <c r="AM222" s="1176">
        <f>(AK222/AK215-1)*100</f>
        <v>9.5575416181266082</v>
      </c>
      <c r="AN222" s="1124" t="s">
        <v>190</v>
      </c>
      <c r="AP222" s="562"/>
      <c r="AQ222" s="1198"/>
      <c r="AR222" s="487"/>
      <c r="AS222" s="1199"/>
      <c r="AT222" s="1200"/>
      <c r="AU222" s="1193"/>
      <c r="AV222" s="1199"/>
      <c r="AW222" s="1200"/>
      <c r="AX222" s="499"/>
      <c r="AY222" s="740"/>
      <c r="AZ222" s="1200"/>
      <c r="BA222" s="740"/>
      <c r="BB222" s="487"/>
      <c r="BC222" s="740"/>
      <c r="BD222" s="487"/>
      <c r="BE222" s="487"/>
      <c r="BF222" s="754"/>
      <c r="BG222" s="487"/>
      <c r="BH222" s="487"/>
    </row>
    <row r="223" spans="1:60" hidden="1" outlineLevel="1">
      <c r="A223" s="598" t="s">
        <v>528</v>
      </c>
      <c r="B223" s="1157" t="s">
        <v>515</v>
      </c>
      <c r="C223" s="598"/>
      <c r="D223" s="1120">
        <f>(S223/S216-1)*100</f>
        <v>22.857009345794378</v>
      </c>
      <c r="E223" s="598"/>
      <c r="F223" s="1179">
        <f>'SegP&amp;L'!Y82</f>
        <v>8</v>
      </c>
      <c r="G223" s="598"/>
      <c r="H223" s="1120">
        <f>D223-F223</f>
        <v>14.857009345794378</v>
      </c>
      <c r="I223" s="598"/>
      <c r="J223" s="598">
        <f>Stores!Y98</f>
        <v>106</v>
      </c>
      <c r="K223" s="1127"/>
      <c r="L223" s="1128">
        <f>AVERAGE(J223,J222)</f>
        <v>105.5</v>
      </c>
      <c r="M223" s="598"/>
      <c r="N223" s="1120">
        <f>(L223/L216-1)*100</f>
        <v>16.574585635359117</v>
      </c>
      <c r="O223" s="1124"/>
      <c r="P223" s="1159">
        <f>H223/N223*100</f>
        <v>89.637289719626068</v>
      </c>
      <c r="Q223" s="1125"/>
      <c r="R223" s="598"/>
      <c r="S223" s="1165">
        <f>'SegP&amp;L'!W82</f>
        <v>131.45699999999999</v>
      </c>
      <c r="T223" s="598"/>
      <c r="U223" s="1166">
        <f>S223/L223</f>
        <v>1.2460379146919431</v>
      </c>
      <c r="V223" s="598"/>
      <c r="W223" s="1176">
        <f>(U223/U216-1)*100</f>
        <v>5.3891881117951845</v>
      </c>
      <c r="X223" s="1124"/>
      <c r="Y223" s="598"/>
      <c r="Z223" s="1129">
        <f>Stores!AB98</f>
        <v>2.883</v>
      </c>
      <c r="AA223" s="1127"/>
      <c r="AB223" s="1163">
        <f>AVERAGE(Z223,Z222)</f>
        <v>2.8624999999999998</v>
      </c>
      <c r="AC223" s="598"/>
      <c r="AD223" s="1120">
        <f>(AB223/AB216-1)*100</f>
        <v>17.435897435897417</v>
      </c>
      <c r="AE223" s="1124"/>
      <c r="AF223" s="1159">
        <f>+H223/AD223*100</f>
        <v>85.209318306761972</v>
      </c>
      <c r="AG223" s="1125"/>
      <c r="AH223" s="598"/>
      <c r="AI223" s="1165">
        <f>+S223</f>
        <v>131.45699999999999</v>
      </c>
      <c r="AJ223" s="598"/>
      <c r="AK223" s="1167">
        <f>AI223/AB223</f>
        <v>45.923842794759828</v>
      </c>
      <c r="AL223" s="598"/>
      <c r="AM223" s="1176">
        <f>(AK223/AK216-1)*100</f>
        <v>4.6162306656327923</v>
      </c>
      <c r="AN223" s="1124"/>
      <c r="AP223" s="562"/>
      <c r="AQ223" s="1198"/>
      <c r="AR223" s="1198"/>
      <c r="AS223" s="1199"/>
      <c r="AT223" s="1200"/>
      <c r="AU223" s="1193"/>
      <c r="AV223" s="1199"/>
      <c r="AW223" s="1200"/>
      <c r="AX223" s="499"/>
      <c r="AY223" s="740"/>
      <c r="AZ223" s="499"/>
      <c r="BA223" s="740"/>
      <c r="BB223" s="487"/>
      <c r="BC223" s="740"/>
      <c r="BD223" s="487"/>
      <c r="BE223" s="487"/>
      <c r="BF223" s="754"/>
      <c r="BG223" s="487"/>
      <c r="BH223" s="701"/>
    </row>
    <row r="224" spans="1:60" hidden="1" outlineLevel="1">
      <c r="A224" s="598" t="s">
        <v>529</v>
      </c>
      <c r="B224" s="1157" t="s">
        <v>516</v>
      </c>
      <c r="C224" s="598"/>
      <c r="D224" s="1120">
        <f>(S224/S217-1)*100</f>
        <v>22.47398685651698</v>
      </c>
      <c r="E224" s="598"/>
      <c r="F224" s="1179">
        <f>'SegP&amp;L'!Y83</f>
        <v>9</v>
      </c>
      <c r="G224" s="598"/>
      <c r="H224" s="1120">
        <f>D224-F224</f>
        <v>13.47398685651698</v>
      </c>
      <c r="I224" s="598"/>
      <c r="J224" s="598">
        <f>Stores!Y99</f>
        <v>116</v>
      </c>
      <c r="K224" s="1127"/>
      <c r="L224" s="1128">
        <f>AVERAGE(J224,J223)</f>
        <v>111</v>
      </c>
      <c r="M224" s="598"/>
      <c r="N224" s="1120">
        <f>(L224/L217-1)*100</f>
        <v>16.842105263157904</v>
      </c>
      <c r="O224" s="1124"/>
      <c r="P224" s="1159">
        <f>H224/N224*100</f>
        <v>80.001796960569521</v>
      </c>
      <c r="Q224" s="1125"/>
      <c r="R224" s="598"/>
      <c r="S224" s="1165">
        <f>'SegP&amp;L'!W83</f>
        <v>161.01900000000001</v>
      </c>
      <c r="T224" s="598"/>
      <c r="U224" s="1166">
        <f>S224/L224</f>
        <v>1.4506216216216217</v>
      </c>
      <c r="V224" s="598"/>
      <c r="W224" s="1176">
        <f>(U224/U217-1)*100</f>
        <v>4.8200788411631779</v>
      </c>
      <c r="X224" s="1124"/>
      <c r="Y224" s="598"/>
      <c r="Z224" s="1129">
        <f>Stores!AB99</f>
        <v>3.1469999999999998</v>
      </c>
      <c r="AA224" s="1127"/>
      <c r="AB224" s="1163">
        <f>AVERAGE(Z224,Z223)</f>
        <v>3.0149999999999997</v>
      </c>
      <c r="AC224" s="598"/>
      <c r="AD224" s="1120">
        <f>(AB224/AB217-1)*100</f>
        <v>17.566777149541824</v>
      </c>
      <c r="AE224" s="1124"/>
      <c r="AF224" s="1159">
        <f>+H224/AD224*100</f>
        <v>76.701530063346922</v>
      </c>
      <c r="AG224" s="1125"/>
      <c r="AH224" s="598"/>
      <c r="AI224" s="1165">
        <f>+S224</f>
        <v>161.01900000000001</v>
      </c>
      <c r="AJ224" s="598"/>
      <c r="AK224" s="1167">
        <f>AI224/AB224</f>
        <v>53.40597014925374</v>
      </c>
      <c r="AL224" s="598"/>
      <c r="AM224" s="1176">
        <f>(AK224/AK217-1)*100</f>
        <v>4.173976548437075</v>
      </c>
      <c r="AN224" s="1124"/>
      <c r="AP224" s="562"/>
      <c r="AQ224" s="1198"/>
      <c r="AR224" s="1198"/>
      <c r="AS224" s="1199"/>
      <c r="AT224" s="1200"/>
      <c r="AU224" s="1193"/>
      <c r="AV224" s="1199"/>
      <c r="AW224" s="1200"/>
      <c r="AX224" s="499"/>
      <c r="AY224" s="740"/>
      <c r="AZ224" s="499"/>
      <c r="BA224" s="740"/>
      <c r="BB224" s="487"/>
      <c r="BC224" s="740"/>
      <c r="BD224" s="487"/>
      <c r="BE224" s="487"/>
      <c r="BF224" s="754"/>
      <c r="BG224" s="487"/>
      <c r="BH224" s="701"/>
    </row>
    <row r="225" spans="1:60" hidden="1" outlineLevel="1">
      <c r="A225" s="598" t="s">
        <v>530</v>
      </c>
      <c r="B225" s="1157" t="s">
        <v>517</v>
      </c>
      <c r="C225" s="598"/>
      <c r="D225" s="1168">
        <f>(S225/S218-1)*100</f>
        <v>12.249452954048156</v>
      </c>
      <c r="E225" s="598"/>
      <c r="F225" s="1178">
        <f>'SegP&amp;L'!Y84</f>
        <v>3</v>
      </c>
      <c r="G225" s="598"/>
      <c r="H225" s="1168">
        <f>D225-F225</f>
        <v>9.2494529540481558</v>
      </c>
      <c r="I225" s="598"/>
      <c r="J225" s="598">
        <f>yrSales!L$156</f>
        <v>117</v>
      </c>
      <c r="K225" s="1127"/>
      <c r="L225" s="1171">
        <f>AVERAGE(J225,J224)</f>
        <v>116.5</v>
      </c>
      <c r="M225" s="598"/>
      <c r="N225" s="1168">
        <f>(L225/L218-1)*100</f>
        <v>17.085427135678401</v>
      </c>
      <c r="O225" s="1124"/>
      <c r="P225" s="1171">
        <f>H225/N225*100</f>
        <v>54.136504054575937</v>
      </c>
      <c r="Q225" s="1125"/>
      <c r="R225" s="598"/>
      <c r="S225" s="1172">
        <f>'SegP&amp;L'!W84</f>
        <v>153.89400000000001</v>
      </c>
      <c r="T225" s="598"/>
      <c r="U225" s="1173">
        <f>S225/L225</f>
        <v>1.3209785407725323</v>
      </c>
      <c r="V225" s="598"/>
      <c r="W225" s="1169">
        <f>(U225/U218-1)*100</f>
        <v>-4.1302955456842039</v>
      </c>
      <c r="X225" s="1124"/>
      <c r="Y225" s="598"/>
      <c r="Z225" s="1129">
        <f>yrSales!L$169</f>
        <v>3.1949999999999998</v>
      </c>
      <c r="AA225" s="1127"/>
      <c r="AB225" s="1174">
        <f>AVERAGE(Z225,Z224)</f>
        <v>3.1709999999999998</v>
      </c>
      <c r="AC225" s="598"/>
      <c r="AD225" s="1168">
        <f>(AB225/AB218-1)*100</f>
        <v>17.575083426028915</v>
      </c>
      <c r="AE225" s="1124"/>
      <c r="AF225" s="1171">
        <f>+H225/AD225*100</f>
        <v>52.628216491704407</v>
      </c>
      <c r="AG225" s="1125"/>
      <c r="AH225" s="598"/>
      <c r="AI225" s="1172">
        <f>+S225</f>
        <v>153.89400000000001</v>
      </c>
      <c r="AJ225" s="598"/>
      <c r="AK225" s="1175">
        <f>AI225/AB225</f>
        <v>48.531693472090829</v>
      </c>
      <c r="AL225" s="598"/>
      <c r="AM225" s="1169">
        <f>(AK225/AK218-1)*100</f>
        <v>-4.5295570428672605</v>
      </c>
      <c r="AN225" s="1124"/>
      <c r="AP225" s="1201"/>
      <c r="AQ225" s="1202"/>
      <c r="AR225" s="487"/>
      <c r="AS225" s="1197"/>
      <c r="AT225" s="1081"/>
      <c r="AU225" s="1193"/>
      <c r="AV225" s="1197"/>
      <c r="AW225" s="1081"/>
      <c r="AX225" s="499"/>
      <c r="AY225" s="499"/>
      <c r="AZ225" s="499"/>
      <c r="BA225" s="499"/>
      <c r="BB225" s="487"/>
      <c r="BC225" s="499"/>
      <c r="BD225" s="487"/>
      <c r="BE225" s="487"/>
      <c r="BF225" s="754"/>
      <c r="BG225" s="487"/>
      <c r="BH225" s="487"/>
    </row>
    <row r="226" spans="1:60" hidden="1" outlineLevel="1">
      <c r="A226" s="598"/>
      <c r="B226" s="1157" t="s">
        <v>531</v>
      </c>
      <c r="C226" s="598"/>
      <c r="D226" s="1120">
        <f>(S226/S219-1)*100</f>
        <v>20.684070142362863</v>
      </c>
      <c r="E226" s="598"/>
      <c r="F226" s="1179">
        <f>'SegP&amp;L'!Y85</f>
        <v>8</v>
      </c>
      <c r="G226" s="598"/>
      <c r="H226" s="1120">
        <f>D226-F226</f>
        <v>12.684070142362863</v>
      </c>
      <c r="I226" s="598"/>
      <c r="J226" s="598"/>
      <c r="K226" s="598"/>
      <c r="L226" s="1128">
        <f>AVERAGE(L222:L225)</f>
        <v>108.875</v>
      </c>
      <c r="M226" s="598"/>
      <c r="N226" s="1120">
        <f>(L226/L219-1)*100</f>
        <v>16.599732262382872</v>
      </c>
      <c r="O226" s="1124"/>
      <c r="P226" s="1159">
        <f>H226/N226*100</f>
        <v>76.411293518911734</v>
      </c>
      <c r="Q226" s="1125"/>
      <c r="R226" s="598"/>
      <c r="S226" s="1160">
        <f>yrSales!L$138</f>
        <v>563.31100000000004</v>
      </c>
      <c r="T226" s="598"/>
      <c r="U226" s="1161">
        <f>S226/L226</f>
        <v>5.1739242250287028</v>
      </c>
      <c r="V226" s="598"/>
      <c r="W226" s="1176">
        <f>(U226/U219-1)*100</f>
        <v>3.5028707191102848</v>
      </c>
      <c r="X226" s="1124"/>
      <c r="Y226" s="598"/>
      <c r="Z226" s="598"/>
      <c r="AA226" s="598"/>
      <c r="AB226" s="1163">
        <f>AVERAGE(AB222:AB225)</f>
        <v>2.9567499999999995</v>
      </c>
      <c r="AC226" s="598"/>
      <c r="AD226" s="1120">
        <f>(AB226/AB219-1)*100</f>
        <v>17.412885932691324</v>
      </c>
      <c r="AE226" s="1124"/>
      <c r="AF226" s="1159">
        <f>+H226/AD226*100</f>
        <v>72.843009432167236</v>
      </c>
      <c r="AG226" s="1125"/>
      <c r="AH226" s="598"/>
      <c r="AI226" s="1160">
        <f>SUM(AI222:AI225)</f>
        <v>563.31100000000004</v>
      </c>
      <c r="AJ226" s="598"/>
      <c r="AK226" s="1164">
        <f>SUM(AK222:AK225)</f>
        <v>189.94932358364085</v>
      </c>
      <c r="AL226" s="598"/>
      <c r="AM226" s="1176">
        <f>(AK226/AK219-1)*100</f>
        <v>3.0015716057025799</v>
      </c>
      <c r="AN226" s="1124"/>
      <c r="AP226" s="562"/>
      <c r="AQ226" s="1198"/>
      <c r="AR226" s="1198"/>
      <c r="AS226" s="1199"/>
      <c r="AT226" s="1200"/>
      <c r="AU226" s="1193"/>
      <c r="AV226" s="1199"/>
      <c r="AW226" s="1200"/>
      <c r="AX226" s="499"/>
      <c r="AY226" s="740"/>
      <c r="AZ226" s="1200"/>
      <c r="BA226" s="740"/>
      <c r="BB226" s="487"/>
      <c r="BC226" s="740"/>
      <c r="BD226" s="487"/>
      <c r="BE226" s="487"/>
      <c r="BF226" s="754"/>
      <c r="BG226" s="487"/>
      <c r="BH226" s="487"/>
    </row>
    <row r="227" spans="1:60" hidden="1" outlineLevel="1">
      <c r="A227" s="598"/>
      <c r="B227" s="1157"/>
      <c r="C227" s="598"/>
      <c r="D227" s="598"/>
      <c r="E227" s="598"/>
      <c r="F227" s="598"/>
      <c r="G227" s="598"/>
      <c r="H227" s="598"/>
      <c r="I227" s="598"/>
      <c r="J227" s="598"/>
      <c r="K227" s="598"/>
      <c r="L227" s="598"/>
      <c r="M227" s="598"/>
      <c r="N227" s="598"/>
      <c r="O227" s="1124"/>
      <c r="P227" s="1125"/>
      <c r="Q227" s="1125"/>
      <c r="R227" s="598"/>
      <c r="S227" s="598"/>
      <c r="T227" s="598"/>
      <c r="U227" s="598"/>
      <c r="V227" s="598"/>
      <c r="W227" s="598"/>
      <c r="X227" s="1124"/>
      <c r="Y227" s="598"/>
      <c r="Z227" s="598"/>
      <c r="AA227" s="598"/>
      <c r="AB227" s="598"/>
      <c r="AC227" s="598"/>
      <c r="AD227" s="598"/>
      <c r="AE227" s="1124"/>
      <c r="AF227" s="1125"/>
      <c r="AG227" s="1125"/>
      <c r="AH227" s="598"/>
      <c r="AI227" s="598"/>
      <c r="AJ227" s="598"/>
      <c r="AK227" s="598"/>
      <c r="AL227" s="598"/>
      <c r="AM227" s="598"/>
      <c r="AN227" s="598"/>
      <c r="AP227" s="562"/>
      <c r="AQ227" s="1198"/>
      <c r="AR227" s="1198"/>
      <c r="AS227" s="1199"/>
      <c r="AT227" s="1200"/>
      <c r="AU227" s="1193"/>
      <c r="AV227" s="1199"/>
      <c r="AW227" s="1200"/>
      <c r="AX227" s="499"/>
      <c r="AY227" s="740"/>
      <c r="AZ227" s="1200"/>
      <c r="BA227" s="740"/>
      <c r="BB227" s="487"/>
      <c r="BC227" s="740"/>
      <c r="BD227" s="487"/>
      <c r="BE227" s="487"/>
      <c r="BF227" s="754"/>
      <c r="BG227" s="487"/>
      <c r="BH227" s="487"/>
    </row>
    <row r="228" spans="1:60" ht="13.5" hidden="1" outlineLevel="1" collapsed="1" thickBot="1">
      <c r="A228" s="1154"/>
      <c r="B228" s="1155">
        <f>B221+1</f>
        <v>2001</v>
      </c>
      <c r="C228" s="598"/>
      <c r="D228" s="598"/>
      <c r="E228" s="1124"/>
      <c r="F228" s="598"/>
      <c r="G228" s="1124"/>
      <c r="H228" s="598"/>
      <c r="I228" s="1124"/>
      <c r="J228" s="598"/>
      <c r="K228" s="598"/>
      <c r="L228" s="598"/>
      <c r="M228" s="598"/>
      <c r="N228" s="598"/>
      <c r="O228" s="1124"/>
      <c r="P228" s="1125"/>
      <c r="Q228" s="1125"/>
      <c r="R228" s="598"/>
      <c r="S228" s="598"/>
      <c r="T228" s="598"/>
      <c r="U228" s="598"/>
      <c r="V228" s="598"/>
      <c r="W228" s="598"/>
      <c r="X228" s="1124"/>
      <c r="Y228" s="598"/>
      <c r="Z228" s="598"/>
      <c r="AA228" s="598"/>
      <c r="AB228" s="598"/>
      <c r="AC228" s="598"/>
      <c r="AD228" s="598"/>
      <c r="AE228" s="1124"/>
      <c r="AF228" s="1125"/>
      <c r="AG228" s="1125"/>
      <c r="AH228" s="598"/>
      <c r="AI228" s="598"/>
      <c r="AJ228" s="598"/>
      <c r="AK228" s="598"/>
      <c r="AL228" s="598"/>
      <c r="AM228" s="598"/>
      <c r="AN228" s="1124"/>
      <c r="AP228" s="1196">
        <v>1</v>
      </c>
      <c r="AQ228" s="735"/>
      <c r="AR228" s="1198"/>
      <c r="AS228" s="1199"/>
      <c r="AT228" s="1200"/>
      <c r="AU228" s="1193"/>
      <c r="AV228" s="1199"/>
      <c r="AW228" s="1200"/>
      <c r="AX228" s="499"/>
      <c r="AY228" s="740"/>
      <c r="AZ228" s="1200"/>
      <c r="BA228" s="740"/>
      <c r="BB228" s="487"/>
      <c r="BC228" s="740"/>
      <c r="BD228" s="487"/>
      <c r="BE228" s="487"/>
      <c r="BF228" s="754"/>
      <c r="BG228" s="487"/>
      <c r="BH228" s="487"/>
    </row>
    <row r="229" spans="1:60" hidden="1" outlineLevel="1">
      <c r="A229" s="598" t="s">
        <v>527</v>
      </c>
      <c r="B229" s="1157" t="s">
        <v>514</v>
      </c>
      <c r="C229" s="598"/>
      <c r="D229" s="1120">
        <f>(S229/S222-1)*100</f>
        <v>8.9421161098331545</v>
      </c>
      <c r="E229" s="1124" t="s">
        <v>190</v>
      </c>
      <c r="F229" s="1179">
        <f>'SegP&amp;L'!Y88</f>
        <v>3</v>
      </c>
      <c r="G229" s="1124" t="s">
        <v>190</v>
      </c>
      <c r="H229" s="1120">
        <f>D229-F229</f>
        <v>5.9421161098331545</v>
      </c>
      <c r="I229" s="1124" t="s">
        <v>190</v>
      </c>
      <c r="J229" s="598">
        <f>Stores!Y105+Stores!BA105</f>
        <v>127</v>
      </c>
      <c r="K229" s="598" t="s">
        <v>315</v>
      </c>
      <c r="L229" s="1128">
        <f>AVERAGE(J229,J225)</f>
        <v>122</v>
      </c>
      <c r="M229" s="598"/>
      <c r="N229" s="1120">
        <f>(L229/L222-1)*100</f>
        <v>19.024390243902435</v>
      </c>
      <c r="O229" s="1124" t="s">
        <v>190</v>
      </c>
      <c r="P229" s="1159">
        <f>H229/N229*100</f>
        <v>31.234200064507618</v>
      </c>
      <c r="Q229" s="1125" t="s">
        <v>190</v>
      </c>
      <c r="R229" s="598"/>
      <c r="S229" s="1160">
        <f>'SegP&amp;L'!W88</f>
        <v>127.398</v>
      </c>
      <c r="T229" s="598" t="s">
        <v>315</v>
      </c>
      <c r="U229" s="1161">
        <f>S229/L229</f>
        <v>1.0442459016393442</v>
      </c>
      <c r="V229" s="598"/>
      <c r="W229" s="1176">
        <f>(U229/U222-1)*100</f>
        <v>-8.4707631044434688</v>
      </c>
      <c r="X229" s="1124" t="s">
        <v>190</v>
      </c>
      <c r="Y229" s="598"/>
      <c r="Z229" s="1129">
        <f>Stores!AB105+Stores!BD105</f>
        <v>3.45</v>
      </c>
      <c r="AA229" s="598" t="s">
        <v>315</v>
      </c>
      <c r="AB229" s="1163">
        <f>AVERAGE(Z229,Z225)</f>
        <v>3.3224999999999998</v>
      </c>
      <c r="AC229" s="598"/>
      <c r="AD229" s="1120">
        <f>(AB229/AB222-1)*100</f>
        <v>19.578909483534268</v>
      </c>
      <c r="AE229" s="1124" t="s">
        <v>190</v>
      </c>
      <c r="AF229" s="1159">
        <f>+H229/AD229*100</f>
        <v>30.349576491123955</v>
      </c>
      <c r="AG229" s="1125" t="s">
        <v>190</v>
      </c>
      <c r="AH229" s="598"/>
      <c r="AI229" s="1160">
        <f>+S229</f>
        <v>127.398</v>
      </c>
      <c r="AJ229" s="598" t="s">
        <v>315</v>
      </c>
      <c r="AK229" s="1164">
        <f>AI229/AB229</f>
        <v>38.344018058690743</v>
      </c>
      <c r="AL229" s="598"/>
      <c r="AM229" s="1176">
        <f>(AK229/AK222-1)*100</f>
        <v>-8.8952085444179207</v>
      </c>
      <c r="AN229" s="1124" t="s">
        <v>190</v>
      </c>
      <c r="AP229" s="562"/>
      <c r="AQ229" s="1198"/>
      <c r="AR229" s="487"/>
      <c r="AS229" s="1199"/>
      <c r="AT229" s="1200"/>
      <c r="AU229" s="1193"/>
      <c r="AV229" s="1199"/>
      <c r="AW229" s="1200"/>
      <c r="AX229" s="499"/>
      <c r="AY229" s="740"/>
      <c r="AZ229" s="1200"/>
      <c r="BA229" s="740"/>
      <c r="BB229" s="487"/>
      <c r="BC229" s="740"/>
      <c r="BD229" s="487"/>
      <c r="BE229" s="487"/>
      <c r="BF229" s="754"/>
      <c r="BG229" s="487"/>
      <c r="BH229" s="487"/>
    </row>
    <row r="230" spans="1:60" hidden="1" outlineLevel="1">
      <c r="A230" s="598" t="s">
        <v>528</v>
      </c>
      <c r="B230" s="1157" t="s">
        <v>515</v>
      </c>
      <c r="C230" s="598"/>
      <c r="D230" s="1120">
        <f>(S230/S223-1)*100</f>
        <v>19.19182698524995</v>
      </c>
      <c r="E230" s="598"/>
      <c r="F230" s="1179">
        <f>'SegP&amp;L'!Y89</f>
        <v>3</v>
      </c>
      <c r="G230" s="598"/>
      <c r="H230" s="1120">
        <f>D230-F230</f>
        <v>16.19182698524995</v>
      </c>
      <c r="I230" s="598"/>
      <c r="J230" s="598">
        <f>Stores!Y106+Stores!BA106</f>
        <v>129</v>
      </c>
      <c r="K230" s="1127"/>
      <c r="L230" s="1128">
        <f>AVERAGE(J230,J229)</f>
        <v>128</v>
      </c>
      <c r="M230" s="598"/>
      <c r="N230" s="1120">
        <f>(L230/L223-1)*100</f>
        <v>21.327014218009488</v>
      </c>
      <c r="O230" s="1124"/>
      <c r="P230" s="1159">
        <f>H230/N230*100</f>
        <v>75.921677641949742</v>
      </c>
      <c r="Q230" s="1125"/>
      <c r="R230" s="598"/>
      <c r="S230" s="1165">
        <f>'SegP&amp;L'!W89</f>
        <v>156.68600000000001</v>
      </c>
      <c r="T230" s="598"/>
      <c r="U230" s="1166">
        <f>S230/L230</f>
        <v>1.2241093750000001</v>
      </c>
      <c r="V230" s="598"/>
      <c r="W230" s="1176">
        <f>(U230/U223-1)*100</f>
        <v>-1.7598613520010353</v>
      </c>
      <c r="X230" s="1124"/>
      <c r="Y230" s="598"/>
      <c r="Z230" s="1129">
        <f>Stores!AB106+Stores!BD106</f>
        <v>3.4809999999999999</v>
      </c>
      <c r="AA230" s="1127"/>
      <c r="AB230" s="1163">
        <f>AVERAGE(Z230,Z229)</f>
        <v>3.4655</v>
      </c>
      <c r="AC230" s="598"/>
      <c r="AD230" s="1120">
        <f>(AB230/AB223-1)*100</f>
        <v>21.065502183406124</v>
      </c>
      <c r="AE230" s="1124"/>
      <c r="AF230" s="1159">
        <f>+H230/AD230*100</f>
        <v>76.864186973926962</v>
      </c>
      <c r="AG230" s="1125"/>
      <c r="AH230" s="598"/>
      <c r="AI230" s="1165">
        <f>+S230</f>
        <v>156.68600000000001</v>
      </c>
      <c r="AJ230" s="598"/>
      <c r="AK230" s="1167">
        <f>AI230/AB230</f>
        <v>45.21310056268937</v>
      </c>
      <c r="AL230" s="598"/>
      <c r="AM230" s="1176">
        <f>(AK230/AK223-1)*100</f>
        <v>-1.5476540916814496</v>
      </c>
      <c r="AN230" s="1124"/>
      <c r="AP230" s="562"/>
      <c r="AQ230" s="1198"/>
      <c r="AR230" s="1198"/>
      <c r="AS230" s="1199"/>
      <c r="AT230" s="1200"/>
      <c r="AU230" s="1193"/>
      <c r="AV230" s="1199"/>
      <c r="AW230" s="1200"/>
      <c r="AX230" s="499"/>
      <c r="AY230" s="740"/>
      <c r="AZ230" s="499"/>
      <c r="BA230" s="740"/>
      <c r="BB230" s="487"/>
      <c r="BC230" s="740"/>
      <c r="BD230" s="487"/>
      <c r="BE230" s="487"/>
      <c r="BF230" s="754"/>
      <c r="BG230" s="487"/>
      <c r="BH230" s="701"/>
    </row>
    <row r="231" spans="1:60" hidden="1" outlineLevel="1">
      <c r="A231" s="598" t="s">
        <v>529</v>
      </c>
      <c r="B231" s="1157" t="s">
        <v>516</v>
      </c>
      <c r="C231" s="598"/>
      <c r="D231" s="1120">
        <f>(S231/S224-1)*100</f>
        <v>11.661977779019871</v>
      </c>
      <c r="E231" s="598"/>
      <c r="F231" s="1179">
        <f>'SegP&amp;L'!Y90</f>
        <v>3</v>
      </c>
      <c r="G231" s="598"/>
      <c r="H231" s="1120">
        <f>D231-F231</f>
        <v>8.6619777790198711</v>
      </c>
      <c r="I231" s="598"/>
      <c r="J231" s="598">
        <f>Stores!Y107+Stores!BA107</f>
        <v>136</v>
      </c>
      <c r="K231" s="1127"/>
      <c r="L231" s="1128">
        <f>AVERAGE(J231,J230)</f>
        <v>132.5</v>
      </c>
      <c r="M231" s="598"/>
      <c r="N231" s="1120">
        <f>(L231/L224-1)*100</f>
        <v>19.369369369369373</v>
      </c>
      <c r="O231" s="1124"/>
      <c r="P231" s="1159">
        <f>H231/N231*100</f>
        <v>44.719978300986298</v>
      </c>
      <c r="Q231" s="1125"/>
      <c r="R231" s="598"/>
      <c r="S231" s="1165">
        <f>'SegP&amp;L'!W90</f>
        <v>179.797</v>
      </c>
      <c r="T231" s="598"/>
      <c r="U231" s="1166">
        <f>S231/L231</f>
        <v>1.3569584905660377</v>
      </c>
      <c r="V231" s="598"/>
      <c r="W231" s="1176">
        <f>(U231/U224-1)*100</f>
        <v>-6.4567582379531752</v>
      </c>
      <c r="X231" s="1124"/>
      <c r="Y231" s="598"/>
      <c r="Z231" s="1129">
        <f>Stores!AB107+Stores!BD107</f>
        <v>3.7250000000000001</v>
      </c>
      <c r="AA231" s="1127"/>
      <c r="AB231" s="1163">
        <f>AVERAGE(Z231,Z230)</f>
        <v>3.6029999999999998</v>
      </c>
      <c r="AC231" s="598"/>
      <c r="AD231" s="1120">
        <f>(AB231/AB224-1)*100</f>
        <v>19.502487562189064</v>
      </c>
      <c r="AE231" s="1124"/>
      <c r="AF231" s="1159">
        <f>+H231/AD231*100</f>
        <v>44.414732999566155</v>
      </c>
      <c r="AG231" s="1125"/>
      <c r="AH231" s="598"/>
      <c r="AI231" s="1165">
        <f>+S231</f>
        <v>179.797</v>
      </c>
      <c r="AJ231" s="598"/>
      <c r="AK231" s="1167">
        <f>AI231/AB231</f>
        <v>49.902026089369969</v>
      </c>
      <c r="AL231" s="598"/>
      <c r="AM231" s="1176">
        <f>(AK231/AK224-1)*100</f>
        <v>-6.5609594771732338</v>
      </c>
      <c r="AN231" s="1124"/>
      <c r="AP231" s="562"/>
      <c r="AQ231" s="1198"/>
      <c r="AR231" s="1198"/>
      <c r="AS231" s="1199"/>
      <c r="AT231" s="1200"/>
      <c r="AU231" s="1193"/>
      <c r="AV231" s="1199"/>
      <c r="AW231" s="1200"/>
      <c r="AX231" s="499"/>
      <c r="AY231" s="740"/>
      <c r="AZ231" s="499"/>
      <c r="BA231" s="740"/>
      <c r="BB231" s="487"/>
      <c r="BC231" s="740"/>
      <c r="BD231" s="487"/>
      <c r="BE231" s="487"/>
      <c r="BF231" s="754"/>
      <c r="BG231" s="487"/>
      <c r="BH231" s="701"/>
    </row>
    <row r="232" spans="1:60" hidden="1" outlineLevel="1">
      <c r="A232" s="598" t="s">
        <v>530</v>
      </c>
      <c r="B232" s="1157" t="s">
        <v>517</v>
      </c>
      <c r="C232" s="598"/>
      <c r="D232" s="1168">
        <f>(S232/S225-1)*100</f>
        <v>28.00758963962209</v>
      </c>
      <c r="E232" s="598"/>
      <c r="F232" s="1178">
        <f>'SegP&amp;L'!Y91</f>
        <v>15</v>
      </c>
      <c r="G232" s="598"/>
      <c r="H232" s="1168">
        <f>D232-F232</f>
        <v>13.00758963962209</v>
      </c>
      <c r="I232" s="598"/>
      <c r="J232" s="598">
        <f>yrSales!M$156</f>
        <v>138</v>
      </c>
      <c r="K232" s="1127"/>
      <c r="L232" s="1171">
        <f>AVERAGE(J232,J231)</f>
        <v>137</v>
      </c>
      <c r="M232" s="598"/>
      <c r="N232" s="1168">
        <f>(L232/L225-1)*100</f>
        <v>17.596566523605151</v>
      </c>
      <c r="O232" s="1124"/>
      <c r="P232" s="1171">
        <f>H232/N232*100</f>
        <v>73.921180147120651</v>
      </c>
      <c r="Q232" s="1125"/>
      <c r="R232" s="598"/>
      <c r="S232" s="1172">
        <f>'SegP&amp;L'!W91</f>
        <v>196.99600000000001</v>
      </c>
      <c r="T232" s="598"/>
      <c r="U232" s="1173">
        <f>S232/L232</f>
        <v>1.43792700729927</v>
      </c>
      <c r="V232" s="598"/>
      <c r="W232" s="1169">
        <f>(U232/U225-1)*100</f>
        <v>8.8531692920873706</v>
      </c>
      <c r="X232" s="1124"/>
      <c r="Y232" s="598"/>
      <c r="Z232" s="1129">
        <f>yrSales!M$169</f>
        <v>3.8299999999999996</v>
      </c>
      <c r="AA232" s="1127"/>
      <c r="AB232" s="1174">
        <f>AVERAGE(Z232,Z231)</f>
        <v>3.7774999999999999</v>
      </c>
      <c r="AC232" s="598"/>
      <c r="AD232" s="1168">
        <f>(AB232/AB225-1)*100</f>
        <v>19.126458530432046</v>
      </c>
      <c r="AE232" s="1124"/>
      <c r="AF232" s="1171">
        <f>+H232/AD232*100</f>
        <v>68.008354076243421</v>
      </c>
      <c r="AG232" s="1125"/>
      <c r="AH232" s="598"/>
      <c r="AI232" s="1172">
        <f>+S232</f>
        <v>196.99600000000001</v>
      </c>
      <c r="AJ232" s="598"/>
      <c r="AK232" s="1175">
        <f>AI232/AB232</f>
        <v>52.14983454665785</v>
      </c>
      <c r="AL232" s="598"/>
      <c r="AM232" s="1169">
        <f>(AK232/AK225-1)*100</f>
        <v>7.4552129046304705</v>
      </c>
      <c r="AN232" s="1124"/>
      <c r="AP232" s="1201"/>
      <c r="AQ232" s="1202"/>
      <c r="AR232" s="487"/>
      <c r="AS232" s="499"/>
      <c r="AT232" s="499"/>
      <c r="AU232" s="499"/>
      <c r="AV232" s="499"/>
      <c r="AW232" s="499"/>
      <c r="AX232" s="499"/>
      <c r="AY232" s="499"/>
      <c r="AZ232" s="499"/>
      <c r="BA232" s="499"/>
      <c r="BB232" s="487"/>
      <c r="BC232" s="499"/>
      <c r="BD232" s="487"/>
      <c r="BE232" s="487"/>
      <c r="BF232" s="754"/>
      <c r="BG232" s="487"/>
      <c r="BH232" s="487"/>
    </row>
    <row r="233" spans="1:60" hidden="1" outlineLevel="1">
      <c r="A233" s="598"/>
      <c r="B233" s="1157" t="s">
        <v>531</v>
      </c>
      <c r="C233" s="598"/>
      <c r="D233" s="1120">
        <f>(S233/S226-1)*100</f>
        <v>17.320094938675055</v>
      </c>
      <c r="E233" s="598"/>
      <c r="F233" s="1179">
        <f>'SegP&amp;L'!Y92</f>
        <v>6</v>
      </c>
      <c r="G233" s="598"/>
      <c r="H233" s="1120">
        <f>D233-F233</f>
        <v>11.320094938675055</v>
      </c>
      <c r="I233" s="598"/>
      <c r="J233" s="598"/>
      <c r="K233" s="598"/>
      <c r="L233" s="1128">
        <f>AVERAGE(L229:L232)</f>
        <v>129.875</v>
      </c>
      <c r="M233" s="598"/>
      <c r="N233" s="1120">
        <f>(L233/L226-1)*100</f>
        <v>19.288174512055111</v>
      </c>
      <c r="O233" s="1124"/>
      <c r="P233" s="1159">
        <f>H233/N233*100</f>
        <v>58.689301735630785</v>
      </c>
      <c r="Q233" s="1125"/>
      <c r="R233" s="598"/>
      <c r="S233" s="1160">
        <f>yrSales!M$138</f>
        <v>660.87699999999995</v>
      </c>
      <c r="T233" s="598"/>
      <c r="U233" s="1161">
        <f>SUM(U229:U232)</f>
        <v>5.0632407745046519</v>
      </c>
      <c r="V233" s="598"/>
      <c r="W233" s="1176">
        <f>(U233/U226-1)*100</f>
        <v>-2.1392553448816076</v>
      </c>
      <c r="X233" s="1124"/>
      <c r="Y233" s="598"/>
      <c r="Z233" s="598"/>
      <c r="AA233" s="598"/>
      <c r="AB233" s="1163">
        <f>AVERAGE(AB229:AB232)</f>
        <v>3.542125</v>
      </c>
      <c r="AC233" s="598"/>
      <c r="AD233" s="1120">
        <f>(AB233/AB226-1)*100</f>
        <v>19.79792001352838</v>
      </c>
      <c r="AE233" s="1124"/>
      <c r="AF233" s="1159">
        <f>+H233/AD233*100</f>
        <v>57.178203220034071</v>
      </c>
      <c r="AG233" s="1125"/>
      <c r="AH233" s="598"/>
      <c r="AI233" s="1160">
        <f>SUM(AI229:AI232)</f>
        <v>660.87699999999995</v>
      </c>
      <c r="AJ233" s="598"/>
      <c r="AK233" s="1164">
        <f>SUM(AK229:AK232)</f>
        <v>185.60897925740792</v>
      </c>
      <c r="AL233" s="598"/>
      <c r="AM233" s="1176">
        <f>(AK233/AK226-1)*100</f>
        <v>-2.2850012015555921</v>
      </c>
      <c r="AN233" s="1124"/>
      <c r="AP233" s="562"/>
      <c r="AQ233" s="1198"/>
      <c r="AR233" s="487"/>
      <c r="AS233" s="499"/>
      <c r="AT233" s="499"/>
      <c r="AU233" s="499"/>
      <c r="AV233" s="499"/>
      <c r="AW233" s="499"/>
      <c r="AX233" s="499"/>
      <c r="AY233" s="499"/>
      <c r="AZ233" s="499"/>
      <c r="BA233" s="499"/>
      <c r="BB233" s="487"/>
      <c r="BC233" s="499"/>
      <c r="BD233" s="487"/>
      <c r="BE233" s="487"/>
      <c r="BF233" s="754"/>
      <c r="BG233" s="487"/>
      <c r="BH233" s="487"/>
    </row>
    <row r="234" spans="1:60" hidden="1" outlineLevel="1">
      <c r="A234" s="598"/>
      <c r="B234" s="1157"/>
      <c r="C234" s="598"/>
      <c r="D234" s="598"/>
      <c r="E234" s="598"/>
      <c r="F234" s="598"/>
      <c r="G234" s="598"/>
      <c r="H234" s="598"/>
      <c r="I234" s="598"/>
      <c r="J234" s="598"/>
      <c r="K234" s="598"/>
      <c r="L234" s="598"/>
      <c r="M234" s="598"/>
      <c r="N234" s="598"/>
      <c r="O234" s="1124"/>
      <c r="P234" s="598"/>
      <c r="Q234" s="598"/>
      <c r="R234" s="598"/>
      <c r="S234" s="598"/>
      <c r="T234" s="598"/>
      <c r="U234" s="598"/>
      <c r="V234" s="598"/>
      <c r="W234" s="598"/>
      <c r="X234" s="598"/>
      <c r="Y234" s="598"/>
      <c r="Z234" s="598"/>
      <c r="AA234" s="598"/>
      <c r="AB234" s="598"/>
      <c r="AC234" s="598"/>
      <c r="AD234" s="598"/>
      <c r="AE234" s="1124"/>
      <c r="AF234" s="598"/>
      <c r="AG234" s="598"/>
      <c r="AH234" s="598"/>
      <c r="AI234" s="598"/>
      <c r="AJ234" s="598"/>
      <c r="AK234" s="598"/>
      <c r="AL234" s="598"/>
      <c r="AM234" s="598"/>
      <c r="AN234" s="598"/>
      <c r="AP234" s="487"/>
      <c r="AQ234" s="487"/>
      <c r="AR234" s="487"/>
      <c r="AS234" s="499"/>
      <c r="AT234" s="499"/>
      <c r="AU234" s="499"/>
      <c r="AV234" s="499"/>
      <c r="AW234" s="499"/>
      <c r="AX234" s="499"/>
      <c r="AY234" s="499"/>
      <c r="AZ234" s="499"/>
      <c r="BA234" s="499"/>
      <c r="BB234" s="487"/>
      <c r="BC234" s="499"/>
      <c r="BD234" s="487"/>
      <c r="BE234" s="487"/>
      <c r="BF234" s="754"/>
      <c r="BG234" s="487"/>
      <c r="BH234" s="487"/>
    </row>
    <row r="235" spans="1:60" ht="13.5" hidden="1" outlineLevel="1" collapsed="1" thickBot="1">
      <c r="A235" s="1154"/>
      <c r="B235" s="1155">
        <v>2002</v>
      </c>
      <c r="C235" s="598"/>
      <c r="D235" s="598"/>
      <c r="E235" s="1124"/>
      <c r="F235" s="598"/>
      <c r="G235" s="1124"/>
      <c r="H235" s="598"/>
      <c r="I235" s="1124"/>
      <c r="J235" s="598"/>
      <c r="K235" s="598"/>
      <c r="L235" s="598"/>
      <c r="M235" s="598"/>
      <c r="N235" s="598"/>
      <c r="O235" s="1124"/>
      <c r="P235" s="1125"/>
      <c r="Q235" s="1125"/>
      <c r="R235" s="598"/>
      <c r="S235" s="598"/>
      <c r="T235" s="598"/>
      <c r="U235" s="598"/>
      <c r="V235" s="598"/>
      <c r="W235" s="598"/>
      <c r="X235" s="1124"/>
      <c r="Y235" s="598"/>
      <c r="Z235" s="598"/>
      <c r="AA235" s="598"/>
      <c r="AB235" s="598"/>
      <c r="AC235" s="598"/>
      <c r="AD235" s="598"/>
      <c r="AE235" s="1124"/>
      <c r="AF235" s="1125"/>
      <c r="AG235" s="1125"/>
      <c r="AH235" s="598"/>
      <c r="AI235" s="598"/>
      <c r="AJ235" s="598"/>
      <c r="AK235" s="598"/>
      <c r="AL235" s="598"/>
      <c r="AM235" s="598"/>
      <c r="AN235" s="1124"/>
      <c r="AP235" s="1196">
        <v>1</v>
      </c>
      <c r="AQ235" s="735"/>
      <c r="AR235" s="487"/>
      <c r="AS235" s="499"/>
      <c r="AT235" s="499"/>
      <c r="AU235" s="499"/>
      <c r="AV235" s="499"/>
      <c r="AW235" s="499"/>
      <c r="AX235" s="499"/>
      <c r="AY235" s="499"/>
      <c r="AZ235" s="499"/>
      <c r="BA235" s="499"/>
      <c r="BB235" s="487"/>
      <c r="BC235" s="499"/>
      <c r="BD235" s="487"/>
      <c r="BE235" s="487"/>
      <c r="BF235" s="754"/>
      <c r="BG235" s="487"/>
      <c r="BH235" s="487"/>
    </row>
    <row r="236" spans="1:60" hidden="1" outlineLevel="1">
      <c r="A236" s="598" t="s">
        <v>527</v>
      </c>
      <c r="B236" s="1157" t="s">
        <v>514</v>
      </c>
      <c r="C236" s="598"/>
      <c r="D236" s="1120">
        <f>(S236/S229-1)*100</f>
        <v>27.418012841645869</v>
      </c>
      <c r="E236" s="1124" t="s">
        <v>190</v>
      </c>
      <c r="F236" s="1179">
        <f>'SegP&amp;L'!Y95</f>
        <v>10</v>
      </c>
      <c r="G236" s="1124" t="s">
        <v>190</v>
      </c>
      <c r="H236" s="1120">
        <f>D236-F236</f>
        <v>17.418012841645869</v>
      </c>
      <c r="I236" s="1124" t="s">
        <v>190</v>
      </c>
      <c r="J236" s="598">
        <f>Stores!Y113+Stores!BA113</f>
        <v>148</v>
      </c>
      <c r="K236" s="598" t="s">
        <v>315</v>
      </c>
      <c r="L236" s="1128">
        <f>AVERAGE(J236,J232)</f>
        <v>143</v>
      </c>
      <c r="M236" s="598"/>
      <c r="N236" s="1120">
        <f>(L236/L229-1)*100</f>
        <v>17.21311475409837</v>
      </c>
      <c r="O236" s="1124" t="s">
        <v>190</v>
      </c>
      <c r="P236" s="1159">
        <f>H236/N236*100</f>
        <v>101.19036031813309</v>
      </c>
      <c r="Q236" s="1125" t="s">
        <v>190</v>
      </c>
      <c r="R236" s="598"/>
      <c r="S236" s="1160">
        <f>'SegP&amp;L'!W95</f>
        <v>162.328</v>
      </c>
      <c r="T236" s="598" t="s">
        <v>315</v>
      </c>
      <c r="U236" s="1161">
        <f>S236/L236</f>
        <v>1.1351608391608392</v>
      </c>
      <c r="V236" s="598"/>
      <c r="W236" s="1176">
        <f>(U236/U229-1)*100</f>
        <v>8.7062766900755086</v>
      </c>
      <c r="X236" s="1124" t="s">
        <v>190</v>
      </c>
      <c r="Y236" s="598"/>
      <c r="Z236" s="1129">
        <f>Stores!AB113+Stores!BD113</f>
        <v>4.0730000000000004</v>
      </c>
      <c r="AA236" s="598" t="s">
        <v>315</v>
      </c>
      <c r="AB236" s="1163">
        <f>AVERAGE(Z236,Z232)</f>
        <v>3.9515000000000002</v>
      </c>
      <c r="AC236" s="598"/>
      <c r="AD236" s="1120">
        <f>(AB236/AB229-1)*100</f>
        <v>18.931527464258856</v>
      </c>
      <c r="AE236" s="1124" t="s">
        <v>190</v>
      </c>
      <c r="AF236" s="1159">
        <f>+H236/AD236*100</f>
        <v>92.005322204083228</v>
      </c>
      <c r="AG236" s="1125" t="s">
        <v>190</v>
      </c>
      <c r="AH236" s="598"/>
      <c r="AI236" s="1160">
        <f>+S236</f>
        <v>162.328</v>
      </c>
      <c r="AJ236" s="598" t="s">
        <v>315</v>
      </c>
      <c r="AK236" s="1164">
        <f>AI236/AB236</f>
        <v>41.080096166012908</v>
      </c>
      <c r="AL236" s="598"/>
      <c r="AM236" s="1176">
        <f>(AK236/AK229-1)*100</f>
        <v>7.1356061410523752</v>
      </c>
      <c r="AN236" s="1124" t="s">
        <v>190</v>
      </c>
      <c r="AP236" s="562"/>
      <c r="AQ236" s="1198"/>
      <c r="AR236" s="487"/>
      <c r="AS236" s="499"/>
      <c r="AT236" s="499"/>
      <c r="AU236" s="499"/>
      <c r="AV236" s="499"/>
      <c r="AW236" s="499"/>
      <c r="AX236" s="499"/>
      <c r="AY236" s="499"/>
      <c r="AZ236" s="499"/>
      <c r="BA236" s="499"/>
      <c r="BB236" s="487"/>
      <c r="BC236" s="499"/>
      <c r="BD236" s="487"/>
      <c r="BE236" s="487"/>
      <c r="BF236" s="754"/>
      <c r="BG236" s="487"/>
      <c r="BH236" s="487"/>
    </row>
    <row r="237" spans="1:60" hidden="1" outlineLevel="1">
      <c r="A237" s="598" t="s">
        <v>528</v>
      </c>
      <c r="B237" s="1157" t="s">
        <v>515</v>
      </c>
      <c r="C237" s="598"/>
      <c r="D237" s="1120">
        <f>(S237/S230-1)*100</f>
        <v>18.070535976411417</v>
      </c>
      <c r="E237" s="598"/>
      <c r="F237" s="1179">
        <f>'SegP&amp;L'!Y96</f>
        <v>8</v>
      </c>
      <c r="G237" s="598"/>
      <c r="H237" s="1120">
        <f>D237-F237</f>
        <v>10.070535976411417</v>
      </c>
      <c r="I237" s="598"/>
      <c r="J237" s="598">
        <f>Stores!Y114+Stores!BA114</f>
        <v>148</v>
      </c>
      <c r="K237" s="1127"/>
      <c r="L237" s="1128">
        <f>AVERAGE(J237,J236)</f>
        <v>148</v>
      </c>
      <c r="M237" s="598"/>
      <c r="N237" s="1120">
        <f>(L237/L230-1)*100</f>
        <v>15.625</v>
      </c>
      <c r="O237" s="1124"/>
      <c r="P237" s="1159">
        <f>H237/N237*100</f>
        <v>64.451430249033066</v>
      </c>
      <c r="Q237" s="1125"/>
      <c r="R237" s="598"/>
      <c r="S237" s="1165">
        <f>'SegP&amp;L'!W96</f>
        <v>185</v>
      </c>
      <c r="T237" s="598"/>
      <c r="U237" s="1166">
        <f>S237/L237</f>
        <v>1.25</v>
      </c>
      <c r="V237" s="598"/>
      <c r="W237" s="1176">
        <f>(U237/U230-1)*100</f>
        <v>2.115058141761228</v>
      </c>
      <c r="X237" s="1124"/>
      <c r="Y237" s="598"/>
      <c r="Z237" s="1129">
        <f>Stores!AB114+Stores!BD114</f>
        <v>4.0730000000000004</v>
      </c>
      <c r="AA237" s="1127"/>
      <c r="AB237" s="1163">
        <f>AVERAGE(Z237,Z236)</f>
        <v>4.0730000000000004</v>
      </c>
      <c r="AC237" s="598"/>
      <c r="AD237" s="1120">
        <f>(AB237/AB230-1)*100</f>
        <v>17.529937959890351</v>
      </c>
      <c r="AE237" s="1124"/>
      <c r="AF237" s="1159">
        <f>+H237/AD237*100</f>
        <v>57.447641853915655</v>
      </c>
      <c r="AG237" s="1125"/>
      <c r="AH237" s="598"/>
      <c r="AI237" s="1165">
        <f>+S237</f>
        <v>185</v>
      </c>
      <c r="AJ237" s="598"/>
      <c r="AK237" s="1167">
        <f>AI237/AB237</f>
        <v>45.42106555364596</v>
      </c>
      <c r="AL237" s="598"/>
      <c r="AM237" s="1176">
        <f>(AK237/AK230-1)*100</f>
        <v>0.45996622299380174</v>
      </c>
      <c r="AN237" s="1124"/>
      <c r="AP237" s="562"/>
      <c r="AQ237" s="1198"/>
      <c r="AR237" s="487"/>
      <c r="AS237" s="499"/>
      <c r="AT237" s="499"/>
      <c r="AU237" s="499"/>
      <c r="AV237" s="499"/>
      <c r="AW237" s="499"/>
      <c r="AX237" s="499"/>
      <c r="AY237" s="499"/>
      <c r="AZ237" s="499"/>
      <c r="BA237" s="499"/>
      <c r="BB237" s="487"/>
      <c r="BC237" s="499"/>
      <c r="BD237" s="487"/>
      <c r="BE237" s="487"/>
      <c r="BF237" s="754"/>
      <c r="BG237" s="487"/>
      <c r="BH237" s="487"/>
    </row>
    <row r="238" spans="1:60" hidden="1" outlineLevel="1">
      <c r="A238" s="598" t="s">
        <v>529</v>
      </c>
      <c r="B238" s="1157" t="s">
        <v>516</v>
      </c>
      <c r="C238" s="598"/>
      <c r="D238" s="1120">
        <f>(S238/S231-1)*100</f>
        <v>16.890159457610523</v>
      </c>
      <c r="E238" s="598"/>
      <c r="F238" s="1179">
        <f>'SegP&amp;L'!Y97</f>
        <v>1</v>
      </c>
      <c r="G238" s="598"/>
      <c r="H238" s="1120">
        <f>D238-F238</f>
        <v>15.890159457610523</v>
      </c>
      <c r="I238" s="598"/>
      <c r="J238" s="598">
        <f>Stores!Y115+Stores!BA115</f>
        <v>160</v>
      </c>
      <c r="K238" s="1127"/>
      <c r="L238" s="1128">
        <f>AVERAGE(J238,J237)</f>
        <v>154</v>
      </c>
      <c r="M238" s="598"/>
      <c r="N238" s="1120">
        <f>(L238/L231-1)*100</f>
        <v>16.226415094339618</v>
      </c>
      <c r="O238" s="1124"/>
      <c r="P238" s="1159">
        <f>H238/N238*100</f>
        <v>97.927726889925339</v>
      </c>
      <c r="Q238" s="1125"/>
      <c r="R238" s="598"/>
      <c r="S238" s="1165">
        <f>'SegP&amp;L'!W97</f>
        <v>210.16499999999999</v>
      </c>
      <c r="T238" s="598"/>
      <c r="U238" s="1166">
        <f>S238/L238</f>
        <v>1.3647077922077921</v>
      </c>
      <c r="V238" s="598"/>
      <c r="W238" s="1176">
        <f>(U238/U231-1)*100</f>
        <v>0.5710787541129525</v>
      </c>
      <c r="X238" s="1124"/>
      <c r="Y238" s="598"/>
      <c r="Z238" s="1129">
        <f>Stores!AB115+Stores!BD115</f>
        <v>4.4240000000000004</v>
      </c>
      <c r="AA238" s="1127"/>
      <c r="AB238" s="1163">
        <f>AVERAGE(Z238,Z237)</f>
        <v>4.2484999999999999</v>
      </c>
      <c r="AC238" s="598"/>
      <c r="AD238" s="1120">
        <f>(AB238/AB231-1)*100</f>
        <v>17.915625867332775</v>
      </c>
      <c r="AE238" s="1124"/>
      <c r="AF238" s="1159">
        <f>+H238/AD238*100</f>
        <v>88.694414447359762</v>
      </c>
      <c r="AG238" s="1125"/>
      <c r="AH238" s="598"/>
      <c r="AI238" s="1165">
        <f>+S238</f>
        <v>210.16499999999999</v>
      </c>
      <c r="AJ238" s="598"/>
      <c r="AK238" s="1167">
        <f>AI238/AB238</f>
        <v>49.468047546192771</v>
      </c>
      <c r="AL238" s="598"/>
      <c r="AM238" s="1176">
        <f>(AK238/AK231-1)*100</f>
        <v>-0.86966116846635133</v>
      </c>
      <c r="AN238" s="1124"/>
      <c r="AP238" s="562"/>
      <c r="AQ238" s="1198"/>
      <c r="AR238" s="487"/>
      <c r="AS238" s="499"/>
      <c r="AT238" s="499"/>
      <c r="AU238" s="499"/>
      <c r="AV238" s="499"/>
      <c r="AW238" s="499"/>
      <c r="AX238" s="499"/>
      <c r="AY238" s="499"/>
      <c r="AZ238" s="499"/>
      <c r="BA238" s="499"/>
      <c r="BB238" s="487"/>
      <c r="BC238" s="499"/>
      <c r="BD238" s="487"/>
      <c r="BE238" s="487"/>
      <c r="BF238" s="754"/>
      <c r="BG238" s="487"/>
      <c r="BH238" s="487"/>
    </row>
    <row r="239" spans="1:60" hidden="1" outlineLevel="1">
      <c r="A239" s="598" t="s">
        <v>530</v>
      </c>
      <c r="B239" s="1157" t="s">
        <v>517</v>
      </c>
      <c r="C239" s="598"/>
      <c r="D239" s="1168">
        <f>(S239/S232-1)*100</f>
        <v>19.651668054173687</v>
      </c>
      <c r="E239" s="598"/>
      <c r="F239" s="1178">
        <f>'SegP&amp;L'!Y98</f>
        <v>2</v>
      </c>
      <c r="G239" s="598"/>
      <c r="H239" s="1168">
        <f>D239-F239</f>
        <v>17.651668054173687</v>
      </c>
      <c r="I239" s="598"/>
      <c r="J239" s="598">
        <f>yrSales!N$156</f>
        <v>161</v>
      </c>
      <c r="K239" s="1127"/>
      <c r="L239" s="1171">
        <f>AVERAGE(J239,J238)</f>
        <v>160.5</v>
      </c>
      <c r="M239" s="598"/>
      <c r="N239" s="1168">
        <f>(L239/L232-1)*100</f>
        <v>17.153284671532852</v>
      </c>
      <c r="O239" s="1124"/>
      <c r="P239" s="1171">
        <f>H239/N239*100</f>
        <v>102.90546908177849</v>
      </c>
      <c r="Q239" s="1125"/>
      <c r="R239" s="598"/>
      <c r="S239" s="1172">
        <f>'SegP&amp;L'!W98</f>
        <v>235.709</v>
      </c>
      <c r="T239" s="1127"/>
      <c r="U239" s="1173">
        <f>S239/L239</f>
        <v>1.4685919003115264</v>
      </c>
      <c r="V239" s="598"/>
      <c r="W239" s="1169">
        <f>(U239/U232-1)*100</f>
        <v>2.1325764699177352</v>
      </c>
      <c r="X239" s="1124"/>
      <c r="Y239" s="598"/>
      <c r="Z239" s="1129">
        <f>yrSales!N$169</f>
        <v>4.4489999999999998</v>
      </c>
      <c r="AA239" s="1127"/>
      <c r="AB239" s="1174">
        <f>AVERAGE(Z239,Z238)</f>
        <v>4.4365000000000006</v>
      </c>
      <c r="AC239" s="598"/>
      <c r="AD239" s="1168">
        <f>(AB239/AB232-1)*100</f>
        <v>17.44540039708804</v>
      </c>
      <c r="AE239" s="1124"/>
      <c r="AF239" s="1171">
        <f>+H239/AD239*100</f>
        <v>101.1823612665266</v>
      </c>
      <c r="AG239" s="1125"/>
      <c r="AH239" s="598"/>
      <c r="AI239" s="1172">
        <f>+S239</f>
        <v>235.709</v>
      </c>
      <c r="AJ239" s="598"/>
      <c r="AK239" s="1175">
        <f>AI239/AB239</f>
        <v>53.129493970472211</v>
      </c>
      <c r="AL239" s="598"/>
      <c r="AM239" s="1169">
        <f>(AK239/AK232-1)*100</f>
        <v>1.8785475204870838</v>
      </c>
      <c r="AN239" s="1124"/>
      <c r="AP239" s="1201"/>
      <c r="AQ239" s="1202"/>
      <c r="AR239" s="487"/>
      <c r="AS239" s="499"/>
      <c r="AT239" s="499"/>
      <c r="AU239" s="499"/>
      <c r="AV239" s="499"/>
      <c r="AW239" s="499"/>
      <c r="AX239" s="499"/>
      <c r="AY239" s="499"/>
      <c r="AZ239" s="499"/>
      <c r="BA239" s="499"/>
      <c r="BB239" s="487"/>
      <c r="BC239" s="499"/>
      <c r="BD239" s="487"/>
      <c r="BE239" s="487"/>
      <c r="BF239" s="754"/>
      <c r="BG239" s="487"/>
      <c r="BH239" s="487"/>
    </row>
    <row r="240" spans="1:60" hidden="1" outlineLevel="1">
      <c r="A240" s="598"/>
      <c r="B240" s="1157" t="s">
        <v>531</v>
      </c>
      <c r="C240" s="598"/>
      <c r="D240" s="1120">
        <f>(S240/S233-1)*100</f>
        <v>20.022636587443653</v>
      </c>
      <c r="E240" s="598"/>
      <c r="F240" s="1179">
        <f>'SegP&amp;L'!Y99</f>
        <v>5</v>
      </c>
      <c r="G240" s="598"/>
      <c r="H240" s="1120">
        <f>D240-F240</f>
        <v>15.022636587443653</v>
      </c>
      <c r="I240" s="598"/>
      <c r="J240" s="598"/>
      <c r="K240" s="598"/>
      <c r="L240" s="1128">
        <f>AVERAGE(L236:L239)</f>
        <v>151.375</v>
      </c>
      <c r="M240" s="598"/>
      <c r="N240" s="1120">
        <f>(L240/L233-1)*100</f>
        <v>16.554379210779601</v>
      </c>
      <c r="O240" s="1124"/>
      <c r="P240" s="1159">
        <f>H240/N240*100</f>
        <v>90.747205897406687</v>
      </c>
      <c r="Q240" s="1125"/>
      <c r="R240" s="598"/>
      <c r="S240" s="1160">
        <f>yrSales!N$138</f>
        <v>793.202</v>
      </c>
      <c r="T240" s="1127"/>
      <c r="U240" s="1161">
        <f>SUM(U236:U239)</f>
        <v>5.218460531680158</v>
      </c>
      <c r="V240" s="598"/>
      <c r="W240" s="1176">
        <f>(U240/U233-1)*100</f>
        <v>3.0656206980536505</v>
      </c>
      <c r="X240" s="1124"/>
      <c r="Y240" s="598"/>
      <c r="Z240" s="598"/>
      <c r="AA240" s="1127"/>
      <c r="AB240" s="1163">
        <f>AVERAGE(AB236:AB239)</f>
        <v>4.1773749999999996</v>
      </c>
      <c r="AC240" s="598"/>
      <c r="AD240" s="1120">
        <f>(AB240/AB233-1)*100</f>
        <v>17.934149698274339</v>
      </c>
      <c r="AE240" s="1124"/>
      <c r="AF240" s="1159">
        <f>+H240/AD240*100</f>
        <v>83.765535808420083</v>
      </c>
      <c r="AG240" s="1125"/>
      <c r="AH240" s="598"/>
      <c r="AI240" s="1160">
        <f>SUM(AI236:AI239)</f>
        <v>793.202</v>
      </c>
      <c r="AJ240" s="598"/>
      <c r="AK240" s="1164">
        <f>SUM(AK236:AK239)</f>
        <v>189.09870323632384</v>
      </c>
      <c r="AL240" s="598"/>
      <c r="AM240" s="1176">
        <f>(AK240/AK233-1)*100</f>
        <v>1.8801482519206436</v>
      </c>
      <c r="AN240" s="1124"/>
      <c r="AP240" s="562"/>
      <c r="AQ240" s="1198"/>
      <c r="AR240" s="487"/>
      <c r="AS240" s="499"/>
      <c r="AT240" s="499"/>
      <c r="AU240" s="499"/>
      <c r="AV240" s="499"/>
      <c r="AW240" s="499"/>
      <c r="AX240" s="499"/>
      <c r="AY240" s="499"/>
      <c r="AZ240" s="499"/>
      <c r="BA240" s="499"/>
      <c r="BB240" s="487"/>
      <c r="BC240" s="499"/>
      <c r="BD240" s="487"/>
      <c r="BE240" s="487"/>
      <c r="BF240" s="754"/>
      <c r="BG240" s="487"/>
      <c r="BH240" s="487"/>
    </row>
    <row r="241" spans="1:60" hidden="1" outlineLevel="1">
      <c r="A241" s="598"/>
      <c r="B241" s="1157"/>
      <c r="C241" s="598"/>
      <c r="D241" s="598"/>
      <c r="E241" s="598"/>
      <c r="F241" s="598"/>
      <c r="G241" s="598"/>
      <c r="H241" s="598"/>
      <c r="I241" s="598"/>
      <c r="J241" s="598"/>
      <c r="K241" s="598"/>
      <c r="L241" s="598"/>
      <c r="M241" s="598"/>
      <c r="N241" s="598"/>
      <c r="O241" s="1124"/>
      <c r="P241" s="598"/>
      <c r="Q241" s="598"/>
      <c r="R241" s="598"/>
      <c r="S241" s="598"/>
      <c r="T241" s="1127"/>
      <c r="U241" s="598"/>
      <c r="V241" s="598"/>
      <c r="W241" s="598"/>
      <c r="X241" s="598"/>
      <c r="Y241" s="598"/>
      <c r="Z241" s="598"/>
      <c r="AA241" s="1127"/>
      <c r="AB241" s="598"/>
      <c r="AC241" s="598"/>
      <c r="AD241" s="598"/>
      <c r="AE241" s="1124"/>
      <c r="AF241" s="598"/>
      <c r="AG241" s="598"/>
      <c r="AH241" s="598"/>
      <c r="AI241" s="598"/>
      <c r="AJ241" s="598"/>
      <c r="AK241" s="598"/>
      <c r="AL241" s="598"/>
      <c r="AM241" s="598"/>
      <c r="AN241" s="598"/>
      <c r="AP241" s="562"/>
      <c r="AQ241" s="1198"/>
      <c r="AR241" s="487"/>
      <c r="AS241" s="499"/>
      <c r="AT241" s="499"/>
      <c r="AU241" s="499"/>
      <c r="AV241" s="499"/>
      <c r="AW241" s="499"/>
      <c r="AX241" s="499"/>
      <c r="AY241" s="499"/>
      <c r="AZ241" s="499"/>
      <c r="BA241" s="499"/>
      <c r="BB241" s="487"/>
      <c r="BC241" s="499"/>
      <c r="BD241" s="487"/>
      <c r="BE241" s="487"/>
      <c r="BF241" s="754"/>
      <c r="BG241" s="487"/>
      <c r="BH241" s="487"/>
    </row>
    <row r="242" spans="1:60" ht="13.5" hidden="1" outlineLevel="1" thickBot="1">
      <c r="A242" s="1154"/>
      <c r="B242" s="1155">
        <v>2003</v>
      </c>
      <c r="C242" s="598"/>
      <c r="D242" s="598"/>
      <c r="E242" s="1124"/>
      <c r="F242" s="598"/>
      <c r="G242" s="1124"/>
      <c r="H242" s="598"/>
      <c r="I242" s="1124"/>
      <c r="J242" s="598"/>
      <c r="K242" s="598"/>
      <c r="L242" s="598"/>
      <c r="M242" s="598"/>
      <c r="N242" s="598"/>
      <c r="O242" s="1124"/>
      <c r="P242" s="1125"/>
      <c r="Q242" s="1125"/>
      <c r="R242" s="598"/>
      <c r="S242" s="598"/>
      <c r="T242" s="1127"/>
      <c r="U242" s="598"/>
      <c r="V242" s="598"/>
      <c r="W242" s="598"/>
      <c r="X242" s="1124"/>
      <c r="Y242" s="598"/>
      <c r="Z242" s="598"/>
      <c r="AA242" s="1127"/>
      <c r="AB242" s="598"/>
      <c r="AC242" s="598"/>
      <c r="AD242" s="598"/>
      <c r="AE242" s="1124"/>
      <c r="AF242" s="1125"/>
      <c r="AG242" s="1125"/>
      <c r="AH242" s="598"/>
      <c r="AI242" s="598"/>
      <c r="AJ242" s="598"/>
      <c r="AK242" s="598"/>
      <c r="AL242" s="598"/>
      <c r="AM242" s="598"/>
      <c r="AN242" s="1124"/>
      <c r="AP242" s="1196">
        <v>1</v>
      </c>
      <c r="AQ242" s="735"/>
      <c r="AR242" s="487"/>
      <c r="AS242" s="499"/>
      <c r="AT242" s="499"/>
      <c r="AU242" s="499"/>
      <c r="AV242" s="499"/>
      <c r="AW242" s="499"/>
      <c r="AX242" s="499"/>
      <c r="AY242" s="499"/>
      <c r="AZ242" s="499"/>
      <c r="BA242" s="499"/>
      <c r="BB242" s="487"/>
      <c r="BC242" s="499"/>
      <c r="BD242" s="487"/>
      <c r="BE242" s="487"/>
      <c r="BF242" s="754"/>
      <c r="BG242" s="487"/>
      <c r="BH242" s="487"/>
    </row>
    <row r="243" spans="1:60" hidden="1" outlineLevel="1">
      <c r="A243" s="598" t="s">
        <v>527</v>
      </c>
      <c r="B243" s="1157" t="s">
        <v>514</v>
      </c>
      <c r="C243" s="598"/>
      <c r="D243" s="1120">
        <f>(S243/S236-1)*100</f>
        <v>24.305726676851801</v>
      </c>
      <c r="E243" s="1124" t="s">
        <v>190</v>
      </c>
      <c r="F243" s="1205">
        <f>'SegP&amp;L'!Y102</f>
        <v>0</v>
      </c>
      <c r="G243" s="1124" t="s">
        <v>190</v>
      </c>
      <c r="H243" s="1120">
        <f>D243-F243</f>
        <v>24.305726676851801</v>
      </c>
      <c r="I243" s="1124" t="s">
        <v>190</v>
      </c>
      <c r="J243" s="598">
        <f>Stores!Y121+Stores!BA121</f>
        <v>173</v>
      </c>
      <c r="K243" s="598" t="s">
        <v>315</v>
      </c>
      <c r="L243" s="1128">
        <f>AVERAGE(J243,J239)</f>
        <v>167</v>
      </c>
      <c r="M243" s="598"/>
      <c r="N243" s="1120">
        <f>(L243/L236-1)*100</f>
        <v>16.783216783216794</v>
      </c>
      <c r="O243" s="1124" t="s">
        <v>190</v>
      </c>
      <c r="P243" s="1159">
        <f>H243/N243*100</f>
        <v>144.82162144957522</v>
      </c>
      <c r="Q243" s="1125" t="s">
        <v>190</v>
      </c>
      <c r="R243" s="598"/>
      <c r="S243" s="1160">
        <f>'SegP&amp;L'!W102</f>
        <v>201.78299999999999</v>
      </c>
      <c r="T243" s="598" t="s">
        <v>315</v>
      </c>
      <c r="U243" s="1161">
        <f>S243/L243</f>
        <v>1.2082814371257484</v>
      </c>
      <c r="V243" s="598"/>
      <c r="W243" s="1176">
        <f>(U243/U236-1)*100</f>
        <v>6.4414306274838795</v>
      </c>
      <c r="X243" s="1124" t="s">
        <v>190</v>
      </c>
      <c r="Y243" s="598"/>
      <c r="Z243" s="1129">
        <f>Stores!AB121+Stores!BD121</f>
        <v>4.7759999999999998</v>
      </c>
      <c r="AA243" s="598" t="s">
        <v>315</v>
      </c>
      <c r="AB243" s="1163">
        <f>AVERAGE(Z243,Z239)</f>
        <v>4.6124999999999998</v>
      </c>
      <c r="AC243" s="598"/>
      <c r="AD243" s="1120">
        <f>(AB243/AB236-1)*100</f>
        <v>16.727824876629114</v>
      </c>
      <c r="AE243" s="1124" t="s">
        <v>190</v>
      </c>
      <c r="AF243" s="1159">
        <f>+H243/AD243*100</f>
        <v>145.3011784622995</v>
      </c>
      <c r="AG243" s="1125" t="s">
        <v>190</v>
      </c>
      <c r="AH243" s="598"/>
      <c r="AI243" s="1160">
        <f>+S243</f>
        <v>201.78299999999999</v>
      </c>
      <c r="AJ243" s="598" t="s">
        <v>315</v>
      </c>
      <c r="AK243" s="1164">
        <f>AI243/AB243</f>
        <v>43.746991869918695</v>
      </c>
      <c r="AL243" s="598"/>
      <c r="AM243" s="1176">
        <f>(AK243/AK236-1)*100</f>
        <v>6.4919412387165032</v>
      </c>
      <c r="AN243" s="1124" t="s">
        <v>190</v>
      </c>
      <c r="AP243" s="562"/>
      <c r="AQ243" s="1198"/>
      <c r="AR243" s="487"/>
      <c r="AS243" s="499"/>
      <c r="AT243" s="499"/>
      <c r="AU243" s="499"/>
      <c r="AV243" s="499"/>
      <c r="AW243" s="499"/>
      <c r="AX243" s="499"/>
      <c r="AY243" s="499"/>
      <c r="AZ243" s="499"/>
      <c r="BA243" s="499"/>
      <c r="BB243" s="487"/>
      <c r="BC243" s="499"/>
      <c r="BD243" s="487"/>
      <c r="BE243" s="487"/>
      <c r="BF243" s="754"/>
      <c r="BG243" s="487"/>
      <c r="BH243" s="487"/>
    </row>
    <row r="244" spans="1:60" hidden="1" outlineLevel="1">
      <c r="A244" s="598" t="s">
        <v>528</v>
      </c>
      <c r="B244" s="1157" t="s">
        <v>515</v>
      </c>
      <c r="C244" s="598"/>
      <c r="D244" s="1120">
        <f>(S244/S237-1)*100</f>
        <v>32.86162162162163</v>
      </c>
      <c r="E244" s="598"/>
      <c r="F244" s="1179">
        <f>'SegP&amp;L'!Y103</f>
        <v>3</v>
      </c>
      <c r="G244" s="598"/>
      <c r="H244" s="1120">
        <f>D244-F244</f>
        <v>29.86162162162163</v>
      </c>
      <c r="I244" s="598"/>
      <c r="J244" s="598">
        <f>Stores!Y122+Stores!BA122</f>
        <v>175</v>
      </c>
      <c r="K244" s="1127"/>
      <c r="L244" s="1128">
        <f>AVERAGE(J244,J243)</f>
        <v>174</v>
      </c>
      <c r="M244" s="598"/>
      <c r="N244" s="1120">
        <f>(L244/L237-1)*100</f>
        <v>17.567567567567565</v>
      </c>
      <c r="O244" s="1124"/>
      <c r="P244" s="1159">
        <f>H244/N244*100</f>
        <v>169.98153846153855</v>
      </c>
      <c r="Q244" s="1125"/>
      <c r="R244" s="598"/>
      <c r="S244" s="1165">
        <f>'SegP&amp;L'!W103</f>
        <v>245.79400000000001</v>
      </c>
      <c r="T244" s="598"/>
      <c r="U244" s="1166">
        <f>S244/L244</f>
        <v>1.412609195402299</v>
      </c>
      <c r="V244" s="598"/>
      <c r="W244" s="1176">
        <f>(U244/U237-1)*100</f>
        <v>13.008735632183921</v>
      </c>
      <c r="X244" s="1124"/>
      <c r="Y244" s="598"/>
      <c r="Z244" s="1129">
        <f>Stores!AB122+Stores!BD122</f>
        <v>4.8250000000000002</v>
      </c>
      <c r="AA244" s="1127"/>
      <c r="AB244" s="1163">
        <f>AVERAGE(Z244,Z243)</f>
        <v>4.8004999999999995</v>
      </c>
      <c r="AC244" s="598"/>
      <c r="AD244" s="1120">
        <f>(AB244/AB237-1)*100</f>
        <v>17.861527129879672</v>
      </c>
      <c r="AE244" s="1124"/>
      <c r="AF244" s="1159">
        <f>+H244/AD244*100</f>
        <v>167.18403417850865</v>
      </c>
      <c r="AG244" s="1125"/>
      <c r="AH244" s="598"/>
      <c r="AI244" s="1165">
        <f>+S244</f>
        <v>245.79400000000001</v>
      </c>
      <c r="AJ244" s="598"/>
      <c r="AK244" s="1167">
        <f>AI244/AB244</f>
        <v>51.201749817727325</v>
      </c>
      <c r="AL244" s="598"/>
      <c r="AM244" s="1176">
        <f>(AK244/AK237-1)*100</f>
        <v>12.726879463569407</v>
      </c>
      <c r="AN244" s="1124"/>
      <c r="AP244" s="562"/>
      <c r="AQ244" s="1198"/>
      <c r="AR244" s="487"/>
      <c r="AS244" s="499"/>
      <c r="AT244" s="499"/>
      <c r="AU244" s="499"/>
      <c r="AV244" s="499"/>
      <c r="AW244" s="499"/>
      <c r="AX244" s="499"/>
      <c r="AY244" s="499"/>
      <c r="AZ244" s="499"/>
      <c r="BA244" s="499"/>
      <c r="BB244" s="487"/>
      <c r="BC244" s="499"/>
      <c r="BD244" s="487"/>
      <c r="BE244" s="487"/>
      <c r="BF244" s="754"/>
      <c r="BG244" s="487"/>
      <c r="BH244" s="487"/>
    </row>
    <row r="245" spans="1:60" hidden="1" outlineLevel="1">
      <c r="A245" s="598" t="s">
        <v>529</v>
      </c>
      <c r="B245" s="1157" t="s">
        <v>516</v>
      </c>
      <c r="C245" s="598"/>
      <c r="D245" s="1120">
        <f>(S245/S238-1)*100</f>
        <v>35.403135631527618</v>
      </c>
      <c r="E245" s="598"/>
      <c r="F245" s="1179">
        <f>'SegP&amp;L'!Y104</f>
        <v>6</v>
      </c>
      <c r="G245" s="598"/>
      <c r="H245" s="1120">
        <f>D245-F245</f>
        <v>29.403135631527618</v>
      </c>
      <c r="I245" s="598"/>
      <c r="J245" s="598">
        <f>Stores!Y123+Stores!BA123</f>
        <v>183</v>
      </c>
      <c r="K245" s="1127"/>
      <c r="L245" s="1128">
        <f>AVERAGE(J245,J244)</f>
        <v>179</v>
      </c>
      <c r="M245" s="598"/>
      <c r="N245" s="1120">
        <f>(L245/L238-1)*100</f>
        <v>16.233766233766247</v>
      </c>
      <c r="O245" s="1124"/>
      <c r="P245" s="1159">
        <f>H245/N245*100</f>
        <v>181.12331549020999</v>
      </c>
      <c r="Q245" s="1125"/>
      <c r="R245" s="598"/>
      <c r="S245" s="1165">
        <f>'SegP&amp;L'!W104</f>
        <v>284.57</v>
      </c>
      <c r="T245" s="598"/>
      <c r="U245" s="1166">
        <f>S245/L245</f>
        <v>1.5897765363128491</v>
      </c>
      <c r="V245" s="598"/>
      <c r="W245" s="1176">
        <f>(U245/U238-1)*100</f>
        <v>16.492083169023751</v>
      </c>
      <c r="X245" s="1124"/>
      <c r="Y245" s="598"/>
      <c r="Z245" s="1129">
        <f>Stores!AB123+Stores!BD123</f>
        <v>5.0680000000000005</v>
      </c>
      <c r="AA245" s="1127"/>
      <c r="AB245" s="1163">
        <f>AVERAGE(Z245,Z244)</f>
        <v>4.9465000000000003</v>
      </c>
      <c r="AC245" s="598"/>
      <c r="AD245" s="1120">
        <f>(AB245/AB238-1)*100</f>
        <v>16.429327998116982</v>
      </c>
      <c r="AE245" s="1124"/>
      <c r="AF245" s="1159">
        <f>+H245/AD245*100</f>
        <v>178.9673663761391</v>
      </c>
      <c r="AG245" s="1125"/>
      <c r="AH245" s="598"/>
      <c r="AI245" s="1165">
        <f>+S245</f>
        <v>284.57</v>
      </c>
      <c r="AJ245" s="598"/>
      <c r="AK245" s="1167">
        <f>AI245/AB245</f>
        <v>57.529566360052556</v>
      </c>
      <c r="AL245" s="598"/>
      <c r="AM245" s="1176">
        <f>(AK245/AK238-1)*100</f>
        <v>16.29641599727989</v>
      </c>
      <c r="AN245" s="1124"/>
      <c r="AP245" s="562"/>
      <c r="AQ245" s="1198"/>
      <c r="AR245" s="487"/>
      <c r="AS245" s="499"/>
      <c r="AT245" s="499"/>
      <c r="AU245" s="499"/>
      <c r="AV245" s="499"/>
      <c r="AW245" s="499"/>
      <c r="AX245" s="499"/>
      <c r="AY245" s="499"/>
      <c r="AZ245" s="499"/>
      <c r="BA245" s="499"/>
      <c r="BB245" s="487"/>
      <c r="BC245" s="499"/>
      <c r="BD245" s="487"/>
      <c r="BE245" s="487"/>
      <c r="BF245" s="754"/>
      <c r="BG245" s="487"/>
      <c r="BH245" s="487"/>
    </row>
    <row r="246" spans="1:60" hidden="1" outlineLevel="1">
      <c r="A246" s="598" t="s">
        <v>530</v>
      </c>
      <c r="B246" s="1157" t="s">
        <v>517</v>
      </c>
      <c r="C246" s="598"/>
      <c r="D246" s="1168">
        <f>(S246/S239-1)*100</f>
        <v>46.021577453555018</v>
      </c>
      <c r="E246" s="598"/>
      <c r="F246" s="1178">
        <f>'SegP&amp;L'!Y105</f>
        <v>5</v>
      </c>
      <c r="G246" s="598"/>
      <c r="H246" s="1168">
        <f>D246-F246</f>
        <v>41.021577453555018</v>
      </c>
      <c r="I246" s="598"/>
      <c r="J246" s="598">
        <f>yrSales!O$156</f>
        <v>185</v>
      </c>
      <c r="K246" s="1127"/>
      <c r="L246" s="1171">
        <f>AVERAGE(J246,J245)</f>
        <v>184</v>
      </c>
      <c r="M246" s="598"/>
      <c r="N246" s="1168">
        <f>(L246/L239-1)*100</f>
        <v>14.641744548286596</v>
      </c>
      <c r="O246" s="1124"/>
      <c r="P246" s="1171">
        <f>H246/N246*100</f>
        <v>280.16864601257805</v>
      </c>
      <c r="Q246" s="1125"/>
      <c r="R246" s="598"/>
      <c r="S246" s="1172">
        <f>'SegP&amp;L'!W105</f>
        <v>344.18599999999998</v>
      </c>
      <c r="T246" s="598"/>
      <c r="U246" s="1173">
        <f>S246/L246</f>
        <v>1.8705760869565216</v>
      </c>
      <c r="V246" s="598"/>
      <c r="W246" s="1169">
        <f>(U246/U239-1)*100</f>
        <v>27.372082507041195</v>
      </c>
      <c r="X246" s="1124"/>
      <c r="Y246" s="598"/>
      <c r="Z246" s="1129">
        <f>yrSales!O$169</f>
        <v>5.12</v>
      </c>
      <c r="AA246" s="1127"/>
      <c r="AB246" s="1174">
        <f>AVERAGE(Z246,Z245)</f>
        <v>5.0940000000000003</v>
      </c>
      <c r="AC246" s="598"/>
      <c r="AD246" s="1168">
        <f>(AB246/AB239-1)*100</f>
        <v>14.820241181111227</v>
      </c>
      <c r="AE246" s="1124"/>
      <c r="AF246" s="1171">
        <f>+H246/AD246*100</f>
        <v>276.79426368471019</v>
      </c>
      <c r="AG246" s="1125"/>
      <c r="AH246" s="598"/>
      <c r="AI246" s="1172">
        <f>+S246</f>
        <v>344.18599999999998</v>
      </c>
      <c r="AJ246" s="598"/>
      <c r="AK246" s="1175">
        <f>AI246/AB246</f>
        <v>67.566941499803676</v>
      </c>
      <c r="AL246" s="598"/>
      <c r="AM246" s="1169">
        <f>(AK246/AK239-1)*100</f>
        <v>27.174073100254571</v>
      </c>
      <c r="AN246" s="1124"/>
      <c r="AP246" s="1201"/>
      <c r="AQ246" s="1202"/>
      <c r="AR246" s="487"/>
      <c r="AS246" s="499"/>
      <c r="AT246" s="499"/>
      <c r="AU246" s="499"/>
      <c r="AV246" s="499"/>
      <c r="AW246" s="499"/>
      <c r="AX246" s="499"/>
      <c r="AY246" s="499"/>
      <c r="AZ246" s="499"/>
      <c r="BA246" s="499"/>
      <c r="BB246" s="487"/>
      <c r="BC246" s="499"/>
      <c r="BD246" s="487"/>
      <c r="BE246" s="487"/>
      <c r="BF246" s="754"/>
      <c r="BG246" s="487"/>
      <c r="BH246" s="487"/>
    </row>
    <row r="247" spans="1:60" hidden="1" outlineLevel="1">
      <c r="A247" s="598"/>
      <c r="B247" s="1157" t="s">
        <v>531</v>
      </c>
      <c r="C247" s="598"/>
      <c r="D247" s="1120">
        <f>(S247/S240-1)*100</f>
        <v>35.694690633659512</v>
      </c>
      <c r="E247" s="598"/>
      <c r="F247" s="1179">
        <f>F243*S243/$S247+F244*S244/$S247+F245*S245/$S247+F246*S246/$S247</f>
        <v>3.8703003624343033</v>
      </c>
      <c r="G247" s="598"/>
      <c r="H247" s="1120">
        <f>D247-F247</f>
        <v>31.824390271225209</v>
      </c>
      <c r="I247" s="598"/>
      <c r="J247" s="598"/>
      <c r="K247" s="598"/>
      <c r="L247" s="1128">
        <f>AVERAGE(L243:L246)</f>
        <v>176</v>
      </c>
      <c r="M247" s="598"/>
      <c r="N247" s="1120">
        <f>(L247/L240-1)*100</f>
        <v>16.267547481420319</v>
      </c>
      <c r="O247" s="1124"/>
      <c r="P247" s="1159">
        <f>H247/N247*100</f>
        <v>195.6311503474808</v>
      </c>
      <c r="Q247" s="1125"/>
      <c r="R247" s="598"/>
      <c r="S247" s="1160">
        <f>SUM(S243:S246)</f>
        <v>1076.3329999999999</v>
      </c>
      <c r="T247" s="598"/>
      <c r="U247" s="1161">
        <f>SUM(U243:U246)</f>
        <v>6.0812432557974185</v>
      </c>
      <c r="V247" s="598"/>
      <c r="W247" s="1176">
        <f>(U247/U240-1)*100</f>
        <v>16.5332806271024</v>
      </c>
      <c r="X247" s="1124"/>
      <c r="Y247" s="598"/>
      <c r="Z247" s="598"/>
      <c r="AA247" s="598"/>
      <c r="AB247" s="1163">
        <f>AVERAGE(AB243:AB246)</f>
        <v>4.8633750000000004</v>
      </c>
      <c r="AC247" s="598"/>
      <c r="AD247" s="1120">
        <f>(AB247/AB240-1)*100</f>
        <v>16.421795984320319</v>
      </c>
      <c r="AE247" s="1124"/>
      <c r="AF247" s="1159">
        <f>+H247/AD247*100</f>
        <v>193.79360394935748</v>
      </c>
      <c r="AG247" s="1125"/>
      <c r="AH247" s="598"/>
      <c r="AI247" s="1160">
        <f>SUM(AI243:AI246)</f>
        <v>1076.3329999999999</v>
      </c>
      <c r="AJ247" s="598"/>
      <c r="AK247" s="1164">
        <f>SUM(AK243:AK246)</f>
        <v>220.04524954750227</v>
      </c>
      <c r="AL247" s="598"/>
      <c r="AM247" s="1176">
        <f>(AK247/AK240-1)*100</f>
        <v>16.365287430080009</v>
      </c>
      <c r="AN247" s="1124"/>
      <c r="AP247" s="562"/>
      <c r="AQ247" s="1198"/>
      <c r="AR247" s="487"/>
      <c r="AS247" s="499"/>
      <c r="AT247" s="499"/>
      <c r="AU247" s="499"/>
      <c r="AV247" s="499"/>
      <c r="AW247" s="499"/>
      <c r="AX247" s="499"/>
      <c r="AY247" s="499"/>
      <c r="AZ247" s="499"/>
      <c r="BA247" s="499"/>
      <c r="BB247" s="487"/>
      <c r="BC247" s="499"/>
      <c r="BD247" s="487"/>
      <c r="BE247" s="487"/>
      <c r="BF247" s="754"/>
      <c r="BG247" s="487"/>
      <c r="BH247" s="487"/>
    </row>
    <row r="248" spans="1:60" hidden="1" outlineLevel="1">
      <c r="A248" s="598"/>
      <c r="B248" s="1157"/>
      <c r="C248" s="598"/>
      <c r="D248" s="598"/>
      <c r="E248" s="598"/>
      <c r="F248" s="598"/>
      <c r="G248" s="598"/>
      <c r="H248" s="598"/>
      <c r="I248" s="598"/>
      <c r="J248" s="598"/>
      <c r="K248" s="598"/>
      <c r="L248" s="598"/>
      <c r="M248" s="598"/>
      <c r="N248" s="598"/>
      <c r="O248" s="1124"/>
      <c r="P248" s="598"/>
      <c r="Q248" s="598"/>
      <c r="R248" s="598"/>
      <c r="S248" s="598"/>
      <c r="T248" s="1127"/>
      <c r="U248" s="598"/>
      <c r="V248" s="598"/>
      <c r="W248" s="598"/>
      <c r="X248" s="598"/>
      <c r="Y248" s="598"/>
      <c r="Z248" s="598"/>
      <c r="AA248" s="1127"/>
      <c r="AB248" s="598"/>
      <c r="AC248" s="598"/>
      <c r="AD248" s="598"/>
      <c r="AE248" s="1124"/>
      <c r="AF248" s="598"/>
      <c r="AG248" s="598"/>
      <c r="AH248" s="598"/>
      <c r="AI248" s="598"/>
      <c r="AJ248" s="598"/>
      <c r="AK248" s="598"/>
      <c r="AL248" s="598"/>
      <c r="AM248" s="598"/>
      <c r="AN248" s="598"/>
      <c r="AP248" s="487"/>
      <c r="AQ248" s="487"/>
      <c r="AR248" s="487"/>
      <c r="AS248" s="499"/>
      <c r="AT248" s="499"/>
      <c r="AU248" s="499"/>
      <c r="AV248" s="499"/>
      <c r="AW248" s="499"/>
      <c r="AX248" s="499"/>
      <c r="AY248" s="499"/>
      <c r="AZ248" s="499"/>
      <c r="BA248" s="499"/>
      <c r="BB248" s="487"/>
      <c r="BC248" s="499"/>
      <c r="BD248" s="487"/>
      <c r="BE248" s="487"/>
      <c r="BF248" s="754"/>
      <c r="BG248" s="487"/>
      <c r="BH248" s="487"/>
    </row>
    <row r="249" spans="1:60" ht="13.5" hidden="1" outlineLevel="1" collapsed="1" thickBot="1">
      <c r="A249" s="1154"/>
      <c r="B249" s="1155">
        <f>+B242+1</f>
        <v>2004</v>
      </c>
      <c r="C249" s="598"/>
      <c r="D249" s="598"/>
      <c r="E249" s="1124"/>
      <c r="F249" s="598"/>
      <c r="G249" s="1124"/>
      <c r="H249" s="598"/>
      <c r="I249" s="1124"/>
      <c r="J249" s="598"/>
      <c r="K249" s="598"/>
      <c r="L249" s="598"/>
      <c r="M249" s="598"/>
      <c r="N249" s="598"/>
      <c r="O249" s="1124"/>
      <c r="P249" s="1125"/>
      <c r="Q249" s="1125"/>
      <c r="R249" s="598"/>
      <c r="S249" s="598"/>
      <c r="T249" s="1127"/>
      <c r="U249" s="598"/>
      <c r="V249" s="598"/>
      <c r="W249" s="598"/>
      <c r="X249" s="1124"/>
      <c r="Y249" s="598"/>
      <c r="Z249" s="598"/>
      <c r="AA249" s="1127"/>
      <c r="AB249" s="598"/>
      <c r="AC249" s="598"/>
      <c r="AD249" s="598"/>
      <c r="AE249" s="1124"/>
      <c r="AF249" s="1125"/>
      <c r="AG249" s="1125"/>
      <c r="AH249" s="598"/>
      <c r="AI249" s="598"/>
      <c r="AJ249" s="598"/>
      <c r="AK249" s="598"/>
      <c r="AL249" s="598"/>
      <c r="AM249" s="598"/>
      <c r="AN249" s="1124"/>
      <c r="AP249" s="1196">
        <v>1</v>
      </c>
      <c r="AQ249" s="735"/>
      <c r="AR249" s="487"/>
      <c r="AS249" s="499"/>
      <c r="AT249" s="499"/>
      <c r="AU249" s="499"/>
      <c r="AV249" s="499"/>
      <c r="AW249" s="499"/>
      <c r="AX249" s="499"/>
      <c r="AY249" s="499"/>
      <c r="AZ249" s="499"/>
      <c r="BA249" s="499"/>
      <c r="BB249" s="487"/>
      <c r="BC249" s="499"/>
      <c r="BD249" s="487"/>
      <c r="BE249" s="487"/>
      <c r="BF249" s="754"/>
      <c r="BG249" s="487"/>
      <c r="BH249" s="487"/>
    </row>
    <row r="250" spans="1:60" hidden="1" outlineLevel="1">
      <c r="A250" s="598" t="s">
        <v>527</v>
      </c>
      <c r="B250" s="1157" t="s">
        <v>514</v>
      </c>
      <c r="C250" s="598"/>
      <c r="D250" s="1120">
        <f>(S250/S243-1)*100</f>
        <v>33.621266409955261</v>
      </c>
      <c r="E250" s="1124" t="s">
        <v>190</v>
      </c>
      <c r="F250" s="1179">
        <f>'SegP&amp;L'!Y109</f>
        <v>6</v>
      </c>
      <c r="G250" s="1124" t="s">
        <v>190</v>
      </c>
      <c r="H250" s="1120">
        <f>D250-F250</f>
        <v>27.621266409955261</v>
      </c>
      <c r="I250" s="1124" t="s">
        <v>190</v>
      </c>
      <c r="J250" s="598">
        <f>Stores!Y129+Stores!BA129</f>
        <v>193</v>
      </c>
      <c r="K250" s="598"/>
      <c r="L250" s="1128">
        <f>AVERAGE(J250,J246)</f>
        <v>189</v>
      </c>
      <c r="M250" s="598"/>
      <c r="N250" s="1120">
        <f>(L250/L243-1)*100</f>
        <v>13.173652694610771</v>
      </c>
      <c r="O250" s="1124" t="s">
        <v>190</v>
      </c>
      <c r="P250" s="1159">
        <f>H250/N250*100</f>
        <v>209.67052229375142</v>
      </c>
      <c r="Q250" s="1125" t="s">
        <v>190</v>
      </c>
      <c r="R250" s="598"/>
      <c r="S250" s="1160">
        <f>'SegP&amp;L'!W109</f>
        <v>269.625</v>
      </c>
      <c r="T250" s="598" t="s">
        <v>315</v>
      </c>
      <c r="U250" s="1161">
        <f>S250/L250</f>
        <v>1.4265873015873016</v>
      </c>
      <c r="V250" s="598"/>
      <c r="W250" s="1176">
        <f>(U250/U243-1)*100</f>
        <v>18.067468203505442</v>
      </c>
      <c r="X250" s="1124" t="s">
        <v>190</v>
      </c>
      <c r="Y250" s="598"/>
      <c r="Z250" s="1129">
        <f>Stores!AB129+Stores!BD129</f>
        <v>5.4618799999999998</v>
      </c>
      <c r="AA250" s="598"/>
      <c r="AB250" s="1163">
        <f>AVERAGE(Z250,Z246)</f>
        <v>5.29094</v>
      </c>
      <c r="AC250" s="598"/>
      <c r="AD250" s="1120">
        <f>(AB250/AB243-1)*100</f>
        <v>14.708726287262873</v>
      </c>
      <c r="AE250" s="1124" t="s">
        <v>190</v>
      </c>
      <c r="AF250" s="1159">
        <f>+H250/AD250*100</f>
        <v>187.78829567230503</v>
      </c>
      <c r="AG250" s="1125" t="s">
        <v>190</v>
      </c>
      <c r="AH250" s="598"/>
      <c r="AI250" s="1160">
        <f>+S250</f>
        <v>269.625</v>
      </c>
      <c r="AJ250" s="598"/>
      <c r="AK250" s="1164">
        <f>AI250/AB250</f>
        <v>50.959753843362428</v>
      </c>
      <c r="AL250" s="598"/>
      <c r="AM250" s="1176">
        <f>(AK250/AK243-1)*100</f>
        <v>16.48744671380107</v>
      </c>
      <c r="AN250" s="1124" t="s">
        <v>190</v>
      </c>
      <c r="AP250" s="562"/>
      <c r="AQ250" s="1198"/>
      <c r="AR250" s="487"/>
      <c r="AS250" s="499"/>
      <c r="AT250" s="499"/>
      <c r="AU250" s="499"/>
      <c r="AV250" s="499"/>
      <c r="AW250" s="499"/>
      <c r="AX250" s="499"/>
      <c r="AY250" s="499"/>
      <c r="AZ250" s="499"/>
      <c r="BA250" s="499"/>
      <c r="BB250" s="487"/>
      <c r="BC250" s="499"/>
      <c r="BD250" s="487"/>
      <c r="BE250" s="487"/>
      <c r="BF250" s="754"/>
      <c r="BG250" s="487"/>
      <c r="BH250" s="487"/>
    </row>
    <row r="251" spans="1:60" hidden="1" outlineLevel="1">
      <c r="A251" s="598" t="s">
        <v>528</v>
      </c>
      <c r="B251" s="1157" t="s">
        <v>515</v>
      </c>
      <c r="C251" s="598"/>
      <c r="D251" s="1120">
        <f>(S251/S244-1)*100</f>
        <v>19.028942935954476</v>
      </c>
      <c r="E251" s="598"/>
      <c r="F251" s="1179">
        <f>'SegP&amp;L'!Y110</f>
        <v>11</v>
      </c>
      <c r="G251" s="598"/>
      <c r="H251" s="1120">
        <f>D251-F251</f>
        <v>8.0289429359544755</v>
      </c>
      <c r="I251" s="598"/>
      <c r="J251" s="598">
        <f>Stores!Y130+Stores!BA130</f>
        <v>194</v>
      </c>
      <c r="K251" s="1127"/>
      <c r="L251" s="1128">
        <f>AVERAGE(J251,J250)</f>
        <v>193.5</v>
      </c>
      <c r="M251" s="598"/>
      <c r="N251" s="1120">
        <f>(L251/L244-1)*100</f>
        <v>11.206896551724132</v>
      </c>
      <c r="O251" s="1124"/>
      <c r="P251" s="1159">
        <f>H251/N251*100</f>
        <v>71.642875428516888</v>
      </c>
      <c r="Q251" s="1125"/>
      <c r="R251" s="598"/>
      <c r="S251" s="1165">
        <f>'SegP&amp;L'!W110</f>
        <v>292.56599999999997</v>
      </c>
      <c r="T251" s="598"/>
      <c r="U251" s="1166">
        <f>S251/L251</f>
        <v>1.5119689922480619</v>
      </c>
      <c r="V251" s="598"/>
      <c r="W251" s="1176">
        <f>(U251/U244-1)*100</f>
        <v>7.0337781439590685</v>
      </c>
      <c r="X251" s="1124"/>
      <c r="Y251" s="598"/>
      <c r="Z251" s="1129">
        <f>Stores!AB130+Stores!BD130</f>
        <v>5.4862599999999997</v>
      </c>
      <c r="AA251" s="1127"/>
      <c r="AB251" s="1163">
        <f>AVERAGE(Z251,Z250)</f>
        <v>5.4740699999999993</v>
      </c>
      <c r="AC251" s="598"/>
      <c r="AD251" s="1120">
        <f>(AB251/AB244-1)*100</f>
        <v>14.031246745130721</v>
      </c>
      <c r="AE251" s="1124"/>
      <c r="AF251" s="1159">
        <f>+H251/AD251*100</f>
        <v>57.221878296315822</v>
      </c>
      <c r="AG251" s="1125"/>
      <c r="AH251" s="598"/>
      <c r="AI251" s="1165">
        <f>+S251</f>
        <v>292.56599999999997</v>
      </c>
      <c r="AJ251" s="598"/>
      <c r="AK251" s="1167">
        <f>AI251/AB251</f>
        <v>53.445790791860539</v>
      </c>
      <c r="AL251" s="598"/>
      <c r="AM251" s="1176">
        <f>(AK251/AK244-1)*100</f>
        <v>4.3827427424292242</v>
      </c>
      <c r="AN251" s="1124"/>
      <c r="AP251" s="562"/>
      <c r="AQ251" s="1198"/>
      <c r="AR251" s="487"/>
      <c r="AS251" s="499"/>
      <c r="AT251" s="499"/>
      <c r="AU251" s="499"/>
      <c r="AV251" s="499"/>
      <c r="AW251" s="499"/>
      <c r="AX251" s="499"/>
      <c r="AY251" s="499"/>
      <c r="AZ251" s="499"/>
      <c r="BA251" s="499"/>
      <c r="BB251" s="487"/>
      <c r="BC251" s="499"/>
      <c r="BD251" s="487"/>
      <c r="BE251" s="487"/>
      <c r="BF251" s="754"/>
      <c r="BG251" s="487"/>
      <c r="BH251" s="487"/>
    </row>
    <row r="252" spans="1:60" hidden="1" outlineLevel="1">
      <c r="A252" s="598" t="s">
        <v>529</v>
      </c>
      <c r="B252" s="1157" t="s">
        <v>516</v>
      </c>
      <c r="C252" s="598"/>
      <c r="D252" s="1120">
        <f>(S252/S245-1)*100</f>
        <v>23.465931053870758</v>
      </c>
      <c r="E252" s="598"/>
      <c r="F252" s="1179">
        <f>'SegP&amp;L'!Y111</f>
        <v>4</v>
      </c>
      <c r="G252" s="598"/>
      <c r="H252" s="1120">
        <f>D252-F252</f>
        <v>19.465931053870758</v>
      </c>
      <c r="I252" s="598"/>
      <c r="J252" s="598">
        <f>Stores!Y131+Stores!BA131</f>
        <v>206</v>
      </c>
      <c r="K252" s="1127"/>
      <c r="L252" s="1128">
        <f>AVERAGE(J252,J251)</f>
        <v>200</v>
      </c>
      <c r="M252" s="598"/>
      <c r="N252" s="1120">
        <f>(L252/L245-1)*100</f>
        <v>11.731843575418988</v>
      </c>
      <c r="O252" s="1124"/>
      <c r="P252" s="1159">
        <f>H252/N252*100</f>
        <v>165.92388850680322</v>
      </c>
      <c r="Q252" s="1125"/>
      <c r="R252" s="598"/>
      <c r="S252" s="1165">
        <f>'SegP&amp;L'!W111</f>
        <v>351.34699999999998</v>
      </c>
      <c r="T252" s="598"/>
      <c r="U252" s="1166">
        <f>S252/L252</f>
        <v>1.7567349999999999</v>
      </c>
      <c r="V252" s="598"/>
      <c r="W252" s="1176">
        <f>(U252/U245-1)*100</f>
        <v>10.502008293214327</v>
      </c>
      <c r="X252" s="1124"/>
      <c r="Y252" s="598"/>
      <c r="Z252" s="1129">
        <f>Stores!AB131+Stores!BD131</f>
        <v>5.8021700000000003</v>
      </c>
      <c r="AA252" s="1127"/>
      <c r="AB252" s="1163">
        <f>AVERAGE(Z252,Z251)</f>
        <v>5.644215</v>
      </c>
      <c r="AC252" s="598"/>
      <c r="AD252" s="1120">
        <f>(AB252/AB245-1)*100</f>
        <v>14.105225917315266</v>
      </c>
      <c r="AE252" s="1124"/>
      <c r="AF252" s="1159">
        <f>+H252/AD252*100</f>
        <v>138.00509944314189</v>
      </c>
      <c r="AG252" s="1125"/>
      <c r="AH252" s="598"/>
      <c r="AI252" s="1165">
        <f>+S252</f>
        <v>351.34699999999998</v>
      </c>
      <c r="AJ252" s="598"/>
      <c r="AK252" s="1167">
        <f>AI252/AB252</f>
        <v>62.249046147249878</v>
      </c>
      <c r="AL252" s="598"/>
      <c r="AM252" s="1176">
        <f>(AK252/AK245-1)*100</f>
        <v>8.2035726771520388</v>
      </c>
      <c r="AN252" s="1124"/>
      <c r="AP252" s="562"/>
      <c r="AQ252" s="1198"/>
      <c r="AR252" s="487"/>
      <c r="AS252" s="499"/>
      <c r="AT252" s="499"/>
      <c r="AU252" s="499"/>
      <c r="AV252" s="499"/>
      <c r="AW252" s="499"/>
      <c r="AX252" s="499"/>
      <c r="AY252" s="499"/>
      <c r="AZ252" s="499"/>
      <c r="BA252" s="499"/>
      <c r="BB252" s="487"/>
      <c r="BC252" s="499"/>
      <c r="BD252" s="487"/>
      <c r="BE252" s="487"/>
      <c r="BF252" s="754"/>
      <c r="BG252" s="487"/>
      <c r="BH252" s="487"/>
    </row>
    <row r="253" spans="1:60" hidden="1" outlineLevel="1">
      <c r="A253" s="598" t="s">
        <v>530</v>
      </c>
      <c r="B253" s="1157" t="s">
        <v>517</v>
      </c>
      <c r="C253" s="598"/>
      <c r="D253" s="1168">
        <f>(S253/S246-1)*100</f>
        <v>8.0523321692340879</v>
      </c>
      <c r="E253" s="598"/>
      <c r="F253" s="1179">
        <f>'SegP&amp;L'!Y112</f>
        <v>-4</v>
      </c>
      <c r="G253" s="598"/>
      <c r="H253" s="1168">
        <f>D253-F253</f>
        <v>12.052332169234088</v>
      </c>
      <c r="I253" s="598"/>
      <c r="J253" s="598">
        <f>Stores!Y132+Stores!BA132</f>
        <v>208</v>
      </c>
      <c r="K253" s="1127"/>
      <c r="L253" s="1171">
        <f>AVERAGE(J253,J252)</f>
        <v>207</v>
      </c>
      <c r="M253" s="598"/>
      <c r="N253" s="1168">
        <f>(L253/L246-1)*100</f>
        <v>12.5</v>
      </c>
      <c r="O253" s="1124"/>
      <c r="P253" s="1171">
        <f>H253/N253*100</f>
        <v>96.418657353872703</v>
      </c>
      <c r="Q253" s="1125"/>
      <c r="R253" s="598"/>
      <c r="S253" s="1172">
        <f>'SegP&amp;L'!W112</f>
        <v>371.90100000000001</v>
      </c>
      <c r="T253" s="598"/>
      <c r="U253" s="1173">
        <f>S253/L253</f>
        <v>1.796623188405797</v>
      </c>
      <c r="V253" s="598"/>
      <c r="W253" s="1169">
        <f>(U253/U246-1)*100</f>
        <v>-3.9534825162363729</v>
      </c>
      <c r="X253" s="1124"/>
      <c r="Y253" s="598"/>
      <c r="Z253" s="1129">
        <f>Stores!AB132+Stores!BD132</f>
        <v>5.8556000000000008</v>
      </c>
      <c r="AA253" s="1127"/>
      <c r="AB253" s="1174">
        <f>AVERAGE(Z253,Z252)</f>
        <v>5.8288850000000005</v>
      </c>
      <c r="AC253" s="598"/>
      <c r="AD253" s="1168">
        <f>(AB253/AB246-1)*100</f>
        <v>14.426482135846097</v>
      </c>
      <c r="AE253" s="1124"/>
      <c r="AF253" s="1171">
        <f>+H253/AD253*100</f>
        <v>83.543112282980914</v>
      </c>
      <c r="AG253" s="1125"/>
      <c r="AH253" s="598"/>
      <c r="AI253" s="1172">
        <f>+S253</f>
        <v>371.90100000000001</v>
      </c>
      <c r="AJ253" s="598"/>
      <c r="AK253" s="1175">
        <f>AI253/AB253</f>
        <v>63.80311157279651</v>
      </c>
      <c r="AL253" s="598"/>
      <c r="AM253" s="1169">
        <f>(AK253/AK246-1)*100</f>
        <v>-5.5705199073101452</v>
      </c>
      <c r="AN253" s="1124"/>
      <c r="AP253" s="1201"/>
      <c r="AQ253" s="1202"/>
      <c r="AR253" s="487"/>
      <c r="AS253" s="499"/>
      <c r="AT253" s="499"/>
      <c r="AU253" s="499"/>
      <c r="AV253" s="499"/>
      <c r="AW253" s="499"/>
      <c r="AX253" s="499"/>
      <c r="AY253" s="499"/>
      <c r="AZ253" s="499"/>
      <c r="BA253" s="499"/>
      <c r="BB253" s="487"/>
      <c r="BC253" s="499"/>
      <c r="BD253" s="487"/>
      <c r="BE253" s="487"/>
      <c r="BF253" s="754"/>
      <c r="BG253" s="487"/>
      <c r="BH253" s="487"/>
    </row>
    <row r="254" spans="1:60" hidden="1" outlineLevel="1">
      <c r="A254" s="598"/>
      <c r="B254" s="1157" t="s">
        <v>531</v>
      </c>
      <c r="C254" s="598"/>
      <c r="D254" s="1120">
        <f>(S254/S247-1)*100</f>
        <v>19.42763066820401</v>
      </c>
      <c r="E254" s="598"/>
      <c r="F254" s="1179">
        <f>F250*S250/$S254+F251*S251/$S254+F252*S252/$S254+F253*S253/$S254</f>
        <v>3.6981607061867572</v>
      </c>
      <c r="G254" s="598"/>
      <c r="H254" s="1120">
        <f>D254-F254</f>
        <v>15.729469962017253</v>
      </c>
      <c r="I254" s="598"/>
      <c r="J254" s="598"/>
      <c r="K254" s="598"/>
      <c r="L254" s="1128">
        <f>AVERAGE(L250:L253)</f>
        <v>197.375</v>
      </c>
      <c r="M254" s="598"/>
      <c r="N254" s="1120">
        <f>(L254/L247-1)*100</f>
        <v>12.144886363636353</v>
      </c>
      <c r="O254" s="1124"/>
      <c r="P254" s="1159">
        <f>H254/N254*100</f>
        <v>129.5151678743878</v>
      </c>
      <c r="Q254" s="1125"/>
      <c r="R254" s="598"/>
      <c r="S254" s="1160">
        <f>SUM(S250:S253)</f>
        <v>1285.4390000000001</v>
      </c>
      <c r="T254" s="598"/>
      <c r="U254" s="1161">
        <f>SUM(U250:U253)</f>
        <v>6.4919144822411603</v>
      </c>
      <c r="V254" s="598"/>
      <c r="W254" s="1176">
        <f>(U254/U247-1)*100</f>
        <v>6.7530800721092188</v>
      </c>
      <c r="X254" s="1124"/>
      <c r="Y254" s="598"/>
      <c r="Z254" s="598"/>
      <c r="AA254" s="598"/>
      <c r="AB254" s="1163">
        <f>AVERAGE(AB250:AB253)</f>
        <v>5.5595274999999997</v>
      </c>
      <c r="AC254" s="598"/>
      <c r="AD254" s="1120">
        <f>(AB254/AB247-1)*100</f>
        <v>14.314185108078226</v>
      </c>
      <c r="AE254" s="1124"/>
      <c r="AF254" s="1159">
        <f>+H254/AD254*100</f>
        <v>109.88728903009861</v>
      </c>
      <c r="AG254" s="1125"/>
      <c r="AH254" s="598"/>
      <c r="AI254" s="1160">
        <f>SUM(AI250:AI253)</f>
        <v>1285.4390000000001</v>
      </c>
      <c r="AJ254" s="598"/>
      <c r="AK254" s="1164">
        <f>SUM(AK250:AK253)</f>
        <v>230.45770235526936</v>
      </c>
      <c r="AL254" s="598"/>
      <c r="AM254" s="1176">
        <f>(AK254/AK247-1)*100</f>
        <v>4.7319598260717299</v>
      </c>
      <c r="AN254" s="1124"/>
      <c r="AP254" s="562"/>
      <c r="AQ254" s="1198"/>
      <c r="AR254" s="487"/>
      <c r="AS254" s="499"/>
      <c r="AT254" s="499"/>
      <c r="AU254" s="499"/>
      <c r="AV254" s="499"/>
      <c r="AW254" s="499"/>
      <c r="AX254" s="499"/>
      <c r="AY254" s="499"/>
      <c r="AZ254" s="499"/>
      <c r="BA254" s="499"/>
      <c r="BB254" s="487"/>
      <c r="BC254" s="499"/>
      <c r="BD254" s="487"/>
      <c r="BE254" s="487"/>
      <c r="BF254" s="754"/>
      <c r="BG254" s="487"/>
      <c r="BH254" s="487"/>
    </row>
    <row r="255" spans="1:60" collapsed="1">
      <c r="A255" s="598"/>
      <c r="B255" s="1157"/>
      <c r="C255" s="598"/>
      <c r="D255" s="598"/>
      <c r="E255" s="598"/>
      <c r="F255" s="598"/>
      <c r="G255" s="598"/>
      <c r="H255" s="598"/>
      <c r="I255" s="598"/>
      <c r="J255" s="598"/>
      <c r="K255" s="598"/>
      <c r="L255" s="598"/>
      <c r="M255" s="598"/>
      <c r="N255" s="598"/>
      <c r="O255" s="1124"/>
      <c r="P255" s="598"/>
      <c r="Q255" s="598"/>
      <c r="R255" s="598"/>
      <c r="S255" s="598"/>
      <c r="T255" s="1127"/>
      <c r="U255" s="598"/>
      <c r="V255" s="598"/>
      <c r="W255" s="598"/>
      <c r="X255" s="598"/>
      <c r="Y255" s="598"/>
      <c r="Z255" s="598"/>
      <c r="AA255" s="1127"/>
      <c r="AB255" s="598"/>
      <c r="AC255" s="598"/>
      <c r="AD255" s="598"/>
      <c r="AE255" s="1124"/>
      <c r="AF255" s="598"/>
      <c r="AG255" s="598"/>
      <c r="AH255" s="598"/>
      <c r="AI255" s="598"/>
      <c r="AJ255" s="598"/>
      <c r="AK255" s="598"/>
      <c r="AL255" s="598"/>
      <c r="AM255" s="598"/>
      <c r="AN255" s="598"/>
      <c r="AP255" s="487"/>
      <c r="AQ255" s="487"/>
      <c r="AR255" s="487"/>
      <c r="AS255" s="499"/>
      <c r="AT255" s="499"/>
      <c r="AU255" s="499"/>
      <c r="AV255" s="499"/>
      <c r="AW255" s="499"/>
      <c r="AX255" s="499"/>
      <c r="AY255" s="499"/>
      <c r="AZ255" s="499"/>
      <c r="BA255" s="499"/>
      <c r="BB255" s="487"/>
      <c r="BC255" s="499"/>
      <c r="BD255" s="487"/>
      <c r="BE255" s="487"/>
      <c r="BF255" s="754"/>
      <c r="BG255" s="487"/>
      <c r="BH255" s="487"/>
    </row>
    <row r="256" spans="1:60" ht="13.5" hidden="1" outlineLevel="1" thickBot="1">
      <c r="A256" s="1154"/>
      <c r="B256" s="1118">
        <f>+B249+1</f>
        <v>2005</v>
      </c>
      <c r="C256" s="598"/>
      <c r="D256" s="598"/>
      <c r="E256" s="1124"/>
      <c r="F256" s="598"/>
      <c r="G256" s="1124"/>
      <c r="H256" s="598"/>
      <c r="I256" s="1124"/>
      <c r="J256" s="598"/>
      <c r="K256" s="598"/>
      <c r="L256" s="598"/>
      <c r="M256" s="598"/>
      <c r="N256" s="598"/>
      <c r="O256" s="1124"/>
      <c r="P256" s="1125"/>
      <c r="Q256" s="1125"/>
      <c r="R256" s="598"/>
      <c r="S256" s="598"/>
      <c r="T256" s="1127"/>
      <c r="U256" s="598"/>
      <c r="V256" s="598"/>
      <c r="W256" s="598"/>
      <c r="X256" s="1124"/>
      <c r="Y256" s="598"/>
      <c r="Z256" s="598"/>
      <c r="AA256" s="1127"/>
      <c r="AB256" s="598"/>
      <c r="AC256" s="598"/>
      <c r="AD256" s="598"/>
      <c r="AE256" s="1124"/>
      <c r="AF256" s="1125"/>
      <c r="AG256" s="1125"/>
      <c r="AH256" s="598"/>
      <c r="AI256" s="598"/>
      <c r="AJ256" s="598"/>
      <c r="AK256" s="598"/>
      <c r="AL256" s="598"/>
      <c r="AM256" s="598"/>
      <c r="AN256" s="1124"/>
      <c r="AP256" s="1196">
        <v>1</v>
      </c>
      <c r="AQ256" s="735"/>
      <c r="AR256" s="487"/>
      <c r="AS256" s="499"/>
      <c r="AT256" s="499"/>
      <c r="AU256" s="499"/>
      <c r="AV256" s="499"/>
      <c r="AW256" s="499"/>
      <c r="AX256" s="499"/>
      <c r="AY256" s="499"/>
      <c r="AZ256" s="499"/>
      <c r="BA256" s="499"/>
      <c r="BB256" s="487"/>
      <c r="BC256" s="499"/>
      <c r="BD256" s="487"/>
      <c r="BE256" s="487"/>
      <c r="BF256" s="754"/>
      <c r="BG256" s="487"/>
      <c r="BH256" s="487"/>
    </row>
    <row r="257" spans="1:60" hidden="1" outlineLevel="1">
      <c r="A257" s="598" t="s">
        <v>527</v>
      </c>
      <c r="B257" s="1157" t="s">
        <v>514</v>
      </c>
      <c r="C257" s="598"/>
      <c r="D257" s="1120">
        <f>(S257/S250-1)*100</f>
        <v>16.123133982382942</v>
      </c>
      <c r="E257" s="1124" t="s">
        <v>190</v>
      </c>
      <c r="F257" s="1179">
        <f>'SegP&amp;L'!Y116</f>
        <v>-1</v>
      </c>
      <c r="G257" s="1124" t="s">
        <v>190</v>
      </c>
      <c r="H257" s="1120">
        <f>D257-F257</f>
        <v>17.123133982382942</v>
      </c>
      <c r="I257" s="1124" t="s">
        <v>190</v>
      </c>
      <c r="J257" s="598">
        <f>Stores!Y137+Stores!BA137</f>
        <v>213</v>
      </c>
      <c r="K257" s="598"/>
      <c r="L257" s="1128">
        <f>AVERAGE(J257,J253)</f>
        <v>210.5</v>
      </c>
      <c r="M257" s="598"/>
      <c r="N257" s="1120">
        <f>(L257/L250-1)*100</f>
        <v>11.375661375661373</v>
      </c>
      <c r="O257" s="1124" t="s">
        <v>190</v>
      </c>
      <c r="P257" s="1159">
        <f>H257/N257*100</f>
        <v>150.52429407769193</v>
      </c>
      <c r="Q257" s="1125" t="s">
        <v>190</v>
      </c>
      <c r="R257" s="598"/>
      <c r="S257" s="1160">
        <f>'SegP&amp;L'!W116</f>
        <v>313.09699999999998</v>
      </c>
      <c r="T257" s="598" t="s">
        <v>315</v>
      </c>
      <c r="U257" s="1161">
        <f>S257/L257</f>
        <v>1.487396674584323</v>
      </c>
      <c r="V257" s="598"/>
      <c r="W257" s="1176">
        <f>(U257/U250-1)*100</f>
        <v>4.26257635472862</v>
      </c>
      <c r="X257" s="1124" t="s">
        <v>190</v>
      </c>
      <c r="Y257" s="598"/>
      <c r="Z257" s="1129">
        <f>Stores!AB137+Stores!BD137</f>
        <v>6.0628678160919547</v>
      </c>
      <c r="AA257" s="598"/>
      <c r="AB257" s="1163">
        <f>AVERAGE(Z257,Z253)</f>
        <v>5.9592339080459773</v>
      </c>
      <c r="AC257" s="598"/>
      <c r="AD257" s="1120">
        <f>(AB257/AB250-1)*100</f>
        <v>12.630910727507349</v>
      </c>
      <c r="AE257" s="1124" t="s">
        <v>190</v>
      </c>
      <c r="AF257" s="1159">
        <f>+H257/AD257*100</f>
        <v>135.56531553257292</v>
      </c>
      <c r="AG257" s="1125" t="s">
        <v>190</v>
      </c>
      <c r="AH257" s="598"/>
      <c r="AI257" s="1160">
        <f>+S257</f>
        <v>313.09699999999998</v>
      </c>
      <c r="AJ257" s="598"/>
      <c r="AK257" s="1164">
        <f>AI257/AB257</f>
        <v>52.539807101256066</v>
      </c>
      <c r="AL257" s="598"/>
      <c r="AM257" s="1176">
        <f>(AK257/AK250-1)*100</f>
        <v>3.1005904438830889</v>
      </c>
      <c r="AN257" s="1124" t="s">
        <v>190</v>
      </c>
      <c r="AP257" s="562"/>
      <c r="AQ257" s="1198"/>
      <c r="AR257" s="487"/>
      <c r="AS257" s="499"/>
      <c r="AT257" s="499"/>
      <c r="AU257" s="499"/>
      <c r="AV257" s="499"/>
      <c r="AW257" s="499"/>
      <c r="AX257" s="499"/>
      <c r="AY257" s="499"/>
      <c r="AZ257" s="499"/>
      <c r="BA257" s="499"/>
      <c r="BB257" s="487"/>
      <c r="BC257" s="499"/>
      <c r="BD257" s="487"/>
      <c r="BE257" s="487"/>
      <c r="BF257" s="754"/>
      <c r="BG257" s="487"/>
      <c r="BH257" s="487"/>
    </row>
    <row r="258" spans="1:60" hidden="1" outlineLevel="1">
      <c r="A258" s="598" t="s">
        <v>528</v>
      </c>
      <c r="B258" s="1157" t="s">
        <v>515</v>
      </c>
      <c r="C258" s="598"/>
      <c r="D258" s="1120">
        <f>(S258/S251-1)*100</f>
        <v>8.2976148971514174</v>
      </c>
      <c r="E258" s="598"/>
      <c r="F258" s="1179">
        <f>'SegP&amp;L'!Y117</f>
        <v>-9</v>
      </c>
      <c r="G258" s="598"/>
      <c r="H258" s="1120">
        <f>D258-F258</f>
        <v>17.297614897151419</v>
      </c>
      <c r="I258" s="598"/>
      <c r="J258" s="598">
        <f>Stores!Y138+Stores!BA138</f>
        <v>214</v>
      </c>
      <c r="K258" s="1127"/>
      <c r="L258" s="1128">
        <f>AVERAGE(J258,J257)</f>
        <v>213.5</v>
      </c>
      <c r="M258" s="598"/>
      <c r="N258" s="1120">
        <f>(L258/L251-1)*100</f>
        <v>10.335917312661502</v>
      </c>
      <c r="O258" s="1124"/>
      <c r="P258" s="1159">
        <f>H258/N258*100</f>
        <v>167.35442412993993</v>
      </c>
      <c r="Q258" s="1125"/>
      <c r="R258" s="598"/>
      <c r="S258" s="1165">
        <f>'SegP&amp;L'!W117</f>
        <v>316.84199999999998</v>
      </c>
      <c r="T258" s="598"/>
      <c r="U258" s="1166">
        <f>S258/L258</f>
        <v>1.4840374707259953</v>
      </c>
      <c r="V258" s="598"/>
      <c r="W258" s="1176">
        <f>(U258/U251-1)*100</f>
        <v>-1.8473607372421541</v>
      </c>
      <c r="X258" s="1124"/>
      <c r="Y258" s="598"/>
      <c r="Z258" s="1129">
        <f>Stores!AB138+Stores!BD138</f>
        <v>6.0756149425287358</v>
      </c>
      <c r="AA258" s="1127"/>
      <c r="AB258" s="1163">
        <f>AVERAGE(Z258,Z257)</f>
        <v>6.0692413793103448</v>
      </c>
      <c r="AC258" s="598"/>
      <c r="AD258" s="1120">
        <f>(AB258/AB251-1)*100</f>
        <v>10.872556969683345</v>
      </c>
      <c r="AE258" s="1124"/>
      <c r="AF258" s="1159">
        <f>+H258/AD258*100</f>
        <v>159.09426775489408</v>
      </c>
      <c r="AG258" s="1125"/>
      <c r="AH258" s="598"/>
      <c r="AI258" s="1165">
        <f>+S258</f>
        <v>316.84199999999998</v>
      </c>
      <c r="AJ258" s="598"/>
      <c r="AK258" s="1167">
        <f>AI258/AB258</f>
        <v>52.204547520567246</v>
      </c>
      <c r="AL258" s="598"/>
      <c r="AM258" s="1176">
        <f>(AK258/AK251-1)*100</f>
        <v>-2.322434101737203</v>
      </c>
      <c r="AN258" s="1124"/>
      <c r="AP258" s="562"/>
      <c r="AQ258" s="1198"/>
      <c r="AR258" s="487"/>
      <c r="AS258" s="499"/>
      <c r="AT258" s="499"/>
      <c r="AU258" s="499"/>
      <c r="AV258" s="499"/>
      <c r="AW258" s="499"/>
      <c r="AX258" s="499"/>
      <c r="AY258" s="499"/>
      <c r="AZ258" s="499"/>
      <c r="BA258" s="499"/>
      <c r="BB258" s="487"/>
      <c r="BC258" s="499"/>
      <c r="BD258" s="487"/>
      <c r="BE258" s="487"/>
      <c r="BF258" s="754"/>
      <c r="BG258" s="487"/>
      <c r="BH258" s="487"/>
    </row>
    <row r="259" spans="1:60" hidden="1" outlineLevel="1">
      <c r="A259" s="598" t="s">
        <v>529</v>
      </c>
      <c r="B259" s="1157" t="s">
        <v>516</v>
      </c>
      <c r="C259" s="598"/>
      <c r="D259" s="1120">
        <f>(S259/S252-1)*100</f>
        <v>13.301380117092233</v>
      </c>
      <c r="E259" s="598"/>
      <c r="F259" s="1179">
        <f>'SegP&amp;L'!Y118</f>
        <v>-4</v>
      </c>
      <c r="G259" s="598"/>
      <c r="H259" s="1120">
        <f>D259-F259</f>
        <v>17.301380117092233</v>
      </c>
      <c r="I259" s="598"/>
      <c r="J259" s="598">
        <f>Stores!Y139+Stores!BA139</f>
        <v>229</v>
      </c>
      <c r="K259" s="1127"/>
      <c r="L259" s="1128">
        <f>AVERAGE(J259,J258)</f>
        <v>221.5</v>
      </c>
      <c r="M259" s="598"/>
      <c r="N259" s="1120">
        <f>(L259/L252-1)*100</f>
        <v>10.749999999999993</v>
      </c>
      <c r="O259" s="1124"/>
      <c r="P259" s="1159">
        <f>H259/N259*100</f>
        <v>160.94307085667202</v>
      </c>
      <c r="Q259" s="1125"/>
      <c r="R259" s="598"/>
      <c r="S259" s="1165">
        <f>'SegP&amp;L'!W118</f>
        <v>398.08100000000002</v>
      </c>
      <c r="T259" s="598"/>
      <c r="U259" s="1166">
        <f>S259/L259</f>
        <v>1.7972054176072236</v>
      </c>
      <c r="V259" s="598"/>
      <c r="W259" s="1176">
        <f>(U259/U252-1)*100</f>
        <v>2.3037292253654584</v>
      </c>
      <c r="X259" s="1124"/>
      <c r="Y259" s="598"/>
      <c r="Z259" s="1129">
        <f>Stores!AB139+Stores!BD139</f>
        <v>6.4637471264367825</v>
      </c>
      <c r="AA259" s="1127"/>
      <c r="AB259" s="1163">
        <f>AVERAGE(Z259,Z258)</f>
        <v>6.2696810344827592</v>
      </c>
      <c r="AC259" s="598"/>
      <c r="AD259" s="1120">
        <f>(AB259/AB252-1)*100</f>
        <v>11.08154162240027</v>
      </c>
      <c r="AE259" s="1124"/>
      <c r="AF259" s="1159">
        <f>+H259/AD259*100</f>
        <v>156.12791709520954</v>
      </c>
      <c r="AG259" s="1125"/>
      <c r="AH259" s="598"/>
      <c r="AI259" s="1165">
        <f>+S259</f>
        <v>398.08100000000002</v>
      </c>
      <c r="AJ259" s="598"/>
      <c r="AK259" s="1167">
        <f>AI259/AB259</f>
        <v>63.493022661054908</v>
      </c>
      <c r="AL259" s="598"/>
      <c r="AM259" s="1176">
        <f>(AK259/AK252-1)*100</f>
        <v>1.9983864666173412</v>
      </c>
      <c r="AN259" s="1124"/>
      <c r="AP259" s="562"/>
      <c r="AQ259" s="1198"/>
      <c r="AR259" s="487"/>
      <c r="AS259" s="499"/>
      <c r="AT259" s="499"/>
      <c r="AU259" s="499"/>
      <c r="AV259" s="499"/>
      <c r="AW259" s="499"/>
      <c r="AX259" s="499"/>
      <c r="AY259" s="499"/>
      <c r="AZ259" s="499"/>
      <c r="BA259" s="499"/>
      <c r="BB259" s="487"/>
      <c r="BC259" s="499"/>
      <c r="BD259" s="487"/>
      <c r="BE259" s="487"/>
      <c r="BF259" s="754"/>
      <c r="BG259" s="487"/>
      <c r="BH259" s="487"/>
    </row>
    <row r="260" spans="1:60" hidden="1" outlineLevel="1">
      <c r="A260" s="598" t="s">
        <v>530</v>
      </c>
      <c r="B260" s="1157" t="s">
        <v>517</v>
      </c>
      <c r="C260" s="598"/>
      <c r="D260" s="1168">
        <f>(S260/S253-1)*100</f>
        <v>15.545803856402651</v>
      </c>
      <c r="E260" s="598"/>
      <c r="F260" s="1178">
        <f>'SegP&amp;L'!Y119</f>
        <v>2</v>
      </c>
      <c r="G260" s="598"/>
      <c r="H260" s="1168">
        <f>D260-F260</f>
        <v>13.545803856402651</v>
      </c>
      <c r="I260" s="598"/>
      <c r="J260" s="598">
        <f>yrSales!Q$156</f>
        <v>232</v>
      </c>
      <c r="K260" s="1127"/>
      <c r="L260" s="1171">
        <f>AVERAGE(J260,J259)</f>
        <v>230.5</v>
      </c>
      <c r="M260" s="598"/>
      <c r="N260" s="1168">
        <f>(L260/L253-1)*100</f>
        <v>11.352657004830924</v>
      </c>
      <c r="O260" s="1124"/>
      <c r="P260" s="1171">
        <f>H260/N260*100</f>
        <v>119.31835737341902</v>
      </c>
      <c r="Q260" s="1125"/>
      <c r="R260" s="598"/>
      <c r="S260" s="1172">
        <f>'SegP&amp;L'!W119</f>
        <v>429.71600000000001</v>
      </c>
      <c r="T260" s="598"/>
      <c r="U260" s="1173">
        <f>S260/L260</f>
        <v>1.8642776572668114</v>
      </c>
      <c r="V260" s="598"/>
      <c r="W260" s="1169">
        <f>(U260/U253-1)*100</f>
        <v>3.7656459795025965</v>
      </c>
      <c r="X260" s="1124"/>
      <c r="Y260" s="598"/>
      <c r="Z260" s="1129">
        <f>yrSales!Q$169</f>
        <v>6.5609999999999999</v>
      </c>
      <c r="AA260" s="1127"/>
      <c r="AB260" s="1174">
        <f>AVERAGE(Z260,Z259)</f>
        <v>6.5123735632183912</v>
      </c>
      <c r="AC260" s="598"/>
      <c r="AD260" s="1168">
        <f>(AB260/AB253-1)*100</f>
        <v>11.7258886256701</v>
      </c>
      <c r="AE260" s="1124"/>
      <c r="AF260" s="1171">
        <f>+H260/AD260*100</f>
        <v>115.52048879901884</v>
      </c>
      <c r="AG260" s="1125"/>
      <c r="AH260" s="598"/>
      <c r="AI260" s="1172">
        <f>+S260</f>
        <v>429.71600000000001</v>
      </c>
      <c r="AJ260" s="598"/>
      <c r="AK260" s="1175">
        <f>AI260/AB260</f>
        <v>65.984544011267673</v>
      </c>
      <c r="AL260" s="598"/>
      <c r="AM260" s="1169">
        <f>(AK260/AK253-1)*100</f>
        <v>3.4190063536043258</v>
      </c>
      <c r="AN260" s="1124"/>
      <c r="AP260" s="1201"/>
      <c r="AQ260" s="1202"/>
      <c r="AR260" s="487"/>
      <c r="AS260" s="499"/>
      <c r="AT260" s="499"/>
      <c r="AU260" s="499"/>
      <c r="AV260" s="499"/>
      <c r="AW260" s="499"/>
      <c r="AX260" s="499"/>
      <c r="AY260" s="499"/>
      <c r="AZ260" s="499"/>
      <c r="BA260" s="499"/>
      <c r="BB260" s="487"/>
      <c r="BC260" s="499"/>
      <c r="BD260" s="487"/>
      <c r="BE260" s="487"/>
      <c r="BF260" s="754"/>
      <c r="BG260" s="487"/>
      <c r="BH260" s="487"/>
    </row>
    <row r="261" spans="1:60" hidden="1" outlineLevel="1">
      <c r="A261" s="598"/>
      <c r="B261" s="1157" t="s">
        <v>531</v>
      </c>
      <c r="C261" s="598"/>
      <c r="D261" s="1120">
        <f>(S261/S254-1)*100</f>
        <v>13.403747669084233</v>
      </c>
      <c r="E261" s="598"/>
      <c r="F261" s="1179">
        <f>F257*S257/$S261+F258*S258/$S261+F259*S259/$S261+F260*S260/$S261</f>
        <v>-2.6737125240784341</v>
      </c>
      <c r="G261" s="598"/>
      <c r="H261" s="1120">
        <f>D261-F261</f>
        <v>16.077460193162665</v>
      </c>
      <c r="I261" s="598"/>
      <c r="J261" s="598"/>
      <c r="K261" s="598"/>
      <c r="L261" s="1128">
        <f>AVERAGE(L257:L260)</f>
        <v>219</v>
      </c>
      <c r="M261" s="598"/>
      <c r="N261" s="1120">
        <f>(L261/L254-1)*100</f>
        <v>10.956301456618123</v>
      </c>
      <c r="O261" s="1124"/>
      <c r="P261" s="1159">
        <f>H261/N261*100</f>
        <v>146.74167424857703</v>
      </c>
      <c r="Q261" s="1125"/>
      <c r="R261" s="598"/>
      <c r="S261" s="1160">
        <f>SUM(S257:S260)</f>
        <v>1457.7359999999999</v>
      </c>
      <c r="T261" s="598"/>
      <c r="U261" s="1161">
        <f>SUM(U257:U260)</f>
        <v>6.6329172201843534</v>
      </c>
      <c r="V261" s="598"/>
      <c r="W261" s="1176">
        <f>(U261/U254-1)*100</f>
        <v>2.1719746667783424</v>
      </c>
      <c r="X261" s="1124"/>
      <c r="Y261" s="598"/>
      <c r="Z261" s="598"/>
      <c r="AA261" s="598"/>
      <c r="AB261" s="1163">
        <f>AVERAGE(AB257:AB260)</f>
        <v>6.2026324712643675</v>
      </c>
      <c r="AC261" s="598"/>
      <c r="AD261" s="1120">
        <f>(AB261/AB254-1)*100</f>
        <v>11.567619213401992</v>
      </c>
      <c r="AE261" s="1124"/>
      <c r="AF261" s="1159">
        <f>+H261/AD261*100</f>
        <v>138.98676898471615</v>
      </c>
      <c r="AG261" s="1125"/>
      <c r="AH261" s="598"/>
      <c r="AI261" s="1160">
        <f>SUM(AI257:AI260)</f>
        <v>1457.7359999999999</v>
      </c>
      <c r="AJ261" s="598"/>
      <c r="AK261" s="1164">
        <f>SUM(AK257:AK260)</f>
        <v>234.22192129414589</v>
      </c>
      <c r="AL261" s="598"/>
      <c r="AM261" s="1176">
        <f>(AK261/AK254-1)*100</f>
        <v>1.6333665138575704</v>
      </c>
      <c r="AN261" s="1124"/>
      <c r="AP261" s="562"/>
      <c r="AQ261" s="1198"/>
      <c r="AR261" s="487"/>
      <c r="AS261" s="499"/>
      <c r="AT261" s="499"/>
      <c r="AU261" s="499"/>
      <c r="AV261" s="499"/>
      <c r="AW261" s="499"/>
      <c r="AX261" s="499"/>
      <c r="AY261" s="499"/>
      <c r="AZ261" s="499"/>
      <c r="BA261" s="499"/>
      <c r="BB261" s="487"/>
      <c r="BC261" s="499"/>
      <c r="BD261" s="487"/>
      <c r="BE261" s="487"/>
      <c r="BF261" s="754"/>
      <c r="BG261" s="487"/>
      <c r="BH261" s="487"/>
    </row>
    <row r="262" spans="1:60" ht="13.5" hidden="1" outlineLevel="1" thickBot="1">
      <c r="A262" s="598"/>
      <c r="B262" s="1157"/>
      <c r="C262" s="598"/>
      <c r="D262" s="1120"/>
      <c r="E262" s="598"/>
      <c r="F262" s="1179"/>
      <c r="G262" s="598"/>
      <c r="H262" s="1120"/>
      <c r="I262" s="598"/>
      <c r="J262" s="598"/>
      <c r="K262" s="598"/>
      <c r="L262" s="1128"/>
      <c r="M262" s="598"/>
      <c r="N262" s="1120"/>
      <c r="O262" s="1124"/>
      <c r="P262" s="1159"/>
      <c r="Q262" s="1125"/>
      <c r="R262" s="598"/>
      <c r="S262" s="1160"/>
      <c r="T262" s="598"/>
      <c r="U262" s="1161"/>
      <c r="V262" s="598"/>
      <c r="W262" s="1176"/>
      <c r="X262" s="1124"/>
      <c r="Y262" s="598"/>
      <c r="Z262" s="598"/>
      <c r="AA262" s="598"/>
      <c r="AB262" s="1163"/>
      <c r="AC262" s="598"/>
      <c r="AD262" s="1120"/>
      <c r="AE262" s="1124"/>
      <c r="AF262" s="1159"/>
      <c r="AG262" s="1125"/>
      <c r="AH262" s="598"/>
      <c r="AI262" s="1160"/>
      <c r="AJ262" s="598"/>
      <c r="AK262" s="1164"/>
      <c r="AL262" s="598"/>
      <c r="AM262" s="1176"/>
      <c r="AN262" s="1124"/>
      <c r="AP262" s="487"/>
      <c r="AQ262" s="487"/>
      <c r="AR262" s="487"/>
      <c r="AS262" s="499"/>
      <c r="AT262" s="499"/>
      <c r="AU262" s="499"/>
      <c r="AV262" s="499"/>
      <c r="AW262" s="499"/>
      <c r="AX262" s="499"/>
      <c r="AY262" s="499"/>
      <c r="AZ262" s="499"/>
      <c r="BA262" s="499"/>
      <c r="BB262" s="487"/>
      <c r="BC262" s="499"/>
      <c r="BD262" s="487"/>
      <c r="BE262" s="487"/>
      <c r="BF262" s="754"/>
      <c r="BG262" s="487"/>
      <c r="BH262" s="487"/>
    </row>
    <row r="263" spans="1:60" ht="13.5" hidden="1" outlineLevel="1" thickBot="1">
      <c r="A263" s="1154"/>
      <c r="B263" s="1118">
        <f>+B256+1</f>
        <v>2006</v>
      </c>
      <c r="C263" s="598"/>
      <c r="D263" s="598"/>
      <c r="E263" s="1124"/>
      <c r="F263" s="598"/>
      <c r="G263" s="1124"/>
      <c r="H263" s="598"/>
      <c r="I263" s="1124"/>
      <c r="J263" s="598"/>
      <c r="K263" s="598"/>
      <c r="L263" s="598"/>
      <c r="M263" s="598"/>
      <c r="N263" s="598"/>
      <c r="O263" s="1124"/>
      <c r="P263" s="1125"/>
      <c r="Q263" s="1125"/>
      <c r="R263" s="598"/>
      <c r="S263" s="598"/>
      <c r="T263" s="1127"/>
      <c r="U263" s="598"/>
      <c r="V263" s="598"/>
      <c r="W263" s="598"/>
      <c r="X263" s="1124"/>
      <c r="Y263" s="598"/>
      <c r="Z263" s="598"/>
      <c r="AA263" s="1127"/>
      <c r="AB263" s="598"/>
      <c r="AC263" s="598"/>
      <c r="AD263" s="598"/>
      <c r="AE263" s="1124"/>
      <c r="AF263" s="1125"/>
      <c r="AG263" s="1125"/>
      <c r="AH263" s="598"/>
      <c r="AI263" s="598"/>
      <c r="AJ263" s="598"/>
      <c r="AK263" s="598"/>
      <c r="AL263" s="598"/>
      <c r="AM263" s="598"/>
      <c r="AN263" s="1124"/>
      <c r="AP263" s="1196">
        <v>1</v>
      </c>
      <c r="AQ263" s="735"/>
      <c r="AR263" s="487"/>
      <c r="AS263" s="499"/>
      <c r="AT263" s="499"/>
      <c r="AU263" s="499"/>
      <c r="AV263" s="499"/>
      <c r="AW263" s="499"/>
      <c r="AX263" s="499"/>
      <c r="AY263" s="499"/>
      <c r="AZ263" s="499"/>
      <c r="BA263" s="499"/>
      <c r="BB263" s="487"/>
      <c r="BC263" s="499"/>
      <c r="BD263" s="487"/>
      <c r="BE263" s="487"/>
      <c r="BF263" s="754"/>
      <c r="BG263" s="487"/>
      <c r="BH263" s="487"/>
    </row>
    <row r="264" spans="1:60" hidden="1" outlineLevel="1">
      <c r="A264" s="598" t="s">
        <v>527</v>
      </c>
      <c r="B264" s="1157" t="s">
        <v>514</v>
      </c>
      <c r="C264" s="598"/>
      <c r="D264" s="1120">
        <f>(S264/S257-1)*100</f>
        <v>17.794166025225412</v>
      </c>
      <c r="E264" s="1124" t="s">
        <v>190</v>
      </c>
      <c r="F264" s="1179">
        <f>'SegP&amp;L'!$Y$123</f>
        <v>1</v>
      </c>
      <c r="G264" s="1124" t="s">
        <v>190</v>
      </c>
      <c r="H264" s="1120">
        <f>D264-F264</f>
        <v>16.794166025225412</v>
      </c>
      <c r="I264" s="1124" t="s">
        <v>190</v>
      </c>
      <c r="J264" s="598">
        <f>Stores!Y145+Stores!BA145</f>
        <v>238</v>
      </c>
      <c r="K264" s="598"/>
      <c r="L264" s="1128">
        <f>AVERAGE(J264,J260)</f>
        <v>235</v>
      </c>
      <c r="M264" s="598"/>
      <c r="N264" s="1120">
        <f>(L264/L257-1)*100</f>
        <v>11.638954869358663</v>
      </c>
      <c r="O264" s="1124" t="s">
        <v>190</v>
      </c>
      <c r="P264" s="1159">
        <f>H264/N264*100</f>
        <v>144.29273258407963</v>
      </c>
      <c r="Q264" s="1125" t="s">
        <v>190</v>
      </c>
      <c r="R264" s="598"/>
      <c r="S264" s="1160">
        <f>'SegP&amp;L'!W123</f>
        <v>368.81</v>
      </c>
      <c r="T264" s="598" t="s">
        <v>315</v>
      </c>
      <c r="U264" s="1161">
        <f>S264/L264</f>
        <v>1.569404255319149</v>
      </c>
      <c r="V264" s="598"/>
      <c r="W264" s="1176">
        <f>(U264/U257-1)*100</f>
        <v>5.5134976523827595</v>
      </c>
      <c r="X264" s="1124" t="s">
        <v>190</v>
      </c>
      <c r="Y264" s="598"/>
      <c r="Z264" s="1129">
        <f>Stores!AB145+Stores!BD145</f>
        <v>6.8</v>
      </c>
      <c r="AA264" s="598"/>
      <c r="AB264" s="1163">
        <f>AVERAGE(Z264,Z260)</f>
        <v>6.6805000000000003</v>
      </c>
      <c r="AC264" s="598"/>
      <c r="AD264" s="1120">
        <f>(AB264/AB257-1)*100</f>
        <v>12.103335816038218</v>
      </c>
      <c r="AE264" s="1124" t="s">
        <v>190</v>
      </c>
      <c r="AF264" s="1159">
        <f>+H264/AD264*100</f>
        <v>138.75650713558935</v>
      </c>
      <c r="AG264" s="1125" t="s">
        <v>190</v>
      </c>
      <c r="AH264" s="598"/>
      <c r="AI264" s="1160">
        <f>+S264</f>
        <v>368.81</v>
      </c>
      <c r="AJ264" s="598"/>
      <c r="AK264" s="1164">
        <f>AI264/AB264</f>
        <v>55.206945587905096</v>
      </c>
      <c r="AL264" s="598"/>
      <c r="AM264" s="1176">
        <f>(AK264/AK257-1)*100</f>
        <v>5.0764146916429498</v>
      </c>
      <c r="AN264" s="1124" t="s">
        <v>190</v>
      </c>
      <c r="AP264" s="562"/>
      <c r="AQ264" s="1198"/>
      <c r="AR264" s="487"/>
      <c r="AS264" s="499"/>
      <c r="AT264" s="499"/>
      <c r="AU264" s="499"/>
      <c r="AV264" s="499"/>
      <c r="AW264" s="499"/>
      <c r="AX264" s="499"/>
      <c r="AY264" s="499"/>
      <c r="AZ264" s="499"/>
      <c r="BA264" s="499"/>
      <c r="BB264" s="487"/>
      <c r="BC264" s="499"/>
      <c r="BD264" s="487"/>
      <c r="BE264" s="487"/>
      <c r="BF264" s="754"/>
      <c r="BG264" s="487"/>
      <c r="BH264" s="487"/>
    </row>
    <row r="265" spans="1:60" hidden="1" outlineLevel="1">
      <c r="A265" s="598" t="s">
        <v>528</v>
      </c>
      <c r="B265" s="1157" t="s">
        <v>515</v>
      </c>
      <c r="C265" s="598"/>
      <c r="D265" s="1120">
        <f>(S265/S258-1)*100</f>
        <v>26.415058609654029</v>
      </c>
      <c r="E265" s="598"/>
      <c r="F265" s="1179">
        <f>'SegP&amp;L'!$Y$124</f>
        <v>6</v>
      </c>
      <c r="G265" s="598"/>
      <c r="H265" s="1120">
        <f>D265-F265</f>
        <v>20.415058609654029</v>
      </c>
      <c r="I265" s="598"/>
      <c r="J265" s="598">
        <f>Stores!Y146+Stores!BA146</f>
        <v>239</v>
      </c>
      <c r="K265" s="1127"/>
      <c r="L265" s="1128">
        <f>AVERAGE(J265,J264)</f>
        <v>238.5</v>
      </c>
      <c r="M265" s="598"/>
      <c r="N265" s="1120">
        <f>(L265/L258-1)*100</f>
        <v>11.70960187353629</v>
      </c>
      <c r="O265" s="1124"/>
      <c r="P265" s="1159">
        <f>H265/N265*100</f>
        <v>174.34460052644556</v>
      </c>
      <c r="Q265" s="1125"/>
      <c r="R265" s="598"/>
      <c r="S265" s="1165">
        <f>'SegP&amp;L'!W124</f>
        <v>400.536</v>
      </c>
      <c r="T265" s="598"/>
      <c r="U265" s="1166">
        <f>S265/L265</f>
        <v>1.6793962264150943</v>
      </c>
      <c r="V265" s="598"/>
      <c r="W265" s="1176">
        <f>(U265/U258-1)*100</f>
        <v>13.164004248055061</v>
      </c>
      <c r="X265" s="1124"/>
      <c r="Y265" s="598"/>
      <c r="Z265" s="1129">
        <f>Stores!AB146+Stores!BD146</f>
        <v>6.8</v>
      </c>
      <c r="AA265" s="1127"/>
      <c r="AB265" s="1163">
        <f>AVERAGE(Z265,Z264)</f>
        <v>6.8</v>
      </c>
      <c r="AC265" s="598"/>
      <c r="AD265" s="1120">
        <f>(AB265/AB258-1)*100</f>
        <v>12.040361801736289</v>
      </c>
      <c r="AE265" s="1124"/>
      <c r="AF265" s="1159">
        <f>+H265/AD265*100</f>
        <v>169.5551923257826</v>
      </c>
      <c r="AG265" s="1125"/>
      <c r="AH265" s="598"/>
      <c r="AI265" s="1165">
        <f>+S265</f>
        <v>400.536</v>
      </c>
      <c r="AJ265" s="598"/>
      <c r="AK265" s="1167">
        <f>AI265/AB265</f>
        <v>58.902352941176474</v>
      </c>
      <c r="AL265" s="598"/>
      <c r="AM265" s="1176">
        <f>(AK265/AK258-1)*100</f>
        <v>12.829927159066878</v>
      </c>
      <c r="AN265" s="1124"/>
      <c r="AP265" s="562"/>
      <c r="AQ265" s="1198"/>
      <c r="AR265" s="487"/>
      <c r="AS265" s="499"/>
      <c r="AT265" s="499"/>
      <c r="AU265" s="499"/>
      <c r="AV265" s="499"/>
      <c r="AW265" s="499"/>
      <c r="AX265" s="499"/>
      <c r="AY265" s="499"/>
      <c r="AZ265" s="499"/>
      <c r="BA265" s="499"/>
      <c r="BB265" s="487"/>
      <c r="BC265" s="499"/>
      <c r="BD265" s="487"/>
      <c r="BE265" s="487"/>
      <c r="BF265" s="754"/>
      <c r="BG265" s="487"/>
      <c r="BH265" s="487"/>
    </row>
    <row r="266" spans="1:60" hidden="1" outlineLevel="1">
      <c r="A266" s="598" t="s">
        <v>529</v>
      </c>
      <c r="B266" s="1157" t="s">
        <v>516</v>
      </c>
      <c r="C266" s="598"/>
      <c r="D266" s="1120">
        <f>(S266/S259-1)*100</f>
        <v>19.908762287072236</v>
      </c>
      <c r="E266" s="598"/>
      <c r="F266" s="1179">
        <f>'SegP&amp;L'!$Y$125</f>
        <v>5</v>
      </c>
      <c r="G266" s="598"/>
      <c r="H266" s="1120">
        <f>D266-F266</f>
        <v>14.908762287072236</v>
      </c>
      <c r="I266" s="598"/>
      <c r="J266" s="598">
        <f>Stores!Y147+Stores!BA147</f>
        <v>252</v>
      </c>
      <c r="K266" s="1127"/>
      <c r="L266" s="1128">
        <f>AVERAGE(J266,J265)</f>
        <v>245.5</v>
      </c>
      <c r="M266" s="598"/>
      <c r="N266" s="1120">
        <f>(L266/L259-1)*100</f>
        <v>10.835214446952591</v>
      </c>
      <c r="O266" s="1124"/>
      <c r="P266" s="1159">
        <f>H266/N266*100</f>
        <v>137.59545194110422</v>
      </c>
      <c r="Q266" s="1125"/>
      <c r="R266" s="598"/>
      <c r="S266" s="1165">
        <f>'SegP&amp;L'!W125</f>
        <v>477.334</v>
      </c>
      <c r="T266" s="598"/>
      <c r="U266" s="1166">
        <f>S266/L266</f>
        <v>1.9443340122199593</v>
      </c>
      <c r="V266" s="598"/>
      <c r="W266" s="1176">
        <f>(U266/U259-1)*100</f>
        <v>8.1865207600264611</v>
      </c>
      <c r="X266" s="1124"/>
      <c r="Y266" s="598"/>
      <c r="Z266" s="1129">
        <f>Stores!AB147+Stores!BD147</f>
        <v>7</v>
      </c>
      <c r="AA266" s="1127"/>
      <c r="AB266" s="1163">
        <f>AVERAGE(Z266,Z265)</f>
        <v>6.9</v>
      </c>
      <c r="AC266" s="598"/>
      <c r="AD266" s="1120">
        <f>(AB266/AB259-1)*100</f>
        <v>10.05344549508238</v>
      </c>
      <c r="AE266" s="1124"/>
      <c r="AF266" s="1159">
        <f>+H266/AD266*100</f>
        <v>148.2950526201671</v>
      </c>
      <c r="AG266" s="1125"/>
      <c r="AH266" s="598"/>
      <c r="AI266" s="1165">
        <f>+S266</f>
        <v>477.334</v>
      </c>
      <c r="AJ266" s="598"/>
      <c r="AK266" s="1167">
        <f>AI266/AB266</f>
        <v>69.17884057971014</v>
      </c>
      <c r="AL266" s="598"/>
      <c r="AM266" s="1176">
        <f>(AK266/AK259-1)*100</f>
        <v>8.9550279390664187</v>
      </c>
      <c r="AN266" s="1124"/>
      <c r="AP266" s="562"/>
      <c r="AQ266" s="1198"/>
      <c r="AR266" s="487"/>
      <c r="AS266" s="499"/>
      <c r="AT266" s="499"/>
      <c r="AU266" s="499"/>
      <c r="AV266" s="499"/>
      <c r="AW266" s="499"/>
      <c r="AX266" s="499"/>
      <c r="AY266" s="499"/>
      <c r="AZ266" s="499"/>
      <c r="BA266" s="499"/>
      <c r="BB266" s="487"/>
      <c r="BC266" s="499"/>
      <c r="BD266" s="487"/>
      <c r="BE266" s="487"/>
      <c r="BF266" s="754"/>
      <c r="BG266" s="487"/>
      <c r="BH266" s="487"/>
    </row>
    <row r="267" spans="1:60" hidden="1" outlineLevel="1">
      <c r="A267" s="598" t="s">
        <v>530</v>
      </c>
      <c r="B267" s="1157" t="s">
        <v>517</v>
      </c>
      <c r="C267" s="598"/>
      <c r="D267" s="1168">
        <f>(S267/S260-1)*100</f>
        <v>14.986642340522582</v>
      </c>
      <c r="E267" s="598"/>
      <c r="F267" s="1178">
        <f>'SegP&amp;L'!$Y$126</f>
        <v>8</v>
      </c>
      <c r="G267" s="598"/>
      <c r="H267" s="1168">
        <f>D267-F267</f>
        <v>6.9866423405225824</v>
      </c>
      <c r="I267" s="598"/>
      <c r="J267" s="598">
        <f>Stores!Y148+Stores!BA148</f>
        <v>252</v>
      </c>
      <c r="K267" s="1127"/>
      <c r="L267" s="1171">
        <f>AVERAGE(J267,J266)</f>
        <v>252</v>
      </c>
      <c r="M267" s="598"/>
      <c r="N267" s="1168">
        <f>(L267/L260-1)*100</f>
        <v>9.3275488069414223</v>
      </c>
      <c r="O267" s="1124"/>
      <c r="P267" s="1171">
        <f>H267/N267*100</f>
        <v>74.903305092579387</v>
      </c>
      <c r="Q267" s="1125"/>
      <c r="R267" s="598"/>
      <c r="S267" s="1172">
        <f>'SegP&amp;L'!W126</f>
        <v>494.11599999999999</v>
      </c>
      <c r="T267" s="598"/>
      <c r="U267" s="1173">
        <f>S267/L267</f>
        <v>1.9607777777777777</v>
      </c>
      <c r="V267" s="598"/>
      <c r="W267" s="1169">
        <f>(U267/U260-1)*100</f>
        <v>5.1762740455970402</v>
      </c>
      <c r="X267" s="1124"/>
      <c r="Y267" s="598"/>
      <c r="Z267" s="1129">
        <f>Stores!AB148+Stores!BD148</f>
        <v>7</v>
      </c>
      <c r="AA267" s="1127"/>
      <c r="AB267" s="1174">
        <f>AVERAGE(Z267,Z266)</f>
        <v>7</v>
      </c>
      <c r="AC267" s="598"/>
      <c r="AD267" s="1168">
        <f>(AB267/AB260-1)*100</f>
        <v>7.4876914238412473</v>
      </c>
      <c r="AE267" s="1124"/>
      <c r="AF267" s="1171">
        <f>+H267/AD267*100</f>
        <v>93.308363620283615</v>
      </c>
      <c r="AG267" s="1125"/>
      <c r="AH267" s="598"/>
      <c r="AI267" s="1172">
        <f>+S267</f>
        <v>494.11599999999999</v>
      </c>
      <c r="AJ267" s="598"/>
      <c r="AK267" s="1175">
        <f>AI267/AB267</f>
        <v>70.587999999999994</v>
      </c>
      <c r="AL267" s="598"/>
      <c r="AM267" s="1169">
        <f>(AK267/AK260-1)*100</f>
        <v>6.9765671002382401</v>
      </c>
      <c r="AN267" s="1124"/>
      <c r="AP267" s="1201"/>
      <c r="AQ267" s="1202"/>
      <c r="AR267" s="487"/>
      <c r="AS267" s="499"/>
      <c r="AT267" s="499"/>
      <c r="AU267" s="499"/>
      <c r="AV267" s="499"/>
      <c r="AW267" s="499"/>
      <c r="AX267" s="499"/>
      <c r="AY267" s="499"/>
      <c r="AZ267" s="499"/>
      <c r="BA267" s="499"/>
      <c r="BB267" s="487"/>
      <c r="BC267" s="499"/>
      <c r="BD267" s="487"/>
      <c r="BE267" s="487"/>
      <c r="BF267" s="754"/>
      <c r="BG267" s="487"/>
      <c r="BH267" s="487"/>
    </row>
    <row r="268" spans="1:60" hidden="1" outlineLevel="1">
      <c r="A268" s="598"/>
      <c r="B268" s="1157" t="s">
        <v>531</v>
      </c>
      <c r="C268" s="598"/>
      <c r="D268" s="1120">
        <f>(S268/S261-1)*100</f>
        <v>19.41778209497469</v>
      </c>
      <c r="E268" s="598"/>
      <c r="F268" s="1179">
        <f>'SegP&amp;L'!$Y$127</f>
        <v>5</v>
      </c>
      <c r="G268" s="598"/>
      <c r="H268" s="1120">
        <f>D268-F268</f>
        <v>14.41778209497469</v>
      </c>
      <c r="I268" s="598"/>
      <c r="J268" s="598"/>
      <c r="K268" s="598"/>
      <c r="L268" s="1128">
        <f>AVERAGE(L264:L267)</f>
        <v>242.75</v>
      </c>
      <c r="M268" s="598"/>
      <c r="N268" s="1120">
        <f>(L268/L261-1)*100</f>
        <v>10.844748858447485</v>
      </c>
      <c r="O268" s="1124"/>
      <c r="P268" s="1159">
        <f>H268/N268*100</f>
        <v>132.94712752839823</v>
      </c>
      <c r="Q268" s="1125"/>
      <c r="R268" s="598"/>
      <c r="S268" s="1160">
        <f>SUM(S264:S267)</f>
        <v>1740.796</v>
      </c>
      <c r="T268" s="598"/>
      <c r="U268" s="1161">
        <f>SUM(U264:U267)</f>
        <v>7.1539122717319801</v>
      </c>
      <c r="V268" s="598"/>
      <c r="W268" s="1176">
        <f>(U268/U261-1)*100</f>
        <v>7.854689486583788</v>
      </c>
      <c r="X268" s="1124"/>
      <c r="Y268" s="598"/>
      <c r="Z268" s="598"/>
      <c r="AA268" s="598"/>
      <c r="AB268" s="1163">
        <f>AVERAGE(AB264:AB267)</f>
        <v>6.8451249999999995</v>
      </c>
      <c r="AC268" s="598"/>
      <c r="AD268" s="1120">
        <f>(AB268/AB261-1)*100</f>
        <v>10.358384632850326</v>
      </c>
      <c r="AE268" s="1124"/>
      <c r="AF268" s="1159">
        <f>+H268/AD268*100</f>
        <v>139.18948374682373</v>
      </c>
      <c r="AG268" s="1125"/>
      <c r="AH268" s="598"/>
      <c r="AI268" s="1160">
        <f>SUM(AI264:AI267)</f>
        <v>1740.796</v>
      </c>
      <c r="AJ268" s="598"/>
      <c r="AK268" s="1164">
        <f>SUM(AK264:AK267)</f>
        <v>253.8761391087917</v>
      </c>
      <c r="AL268" s="598"/>
      <c r="AM268" s="1176">
        <f>(AK268/AK261-1)*100</f>
        <v>8.3912802465501137</v>
      </c>
      <c r="AN268" s="1124"/>
      <c r="AP268" s="562"/>
      <c r="AQ268" s="1198"/>
      <c r="AR268" s="487"/>
      <c r="AS268" s="499"/>
      <c r="AT268" s="499"/>
      <c r="AU268" s="499"/>
      <c r="AV268" s="499"/>
      <c r="AW268" s="499"/>
      <c r="AX268" s="499"/>
      <c r="AY268" s="499"/>
      <c r="AZ268" s="499"/>
      <c r="BA268" s="499"/>
      <c r="BB268" s="487"/>
      <c r="BC268" s="499"/>
      <c r="BD268" s="487"/>
      <c r="BE268" s="487"/>
      <c r="BF268" s="754"/>
      <c r="BG268" s="487"/>
      <c r="BH268" s="487"/>
    </row>
    <row r="269" spans="1:60" ht="13.5" hidden="1" outlineLevel="1" thickBot="1">
      <c r="A269" s="598"/>
      <c r="B269" s="1157"/>
      <c r="C269" s="598"/>
      <c r="D269" s="598"/>
      <c r="E269" s="598"/>
      <c r="F269" s="598"/>
      <c r="G269" s="598"/>
      <c r="H269" s="598"/>
      <c r="I269" s="598"/>
      <c r="J269" s="598"/>
      <c r="K269" s="598"/>
      <c r="L269" s="598"/>
      <c r="M269" s="598"/>
      <c r="N269" s="598"/>
      <c r="O269" s="598"/>
      <c r="P269" s="598"/>
      <c r="Q269" s="598"/>
      <c r="R269" s="598"/>
      <c r="S269" s="598"/>
      <c r="T269" s="598"/>
      <c r="U269" s="598"/>
      <c r="V269" s="598"/>
      <c r="W269" s="598"/>
      <c r="X269" s="598"/>
      <c r="Y269" s="598"/>
      <c r="Z269" s="598"/>
      <c r="AA269" s="598"/>
      <c r="AB269" s="598"/>
      <c r="AC269" s="598"/>
      <c r="AD269" s="598"/>
      <c r="AE269" s="598"/>
      <c r="AF269" s="598"/>
      <c r="AG269" s="598"/>
      <c r="AH269" s="598"/>
      <c r="AI269" s="598"/>
      <c r="AJ269" s="598"/>
      <c r="AK269" s="598"/>
      <c r="AL269" s="598"/>
      <c r="AM269" s="598"/>
      <c r="AN269" s="598"/>
      <c r="AP269" s="487"/>
      <c r="AQ269" s="487"/>
      <c r="AR269" s="487"/>
      <c r="AS269" s="499"/>
      <c r="AT269" s="499"/>
      <c r="AU269" s="499"/>
      <c r="AV269" s="499"/>
      <c r="AW269" s="499"/>
      <c r="AX269" s="499"/>
      <c r="AY269" s="499"/>
      <c r="AZ269" s="499"/>
      <c r="BA269" s="499"/>
      <c r="BB269" s="487"/>
      <c r="BC269" s="499"/>
      <c r="BD269" s="487"/>
      <c r="BE269" s="487"/>
      <c r="BF269" s="754"/>
      <c r="BG269" s="487"/>
      <c r="BH269" s="487"/>
    </row>
    <row r="270" spans="1:60" ht="13.5" hidden="1" outlineLevel="1" thickBot="1">
      <c r="A270" s="1154"/>
      <c r="B270" s="1118">
        <f>+B263+1</f>
        <v>2007</v>
      </c>
      <c r="C270" s="598" t="s">
        <v>164</v>
      </c>
      <c r="D270" s="598"/>
      <c r="E270" s="1124"/>
      <c r="F270" s="598"/>
      <c r="G270" s="1124"/>
      <c r="H270" s="598"/>
      <c r="I270" s="1124"/>
      <c r="J270" s="598"/>
      <c r="K270" s="598"/>
      <c r="L270" s="598"/>
      <c r="M270" s="598"/>
      <c r="N270" s="598"/>
      <c r="O270" s="1124"/>
      <c r="P270" s="1125"/>
      <c r="Q270" s="1125"/>
      <c r="R270" s="598"/>
      <c r="S270" s="598"/>
      <c r="T270" s="1127"/>
      <c r="U270" s="598"/>
      <c r="V270" s="598"/>
      <c r="W270" s="598"/>
      <c r="X270" s="1124"/>
      <c r="Y270" s="598"/>
      <c r="Z270" s="598"/>
      <c r="AA270" s="1127"/>
      <c r="AB270" s="598"/>
      <c r="AC270" s="598"/>
      <c r="AD270" s="598"/>
      <c r="AE270" s="1124"/>
      <c r="AF270" s="1125"/>
      <c r="AG270" s="1125"/>
      <c r="AH270" s="598"/>
      <c r="AI270" s="598"/>
      <c r="AJ270" s="598"/>
      <c r="AK270" s="598"/>
      <c r="AL270" s="598"/>
      <c r="AM270" s="598"/>
      <c r="AN270" s="1124"/>
      <c r="AP270" s="1196">
        <v>1</v>
      </c>
      <c r="AQ270" s="735"/>
      <c r="AR270" s="487"/>
      <c r="AS270" s="499"/>
      <c r="AT270" s="499"/>
      <c r="AU270" s="499"/>
      <c r="AV270" s="499"/>
      <c r="AW270" s="499"/>
      <c r="AX270" s="499"/>
      <c r="AY270" s="499"/>
      <c r="AZ270" s="499"/>
      <c r="BA270" s="499"/>
      <c r="BB270" s="487"/>
      <c r="BC270" s="499"/>
      <c r="BD270" s="487"/>
      <c r="BE270" s="487"/>
      <c r="BF270" s="754"/>
      <c r="BG270" s="487"/>
      <c r="BH270" s="487"/>
    </row>
    <row r="271" spans="1:60" hidden="1" outlineLevel="1">
      <c r="A271" s="598" t="s">
        <v>527</v>
      </c>
      <c r="B271" s="1157" t="s">
        <v>514</v>
      </c>
      <c r="C271" s="598"/>
      <c r="D271" s="1120">
        <f>(S271/S264-1)*100</f>
        <v>7.0052330468262758</v>
      </c>
      <c r="E271" s="1124" t="s">
        <v>190</v>
      </c>
      <c r="F271" s="1179">
        <f>'SegP&amp;L'!Y130</f>
        <v>3</v>
      </c>
      <c r="G271" s="1124" t="s">
        <v>190</v>
      </c>
      <c r="H271" s="1120">
        <f>D271-F271</f>
        <v>4.0052330468262758</v>
      </c>
      <c r="I271" s="1124" t="s">
        <v>190</v>
      </c>
      <c r="J271" s="598">
        <f>Stores!Y152+Stores!BA152</f>
        <v>254</v>
      </c>
      <c r="K271" s="598"/>
      <c r="L271" s="1128">
        <f>AVERAGE(J271,J267)</f>
        <v>253</v>
      </c>
      <c r="M271" s="598"/>
      <c r="N271" s="1120">
        <f>(L271/L264-1)*100</f>
        <v>7.6595744680851174</v>
      </c>
      <c r="O271" s="1124" t="s">
        <v>190</v>
      </c>
      <c r="P271" s="1159">
        <f>H271/N271*100</f>
        <v>52.290542555787411</v>
      </c>
      <c r="Q271" s="1125" t="s">
        <v>190</v>
      </c>
      <c r="R271" s="598"/>
      <c r="S271" s="1160">
        <f>'SegP&amp;L'!W130</f>
        <v>394.64600000000002</v>
      </c>
      <c r="T271" s="598" t="s">
        <v>315</v>
      </c>
      <c r="U271" s="1161">
        <f>S271/L271</f>
        <v>1.5598656126482213</v>
      </c>
      <c r="V271" s="598"/>
      <c r="W271" s="1176">
        <f>(U271/U264-1)*100</f>
        <v>-0.60778748614950251</v>
      </c>
      <c r="X271" s="1124" t="s">
        <v>190</v>
      </c>
      <c r="Y271" s="598"/>
      <c r="Z271" s="1129">
        <f>Stores!AB152+Stores!BD152</f>
        <v>7.1000000000000005</v>
      </c>
      <c r="AA271" s="598"/>
      <c r="AB271" s="1163">
        <f>AVERAGE(Z271,Z267)</f>
        <v>7.0500000000000007</v>
      </c>
      <c r="AC271" s="598"/>
      <c r="AD271" s="1120">
        <f>(AB271/AB264-1)*100</f>
        <v>5.5310231270114585</v>
      </c>
      <c r="AE271" s="1124" t="s">
        <v>190</v>
      </c>
      <c r="AF271" s="1159">
        <f>+H271/AD271*100</f>
        <v>72.413963110481461</v>
      </c>
      <c r="AG271" s="1125" t="s">
        <v>190</v>
      </c>
      <c r="AH271" s="598"/>
      <c r="AI271" s="1160">
        <f>+S271</f>
        <v>394.64600000000002</v>
      </c>
      <c r="AJ271" s="598"/>
      <c r="AK271" s="1164">
        <f>AI271/AB271</f>
        <v>55.978156028368794</v>
      </c>
      <c r="AL271" s="598"/>
      <c r="AM271" s="1176">
        <f>(AK271/AK264-1)*100</f>
        <v>1.3969445913933232</v>
      </c>
      <c r="AN271" s="1124" t="s">
        <v>190</v>
      </c>
      <c r="AP271" s="562">
        <v>0.86275280572724444</v>
      </c>
      <c r="AQ271" s="1198"/>
      <c r="AR271" s="487"/>
      <c r="AS271" s="499"/>
      <c r="AT271" s="499"/>
      <c r="AU271" s="499"/>
      <c r="AV271" s="499"/>
      <c r="AW271" s="499"/>
      <c r="AX271" s="499"/>
      <c r="AY271" s="499"/>
      <c r="AZ271" s="499"/>
      <c r="BA271" s="499"/>
      <c r="BB271" s="487"/>
      <c r="BC271" s="499"/>
      <c r="BD271" s="487"/>
      <c r="BE271" s="487"/>
      <c r="BF271" s="754"/>
      <c r="BG271" s="487"/>
      <c r="BH271" s="487"/>
    </row>
    <row r="272" spans="1:60" hidden="1" outlineLevel="1">
      <c r="A272" s="598" t="s">
        <v>528</v>
      </c>
      <c r="B272" s="1157" t="s">
        <v>515</v>
      </c>
      <c r="C272" s="598"/>
      <c r="D272" s="1120">
        <f>(S272/S265-1)*100</f>
        <v>16.383546048295283</v>
      </c>
      <c r="E272" s="598"/>
      <c r="F272" s="1179">
        <f>'SegP&amp;L'!Y131</f>
        <v>7</v>
      </c>
      <c r="G272" s="598"/>
      <c r="H272" s="1120">
        <f>D272-F272</f>
        <v>9.3835460482952833</v>
      </c>
      <c r="I272" s="598"/>
      <c r="J272" s="598">
        <f>Stores!Y153+Stores!BA153</f>
        <v>255</v>
      </c>
      <c r="K272" s="1127"/>
      <c r="L272" s="1128">
        <f>AVERAGE(J272,J271)</f>
        <v>254.5</v>
      </c>
      <c r="M272" s="598"/>
      <c r="N272" s="1120">
        <f>(L272/L265-1)*100</f>
        <v>6.7085953878406768</v>
      </c>
      <c r="O272" s="1124"/>
      <c r="P272" s="1159">
        <f>H272/N272*100</f>
        <v>139.87348328240142</v>
      </c>
      <c r="Q272" s="1125"/>
      <c r="R272" s="598"/>
      <c r="S272" s="1165">
        <f>'SegP&amp;L'!W131</f>
        <v>466.15800000000002</v>
      </c>
      <c r="T272" s="598"/>
      <c r="U272" s="1166">
        <f>S272/L272</f>
        <v>1.8316620825147347</v>
      </c>
      <c r="V272" s="598"/>
      <c r="W272" s="1176">
        <f>(U272/U265-1)*100</f>
        <v>9.0667022888739623</v>
      </c>
      <c r="X272" s="1124"/>
      <c r="Y272" s="598"/>
      <c r="Z272" s="1129">
        <f>Stores!AB153+Stores!BD153</f>
        <v>7.1000000000000005</v>
      </c>
      <c r="AA272" s="1127"/>
      <c r="AB272" s="1163">
        <f>AVERAGE(Z272,Z271)</f>
        <v>7.1000000000000005</v>
      </c>
      <c r="AC272" s="598"/>
      <c r="AD272" s="1120">
        <f>(AB272/AB265-1)*100</f>
        <v>4.4117647058823595</v>
      </c>
      <c r="AE272" s="1124"/>
      <c r="AF272" s="1159">
        <f>+H272/AD272*100</f>
        <v>212.69371042802612</v>
      </c>
      <c r="AG272" s="1125"/>
      <c r="AH272" s="598"/>
      <c r="AI272" s="1165">
        <f>+S272</f>
        <v>466.15800000000002</v>
      </c>
      <c r="AJ272" s="598"/>
      <c r="AK272" s="1167">
        <f>AI272/AB272</f>
        <v>65.656056338028165</v>
      </c>
      <c r="AL272" s="598"/>
      <c r="AM272" s="1176">
        <f>(AK272/AK265-1)*100</f>
        <v>11.465931426536313</v>
      </c>
      <c r="AN272" s="1124"/>
      <c r="AP272" s="562">
        <v>0.93372432388618498</v>
      </c>
      <c r="AQ272" s="1198"/>
      <c r="AR272" s="487"/>
      <c r="AS272" s="499"/>
      <c r="AT272" s="499"/>
      <c r="AU272" s="499"/>
      <c r="AV272" s="499"/>
      <c r="AW272" s="499"/>
      <c r="AX272" s="499"/>
      <c r="AY272" s="499"/>
      <c r="AZ272" s="499"/>
      <c r="BA272" s="499"/>
      <c r="BB272" s="487"/>
      <c r="BC272" s="499"/>
      <c r="BD272" s="487"/>
      <c r="BE272" s="487"/>
      <c r="BF272" s="754"/>
      <c r="BG272" s="487"/>
      <c r="BH272" s="487"/>
    </row>
    <row r="273" spans="1:61" hidden="1" outlineLevel="1">
      <c r="A273" s="598" t="s">
        <v>529</v>
      </c>
      <c r="B273" s="1157" t="s">
        <v>516</v>
      </c>
      <c r="C273" s="598"/>
      <c r="D273" s="1120">
        <f>(S273/S266-1)*100</f>
        <v>17.088453787075728</v>
      </c>
      <c r="E273" s="598"/>
      <c r="F273" s="1179">
        <f>'SegP&amp;L'!Y132</f>
        <v>5</v>
      </c>
      <c r="G273" s="598"/>
      <c r="H273" s="1120">
        <f>D273-F273</f>
        <v>12.088453787075728</v>
      </c>
      <c r="I273" s="598"/>
      <c r="J273" s="598">
        <f>Stores!Y154+Stores!BA154</f>
        <v>261</v>
      </c>
      <c r="K273" s="1127"/>
      <c r="L273" s="1128">
        <f>AVERAGE(J273,J272)</f>
        <v>258</v>
      </c>
      <c r="M273" s="598"/>
      <c r="N273" s="1120">
        <f>(L273/L266-1)*100</f>
        <v>5.0916496945010215</v>
      </c>
      <c r="O273" s="1124"/>
      <c r="P273" s="1159">
        <f>H273/N273*100</f>
        <v>237.41723237816714</v>
      </c>
      <c r="Q273" s="1125"/>
      <c r="R273" s="598"/>
      <c r="S273" s="1165">
        <f>'SegP&amp;L'!W132</f>
        <v>558.90300000000002</v>
      </c>
      <c r="T273" s="598"/>
      <c r="U273" s="1166">
        <f>S273/L273</f>
        <v>2.1662906976744187</v>
      </c>
      <c r="V273" s="598"/>
      <c r="W273" s="1176">
        <f>(U273/U266-1)*100</f>
        <v>11.415563584213517</v>
      </c>
      <c r="X273" s="1124"/>
      <c r="Y273" s="598"/>
      <c r="Z273" s="1129">
        <f>Stores!AB154+Stores!BD154</f>
        <v>7.2</v>
      </c>
      <c r="AA273" s="1127"/>
      <c r="AB273" s="1163">
        <f>AVERAGE(Z273,Z272)</f>
        <v>7.15</v>
      </c>
      <c r="AC273" s="598"/>
      <c r="AD273" s="1120">
        <f>(AB273/AB266-1)*100</f>
        <v>3.6231884057970953</v>
      </c>
      <c r="AE273" s="1124"/>
      <c r="AF273" s="1159">
        <f>+H273/AD273*100</f>
        <v>333.64132452329068</v>
      </c>
      <c r="AG273" s="1125"/>
      <c r="AH273" s="598"/>
      <c r="AI273" s="1165">
        <f>+S273</f>
        <v>558.90300000000002</v>
      </c>
      <c r="AJ273" s="598"/>
      <c r="AK273" s="1167">
        <f>AI273/AB273</f>
        <v>78.168251748251748</v>
      </c>
      <c r="AL273" s="598"/>
      <c r="AM273" s="1176">
        <f>(AK273/AK266-1)*100</f>
        <v>12.994451906408733</v>
      </c>
      <c r="AN273" s="1124"/>
      <c r="AP273" s="562">
        <v>0.97876550181147548</v>
      </c>
      <c r="AQ273" s="1198"/>
      <c r="AR273" s="487"/>
      <c r="AS273" s="499"/>
      <c r="AT273" s="499"/>
      <c r="AU273" s="499"/>
      <c r="AV273" s="499"/>
      <c r="AW273" s="499"/>
      <c r="AX273" s="499"/>
      <c r="AY273" s="499"/>
      <c r="AZ273" s="499"/>
      <c r="BA273" s="499"/>
      <c r="BB273" s="487"/>
      <c r="BC273" s="499"/>
      <c r="BD273" s="487"/>
      <c r="BE273" s="487"/>
      <c r="BF273" s="754"/>
      <c r="BG273" s="487"/>
      <c r="BH273" s="487"/>
    </row>
    <row r="274" spans="1:61" hidden="1" outlineLevel="1">
      <c r="A274" s="598" t="s">
        <v>530</v>
      </c>
      <c r="B274" s="1157" t="s">
        <v>517</v>
      </c>
      <c r="C274" s="598"/>
      <c r="D274" s="1168">
        <f>(S274/S267-1)*100</f>
        <v>25.700645192626826</v>
      </c>
      <c r="E274" s="598"/>
      <c r="F274" s="1178">
        <f>'SegP&amp;L'!Y133</f>
        <v>5</v>
      </c>
      <c r="G274" s="598"/>
      <c r="H274" s="1168">
        <f>D274-F274</f>
        <v>20.700645192626826</v>
      </c>
      <c r="I274" s="598"/>
      <c r="J274" s="598">
        <f>Stores!Y155+Stores!BA155</f>
        <v>262</v>
      </c>
      <c r="K274" s="1127"/>
      <c r="L274" s="1171">
        <f>AVERAGE(J274,J273)</f>
        <v>261.5</v>
      </c>
      <c r="M274" s="598"/>
      <c r="N274" s="1168">
        <f>(L274/L267-1)*100</f>
        <v>3.7698412698412787</v>
      </c>
      <c r="O274" s="1124"/>
      <c r="P274" s="1171">
        <f>H274/N274*100</f>
        <v>549.11185142546822</v>
      </c>
      <c r="Q274" s="1125"/>
      <c r="R274" s="598"/>
      <c r="S274" s="1172">
        <f>'SegP&amp;L'!W133</f>
        <v>621.10699999999997</v>
      </c>
      <c r="T274" s="598"/>
      <c r="U274" s="1173">
        <f>S274/L274</f>
        <v>2.3751701720841298</v>
      </c>
      <c r="V274" s="598"/>
      <c r="W274" s="1169">
        <f>(U274/U267-1)*100</f>
        <v>21.134082556565815</v>
      </c>
      <c r="X274" s="1124"/>
      <c r="Y274" s="598"/>
      <c r="Z274" s="1129">
        <f>Stores!AB155+Stores!BD155</f>
        <v>7.2709999999999999</v>
      </c>
      <c r="AA274" s="1127"/>
      <c r="AB274" s="1174">
        <f>AVERAGE(Z274,Z273)</f>
        <v>7.2355</v>
      </c>
      <c r="AC274" s="598"/>
      <c r="AD274" s="1168">
        <f>(AB274/AB267-1)*100</f>
        <v>3.3642857142857086</v>
      </c>
      <c r="AE274" s="1124"/>
      <c r="AF274" s="1171">
        <f>+H274/AD274*100</f>
        <v>615.30580190398314</v>
      </c>
      <c r="AG274" s="1125"/>
      <c r="AH274" s="598"/>
      <c r="AI274" s="1172">
        <f>+S274</f>
        <v>621.10699999999997</v>
      </c>
      <c r="AJ274" s="598"/>
      <c r="AK274" s="1175">
        <f>AI274/AB274</f>
        <v>85.841614263008765</v>
      </c>
      <c r="AL274" s="598"/>
      <c r="AM274" s="1169">
        <f>(AK274/AK267-1)*100</f>
        <v>21.609358903792099</v>
      </c>
      <c r="AN274" s="1124"/>
      <c r="AP274" s="1201">
        <v>1.0078106878788589</v>
      </c>
      <c r="AQ274" s="1202"/>
      <c r="AR274" s="487"/>
      <c r="AS274" s="499"/>
      <c r="AT274" s="499"/>
      <c r="AU274" s="499"/>
      <c r="AV274" s="499"/>
      <c r="AW274" s="499"/>
      <c r="AX274" s="499"/>
      <c r="AY274" s="499"/>
      <c r="AZ274" s="499"/>
      <c r="BA274" s="499"/>
      <c r="BB274" s="487"/>
      <c r="BC274" s="499"/>
      <c r="BD274" s="487"/>
      <c r="BE274" s="487"/>
      <c r="BF274" s="754"/>
      <c r="BG274" s="487"/>
      <c r="BH274" s="487"/>
    </row>
    <row r="275" spans="1:61" hidden="1" outlineLevel="1">
      <c r="A275" s="598"/>
      <c r="B275" s="1157" t="s">
        <v>531</v>
      </c>
      <c r="C275" s="598"/>
      <c r="D275" s="1120">
        <f>(S275/S268-1)*100</f>
        <v>17.234529491106375</v>
      </c>
      <c r="E275" s="598"/>
      <c r="F275" s="1179">
        <f>'SegP&amp;L'!Y134</f>
        <v>5</v>
      </c>
      <c r="G275" s="598"/>
      <c r="H275" s="1120">
        <f>D275-F275</f>
        <v>12.234529491106375</v>
      </c>
      <c r="I275" s="598"/>
      <c r="J275" s="598"/>
      <c r="K275" s="598"/>
      <c r="L275" s="1128">
        <f>AVERAGE(L271:L274)</f>
        <v>256.75</v>
      </c>
      <c r="M275" s="598"/>
      <c r="N275" s="1120">
        <f>(L275/L268-1)*100</f>
        <v>5.7672502574665385</v>
      </c>
      <c r="O275" s="1124"/>
      <c r="P275" s="1159">
        <f>H275/N275*100</f>
        <v>212.13800242614772</v>
      </c>
      <c r="Q275" s="1125"/>
      <c r="R275" s="598"/>
      <c r="S275" s="1160">
        <f>SUM(S271:S274)</f>
        <v>2040.8140000000001</v>
      </c>
      <c r="T275" s="598"/>
      <c r="U275" s="1161">
        <f>SUM(U271:U274)</f>
        <v>7.9329885649215042</v>
      </c>
      <c r="V275" s="598"/>
      <c r="W275" s="1176">
        <f>(U275/U268-1)*100</f>
        <v>10.890213125312865</v>
      </c>
      <c r="X275" s="1124"/>
      <c r="Y275" s="598"/>
      <c r="Z275" s="598"/>
      <c r="AA275" s="598"/>
      <c r="AB275" s="1163">
        <f>AVERAGE(AB271:AB274)</f>
        <v>7.1338750000000015</v>
      </c>
      <c r="AC275" s="598"/>
      <c r="AD275" s="1120">
        <f>(AB275/AB268-1)*100</f>
        <v>4.2183305637223834</v>
      </c>
      <c r="AE275" s="1124"/>
      <c r="AF275" s="1159">
        <f>+H275/AD275*100</f>
        <v>290.03249760280175</v>
      </c>
      <c r="AG275" s="1125"/>
      <c r="AH275" s="598"/>
      <c r="AI275" s="1160">
        <f>SUM(AI271:AI274)</f>
        <v>2040.8140000000001</v>
      </c>
      <c r="AJ275" s="598"/>
      <c r="AK275" s="1164">
        <f>SUM(AK271:AK274)</f>
        <v>285.64407837765748</v>
      </c>
      <c r="AL275" s="598"/>
      <c r="AM275" s="1176">
        <f>(AK275/AK268-1)*100</f>
        <v>12.513164640199804</v>
      </c>
      <c r="AN275" s="1124"/>
      <c r="AP275" s="562">
        <v>0.94327687355121181</v>
      </c>
      <c r="AQ275" s="1198"/>
      <c r="AR275" s="487"/>
      <c r="AS275" s="499"/>
      <c r="AT275" s="499"/>
      <c r="AU275" s="499"/>
      <c r="AV275" s="499"/>
      <c r="AW275" s="499"/>
      <c r="AX275" s="499"/>
      <c r="AY275" s="499"/>
      <c r="AZ275" s="499"/>
      <c r="BA275" s="499"/>
      <c r="BB275" s="487"/>
      <c r="BC275" s="499"/>
      <c r="BD275" s="487"/>
      <c r="BE275" s="487"/>
      <c r="BF275" s="754"/>
      <c r="BG275" s="487"/>
      <c r="BH275" s="487"/>
    </row>
    <row r="276" spans="1:61" ht="13.5" hidden="1" outlineLevel="1" thickBot="1">
      <c r="A276" s="598"/>
      <c r="B276" s="1157"/>
      <c r="C276" s="598"/>
      <c r="D276" s="1120"/>
      <c r="E276" s="598"/>
      <c r="F276" s="1179"/>
      <c r="G276" s="598"/>
      <c r="H276" s="1120"/>
      <c r="I276" s="598"/>
      <c r="J276" s="598"/>
      <c r="K276" s="598"/>
      <c r="L276" s="1128"/>
      <c r="M276" s="598"/>
      <c r="N276" s="1120"/>
      <c r="O276" s="1124"/>
      <c r="P276" s="1159"/>
      <c r="Q276" s="1125"/>
      <c r="R276" s="598"/>
      <c r="S276" s="1160"/>
      <c r="T276" s="598"/>
      <c r="U276" s="1161"/>
      <c r="V276" s="598"/>
      <c r="W276" s="1176"/>
      <c r="X276" s="1124"/>
      <c r="Y276" s="598"/>
      <c r="Z276" s="598"/>
      <c r="AA276" s="598"/>
      <c r="AB276" s="1163"/>
      <c r="AC276" s="598"/>
      <c r="AD276" s="1120"/>
      <c r="AE276" s="1124"/>
      <c r="AF276" s="1159"/>
      <c r="AG276" s="1125"/>
      <c r="AH276" s="598"/>
      <c r="AI276" s="1160"/>
      <c r="AJ276" s="598"/>
      <c r="AK276" s="1164"/>
      <c r="AL276" s="598"/>
      <c r="AM276" s="1176"/>
      <c r="AN276" s="1124"/>
      <c r="AP276" s="487"/>
      <c r="AQ276" s="487"/>
      <c r="AR276" s="487"/>
      <c r="AS276" s="499"/>
      <c r="AT276" s="499"/>
      <c r="AU276" s="499"/>
      <c r="AV276" s="499"/>
      <c r="AW276" s="499"/>
      <c r="AX276" s="499"/>
      <c r="AY276" s="499"/>
      <c r="AZ276" s="499"/>
      <c r="BA276" s="499"/>
      <c r="BB276" s="487"/>
      <c r="BC276" s="499"/>
      <c r="BD276" s="487"/>
      <c r="BE276" s="487"/>
      <c r="BF276" s="754"/>
      <c r="BG276" s="487"/>
      <c r="BH276" s="487"/>
    </row>
    <row r="277" spans="1:61" ht="13.5" hidden="1" outlineLevel="1" thickBot="1">
      <c r="A277" s="1154"/>
      <c r="B277" s="1118">
        <f>+B270+1</f>
        <v>2008</v>
      </c>
      <c r="C277" s="598" t="s">
        <v>164</v>
      </c>
      <c r="D277" s="598"/>
      <c r="E277" s="1124"/>
      <c r="F277" s="598"/>
      <c r="G277" s="1124"/>
      <c r="H277" s="598"/>
      <c r="I277" s="1124"/>
      <c r="J277" s="598"/>
      <c r="K277" s="598"/>
      <c r="L277" s="598"/>
      <c r="M277" s="598"/>
      <c r="N277" s="598"/>
      <c r="O277" s="1124"/>
      <c r="P277" s="1125"/>
      <c r="Q277" s="1125"/>
      <c r="R277" s="598"/>
      <c r="S277" s="598"/>
      <c r="T277" s="1127"/>
      <c r="U277" s="598"/>
      <c r="V277" s="598"/>
      <c r="W277" s="598"/>
      <c r="X277" s="1124"/>
      <c r="Y277" s="598"/>
      <c r="Z277" s="598"/>
      <c r="AA277" s="1127"/>
      <c r="AB277" s="598"/>
      <c r="AC277" s="598"/>
      <c r="AD277" s="598"/>
      <c r="AE277" s="1124"/>
      <c r="AF277" s="1125"/>
      <c r="AG277" s="1125"/>
      <c r="AH277" s="598"/>
      <c r="AI277" s="598"/>
      <c r="AJ277" s="598"/>
      <c r="AK277" s="598"/>
      <c r="AL277" s="598"/>
      <c r="AM277" s="598"/>
      <c r="AN277" s="1124"/>
      <c r="AP277" s="1196">
        <v>1</v>
      </c>
      <c r="AQ277" s="735"/>
      <c r="AR277" s="487"/>
      <c r="AS277" s="499"/>
      <c r="AT277" s="499"/>
      <c r="AU277" s="499"/>
      <c r="AV277" s="499"/>
      <c r="AW277" s="499"/>
      <c r="AX277" s="499"/>
      <c r="AY277" s="499"/>
      <c r="AZ277" s="499"/>
      <c r="BA277" s="499"/>
      <c r="BB277" s="487"/>
      <c r="BC277" s="499"/>
      <c r="BD277" s="487"/>
      <c r="BE277" s="487"/>
      <c r="BF277" s="754"/>
      <c r="BG277" s="487"/>
      <c r="BH277" s="487"/>
    </row>
    <row r="278" spans="1:61" hidden="1" outlineLevel="1">
      <c r="A278" s="598" t="s">
        <v>527</v>
      </c>
      <c r="B278" s="1157" t="s">
        <v>514</v>
      </c>
      <c r="C278" s="598"/>
      <c r="D278" s="1120">
        <f>(S278/S271-1)*100</f>
        <v>23.752426225021917</v>
      </c>
      <c r="E278" s="1124" t="s">
        <v>190</v>
      </c>
      <c r="F278" s="1179">
        <f>'SegP&amp;L'!Y137</f>
        <v>4</v>
      </c>
      <c r="G278" s="1124" t="s">
        <v>190</v>
      </c>
      <c r="H278" s="1120">
        <f>D278-F278</f>
        <v>19.752426225021917</v>
      </c>
      <c r="I278" s="1124" t="s">
        <v>190</v>
      </c>
      <c r="J278" s="598">
        <f>Stores!Y159+Stores!BA159</f>
        <v>269</v>
      </c>
      <c r="K278" s="598"/>
      <c r="L278" s="1128">
        <f>AVERAGE(J278,J274)</f>
        <v>265.5</v>
      </c>
      <c r="M278" s="598"/>
      <c r="N278" s="1120">
        <f>(L278/L271-1)*100</f>
        <v>4.9407114624505866</v>
      </c>
      <c r="O278" s="1124" t="s">
        <v>190</v>
      </c>
      <c r="P278" s="1159">
        <f>H278/N278*100</f>
        <v>399.78910679444414</v>
      </c>
      <c r="Q278" s="1125" t="s">
        <v>190</v>
      </c>
      <c r="R278" s="598"/>
      <c r="S278" s="1160">
        <f>'SegP&amp;L'!W137</f>
        <v>488.38400000000001</v>
      </c>
      <c r="T278" s="598"/>
      <c r="U278" s="1161">
        <f>S278/L278</f>
        <v>1.8394877589453862</v>
      </c>
      <c r="V278" s="598"/>
      <c r="W278" s="1176">
        <f>(U278/U271-1)*100</f>
        <v>17.926040809531262</v>
      </c>
      <c r="X278" s="1124" t="s">
        <v>190</v>
      </c>
      <c r="Y278" s="598"/>
      <c r="Z278" s="1129">
        <f>Stores!AB159+Stores!BD159</f>
        <v>7.5</v>
      </c>
      <c r="AA278" s="598"/>
      <c r="AB278" s="1163">
        <f>AVERAGE(Z278,Z274)</f>
        <v>7.3855000000000004</v>
      </c>
      <c r="AC278" s="598"/>
      <c r="AD278" s="1120">
        <f>(AB278/AB271-1)*100</f>
        <v>4.7588652482269511</v>
      </c>
      <c r="AE278" s="1124" t="s">
        <v>190</v>
      </c>
      <c r="AF278" s="1159">
        <f>+H278/AD278*100</f>
        <v>415.06588639762884</v>
      </c>
      <c r="AG278" s="1125" t="s">
        <v>190</v>
      </c>
      <c r="AH278" s="598"/>
      <c r="AI278" s="1160">
        <f>+S278</f>
        <v>488.38400000000001</v>
      </c>
      <c r="AJ278" s="598"/>
      <c r="AK278" s="1164">
        <f>AI278/AB278</f>
        <v>66.127411820459002</v>
      </c>
      <c r="AL278" s="598"/>
      <c r="AM278" s="1176">
        <f>(AK278/AK271-1)*100</f>
        <v>18.130743333072164</v>
      </c>
      <c r="AN278" s="1124" t="s">
        <v>190</v>
      </c>
      <c r="AP278" s="562">
        <v>0.9940792927779688</v>
      </c>
      <c r="AQ278" s="1198">
        <f>(AP278/AP271-1)*100</f>
        <v>15.221797736145826</v>
      </c>
      <c r="AR278" s="1203" t="s">
        <v>190</v>
      </c>
      <c r="AS278" s="499"/>
      <c r="AT278" s="499"/>
      <c r="AU278" s="499"/>
      <c r="AV278" s="499"/>
      <c r="AW278" s="499"/>
      <c r="AX278" s="499"/>
      <c r="AY278" s="1034">
        <f>AP277*AQ278</f>
        <v>15.221797736145826</v>
      </c>
      <c r="AZ278" s="499"/>
      <c r="BA278" s="499"/>
      <c r="BB278" s="487"/>
      <c r="BC278" s="1034">
        <f>AY278</f>
        <v>15.221797736145826</v>
      </c>
      <c r="BD278" s="487"/>
      <c r="BE278" s="487"/>
      <c r="BF278" s="754">
        <f>S278/$S$282</f>
        <v>0.22616202418864492</v>
      </c>
      <c r="BG278" s="487"/>
      <c r="BH278" s="487"/>
    </row>
    <row r="279" spans="1:61" hidden="1" outlineLevel="1">
      <c r="A279" s="598" t="s">
        <v>528</v>
      </c>
      <c r="B279" s="1157" t="s">
        <v>515</v>
      </c>
      <c r="C279" s="598"/>
      <c r="D279" s="1120">
        <f>(S279/S272-1)*100</f>
        <v>15.560389395870056</v>
      </c>
      <c r="E279" s="598"/>
      <c r="F279" s="1179">
        <f>'SegP&amp;L'!Y138</f>
        <v>6</v>
      </c>
      <c r="G279" s="598"/>
      <c r="H279" s="1120">
        <f>D279-F279</f>
        <v>9.5603893958700557</v>
      </c>
      <c r="I279" s="598"/>
      <c r="J279" s="598">
        <f>Stores!Y160+Stores!BA160</f>
        <v>274</v>
      </c>
      <c r="K279" s="1127"/>
      <c r="L279" s="1128">
        <f>AVERAGE(J279,J278)</f>
        <v>271.5</v>
      </c>
      <c r="M279" s="598"/>
      <c r="N279" s="1120">
        <f>(L279/L272-1)*100</f>
        <v>6.6797642436149385</v>
      </c>
      <c r="O279" s="1124"/>
      <c r="P279" s="1159">
        <f>H279/N279*100</f>
        <v>143.12465301464275</v>
      </c>
      <c r="Q279" s="1125"/>
      <c r="R279" s="598"/>
      <c r="S279" s="1165">
        <f>'SegP&amp;L'!W138</f>
        <v>538.69399999999996</v>
      </c>
      <c r="T279" s="598"/>
      <c r="U279" s="1166">
        <f>S279/L279</f>
        <v>1.9841399631675873</v>
      </c>
      <c r="V279" s="598"/>
      <c r="W279" s="1176">
        <f>(U279/U272-1)*100</f>
        <v>8.324563908835847</v>
      </c>
      <c r="X279" s="1124"/>
      <c r="Y279" s="598"/>
      <c r="Z279" s="1129">
        <f>Stores!AB160+Stores!BD160</f>
        <v>7.6000000000000005</v>
      </c>
      <c r="AA279" s="1127"/>
      <c r="AB279" s="1163">
        <f>AVERAGE(Z279,Z278)</f>
        <v>7.5500000000000007</v>
      </c>
      <c r="AC279" s="598"/>
      <c r="AD279" s="1120">
        <f>(AB279/AB272-1)*100</f>
        <v>6.3380281690140761</v>
      </c>
      <c r="AE279" s="1124"/>
      <c r="AF279" s="1159">
        <f>+H279/AD279*100</f>
        <v>150.84169935706109</v>
      </c>
      <c r="AG279" s="1125"/>
      <c r="AH279" s="598"/>
      <c r="AI279" s="1165">
        <f>+S279</f>
        <v>538.69399999999996</v>
      </c>
      <c r="AJ279" s="598"/>
      <c r="AK279" s="1167">
        <f>AI279/AB279</f>
        <v>71.350198675496671</v>
      </c>
      <c r="AL279" s="598"/>
      <c r="AM279" s="1176">
        <f>(AK279/AK272-1)*100</f>
        <v>8.6726840676393913</v>
      </c>
      <c r="AN279" s="1124"/>
      <c r="AP279" s="562">
        <v>0.99081283272725929</v>
      </c>
      <c r="AQ279" s="1198">
        <f>(AP279/AP272-1)*100</f>
        <v>6.1140646527735765</v>
      </c>
      <c r="AR279" s="1198">
        <f>+(AP279/AP272-1)*100</f>
        <v>6.1140646527735765</v>
      </c>
      <c r="AS279" s="499"/>
      <c r="AT279" s="499"/>
      <c r="AU279" s="499"/>
      <c r="AV279" s="499"/>
      <c r="AW279" s="499"/>
      <c r="AX279" s="499"/>
      <c r="AY279" s="1034">
        <f>AP277*AQ279</f>
        <v>6.1140646527735765</v>
      </c>
      <c r="AZ279" s="499"/>
      <c r="BA279" s="499"/>
      <c r="BB279" s="487"/>
      <c r="BC279" s="1034">
        <f>AY279</f>
        <v>6.1140646527735765</v>
      </c>
      <c r="BD279" s="487"/>
      <c r="BE279" s="487"/>
      <c r="BF279" s="754">
        <f>S279/$S$282</f>
        <v>0.24945969863524989</v>
      </c>
      <c r="BG279" s="487"/>
      <c r="BH279" s="487"/>
    </row>
    <row r="280" spans="1:61" hidden="1" outlineLevel="1">
      <c r="A280" s="598" t="s">
        <v>529</v>
      </c>
      <c r="B280" s="1157" t="s">
        <v>516</v>
      </c>
      <c r="C280" s="598"/>
      <c r="D280" s="1120">
        <f>(S280/S273-1)*100</f>
        <v>3.2327613199428118</v>
      </c>
      <c r="E280" s="598"/>
      <c r="F280" s="1179">
        <f>'SegP&amp;L'!Y139</f>
        <v>5</v>
      </c>
      <c r="G280" s="598"/>
      <c r="H280" s="1120">
        <f>D280-F280</f>
        <v>-1.7672386800571882</v>
      </c>
      <c r="I280" s="598"/>
      <c r="J280" s="598">
        <f>Stores!Y161+Stores!BA161</f>
        <v>284</v>
      </c>
      <c r="K280" s="1127"/>
      <c r="L280" s="1128">
        <f>AVERAGE(J280,J279)</f>
        <v>279</v>
      </c>
      <c r="M280" s="598"/>
      <c r="N280" s="1120">
        <f>(L280/L273-1)*100</f>
        <v>8.1395348837209234</v>
      </c>
      <c r="O280" s="1124"/>
      <c r="P280" s="1159">
        <f>H280/N280*100</f>
        <v>-21.711789497845473</v>
      </c>
      <c r="Q280" s="1125"/>
      <c r="R280" s="598"/>
      <c r="S280" s="1165">
        <f>'SegP&amp;L'!W139</f>
        <v>576.971</v>
      </c>
      <c r="T280" s="598"/>
      <c r="U280" s="1166">
        <f>S280/L280</f>
        <v>2.0679964157706094</v>
      </c>
      <c r="V280" s="598"/>
      <c r="W280" s="1176">
        <f>(U280/U273-1)*100</f>
        <v>-4.5374465213432025</v>
      </c>
      <c r="X280" s="1124"/>
      <c r="Y280" s="598"/>
      <c r="Z280" s="1129">
        <f>Stores!AB161+Stores!BD161</f>
        <v>7.9</v>
      </c>
      <c r="AA280" s="1127"/>
      <c r="AB280" s="1163">
        <f>AVERAGE(Z280,Z279)</f>
        <v>7.75</v>
      </c>
      <c r="AC280" s="598"/>
      <c r="AD280" s="1120">
        <f>(AB280/AB273-1)*100</f>
        <v>8.391608391608397</v>
      </c>
      <c r="AE280" s="1124"/>
      <c r="AF280" s="1159">
        <f>+H280/AD280*100</f>
        <v>-21.05959427068148</v>
      </c>
      <c r="AG280" s="1125"/>
      <c r="AH280" s="598"/>
      <c r="AI280" s="1165">
        <f>+S280</f>
        <v>576.971</v>
      </c>
      <c r="AJ280" s="598"/>
      <c r="AK280" s="1167">
        <f>AI280/AB280</f>
        <v>74.447870967741935</v>
      </c>
      <c r="AL280" s="598"/>
      <c r="AM280" s="1176">
        <f>(AK280/AK273-1)*100</f>
        <v>-4.759452459665658</v>
      </c>
      <c r="AN280" s="1124"/>
      <c r="AP280" s="562">
        <v>0.91179901496141957</v>
      </c>
      <c r="AQ280" s="1198">
        <f>(AP280/AP273-1)*100</f>
        <v>-6.8419337140628649</v>
      </c>
      <c r="AR280" s="1198">
        <f>+(AP280/AP273-1)*100</f>
        <v>-6.8419337140628649</v>
      </c>
      <c r="AS280" s="499"/>
      <c r="AT280" s="499"/>
      <c r="AU280" s="499"/>
      <c r="AV280" s="499"/>
      <c r="AW280" s="499"/>
      <c r="AX280" s="499"/>
      <c r="AY280" s="1034">
        <f>AP277*AQ280</f>
        <v>-6.8419337140628649</v>
      </c>
      <c r="AZ280" s="499"/>
      <c r="BC280" s="1034">
        <f>AY280</f>
        <v>-6.8419337140628649</v>
      </c>
      <c r="BF280" s="754">
        <f>S280/$S$282</f>
        <v>0.26718510282512664</v>
      </c>
    </row>
    <row r="281" spans="1:61" hidden="1" outlineLevel="1">
      <c r="A281" s="598" t="s">
        <v>530</v>
      </c>
      <c r="B281" s="1157" t="s">
        <v>517</v>
      </c>
      <c r="C281" s="598"/>
      <c r="D281" s="1168">
        <f>(S281/S274-1)*100</f>
        <v>-10.579980583055736</v>
      </c>
      <c r="E281" s="598"/>
      <c r="F281" s="1178">
        <f>'SegP&amp;L'!Y140</f>
        <v>-1</v>
      </c>
      <c r="G281" s="598"/>
      <c r="H281" s="1168">
        <f>D281-F281</f>
        <v>-9.5799805830557361</v>
      </c>
      <c r="I281" s="598"/>
      <c r="J281" s="598">
        <f>Stores!Y162+Stores!BA162+Stores!BV162</f>
        <v>279</v>
      </c>
      <c r="K281" s="1127"/>
      <c r="L281" s="1171">
        <f>AVERAGE(J281,J280)</f>
        <v>281.5</v>
      </c>
      <c r="M281" s="598"/>
      <c r="N281" s="1168">
        <f>(L281/L274-1)*100</f>
        <v>7.6481835564053524</v>
      </c>
      <c r="O281" s="1124"/>
      <c r="P281" s="1171">
        <f>H281/N281*100</f>
        <v>-125.25824612345377</v>
      </c>
      <c r="Q281" s="1125"/>
      <c r="R281" s="598"/>
      <c r="S281" s="1172">
        <f>'SegP&amp;L'!W140+20</f>
        <v>555.39400000000001</v>
      </c>
      <c r="T281" s="598"/>
      <c r="U281" s="1173">
        <f>S281/L281</f>
        <v>1.972980461811723</v>
      </c>
      <c r="V281" s="598"/>
      <c r="W281" s="1169">
        <f>(U281/U274-1)*100</f>
        <v>-16.933090310724943</v>
      </c>
      <c r="X281" s="1124"/>
      <c r="Y281" s="598"/>
      <c r="Z281" s="1129">
        <f>Stores!AB162+Stores!BD162</f>
        <v>7.7</v>
      </c>
      <c r="AA281" s="1127"/>
      <c r="AB281" s="1174">
        <f>AVERAGE(Z281,Z280)</f>
        <v>7.8000000000000007</v>
      </c>
      <c r="AC281" s="598"/>
      <c r="AD281" s="1168">
        <f>(AB281/AB274-1)*100</f>
        <v>7.8018105175869046</v>
      </c>
      <c r="AE281" s="1124"/>
      <c r="AF281" s="1171">
        <f>+H281/AD281*100</f>
        <v>-122.79176175146098</v>
      </c>
      <c r="AG281" s="1125"/>
      <c r="AH281" s="598"/>
      <c r="AI281" s="1172">
        <f>+S281</f>
        <v>555.39400000000001</v>
      </c>
      <c r="AJ281" s="598"/>
      <c r="AK281" s="1175">
        <f>AI281/AB281</f>
        <v>71.204358974358968</v>
      </c>
      <c r="AL281" s="598"/>
      <c r="AM281" s="1169">
        <f>(AK281/AK274-1)*100</f>
        <v>-17.051467885730741</v>
      </c>
      <c r="AN281" s="1124"/>
      <c r="AP281" s="1201">
        <v>0.81518775387151821</v>
      </c>
      <c r="AQ281" s="1202">
        <f>(AP281/AP274-1)*100</f>
        <v>-19.113007663448634</v>
      </c>
      <c r="AR281" s="487"/>
      <c r="AS281" s="499"/>
      <c r="AT281" s="499"/>
      <c r="AU281" s="499"/>
      <c r="AV281" s="499"/>
      <c r="AW281" s="499"/>
      <c r="AX281" s="499"/>
      <c r="AY281" s="1034">
        <f>AP277*AQ281</f>
        <v>-19.113007663448634</v>
      </c>
      <c r="AZ281" s="499"/>
      <c r="BA281" s="499"/>
      <c r="BB281" s="487"/>
      <c r="BC281" s="1034">
        <f>AY281</f>
        <v>-19.113007663448634</v>
      </c>
      <c r="BD281" s="487"/>
      <c r="BE281" s="487"/>
      <c r="BF281" s="754">
        <f>S281/$S$282</f>
        <v>0.25719317435097844</v>
      </c>
      <c r="BG281" s="487"/>
      <c r="BH281" s="487"/>
    </row>
    <row r="282" spans="1:61" hidden="1" outlineLevel="1">
      <c r="A282" s="598"/>
      <c r="B282" s="1157" t="s">
        <v>531</v>
      </c>
      <c r="C282" s="598"/>
      <c r="D282" s="1120">
        <f>(S282/S275-1)*100</f>
        <v>5.8128276266234957</v>
      </c>
      <c r="E282" s="598"/>
      <c r="F282" s="1179">
        <f>'SegP&amp;L'!Y141</f>
        <v>3</v>
      </c>
      <c r="G282" s="598"/>
      <c r="H282" s="1120">
        <f>D282-F282</f>
        <v>2.8128276266234957</v>
      </c>
      <c r="I282" s="598"/>
      <c r="J282" s="598"/>
      <c r="K282" s="598"/>
      <c r="L282" s="1128">
        <f>AVERAGE(L278:L281)</f>
        <v>274.375</v>
      </c>
      <c r="M282" s="598"/>
      <c r="N282" s="1120">
        <f>(L282/L275-1)*100</f>
        <v>6.8646543330087573</v>
      </c>
      <c r="O282" s="1124"/>
      <c r="P282" s="1159">
        <f>H282/N282*100</f>
        <v>40.975517341025999</v>
      </c>
      <c r="Q282" s="1125"/>
      <c r="R282" s="598"/>
      <c r="S282" s="1160">
        <f>SUM(S278:S281)</f>
        <v>2159.4430000000002</v>
      </c>
      <c r="T282" s="598"/>
      <c r="U282" s="1161">
        <f>SUM(U278:U281)</f>
        <v>7.8646045996953058</v>
      </c>
      <c r="V282" s="598"/>
      <c r="W282" s="1176">
        <f>(U282/U275-1)*100</f>
        <v>-0.86202021680179541</v>
      </c>
      <c r="X282" s="1124"/>
      <c r="Y282" s="598"/>
      <c r="Z282" s="1129"/>
      <c r="AA282" s="598"/>
      <c r="AB282" s="1163">
        <f>AVERAGE(AB278:AB281)</f>
        <v>7.6213750000000005</v>
      </c>
      <c r="AC282" s="598"/>
      <c r="AD282" s="1120">
        <f>(AB282/AB275-1)*100</f>
        <v>6.8335932435036995</v>
      </c>
      <c r="AE282" s="1124"/>
      <c r="AF282" s="1159">
        <f>+H282/AD282*100</f>
        <v>41.161765507443505</v>
      </c>
      <c r="AG282" s="1125"/>
      <c r="AH282" s="598"/>
      <c r="AI282" s="1160">
        <f>SUM(AI278:AI281)</f>
        <v>2159.4430000000002</v>
      </c>
      <c r="AJ282" s="598"/>
      <c r="AK282" s="1164">
        <f>SUM(AK278:AK281)</f>
        <v>283.12984043805659</v>
      </c>
      <c r="AL282" s="598"/>
      <c r="AM282" s="1176">
        <f>(AK282/AK275-1)*100</f>
        <v>-0.88019956649574294</v>
      </c>
      <c r="AN282" s="1124"/>
      <c r="AP282" s="562">
        <v>0.92235524376847489</v>
      </c>
      <c r="AQ282" s="1198">
        <f>(AP282/AP275-1)*100</f>
        <v>-2.2179733617312181</v>
      </c>
      <c r="AR282" s="1198"/>
      <c r="AS282" s="499"/>
      <c r="AT282" s="499"/>
      <c r="AU282" s="499"/>
      <c r="AV282" s="499"/>
      <c r="AW282" s="499"/>
      <c r="AX282" s="499"/>
      <c r="AY282" s="1034">
        <f>AP277*AQ282</f>
        <v>-2.2179733617312181</v>
      </c>
      <c r="AZ282" s="499"/>
      <c r="BA282" s="499"/>
      <c r="BB282" s="487"/>
      <c r="BC282" s="1034">
        <f>AY282</f>
        <v>-2.2179733617312181</v>
      </c>
      <c r="BD282" s="487"/>
      <c r="BE282" s="487"/>
      <c r="BF282" s="754"/>
      <c r="BG282" s="487"/>
      <c r="BH282" s="487"/>
    </row>
    <row r="283" spans="1:61" ht="13.5" hidden="1" outlineLevel="1" thickBot="1">
      <c r="A283" s="598"/>
      <c r="B283" s="1157"/>
      <c r="C283" s="598"/>
      <c r="D283" s="1120"/>
      <c r="E283" s="598"/>
      <c r="F283" s="1179"/>
      <c r="G283" s="598"/>
      <c r="H283" s="1120"/>
      <c r="I283" s="598"/>
      <c r="J283" s="598"/>
      <c r="K283" s="598"/>
      <c r="L283" s="1128"/>
      <c r="M283" s="598"/>
      <c r="N283" s="1120"/>
      <c r="O283" s="1124"/>
      <c r="P283" s="1159"/>
      <c r="Q283" s="1125"/>
      <c r="R283" s="598"/>
      <c r="S283" s="1128"/>
      <c r="T283" s="598"/>
      <c r="U283" s="1164"/>
      <c r="V283" s="598"/>
      <c r="W283" s="1176"/>
      <c r="X283" s="1124"/>
      <c r="Y283" s="598"/>
      <c r="Z283" s="1129"/>
      <c r="AA283" s="598"/>
      <c r="AB283" s="1163"/>
      <c r="AC283" s="598"/>
      <c r="AD283" s="1120"/>
      <c r="AE283" s="1124"/>
      <c r="AF283" s="1159"/>
      <c r="AG283" s="1125"/>
      <c r="AH283" s="598"/>
      <c r="AI283" s="1160"/>
      <c r="AJ283" s="598"/>
      <c r="AK283" s="1164"/>
      <c r="AL283" s="598"/>
      <c r="AM283" s="1176"/>
      <c r="AN283" s="1124"/>
      <c r="AP283" s="487"/>
      <c r="AQ283" s="487"/>
      <c r="AR283" s="487"/>
      <c r="AS283" s="499"/>
      <c r="AT283" s="499"/>
      <c r="AU283" s="499"/>
      <c r="AV283" s="499"/>
      <c r="AW283" s="499"/>
      <c r="AX283" s="499"/>
      <c r="AY283" s="499"/>
      <c r="AZ283" s="499"/>
      <c r="BA283" s="499"/>
      <c r="BB283" s="487"/>
      <c r="BC283" s="499"/>
      <c r="BD283" s="487"/>
      <c r="BE283" s="487"/>
      <c r="BF283" s="754"/>
      <c r="BG283" s="487"/>
      <c r="BH283" s="487"/>
    </row>
    <row r="284" spans="1:61" ht="13.5" hidden="1" outlineLevel="1" thickBot="1">
      <c r="A284" s="1154"/>
      <c r="B284" s="1118">
        <f>+B277+1</f>
        <v>2009</v>
      </c>
      <c r="C284" s="598" t="s">
        <v>164</v>
      </c>
      <c r="D284" s="1120"/>
      <c r="E284" s="1124"/>
      <c r="F284" s="598"/>
      <c r="G284" s="1124"/>
      <c r="H284" s="598"/>
      <c r="I284" s="1124"/>
      <c r="J284" s="598"/>
      <c r="K284" s="598"/>
      <c r="L284" s="598"/>
      <c r="M284" s="598"/>
      <c r="N284" s="598"/>
      <c r="O284" s="1124"/>
      <c r="P284" s="1125"/>
      <c r="Q284" s="1125"/>
      <c r="R284" s="598"/>
      <c r="S284" s="1126"/>
      <c r="T284" s="1127"/>
      <c r="U284" s="1128"/>
      <c r="V284" s="598"/>
      <c r="W284" s="598"/>
      <c r="X284" s="1124"/>
      <c r="Y284" s="598"/>
      <c r="Z284" s="1129"/>
      <c r="AA284" s="1127"/>
      <c r="AB284" s="598"/>
      <c r="AC284" s="598"/>
      <c r="AD284" s="598"/>
      <c r="AE284" s="1124"/>
      <c r="AF284" s="1125"/>
      <c r="AG284" s="1125"/>
      <c r="AH284" s="598"/>
      <c r="AI284" s="598"/>
      <c r="AJ284" s="598"/>
      <c r="AK284" s="598"/>
      <c r="AL284" s="598"/>
      <c r="AM284" s="598"/>
      <c r="AN284" s="1124"/>
      <c r="AP284" s="1196">
        <v>1</v>
      </c>
      <c r="AQ284" s="735"/>
      <c r="AR284" s="487"/>
      <c r="AS284" s="499"/>
      <c r="AT284" s="499"/>
      <c r="AU284" s="499"/>
      <c r="AV284" s="499"/>
      <c r="AW284" s="499"/>
      <c r="AX284" s="499"/>
      <c r="AY284" s="499"/>
      <c r="AZ284" s="499"/>
      <c r="BA284" s="499"/>
      <c r="BB284" s="487"/>
      <c r="BC284" s="499"/>
      <c r="BD284" s="487"/>
      <c r="BE284" s="487"/>
      <c r="BF284" s="754"/>
      <c r="BG284" s="487"/>
      <c r="BH284" s="487"/>
    </row>
    <row r="285" spans="1:61" hidden="1" outlineLevel="1">
      <c r="A285" s="598" t="s">
        <v>527</v>
      </c>
      <c r="B285" s="1157" t="s">
        <v>514</v>
      </c>
      <c r="C285" s="598"/>
      <c r="D285" s="1120">
        <f>(S285/S278-1)*100</f>
        <v>-13.164231424452899</v>
      </c>
      <c r="E285" s="1124" t="s">
        <v>190</v>
      </c>
      <c r="F285" s="1179">
        <f>'SegP&amp;L'!Y144</f>
        <v>0</v>
      </c>
      <c r="G285" s="1124" t="s">
        <v>190</v>
      </c>
      <c r="H285" s="1120">
        <f>D285-F285</f>
        <v>-13.164231424452899</v>
      </c>
      <c r="I285" s="1124" t="s">
        <v>190</v>
      </c>
      <c r="J285" s="1206">
        <f>Stores!Y166+Stores!BA166</f>
        <v>281</v>
      </c>
      <c r="K285" s="598"/>
      <c r="L285" s="1128">
        <f>AVERAGE(J285,J281)</f>
        <v>280</v>
      </c>
      <c r="M285" s="598"/>
      <c r="N285" s="1120">
        <f>(L285/L278-1)*100</f>
        <v>5.4613935969868077</v>
      </c>
      <c r="O285" s="1124" t="s">
        <v>190</v>
      </c>
      <c r="P285" s="1159">
        <f>H285/N285*100</f>
        <v>-241.04161677187938</v>
      </c>
      <c r="Q285" s="1125" t="s">
        <v>190</v>
      </c>
      <c r="R285" s="598"/>
      <c r="S285" s="1160">
        <f>'SegP&amp;L'!W144</f>
        <v>424.09199999999998</v>
      </c>
      <c r="T285" s="598"/>
      <c r="U285" s="1161">
        <f>S285/L285</f>
        <v>1.5146142857142857</v>
      </c>
      <c r="V285" s="598"/>
      <c r="W285" s="1176">
        <f>(U285/U278-1)*100</f>
        <v>-17.661083725686588</v>
      </c>
      <c r="X285" s="1124" t="s">
        <v>190</v>
      </c>
      <c r="Y285" s="598"/>
      <c r="Z285" s="1129">
        <f>Stores!AB166+Stores!BD166</f>
        <v>7.8</v>
      </c>
      <c r="AA285" s="598"/>
      <c r="AB285" s="1163">
        <f>AVERAGE(Z285,Z281)</f>
        <v>7.75</v>
      </c>
      <c r="AC285" s="598"/>
      <c r="AD285" s="1120">
        <f>(AB285/AB278-1)*100</f>
        <v>4.9353462866427389</v>
      </c>
      <c r="AE285" s="1124" t="s">
        <v>190</v>
      </c>
      <c r="AF285" s="1159">
        <f>+H285/AD285*100</f>
        <v>-266.73369323812625</v>
      </c>
      <c r="AG285" s="1125" t="s">
        <v>190</v>
      </c>
      <c r="AH285" s="598"/>
      <c r="AI285" s="1160">
        <f>+S285</f>
        <v>424.09199999999998</v>
      </c>
      <c r="AJ285" s="598"/>
      <c r="AK285" s="1164">
        <f>AI285/AB285</f>
        <v>54.721548387096774</v>
      </c>
      <c r="AL285" s="598"/>
      <c r="AM285" s="1176">
        <f>(AK285/AK278-1)*100</f>
        <v>-17.248313701328609</v>
      </c>
      <c r="AN285" s="1124" t="s">
        <v>190</v>
      </c>
      <c r="AP285" s="562">
        <v>0.8025564573199736</v>
      </c>
      <c r="AQ285" s="1198">
        <f>(AP285/AP278-1)*100</f>
        <v>-19.266353986992513</v>
      </c>
      <c r="AR285" s="1203" t="s">
        <v>190</v>
      </c>
      <c r="AS285" s="499"/>
      <c r="AT285" s="499"/>
      <c r="AU285" s="499"/>
      <c r="AV285" s="499"/>
      <c r="AW285" s="499"/>
      <c r="AX285" s="499"/>
      <c r="AY285" s="1034">
        <f>AP284*AQ285</f>
        <v>-19.266353986992513</v>
      </c>
      <c r="AZ285" s="499"/>
      <c r="BA285" s="499"/>
      <c r="BB285" s="1193"/>
      <c r="BC285" s="1034">
        <f>AY285</f>
        <v>-19.266353986992513</v>
      </c>
      <c r="BD285" s="1193"/>
      <c r="BE285" s="1193"/>
      <c r="BF285" s="1207">
        <f>S285/$S$289</f>
        <v>0.19562233153375228</v>
      </c>
      <c r="BG285" s="1193"/>
      <c r="BH285" s="487"/>
    </row>
    <row r="286" spans="1:61" hidden="1" outlineLevel="1">
      <c r="A286" s="598" t="s">
        <v>528</v>
      </c>
      <c r="B286" s="1157" t="s">
        <v>515</v>
      </c>
      <c r="C286" s="598"/>
      <c r="D286" s="1120">
        <f>(S286/S279-1)*100</f>
        <v>-7.9865378118189501</v>
      </c>
      <c r="E286" s="598"/>
      <c r="F286" s="1179">
        <f>'SegP&amp;L'!Y145</f>
        <v>1</v>
      </c>
      <c r="G286" s="598"/>
      <c r="H286" s="1120">
        <f>D286-F286</f>
        <v>-8.9865378118189501</v>
      </c>
      <c r="I286" s="598"/>
      <c r="J286" s="1206">
        <f>Stores!Y167+Stores!BA167</f>
        <v>281</v>
      </c>
      <c r="K286" s="1127"/>
      <c r="L286" s="1128">
        <f>AVERAGE(J286,J285)</f>
        <v>281</v>
      </c>
      <c r="M286" s="598"/>
      <c r="N286" s="1120">
        <f>(L286/L279-1)*100</f>
        <v>3.4990791896869267</v>
      </c>
      <c r="O286" s="1124"/>
      <c r="P286" s="1159">
        <f>H286/N286*100</f>
        <v>-256.82579114829929</v>
      </c>
      <c r="Q286" s="1125"/>
      <c r="R286" s="598"/>
      <c r="S286" s="1165">
        <f>'SegP&amp;L'!W145</f>
        <v>495.67099999999999</v>
      </c>
      <c r="T286" s="598"/>
      <c r="U286" s="1166">
        <f>S286/L286</f>
        <v>1.7639537366548041</v>
      </c>
      <c r="V286" s="598"/>
      <c r="W286" s="1176">
        <f>(U286/U279-1)*100</f>
        <v>-11.097313223874893</v>
      </c>
      <c r="X286" s="1124"/>
      <c r="Y286" s="598"/>
      <c r="Z286" s="1129">
        <f>Stores!AB167+Stores!BD167</f>
        <v>7.8</v>
      </c>
      <c r="AA286" s="1127"/>
      <c r="AB286" s="1163">
        <f>AVERAGE(Z286,Z285)</f>
        <v>7.8</v>
      </c>
      <c r="AC286" s="598"/>
      <c r="AD286" s="1120">
        <f>(AB286/AB279-1)*100</f>
        <v>3.3112582781456901</v>
      </c>
      <c r="AE286" s="1124"/>
      <c r="AF286" s="1159">
        <f>+H286/AD286*100</f>
        <v>-271.39344191693272</v>
      </c>
      <c r="AG286" s="1125"/>
      <c r="AH286" s="598"/>
      <c r="AI286" s="1165">
        <f>+S286</f>
        <v>495.67099999999999</v>
      </c>
      <c r="AJ286" s="598"/>
      <c r="AK286" s="1167">
        <f>AI286/AB286</f>
        <v>63.547564102564102</v>
      </c>
      <c r="AL286" s="598"/>
      <c r="AM286" s="1176">
        <f>(AK286/AK279-1)*100</f>
        <v>-10.935687240927294</v>
      </c>
      <c r="AN286" s="1124"/>
      <c r="AP286" s="562">
        <v>0.8810811347180677</v>
      </c>
      <c r="AQ286" s="1198">
        <f>(AP286/AP279-1)*100</f>
        <v>-11.074916915150347</v>
      </c>
      <c r="AR286" s="1198">
        <f>+(AP286/AP279-1)*100</f>
        <v>-11.074916915150347</v>
      </c>
      <c r="AS286" s="499"/>
      <c r="AT286" s="499"/>
      <c r="AU286" s="499"/>
      <c r="AV286" s="499"/>
      <c r="AW286" s="499"/>
      <c r="AX286" s="499"/>
      <c r="AY286" s="1034">
        <f>AP284*AQ286</f>
        <v>-11.074916915150347</v>
      </c>
      <c r="AZ286" s="499"/>
      <c r="BA286" s="499"/>
      <c r="BB286" s="487"/>
      <c r="BC286" s="1034">
        <f>AY286</f>
        <v>-11.074916915150347</v>
      </c>
      <c r="BD286" s="487"/>
      <c r="BE286" s="487"/>
      <c r="BF286" s="1207">
        <f>S286/$S$289</f>
        <v>0.2286398156382731</v>
      </c>
      <c r="BG286" s="487"/>
      <c r="BH286" s="487"/>
    </row>
    <row r="287" spans="1:61" hidden="1" outlineLevel="1">
      <c r="A287" s="598" t="s">
        <v>529</v>
      </c>
      <c r="B287" s="1157" t="s">
        <v>516</v>
      </c>
      <c r="C287" s="598"/>
      <c r="D287" s="1120">
        <f>(S287/S280-1)*100</f>
        <v>5.9819297677006222</v>
      </c>
      <c r="E287" s="598"/>
      <c r="F287" s="1179">
        <f>'SegP&amp;L'!Y146</f>
        <v>1</v>
      </c>
      <c r="G287" s="598"/>
      <c r="H287" s="1120">
        <f>D287-F287</f>
        <v>4.9819297677006222</v>
      </c>
      <c r="I287" s="598"/>
      <c r="J287" s="1206">
        <f>Stores!Y168+Stores!BA168</f>
        <v>290</v>
      </c>
      <c r="K287" s="1127"/>
      <c r="L287" s="1128">
        <f>AVERAGE(J287,J286)</f>
        <v>285.5</v>
      </c>
      <c r="M287" s="598"/>
      <c r="N287" s="1120">
        <f>(L287/L280-1)*100</f>
        <v>2.3297491039426577</v>
      </c>
      <c r="O287" s="1124"/>
      <c r="P287" s="1159">
        <f>H287/N287*100</f>
        <v>213.83975464438006</v>
      </c>
      <c r="Q287" s="1180"/>
      <c r="R287" s="598"/>
      <c r="S287" s="1165">
        <f>'SegP&amp;L'!W146</f>
        <v>611.48500000000001</v>
      </c>
      <c r="T287" s="598"/>
      <c r="U287" s="1166">
        <f>S287/L287</f>
        <v>2.1418038528896672</v>
      </c>
      <c r="V287" s="598"/>
      <c r="W287" s="1176">
        <f>(U287/U280-1)*100</f>
        <v>3.5690311915533179</v>
      </c>
      <c r="X287" s="1124"/>
      <c r="Y287" s="598"/>
      <c r="Z287" s="1129">
        <f>Stores!AB168+Stores!BD168</f>
        <v>8.8000000000000007</v>
      </c>
      <c r="AA287" s="1127"/>
      <c r="AB287" s="1163">
        <f>AVERAGE(Z287,Z286)</f>
        <v>8.3000000000000007</v>
      </c>
      <c r="AC287" s="598"/>
      <c r="AD287" s="1120">
        <f>(AB287/AB280-1)*100</f>
        <v>7.0967741935483941</v>
      </c>
      <c r="AE287" s="1124"/>
      <c r="AF287" s="1159">
        <f>+H287/AD287*100</f>
        <v>70.199919453963247</v>
      </c>
      <c r="AG287" s="1125"/>
      <c r="AH287" s="598"/>
      <c r="AI287" s="1165">
        <f>+S287</f>
        <v>611.48500000000001</v>
      </c>
      <c r="AJ287" s="598"/>
      <c r="AK287" s="1167">
        <f>AI287/AB287</f>
        <v>73.672891566265051</v>
      </c>
      <c r="AL287" s="598"/>
      <c r="AM287" s="1176">
        <f>(AK287/AK280-1)*100</f>
        <v>-1.0409691928096598</v>
      </c>
      <c r="AN287" s="1124"/>
      <c r="AP287" s="562">
        <v>0.93082770173026863</v>
      </c>
      <c r="AQ287" s="1198">
        <f>(AP287/AP280-1)*100</f>
        <v>2.0869387284492946</v>
      </c>
      <c r="AR287" s="1198">
        <f>+(AP287/AP280-1)*100</f>
        <v>2.0869387284492946</v>
      </c>
      <c r="AS287" s="499"/>
      <c r="AT287" s="499"/>
      <c r="AU287" s="499"/>
      <c r="AV287" s="499"/>
      <c r="AW287" s="499"/>
      <c r="AX287" s="499"/>
      <c r="AY287" s="1034">
        <f>AP284*AQ287</f>
        <v>2.0869387284492946</v>
      </c>
      <c r="AZ287" s="499"/>
      <c r="BA287" s="499"/>
      <c r="BB287" s="487"/>
      <c r="BC287" s="1034">
        <f>AY287</f>
        <v>2.0869387284492946</v>
      </c>
      <c r="BD287" s="487"/>
      <c r="BE287" s="487"/>
      <c r="BF287" s="1207">
        <f>S287/$S$289</f>
        <v>0.28206172575270583</v>
      </c>
      <c r="BG287" s="487"/>
      <c r="BH287" s="487"/>
    </row>
    <row r="288" spans="1:61" hidden="1" outlineLevel="1">
      <c r="A288" s="598" t="s">
        <v>530</v>
      </c>
      <c r="B288" s="1157" t="s">
        <v>517</v>
      </c>
      <c r="C288" s="598"/>
      <c r="D288" s="1168">
        <f>(S288/S281-1)*100</f>
        <v>14.632855234302134</v>
      </c>
      <c r="E288" s="598"/>
      <c r="F288" s="1178">
        <f>'SegP&amp;L'!Y147</f>
        <v>7</v>
      </c>
      <c r="G288" s="598"/>
      <c r="H288" s="1168">
        <f>D288-F288</f>
        <v>7.6328552343021343</v>
      </c>
      <c r="I288" s="598"/>
      <c r="J288" s="1206">
        <f>Stores!Y169+Stores!BA169</f>
        <v>290</v>
      </c>
      <c r="K288" s="1127"/>
      <c r="L288" s="1171">
        <f>AVERAGE(J288,J287)</f>
        <v>290</v>
      </c>
      <c r="M288" s="598"/>
      <c r="N288" s="1168">
        <f>(L288/L281-1)*100</f>
        <v>3.0195381882770933</v>
      </c>
      <c r="O288" s="1124"/>
      <c r="P288" s="1171">
        <f>H288/N288*100</f>
        <v>252.78220570071133</v>
      </c>
      <c r="Q288" s="1180"/>
      <c r="R288" s="598"/>
      <c r="S288" s="1172">
        <f>'SegP&amp;L'!W147</f>
        <v>636.66399999999999</v>
      </c>
      <c r="T288" s="598"/>
      <c r="U288" s="1173">
        <f>S288/L288</f>
        <v>2.1953931034482759</v>
      </c>
      <c r="V288" s="598"/>
      <c r="W288" s="1169">
        <f>(U288/U281-1)*100</f>
        <v>11.27292671881397</v>
      </c>
      <c r="X288" s="1124"/>
      <c r="Y288" s="598"/>
      <c r="Z288" s="1129">
        <f>Stores!AB169+Stores!BD169</f>
        <v>8</v>
      </c>
      <c r="AA288" s="1127"/>
      <c r="AB288" s="1174">
        <f>AVERAGE(Z288,Z287)</f>
        <v>8.4</v>
      </c>
      <c r="AC288" s="598"/>
      <c r="AD288" s="1168">
        <f>(AB288/AB281-1)*100</f>
        <v>7.6923076923076872</v>
      </c>
      <c r="AE288" s="1124"/>
      <c r="AF288" s="1171">
        <f>+H288/AD288*100</f>
        <v>99.22711804592781</v>
      </c>
      <c r="AG288" s="1125"/>
      <c r="AH288" s="598"/>
      <c r="AI288" s="1172">
        <f>+S288</f>
        <v>636.66399999999999</v>
      </c>
      <c r="AJ288" s="598"/>
      <c r="AK288" s="1175">
        <f>AI288/AB288</f>
        <v>75.793333333333322</v>
      </c>
      <c r="AL288" s="598"/>
      <c r="AM288" s="1169">
        <f>(AK288/AK281-1)*100</f>
        <v>6.4447941461377001</v>
      </c>
      <c r="AN288" s="1124"/>
      <c r="AP288" s="1201">
        <v>0.95072608064911324</v>
      </c>
      <c r="AQ288" s="1202">
        <f>(AP288/AP281-1)*100</f>
        <v>16.626639217025986</v>
      </c>
      <c r="AR288" s="487"/>
      <c r="AS288" s="499"/>
      <c r="AT288" s="499"/>
      <c r="AU288" s="499"/>
      <c r="AV288" s="499"/>
      <c r="AW288" s="499"/>
      <c r="AX288" s="499"/>
      <c r="AY288" s="1034">
        <f>AP284*AQ288</f>
        <v>16.626639217025986</v>
      </c>
      <c r="AZ288" s="499"/>
      <c r="BA288" s="499"/>
      <c r="BB288" s="487"/>
      <c r="BC288" s="1034">
        <f>AY288</f>
        <v>16.626639217025986</v>
      </c>
      <c r="BD288" s="487"/>
      <c r="BE288" s="487"/>
      <c r="BF288" s="1207">
        <f>S288/$S$289</f>
        <v>0.29367612707526869</v>
      </c>
      <c r="BG288" s="487"/>
      <c r="BH288" s="487"/>
    </row>
    <row r="289" spans="1:61" hidden="1" outlineLevel="1">
      <c r="A289" s="598"/>
      <c r="B289" s="1157" t="s">
        <v>531</v>
      </c>
      <c r="C289" s="598"/>
      <c r="D289" s="1120">
        <f>(S289/S282-1)*100</f>
        <v>0.39218446608686452</v>
      </c>
      <c r="E289" s="598"/>
      <c r="F289" s="1179">
        <f>'SegP&amp;L'!Y148</f>
        <v>2</v>
      </c>
      <c r="G289" s="598"/>
      <c r="H289" s="1120">
        <f>D289-F289</f>
        <v>-1.6078155339131355</v>
      </c>
      <c r="I289" s="598"/>
      <c r="J289" s="598"/>
      <c r="K289" s="598"/>
      <c r="L289" s="1128">
        <f>AVERAGE(L285:L288)</f>
        <v>284.125</v>
      </c>
      <c r="M289" s="598"/>
      <c r="N289" s="1120">
        <f>(L289/L282-1)*100</f>
        <v>3.5535307517084336</v>
      </c>
      <c r="O289" s="1124"/>
      <c r="P289" s="1159">
        <f>H289/N289*100</f>
        <v>-45.245578165888809</v>
      </c>
      <c r="Q289" s="1125"/>
      <c r="R289" s="598"/>
      <c r="S289" s="1160">
        <f>SUM(S285:S288)</f>
        <v>2167.9120000000003</v>
      </c>
      <c r="T289" s="598"/>
      <c r="U289" s="1161">
        <f>SUM(U285:U288)</f>
        <v>7.6157649787070332</v>
      </c>
      <c r="V289" s="598"/>
      <c r="W289" s="1176">
        <f>(U289/U282-1)*100</f>
        <v>-3.1640449031336337</v>
      </c>
      <c r="X289" s="1124"/>
      <c r="Y289" s="598"/>
      <c r="Z289" s="1129"/>
      <c r="AA289" s="598"/>
      <c r="AB289" s="1163">
        <f>AVERAGE(AB285:AB288)</f>
        <v>8.0625</v>
      </c>
      <c r="AC289" s="598"/>
      <c r="AD289" s="1120">
        <f>(AB289/AB282-1)*100</f>
        <v>5.7879975726164767</v>
      </c>
      <c r="AE289" s="1124"/>
      <c r="AF289" s="1159">
        <f>+H289/AD289*100</f>
        <v>-27.778441745032023</v>
      </c>
      <c r="AG289" s="1125"/>
      <c r="AH289" s="598"/>
      <c r="AI289" s="1160">
        <f>SUM(AI285:AI288)</f>
        <v>2167.9120000000003</v>
      </c>
      <c r="AJ289" s="598"/>
      <c r="AK289" s="1164">
        <f>SUM(AK285:AK288)</f>
        <v>267.73533738925926</v>
      </c>
      <c r="AL289" s="598"/>
      <c r="AM289" s="1176">
        <f>(AK289/AK282-1)*100</f>
        <v>-5.4372591122783369</v>
      </c>
      <c r="AN289" s="1124"/>
      <c r="AP289" s="562">
        <v>0.88759292097627063</v>
      </c>
      <c r="AQ289" s="1198">
        <f>(AP289/AP282-1)*100</f>
        <v>-3.768864873600708</v>
      </c>
      <c r="AR289" s="1198"/>
      <c r="AS289" s="499"/>
      <c r="AT289" s="499"/>
      <c r="AU289" s="499"/>
      <c r="AV289" s="499"/>
      <c r="AW289" s="499"/>
      <c r="AX289" s="499"/>
      <c r="AY289" s="1034">
        <f>AP284*AQ289</f>
        <v>-3.768864873600708</v>
      </c>
      <c r="AZ289" s="499"/>
      <c r="BA289" s="499">
        <v>-3</v>
      </c>
      <c r="BB289" s="487"/>
      <c r="BC289" s="499">
        <f>BA289</f>
        <v>-3</v>
      </c>
      <c r="BD289" s="487"/>
      <c r="BE289" s="487"/>
      <c r="BF289" s="754"/>
      <c r="BG289" s="487"/>
      <c r="BH289" s="487"/>
    </row>
    <row r="290" spans="1:61" ht="13.5" hidden="1" outlineLevel="1" thickBot="1">
      <c r="A290" s="598"/>
      <c r="B290" s="1157"/>
      <c r="C290" s="598"/>
      <c r="D290" s="1120"/>
      <c r="E290" s="598"/>
      <c r="F290" s="1179"/>
      <c r="G290" s="598"/>
      <c r="H290" s="1120"/>
      <c r="I290" s="598"/>
      <c r="J290" s="598"/>
      <c r="K290" s="598"/>
      <c r="L290" s="1128"/>
      <c r="M290" s="598"/>
      <c r="N290" s="1120"/>
      <c r="O290" s="1124"/>
      <c r="P290" s="1159"/>
      <c r="Q290" s="1125"/>
      <c r="R290" s="598"/>
      <c r="S290" s="1160"/>
      <c r="T290" s="598"/>
      <c r="U290" s="1161"/>
      <c r="V290" s="598"/>
      <c r="W290" s="1176"/>
      <c r="X290" s="1124"/>
      <c r="Y290" s="598"/>
      <c r="Z290" s="1129"/>
      <c r="AA290" s="598"/>
      <c r="AB290" s="1163"/>
      <c r="AC290" s="598"/>
      <c r="AD290" s="1120"/>
      <c r="AE290" s="1124"/>
      <c r="AF290" s="1159"/>
      <c r="AG290" s="1125"/>
      <c r="AH290" s="598"/>
      <c r="AI290" s="1160"/>
      <c r="AJ290" s="598"/>
      <c r="AK290" s="1164"/>
      <c r="AL290" s="598"/>
      <c r="AM290" s="1176"/>
      <c r="AN290" s="1124"/>
      <c r="AP290" s="487"/>
      <c r="AQ290" s="487"/>
      <c r="AR290" s="487"/>
      <c r="AS290" s="499"/>
      <c r="AT290" s="499"/>
      <c r="AU290" s="499"/>
      <c r="AV290" s="499"/>
      <c r="AW290" s="499"/>
      <c r="AX290" s="499"/>
      <c r="AY290" s="499"/>
      <c r="AZ290" s="499"/>
      <c r="BA290" s="499"/>
      <c r="BB290" s="487"/>
      <c r="BC290" s="499"/>
      <c r="BD290" s="487"/>
      <c r="BE290" s="487"/>
      <c r="BF290" s="754"/>
      <c r="BG290" s="487"/>
      <c r="BH290" s="487"/>
    </row>
    <row r="291" spans="1:61" ht="13.5" hidden="1" outlineLevel="1" thickBot="1">
      <c r="A291" s="1154"/>
      <c r="B291" s="1118">
        <f>+B284+1</f>
        <v>2010</v>
      </c>
      <c r="C291" s="598" t="s">
        <v>164</v>
      </c>
      <c r="D291" s="1120"/>
      <c r="E291" s="1124"/>
      <c r="F291" s="598"/>
      <c r="G291" s="1124"/>
      <c r="H291" s="598"/>
      <c r="I291" s="1124"/>
      <c r="J291" s="598"/>
      <c r="K291" s="598"/>
      <c r="L291" s="598"/>
      <c r="M291" s="598"/>
      <c r="N291" s="598"/>
      <c r="O291" s="1124"/>
      <c r="P291" s="1125"/>
      <c r="Q291" s="1125"/>
      <c r="R291" s="598"/>
      <c r="S291" s="1126"/>
      <c r="T291" s="1127"/>
      <c r="U291" s="1128"/>
      <c r="V291" s="598"/>
      <c r="W291" s="598"/>
      <c r="X291" s="1124"/>
      <c r="Y291" s="598"/>
      <c r="Z291" s="1129"/>
      <c r="AA291" s="1127"/>
      <c r="AB291" s="598"/>
      <c r="AC291" s="598"/>
      <c r="AD291" s="598"/>
      <c r="AE291" s="1124"/>
      <c r="AF291" s="1125"/>
      <c r="AG291" s="1125"/>
      <c r="AH291" s="598"/>
      <c r="AI291" s="598"/>
      <c r="AJ291" s="598"/>
      <c r="AK291" s="598"/>
      <c r="AL291" s="598"/>
      <c r="AM291" s="598"/>
      <c r="AN291" s="1124"/>
      <c r="AP291" s="1196">
        <v>1</v>
      </c>
      <c r="AQ291" s="735"/>
      <c r="AR291" s="487"/>
      <c r="AS291" s="499"/>
      <c r="AT291" s="499"/>
      <c r="AU291" s="499"/>
      <c r="AV291" s="499"/>
      <c r="AW291" s="499"/>
      <c r="AX291" s="499"/>
      <c r="AY291" s="499"/>
      <c r="AZ291" s="499"/>
      <c r="BA291" s="499"/>
      <c r="BB291" s="487"/>
      <c r="BC291" s="499"/>
      <c r="BD291" s="487"/>
      <c r="BE291" s="487"/>
      <c r="BF291" s="754"/>
      <c r="BG291" s="487"/>
      <c r="BH291" s="487"/>
    </row>
    <row r="292" spans="1:61" hidden="1" outlineLevel="1">
      <c r="A292" s="598" t="s">
        <v>527</v>
      </c>
      <c r="B292" s="1157" t="s">
        <v>514</v>
      </c>
      <c r="C292" s="598"/>
      <c r="D292" s="1120">
        <f>(S292/S285-1)*100</f>
        <v>30.867358969280257</v>
      </c>
      <c r="E292" s="1124" t="s">
        <v>190</v>
      </c>
      <c r="F292" s="1179">
        <f>'SegP&amp;L'!Y151</f>
        <v>6</v>
      </c>
      <c r="G292" s="1124" t="s">
        <v>190</v>
      </c>
      <c r="H292" s="1120">
        <f>D292-F292</f>
        <v>24.867358969280257</v>
      </c>
      <c r="I292" s="1124" t="s">
        <v>190</v>
      </c>
      <c r="J292" s="1206">
        <f>Stores!Y173+Stores!BA173</f>
        <v>290</v>
      </c>
      <c r="K292" s="598"/>
      <c r="L292" s="1128">
        <f>AVERAGE(J292,J288)</f>
        <v>290</v>
      </c>
      <c r="M292" s="598"/>
      <c r="N292" s="1120">
        <f>(L292/L285-1)*100</f>
        <v>3.5714285714285809</v>
      </c>
      <c r="O292" s="1124" t="s">
        <v>190</v>
      </c>
      <c r="P292" s="1159">
        <f>H292/N292*100</f>
        <v>696.28605113984531</v>
      </c>
      <c r="Q292" s="1125" t="s">
        <v>190</v>
      </c>
      <c r="R292" s="598"/>
      <c r="S292" s="1160">
        <f>'SegP&amp;L'!W151</f>
        <v>554.99800000000005</v>
      </c>
      <c r="T292" s="598"/>
      <c r="U292" s="1161">
        <f>S292/L292</f>
        <v>1.9137862068965519</v>
      </c>
      <c r="V292" s="598"/>
      <c r="W292" s="1176">
        <f>(U292/U285-1)*100</f>
        <v>26.354691418615417</v>
      </c>
      <c r="X292" s="1124" t="s">
        <v>190</v>
      </c>
      <c r="Y292" s="598"/>
      <c r="Z292" s="1129">
        <f>Stores!AB173+Stores!BD173</f>
        <v>8.1</v>
      </c>
      <c r="AA292" s="598"/>
      <c r="AB292" s="1163">
        <f>AVERAGE(Z292,Z288)</f>
        <v>8.0500000000000007</v>
      </c>
      <c r="AC292" s="598"/>
      <c r="AD292" s="1120">
        <f>(AB292/AB285-1)*100</f>
        <v>3.8709677419354938</v>
      </c>
      <c r="AE292" s="1124" t="s">
        <v>190</v>
      </c>
      <c r="AF292" s="1159">
        <f>+H292/AD292*100</f>
        <v>642.4067733730717</v>
      </c>
      <c r="AG292" s="1125" t="s">
        <v>190</v>
      </c>
      <c r="AH292" s="598"/>
      <c r="AI292" s="1160">
        <f>+S292</f>
        <v>554.99800000000005</v>
      </c>
      <c r="AJ292" s="598"/>
      <c r="AK292" s="1164">
        <f>AI292/AB292</f>
        <v>68.943850931677019</v>
      </c>
      <c r="AL292" s="598"/>
      <c r="AM292" s="1176">
        <f>(AK292/AK285-1)*100</f>
        <v>25.990314535642469</v>
      </c>
      <c r="AN292" s="1124" t="s">
        <v>190</v>
      </c>
      <c r="AP292" s="562">
        <v>0.97265892774990226</v>
      </c>
      <c r="AQ292" s="1198">
        <f>(AP292/AP285-1)*100</f>
        <v>21.195078412048709</v>
      </c>
      <c r="AR292" s="1203" t="s">
        <v>190</v>
      </c>
      <c r="AS292" s="499"/>
      <c r="AT292" s="499"/>
      <c r="AU292" s="499"/>
      <c r="AV292" s="499"/>
      <c r="AW292" s="499"/>
      <c r="AX292" s="499"/>
      <c r="AY292" s="1034">
        <f>AP291*AQ292</f>
        <v>21.195078412048709</v>
      </c>
      <c r="AZ292" s="499"/>
      <c r="BA292" s="499">
        <v>23</v>
      </c>
      <c r="BB292" s="487"/>
      <c r="BC292" s="499">
        <f>BA292</f>
        <v>23</v>
      </c>
      <c r="BD292" s="487"/>
      <c r="BE292" s="487"/>
      <c r="BF292" s="754">
        <f>S292/$S$296</f>
        <v>0.22109703565571046</v>
      </c>
      <c r="BG292" s="487"/>
      <c r="BH292" s="487"/>
    </row>
    <row r="293" spans="1:61" hidden="1" outlineLevel="1">
      <c r="A293" s="598" t="s">
        <v>528</v>
      </c>
      <c r="B293" s="1157" t="s">
        <v>515</v>
      </c>
      <c r="C293" s="598"/>
      <c r="D293" s="1120">
        <f>(S293/S286-1)*100</f>
        <v>17.305026923100208</v>
      </c>
      <c r="E293" s="598"/>
      <c r="F293" s="1179">
        <f>'SegP&amp;L'!Y152</f>
        <v>6</v>
      </c>
      <c r="G293" s="598"/>
      <c r="H293" s="1120">
        <f>D293-F293</f>
        <v>11.305026923100208</v>
      </c>
      <c r="I293" s="598"/>
      <c r="J293" s="1206">
        <f>Stores!Y174+Stores!BA174</f>
        <v>290</v>
      </c>
      <c r="K293" s="1127"/>
      <c r="L293" s="1128">
        <f>AVERAGE(J293,J292)</f>
        <v>290</v>
      </c>
      <c r="M293" s="598"/>
      <c r="N293" s="1120">
        <f>(L293/L286-1)*100</f>
        <v>3.2028469750889688</v>
      </c>
      <c r="O293" s="1124"/>
      <c r="P293" s="1159">
        <f>H293/N293*100</f>
        <v>352.9680628212397</v>
      </c>
      <c r="Q293" s="1125"/>
      <c r="R293" s="598"/>
      <c r="S293" s="1165">
        <f>'SegP&amp;L'!W152</f>
        <v>581.447</v>
      </c>
      <c r="T293" s="598"/>
      <c r="U293" s="1166">
        <f>S293/L293</f>
        <v>2.0049896551724138</v>
      </c>
      <c r="V293" s="598"/>
      <c r="W293" s="1176">
        <f>(U293/U286-1)*100</f>
        <v>13.664526087555728</v>
      </c>
      <c r="X293" s="1124"/>
      <c r="Y293" s="598"/>
      <c r="Z293" s="1129">
        <f>Stores!AB174+Stores!BD174</f>
        <v>8.1</v>
      </c>
      <c r="AA293" s="1127"/>
      <c r="AB293" s="1163">
        <f>AVERAGE(Z293,Z292)</f>
        <v>8.1</v>
      </c>
      <c r="AC293" s="598"/>
      <c r="AD293" s="1120">
        <f>(AB293/AB286-1)*100</f>
        <v>3.8461538461538547</v>
      </c>
      <c r="AE293" s="1124"/>
      <c r="AF293" s="1159">
        <f>+H293/AD293*100</f>
        <v>293.93070000060476</v>
      </c>
      <c r="AG293" s="1125"/>
      <c r="AH293" s="598"/>
      <c r="AI293" s="1165">
        <f>+S293</f>
        <v>581.447</v>
      </c>
      <c r="AJ293" s="598"/>
      <c r="AK293" s="1167">
        <f>AI293/AB293</f>
        <v>71.783580246913587</v>
      </c>
      <c r="AL293" s="598"/>
      <c r="AM293" s="1176">
        <f>(AK293/AK286-1)*100</f>
        <v>12.960396296318732</v>
      </c>
      <c r="AN293" s="1124"/>
      <c r="AP293" s="562">
        <v>0.9604767780719593</v>
      </c>
      <c r="AQ293" s="1198">
        <f>(AP293/AP286-1)*100</f>
        <v>9.0111614271819462</v>
      </c>
      <c r="AR293" s="1198">
        <f>+(AP293/AP286-1)*100</f>
        <v>9.0111614271819462</v>
      </c>
      <c r="AS293" s="499"/>
      <c r="AT293" s="499"/>
      <c r="AU293" s="499"/>
      <c r="AV293" s="499"/>
      <c r="AW293" s="499"/>
      <c r="AX293" s="499"/>
      <c r="AY293" s="1034">
        <f>AP291*AQ293</f>
        <v>9.0111614271819462</v>
      </c>
      <c r="AZ293" s="499"/>
      <c r="BA293" s="499">
        <v>9</v>
      </c>
      <c r="BB293" s="487"/>
      <c r="BC293" s="499">
        <f>BA293</f>
        <v>9</v>
      </c>
      <c r="BD293" s="487"/>
      <c r="BE293" s="487"/>
      <c r="BF293" s="754">
        <f>S293/$S$296</f>
        <v>0.23163364208682891</v>
      </c>
      <c r="BG293" s="487"/>
      <c r="BH293" s="487"/>
    </row>
    <row r="294" spans="1:61" hidden="1" outlineLevel="1">
      <c r="A294" s="598" t="s">
        <v>529</v>
      </c>
      <c r="B294" s="1157" t="s">
        <v>516</v>
      </c>
      <c r="C294" s="598"/>
      <c r="D294" s="1120">
        <f>(S294/S287-1)*100</f>
        <v>9.0458474042699244</v>
      </c>
      <c r="E294" s="598"/>
      <c r="F294" s="1179">
        <f>'SegP&amp;L'!Y153</f>
        <v>3</v>
      </c>
      <c r="G294" s="598"/>
      <c r="H294" s="1120">
        <f>D294-F294</f>
        <v>6.0458474042699244</v>
      </c>
      <c r="I294" s="598"/>
      <c r="J294" s="1206">
        <f>Stores!Y175+Stores!BA175</f>
        <v>297</v>
      </c>
      <c r="K294" s="1127"/>
      <c r="L294" s="1128">
        <f>AVERAGE(J294,J293)</f>
        <v>293.5</v>
      </c>
      <c r="M294" s="598"/>
      <c r="N294" s="1120">
        <f>(L294/L287-1)*100</f>
        <v>2.8021015761821255</v>
      </c>
      <c r="O294" s="1124"/>
      <c r="P294" s="1159">
        <f>H294/N294*100</f>
        <v>215.76117923988377</v>
      </c>
      <c r="Q294" s="1125"/>
      <c r="R294" s="598"/>
      <c r="S294" s="1165">
        <f>'SegP&amp;L'!W153</f>
        <v>666.79899999999998</v>
      </c>
      <c r="T294" s="598"/>
      <c r="U294" s="1166">
        <f>S294/L294</f>
        <v>2.2718875638841567</v>
      </c>
      <c r="V294" s="598"/>
      <c r="W294" s="1176">
        <f>(U294/U287-1)*100</f>
        <v>6.0735585482762033</v>
      </c>
      <c r="X294" s="1124"/>
      <c r="Y294" s="598"/>
      <c r="Z294" s="1129">
        <f>Stores!AB175+Stores!BD175</f>
        <v>8.3000000000000007</v>
      </c>
      <c r="AA294" s="1127"/>
      <c r="AB294" s="1163">
        <f>AVERAGE(Z294,Z293)</f>
        <v>8.1999999999999993</v>
      </c>
      <c r="AC294" s="598"/>
      <c r="AD294" s="1120">
        <f>(AB294/AB287-1)*100</f>
        <v>-1.2048192771084487</v>
      </c>
      <c r="AE294" s="1124"/>
      <c r="AF294" s="1159">
        <f>+H294/AD294*100</f>
        <v>-501.80533455439746</v>
      </c>
      <c r="AG294" s="1125"/>
      <c r="AH294" s="598"/>
      <c r="AI294" s="1165">
        <f>+S294</f>
        <v>666.79899999999998</v>
      </c>
      <c r="AJ294" s="598"/>
      <c r="AK294" s="1167">
        <f>AI294/AB294</f>
        <v>81.316951219512205</v>
      </c>
      <c r="AL294" s="598"/>
      <c r="AM294" s="1176">
        <f>(AK294/AK287-1)*100</f>
        <v>10.375674811639101</v>
      </c>
      <c r="AN294" s="1124"/>
      <c r="AP294" s="562">
        <v>0.9697791237781539</v>
      </c>
      <c r="AQ294" s="1198">
        <f>(AP294/AP287-1)*100</f>
        <v>4.1846006490224186</v>
      </c>
      <c r="AR294" s="1198">
        <f>+(AP294/AP287-1)*100</f>
        <v>4.1846006490224186</v>
      </c>
      <c r="AS294" s="499"/>
      <c r="AT294" s="499"/>
      <c r="AU294" s="499"/>
      <c r="AV294" s="499"/>
      <c r="AW294" s="499"/>
      <c r="AX294" s="499"/>
      <c r="AY294" s="1034">
        <f>AP291*AQ294</f>
        <v>4.1846006490224186</v>
      </c>
      <c r="AZ294" s="499"/>
      <c r="BA294" s="499">
        <v>4</v>
      </c>
      <c r="BB294" s="487"/>
      <c r="BC294" s="499">
        <f>BA294</f>
        <v>4</v>
      </c>
      <c r="BD294" s="487"/>
      <c r="BE294" s="487"/>
      <c r="BF294" s="754">
        <f>S294/$S$296</f>
        <v>0.26563570008935539</v>
      </c>
      <c r="BG294" s="487"/>
      <c r="BH294" s="487"/>
    </row>
    <row r="295" spans="1:61" hidden="1" outlineLevel="1">
      <c r="A295" s="598" t="s">
        <v>530</v>
      </c>
      <c r="B295" s="1157" t="s">
        <v>517</v>
      </c>
      <c r="C295" s="598"/>
      <c r="D295" s="1168">
        <f>(S295/S288-1)*100</f>
        <v>11.040831584634914</v>
      </c>
      <c r="E295" s="598"/>
      <c r="F295" s="1178">
        <f>'SegP&amp;L'!Y154</f>
        <v>4</v>
      </c>
      <c r="G295" s="598"/>
      <c r="H295" s="1168">
        <f>D295-F295</f>
        <v>7.0408315846349137</v>
      </c>
      <c r="I295" s="598"/>
      <c r="J295" s="1206">
        <f>Stores!Y176+Stores!BA176</f>
        <v>297</v>
      </c>
      <c r="K295" s="1127"/>
      <c r="L295" s="1171">
        <f>AVERAGE(J295,J294)</f>
        <v>297</v>
      </c>
      <c r="M295" s="598"/>
      <c r="N295" s="1168">
        <f>(L295/L288-1)*100</f>
        <v>2.4137931034482696</v>
      </c>
      <c r="O295" s="1124"/>
      <c r="P295" s="1171">
        <f>H295/N295*100</f>
        <v>291.69159422059005</v>
      </c>
      <c r="Q295" s="1125"/>
      <c r="R295" s="598"/>
      <c r="S295" s="1172">
        <f>'SegP&amp;L'!W154</f>
        <v>706.95699999999999</v>
      </c>
      <c r="T295" s="598"/>
      <c r="U295" s="1173">
        <f>S295/L295</f>
        <v>2.3803265993265992</v>
      </c>
      <c r="V295" s="598"/>
      <c r="W295" s="1169">
        <f>(U295/U288-1)*100</f>
        <v>8.4237076078926609</v>
      </c>
      <c r="X295" s="1124"/>
      <c r="Y295" s="598"/>
      <c r="Z295" s="1129">
        <f>Stores!AB176+Stores!BD176</f>
        <v>8.3000000000000007</v>
      </c>
      <c r="AA295" s="1127"/>
      <c r="AB295" s="1174">
        <f>AVERAGE(Z295,Z294)</f>
        <v>8.3000000000000007</v>
      </c>
      <c r="AC295" s="598"/>
      <c r="AD295" s="1168">
        <f>(AB295/AB288-1)*100</f>
        <v>-1.1904761904761862</v>
      </c>
      <c r="AE295" s="1124"/>
      <c r="AF295" s="1171">
        <f>+H295/AD295*100</f>
        <v>-591.42985310933489</v>
      </c>
      <c r="AG295" s="1125"/>
      <c r="AH295" s="598"/>
      <c r="AI295" s="1172">
        <f>+S295</f>
        <v>706.95699999999999</v>
      </c>
      <c r="AJ295" s="598"/>
      <c r="AK295" s="1175">
        <f>AI295/AB295</f>
        <v>85.175542168674696</v>
      </c>
      <c r="AL295" s="598"/>
      <c r="AM295" s="1169">
        <f>(AK295/AK288-1)*100</f>
        <v>12.378672929028124</v>
      </c>
      <c r="AN295" s="1124"/>
      <c r="AP295" s="1201">
        <v>0.99488265539891985</v>
      </c>
      <c r="AQ295" s="1202">
        <f>(AP295/AP288-1)*100</f>
        <v>4.6445107217063519</v>
      </c>
      <c r="AR295" s="487"/>
      <c r="AS295" s="499"/>
      <c r="AT295" s="499"/>
      <c r="AU295" s="499"/>
      <c r="AV295" s="499"/>
      <c r="AW295" s="499"/>
      <c r="AX295" s="499"/>
      <c r="AY295" s="1034">
        <f>AP291*AQ295</f>
        <v>4.6445107217063519</v>
      </c>
      <c r="AZ295" s="499"/>
      <c r="BA295" s="1208">
        <f>(BA296-SUMPRODUCT(BA292:BA294,BF292:BF294))/BF295</f>
        <v>2.7252520308873076</v>
      </c>
      <c r="BB295" s="487"/>
      <c r="BC295" s="1209">
        <f>BA295</f>
        <v>2.7252520308873076</v>
      </c>
      <c r="BD295" s="487"/>
      <c r="BE295" s="487"/>
      <c r="BF295" s="754">
        <f>S295/$S$296</f>
        <v>0.28163362216810528</v>
      </c>
      <c r="BG295" s="487"/>
      <c r="BH295" s="487"/>
    </row>
    <row r="296" spans="1:61" hidden="1" outlineLevel="1">
      <c r="A296" s="598"/>
      <c r="B296" s="1157" t="s">
        <v>531</v>
      </c>
      <c r="C296" s="598"/>
      <c r="D296" s="1120">
        <f>(S296/S289-1)*100</f>
        <v>15.78887888438274</v>
      </c>
      <c r="E296" s="598"/>
      <c r="F296" s="1179">
        <f>F292*S292/$S296+F293*S293/$S296+F294*S294/$S296+F295*S295/$S296</f>
        <v>4.6398256553957227</v>
      </c>
      <c r="G296" s="598"/>
      <c r="H296" s="1120">
        <f>D296-F296</f>
        <v>11.149053228987018</v>
      </c>
      <c r="I296" s="598"/>
      <c r="J296" s="598"/>
      <c r="K296" s="598"/>
      <c r="L296" s="1128">
        <f>AVERAGE(L292:L295)</f>
        <v>292.625</v>
      </c>
      <c r="M296" s="598"/>
      <c r="N296" s="1120">
        <f>(L296/L289-1)*100</f>
        <v>2.9916410030796259</v>
      </c>
      <c r="O296" s="1124"/>
      <c r="P296" s="1159">
        <f>H296/N296*100</f>
        <v>372.67349984540488</v>
      </c>
      <c r="Q296" s="1125"/>
      <c r="R296" s="598"/>
      <c r="S296" s="1160">
        <f>SUM(S292:S295)</f>
        <v>2510.201</v>
      </c>
      <c r="T296" s="598"/>
      <c r="U296" s="1161">
        <f>SUM(U292:U295)</f>
        <v>8.5709900252797215</v>
      </c>
      <c r="V296" s="598"/>
      <c r="W296" s="1176">
        <f>(U296/U289-1)*100</f>
        <v>12.54273272932409</v>
      </c>
      <c r="X296" s="1124"/>
      <c r="Y296" s="598"/>
      <c r="Z296" s="598"/>
      <c r="AA296" s="598"/>
      <c r="AB296" s="1163">
        <f>AVERAGE(AB292:AB295)</f>
        <v>8.1624999999999996</v>
      </c>
      <c r="AC296" s="598"/>
      <c r="AD296" s="1120">
        <f>(AB296/AB289-1)*100</f>
        <v>1.2403100775193687</v>
      </c>
      <c r="AE296" s="1124"/>
      <c r="AF296" s="1159">
        <f>+H296/AD296*100</f>
        <v>898.89241658708647</v>
      </c>
      <c r="AG296" s="1125"/>
      <c r="AH296" s="598"/>
      <c r="AI296" s="1160">
        <f>SUM(AI292:AI295)</f>
        <v>2510.201</v>
      </c>
      <c r="AJ296" s="598"/>
      <c r="AK296" s="1164">
        <f>SUM(AK292:AK295)</f>
        <v>307.21992456677754</v>
      </c>
      <c r="AL296" s="598"/>
      <c r="AM296" s="1176">
        <f>(AK296/AK289-1)*100</f>
        <v>14.747618884582202</v>
      </c>
      <c r="AN296" s="1124"/>
      <c r="AP296" s="562">
        <v>0.97436450041952061</v>
      </c>
      <c r="AQ296" s="1198">
        <f>(AP296/AP289-1)*100</f>
        <v>9.7760558238577655</v>
      </c>
      <c r="AR296" s="1198"/>
      <c r="AS296" s="499"/>
      <c r="AT296" s="499"/>
      <c r="AU296" s="499"/>
      <c r="AV296" s="499"/>
      <c r="AW296" s="499"/>
      <c r="AX296" s="499"/>
      <c r="AY296" s="1034">
        <f>AP291*AQ296</f>
        <v>9.7760558238577655</v>
      </c>
      <c r="AZ296" s="499"/>
      <c r="BA296" s="499">
        <v>9</v>
      </c>
      <c r="BB296" s="487"/>
      <c r="BC296" s="499">
        <f>BA296</f>
        <v>9</v>
      </c>
      <c r="BD296" s="487"/>
      <c r="BE296" s="487"/>
      <c r="BF296" s="754"/>
      <c r="BG296" s="487"/>
      <c r="BH296" s="487"/>
    </row>
    <row r="297" spans="1:61" ht="13.5" hidden="1" outlineLevel="1" thickBot="1">
      <c r="A297" s="1125"/>
      <c r="B297" s="1210"/>
      <c r="C297" s="1125"/>
      <c r="D297" s="1125"/>
      <c r="E297" s="1125"/>
      <c r="F297" s="1125"/>
      <c r="G297" s="1125"/>
      <c r="H297" s="1125"/>
      <c r="I297" s="1125"/>
      <c r="J297" s="1125"/>
      <c r="K297" s="1125"/>
      <c r="L297" s="1125"/>
      <c r="M297" s="1125"/>
      <c r="N297" s="1125"/>
      <c r="O297" s="1125"/>
      <c r="P297" s="1125"/>
      <c r="Q297" s="1125"/>
      <c r="R297" s="1125"/>
      <c r="S297" s="1211"/>
      <c r="T297" s="1125"/>
      <c r="U297" s="1125"/>
      <c r="V297" s="1125"/>
      <c r="W297" s="1125"/>
      <c r="X297" s="1125"/>
      <c r="Y297" s="1125"/>
      <c r="Z297" s="1125"/>
      <c r="AA297" s="1125"/>
      <c r="AB297" s="1125"/>
      <c r="AC297" s="1125"/>
      <c r="AD297" s="1125"/>
      <c r="AE297" s="1125"/>
      <c r="AF297" s="1125"/>
      <c r="AG297" s="1125"/>
      <c r="AH297" s="1125"/>
      <c r="AI297" s="1125"/>
      <c r="AJ297" s="1125"/>
      <c r="AK297" s="1125"/>
      <c r="AL297" s="1125"/>
      <c r="AM297" s="1125"/>
      <c r="AN297" s="1125"/>
      <c r="AP297" s="487"/>
      <c r="AQ297" s="487"/>
      <c r="AR297" s="487"/>
      <c r="AS297" s="499"/>
      <c r="AT297" s="499"/>
      <c r="AU297" s="499"/>
      <c r="AV297" s="499"/>
      <c r="AW297" s="499"/>
      <c r="AX297" s="499"/>
      <c r="AY297" s="499"/>
      <c r="AZ297" s="499"/>
      <c r="BA297" s="499"/>
      <c r="BB297" s="487"/>
      <c r="BC297" s="499"/>
      <c r="BD297" s="487"/>
      <c r="BE297" s="487"/>
      <c r="BF297" s="754"/>
      <c r="BG297" s="487"/>
      <c r="BH297" s="487"/>
    </row>
    <row r="298" spans="1:61" ht="13.5" hidden="1" outlineLevel="1" thickBot="1">
      <c r="A298" s="1154"/>
      <c r="B298" s="1118">
        <f>+B291+1</f>
        <v>2011</v>
      </c>
      <c r="C298" s="598" t="s">
        <v>164</v>
      </c>
      <c r="D298" s="1120"/>
      <c r="E298" s="1124"/>
      <c r="F298" s="598"/>
      <c r="G298" s="1124"/>
      <c r="H298" s="598"/>
      <c r="I298" s="1124"/>
      <c r="J298" s="598"/>
      <c r="K298" s="598"/>
      <c r="L298" s="598"/>
      <c r="M298" s="598"/>
      <c r="N298" s="598"/>
      <c r="O298" s="1124"/>
      <c r="P298" s="1125"/>
      <c r="Q298" s="1125"/>
      <c r="R298" s="598"/>
      <c r="S298" s="1126"/>
      <c r="T298" s="1127"/>
      <c r="U298" s="1128"/>
      <c r="V298" s="598"/>
      <c r="W298" s="598"/>
      <c r="X298" s="1124"/>
      <c r="Y298" s="598"/>
      <c r="Z298" s="598"/>
      <c r="AA298" s="1127"/>
      <c r="AB298" s="598"/>
      <c r="AC298" s="598"/>
      <c r="AD298" s="598"/>
      <c r="AE298" s="1124"/>
      <c r="AF298" s="1125"/>
      <c r="AG298" s="1125"/>
      <c r="AH298" s="598"/>
      <c r="AI298" s="598"/>
      <c r="AJ298" s="598"/>
      <c r="AK298" s="598"/>
      <c r="AL298" s="598"/>
      <c r="AM298" s="598"/>
      <c r="AN298" s="1124"/>
      <c r="AP298" s="1196">
        <v>1</v>
      </c>
      <c r="AQ298" s="735"/>
      <c r="AR298" s="487"/>
      <c r="AS298" s="499"/>
      <c r="AT298" s="499"/>
      <c r="AU298" s="499"/>
      <c r="AV298" s="499"/>
      <c r="AW298" s="499"/>
      <c r="AX298" s="499"/>
      <c r="AY298" s="499"/>
      <c r="AZ298" s="499"/>
      <c r="BA298" s="499"/>
      <c r="BB298" s="487"/>
      <c r="BC298" s="499"/>
      <c r="BD298" s="487"/>
      <c r="BE298" s="487"/>
      <c r="BF298" s="754"/>
      <c r="BG298" s="487"/>
      <c r="BH298" s="487"/>
    </row>
    <row r="299" spans="1:61" hidden="1" outlineLevel="1">
      <c r="A299" s="598" t="s">
        <v>527</v>
      </c>
      <c r="B299" s="1157" t="s">
        <v>514</v>
      </c>
      <c r="C299" s="598"/>
      <c r="D299" s="1120">
        <f>(S299/S292-1)*100</f>
        <v>6.6794835296703603</v>
      </c>
      <c r="E299" s="1124" t="s">
        <v>190</v>
      </c>
      <c r="F299" s="1179">
        <f>'SegP&amp;L'!Y158</f>
        <v>-3</v>
      </c>
      <c r="G299" s="1124" t="s">
        <v>190</v>
      </c>
      <c r="H299" s="1120">
        <f>D299-F299</f>
        <v>9.6794835296703603</v>
      </c>
      <c r="I299" s="1124" t="s">
        <v>190</v>
      </c>
      <c r="J299" s="1206">
        <f>Stores!Y180+Stores!BA180+Stores!BO180</f>
        <v>303</v>
      </c>
      <c r="K299" s="598"/>
      <c r="L299" s="1128">
        <f>AVERAGE(J299,J295)</f>
        <v>300</v>
      </c>
      <c r="M299" s="598"/>
      <c r="N299" s="1120">
        <f>(L299/L292-1)*100</f>
        <v>3.4482758620689724</v>
      </c>
      <c r="O299" s="1124" t="s">
        <v>190</v>
      </c>
      <c r="P299" s="1159">
        <f>H299/N299*100</f>
        <v>280.7050223604399</v>
      </c>
      <c r="Q299" s="1125" t="s">
        <v>190</v>
      </c>
      <c r="R299" s="598"/>
      <c r="S299" s="1160">
        <f>'SegP&amp;L'!W158</f>
        <v>592.06899999999996</v>
      </c>
      <c r="T299" s="598"/>
      <c r="U299" s="1161">
        <f>S299/L299</f>
        <v>1.9735633333333331</v>
      </c>
      <c r="V299" s="598"/>
      <c r="W299" s="1176">
        <f>(U299/U292-1)*100</f>
        <v>3.1235007453480179</v>
      </c>
      <c r="X299" s="1124" t="s">
        <v>190</v>
      </c>
      <c r="Y299" s="598"/>
      <c r="Z299" s="1129">
        <f>Stores!AB180+Stores!BD180+Stores!BR180</f>
        <v>8.5</v>
      </c>
      <c r="AA299" s="598"/>
      <c r="AB299" s="1163">
        <f>AVERAGE(Z299,Z295)</f>
        <v>8.4</v>
      </c>
      <c r="AC299" s="598"/>
      <c r="AD299" s="1120">
        <f>(AB299/AB292-1)*100</f>
        <v>4.3478260869565188</v>
      </c>
      <c r="AE299" s="1124" t="s">
        <v>190</v>
      </c>
      <c r="AF299" s="1159">
        <f>+H299/AD299*100</f>
        <v>222.62812118241843</v>
      </c>
      <c r="AG299" s="1125" t="s">
        <v>190</v>
      </c>
      <c r="AH299" s="598"/>
      <c r="AI299" s="1160">
        <f>+S299</f>
        <v>592.06899999999996</v>
      </c>
      <c r="AJ299" s="598"/>
      <c r="AK299" s="1164">
        <f>AI299/AB299</f>
        <v>70.484404761904756</v>
      </c>
      <c r="AL299" s="598"/>
      <c r="AM299" s="1176">
        <f>(AK299/AK292-1)*100</f>
        <v>2.2345050492674323</v>
      </c>
      <c r="AN299" s="1124" t="s">
        <v>190</v>
      </c>
      <c r="AP299" s="562">
        <v>1.0259287718624319</v>
      </c>
      <c r="AQ299" s="1198">
        <f>(AP299/AP292-1)*100</f>
        <v>5.4767239155210756</v>
      </c>
      <c r="AR299" s="1203" t="s">
        <v>190</v>
      </c>
      <c r="AS299" s="499"/>
      <c r="AT299" s="499"/>
      <c r="AU299" s="499"/>
      <c r="AV299" s="499"/>
      <c r="AW299" s="499"/>
      <c r="AX299" s="499"/>
      <c r="AY299" s="1034">
        <f>AP298*AQ299</f>
        <v>5.4767239155210756</v>
      </c>
      <c r="AZ299" s="499"/>
      <c r="BA299" s="499">
        <v>6</v>
      </c>
      <c r="BB299" s="487"/>
      <c r="BC299" s="499">
        <f>BA299</f>
        <v>6</v>
      </c>
      <c r="BD299" s="487"/>
      <c r="BE299" s="487"/>
      <c r="BF299" s="754">
        <f>S299/$S$303</f>
        <v>0.22091541604681367</v>
      </c>
      <c r="BG299" s="487"/>
      <c r="BH299" s="487"/>
    </row>
    <row r="300" spans="1:61" hidden="1" outlineLevel="1">
      <c r="A300" s="598" t="s">
        <v>528</v>
      </c>
      <c r="B300" s="1157" t="s">
        <v>515</v>
      </c>
      <c r="C300" s="598"/>
      <c r="D300" s="1120">
        <f>(S300/S293-1)*100</f>
        <v>9.6731086410283282</v>
      </c>
      <c r="E300" s="598"/>
      <c r="F300" s="1179">
        <f>'SegP&amp;L'!Y159</f>
        <v>-3</v>
      </c>
      <c r="G300" s="598"/>
      <c r="H300" s="1120">
        <f>D300-F300</f>
        <v>12.673108641028328</v>
      </c>
      <c r="I300" s="598"/>
      <c r="J300" s="1206">
        <f>Stores!Y181+Stores!BA181+Stores!BO181</f>
        <v>303</v>
      </c>
      <c r="K300" s="1127"/>
      <c r="L300" s="1128">
        <f>AVERAGE(J300,J299)</f>
        <v>303</v>
      </c>
      <c r="M300" s="598"/>
      <c r="N300" s="1120">
        <f>(L300/L293-1)*100</f>
        <v>4.482758620689653</v>
      </c>
      <c r="O300" s="1124"/>
      <c r="P300" s="1159">
        <f>H300/N300*100</f>
        <v>282.7078081460167</v>
      </c>
      <c r="Q300" s="1125"/>
      <c r="R300" s="598"/>
      <c r="S300" s="1165">
        <f>'SegP&amp;L'!W159</f>
        <v>637.69100000000003</v>
      </c>
      <c r="T300" s="598"/>
      <c r="U300" s="1166">
        <f>S300/L300</f>
        <v>2.1045907590759079</v>
      </c>
      <c r="V300" s="598"/>
      <c r="W300" s="1176">
        <f>(U300/U293-1)*100</f>
        <v>4.9676617356376962</v>
      </c>
      <c r="X300" s="1124"/>
      <c r="Y300" s="598"/>
      <c r="Z300" s="1129">
        <f>Stores!AB181+Stores!BD181+Stores!BR181</f>
        <v>8.5</v>
      </c>
      <c r="AA300" s="1127"/>
      <c r="AB300" s="1163">
        <f>AVERAGE(Z300,Z299)</f>
        <v>8.5</v>
      </c>
      <c r="AC300" s="598"/>
      <c r="AD300" s="1120">
        <f>(AB300/AB293-1)*100</f>
        <v>4.9382716049382713</v>
      </c>
      <c r="AE300" s="1124"/>
      <c r="AF300" s="1159">
        <f>+H300/AD300*100</f>
        <v>256.6304499808237</v>
      </c>
      <c r="AG300" s="1125"/>
      <c r="AH300" s="598"/>
      <c r="AI300" s="1165">
        <f>+S300</f>
        <v>637.69100000000003</v>
      </c>
      <c r="AJ300" s="598"/>
      <c r="AK300" s="1167">
        <f>AI300/AB300</f>
        <v>75.022470588235294</v>
      </c>
      <c r="AL300" s="598"/>
      <c r="AM300" s="1176">
        <f>(AK300/AK293-1)*100</f>
        <v>4.5120211755681705</v>
      </c>
      <c r="AN300" s="1124"/>
      <c r="AP300" s="562">
        <v>1.0337692931730997</v>
      </c>
      <c r="AQ300" s="1198">
        <f>(AP300/AP293-1)*100</f>
        <v>7.6308471765726971</v>
      </c>
      <c r="AR300" s="1198">
        <f>+(AP300/AP293-1)*100</f>
        <v>7.6308471765726971</v>
      </c>
      <c r="AS300" s="499"/>
      <c r="AT300" s="499"/>
      <c r="AU300" s="499"/>
      <c r="AV300" s="499"/>
      <c r="AW300" s="499"/>
      <c r="AX300" s="499"/>
      <c r="AY300" s="1034">
        <f>AP298*AQ300</f>
        <v>7.6308471765726971</v>
      </c>
      <c r="AZ300" s="499"/>
      <c r="BA300" s="499">
        <v>8</v>
      </c>
      <c r="BB300" s="487"/>
      <c r="BC300" s="499">
        <f>BA300</f>
        <v>8</v>
      </c>
      <c r="BD300" s="487"/>
      <c r="BE300" s="487"/>
      <c r="BF300" s="754">
        <f>S300/$S$303</f>
        <v>0.23793809940109797</v>
      </c>
      <c r="BG300" s="487"/>
      <c r="BH300" s="487"/>
    </row>
    <row r="301" spans="1:61" hidden="1" outlineLevel="1">
      <c r="A301" s="598" t="s">
        <v>529</v>
      </c>
      <c r="B301" s="1157" t="s">
        <v>516</v>
      </c>
      <c r="C301" s="598"/>
      <c r="D301" s="1120">
        <f>(S301/S294-1)*100</f>
        <v>5.738160975046469</v>
      </c>
      <c r="E301" s="598"/>
      <c r="F301" s="1179">
        <f>'SegP&amp;L'!Y160</f>
        <v>-2</v>
      </c>
      <c r="G301" s="598"/>
      <c r="H301" s="1120">
        <f>D301-F301</f>
        <v>7.738160975046469</v>
      </c>
      <c r="I301" s="598"/>
      <c r="J301" s="1206">
        <f>Stores!Y182+Stores!BA182+Stores!BO182</f>
        <v>309</v>
      </c>
      <c r="K301" s="1127"/>
      <c r="L301" s="1128">
        <f>AVERAGE(J301,J300)</f>
        <v>306</v>
      </c>
      <c r="M301" s="598"/>
      <c r="N301" s="1120">
        <f>(L301/L294-1)*100</f>
        <v>4.2589437819420706</v>
      </c>
      <c r="O301" s="1124"/>
      <c r="P301" s="1159">
        <f>H301/N301*100</f>
        <v>181.69201969409144</v>
      </c>
      <c r="Q301" s="1125"/>
      <c r="R301" s="598"/>
      <c r="S301" s="1165">
        <f>'SegP&amp;L'!W160</f>
        <v>705.06100000000004</v>
      </c>
      <c r="T301" s="598"/>
      <c r="U301" s="1166">
        <f>S301/L301</f>
        <v>2.30412091503268</v>
      </c>
      <c r="V301" s="598"/>
      <c r="W301" s="1176">
        <f>(U301/U294-1)*100</f>
        <v>1.4187916541703816</v>
      </c>
      <c r="X301" s="1124"/>
      <c r="Y301" s="598"/>
      <c r="Z301" s="1129">
        <f>Stores!AB182+Stores!BD182+Stores!BR182</f>
        <v>8.6</v>
      </c>
      <c r="AA301" s="1127"/>
      <c r="AB301" s="1163">
        <f>AVERAGE(Z301,Z300)</f>
        <v>8.5500000000000007</v>
      </c>
      <c r="AC301" s="598"/>
      <c r="AD301" s="1120">
        <f>(AB301/AB294-1)*100</f>
        <v>4.2682926829268553</v>
      </c>
      <c r="AE301" s="1124"/>
      <c r="AF301" s="1159">
        <f>+H301/AD301*100</f>
        <v>181.29405712965902</v>
      </c>
      <c r="AG301" s="1125"/>
      <c r="AH301" s="598"/>
      <c r="AI301" s="1165">
        <f>+S301</f>
        <v>705.06100000000004</v>
      </c>
      <c r="AJ301" s="598"/>
      <c r="AK301" s="1167">
        <f>AI301/AB301</f>
        <v>82.463274853801167</v>
      </c>
      <c r="AL301" s="598"/>
      <c r="AM301" s="1176">
        <f>(AK301/AK294-1)*100</f>
        <v>1.4096982450737761</v>
      </c>
      <c r="AN301" s="1124"/>
      <c r="AP301" s="562">
        <v>0.99937405780660526</v>
      </c>
      <c r="AQ301" s="1198">
        <f>(AP301/AP294-1)*100</f>
        <v>3.0517190257873139</v>
      </c>
      <c r="AR301" s="1198">
        <f>+(AP301/AP294-1)*100</f>
        <v>3.0517190257873139</v>
      </c>
      <c r="AS301" s="499"/>
      <c r="AT301" s="499"/>
      <c r="AU301" s="499"/>
      <c r="AV301" s="499"/>
      <c r="AW301" s="499"/>
      <c r="AX301" s="499"/>
      <c r="AY301" s="1034">
        <f>AP298*AQ301</f>
        <v>3.0517190257873139</v>
      </c>
      <c r="AZ301" s="499"/>
      <c r="BA301" s="499"/>
      <c r="BB301" s="487"/>
      <c r="BC301" s="1034">
        <f>AY301</f>
        <v>3.0517190257873139</v>
      </c>
      <c r="BD301" s="487"/>
      <c r="BE301" s="487"/>
      <c r="BF301" s="754">
        <f>S301/$S$303</f>
        <v>0.26307549314924866</v>
      </c>
      <c r="BG301" s="487"/>
      <c r="BH301" s="487"/>
    </row>
    <row r="302" spans="1:61" hidden="1" outlineLevel="1">
      <c r="A302" s="598" t="s">
        <v>530</v>
      </c>
      <c r="B302" s="1157" t="s">
        <v>517</v>
      </c>
      <c r="C302" s="598"/>
      <c r="D302" s="1168">
        <f>(S302/S295-1)*100</f>
        <v>5.4165953516267518</v>
      </c>
      <c r="E302" s="598"/>
      <c r="F302" s="1178">
        <f>'SegP&amp;L'!Y161</f>
        <v>3</v>
      </c>
      <c r="G302" s="598"/>
      <c r="H302" s="1168">
        <f>D302-F302</f>
        <v>2.4165953516267518</v>
      </c>
      <c r="I302" s="598"/>
      <c r="J302" s="1206">
        <f>Stores!Y183+Stores!BA183+Stores!BO183</f>
        <v>308</v>
      </c>
      <c r="K302" s="1127"/>
      <c r="L302" s="1171">
        <f>AVERAGE(J302,J301)</f>
        <v>308.5</v>
      </c>
      <c r="M302" s="598"/>
      <c r="N302" s="1168">
        <f>(L302/L295-1)*100</f>
        <v>3.8720538720538711</v>
      </c>
      <c r="O302" s="1124"/>
      <c r="P302" s="1171">
        <f>H302/N302*100</f>
        <v>62.411201689838734</v>
      </c>
      <c r="Q302" s="1125"/>
      <c r="R302" s="598"/>
      <c r="S302" s="1172">
        <f>'SegP&amp;L'!W161</f>
        <v>745.25</v>
      </c>
      <c r="T302" s="598"/>
      <c r="U302" s="1173">
        <f>S302/L302</f>
        <v>2.4157212317666126</v>
      </c>
      <c r="V302" s="598"/>
      <c r="W302" s="1169">
        <f>(U302/U295-1)*100</f>
        <v>1.4869653790377635</v>
      </c>
      <c r="X302" s="1124"/>
      <c r="Y302" s="598"/>
      <c r="Z302" s="1129">
        <f>Stores!AB183+Stores!BD183+Stores!BR183</f>
        <v>8.6</v>
      </c>
      <c r="AA302" s="1127"/>
      <c r="AB302" s="1174">
        <f>AVERAGE(Z302,Z301)</f>
        <v>8.6</v>
      </c>
      <c r="AC302" s="598"/>
      <c r="AD302" s="1168">
        <f>(AB302/AB295-1)*100</f>
        <v>3.6144578313252795</v>
      </c>
      <c r="AE302" s="1124"/>
      <c r="AF302" s="1171">
        <f>+H302/AD302*100</f>
        <v>66.85913806167386</v>
      </c>
      <c r="AG302" s="1125"/>
      <c r="AH302" s="598"/>
      <c r="AI302" s="1172">
        <f>+S302</f>
        <v>745.25</v>
      </c>
      <c r="AJ302" s="598"/>
      <c r="AK302" s="1175">
        <f>AI302/AB302</f>
        <v>86.656976744186053</v>
      </c>
      <c r="AL302" s="598"/>
      <c r="AM302" s="1169">
        <f>(AK302/AK295-1)*100</f>
        <v>1.7392722579653741</v>
      </c>
      <c r="AN302" s="1124"/>
      <c r="AP302" s="1201">
        <v>0.97974570283445672</v>
      </c>
      <c r="AQ302" s="1202">
        <f>(AP302/AP295-1)*100</f>
        <v>-1.5214812000510336</v>
      </c>
      <c r="AR302" s="487"/>
      <c r="AS302" s="499"/>
      <c r="AT302" s="499"/>
      <c r="AU302" s="499"/>
      <c r="AV302" s="499"/>
      <c r="AW302" s="499"/>
      <c r="AX302" s="499"/>
      <c r="AY302" s="1034">
        <f>AP298*AQ302</f>
        <v>-1.5214812000510336</v>
      </c>
      <c r="AZ302" s="499"/>
      <c r="BA302" s="1208"/>
      <c r="BB302" s="487"/>
      <c r="BC302" s="1034">
        <f>AY302</f>
        <v>-1.5214812000510336</v>
      </c>
      <c r="BD302" s="487"/>
      <c r="BE302" s="487"/>
      <c r="BF302" s="754">
        <f>S302/$S$303</f>
        <v>0.2780709914028397</v>
      </c>
      <c r="BG302" s="487"/>
      <c r="BH302" s="487"/>
    </row>
    <row r="303" spans="1:61" hidden="1" outlineLevel="1">
      <c r="A303" s="598"/>
      <c r="B303" s="1157" t="s">
        <v>531</v>
      </c>
      <c r="C303" s="598"/>
      <c r="D303" s="1120">
        <f>(S303/S296-1)*100</f>
        <v>6.7671871694736652</v>
      </c>
      <c r="E303" s="598"/>
      <c r="F303" s="1179">
        <f>'SegP&amp;L'!Y162</f>
        <v>-1</v>
      </c>
      <c r="G303" s="598"/>
      <c r="H303" s="1120">
        <f>D303-F303</f>
        <v>7.7671871694736652</v>
      </c>
      <c r="I303" s="598"/>
      <c r="J303" s="598"/>
      <c r="K303" s="598"/>
      <c r="L303" s="1128">
        <f>AVERAGE(L299:L302)</f>
        <v>304.375</v>
      </c>
      <c r="M303" s="598"/>
      <c r="N303" s="1120">
        <f>(L303/L296-1)*100</f>
        <v>4.0153780435711273</v>
      </c>
      <c r="O303" s="1124"/>
      <c r="P303" s="1159">
        <f>H303/N303*100</f>
        <v>193.43601238018971</v>
      </c>
      <c r="Q303" s="1125"/>
      <c r="R303" s="598"/>
      <c r="S303" s="1160">
        <f>SUM(S299:S302)</f>
        <v>2680.0709999999999</v>
      </c>
      <c r="T303" s="598"/>
      <c r="U303" s="1161">
        <f>SUM(U299:U302)</f>
        <v>8.7979962392085334</v>
      </c>
      <c r="V303" s="598"/>
      <c r="W303" s="1176">
        <f>(U303/U296-1)*100</f>
        <v>2.6485413383899425</v>
      </c>
      <c r="X303" s="1124"/>
      <c r="Y303" s="598"/>
      <c r="Z303" s="598"/>
      <c r="AA303" s="598"/>
      <c r="AB303" s="1163">
        <f>AVERAGE(AB299:AB302)</f>
        <v>8.5124999999999993</v>
      </c>
      <c r="AC303" s="598"/>
      <c r="AD303" s="1120">
        <f>(AB303/AB296-1)*100</f>
        <v>4.2879019908116378</v>
      </c>
      <c r="AE303" s="1124"/>
      <c r="AF303" s="1159">
        <f>+H303/AD303*100</f>
        <v>181.14190077379658</v>
      </c>
      <c r="AG303" s="1125"/>
      <c r="AH303" s="598"/>
      <c r="AI303" s="1160">
        <f>SUM(AI299:AI302)</f>
        <v>2680.0709999999999</v>
      </c>
      <c r="AJ303" s="598"/>
      <c r="AK303" s="1164">
        <f>SUM(AK299:AK302)</f>
        <v>314.62712694812728</v>
      </c>
      <c r="AL303" s="598"/>
      <c r="AM303" s="1176">
        <f>(AK303/AK296-1)*100</f>
        <v>2.4110423149784177</v>
      </c>
      <c r="AN303" s="1124"/>
      <c r="AP303" s="562">
        <v>1.009027300280871</v>
      </c>
      <c r="AQ303" s="1198">
        <f>(AP303/AP296-1)*100</f>
        <v>3.5574777043320127</v>
      </c>
      <c r="AR303" s="1198"/>
      <c r="AS303" s="499"/>
      <c r="AT303" s="499"/>
      <c r="AU303" s="499"/>
      <c r="AV303" s="499"/>
      <c r="AW303" s="499"/>
      <c r="AX303" s="499"/>
      <c r="AY303" s="1034">
        <f>AP298*AQ303</f>
        <v>3.5574777043320127</v>
      </c>
      <c r="AZ303" s="499"/>
      <c r="BA303" s="499">
        <v>4</v>
      </c>
      <c r="BB303" s="487"/>
      <c r="BC303" s="499">
        <f>BA303</f>
        <v>4</v>
      </c>
      <c r="BD303" s="487"/>
      <c r="BE303" s="487"/>
      <c r="BF303" s="754"/>
      <c r="BG303" s="487"/>
      <c r="BH303" s="487"/>
    </row>
    <row r="304" spans="1:61" ht="13.5" collapsed="1" thickBot="1">
      <c r="A304" s="1125"/>
      <c r="B304" s="1210"/>
      <c r="C304" s="1125"/>
      <c r="D304" s="1125"/>
      <c r="E304" s="1125"/>
      <c r="F304" s="1125"/>
      <c r="G304" s="1125"/>
      <c r="H304" s="1125"/>
      <c r="I304" s="1125"/>
      <c r="J304" s="1125"/>
      <c r="K304" s="1125"/>
      <c r="L304" s="1212"/>
      <c r="M304" s="1125"/>
      <c r="N304" s="1125"/>
      <c r="O304" s="1125"/>
      <c r="P304" s="1125"/>
      <c r="Q304" s="1125"/>
      <c r="R304" s="1125"/>
      <c r="S304" s="1211"/>
      <c r="T304" s="1125"/>
      <c r="U304" s="1125"/>
      <c r="V304" s="1125"/>
      <c r="W304" s="1125"/>
      <c r="X304" s="1125"/>
      <c r="Y304" s="1125"/>
      <c r="Z304" s="1125"/>
      <c r="AA304" s="1125"/>
      <c r="AB304" s="1125"/>
      <c r="AC304" s="1125"/>
      <c r="AD304" s="1125"/>
      <c r="AE304" s="1125"/>
      <c r="AF304" s="1125"/>
      <c r="AG304" s="1125"/>
      <c r="AH304" s="1125"/>
      <c r="AI304" s="1125"/>
      <c r="AJ304" s="1125"/>
      <c r="AK304" s="1125"/>
      <c r="AL304" s="1125"/>
      <c r="AM304" s="1125"/>
      <c r="AN304" s="1125"/>
      <c r="AP304" s="487"/>
      <c r="AQ304" s="487"/>
      <c r="AR304" s="487"/>
      <c r="AS304" s="499"/>
      <c r="AT304" s="499"/>
      <c r="AU304" s="499"/>
      <c r="AV304" s="499"/>
      <c r="AW304" s="499"/>
      <c r="AX304" s="499"/>
      <c r="AY304" s="499"/>
      <c r="AZ304" s="499"/>
      <c r="BA304" s="499"/>
      <c r="BB304" s="487"/>
      <c r="BC304" s="499"/>
      <c r="BD304" s="487"/>
      <c r="BE304" s="487"/>
      <c r="BF304" s="754"/>
      <c r="BG304" s="487"/>
      <c r="BH304" s="487"/>
    </row>
    <row r="305" spans="1:61" ht="13.5" thickBot="1">
      <c r="A305" s="1154"/>
      <c r="B305" s="1118">
        <f>+B298+1</f>
        <v>2012</v>
      </c>
      <c r="C305" s="598" t="s">
        <v>164</v>
      </c>
      <c r="D305" s="1120"/>
      <c r="E305" s="1124"/>
      <c r="F305" s="598"/>
      <c r="G305" s="1124"/>
      <c r="H305" s="598"/>
      <c r="I305" s="1124"/>
      <c r="J305" s="598"/>
      <c r="K305" s="598"/>
      <c r="L305" s="598"/>
      <c r="M305" s="598"/>
      <c r="N305" s="598"/>
      <c r="O305" s="1124"/>
      <c r="P305" s="1125"/>
      <c r="Q305" s="1125"/>
      <c r="R305" s="598"/>
      <c r="S305" s="1160"/>
      <c r="T305" s="1127"/>
      <c r="U305" s="1128"/>
      <c r="V305" s="598"/>
      <c r="W305" s="598"/>
      <c r="X305" s="1124"/>
      <c r="Y305" s="598"/>
      <c r="Z305" s="598"/>
      <c r="AA305" s="1127"/>
      <c r="AB305" s="598"/>
      <c r="AC305" s="598"/>
      <c r="AD305" s="598"/>
      <c r="AE305" s="1124"/>
      <c r="AF305" s="1125"/>
      <c r="AG305" s="1125"/>
      <c r="AH305" s="598"/>
      <c r="AI305" s="598"/>
      <c r="AJ305" s="598"/>
      <c r="AK305" s="598"/>
      <c r="AL305" s="598"/>
      <c r="AM305" s="598"/>
      <c r="AN305" s="1124"/>
      <c r="AP305" s="1196">
        <v>1</v>
      </c>
      <c r="AQ305" s="735"/>
      <c r="AR305" s="487"/>
      <c r="AS305" s="499"/>
      <c r="AT305" s="499"/>
      <c r="AU305" s="499"/>
      <c r="AV305" s="499"/>
      <c r="AW305" s="499"/>
      <c r="AX305" s="499"/>
      <c r="AY305" s="499"/>
      <c r="AZ305" s="499"/>
      <c r="BA305" s="499"/>
      <c r="BB305" s="487"/>
      <c r="BC305" s="499"/>
      <c r="BD305" s="487"/>
      <c r="BE305" s="487"/>
      <c r="BF305" s="754"/>
      <c r="BG305" s="487"/>
      <c r="BH305" s="487"/>
    </row>
    <row r="306" spans="1:61">
      <c r="A306" s="598" t="s">
        <v>527</v>
      </c>
      <c r="B306" s="1157" t="s">
        <v>514</v>
      </c>
      <c r="C306" s="598"/>
      <c r="D306" s="1120">
        <f>(S306/S299-1)*100</f>
        <v>8.1308090779959699</v>
      </c>
      <c r="E306" s="1124" t="s">
        <v>190</v>
      </c>
      <c r="F306" s="1179">
        <f>'SegP&amp;L'!Y165</f>
        <v>6</v>
      </c>
      <c r="G306" s="1124" t="s">
        <v>190</v>
      </c>
      <c r="H306" s="1120">
        <f>D306-F306</f>
        <v>2.1308090779959699</v>
      </c>
      <c r="I306" s="1124" t="s">
        <v>190</v>
      </c>
      <c r="J306" s="1206">
        <f>Stores!Y187+Stores!BA187+Stores!BO187</f>
        <v>318</v>
      </c>
      <c r="K306" s="598"/>
      <c r="L306" s="1128">
        <f>AVERAGE(J306,J302)</f>
        <v>313</v>
      </c>
      <c r="M306" s="598"/>
      <c r="N306" s="1120">
        <f>(L306/L299-1)*100</f>
        <v>4.3333333333333224</v>
      </c>
      <c r="O306" s="1124" t="s">
        <v>190</v>
      </c>
      <c r="P306" s="1159">
        <f>H306/N306*100</f>
        <v>49.172517184522505</v>
      </c>
      <c r="Q306" s="1125" t="s">
        <v>190</v>
      </c>
      <c r="R306" s="598"/>
      <c r="S306" s="1160">
        <f>'SegP&amp;L'!W165</f>
        <v>640.20899999999995</v>
      </c>
      <c r="T306" s="598"/>
      <c r="U306" s="1161">
        <f>S306/L306</f>
        <v>2.0453961661341853</v>
      </c>
      <c r="V306" s="598"/>
      <c r="W306" s="1176">
        <f>(U306/U299-1)*100</f>
        <v>3.6397531099003011</v>
      </c>
      <c r="X306" s="1124" t="s">
        <v>190</v>
      </c>
      <c r="Y306" s="598"/>
      <c r="Z306" s="1129">
        <f>Stores!AB187+Stores!BD187+Stores!BR187</f>
        <v>8.9</v>
      </c>
      <c r="AA306" s="598"/>
      <c r="AB306" s="1163">
        <f>AVERAGE(Z306,Z302)</f>
        <v>8.75</v>
      </c>
      <c r="AC306" s="598"/>
      <c r="AD306" s="1120">
        <f>(AB306/AB299-1)*100</f>
        <v>4.1666666666666519</v>
      </c>
      <c r="AE306" s="1124" t="s">
        <v>190</v>
      </c>
      <c r="AF306" s="1159">
        <f>+H306/AD306*100</f>
        <v>51.139417871903461</v>
      </c>
      <c r="AG306" s="1125" t="s">
        <v>190</v>
      </c>
      <c r="AH306" s="598"/>
      <c r="AI306" s="1160">
        <f>+S306</f>
        <v>640.20899999999995</v>
      </c>
      <c r="AJ306" s="598"/>
      <c r="AK306" s="1164">
        <f>AI306/AB306</f>
        <v>73.16674285714285</v>
      </c>
      <c r="AL306" s="598"/>
      <c r="AM306" s="1176">
        <f>(AK306/AK299-1)*100</f>
        <v>3.8055767148761355</v>
      </c>
      <c r="AN306" s="1124" t="s">
        <v>190</v>
      </c>
      <c r="AP306" s="562">
        <v>1.0053701611524326</v>
      </c>
      <c r="AQ306" s="1198">
        <f>(AP306/AP299-1)*100</f>
        <v>-2.0039023442804949</v>
      </c>
      <c r="AR306" s="1203" t="s">
        <v>190</v>
      </c>
      <c r="AS306" s="499"/>
      <c r="AT306" s="499"/>
      <c r="AU306" s="499"/>
      <c r="AV306" s="499"/>
      <c r="AW306" s="499"/>
      <c r="AX306" s="499"/>
      <c r="AY306" s="1034">
        <f>AP305*AQ306</f>
        <v>-2.0039023442804949</v>
      </c>
      <c r="AZ306" s="499"/>
      <c r="BA306" s="1208">
        <v>-2</v>
      </c>
      <c r="BB306" s="487"/>
      <c r="BC306" s="1209">
        <f>BA306</f>
        <v>-2</v>
      </c>
      <c r="BD306" s="487"/>
      <c r="BE306" s="487"/>
      <c r="BF306" s="754">
        <f>S306/$S$310</f>
        <v>0.21880074135566377</v>
      </c>
      <c r="BG306" s="487"/>
      <c r="BH306" s="879"/>
      <c r="BI306" s="1213"/>
    </row>
    <row r="307" spans="1:61">
      <c r="A307" s="598" t="s">
        <v>528</v>
      </c>
      <c r="B307" s="1157" t="s">
        <v>515</v>
      </c>
      <c r="C307" s="598"/>
      <c r="D307" s="1120">
        <f>(S307/S300-1)*100</f>
        <v>3.6086443120570744</v>
      </c>
      <c r="E307" s="598"/>
      <c r="F307" s="1179">
        <f>'SegP&amp;L'!Y166</f>
        <v>5</v>
      </c>
      <c r="G307" s="598"/>
      <c r="H307" s="1120">
        <f>D307-F307</f>
        <v>-1.3913556879429256</v>
      </c>
      <c r="I307" s="598"/>
      <c r="J307" s="1206">
        <f>Stores!Y188+Stores!BA188+Stores!BO188</f>
        <v>319</v>
      </c>
      <c r="K307" s="1127"/>
      <c r="L307" s="1167">
        <f>AVERAGE(J307,J306)</f>
        <v>318.5</v>
      </c>
      <c r="M307" s="598"/>
      <c r="N307" s="1120">
        <f>(L307/L300-1)*100</f>
        <v>5.1155115511551053</v>
      </c>
      <c r="O307" s="1124"/>
      <c r="P307" s="1159">
        <f>H307/N307*100</f>
        <v>-27.198759577206921</v>
      </c>
      <c r="Q307" s="1125"/>
      <c r="R307" s="598"/>
      <c r="S307" s="1165">
        <f>'SegP&amp;L'!W166</f>
        <v>660.70299999999997</v>
      </c>
      <c r="T307" s="1127"/>
      <c r="U307" s="1166">
        <f>S307/L307</f>
        <v>2.0744207221350077</v>
      </c>
      <c r="V307" s="598"/>
      <c r="W307" s="1176">
        <f>(U307/U300-1)*100</f>
        <v>-1.433534610507714</v>
      </c>
      <c r="X307" s="1124"/>
      <c r="Y307" s="598"/>
      <c r="Z307" s="1129">
        <f>Stores!AB188+Stores!BD188+Stores!BR188</f>
        <v>8.9</v>
      </c>
      <c r="AA307" s="1127"/>
      <c r="AB307" s="1163">
        <f>AVERAGE(Z307,Z306)</f>
        <v>8.9</v>
      </c>
      <c r="AC307" s="598"/>
      <c r="AD307" s="1120">
        <f>(AB307/AB300-1)*100</f>
        <v>4.705882352941182</v>
      </c>
      <c r="AE307" s="1124"/>
      <c r="AF307" s="1159">
        <f>+H307/AD307*100</f>
        <v>-29.566308368787137</v>
      </c>
      <c r="AG307" s="1125"/>
      <c r="AH307" s="598"/>
      <c r="AI307" s="1165">
        <f>+S307</f>
        <v>660.70299999999997</v>
      </c>
      <c r="AJ307" s="598"/>
      <c r="AK307" s="1167">
        <f>AI307/AB307</f>
        <v>74.236292134831459</v>
      </c>
      <c r="AL307" s="598"/>
      <c r="AM307" s="1176">
        <f>(AK307/AK300-1)*100</f>
        <v>-1.0479239716308708</v>
      </c>
      <c r="AN307" s="1124"/>
      <c r="AP307" s="562">
        <v>0.98334224720360608</v>
      </c>
      <c r="AQ307" s="1198">
        <f>(AP307/AP300-1)*100</f>
        <v>-4.8779787040017952</v>
      </c>
      <c r="AR307" s="1198">
        <f>+(AP307/AP300-1)*100</f>
        <v>-4.8779787040017952</v>
      </c>
      <c r="AS307" s="499"/>
      <c r="AT307" s="499"/>
      <c r="AU307" s="499"/>
      <c r="AV307" s="499"/>
      <c r="AW307" s="499"/>
      <c r="AX307" s="499"/>
      <c r="AY307" s="1034">
        <f>AP305*AQ307</f>
        <v>-4.8779787040017952</v>
      </c>
      <c r="AZ307" s="499"/>
      <c r="BA307" s="1208">
        <v>-5</v>
      </c>
      <c r="BB307" s="487"/>
      <c r="BC307" s="1209">
        <f>BA307</f>
        <v>-5</v>
      </c>
      <c r="BD307" s="487"/>
      <c r="BE307" s="487"/>
      <c r="BF307" s="754">
        <f>S307/$S$310</f>
        <v>0.22580486406144107</v>
      </c>
      <c r="BG307" s="487"/>
      <c r="BH307" s="879"/>
    </row>
    <row r="308" spans="1:61">
      <c r="A308" s="598" t="s">
        <v>529</v>
      </c>
      <c r="B308" s="1157" t="s">
        <v>516</v>
      </c>
      <c r="C308" s="598"/>
      <c r="D308" s="1120">
        <f>(S308/S301-1)*100</f>
        <v>9.0638965990176743</v>
      </c>
      <c r="E308" s="598"/>
      <c r="F308" s="1179">
        <f>'SegP&amp;L'!Y167</f>
        <v>4</v>
      </c>
      <c r="G308" s="598"/>
      <c r="H308" s="1120">
        <f>D308-F308</f>
        <v>5.0638965990176743</v>
      </c>
      <c r="I308" s="598"/>
      <c r="J308" s="1206">
        <f>Stores!Y189+Stores!BA189+Stores!BO189</f>
        <v>324</v>
      </c>
      <c r="K308" s="1127"/>
      <c r="L308" s="1167">
        <f>AVERAGE(J308,J307)</f>
        <v>321.5</v>
      </c>
      <c r="M308" s="598"/>
      <c r="N308" s="1120">
        <f>(L308/L301-1)*100</f>
        <v>5.0653594771241872</v>
      </c>
      <c r="O308" s="1124"/>
      <c r="P308" s="1159">
        <f>H308/N308*100</f>
        <v>99.971119954800457</v>
      </c>
      <c r="Q308" s="1125"/>
      <c r="R308" s="598"/>
      <c r="S308" s="1165">
        <f>'SegP&amp;L'!W167</f>
        <v>768.96699999999998</v>
      </c>
      <c r="T308" s="1127"/>
      <c r="U308" s="1166">
        <f>S308/L308</f>
        <v>2.391810264385692</v>
      </c>
      <c r="V308" s="598"/>
      <c r="W308" s="1176">
        <f>(U308/U301-1)*100</f>
        <v>3.8057616152392004</v>
      </c>
      <c r="X308" s="1124"/>
      <c r="Y308" s="598"/>
      <c r="Z308" s="1129">
        <f>Stores!AB189+Stores!BD189+Stores!BR189</f>
        <v>9.1</v>
      </c>
      <c r="AA308" s="1127"/>
      <c r="AB308" s="1163">
        <f>AVERAGE(Z308,Z307)</f>
        <v>9</v>
      </c>
      <c r="AC308" s="598"/>
      <c r="AD308" s="1120">
        <f>(AB308/AB301-1)*100</f>
        <v>5.2631578947368363</v>
      </c>
      <c r="AE308" s="1124"/>
      <c r="AF308" s="1159">
        <f>+H308/AD308*100</f>
        <v>96.214035381335918</v>
      </c>
      <c r="AG308" s="1125"/>
      <c r="AH308" s="598"/>
      <c r="AI308" s="1165">
        <f>+S308</f>
        <v>768.96699999999998</v>
      </c>
      <c r="AJ308" s="598"/>
      <c r="AK308" s="1167">
        <f>AI308/AB308</f>
        <v>85.440777777777782</v>
      </c>
      <c r="AL308" s="598"/>
      <c r="AM308" s="1176">
        <f>(AK308/AK301-1)*100</f>
        <v>3.6107017690667931</v>
      </c>
      <c r="AN308" s="1124"/>
      <c r="AP308" s="562">
        <v>1.0140009407449035</v>
      </c>
      <c r="AQ308" s="1198">
        <f>(AP308/AP301-1)*100</f>
        <v>1.463604425594256</v>
      </c>
      <c r="AR308" s="1198">
        <f>+(AP308/AP301-1)*100</f>
        <v>1.463604425594256</v>
      </c>
      <c r="AS308" s="499"/>
      <c r="AT308" s="499"/>
      <c r="AU308" s="499"/>
      <c r="AV308" s="499"/>
      <c r="AW308" s="499"/>
      <c r="AX308" s="499"/>
      <c r="AY308" s="1034">
        <f>AP305*AQ308</f>
        <v>1.463604425594256</v>
      </c>
      <c r="AZ308" s="499"/>
      <c r="BA308" s="1208">
        <v>2</v>
      </c>
      <c r="BB308" s="487"/>
      <c r="BC308" s="1209">
        <f>BA308</f>
        <v>2</v>
      </c>
      <c r="BD308" s="487"/>
      <c r="BE308" s="487"/>
      <c r="BF308" s="754">
        <f>S308/$S$310</f>
        <v>0.26280566139813827</v>
      </c>
      <c r="BG308" s="487"/>
      <c r="BH308" s="879"/>
    </row>
    <row r="309" spans="1:61">
      <c r="A309" s="598" t="s">
        <v>530</v>
      </c>
      <c r="B309" s="1157" t="s">
        <v>517</v>
      </c>
      <c r="C309" s="598"/>
      <c r="D309" s="1168">
        <f>(S309/S302-1)*100</f>
        <v>14.875813485407585</v>
      </c>
      <c r="E309" s="598"/>
      <c r="F309" s="1178">
        <f>'SegP&amp;L'!Y168</f>
        <v>3</v>
      </c>
      <c r="G309" s="598"/>
      <c r="H309" s="1168">
        <f>D309-F309</f>
        <v>11.875813485407585</v>
      </c>
      <c r="I309" s="598"/>
      <c r="J309" s="1206">
        <f>Stores!Y190+Stores!BA190+Stores!BO190</f>
        <v>324</v>
      </c>
      <c r="K309" s="1127"/>
      <c r="L309" s="1171">
        <f>AVERAGE(J309,J308)</f>
        <v>324</v>
      </c>
      <c r="M309" s="598"/>
      <c r="N309" s="1168">
        <f>(L309/L302-1)*100</f>
        <v>5.0243111831442366</v>
      </c>
      <c r="O309" s="1124"/>
      <c r="P309" s="1171">
        <f>H309/N309*100</f>
        <v>236.36699743537076</v>
      </c>
      <c r="Q309" s="1125"/>
      <c r="R309" s="598"/>
      <c r="S309" s="1172">
        <f>'SegP&amp;L'!W168</f>
        <v>856.11199999999997</v>
      </c>
      <c r="T309" s="598"/>
      <c r="U309" s="1173">
        <f>S309/L309</f>
        <v>2.6423209876543208</v>
      </c>
      <c r="V309" s="598"/>
      <c r="W309" s="1169">
        <f>(U309/U302-1)*100</f>
        <v>9.3802112970624574</v>
      </c>
      <c r="X309" s="1124"/>
      <c r="Y309" s="598"/>
      <c r="Z309" s="1129">
        <f>Stores!AB190+Stores!BD190+Stores!BR190</f>
        <v>9.1</v>
      </c>
      <c r="AA309" s="1127"/>
      <c r="AB309" s="1174">
        <f>AVERAGE(Z309,Z308)</f>
        <v>9.1</v>
      </c>
      <c r="AC309" s="598"/>
      <c r="AD309" s="1168">
        <f>(AB309/AB302-1)*100</f>
        <v>5.8139534883721034</v>
      </c>
      <c r="AE309" s="1124"/>
      <c r="AF309" s="1171">
        <f>+H309/AD309*100</f>
        <v>204.26399194901009</v>
      </c>
      <c r="AG309" s="1125"/>
      <c r="AH309" s="598"/>
      <c r="AI309" s="1172">
        <f>+S309</f>
        <v>856.11199999999997</v>
      </c>
      <c r="AJ309" s="598"/>
      <c r="AK309" s="1175">
        <f>AI309/AB309</f>
        <v>94.078241758241759</v>
      </c>
      <c r="AL309" s="598"/>
      <c r="AM309" s="1169">
        <f>(AK309/AK302-1)*100</f>
        <v>8.5639556015939746</v>
      </c>
      <c r="AN309" s="1124"/>
      <c r="AP309" s="1201">
        <v>1.0067702353914354</v>
      </c>
      <c r="AQ309" s="1202">
        <f>(AP309/AP302-1)*100</f>
        <v>2.7583211111613215</v>
      </c>
      <c r="AR309" s="487"/>
      <c r="AS309" s="499"/>
      <c r="AT309" s="499"/>
      <c r="AU309" s="499"/>
      <c r="AV309" s="499"/>
      <c r="AW309" s="499"/>
      <c r="AX309" s="499"/>
      <c r="AY309" s="1034">
        <f>AP305*AQ309</f>
        <v>2.7583211111613215</v>
      </c>
      <c r="AZ309" s="499"/>
      <c r="BA309" s="1208">
        <f>(BA310-SUMPRODUCT(BA306:BA308,BF306:BF308))/BF309</f>
        <v>0.14017792064589668</v>
      </c>
      <c r="BB309" s="487"/>
      <c r="BC309" s="1209">
        <f>BA309</f>
        <v>0.14017792064589668</v>
      </c>
      <c r="BD309" s="487"/>
      <c r="BE309" s="487"/>
      <c r="BF309" s="754">
        <f>S309/$S$310</f>
        <v>0.29258873318475687</v>
      </c>
      <c r="BG309" s="487"/>
      <c r="BH309" s="879"/>
      <c r="BI309" s="1213"/>
    </row>
    <row r="310" spans="1:61">
      <c r="A310" s="598"/>
      <c r="B310" s="1157" t="s">
        <v>531</v>
      </c>
      <c r="C310" s="598"/>
      <c r="D310" s="1120">
        <f>(S310/S303-1)*100</f>
        <v>9.1758763107395289</v>
      </c>
      <c r="E310" s="598"/>
      <c r="F310" s="1179">
        <f>'SegP&amp;L'!Y169</f>
        <v>5</v>
      </c>
      <c r="G310" s="598"/>
      <c r="H310" s="1120">
        <f>D310-F310</f>
        <v>4.1758763107395289</v>
      </c>
      <c r="I310" s="598"/>
      <c r="J310" s="598"/>
      <c r="K310" s="598"/>
      <c r="L310" s="1128">
        <f>AVERAGE(L306:L309)</f>
        <v>319.25</v>
      </c>
      <c r="M310" s="598"/>
      <c r="N310" s="1120">
        <f>(L310/L303-1)*100</f>
        <v>4.8870636550307989</v>
      </c>
      <c r="O310" s="1124"/>
      <c r="P310" s="1159">
        <f>H310/N310*100</f>
        <v>85.447553081098789</v>
      </c>
      <c r="Q310" s="1125"/>
      <c r="R310" s="598"/>
      <c r="S310" s="1160">
        <f>SUM(S306:S309)</f>
        <v>2925.991</v>
      </c>
      <c r="T310" s="598"/>
      <c r="U310" s="1161">
        <f>SUM(U306:U309)</f>
        <v>9.1539481403092058</v>
      </c>
      <c r="V310" s="598"/>
      <c r="W310" s="1176">
        <f>(U310/U303-1)*100</f>
        <v>4.0458292027264253</v>
      </c>
      <c r="X310" s="1124"/>
      <c r="Y310" s="598"/>
      <c r="Z310" s="598"/>
      <c r="AA310" s="598"/>
      <c r="AB310" s="1163">
        <f>AVERAGE(AB306:AB309)</f>
        <v>8.9375</v>
      </c>
      <c r="AC310" s="598"/>
      <c r="AD310" s="1120">
        <f>(AB310/AB303-1)*100</f>
        <v>4.992657856093996</v>
      </c>
      <c r="AE310" s="1124"/>
      <c r="AF310" s="1159">
        <f>+H310/AD310*100</f>
        <v>83.640346106282635</v>
      </c>
      <c r="AG310" s="1125"/>
      <c r="AH310" s="598"/>
      <c r="AI310" s="1160">
        <f>SUM(AI306:AI309)</f>
        <v>2925.991</v>
      </c>
      <c r="AJ310" s="598"/>
      <c r="AK310" s="1164">
        <f>SUM(AK306:AK309)</f>
        <v>326.92205452799385</v>
      </c>
      <c r="AL310" s="598"/>
      <c r="AM310" s="1176">
        <f>(AK310/AK303-1)*100</f>
        <v>3.9077773423820572</v>
      </c>
      <c r="AN310" s="1124"/>
      <c r="AP310" s="562">
        <v>1.0021239209450434</v>
      </c>
      <c r="AQ310" s="1198">
        <f>(AP310/AP303-1)*100</f>
        <v>-0.68416179957726531</v>
      </c>
      <c r="AR310" s="1198"/>
      <c r="AS310" s="499"/>
      <c r="AT310" s="499"/>
      <c r="AU310" s="499"/>
      <c r="AV310" s="499"/>
      <c r="AW310" s="499"/>
      <c r="AX310" s="499"/>
      <c r="AY310" s="1034">
        <f>AP305*AQ310</f>
        <v>-0.68416179957726531</v>
      </c>
      <c r="AZ310" s="499"/>
      <c r="BA310" s="499">
        <v>-1</v>
      </c>
      <c r="BB310" s="487"/>
      <c r="BC310" s="1209">
        <f>BA310</f>
        <v>-1</v>
      </c>
      <c r="BD310" s="487"/>
      <c r="BE310" s="487"/>
      <c r="BF310" s="754"/>
      <c r="BG310" s="487"/>
      <c r="BI310" s="487"/>
    </row>
    <row r="311" spans="1:61" ht="13.5" thickBot="1">
      <c r="A311" s="1125"/>
      <c r="B311" s="1210"/>
      <c r="C311" s="1125"/>
      <c r="D311" s="1125"/>
      <c r="E311" s="1125"/>
      <c r="F311" s="1125"/>
      <c r="G311" s="1125"/>
      <c r="H311" s="1125"/>
      <c r="I311" s="1125"/>
      <c r="J311" s="1125"/>
      <c r="K311" s="1125"/>
      <c r="L311" s="1212"/>
      <c r="M311" s="1125"/>
      <c r="N311" s="1125"/>
      <c r="O311" s="1125"/>
      <c r="P311" s="1125"/>
      <c r="Q311" s="1125"/>
      <c r="R311" s="1125"/>
      <c r="S311" s="1211"/>
      <c r="T311" s="1125"/>
      <c r="U311" s="1125"/>
      <c r="V311" s="1125"/>
      <c r="W311" s="1125"/>
      <c r="X311" s="1125"/>
      <c r="Y311" s="1125"/>
      <c r="Z311" s="1125"/>
      <c r="AA311" s="1125"/>
      <c r="AB311" s="1125"/>
      <c r="AC311" s="1125"/>
      <c r="AD311" s="1125"/>
      <c r="AE311" s="1125"/>
      <c r="AF311" s="1125"/>
      <c r="AG311" s="1125"/>
      <c r="AH311" s="1125"/>
      <c r="AI311" s="1125"/>
      <c r="AJ311" s="1125"/>
      <c r="AK311" s="1125"/>
      <c r="AL311" s="1125"/>
      <c r="AM311" s="1125"/>
      <c r="AN311" s="1125"/>
      <c r="AP311" s="487"/>
      <c r="AQ311" s="487"/>
      <c r="AR311" s="487"/>
      <c r="AS311" s="499"/>
      <c r="AT311" s="499"/>
      <c r="AU311" s="499"/>
      <c r="AV311" s="499"/>
      <c r="AW311" s="499"/>
      <c r="AX311" s="499"/>
      <c r="AY311" s="499"/>
      <c r="AZ311" s="499"/>
      <c r="BA311" s="499"/>
      <c r="BB311" s="487"/>
      <c r="BC311" s="499"/>
      <c r="BD311" s="487"/>
      <c r="BE311" s="487"/>
      <c r="BF311" s="754"/>
      <c r="BG311" s="487"/>
      <c r="BH311" s="487"/>
    </row>
    <row r="312" spans="1:61" ht="13.5" thickBot="1">
      <c r="A312" s="1154"/>
      <c r="B312" s="1118">
        <f>+B305+1</f>
        <v>2013</v>
      </c>
      <c r="C312" s="598" t="s">
        <v>164</v>
      </c>
      <c r="D312" s="1120"/>
      <c r="E312" s="1124"/>
      <c r="F312" s="598"/>
      <c r="G312" s="1124"/>
      <c r="H312" s="598"/>
      <c r="I312" s="1124"/>
      <c r="J312" s="598"/>
      <c r="K312" s="598"/>
      <c r="L312" s="598"/>
      <c r="M312" s="598"/>
      <c r="N312" s="598"/>
      <c r="O312" s="1124"/>
      <c r="P312" s="1125"/>
      <c r="Q312" s="1125"/>
      <c r="R312" s="598"/>
      <c r="S312" s="1160"/>
      <c r="T312" s="1127"/>
      <c r="U312" s="1128"/>
      <c r="V312" s="598"/>
      <c r="W312" s="598"/>
      <c r="X312" s="1124"/>
      <c r="Y312" s="598"/>
      <c r="Z312" s="598"/>
      <c r="AA312" s="1127"/>
      <c r="AB312" s="598"/>
      <c r="AC312" s="598"/>
      <c r="AD312" s="598"/>
      <c r="AE312" s="1124"/>
      <c r="AF312" s="1125"/>
      <c r="AG312" s="1125"/>
      <c r="AH312" s="598"/>
      <c r="AI312" s="598"/>
      <c r="AJ312" s="598"/>
      <c r="AK312" s="598"/>
      <c r="AL312" s="598"/>
      <c r="AM312" s="598"/>
      <c r="AN312" s="1124"/>
      <c r="AP312" s="1196">
        <v>1</v>
      </c>
      <c r="AQ312" s="735"/>
      <c r="AR312" s="487"/>
      <c r="AS312" s="499"/>
      <c r="AT312" s="499"/>
      <c r="AU312" s="499"/>
      <c r="AV312" s="499"/>
      <c r="AW312" s="499"/>
      <c r="AX312" s="499"/>
      <c r="AY312" s="499"/>
      <c r="AZ312" s="499"/>
      <c r="BA312" s="499"/>
      <c r="BB312" s="487"/>
      <c r="BC312" s="499"/>
      <c r="BD312" s="487"/>
      <c r="BE312" s="487"/>
      <c r="BF312" s="754"/>
      <c r="BG312" s="487"/>
      <c r="BH312" s="487"/>
    </row>
    <row r="313" spans="1:61">
      <c r="A313" s="598" t="s">
        <v>527</v>
      </c>
      <c r="B313" s="1157" t="s">
        <v>514</v>
      </c>
      <c r="C313" s="598"/>
      <c r="D313" s="1120">
        <f>(S313/S306-1)*100</f>
        <v>0.82582406682818466</v>
      </c>
      <c r="E313" s="1124" t="s">
        <v>190</v>
      </c>
      <c r="F313" s="1179">
        <f>'SegP&amp;L'!Y172</f>
        <v>-1</v>
      </c>
      <c r="G313" s="1124" t="s">
        <v>190</v>
      </c>
      <c r="H313" s="1120">
        <f>D313-F313</f>
        <v>1.8258240668281847</v>
      </c>
      <c r="I313" s="1124" t="s">
        <v>190</v>
      </c>
      <c r="J313" s="1206">
        <f>Stores!Y194+Stores!BA194+Stores!BO194</f>
        <v>336</v>
      </c>
      <c r="K313" s="598"/>
      <c r="L313" s="1128">
        <f>AVERAGE(J313,J309)</f>
        <v>330</v>
      </c>
      <c r="M313" s="598"/>
      <c r="N313" s="1120">
        <f>(L313/L306-1)*100</f>
        <v>5.4313099041533475</v>
      </c>
      <c r="O313" s="1124" t="s">
        <v>190</v>
      </c>
      <c r="P313" s="1159">
        <f>H313/N313*100</f>
        <v>33.616643112777801</v>
      </c>
      <c r="Q313" s="1125" t="s">
        <v>190</v>
      </c>
      <c r="R313" s="598"/>
      <c r="S313" s="1160">
        <f>'SegP&amp;L'!W172</f>
        <v>645.49599999999998</v>
      </c>
      <c r="T313" s="598"/>
      <c r="U313" s="1161">
        <f>S313/L313</f>
        <v>1.9560484848484847</v>
      </c>
      <c r="V313" s="598"/>
      <c r="W313" s="1176">
        <f>(U313/U306-1)*100</f>
        <v>-4.3682335366144969</v>
      </c>
      <c r="X313" s="1124" t="s">
        <v>190</v>
      </c>
      <c r="Y313" s="598"/>
      <c r="Z313" s="1129">
        <f>Stores!AB194+Stores!BD194+Stores!BR194</f>
        <v>9.3999999999999986</v>
      </c>
      <c r="AA313" s="598"/>
      <c r="AB313" s="1163">
        <f>AVERAGE(Z313,Z309)</f>
        <v>9.25</v>
      </c>
      <c r="AC313" s="598"/>
      <c r="AD313" s="1120">
        <f>(AB313/AB306-1)*100</f>
        <v>5.7142857142857162</v>
      </c>
      <c r="AE313" s="1124" t="s">
        <v>190</v>
      </c>
      <c r="AF313" s="1159">
        <f>+H313/AD313*100</f>
        <v>31.951921169493218</v>
      </c>
      <c r="AG313" s="1125" t="s">
        <v>190</v>
      </c>
      <c r="AH313" s="598"/>
      <c r="AI313" s="1160">
        <f>+S313</f>
        <v>645.49599999999998</v>
      </c>
      <c r="AJ313" s="598"/>
      <c r="AK313" s="1164">
        <f>AI313/AB313</f>
        <v>69.783351351351342</v>
      </c>
      <c r="AL313" s="598"/>
      <c r="AM313" s="1176">
        <f>(AK313/AK306-1)*100</f>
        <v>-4.6242204773247035</v>
      </c>
      <c r="AN313" s="1124" t="s">
        <v>190</v>
      </c>
      <c r="AP313" s="562">
        <v>0.98259670937196042</v>
      </c>
      <c r="AQ313" s="1198">
        <f>(AP313/AP306-1)*100</f>
        <v>-2.2651807921539535</v>
      </c>
      <c r="AR313" s="1203" t="s">
        <v>190</v>
      </c>
      <c r="AS313" s="499"/>
      <c r="AT313" s="499"/>
      <c r="AU313" s="499"/>
      <c r="AV313" s="499"/>
      <c r="AW313" s="499"/>
      <c r="AX313" s="499"/>
      <c r="AY313" s="1034">
        <f>AP312*AQ313</f>
        <v>-2.2651807921539535</v>
      </c>
      <c r="AZ313" s="499"/>
      <c r="BA313" s="1208">
        <v>-2</v>
      </c>
      <c r="BB313" s="487"/>
      <c r="BC313" s="1209">
        <f>BA313</f>
        <v>-2</v>
      </c>
      <c r="BD313" s="487"/>
      <c r="BE313" s="487"/>
      <c r="BF313" s="754">
        <f>S313/$S$317</f>
        <v>0.22429924728111486</v>
      </c>
      <c r="BG313" s="487"/>
      <c r="BH313" s="487"/>
    </row>
    <row r="314" spans="1:61">
      <c r="A314" s="598" t="s">
        <v>528</v>
      </c>
      <c r="B314" s="1157" t="s">
        <v>515</v>
      </c>
      <c r="C314" s="598"/>
      <c r="D314" s="1120">
        <f>(S314/S307-1)*100</f>
        <v>2.8244158116430551</v>
      </c>
      <c r="E314" s="598"/>
      <c r="F314" s="1179">
        <f>'SegP&amp;L'!Y173</f>
        <v>2</v>
      </c>
      <c r="G314" s="598"/>
      <c r="H314" s="1120">
        <f>D314-F314</f>
        <v>0.82441581164305511</v>
      </c>
      <c r="I314" s="598"/>
      <c r="J314" s="1206">
        <f>Stores!Y195+Stores!BA195+Stores!BO195</f>
        <v>337</v>
      </c>
      <c r="K314" s="1127"/>
      <c r="L314" s="1167">
        <f>AVERAGE(J314,J313)</f>
        <v>336.5</v>
      </c>
      <c r="M314" s="598"/>
      <c r="N314" s="1120">
        <f>(L314/L307-1)*100</f>
        <v>5.6514913657770727</v>
      </c>
      <c r="O314" s="1124"/>
      <c r="P314" s="1159">
        <f>H314/N314*100</f>
        <v>14.587579778239634</v>
      </c>
      <c r="Q314" s="1125"/>
      <c r="R314" s="598"/>
      <c r="S314" s="1165">
        <f>'SegP&amp;L'!W173</f>
        <v>679.36400000000003</v>
      </c>
      <c r="T314" s="1127"/>
      <c r="U314" s="1166">
        <f>S314/L314</f>
        <v>2.0189123328380387</v>
      </c>
      <c r="V314" s="598"/>
      <c r="W314" s="1176">
        <f>(U314/U307-1)*100</f>
        <v>-2.6758501158742454</v>
      </c>
      <c r="X314" s="1124"/>
      <c r="Y314" s="598"/>
      <c r="Z314" s="1129">
        <f>Stores!AB195+Stores!BD195+Stores!BR195</f>
        <v>9.3999999999999986</v>
      </c>
      <c r="AA314" s="1127"/>
      <c r="AB314" s="1163">
        <f>AVERAGE(Z314,Z313)</f>
        <v>9.3999999999999986</v>
      </c>
      <c r="AC314" s="598"/>
      <c r="AD314" s="1120">
        <f>(AB314/AB307-1)*100</f>
        <v>5.617977528089857</v>
      </c>
      <c r="AE314" s="1124"/>
      <c r="AF314" s="1159">
        <f>+H314/AD314*100</f>
        <v>14.674601447246459</v>
      </c>
      <c r="AG314" s="1125"/>
      <c r="AH314" s="598"/>
      <c r="AI314" s="1165">
        <f>+S314</f>
        <v>679.36400000000003</v>
      </c>
      <c r="AJ314" s="598"/>
      <c r="AK314" s="1167">
        <f>AI314/AB314</f>
        <v>72.272765957446822</v>
      </c>
      <c r="AL314" s="598"/>
      <c r="AM314" s="1176">
        <f>(AK314/AK307-1)*100</f>
        <v>-2.6449680081251703</v>
      </c>
      <c r="AN314" s="1124"/>
      <c r="AP314" s="562">
        <v>0.97008581786286885</v>
      </c>
      <c r="AQ314" s="1198">
        <f>(AP314/AP307-1)*100</f>
        <v>-1.3480992379240719</v>
      </c>
      <c r="AR314" s="1198">
        <f>+(AP314/AP307-1)*100</f>
        <v>-1.3480992379240719</v>
      </c>
      <c r="AS314" s="499"/>
      <c r="AT314" s="499"/>
      <c r="AU314" s="499"/>
      <c r="AV314" s="499"/>
      <c r="AW314" s="499"/>
      <c r="AX314" s="499"/>
      <c r="AY314" s="1034">
        <f>AP312*AQ314</f>
        <v>-1.3480992379240719</v>
      </c>
      <c r="AZ314" s="499"/>
      <c r="BA314" s="1208">
        <v>-1</v>
      </c>
      <c r="BB314" s="487"/>
      <c r="BC314" s="1209">
        <f>BA314</f>
        <v>-1</v>
      </c>
      <c r="BD314" s="487"/>
      <c r="BE314" s="487"/>
      <c r="BF314" s="754">
        <f>S314/$S$317</f>
        <v>0.23606782045107536</v>
      </c>
      <c r="BG314" s="487"/>
      <c r="BH314" s="487"/>
    </row>
    <row r="315" spans="1:61">
      <c r="A315" s="598" t="s">
        <v>529</v>
      </c>
      <c r="B315" s="1157" t="s">
        <v>516</v>
      </c>
      <c r="C315" s="598"/>
      <c r="D315" s="1120">
        <f>(S315/S308-1)*100</f>
        <v>2.1998343231894202</v>
      </c>
      <c r="E315" s="598"/>
      <c r="F315" s="1179">
        <f>'SegP&amp;L'!Y174</f>
        <v>2</v>
      </c>
      <c r="G315" s="598"/>
      <c r="H315" s="1120">
        <f>D315-F315</f>
        <v>0.19983432318942018</v>
      </c>
      <c r="I315" s="598"/>
      <c r="J315" s="1206">
        <f>Stores!Y196+Stores!BA196+Stores!BO196</f>
        <v>345</v>
      </c>
      <c r="K315" s="1127"/>
      <c r="L315" s="1167">
        <f>AVERAGE(J315,J314)</f>
        <v>341</v>
      </c>
      <c r="M315" s="598"/>
      <c r="N315" s="1120">
        <f>(L315/L308-1)*100</f>
        <v>6.0653188180404438</v>
      </c>
      <c r="O315" s="1124"/>
      <c r="P315" s="1159">
        <f>H315/N315*100</f>
        <v>3.2947043541230001</v>
      </c>
      <c r="Q315" s="1125"/>
      <c r="R315" s="598"/>
      <c r="S315" s="1165">
        <f>'SegP&amp;L'!W174</f>
        <v>785.88300000000004</v>
      </c>
      <c r="T315" s="1127"/>
      <c r="U315" s="1166">
        <f>S315/L315</f>
        <v>2.3046422287390032</v>
      </c>
      <c r="V315" s="598"/>
      <c r="W315" s="1176">
        <f>(U315/U308-1)*100</f>
        <v>-3.6444377275501427</v>
      </c>
      <c r="X315" s="1124"/>
      <c r="Y315" s="598"/>
      <c r="Z315" s="1129">
        <f>Stores!AB196+Stores!BD196+Stores!BR196</f>
        <v>9.6000000000000014</v>
      </c>
      <c r="AA315" s="1127"/>
      <c r="AB315" s="1163">
        <f>AVERAGE(Z315,Z314)</f>
        <v>9.5</v>
      </c>
      <c r="AC315" s="598"/>
      <c r="AD315" s="1120">
        <f>(AB315/AB308-1)*100</f>
        <v>5.555555555555558</v>
      </c>
      <c r="AE315" s="1124"/>
      <c r="AF315" s="1159">
        <f>+H315/AD315*100</f>
        <v>3.5970178174095619</v>
      </c>
      <c r="AG315" s="1125"/>
      <c r="AH315" s="598"/>
      <c r="AI315" s="1165">
        <f>+S315</f>
        <v>785.88300000000004</v>
      </c>
      <c r="AJ315" s="598"/>
      <c r="AK315" s="1167">
        <f>AI315/AB315</f>
        <v>82.724526315789475</v>
      </c>
      <c r="AL315" s="598"/>
      <c r="AM315" s="1176">
        <f>(AK315/AK308-1)*100</f>
        <v>-3.1791043253994955</v>
      </c>
      <c r="AN315" s="1124"/>
      <c r="AP315" s="562">
        <v>0.96389311874073758</v>
      </c>
      <c r="AQ315" s="1198">
        <f>(AP315/AP308-1)*100</f>
        <v>-4.9415952185760119</v>
      </c>
      <c r="AR315" s="1198">
        <f>+(AP315/AP308-1)*100</f>
        <v>-4.9415952185760119</v>
      </c>
      <c r="AS315" s="499"/>
      <c r="AT315" s="499"/>
      <c r="AU315" s="499"/>
      <c r="AV315" s="499"/>
      <c r="AW315" s="499"/>
      <c r="AX315" s="499"/>
      <c r="AY315" s="1034">
        <f>AP312*AQ315</f>
        <v>-4.9415952185760119</v>
      </c>
      <c r="AZ315" s="499"/>
      <c r="BA315" s="1208">
        <v>-5</v>
      </c>
      <c r="BB315" s="487"/>
      <c r="BC315" s="1209">
        <f>BA315</f>
        <v>-5</v>
      </c>
      <c r="BD315" s="487"/>
      <c r="BE315" s="487"/>
      <c r="BF315" s="754">
        <f>S315/$S$317</f>
        <v>0.27308142165253452</v>
      </c>
      <c r="BG315" s="487"/>
      <c r="BH315" s="487"/>
    </row>
    <row r="316" spans="1:61">
      <c r="A316" s="598" t="s">
        <v>530</v>
      </c>
      <c r="B316" s="1157" t="s">
        <v>517</v>
      </c>
      <c r="C316" s="598"/>
      <c r="D316" s="1168">
        <f>(S316/S309-1)*100</f>
        <v>-10.398289008914718</v>
      </c>
      <c r="E316" s="598"/>
      <c r="F316" s="1178">
        <f>'SegP&amp;L'!Y175</f>
        <v>-2</v>
      </c>
      <c r="G316" s="598"/>
      <c r="H316" s="1168">
        <f>D316-F316</f>
        <v>-8.398289008914718</v>
      </c>
      <c r="I316" s="598"/>
      <c r="J316" s="1206">
        <f>Stores!Y197+Stores!BA197+Stores!BO197</f>
        <v>345</v>
      </c>
      <c r="K316" s="1127"/>
      <c r="L316" s="1171">
        <f>AVERAGE(J316,J315)</f>
        <v>345</v>
      </c>
      <c r="M316" s="598"/>
      <c r="N316" s="1168">
        <f>(L316/L309-1)*100</f>
        <v>6.4814814814814881</v>
      </c>
      <c r="O316" s="1124"/>
      <c r="P316" s="1171">
        <f>H316/N316*100</f>
        <v>-129.57360185182694</v>
      </c>
      <c r="Q316" s="1125"/>
      <c r="R316" s="598"/>
      <c r="S316" s="1172">
        <f>'SegP&amp;L'!W175</f>
        <v>767.09100000000001</v>
      </c>
      <c r="T316" s="598"/>
      <c r="U316" s="1173">
        <f>S316/L316</f>
        <v>2.2234521739130435</v>
      </c>
      <c r="V316" s="598"/>
      <c r="W316" s="1169">
        <f>(U316/U309-1)*100</f>
        <v>-15.852306199676425</v>
      </c>
      <c r="X316" s="1124"/>
      <c r="Y316" s="598"/>
      <c r="Z316" s="1129">
        <f>Stores!AB197+Stores!BD197+Stores!BR197</f>
        <v>9.6000000000000014</v>
      </c>
      <c r="AA316" s="1127"/>
      <c r="AB316" s="1174">
        <f>AVERAGE(Z316,Z315)</f>
        <v>9.6000000000000014</v>
      </c>
      <c r="AC316" s="598"/>
      <c r="AD316" s="1168">
        <f>(AB316/AB309-1)*100</f>
        <v>5.4945054945055194</v>
      </c>
      <c r="AE316" s="1124"/>
      <c r="AF316" s="1171">
        <f>+H316/AD316*100</f>
        <v>-152.84885996224716</v>
      </c>
      <c r="AG316" s="1125"/>
      <c r="AH316" s="598"/>
      <c r="AI316" s="1172">
        <f>+S316</f>
        <v>767.09100000000001</v>
      </c>
      <c r="AJ316" s="598"/>
      <c r="AK316" s="1175">
        <f>AI316/AB316</f>
        <v>79.905312499999994</v>
      </c>
      <c r="AL316" s="598"/>
      <c r="AM316" s="1169">
        <f>(AK316/AK309-1)*100</f>
        <v>-15.065044789700421</v>
      </c>
      <c r="AN316" s="1124"/>
      <c r="AP316" s="1201">
        <v>0.93508867335117352</v>
      </c>
      <c r="AQ316" s="1202">
        <f>(AP316/AP309-1)*100</f>
        <v>-7.1199524499641065</v>
      </c>
      <c r="AR316" s="487"/>
      <c r="AS316" s="499"/>
      <c r="AT316" s="499"/>
      <c r="AU316" s="499"/>
      <c r="AV316" s="499"/>
      <c r="AW316" s="499"/>
      <c r="AX316" s="499"/>
      <c r="AY316" s="1034">
        <f>AP312*AQ316</f>
        <v>-7.1199524499641065</v>
      </c>
      <c r="AZ316" s="499"/>
      <c r="BA316" s="1208">
        <f>(BA317-SUMPRODUCT(BA313:BA315,BF313:BF315))/BF316</f>
        <v>-7.3153837028462085</v>
      </c>
      <c r="BB316" s="487"/>
      <c r="BC316" s="1209">
        <f>BA316</f>
        <v>-7.3153837028462085</v>
      </c>
      <c r="BD316" s="487"/>
      <c r="BE316" s="487"/>
      <c r="BF316" s="754">
        <f>S316/$S$317</f>
        <v>0.26655151061527521</v>
      </c>
      <c r="BG316" s="487"/>
      <c r="BH316" s="487"/>
    </row>
    <row r="317" spans="1:61">
      <c r="A317" s="598"/>
      <c r="B317" s="1157" t="s">
        <v>531</v>
      </c>
      <c r="C317" s="598"/>
      <c r="D317" s="1120">
        <f>(S317/S310-1)*100</f>
        <v>-1.6458355476828057</v>
      </c>
      <c r="E317" s="598"/>
      <c r="F317" s="1179">
        <f>'SegP&amp;L'!Y176</f>
        <v>0</v>
      </c>
      <c r="G317" s="598"/>
      <c r="H317" s="1120">
        <f>D317-F317</f>
        <v>-1.6458355476828057</v>
      </c>
      <c r="I317" s="598"/>
      <c r="J317" s="598"/>
      <c r="K317" s="598"/>
      <c r="L317" s="1128">
        <f>AVERAGE(L313:L316)</f>
        <v>338.125</v>
      </c>
      <c r="M317" s="598"/>
      <c r="N317" s="1120">
        <f>(L317/L310-1)*100</f>
        <v>5.9122944400939792</v>
      </c>
      <c r="O317" s="1124"/>
      <c r="P317" s="1159">
        <f>H317/N317*100</f>
        <v>-27.837509859482644</v>
      </c>
      <c r="Q317" s="1125"/>
      <c r="R317" s="598"/>
      <c r="S317" s="1160">
        <f>SUM(S313:S316)</f>
        <v>2877.8340000000003</v>
      </c>
      <c r="T317" s="598"/>
      <c r="U317" s="1161">
        <f>SUM(U313:U316)</f>
        <v>8.5030552203385703</v>
      </c>
      <c r="V317" s="598"/>
      <c r="W317" s="1176">
        <f>(U317/U310-1)*100</f>
        <v>-7.1105157031034816</v>
      </c>
      <c r="X317" s="1124"/>
      <c r="Y317" s="598"/>
      <c r="Z317" s="598"/>
      <c r="AA317" s="598"/>
      <c r="AB317" s="1163">
        <f>AVERAGE(AB313:AB316)</f>
        <v>9.4375</v>
      </c>
      <c r="AC317" s="598"/>
      <c r="AD317" s="1120">
        <f>(AB317/AB310-1)*100</f>
        <v>5.5944055944056048</v>
      </c>
      <c r="AE317" s="1124"/>
      <c r="AF317" s="1159">
        <f>+H317/AD317*100</f>
        <v>-29.419310414830097</v>
      </c>
      <c r="AG317" s="1125"/>
      <c r="AH317" s="598"/>
      <c r="AI317" s="1160">
        <f>SUM(AI313:AI316)</f>
        <v>2877.8340000000003</v>
      </c>
      <c r="AJ317" s="598"/>
      <c r="AK317" s="1164">
        <f>SUM(AK313:AK316)</f>
        <v>304.68595612458762</v>
      </c>
      <c r="AL317" s="598"/>
      <c r="AM317" s="1176">
        <f>(AK317/AK310-1)*100</f>
        <v>-6.801651370847539</v>
      </c>
      <c r="AN317" s="1124"/>
      <c r="AP317" s="562">
        <v>0.96237594938432292</v>
      </c>
      <c r="AQ317" s="1198">
        <f>(AP317/AP310-1)*100</f>
        <v>-3.9663728936074616</v>
      </c>
      <c r="AR317" s="1198"/>
      <c r="AS317" s="499"/>
      <c r="AT317" s="499"/>
      <c r="AU317" s="499"/>
      <c r="AV317" s="499"/>
      <c r="AW317" s="499"/>
      <c r="AX317" s="499"/>
      <c r="AY317" s="1034">
        <f>AP312*AQ317</f>
        <v>-3.9663728936074616</v>
      </c>
      <c r="AZ317" s="499"/>
      <c r="BA317" s="499">
        <v>-4</v>
      </c>
      <c r="BB317" s="487"/>
      <c r="BC317" s="1209">
        <f>BA317</f>
        <v>-4</v>
      </c>
      <c r="BD317" s="487"/>
      <c r="BE317" s="487"/>
      <c r="BF317" s="754"/>
      <c r="BG317" s="487"/>
      <c r="BH317" s="487"/>
    </row>
    <row r="318" spans="1:61" ht="13.5" thickBot="1">
      <c r="A318" s="1125"/>
      <c r="B318" s="1210"/>
      <c r="C318" s="1125"/>
      <c r="D318" s="1125"/>
      <c r="E318" s="1125"/>
      <c r="F318" s="1125"/>
      <c r="G318" s="1125"/>
      <c r="H318" s="1125"/>
      <c r="I318" s="1125"/>
      <c r="J318" s="1125"/>
      <c r="K318" s="1125"/>
      <c r="L318" s="1212"/>
      <c r="M318" s="1125"/>
      <c r="N318" s="1125"/>
      <c r="O318" s="1125"/>
      <c r="P318" s="1125"/>
      <c r="Q318" s="1125"/>
      <c r="R318" s="1125"/>
      <c r="S318" s="1211"/>
      <c r="T318" s="1125"/>
      <c r="U318" s="1125"/>
      <c r="V318" s="1125"/>
      <c r="W318" s="1125"/>
      <c r="X318" s="1125"/>
      <c r="Y318" s="1125"/>
      <c r="Z318" s="1125"/>
      <c r="AA318" s="1125"/>
      <c r="AB318" s="1125"/>
      <c r="AC318" s="1125"/>
      <c r="AD318" s="1125"/>
      <c r="AE318" s="1125"/>
      <c r="AF318" s="1125"/>
      <c r="AG318" s="1125"/>
      <c r="AH318" s="1125"/>
      <c r="AI318" s="1125"/>
      <c r="AJ318" s="1125"/>
      <c r="AK318" s="1125"/>
      <c r="AL318" s="1125"/>
      <c r="AM318" s="1125"/>
      <c r="AN318" s="1125"/>
      <c r="AP318" s="487"/>
      <c r="AQ318" s="487"/>
      <c r="AR318" s="487"/>
      <c r="AS318" s="499"/>
      <c r="AT318" s="499"/>
      <c r="AU318" s="499"/>
      <c r="AV318" s="499"/>
      <c r="AW318" s="499"/>
      <c r="AX318" s="499"/>
      <c r="AY318" s="499"/>
      <c r="AZ318" s="499"/>
      <c r="BA318" s="499"/>
      <c r="BB318" s="487"/>
      <c r="BC318" s="499"/>
      <c r="BD318" s="487"/>
      <c r="BE318" s="487"/>
      <c r="BF318" s="754"/>
      <c r="BG318" s="487"/>
      <c r="BH318" s="487"/>
    </row>
    <row r="319" spans="1:61" ht="13.5" thickBot="1">
      <c r="A319" s="1154"/>
      <c r="B319" s="1118">
        <f>+B312+1</f>
        <v>2014</v>
      </c>
      <c r="C319" s="598" t="s">
        <v>164</v>
      </c>
      <c r="D319" s="1120"/>
      <c r="E319" s="1124"/>
      <c r="F319" s="598"/>
      <c r="G319" s="1124"/>
      <c r="H319" s="598"/>
      <c r="I319" s="1124"/>
      <c r="J319" s="598"/>
      <c r="K319" s="598"/>
      <c r="L319" s="598"/>
      <c r="M319" s="598"/>
      <c r="N319" s="598"/>
      <c r="O319" s="1124"/>
      <c r="P319" s="1125"/>
      <c r="Q319" s="1125"/>
      <c r="R319" s="598"/>
      <c r="S319" s="1160"/>
      <c r="T319" s="1127"/>
      <c r="U319" s="1128"/>
      <c r="V319" s="598"/>
      <c r="W319" s="598"/>
      <c r="X319" s="1124"/>
      <c r="Y319" s="598"/>
      <c r="Z319" s="598"/>
      <c r="AA319" s="1127"/>
      <c r="AB319" s="598"/>
      <c r="AC319" s="598"/>
      <c r="AD319" s="598"/>
      <c r="AE319" s="1124"/>
      <c r="AF319" s="1125"/>
      <c r="AG319" s="1125"/>
      <c r="AH319" s="598"/>
      <c r="AI319" s="598"/>
      <c r="AJ319" s="598"/>
      <c r="AK319" s="598"/>
      <c r="AL319" s="598"/>
      <c r="AM319" s="598"/>
      <c r="AN319" s="1124"/>
      <c r="AP319" s="1196">
        <v>1</v>
      </c>
      <c r="AQ319" s="735"/>
      <c r="AR319" s="487"/>
      <c r="AS319" s="499"/>
      <c r="AT319" s="499"/>
      <c r="AU319" s="499"/>
      <c r="AV319" s="499"/>
      <c r="AW319" s="499"/>
      <c r="AX319" s="499"/>
      <c r="AY319" s="499"/>
      <c r="AZ319" s="499"/>
      <c r="BA319" s="499"/>
      <c r="BB319" s="487"/>
      <c r="BC319" s="499"/>
      <c r="BD319" s="487"/>
      <c r="BE319" s="487"/>
      <c r="BF319" s="754"/>
      <c r="BG319" s="487"/>
      <c r="BH319" s="487"/>
    </row>
    <row r="320" spans="1:61">
      <c r="A320" s="598" t="s">
        <v>527</v>
      </c>
      <c r="B320" s="1157" t="s">
        <v>514</v>
      </c>
      <c r="C320" s="598"/>
      <c r="D320" s="1120">
        <f>(S320/S313-1)*100</f>
        <v>-5.743800116499564</v>
      </c>
      <c r="E320" s="1124" t="s">
        <v>190</v>
      </c>
      <c r="F320" s="1179">
        <f>'SegP&amp;L'!Y179</f>
        <v>-1</v>
      </c>
      <c r="G320" s="1124" t="s">
        <v>190</v>
      </c>
      <c r="H320" s="1120">
        <f>D320-F320</f>
        <v>-4.743800116499564</v>
      </c>
      <c r="I320" s="1124" t="s">
        <v>190</v>
      </c>
      <c r="J320" s="1206">
        <f>Stores!Y201+Stores!BA201+Stores!BO201</f>
        <v>354</v>
      </c>
      <c r="K320" s="598"/>
      <c r="L320" s="1128">
        <f>AVERAGE(J320,J316)</f>
        <v>349.5</v>
      </c>
      <c r="M320" s="598"/>
      <c r="N320" s="1120">
        <f>(L320/L313-1)*100</f>
        <v>5.9090909090909083</v>
      </c>
      <c r="O320" s="1124" t="s">
        <v>190</v>
      </c>
      <c r="P320" s="1159">
        <f>H320/N320*100</f>
        <v>-80.279694279223406</v>
      </c>
      <c r="Q320" s="1125" t="s">
        <v>190</v>
      </c>
      <c r="R320" s="598"/>
      <c r="S320" s="1160">
        <f>'SegP&amp;L'!W179</f>
        <v>608.41999999999996</v>
      </c>
      <c r="T320" s="598"/>
      <c r="U320" s="1161">
        <f>S320/L320</f>
        <v>1.7408297567954218</v>
      </c>
      <c r="V320" s="598"/>
      <c r="W320" s="1176">
        <f>(U320/U313-1)*100</f>
        <v>-11.002729723733495</v>
      </c>
      <c r="X320" s="1124" t="s">
        <v>190</v>
      </c>
      <c r="Y320" s="598"/>
      <c r="Z320" s="1129">
        <f>Stores!AB201+Stores!BD201+Stores!BR201</f>
        <v>9.9</v>
      </c>
      <c r="AA320" s="598"/>
      <c r="AB320" s="1163">
        <f>AVERAGE(Z320,Z316)</f>
        <v>9.75</v>
      </c>
      <c r="AC320" s="598"/>
      <c r="AD320" s="1120">
        <f>(AB320/AB313-1)*100</f>
        <v>5.4054054054053946</v>
      </c>
      <c r="AE320" s="1124" t="s">
        <v>190</v>
      </c>
      <c r="AF320" s="1159">
        <f>+H320/AD320*100</f>
        <v>-87.760302155242115</v>
      </c>
      <c r="AG320" s="1125" t="s">
        <v>190</v>
      </c>
      <c r="AH320" s="598"/>
      <c r="AI320" s="1160">
        <f>+S320</f>
        <v>608.41999999999996</v>
      </c>
      <c r="AJ320" s="598"/>
      <c r="AK320" s="1164">
        <f>AI320/AB320</f>
        <v>62.402051282051275</v>
      </c>
      <c r="AL320" s="598"/>
      <c r="AM320" s="1176">
        <f>(AK320/AK313-1)*100</f>
        <v>-10.57745139257651</v>
      </c>
      <c r="AN320" s="1124" t="s">
        <v>190</v>
      </c>
      <c r="AP320" s="562">
        <v>0.90516755371961477</v>
      </c>
      <c r="AQ320" s="1198">
        <f>(AP320/AP313-1)*100</f>
        <v>-7.8800544428685786</v>
      </c>
      <c r="AR320" s="1203" t="s">
        <v>190</v>
      </c>
      <c r="AS320" s="499"/>
      <c r="AT320" s="499"/>
      <c r="AU320" s="499"/>
      <c r="AV320" s="499"/>
      <c r="AW320" s="499"/>
      <c r="AX320" s="499"/>
      <c r="AY320" s="1034">
        <f>AP319*AQ320</f>
        <v>-7.8800544428685786</v>
      </c>
      <c r="AZ320" s="499"/>
      <c r="BA320" s="499">
        <v>-8</v>
      </c>
      <c r="BB320" s="487"/>
      <c r="BC320" s="1209">
        <f>BA320</f>
        <v>-8</v>
      </c>
      <c r="BD320" s="487"/>
      <c r="BE320" s="487"/>
      <c r="BF320" s="754">
        <f>S320/$S$324</f>
        <v>0.21095889176021793</v>
      </c>
      <c r="BG320" s="487"/>
      <c r="BH320" s="487"/>
    </row>
    <row r="321" spans="1:60">
      <c r="A321" s="598" t="s">
        <v>528</v>
      </c>
      <c r="B321" s="1157" t="s">
        <v>515</v>
      </c>
      <c r="C321" s="598"/>
      <c r="D321" s="1120">
        <f>(S321/S314-1)*100</f>
        <v>2.4375739662390039</v>
      </c>
      <c r="E321" s="1124"/>
      <c r="F321" s="1179">
        <f>'SegP&amp;L'!Y180</f>
        <v>3</v>
      </c>
      <c r="G321" s="1124"/>
      <c r="H321" s="1120">
        <f>D321-F321</f>
        <v>-0.56242603376099609</v>
      </c>
      <c r="I321" s="1124"/>
      <c r="J321" s="1206">
        <f>Stores!Y202+Stores!BA202+Stores!BO202</f>
        <v>355</v>
      </c>
      <c r="K321" s="598"/>
      <c r="L321" s="1128">
        <f>AVERAGE(J321,J317)</f>
        <v>355</v>
      </c>
      <c r="M321" s="598"/>
      <c r="N321" s="1120">
        <f>(L321/L314-1)*100</f>
        <v>5.4977711738484425</v>
      </c>
      <c r="O321" s="1124"/>
      <c r="P321" s="1159">
        <f>H321/N321*100</f>
        <v>-10.23007353300406</v>
      </c>
      <c r="Q321" s="1125"/>
      <c r="R321" s="598"/>
      <c r="S321" s="1165">
        <f>'SegP&amp;L'!W180</f>
        <v>695.92399999999998</v>
      </c>
      <c r="T321" s="1127"/>
      <c r="U321" s="1166">
        <f>S321/L321</f>
        <v>1.9603492957746478</v>
      </c>
      <c r="V321" s="598"/>
      <c r="W321" s="1176">
        <f>(U321/U314-1)*100</f>
        <v>-2.9007221418607787</v>
      </c>
      <c r="X321" s="1124"/>
      <c r="Y321" s="598"/>
      <c r="Z321" s="1129">
        <f>Stores!AB202+Stores!BD202+Stores!BR202</f>
        <v>9.9</v>
      </c>
      <c r="AA321" s="1127"/>
      <c r="AB321" s="1163">
        <f>AVERAGE(Z321,Z320)</f>
        <v>9.9</v>
      </c>
      <c r="AC321" s="598"/>
      <c r="AD321" s="1120">
        <f>(AB321/AB314-1)*100</f>
        <v>5.319148936170226</v>
      </c>
      <c r="AE321" s="1124"/>
      <c r="AF321" s="1159">
        <f>+H321/AD321*100</f>
        <v>-10.5736094347067</v>
      </c>
      <c r="AG321" s="1125"/>
      <c r="AH321" s="598"/>
      <c r="AI321" s="1165">
        <f>+S321</f>
        <v>695.92399999999998</v>
      </c>
      <c r="AJ321" s="598"/>
      <c r="AK321" s="1167">
        <f>AI321/AB321</f>
        <v>70.295353535353527</v>
      </c>
      <c r="AL321" s="598"/>
      <c r="AM321" s="1176">
        <f>(AK321/AK314-1)*100</f>
        <v>-2.7360408805407688</v>
      </c>
      <c r="AN321" s="1124"/>
      <c r="AP321" s="562">
        <v>0.92424581481994816</v>
      </c>
      <c r="AQ321" s="1198">
        <f>(AP321/AP314-1)*100</f>
        <v>-4.725355447820867</v>
      </c>
      <c r="AR321" s="1198">
        <f>+(AP321/AP314-1)*100</f>
        <v>-4.725355447820867</v>
      </c>
      <c r="AS321" s="499"/>
      <c r="AT321" s="499"/>
      <c r="AU321" s="499"/>
      <c r="AV321" s="499"/>
      <c r="AW321" s="499"/>
      <c r="AX321" s="499"/>
      <c r="AY321" s="1034">
        <f>AP319*AQ321</f>
        <v>-4.725355447820867</v>
      </c>
      <c r="AZ321" s="499"/>
      <c r="BA321" s="499">
        <v>-5</v>
      </c>
      <c r="BB321" s="487"/>
      <c r="BC321" s="1209">
        <f>BA321</f>
        <v>-5</v>
      </c>
      <c r="BD321" s="487"/>
      <c r="BE321" s="487"/>
      <c r="BF321" s="754">
        <f>S321/$S$324</f>
        <v>0.24129935864918628</v>
      </c>
      <c r="BG321" s="487">
        <v>-7</v>
      </c>
      <c r="BH321" s="487"/>
    </row>
    <row r="322" spans="1:60">
      <c r="A322" s="598" t="s">
        <v>529</v>
      </c>
      <c r="B322" s="1157" t="s">
        <v>516</v>
      </c>
      <c r="C322" s="598"/>
      <c r="D322" s="1120">
        <f>(S322/S315-1)*100</f>
        <v>0.74336765141884698</v>
      </c>
      <c r="E322" s="1124"/>
      <c r="F322" s="1179">
        <f>'SegP&amp;L'!Y181</f>
        <v>3</v>
      </c>
      <c r="G322" s="1124"/>
      <c r="H322" s="1120">
        <f>D322-F322</f>
        <v>-2.256632348581153</v>
      </c>
      <c r="I322" s="1124"/>
      <c r="J322" s="1206">
        <f>Stores!Y203+Stores!BA203+Stores!BO203</f>
        <v>368</v>
      </c>
      <c r="K322" s="598"/>
      <c r="L322" s="1128">
        <f>AVERAGE(J322,J318)</f>
        <v>368</v>
      </c>
      <c r="M322" s="598"/>
      <c r="N322" s="1120">
        <f>(L322/L315-1)*100</f>
        <v>7.9178885630498463</v>
      </c>
      <c r="O322" s="1124"/>
      <c r="P322" s="1159">
        <f>H322/N322*100</f>
        <v>-28.500430772821257</v>
      </c>
      <c r="Q322" s="1125"/>
      <c r="R322" s="598"/>
      <c r="S322" s="1165">
        <f>'SegP&amp;L'!W181</f>
        <v>791.72500000000002</v>
      </c>
      <c r="T322" s="1127"/>
      <c r="U322" s="1166">
        <f>S322/L322</f>
        <v>2.1514266304347829</v>
      </c>
      <c r="V322" s="598"/>
      <c r="W322" s="1176">
        <f>(U322/U315-1)*100</f>
        <v>-6.6481294317015553</v>
      </c>
      <c r="X322" s="1124"/>
      <c r="Y322" s="598"/>
      <c r="Z322" s="1129">
        <f>Stores!AB203+Stores!BD203+Stores!BR203</f>
        <v>10.199999999999999</v>
      </c>
      <c r="AA322" s="1127"/>
      <c r="AB322" s="1163">
        <f>AVERAGE(Z322,Z321)</f>
        <v>10.050000000000001</v>
      </c>
      <c r="AC322" s="598"/>
      <c r="AD322" s="1120">
        <f>(AB322/AB315-1)*100</f>
        <v>5.7894736842105443</v>
      </c>
      <c r="AE322" s="1124"/>
      <c r="AF322" s="1159">
        <f>+H322/AD322*100</f>
        <v>-38.978195111856159</v>
      </c>
      <c r="AG322" s="1125"/>
      <c r="AH322" s="598"/>
      <c r="AI322" s="1165">
        <f>+S322</f>
        <v>791.72500000000002</v>
      </c>
      <c r="AJ322" s="598"/>
      <c r="AK322" s="1167">
        <f>AI322/AB322</f>
        <v>78.77860696517412</v>
      </c>
      <c r="AL322" s="598"/>
      <c r="AM322" s="1176">
        <f>(AK322/AK315-1)*100</f>
        <v>-4.7699509762707537</v>
      </c>
      <c r="AN322" s="1124"/>
      <c r="AP322" s="562">
        <v>0.90856615369593052</v>
      </c>
      <c r="AQ322" s="1198">
        <f>(AP322/AP315-1)*100</f>
        <v>-5.7399481300466242</v>
      </c>
      <c r="AR322" s="1198">
        <f>+(AP322/AP315-1)*100</f>
        <v>-5.7399481300466242</v>
      </c>
      <c r="AS322" s="499"/>
      <c r="AT322" s="499"/>
      <c r="AU322" s="499"/>
      <c r="AV322" s="499"/>
      <c r="AW322" s="499"/>
      <c r="AX322" s="499"/>
      <c r="AY322" s="1034">
        <f>AP319*AQ322</f>
        <v>-5.7399481300466242</v>
      </c>
      <c r="AZ322" s="499"/>
      <c r="BA322" s="499">
        <v>-6</v>
      </c>
      <c r="BB322" s="487"/>
      <c r="BC322" s="1209">
        <f>BA322</f>
        <v>-6</v>
      </c>
      <c r="BD322" s="487"/>
      <c r="BE322" s="487"/>
      <c r="BF322" s="754">
        <f>S322/$S$324</f>
        <v>0.27451666378300937</v>
      </c>
      <c r="BG322" s="487">
        <v>-7</v>
      </c>
      <c r="BH322" s="487"/>
    </row>
    <row r="323" spans="1:60" ht="15">
      <c r="A323" s="598" t="s">
        <v>530</v>
      </c>
      <c r="B323" s="1157" t="s">
        <v>517</v>
      </c>
      <c r="C323" s="598"/>
      <c r="D323" s="1168">
        <f>(S323/S316-1)*100</f>
        <v>2.7257522249641841</v>
      </c>
      <c r="E323" s="598"/>
      <c r="F323" s="1178">
        <f>'SegP&amp;L'!Y182</f>
        <v>7</v>
      </c>
      <c r="G323" s="598"/>
      <c r="H323" s="1168">
        <f>D323-F323</f>
        <v>-4.2742477750358159</v>
      </c>
      <c r="I323" s="598"/>
      <c r="J323" s="1206">
        <f>Stores!Y204+Stores!BA204+Stores!BO204</f>
        <v>368</v>
      </c>
      <c r="K323" s="598"/>
      <c r="L323" s="1171">
        <f>AVERAGE(J323,J319)</f>
        <v>368</v>
      </c>
      <c r="M323" s="598"/>
      <c r="N323" s="1168">
        <f>(L323/L316-1)*100</f>
        <v>6.6666666666666652</v>
      </c>
      <c r="O323" s="1124"/>
      <c r="P323" s="1171">
        <f>H323/N323*100</f>
        <v>-64.113716625537251</v>
      </c>
      <c r="Q323" s="1125"/>
      <c r="R323" s="598"/>
      <c r="S323" s="1185">
        <f>'SegP&amp;L'!W182</f>
        <v>788</v>
      </c>
      <c r="T323" s="598"/>
      <c r="U323" s="1173">
        <f>S323/L323</f>
        <v>2.1413043478260869</v>
      </c>
      <c r="V323" s="598"/>
      <c r="W323" s="1169">
        <f>(U323/U316-1)*100</f>
        <v>-3.6946072890960857</v>
      </c>
      <c r="X323" s="1124"/>
      <c r="Y323" s="598"/>
      <c r="Z323" s="1129">
        <f>Stores!AB204+Stores!BD204+Stores!BR204</f>
        <v>10.199999999999999</v>
      </c>
      <c r="AA323" s="598"/>
      <c r="AB323" s="1214">
        <f>AVERAGE(Z323,Z322)</f>
        <v>10.199999999999999</v>
      </c>
      <c r="AC323" s="598"/>
      <c r="AD323" s="1168">
        <f>(AB323/AB316-1)*100</f>
        <v>6.2499999999999778</v>
      </c>
      <c r="AE323" s="1124"/>
      <c r="AF323" s="1171">
        <f>+H323/AD323*100</f>
        <v>-68.387964400573296</v>
      </c>
      <c r="AG323" s="1125"/>
      <c r="AH323" s="598"/>
      <c r="AI323" s="1172">
        <f>+S323</f>
        <v>788</v>
      </c>
      <c r="AJ323" s="598"/>
      <c r="AK323" s="1175">
        <f>AI323/AB323</f>
        <v>77.254901960784323</v>
      </c>
      <c r="AL323" s="598"/>
      <c r="AM323" s="1169">
        <f>(AK323/AK316-1)*100</f>
        <v>-3.3169390823866274</v>
      </c>
      <c r="AN323" s="1124"/>
      <c r="AP323" s="1201">
        <v>0.85797989620116322</v>
      </c>
      <c r="AQ323" s="1202">
        <f>(AP323/AP316-1)*100</f>
        <v>-8.2461459910179062</v>
      </c>
      <c r="AR323" s="487"/>
      <c r="AS323" s="499"/>
      <c r="AT323" s="499"/>
      <c r="AU323" s="499"/>
      <c r="AV323" s="499"/>
      <c r="AW323" s="499"/>
      <c r="AX323" s="499"/>
      <c r="AY323" s="1034">
        <f>AP319*AQ323</f>
        <v>-8.2461459910179062</v>
      </c>
      <c r="AZ323" s="499"/>
      <c r="BA323" s="499"/>
      <c r="BB323" s="487"/>
      <c r="BC323" s="1209">
        <f>AY323</f>
        <v>-8.2461459910179062</v>
      </c>
      <c r="BD323" s="487"/>
      <c r="BE323" s="487"/>
      <c r="BF323" s="754">
        <f>S323/$S$324</f>
        <v>0.27322508580758642</v>
      </c>
      <c r="BG323" s="487"/>
      <c r="BH323" s="487"/>
    </row>
    <row r="324" spans="1:60">
      <c r="A324" s="598"/>
      <c r="B324" s="1157" t="s">
        <v>531</v>
      </c>
      <c r="C324" s="598"/>
      <c r="D324" s="1120">
        <f>(S324/S317-1)*100</f>
        <v>0.21665599892140008</v>
      </c>
      <c r="E324" s="598"/>
      <c r="F324" s="1179">
        <f>'SegP&amp;L'!Y183</f>
        <v>3</v>
      </c>
      <c r="G324" s="598"/>
      <c r="H324" s="1120">
        <f>D324-F324</f>
        <v>-2.7833440010785999</v>
      </c>
      <c r="I324" s="598"/>
      <c r="J324" s="598"/>
      <c r="K324" s="598"/>
      <c r="L324" s="1128">
        <f>AVERAGE(L320:L323)</f>
        <v>360.125</v>
      </c>
      <c r="M324" s="598"/>
      <c r="N324" s="1120">
        <f>(L324/L317-1)*100</f>
        <v>6.5064695009242168</v>
      </c>
      <c r="O324" s="1124"/>
      <c r="P324" s="1159">
        <f>H324/N324*100</f>
        <v>-42.778099562031876</v>
      </c>
      <c r="Q324" s="1125"/>
      <c r="R324" s="598"/>
      <c r="S324" s="1160">
        <f>SUM(S320:S323)</f>
        <v>2884.069</v>
      </c>
      <c r="T324" s="598"/>
      <c r="U324" s="1161">
        <f>SUM(U320:U323)</f>
        <v>7.9939100308309401</v>
      </c>
      <c r="V324" s="598"/>
      <c r="W324" s="1176">
        <f>(U324/U317-1)*100</f>
        <v>-5.987791168165046</v>
      </c>
      <c r="X324" s="1124"/>
      <c r="Y324" s="598"/>
      <c r="Z324" s="598"/>
      <c r="AA324" s="598"/>
      <c r="AB324" s="1163">
        <f>AVERAGE(AB320:AB323)</f>
        <v>9.9749999999999996</v>
      </c>
      <c r="AC324" s="598"/>
      <c r="AD324" s="1120">
        <f>(AB324/AB317-1)*100</f>
        <v>5.695364238410594</v>
      </c>
      <c r="AE324" s="1124"/>
      <c r="AF324" s="1159">
        <f>+H324/AD324*100</f>
        <v>-48.870342344519621</v>
      </c>
      <c r="AG324" s="1125"/>
      <c r="AH324" s="598"/>
      <c r="AI324" s="1160">
        <f>SUM(AI320:AI323)</f>
        <v>2884.069</v>
      </c>
      <c r="AJ324" s="598"/>
      <c r="AK324" s="1164">
        <f>SUM(AK320:AK323)</f>
        <v>288.7309137433632</v>
      </c>
      <c r="AL324" s="598"/>
      <c r="AM324" s="1176">
        <f>(AK324/AK317-1)*100</f>
        <v>-5.2365532642733026</v>
      </c>
      <c r="AN324" s="1124"/>
      <c r="AP324" s="562">
        <v>0.89898985460916425</v>
      </c>
      <c r="AQ324" s="1198">
        <f>(AP324/AP317-1)*100</f>
        <v>-6.5864171705153023</v>
      </c>
      <c r="AR324" s="1198"/>
      <c r="AS324" s="499"/>
      <c r="AT324" s="499"/>
      <c r="AU324" s="499"/>
      <c r="AV324" s="499"/>
      <c r="AW324" s="499"/>
      <c r="AX324" s="499"/>
      <c r="AY324" s="1034">
        <f>AP319*AQ324</f>
        <v>-6.5864171705153023</v>
      </c>
      <c r="AZ324" s="499"/>
      <c r="BB324" s="487"/>
      <c r="BC324" s="1209">
        <f>AY324</f>
        <v>-6.5864171705153023</v>
      </c>
      <c r="BD324" s="487"/>
      <c r="BE324" s="487"/>
      <c r="BF324" s="754"/>
      <c r="BG324" s="487"/>
      <c r="BH324" s="487"/>
    </row>
    <row r="325" spans="1:60" ht="13.5" thickBot="1">
      <c r="A325" s="1125"/>
      <c r="B325" s="1210"/>
      <c r="C325" s="1125"/>
      <c r="D325" s="1125"/>
      <c r="E325" s="1125"/>
      <c r="F325" s="1125"/>
      <c r="G325" s="1125"/>
      <c r="H325" s="1125"/>
      <c r="I325" s="1125"/>
      <c r="J325" s="1125"/>
      <c r="K325" s="1125"/>
      <c r="L325" s="1212"/>
      <c r="M325" s="1125"/>
      <c r="N325" s="1125"/>
      <c r="O325" s="1125"/>
      <c r="P325" s="1125"/>
      <c r="Q325" s="1125"/>
      <c r="R325" s="1125"/>
      <c r="S325" s="1211"/>
      <c r="T325" s="1125"/>
      <c r="U325" s="1125"/>
      <c r="V325" s="1125"/>
      <c r="W325" s="1125"/>
      <c r="X325" s="1125"/>
      <c r="Y325" s="1125"/>
      <c r="Z325" s="1125"/>
      <c r="AA325" s="1125"/>
      <c r="AB325" s="1125"/>
      <c r="AC325" s="1125"/>
      <c r="AD325" s="1125"/>
      <c r="AE325" s="1125"/>
      <c r="AF325" s="1125"/>
      <c r="AG325" s="1125"/>
      <c r="AH325" s="1125"/>
      <c r="AI325" s="1125"/>
      <c r="AJ325" s="1125"/>
      <c r="AK325" s="1125"/>
      <c r="AL325" s="1125"/>
      <c r="AM325" s="1125"/>
      <c r="AN325" s="1125"/>
      <c r="AP325" s="487"/>
      <c r="AQ325" s="487"/>
      <c r="AR325" s="487"/>
      <c r="AS325" s="499"/>
      <c r="AT325" s="499"/>
      <c r="AU325" s="499"/>
      <c r="AV325" s="499"/>
      <c r="AW325" s="499"/>
      <c r="AX325" s="499"/>
      <c r="AY325" s="499"/>
      <c r="AZ325" s="499"/>
      <c r="BA325" s="499"/>
      <c r="BB325" s="487"/>
      <c r="BC325" s="499"/>
      <c r="BD325" s="487"/>
      <c r="BE325" s="487"/>
      <c r="BF325" s="754"/>
      <c r="BG325" s="487"/>
      <c r="BH325" s="487"/>
    </row>
    <row r="326" spans="1:60" ht="13.5" thickBot="1">
      <c r="A326" s="1154"/>
      <c r="B326" s="1118">
        <f>+B319+1</f>
        <v>2015</v>
      </c>
      <c r="C326" s="598" t="s">
        <v>164</v>
      </c>
      <c r="D326" s="1120"/>
      <c r="E326" s="1124"/>
      <c r="F326" s="598"/>
      <c r="G326" s="1124"/>
      <c r="H326" s="598"/>
      <c r="I326" s="1124"/>
      <c r="J326" s="598"/>
      <c r="K326" s="598"/>
      <c r="L326" s="598"/>
      <c r="M326" s="598"/>
      <c r="N326" s="598"/>
      <c r="O326" s="1124"/>
      <c r="P326" s="1125"/>
      <c r="Q326" s="1125"/>
      <c r="R326" s="598"/>
      <c r="S326" s="1160"/>
      <c r="T326" s="1127"/>
      <c r="U326" s="1128"/>
      <c r="V326" s="598"/>
      <c r="W326" s="598"/>
      <c r="X326" s="1124"/>
      <c r="Y326" s="598"/>
      <c r="Z326" s="598"/>
      <c r="AA326" s="1127"/>
      <c r="AB326" s="598"/>
      <c r="AC326" s="598"/>
      <c r="AD326" s="598"/>
      <c r="AE326" s="1124"/>
      <c r="AF326" s="1125"/>
      <c r="AG326" s="1125"/>
      <c r="AH326" s="598"/>
      <c r="AI326" s="598"/>
      <c r="AJ326" s="598"/>
      <c r="AK326" s="598"/>
      <c r="AL326" s="598"/>
      <c r="AM326" s="598"/>
      <c r="AN326" s="1124"/>
      <c r="AP326" s="1196">
        <v>1</v>
      </c>
      <c r="AQ326" s="735"/>
      <c r="AR326" s="807"/>
      <c r="AS326" s="706"/>
      <c r="AT326" s="706"/>
      <c r="AU326" s="1215"/>
      <c r="AV326" s="706"/>
      <c r="AW326" s="706"/>
      <c r="AX326" s="695"/>
      <c r="AY326" s="695"/>
      <c r="AZ326" s="695"/>
      <c r="BA326" s="695"/>
      <c r="BB326" s="695"/>
      <c r="BC326" s="695"/>
      <c r="BD326" s="695"/>
      <c r="BE326" s="695"/>
      <c r="BF326" s="1216"/>
      <c r="BG326" s="695"/>
      <c r="BH326" s="695"/>
    </row>
    <row r="327" spans="1:60">
      <c r="A327" s="598" t="s">
        <v>527</v>
      </c>
      <c r="B327" s="1157" t="s">
        <v>514</v>
      </c>
      <c r="C327" s="598"/>
      <c r="D327" s="1120">
        <f>(S327/S320-1)*100</f>
        <v>1.9381348410637544</v>
      </c>
      <c r="E327" s="1124" t="s">
        <v>190</v>
      </c>
      <c r="F327" s="1179">
        <f>'SegP&amp;L'!Y186</f>
        <v>11</v>
      </c>
      <c r="G327" s="1124" t="s">
        <v>190</v>
      </c>
      <c r="H327" s="1120">
        <f>D327-F327</f>
        <v>-9.0618651589362464</v>
      </c>
      <c r="I327" s="598"/>
      <c r="J327" s="1206">
        <f>Stores!Y208+Stores!BA208+Stores!BO208</f>
        <v>375</v>
      </c>
      <c r="K327" s="1127"/>
      <c r="L327" s="1167">
        <f>AVERAGE(J327,J323)</f>
        <v>371.5</v>
      </c>
      <c r="M327" s="598"/>
      <c r="N327" s="1120">
        <f>(L327/L320-1)*100</f>
        <v>6.2947067238912746</v>
      </c>
      <c r="O327" s="1124"/>
      <c r="P327" s="1159">
        <f>H327/N327*100</f>
        <v>-143.96008513855534</v>
      </c>
      <c r="Q327" s="1125"/>
      <c r="R327" s="598"/>
      <c r="S327" s="1160">
        <f>'SegP&amp;L'!W186</f>
        <v>620.21199999999999</v>
      </c>
      <c r="T327" s="598"/>
      <c r="U327" s="1161">
        <f>S327/L327</f>
        <v>1.6694804845222073</v>
      </c>
      <c r="V327" s="598"/>
      <c r="W327" s="1176">
        <f>(U327/U320-1)*100</f>
        <v>-4.0985783931311364</v>
      </c>
      <c r="X327" s="1124" t="s">
        <v>190</v>
      </c>
      <c r="Y327" s="598"/>
      <c r="Z327" s="1129">
        <f>Stores!AB208+Stores!BD208+Stores!BR208</f>
        <v>10.299999999999999</v>
      </c>
      <c r="AA327" s="598"/>
      <c r="AB327" s="1163">
        <f>AVERAGE(Z327,Z323)</f>
        <v>10.25</v>
      </c>
      <c r="AC327" s="598"/>
      <c r="AD327" s="1120">
        <f>(AB327/AB320-1)*100</f>
        <v>5.1282051282051322</v>
      </c>
      <c r="AE327" s="1124" t="s">
        <v>190</v>
      </c>
      <c r="AF327" s="1159">
        <f>+H327/AD327*100</f>
        <v>-176.70637059925667</v>
      </c>
      <c r="AG327" s="1125" t="s">
        <v>190</v>
      </c>
      <c r="AH327" s="598"/>
      <c r="AI327" s="1160">
        <f>+S327</f>
        <v>620.21199999999999</v>
      </c>
      <c r="AJ327" s="598"/>
      <c r="AK327" s="1164">
        <f>AI327/AB327</f>
        <v>60.508487804878051</v>
      </c>
      <c r="AL327" s="598"/>
      <c r="AM327" s="1176">
        <f>(AK327/AK320-1)*100</f>
        <v>-3.0344571024027656</v>
      </c>
      <c r="AN327" s="1124" t="s">
        <v>190</v>
      </c>
      <c r="AO327" s="1217">
        <f>F327+F320</f>
        <v>10</v>
      </c>
      <c r="AP327" s="562">
        <v>0</v>
      </c>
      <c r="AQ327" s="1198">
        <f>(AP327/AP320-1)*100</f>
        <v>-100</v>
      </c>
      <c r="AR327" s="1203" t="s">
        <v>190</v>
      </c>
      <c r="AS327" s="499"/>
      <c r="AT327" s="499"/>
      <c r="AU327" s="499"/>
      <c r="AV327" s="499"/>
      <c r="AW327" s="499"/>
      <c r="AX327" s="499"/>
      <c r="AY327" s="1034">
        <f>AP326*AQ327</f>
        <v>-100</v>
      </c>
      <c r="AZ327" s="499"/>
      <c r="BA327" s="499"/>
      <c r="BB327" s="487"/>
      <c r="BC327" s="1209">
        <f>AY327</f>
        <v>-100</v>
      </c>
      <c r="BD327" s="487"/>
      <c r="BE327" s="487"/>
      <c r="BF327" s="754">
        <f>S327/$S$331</f>
        <v>0.21726627424975051</v>
      </c>
      <c r="BG327" s="487"/>
      <c r="BH327" s="487"/>
    </row>
    <row r="328" spans="1:60">
      <c r="A328" s="598" t="s">
        <v>528</v>
      </c>
      <c r="B328" s="1157" t="s">
        <v>515</v>
      </c>
      <c r="C328" s="598"/>
      <c r="D328" s="1120">
        <f>(S328/S321-1)*100</f>
        <v>0.49186405412084966</v>
      </c>
      <c r="E328" s="1124"/>
      <c r="F328" s="1179">
        <f>'SegP&amp;L'!Y187</f>
        <v>12</v>
      </c>
      <c r="G328" s="598"/>
      <c r="H328" s="1120">
        <f>D328-F328</f>
        <v>-11.50813594587915</v>
      </c>
      <c r="I328" s="598"/>
      <c r="J328" s="1206">
        <f>Stores!Y209+Stores!BA209+Stores!BO209</f>
        <v>376</v>
      </c>
      <c r="K328" s="1127"/>
      <c r="L328" s="1167">
        <f>AVERAGE(J328,J327)</f>
        <v>375.5</v>
      </c>
      <c r="M328" s="598"/>
      <c r="N328" s="1120">
        <f>(L328/L321-1)*100</f>
        <v>5.774647887323936</v>
      </c>
      <c r="O328" s="1124"/>
      <c r="P328" s="1159">
        <f>H328/N328*100</f>
        <v>-199.28723223351724</v>
      </c>
      <c r="Q328" s="1125"/>
      <c r="R328" s="598"/>
      <c r="S328" s="1165">
        <f>'SegP&amp;L'!W187</f>
        <v>699.34699999999998</v>
      </c>
      <c r="T328" s="1127"/>
      <c r="U328" s="1166">
        <f>S328/L328</f>
        <v>1.8624420772303594</v>
      </c>
      <c r="V328" s="598"/>
      <c r="W328" s="1176">
        <f>(U328/U321-1)*100</f>
        <v>-4.9943761938404769</v>
      </c>
      <c r="X328" s="1124"/>
      <c r="Y328" s="598"/>
      <c r="Z328" s="1129">
        <f>Stores!AB209+Stores!BD209+Stores!BR209</f>
        <v>10.299999999999999</v>
      </c>
      <c r="AA328" s="1127"/>
      <c r="AB328" s="1163">
        <f>AVERAGE(Z328,Z327)</f>
        <v>10.299999999999999</v>
      </c>
      <c r="AC328" s="598"/>
      <c r="AD328" s="1120">
        <f>(AB328/AB321-1)*100</f>
        <v>4.040404040404022</v>
      </c>
      <c r="AE328" s="1124"/>
      <c r="AF328" s="1159">
        <f>+H328/AD328*100</f>
        <v>-284.82636466051025</v>
      </c>
      <c r="AG328" s="1125"/>
      <c r="AH328" s="598"/>
      <c r="AI328" s="1165">
        <f>+S328</f>
        <v>699.34699999999998</v>
      </c>
      <c r="AJ328" s="598"/>
      <c r="AK328" s="1167">
        <f>AI328/AB328</f>
        <v>67.897766990291274</v>
      </c>
      <c r="AL328" s="598"/>
      <c r="AM328" s="1176">
        <f>(AK328/AK321-1)*100</f>
        <v>-3.4107326081750711</v>
      </c>
      <c r="AN328" s="1124"/>
      <c r="AO328" s="1217">
        <f>F328+F321</f>
        <v>15</v>
      </c>
      <c r="AP328" s="562">
        <v>0</v>
      </c>
      <c r="AQ328" s="1198">
        <f>(AP328/AP321-1)*100</f>
        <v>-100</v>
      </c>
      <c r="AR328" s="1198">
        <f>+(AP328/AP321-1)*100</f>
        <v>-100</v>
      </c>
      <c r="AS328" s="499"/>
      <c r="AT328" s="499"/>
      <c r="AU328" s="499"/>
      <c r="AV328" s="499"/>
      <c r="AW328" s="499"/>
      <c r="AX328" s="499"/>
      <c r="AY328" s="1034">
        <f>AP326*AQ328</f>
        <v>-100</v>
      </c>
      <c r="AZ328" s="499"/>
      <c r="BA328" s="499"/>
      <c r="BB328" s="487"/>
      <c r="BC328" s="1209">
        <f>AY328</f>
        <v>-100</v>
      </c>
      <c r="BD328" s="487"/>
      <c r="BE328" s="487"/>
      <c r="BF328" s="754">
        <f>S328/$S$331</f>
        <v>0.24498803166939734</v>
      </c>
      <c r="BG328" s="487"/>
      <c r="BH328" s="487"/>
    </row>
    <row r="329" spans="1:60">
      <c r="A329" s="598" t="s">
        <v>529</v>
      </c>
      <c r="B329" s="1157" t="s">
        <v>516</v>
      </c>
      <c r="C329" s="598"/>
      <c r="D329" s="1120">
        <f>(S329/S322-1)*100</f>
        <v>-4.8116454577031176</v>
      </c>
      <c r="E329" s="598"/>
      <c r="F329" s="1179">
        <f>'SegP&amp;L'!Y188</f>
        <v>10</v>
      </c>
      <c r="G329" s="598"/>
      <c r="H329" s="1120">
        <f>D329-F329</f>
        <v>-14.811645457703118</v>
      </c>
      <c r="I329" s="598"/>
      <c r="J329" s="1206">
        <f>Stores!Y210+Stores!BA210+Stores!BO210</f>
        <v>387</v>
      </c>
      <c r="K329" s="1127"/>
      <c r="L329" s="1167">
        <f>AVERAGE(J329,J328)</f>
        <v>381.5</v>
      </c>
      <c r="M329" s="598"/>
      <c r="N329" s="1120">
        <f>(L329/L322-1)*100</f>
        <v>3.6684782608695565</v>
      </c>
      <c r="O329" s="1124"/>
      <c r="P329" s="1159">
        <f>H329/N329*100</f>
        <v>-403.75448358776003</v>
      </c>
      <c r="Q329" s="1125"/>
      <c r="R329" s="598"/>
      <c r="S329" s="1165">
        <f>'SegP&amp;L'!W188</f>
        <v>753.63</v>
      </c>
      <c r="T329" s="1127"/>
      <c r="U329" s="1166">
        <f>S329/L329</f>
        <v>1.9754390563564876</v>
      </c>
      <c r="V329" s="598"/>
      <c r="W329" s="1176">
        <f>(U329/U322-1)*100</f>
        <v>-8.1800407036297536</v>
      </c>
      <c r="X329" s="1124"/>
      <c r="Y329" s="598"/>
      <c r="Z329" s="1129">
        <f>Stores!AB210+Stores!BD210+Stores!BR210</f>
        <v>10.5</v>
      </c>
      <c r="AA329" s="1127"/>
      <c r="AB329" s="1163">
        <f>AVERAGE(Z329,Z328)</f>
        <v>10.399999999999999</v>
      </c>
      <c r="AC329" s="598"/>
      <c r="AD329" s="1120">
        <f>(AB329/AB322-1)*100</f>
        <v>3.48258706467659</v>
      </c>
      <c r="AE329" s="1124"/>
      <c r="AF329" s="1159">
        <f>+H329/AD329*100</f>
        <v>-425.30581957119284</v>
      </c>
      <c r="AG329" s="1125"/>
      <c r="AH329" s="598"/>
      <c r="AI329" s="1165">
        <f>+S329</f>
        <v>753.63</v>
      </c>
      <c r="AJ329" s="598"/>
      <c r="AK329" s="1167">
        <f>AI329/AB329</f>
        <v>72.464423076923083</v>
      </c>
      <c r="AL329" s="598"/>
      <c r="AM329" s="1176">
        <f>(AK329/AK322-1)*100</f>
        <v>-8.0150996971073205</v>
      </c>
      <c r="AN329" s="1124"/>
      <c r="AO329" s="1217">
        <f>F329+F322</f>
        <v>13</v>
      </c>
      <c r="AP329" s="562">
        <v>0.8006989240855924</v>
      </c>
      <c r="AQ329" s="1198">
        <f>(AP329/AP322-1)*100</f>
        <v>-11.872248286109722</v>
      </c>
      <c r="AR329" s="1198">
        <f>+(AP329/AP322-1)*100</f>
        <v>-11.872248286109722</v>
      </c>
      <c r="AS329" s="499"/>
      <c r="AT329" s="499"/>
      <c r="AU329" s="499"/>
      <c r="AV329" s="499"/>
      <c r="AW329" s="499"/>
      <c r="AX329" s="499"/>
      <c r="AY329" s="1034">
        <f>AP326*AQ329</f>
        <v>-11.872248286109722</v>
      </c>
      <c r="AZ329" s="499"/>
      <c r="BA329" s="499"/>
      <c r="BB329" s="487"/>
      <c r="BC329" s="1209">
        <f>AY329</f>
        <v>-11.872248286109722</v>
      </c>
      <c r="BD329" s="487"/>
      <c r="BE329" s="487"/>
      <c r="BF329" s="754">
        <f>S329/$S$331</f>
        <v>0.26400389264128954</v>
      </c>
      <c r="BG329" s="487"/>
      <c r="BH329" s="487"/>
    </row>
    <row r="330" spans="1:60" ht="15">
      <c r="A330" s="598" t="s">
        <v>530</v>
      </c>
      <c r="B330" s="1157" t="s">
        <v>517</v>
      </c>
      <c r="C330" s="598"/>
      <c r="D330" s="1168">
        <f>(S330/S323-1)*100</f>
        <v>-0.83401015228425912</v>
      </c>
      <c r="E330" s="598"/>
      <c r="F330" s="1178">
        <f>'SegP&amp;L'!Y189</f>
        <v>14</v>
      </c>
      <c r="G330" s="598"/>
      <c r="H330" s="1168">
        <f>D330-F330</f>
        <v>-14.834010152284259</v>
      </c>
      <c r="I330" s="598"/>
      <c r="J330" s="1206">
        <f>Stores!Y211+Stores!BA211+Stores!BO211</f>
        <v>387</v>
      </c>
      <c r="K330" s="1127"/>
      <c r="L330" s="1171">
        <f>AVERAGE(J330,J329)</f>
        <v>387</v>
      </c>
      <c r="M330" s="598"/>
      <c r="N330" s="1168">
        <f>(L330/L323-1)*100</f>
        <v>5.1630434782608647</v>
      </c>
      <c r="O330" s="1124"/>
      <c r="P330" s="1171">
        <f>H330/N330*100</f>
        <v>-287.31135452845325</v>
      </c>
      <c r="Q330" s="1125"/>
      <c r="R330" s="598"/>
      <c r="S330" s="1185">
        <f>'SegP&amp;L'!W189</f>
        <v>781.428</v>
      </c>
      <c r="T330" s="598"/>
      <c r="U330" s="1173">
        <f>S330/L330</f>
        <v>2.0191937984496122</v>
      </c>
      <c r="V330" s="598"/>
      <c r="W330" s="1169">
        <f>(U330/U323-1)*100</f>
        <v>-5.7026246409318082</v>
      </c>
      <c r="X330" s="1124"/>
      <c r="Y330" s="598"/>
      <c r="Z330" s="1129">
        <f>Stores!AB211+Stores!BD211+Stores!BR211</f>
        <v>10.5</v>
      </c>
      <c r="AA330" s="1127"/>
      <c r="AB330" s="1174">
        <f>AVERAGE(Z330,Z329)</f>
        <v>10.5</v>
      </c>
      <c r="AC330" s="598"/>
      <c r="AD330" s="1168">
        <f>(AB330/AB323-1)*100</f>
        <v>2.941176470588247</v>
      </c>
      <c r="AE330" s="1124"/>
      <c r="AF330" s="1171">
        <f>+H330/AD330*100</f>
        <v>-504.35634517766283</v>
      </c>
      <c r="AG330" s="1125"/>
      <c r="AH330" s="598"/>
      <c r="AI330" s="1172">
        <f>+S330</f>
        <v>781.428</v>
      </c>
      <c r="AJ330" s="598"/>
      <c r="AK330" s="1175">
        <f>AI330/AB330</f>
        <v>74.421714285714287</v>
      </c>
      <c r="AL330" s="598"/>
      <c r="AM330" s="1169">
        <f>(AK330/AK323-1)*100</f>
        <v>-3.667324147933293</v>
      </c>
      <c r="AN330" s="1124"/>
      <c r="AO330" s="1217">
        <f>F330+F323</f>
        <v>21</v>
      </c>
      <c r="AP330" s="1201">
        <v>0.80152173808259553</v>
      </c>
      <c r="AQ330" s="1202">
        <f>(AP330/AP323-1)*100</f>
        <v>-6.5803590933243061</v>
      </c>
      <c r="AR330" s="487"/>
      <c r="AS330" s="499"/>
      <c r="AT330" s="499"/>
      <c r="AU330" s="499"/>
      <c r="AV330" s="499"/>
      <c r="AW330" s="499"/>
      <c r="AX330" s="499"/>
      <c r="AY330" s="1034">
        <f>AP326*AQ330</f>
        <v>-6.5803590933243061</v>
      </c>
      <c r="AZ330" s="499"/>
      <c r="BA330" s="499"/>
      <c r="BB330" s="487"/>
      <c r="BC330" s="1209">
        <f>AY330</f>
        <v>-6.5803590933243061</v>
      </c>
      <c r="BD330" s="487"/>
      <c r="BE330" s="487"/>
      <c r="BF330" s="754">
        <f>S330/$S$331</f>
        <v>0.27374180143956267</v>
      </c>
      <c r="BG330" s="487"/>
      <c r="BH330" s="487"/>
    </row>
    <row r="331" spans="1:60">
      <c r="A331" s="598"/>
      <c r="B331" s="1157" t="s">
        <v>531</v>
      </c>
      <c r="C331" s="598"/>
      <c r="D331" s="1120">
        <f>(S331/S324-1)*100</f>
        <v>-1.0211960948229848</v>
      </c>
      <c r="E331" s="598"/>
      <c r="F331" s="1179">
        <f>'SegP&amp;L'!Y190</f>
        <v>12</v>
      </c>
      <c r="G331" s="598"/>
      <c r="H331" s="1120">
        <f>D331-F331</f>
        <v>-13.021196094822985</v>
      </c>
      <c r="I331" s="598"/>
      <c r="J331" s="598"/>
      <c r="K331" s="598"/>
      <c r="L331" s="1128">
        <f>AVERAGE(L327:L330)</f>
        <v>378.875</v>
      </c>
      <c r="M331" s="598"/>
      <c r="N331" s="1120">
        <f>(L331/L324-1)*100</f>
        <v>5.206525511975002</v>
      </c>
      <c r="O331" s="1124"/>
      <c r="P331" s="1159">
        <f>H331/N331*100</f>
        <v>-250.0937729945671</v>
      </c>
      <c r="Q331" s="1125"/>
      <c r="R331" s="598"/>
      <c r="S331" s="1160">
        <f>SUM(S327:S330)</f>
        <v>2854.6169999999997</v>
      </c>
      <c r="T331" s="598"/>
      <c r="U331" s="1161">
        <f>SUM(U327:U330)</f>
        <v>7.5265554165586668</v>
      </c>
      <c r="V331" s="598"/>
      <c r="W331" s="1176">
        <f>(U331/U324-1)*100</f>
        <v>-5.8463832150947193</v>
      </c>
      <c r="X331" s="1124"/>
      <c r="Y331" s="598"/>
      <c r="Z331" s="598"/>
      <c r="AA331" s="598"/>
      <c r="AB331" s="1163">
        <f>AVERAGE(AB327:AB330)</f>
        <v>10.362499999999999</v>
      </c>
      <c r="AC331" s="598"/>
      <c r="AD331" s="1120">
        <f>(AB331/AB324-1)*100</f>
        <v>3.8847117794486241</v>
      </c>
      <c r="AE331" s="1124"/>
      <c r="AF331" s="1159">
        <f>+H331/AD331*100</f>
        <v>-335.19078979576562</v>
      </c>
      <c r="AG331" s="1125"/>
      <c r="AH331" s="598"/>
      <c r="AI331" s="1160">
        <f>SUM(AI327:AI330)</f>
        <v>2854.6169999999997</v>
      </c>
      <c r="AJ331" s="598"/>
      <c r="AK331" s="1164">
        <f>SUM(AK327:AK330)</f>
        <v>275.29239215780672</v>
      </c>
      <c r="AL331" s="598"/>
      <c r="AM331" s="1176">
        <f>(AK331/AK324-1)*100</f>
        <v>-4.6543410995821706</v>
      </c>
      <c r="AN331" s="1124"/>
      <c r="AP331" s="562">
        <v>0.75983736211980979</v>
      </c>
      <c r="AQ331" s="1198">
        <f>(AP331/AP324-1)*100</f>
        <v>-15.478761164646404</v>
      </c>
      <c r="AR331" s="1198"/>
      <c r="AS331" s="499"/>
      <c r="AT331" s="499"/>
      <c r="AU331" s="499"/>
      <c r="AV331" s="499"/>
      <c r="AW331" s="499"/>
      <c r="AX331" s="499"/>
      <c r="AY331" s="1034">
        <f>AP326*AQ331</f>
        <v>-15.478761164646404</v>
      </c>
      <c r="AZ331" s="499"/>
      <c r="BA331" s="499"/>
      <c r="BB331" s="487"/>
      <c r="BC331" s="1209">
        <f>AY331</f>
        <v>-15.478761164646404</v>
      </c>
      <c r="BD331" s="487"/>
      <c r="BE331" s="487"/>
      <c r="BF331" s="487"/>
      <c r="BG331" s="487"/>
      <c r="BH331" s="487"/>
    </row>
    <row r="332" spans="1:60" ht="13.5" thickBot="1">
      <c r="A332" s="1125"/>
      <c r="B332" s="1210"/>
      <c r="C332" s="1125"/>
      <c r="D332" s="1125"/>
      <c r="E332" s="1125"/>
      <c r="F332" s="1125"/>
      <c r="G332" s="1125"/>
      <c r="H332" s="1125"/>
      <c r="I332" s="1125"/>
      <c r="J332" s="1125"/>
      <c r="K332" s="1125"/>
      <c r="L332" s="1212"/>
      <c r="M332" s="1125"/>
      <c r="N332" s="1125"/>
      <c r="O332" s="1125"/>
      <c r="P332" s="1125"/>
      <c r="Q332" s="1125"/>
      <c r="R332" s="1125"/>
      <c r="S332" s="1218"/>
      <c r="T332" s="1125"/>
      <c r="U332" s="1125"/>
      <c r="V332" s="1125"/>
      <c r="W332" s="1125"/>
      <c r="X332" s="1125"/>
      <c r="Y332" s="1125"/>
      <c r="Z332" s="1125"/>
      <c r="AA332" s="1125"/>
      <c r="AB332" s="1125"/>
      <c r="AC332" s="1125"/>
      <c r="AD332" s="1125"/>
      <c r="AE332" s="1125"/>
      <c r="AF332" s="1125"/>
      <c r="AG332" s="1125"/>
      <c r="AH332" s="1125"/>
      <c r="AI332" s="1125"/>
      <c r="AJ332" s="1125"/>
      <c r="AK332" s="1125"/>
      <c r="AL332" s="1125"/>
      <c r="AM332" s="1125"/>
      <c r="AN332" s="1125"/>
      <c r="AP332" s="487"/>
      <c r="AQ332" s="487"/>
      <c r="AR332" s="487"/>
      <c r="AS332" s="499"/>
      <c r="AT332" s="499"/>
      <c r="AU332" s="499"/>
      <c r="AV332" s="499"/>
      <c r="AW332" s="499"/>
      <c r="AX332" s="499"/>
      <c r="AY332" s="499"/>
      <c r="AZ332" s="499"/>
      <c r="BA332" s="499"/>
      <c r="BB332" s="487"/>
      <c r="BC332" s="499"/>
      <c r="BD332" s="487"/>
      <c r="BE332" s="487"/>
      <c r="BF332" s="487"/>
      <c r="BG332" s="487"/>
      <c r="BH332" s="487"/>
    </row>
    <row r="333" spans="1:60" ht="13.5" thickBot="1">
      <c r="A333" s="1154"/>
      <c r="B333" s="1118">
        <f>+B326+1</f>
        <v>2016</v>
      </c>
      <c r="C333" s="598" t="s">
        <v>164</v>
      </c>
      <c r="D333" s="1120"/>
      <c r="E333" s="1124"/>
      <c r="F333" s="598"/>
      <c r="G333" s="1124"/>
      <c r="H333" s="598"/>
      <c r="I333" s="1124"/>
      <c r="J333" s="598"/>
      <c r="K333" s="598"/>
      <c r="L333" s="598"/>
      <c r="M333" s="598"/>
      <c r="N333" s="598"/>
      <c r="O333" s="1124"/>
      <c r="P333" s="1125"/>
      <c r="Q333" s="1125"/>
      <c r="R333" s="598"/>
      <c r="S333" s="1160"/>
      <c r="T333" s="1127"/>
      <c r="U333" s="1128"/>
      <c r="V333" s="598"/>
      <c r="W333" s="598"/>
      <c r="X333" s="1124"/>
      <c r="Y333" s="598"/>
      <c r="Z333" s="598"/>
      <c r="AA333" s="1127"/>
      <c r="AB333" s="598"/>
      <c r="AC333" s="598"/>
      <c r="AD333" s="598"/>
      <c r="AE333" s="1124"/>
      <c r="AF333" s="1125"/>
      <c r="AG333" s="1125"/>
      <c r="AH333" s="598"/>
      <c r="AI333" s="598"/>
      <c r="AJ333" s="598"/>
      <c r="AK333" s="598"/>
      <c r="AL333" s="598"/>
      <c r="AM333" s="598"/>
      <c r="AN333" s="1124"/>
      <c r="AP333" s="1196">
        <v>1</v>
      </c>
      <c r="AQ333" s="735"/>
      <c r="AR333" s="807"/>
      <c r="AS333" s="706"/>
      <c r="AT333" s="706"/>
      <c r="AU333" s="1215"/>
      <c r="AV333" s="706"/>
      <c r="AW333" s="706"/>
      <c r="AX333" s="695"/>
      <c r="AY333" s="695"/>
      <c r="AZ333" s="695"/>
      <c r="BA333" s="695"/>
      <c r="BB333" s="695"/>
      <c r="BC333" s="695"/>
      <c r="BD333" s="695"/>
      <c r="BE333" s="695"/>
      <c r="BF333" s="1216"/>
      <c r="BG333" s="695"/>
      <c r="BH333" s="695"/>
    </row>
    <row r="334" spans="1:60">
      <c r="A334" s="598" t="s">
        <v>527</v>
      </c>
      <c r="B334" s="1157" t="s">
        <v>514</v>
      </c>
      <c r="C334" s="598"/>
      <c r="D334" s="1120">
        <f>(S334/S327-1)*100</f>
        <v>10.539138230153554</v>
      </c>
      <c r="E334" s="1124" t="s">
        <v>190</v>
      </c>
      <c r="F334" s="1179">
        <f>'SegP&amp;L'!$Y193</f>
        <v>14</v>
      </c>
      <c r="G334" s="1124" t="s">
        <v>190</v>
      </c>
      <c r="H334" s="1120">
        <f>D334-F334</f>
        <v>-3.4608617698464457</v>
      </c>
      <c r="I334" s="598"/>
      <c r="J334" s="1206">
        <f>Stores!Y215+Stores!BA215+Stores!BO215</f>
        <v>399</v>
      </c>
      <c r="K334" s="1127"/>
      <c r="L334" s="1167">
        <f>AVERAGE(J334,J330)</f>
        <v>393</v>
      </c>
      <c r="M334" s="598"/>
      <c r="N334" s="1120">
        <f>(L334/L327-1)*100</f>
        <v>5.7873485868102259</v>
      </c>
      <c r="O334" s="1124"/>
      <c r="P334" s="1159">
        <f>H334/N334*100</f>
        <v>-59.800471976649085</v>
      </c>
      <c r="Q334" s="1125"/>
      <c r="R334" s="598"/>
      <c r="S334" s="1160">
        <f>'SegP&amp;L'!$W193</f>
        <v>685.577</v>
      </c>
      <c r="T334" s="598"/>
      <c r="U334" s="1161">
        <f>S334/L334</f>
        <v>1.7444707379134861</v>
      </c>
      <c r="V334" s="598"/>
      <c r="W334" s="1176">
        <f>(U334/U327-1)*100</f>
        <v>4.4918316857558427</v>
      </c>
      <c r="X334" s="1124" t="s">
        <v>190</v>
      </c>
      <c r="Y334" s="598"/>
      <c r="Z334" s="1129">
        <f>Stores!AB215+Stores!BD215+Stores!BR215</f>
        <v>10.700000000000001</v>
      </c>
      <c r="AA334" s="598"/>
      <c r="AB334" s="1163">
        <f>AVERAGE(Z334,Z330)</f>
        <v>10.600000000000001</v>
      </c>
      <c r="AC334" s="598"/>
      <c r="AD334" s="1120">
        <f>(AB334/AB327-1)*100</f>
        <v>3.4146341463414664</v>
      </c>
      <c r="AE334" s="1124" t="s">
        <v>190</v>
      </c>
      <c r="AF334" s="1159">
        <f>+H334/AD334*100</f>
        <v>-101.3538089740744</v>
      </c>
      <c r="AG334" s="1125" t="s">
        <v>190</v>
      </c>
      <c r="AH334" s="598"/>
      <c r="AI334" s="1160">
        <f>+S334</f>
        <v>685.577</v>
      </c>
      <c r="AJ334" s="598"/>
      <c r="AK334" s="1164">
        <f>AI334/AB334</f>
        <v>64.677075471698103</v>
      </c>
      <c r="AL334" s="598"/>
      <c r="AM334" s="1176">
        <f>(AK334/AK327-1)*100</f>
        <v>6.889261024440918</v>
      </c>
      <c r="AN334" s="1124" t="s">
        <v>190</v>
      </c>
      <c r="AO334" s="1217">
        <f>F334+F327</f>
        <v>25</v>
      </c>
      <c r="AP334" s="562">
        <v>0</v>
      </c>
      <c r="AQ334" s="1198"/>
      <c r="AR334" s="1203"/>
      <c r="AS334" s="499"/>
      <c r="AT334" s="499"/>
      <c r="AU334" s="499"/>
      <c r="AV334" s="499"/>
      <c r="AW334" s="499"/>
      <c r="AX334" s="499"/>
      <c r="AY334" s="1034"/>
      <c r="AZ334" s="499"/>
      <c r="BA334" s="499"/>
      <c r="BB334" s="487"/>
      <c r="BC334" s="1209"/>
      <c r="BD334" s="487"/>
      <c r="BE334" s="487"/>
      <c r="BF334" s="754">
        <f>S334/$S$331</f>
        <v>0.24016426722043624</v>
      </c>
      <c r="BG334" s="487"/>
      <c r="BH334" s="487"/>
    </row>
    <row r="335" spans="1:60">
      <c r="A335" s="598" t="s">
        <v>528</v>
      </c>
      <c r="B335" s="1157" t="s">
        <v>515</v>
      </c>
      <c r="C335" s="598"/>
      <c r="D335" s="1120">
        <f>(S335/S328-1)*100</f>
        <v>8.2125182491667115</v>
      </c>
      <c r="E335" s="1124"/>
      <c r="F335" s="1179">
        <f>'SegP&amp;L'!$Y194</f>
        <v>9</v>
      </c>
      <c r="G335" s="598"/>
      <c r="H335" s="1120">
        <f>D335-F335</f>
        <v>-0.78748175083328853</v>
      </c>
      <c r="I335" s="598"/>
      <c r="J335" s="1206">
        <f>Stores!Y216+Stores!BA216+Stores!BO216</f>
        <v>399</v>
      </c>
      <c r="K335" s="1127"/>
      <c r="L335" s="1167">
        <f>AVERAGE(J335,J334)</f>
        <v>399</v>
      </c>
      <c r="M335" s="598"/>
      <c r="N335" s="1120">
        <f>(L335/L328-1)*100</f>
        <v>6.2583222370172997</v>
      </c>
      <c r="O335" s="1124"/>
      <c r="P335" s="1159">
        <f>H335/N335*100</f>
        <v>-12.582953082463844</v>
      </c>
      <c r="Q335" s="1125"/>
      <c r="R335" s="598"/>
      <c r="S335" s="1165">
        <f>'SegP&amp;L'!$W194</f>
        <v>756.78099999999995</v>
      </c>
      <c r="T335" s="1127"/>
      <c r="U335" s="1166">
        <f>S335/L335</f>
        <v>1.8966942355889722</v>
      </c>
      <c r="V335" s="598"/>
      <c r="W335" s="1176">
        <f>(U335/U328-1)*100</f>
        <v>1.8390992545416207</v>
      </c>
      <c r="X335" s="1124"/>
      <c r="Y335" s="598"/>
      <c r="Z335" s="1129">
        <f>Stores!AB216+Stores!BD216+Stores!BR216</f>
        <v>10.700000000000001</v>
      </c>
      <c r="AA335" s="1127"/>
      <c r="AB335" s="1163">
        <f>AVERAGE(Z335,Z334)</f>
        <v>10.700000000000001</v>
      </c>
      <c r="AC335" s="598"/>
      <c r="AD335" s="1120">
        <f>(AB335/AB328-1)*100</f>
        <v>3.8834951456310884</v>
      </c>
      <c r="AE335" s="1124"/>
      <c r="AF335" s="1159">
        <f>+H335/AD335*100</f>
        <v>-20.277655083957072</v>
      </c>
      <c r="AG335" s="1125"/>
      <c r="AH335" s="598"/>
      <c r="AI335" s="1165">
        <f>+S335</f>
        <v>756.78099999999995</v>
      </c>
      <c r="AJ335" s="598"/>
      <c r="AK335" s="1167">
        <f>AI335/AB335</f>
        <v>70.727196261682238</v>
      </c>
      <c r="AL335" s="598"/>
      <c r="AM335" s="1176">
        <f>(AK335/AK328-1)*100</f>
        <v>4.167190464151127</v>
      </c>
      <c r="AN335" s="1124"/>
      <c r="AO335" s="1217">
        <f>F335+F328</f>
        <v>21</v>
      </c>
      <c r="AP335" s="562">
        <v>0.75265087778736528</v>
      </c>
      <c r="AQ335" s="1198"/>
      <c r="AR335" s="1198"/>
      <c r="AS335" s="499"/>
      <c r="AT335" s="499"/>
      <c r="AU335" s="499"/>
      <c r="AV335" s="499"/>
      <c r="AW335" s="499"/>
      <c r="AX335" s="499"/>
      <c r="AY335" s="1034"/>
      <c r="AZ335" s="499"/>
      <c r="BA335" s="499"/>
      <c r="BB335" s="487"/>
      <c r="BC335" s="1209"/>
      <c r="BD335" s="487"/>
      <c r="BE335" s="487"/>
      <c r="BF335" s="754">
        <f>S335/$S$331</f>
        <v>0.26510771847852094</v>
      </c>
      <c r="BG335" s="487"/>
      <c r="BH335" s="487"/>
    </row>
    <row r="336" spans="1:60">
      <c r="A336" s="598" t="s">
        <v>529</v>
      </c>
      <c r="B336" s="1157" t="s">
        <v>516</v>
      </c>
      <c r="C336" s="598"/>
      <c r="D336" s="1120">
        <f>(S336/S329-1)*100</f>
        <v>13.513660549606566</v>
      </c>
      <c r="E336" s="598"/>
      <c r="F336" s="1179">
        <f>'SegP&amp;L'!$Y195</f>
        <v>8</v>
      </c>
      <c r="G336" s="598"/>
      <c r="H336" s="1120">
        <f>D336-F336</f>
        <v>5.5136605496065663</v>
      </c>
      <c r="I336" s="598"/>
      <c r="J336" s="1206">
        <f>Stores!Y217+Stores!BA217+Stores!BO217</f>
        <v>418</v>
      </c>
      <c r="K336" s="1127"/>
      <c r="L336" s="1167">
        <f>AVERAGE(J336,J335)</f>
        <v>408.5</v>
      </c>
      <c r="M336" s="598"/>
      <c r="N336" s="1120">
        <f>(L336/L329-1)*100</f>
        <v>7.0773263433813849</v>
      </c>
      <c r="O336" s="1124"/>
      <c r="P336" s="1159">
        <f>H336/N336*100</f>
        <v>77.905981469440974</v>
      </c>
      <c r="Q336" s="1125"/>
      <c r="R336" s="598"/>
      <c r="S336" s="1165">
        <f>'SegP&amp;L'!$W195</f>
        <v>855.47299999999996</v>
      </c>
      <c r="T336" s="1127"/>
      <c r="U336" s="1166">
        <f>S336/L336</f>
        <v>2.0941811505507957</v>
      </c>
      <c r="V336" s="598"/>
      <c r="W336" s="1176">
        <f>(U336/U329-1)*100</f>
        <v>6.0109216638308594</v>
      </c>
      <c r="X336" s="1124"/>
      <c r="Y336" s="598"/>
      <c r="Z336" s="1129">
        <f>Stores!AB217+Stores!BD217+Stores!BR217</f>
        <v>11.399999999999999</v>
      </c>
      <c r="AA336" s="1127"/>
      <c r="AB336" s="1163">
        <f>AVERAGE(Z336,Z335)</f>
        <v>11.05</v>
      </c>
      <c r="AC336" s="598"/>
      <c r="AD336" s="1120">
        <f>(AB336/AB329-1)*100</f>
        <v>6.2500000000000222</v>
      </c>
      <c r="AE336" s="1124"/>
      <c r="AF336" s="1159">
        <f>+H336/AD336*100</f>
        <v>88.218568793704748</v>
      </c>
      <c r="AG336" s="1125"/>
      <c r="AH336" s="598"/>
      <c r="AI336" s="1165">
        <f>+S336</f>
        <v>855.47299999999996</v>
      </c>
      <c r="AJ336" s="598"/>
      <c r="AK336" s="1167">
        <f>AI336/AB336</f>
        <v>77.418371040723969</v>
      </c>
      <c r="AL336" s="598"/>
      <c r="AM336" s="1176">
        <f>(AK336/AK329-1)*100</f>
        <v>6.8363863996296903</v>
      </c>
      <c r="AN336" s="1124"/>
      <c r="AO336" s="1217">
        <f>F336+F329</f>
        <v>18</v>
      </c>
      <c r="AP336" s="562">
        <v>0.77159560291739671</v>
      </c>
      <c r="AQ336" s="1198">
        <f>(AP336/AP329-1)*100</f>
        <v>-3.634739637177864</v>
      </c>
      <c r="AR336" s="1198">
        <f>+(AP336/AP329-1)*100</f>
        <v>-3.634739637177864</v>
      </c>
      <c r="AS336" s="499"/>
      <c r="AT336" s="499"/>
      <c r="AU336" s="499"/>
      <c r="AV336" s="499"/>
      <c r="AW336" s="499"/>
      <c r="AX336" s="499"/>
      <c r="AY336" s="1034">
        <f>AP333*AQ336</f>
        <v>-3.634739637177864</v>
      </c>
      <c r="AZ336" s="499"/>
      <c r="BA336" s="499"/>
      <c r="BB336" s="487"/>
      <c r="BC336" s="1209">
        <f>AY336</f>
        <v>-3.634739637177864</v>
      </c>
      <c r="BD336" s="487"/>
      <c r="BE336" s="487"/>
      <c r="BF336" s="754">
        <f>S336/$S$331</f>
        <v>0.29968048253058116</v>
      </c>
      <c r="BG336" s="487"/>
      <c r="BH336" s="487"/>
    </row>
    <row r="337" spans="1:60">
      <c r="A337" s="598" t="s">
        <v>530</v>
      </c>
      <c r="B337" s="1157" t="s">
        <v>517</v>
      </c>
      <c r="C337" s="598"/>
      <c r="D337" s="1168">
        <f>(S337/S330-1)*100</f>
        <v>11.756425416033212</v>
      </c>
      <c r="E337" s="598"/>
      <c r="F337" s="1178">
        <f>'SegP&amp;L'!$Y196</f>
        <v>4</v>
      </c>
      <c r="G337" s="598"/>
      <c r="H337" s="1168">
        <f>D337-F337</f>
        <v>7.7564254160332116</v>
      </c>
      <c r="I337" s="598"/>
      <c r="J337" s="1206">
        <f>Stores!Y218+Stores!BA218+Stores!BO218</f>
        <v>418</v>
      </c>
      <c r="K337" s="1127"/>
      <c r="L337" s="1171">
        <f>AVERAGE(J337,J336)</f>
        <v>418</v>
      </c>
      <c r="M337" s="598"/>
      <c r="N337" s="1168">
        <f>(L337/L330-1)*100</f>
        <v>8.0103359173126609</v>
      </c>
      <c r="O337" s="1124"/>
      <c r="P337" s="1171">
        <f>H337/N337*100</f>
        <v>96.830214064672688</v>
      </c>
      <c r="Q337" s="1125"/>
      <c r="R337" s="598"/>
      <c r="S337" s="1172">
        <f>'SegP&amp;L'!$W196</f>
        <v>873.29600000000005</v>
      </c>
      <c r="T337" s="598"/>
      <c r="U337" s="1173">
        <f>S337/L337</f>
        <v>2.0892248803827753</v>
      </c>
      <c r="V337" s="598"/>
      <c r="W337" s="1169">
        <f>(U337/U330-1)*100</f>
        <v>3.4682694641264611</v>
      </c>
      <c r="X337" s="1124"/>
      <c r="Y337" s="598"/>
      <c r="Z337" s="1129">
        <f>Stores!AB218+Stores!BD218+Stores!BR218</f>
        <v>11.399999999999999</v>
      </c>
      <c r="AA337" s="1127"/>
      <c r="AB337" s="1174">
        <f>AVERAGE(Z337,Z336)</f>
        <v>11.399999999999999</v>
      </c>
      <c r="AC337" s="598"/>
      <c r="AD337" s="1168">
        <f>(AB337/AB330-1)*100</f>
        <v>8.5714285714285623</v>
      </c>
      <c r="AE337" s="1124"/>
      <c r="AF337" s="1171">
        <f>+H337/AD337*100</f>
        <v>90.491629853720895</v>
      </c>
      <c r="AG337" s="1125"/>
      <c r="AH337" s="598"/>
      <c r="AI337" s="1172">
        <f>+S337</f>
        <v>873.29600000000005</v>
      </c>
      <c r="AJ337" s="598"/>
      <c r="AK337" s="1175">
        <f>AI337/AB337</f>
        <v>76.604912280701768</v>
      </c>
      <c r="AL337" s="598"/>
      <c r="AM337" s="1169">
        <f>(AK337/AK330-1)*100</f>
        <v>2.9335497252937603</v>
      </c>
      <c r="AN337" s="1124"/>
      <c r="AO337" s="1217">
        <f>F337+F330</f>
        <v>18</v>
      </c>
      <c r="AP337" s="1201">
        <v>0.76293591923080428</v>
      </c>
      <c r="AQ337" s="1202">
        <f>(AP337/AP330-1)*100</f>
        <v>-4.8140701640976609</v>
      </c>
      <c r="AR337" s="487"/>
      <c r="AS337" s="499"/>
      <c r="AT337" s="499"/>
      <c r="AU337" s="499"/>
      <c r="AV337" s="499"/>
      <c r="AW337" s="499"/>
      <c r="AX337" s="499"/>
      <c r="AY337" s="1034">
        <f>AP333*AQ337</f>
        <v>-4.8140701640976609</v>
      </c>
      <c r="AZ337" s="499"/>
      <c r="BA337" s="499"/>
      <c r="BB337" s="487"/>
      <c r="BC337" s="1209">
        <f>AY337</f>
        <v>-4.8140701640976609</v>
      </c>
      <c r="BD337" s="487"/>
      <c r="BE337" s="487"/>
      <c r="BF337" s="754">
        <f>S337/$S$331</f>
        <v>0.30592405215831059</v>
      </c>
      <c r="BG337" s="487"/>
      <c r="BH337" s="487"/>
    </row>
    <row r="338" spans="1:60">
      <c r="A338" s="598"/>
      <c r="B338" s="1157" t="s">
        <v>531</v>
      </c>
      <c r="C338" s="598"/>
      <c r="D338" s="1120">
        <f>(S338/S331-1)*100</f>
        <v>11.087652038784924</v>
      </c>
      <c r="E338" s="598"/>
      <c r="F338" s="1184">
        <f>'SegP&amp;L'!$Y197</f>
        <v>8</v>
      </c>
      <c r="G338" s="598"/>
      <c r="H338" s="1120">
        <f>D338-F338</f>
        <v>3.087652038784924</v>
      </c>
      <c r="I338" s="598"/>
      <c r="J338" s="598"/>
      <c r="K338" s="598"/>
      <c r="L338" s="1128">
        <f>AVERAGE(L334:L337)</f>
        <v>404.625</v>
      </c>
      <c r="M338" s="598"/>
      <c r="N338" s="1120">
        <f>(L338/L331-1)*100</f>
        <v>6.7964368195315039</v>
      </c>
      <c r="O338" s="1124"/>
      <c r="P338" s="1159">
        <f>H338/N338*100</f>
        <v>45.430453056102479</v>
      </c>
      <c r="Q338" s="1125"/>
      <c r="R338" s="598"/>
      <c r="S338" s="1160">
        <f>SUM(S334:S337)</f>
        <v>3171.1270000000004</v>
      </c>
      <c r="T338" s="598"/>
      <c r="U338" s="1161">
        <f>SUM(U334:U337)</f>
        <v>7.824571004436029</v>
      </c>
      <c r="V338" s="598"/>
      <c r="W338" s="1176">
        <f>(U338/U331-1)*100</f>
        <v>3.9595216056168114</v>
      </c>
      <c r="X338" s="1124"/>
      <c r="Y338" s="598"/>
      <c r="Z338" s="598"/>
      <c r="AA338" s="598"/>
      <c r="AB338" s="1163">
        <f>AVERAGE(AB334:AB337)</f>
        <v>10.937500000000002</v>
      </c>
      <c r="AC338" s="598"/>
      <c r="AD338" s="1120">
        <f>(AB338/AB331-1)*100</f>
        <v>5.5488540410133069</v>
      </c>
      <c r="AE338" s="1124"/>
      <c r="AF338" s="1159">
        <f>+H338/AD338*100</f>
        <v>55.644859568536617</v>
      </c>
      <c r="AG338" s="1125"/>
      <c r="AH338" s="598"/>
      <c r="AI338" s="1160">
        <f>SUM(AI334:AI337)</f>
        <v>3171.1270000000004</v>
      </c>
      <c r="AJ338" s="598"/>
      <c r="AK338" s="1164">
        <f>SUM(AK334:AK337)</f>
        <v>289.42755505480608</v>
      </c>
      <c r="AL338" s="598"/>
      <c r="AM338" s="1176">
        <f>(AK338/AK331-1)*100</f>
        <v>5.1345999016553234</v>
      </c>
      <c r="AN338" s="1124"/>
      <c r="AP338" s="562">
        <v>0.75015624902216838</v>
      </c>
      <c r="AQ338" s="1198">
        <f>(AP338/AP331-1)*100</f>
        <v>-1.2741033253001466</v>
      </c>
      <c r="AR338" s="1198"/>
      <c r="AS338" s="499"/>
      <c r="AT338" s="499"/>
      <c r="AU338" s="499"/>
      <c r="AV338" s="499"/>
      <c r="AW338" s="499"/>
      <c r="AX338" s="499"/>
      <c r="AY338" s="1034">
        <f>AP333*AQ338</f>
        <v>-1.2741033253001466</v>
      </c>
      <c r="AZ338" s="499"/>
      <c r="BA338" s="499"/>
      <c r="BB338" s="487"/>
      <c r="BC338" s="1209">
        <f>AY338</f>
        <v>-1.2741033253001466</v>
      </c>
      <c r="BD338" s="487"/>
      <c r="BE338" s="487"/>
      <c r="BF338" s="487"/>
      <c r="BG338" s="487"/>
      <c r="BH338" s="487"/>
    </row>
    <row r="339" spans="1:60" ht="13.5" thickBot="1">
      <c r="A339" s="1125"/>
      <c r="B339" s="1210"/>
      <c r="C339" s="1125"/>
      <c r="D339" s="1125"/>
      <c r="E339" s="1125"/>
      <c r="F339" s="1125"/>
      <c r="G339" s="1125"/>
      <c r="H339" s="1189"/>
      <c r="I339" s="1125"/>
      <c r="J339" s="1125"/>
      <c r="K339" s="1125"/>
      <c r="L339" s="1212"/>
      <c r="M339" s="1125"/>
      <c r="N339" s="1125"/>
      <c r="O339" s="1125"/>
      <c r="P339" s="1125"/>
      <c r="Q339" s="1125"/>
      <c r="R339" s="1125"/>
      <c r="S339" s="1218"/>
      <c r="T339" s="1125"/>
      <c r="U339" s="1125"/>
      <c r="V339" s="1125"/>
      <c r="W339" s="1125"/>
      <c r="X339" s="1125"/>
      <c r="Y339" s="1125"/>
      <c r="Z339" s="1125"/>
      <c r="AA339" s="1125"/>
      <c r="AB339" s="1125"/>
      <c r="AC339" s="1125"/>
      <c r="AD339" s="1125"/>
      <c r="AE339" s="1125"/>
      <c r="AF339" s="1125"/>
      <c r="AG339" s="1125"/>
      <c r="AH339" s="1125"/>
      <c r="AI339" s="1125"/>
      <c r="AJ339" s="1125"/>
      <c r="AK339" s="1125"/>
      <c r="AL339" s="1125"/>
      <c r="AM339" s="1125"/>
      <c r="AN339" s="1125"/>
      <c r="AP339" s="487"/>
      <c r="AQ339" s="487"/>
      <c r="AR339" s="487"/>
      <c r="AS339" s="499"/>
      <c r="AT339" s="499"/>
      <c r="AU339" s="499"/>
      <c r="AV339" s="499"/>
      <c r="AW339" s="499"/>
      <c r="AX339" s="499"/>
      <c r="AY339" s="499"/>
      <c r="AZ339" s="499"/>
      <c r="BA339" s="499"/>
      <c r="BB339" s="487"/>
      <c r="BC339" s="499"/>
      <c r="BD339" s="487"/>
      <c r="BE339" s="487"/>
      <c r="BF339" s="487"/>
      <c r="BG339" s="487"/>
      <c r="BH339" s="487"/>
    </row>
    <row r="340" spans="1:60" ht="13.5" thickBot="1">
      <c r="A340" s="1154"/>
      <c r="B340" s="1118">
        <f>+B333+1</f>
        <v>2017</v>
      </c>
      <c r="C340" s="598" t="s">
        <v>164</v>
      </c>
      <c r="D340" s="1120"/>
      <c r="E340" s="1124"/>
      <c r="F340" s="598"/>
      <c r="G340" s="1124"/>
      <c r="H340" s="598"/>
      <c r="I340" s="1124"/>
      <c r="J340" s="598"/>
      <c r="K340" s="598"/>
      <c r="L340" s="598"/>
      <c r="M340" s="598"/>
      <c r="N340" s="598"/>
      <c r="O340" s="1124"/>
      <c r="P340" s="1125"/>
      <c r="Q340" s="1125"/>
      <c r="R340" s="598"/>
      <c r="S340" s="1160"/>
      <c r="T340" s="1127"/>
      <c r="U340" s="1128"/>
      <c r="V340" s="598"/>
      <c r="W340" s="598"/>
      <c r="X340" s="1124"/>
      <c r="Y340" s="598"/>
      <c r="Z340" s="598"/>
      <c r="AA340" s="1127"/>
      <c r="AB340" s="598"/>
      <c r="AC340" s="598"/>
      <c r="AD340" s="598"/>
      <c r="AE340" s="1124"/>
      <c r="AF340" s="1125"/>
      <c r="AG340" s="1125"/>
      <c r="AH340" s="598"/>
      <c r="AI340" s="598"/>
      <c r="AJ340" s="598"/>
      <c r="AK340" s="598"/>
      <c r="AL340" s="598"/>
      <c r="AM340" s="598"/>
      <c r="AN340" s="1124"/>
      <c r="AP340" s="1196">
        <v>1</v>
      </c>
      <c r="AQ340" s="735"/>
      <c r="AR340" s="807"/>
      <c r="AS340" s="706"/>
      <c r="AT340" s="706"/>
      <c r="AU340" s="1215"/>
      <c r="AV340" s="706"/>
      <c r="AW340" s="706"/>
      <c r="AX340" s="695"/>
      <c r="AY340" s="695"/>
      <c r="AZ340" s="695"/>
      <c r="BA340" s="695"/>
      <c r="BB340" s="695"/>
      <c r="BC340" s="695"/>
      <c r="BD340" s="695"/>
      <c r="BE340" s="695"/>
      <c r="BF340" s="1216"/>
      <c r="BG340" s="695"/>
      <c r="BH340" s="695"/>
    </row>
    <row r="341" spans="1:60">
      <c r="A341" s="598" t="s">
        <v>527</v>
      </c>
      <c r="B341" s="1157" t="s">
        <v>514</v>
      </c>
      <c r="C341" s="598"/>
      <c r="D341" s="1120">
        <f>(S341/S334-1)*100</f>
        <v>7.759011752144529</v>
      </c>
      <c r="E341" s="1124" t="s">
        <v>190</v>
      </c>
      <c r="F341" s="1179">
        <f>'SegP&amp;L'!$Y200</f>
        <v>3</v>
      </c>
      <c r="G341" s="1124" t="s">
        <v>190</v>
      </c>
      <c r="H341" s="1120">
        <f>D341-F341</f>
        <v>4.759011752144529</v>
      </c>
      <c r="I341" s="598"/>
      <c r="J341" s="1206">
        <f>Stores!Y222+Stores!BA222+Stores!BO222</f>
        <v>428</v>
      </c>
      <c r="K341" s="1127"/>
      <c r="L341" s="1167">
        <f>AVERAGE(J341,J337)</f>
        <v>423</v>
      </c>
      <c r="M341" s="598"/>
      <c r="N341" s="1120">
        <f>(L341/L334-1)*100</f>
        <v>7.6335877862595325</v>
      </c>
      <c r="O341" s="1124"/>
      <c r="P341" s="1159">
        <f>H341/N341*100</f>
        <v>62.34305395309341</v>
      </c>
      <c r="Q341" s="1125"/>
      <c r="R341" s="598"/>
      <c r="S341" s="1160">
        <f>'SegP&amp;L'!$W200</f>
        <v>738.77099999999996</v>
      </c>
      <c r="T341" s="598"/>
      <c r="U341" s="1161">
        <f>S341/L341</f>
        <v>1.7465035460992906</v>
      </c>
      <c r="V341" s="598"/>
      <c r="W341" s="1176">
        <f>(U341/U334-1)*100</f>
        <v>0.11652864915554506</v>
      </c>
      <c r="X341" s="1124" t="s">
        <v>190</v>
      </c>
      <c r="Y341" s="598"/>
      <c r="Z341" s="1129">
        <f>Stores!AB222+Stores!BD222+Stores!BR222</f>
        <v>11.600000000000001</v>
      </c>
      <c r="AA341" s="598"/>
      <c r="AB341" s="1163">
        <f>AVERAGE(Z341,Z337)</f>
        <v>11.5</v>
      </c>
      <c r="AC341" s="598"/>
      <c r="AD341" s="1120">
        <f>(AB341/AB334-1)*100</f>
        <v>8.4905660377358352</v>
      </c>
      <c r="AE341" s="1124" t="s">
        <v>190</v>
      </c>
      <c r="AF341" s="1159">
        <f>+H341/AD341*100</f>
        <v>56.050582858591213</v>
      </c>
      <c r="AG341" s="1125" t="s">
        <v>190</v>
      </c>
      <c r="AH341" s="598"/>
      <c r="AI341" s="1160">
        <f>+S341</f>
        <v>738.77099999999996</v>
      </c>
      <c r="AJ341" s="598"/>
      <c r="AK341" s="1164">
        <f>AI341/AB341</f>
        <v>64.240956521739122</v>
      </c>
      <c r="AL341" s="598"/>
      <c r="AM341" s="1176">
        <f>(AK341/AK334-1)*100</f>
        <v>-0.67430221106676846</v>
      </c>
      <c r="AN341" s="1124" t="s">
        <v>190</v>
      </c>
      <c r="AO341" s="1217">
        <f>F341+F334</f>
        <v>17</v>
      </c>
      <c r="AP341" s="562">
        <v>0.75118604675495249</v>
      </c>
      <c r="AQ341" s="1198"/>
      <c r="AR341" s="1203"/>
      <c r="AS341" s="499"/>
      <c r="AT341" s="499"/>
      <c r="AU341" s="499"/>
      <c r="AV341" s="499"/>
      <c r="AW341" s="499"/>
      <c r="AX341" s="499"/>
      <c r="AY341" s="1034"/>
      <c r="AZ341" s="499"/>
      <c r="BA341" s="499"/>
      <c r="BB341" s="487"/>
      <c r="BC341" s="1209"/>
      <c r="BD341" s="487"/>
      <c r="BE341" s="487"/>
      <c r="BF341" s="754">
        <f>S341/$S$331</f>
        <v>0.25879864093852173</v>
      </c>
      <c r="BG341" s="487"/>
      <c r="BH341" s="487"/>
    </row>
    <row r="342" spans="1:60" ht="15">
      <c r="A342" s="598" t="s">
        <v>528</v>
      </c>
      <c r="B342" s="1157" t="s">
        <v>515</v>
      </c>
      <c r="C342" s="598"/>
      <c r="D342" s="1120">
        <f>(S342/S335-1)*100</f>
        <v>9.9427707619509587</v>
      </c>
      <c r="E342" s="598"/>
      <c r="F342" s="1179">
        <f>'SegP&amp;L'!$Y201</f>
        <v>7</v>
      </c>
      <c r="G342" s="598"/>
      <c r="H342" s="1120">
        <f>D342-F342</f>
        <v>2.9427707619509587</v>
      </c>
      <c r="I342" s="598"/>
      <c r="J342" s="1206">
        <f>Stores!Y223+Stores!BA223+Stores!BO223</f>
        <v>433</v>
      </c>
      <c r="K342" s="1127"/>
      <c r="L342" s="1167">
        <f>AVERAGE(J342,J341)</f>
        <v>430.5</v>
      </c>
      <c r="M342" s="598"/>
      <c r="N342" s="1120">
        <f>(L342/L335-1)*100</f>
        <v>7.8947368421052655</v>
      </c>
      <c r="O342" s="1124"/>
      <c r="P342" s="1159">
        <f>H342/N342*100</f>
        <v>37.275096318045463</v>
      </c>
      <c r="Q342" s="1125"/>
      <c r="R342" s="598"/>
      <c r="S342" s="2049">
        <f>'SegP&amp;L'!$W201</f>
        <v>832.02599999999995</v>
      </c>
      <c r="T342" s="1127"/>
      <c r="U342" s="1166">
        <f>S342/L342</f>
        <v>1.9326968641114981</v>
      </c>
      <c r="V342" s="598"/>
      <c r="W342" s="1176">
        <f>(U342/U335-1)*100</f>
        <v>1.8981777793691812</v>
      </c>
      <c r="X342" s="1124"/>
      <c r="Y342" s="598"/>
      <c r="Z342" s="1129">
        <f>Stores!AB223+Stores!BD223+Stores!BR223</f>
        <v>11.600000000000001</v>
      </c>
      <c r="AA342" s="1127"/>
      <c r="AB342" s="1163">
        <f>AVERAGE(Z342,Z341)</f>
        <v>11.600000000000001</v>
      </c>
      <c r="AC342" s="598"/>
      <c r="AD342" s="1120">
        <f>(AB342/AB335-1)*100</f>
        <v>8.4112149532710401</v>
      </c>
      <c r="AE342" s="1124"/>
      <c r="AF342" s="1159">
        <f>+H342/AD342*100</f>
        <v>34.986274614305792</v>
      </c>
      <c r="AG342" s="1125"/>
      <c r="AH342" s="598"/>
      <c r="AI342" s="1165">
        <f>+S342</f>
        <v>832.02599999999995</v>
      </c>
      <c r="AJ342" s="598"/>
      <c r="AK342" s="1167">
        <f>AI342/AB342</f>
        <v>71.726379310344811</v>
      </c>
      <c r="AL342" s="598"/>
      <c r="AM342" s="1176">
        <f>(AK342/AK335-1)*100</f>
        <v>1.412728202834046</v>
      </c>
      <c r="AN342" s="1124"/>
      <c r="AO342" s="1217">
        <f>F342+F335</f>
        <v>16</v>
      </c>
      <c r="AP342" s="562">
        <v>0.75692353745017815</v>
      </c>
      <c r="AQ342" s="1198"/>
      <c r="AR342" s="1198"/>
      <c r="AS342" s="499"/>
      <c r="AT342" s="499"/>
      <c r="AU342" s="499"/>
      <c r="AV342" s="499"/>
      <c r="AW342" s="499"/>
      <c r="AX342" s="499"/>
      <c r="AY342" s="1034"/>
      <c r="AZ342" s="499"/>
      <c r="BA342" s="499"/>
      <c r="BB342" s="487"/>
      <c r="BC342" s="1209"/>
      <c r="BD342" s="487"/>
      <c r="BE342" s="487"/>
      <c r="BF342" s="754">
        <f>S342/$S$331</f>
        <v>0.29146677119907854</v>
      </c>
      <c r="BG342" s="487"/>
      <c r="BH342" s="487"/>
    </row>
    <row r="343" spans="1:60" ht="15">
      <c r="A343" s="598" t="s">
        <v>529</v>
      </c>
      <c r="B343" s="1157" t="s">
        <v>516</v>
      </c>
      <c r="C343" s="598"/>
      <c r="D343" s="1120">
        <f>(S343/S336-1)*100</f>
        <v>14.934778771510038</v>
      </c>
      <c r="E343" s="598"/>
      <c r="F343" s="1179">
        <f>'SegP&amp;L'!$Y202</f>
        <v>4</v>
      </c>
      <c r="G343" s="598"/>
      <c r="H343" s="1120">
        <f>D343-F343</f>
        <v>10.934778771510038</v>
      </c>
      <c r="I343" s="598"/>
      <c r="J343" s="1206">
        <f>Stores!Y224+Stores!BA224+Stores!BO224</f>
        <v>454</v>
      </c>
      <c r="K343" s="1127"/>
      <c r="L343" s="1167">
        <f>AVERAGE(J343,J342)</f>
        <v>443.5</v>
      </c>
      <c r="M343" s="598"/>
      <c r="N343" s="1120">
        <f>(L343/L336-1)*100</f>
        <v>8.5679314565483509</v>
      </c>
      <c r="O343" s="1124"/>
      <c r="P343" s="1159">
        <f>H343/N343*100</f>
        <v>127.62448937605282</v>
      </c>
      <c r="Q343" s="1125"/>
      <c r="R343" s="598"/>
      <c r="S343" s="2049">
        <f>'SegP&amp;L'!$W202</f>
        <v>983.23599999999999</v>
      </c>
      <c r="T343" s="1127"/>
      <c r="U343" s="1166">
        <f>S343/L343</f>
        <v>2.2169921082299888</v>
      </c>
      <c r="V343" s="598"/>
      <c r="W343" s="1176">
        <f>(U343/U336-1)*100</f>
        <v>5.8643903678959441</v>
      </c>
      <c r="X343" s="1124"/>
      <c r="Y343" s="598"/>
      <c r="Z343" s="1129">
        <f>Stores!AB224+Stores!BD224+Stores!BR224</f>
        <v>12.100000000000001</v>
      </c>
      <c r="AA343" s="1127"/>
      <c r="AB343" s="1163">
        <f>AVERAGE(Z343,Z342)</f>
        <v>11.850000000000001</v>
      </c>
      <c r="AC343" s="598"/>
      <c r="AD343" s="1120">
        <f>(AB343/AB336-1)*100</f>
        <v>7.2398190045248834</v>
      </c>
      <c r="AE343" s="1124"/>
      <c r="AF343" s="1159">
        <f>+H343/AD343*100</f>
        <v>151.03663178148247</v>
      </c>
      <c r="AG343" s="1125"/>
      <c r="AH343" s="598"/>
      <c r="AI343" s="1165">
        <f>+S343</f>
        <v>983.23599999999999</v>
      </c>
      <c r="AJ343" s="598"/>
      <c r="AK343" s="1167">
        <f>AI343/AB343</f>
        <v>82.973502109704626</v>
      </c>
      <c r="AL343" s="598"/>
      <c r="AM343" s="1176">
        <f>(AK343/AK336-1)*100</f>
        <v>7.1754688122519728</v>
      </c>
      <c r="AN343" s="1124"/>
      <c r="AO343" s="1217">
        <f>F343+F336</f>
        <v>12</v>
      </c>
      <c r="AP343" s="562">
        <v>0.79978213159189115</v>
      </c>
      <c r="AQ343" s="1198"/>
      <c r="AR343" s="1198"/>
      <c r="AS343" s="499"/>
      <c r="AT343" s="499"/>
      <c r="AU343" s="499"/>
      <c r="AV343" s="499"/>
      <c r="AW343" s="499"/>
      <c r="AX343" s="499"/>
      <c r="AY343" s="1034">
        <f>AP340*AQ343</f>
        <v>0</v>
      </c>
      <c r="AZ343" s="499"/>
      <c r="BA343" s="499"/>
      <c r="BB343" s="487"/>
      <c r="BC343" s="1209">
        <f>AY343</f>
        <v>0</v>
      </c>
      <c r="BD343" s="487"/>
      <c r="BE343" s="487"/>
      <c r="BF343" s="754">
        <f>S343/$S$331</f>
        <v>0.34443709961791724</v>
      </c>
      <c r="BG343" s="487"/>
      <c r="BH343" s="487"/>
    </row>
    <row r="344" spans="1:60">
      <c r="A344" s="598" t="s">
        <v>530</v>
      </c>
      <c r="B344" s="1157" t="s">
        <v>517</v>
      </c>
      <c r="C344" s="598"/>
      <c r="D344" s="1168">
        <f>(S344/S337-1)*100</f>
        <v>24.613991132445356</v>
      </c>
      <c r="E344" s="598"/>
      <c r="F344" s="1178">
        <f>'SegP&amp;L'!$Y203</f>
        <v>7</v>
      </c>
      <c r="G344" s="598"/>
      <c r="H344" s="1168">
        <f>D344-F344</f>
        <v>17.613991132445356</v>
      </c>
      <c r="I344" s="598"/>
      <c r="J344" s="1206">
        <f>Stores!Y225+Stores!BA225+Stores!BO225</f>
        <v>454</v>
      </c>
      <c r="K344" s="1127"/>
      <c r="L344" s="1171">
        <f>AVERAGE(J344,J343)</f>
        <v>454</v>
      </c>
      <c r="M344" s="598"/>
      <c r="N344" s="1168">
        <f>(L344/L337-1)*100</f>
        <v>8.6124401913875595</v>
      </c>
      <c r="O344" s="1124"/>
      <c r="P344" s="1171">
        <f>H344/N344*100</f>
        <v>204.51800814894887</v>
      </c>
      <c r="Q344" s="1125"/>
      <c r="R344" s="598"/>
      <c r="S344" s="1172">
        <f>'SegP&amp;L'!$W203</f>
        <v>1088.249</v>
      </c>
      <c r="T344" s="598"/>
      <c r="U344" s="1173">
        <f>S344/L344</f>
        <v>2.3970242290748898</v>
      </c>
      <c r="V344" s="598"/>
      <c r="W344" s="1169">
        <f>(U344/U337-1)*100</f>
        <v>14.732705491987108</v>
      </c>
      <c r="X344" s="1124"/>
      <c r="Y344" s="598"/>
      <c r="Z344" s="1129">
        <f>Stores!AB225+Stores!BD225+Stores!BR225</f>
        <v>12.100000000000001</v>
      </c>
      <c r="AA344" s="1127"/>
      <c r="AB344" s="1174">
        <f>AVERAGE(Z344,Z343)</f>
        <v>12.100000000000001</v>
      </c>
      <c r="AC344" s="598"/>
      <c r="AD344" s="1168">
        <f>(AB344/AB337-1)*100</f>
        <v>6.1403508771930015</v>
      </c>
      <c r="AE344" s="1124"/>
      <c r="AF344" s="1171">
        <f>+H344/AD344*100</f>
        <v>286.85642701410916</v>
      </c>
      <c r="AG344" s="1125"/>
      <c r="AH344" s="598"/>
      <c r="AI344" s="1172">
        <f>+S344</f>
        <v>1088.249</v>
      </c>
      <c r="AJ344" s="598"/>
      <c r="AK344" s="1175">
        <f>AI344/AB344</f>
        <v>89.937933884297507</v>
      </c>
      <c r="AL344" s="598"/>
      <c r="AM344" s="1169">
        <f>(AK344/AK337-1)*100</f>
        <v>17.404917265279064</v>
      </c>
      <c r="AN344" s="1124"/>
      <c r="AO344" s="1217">
        <f>F344+F337</f>
        <v>11</v>
      </c>
      <c r="AP344" s="1201">
        <v>0.78790087034437251</v>
      </c>
      <c r="AQ344" s="1202"/>
      <c r="AR344" s="487"/>
      <c r="AS344" s="499"/>
      <c r="AT344" s="499"/>
      <c r="AU344" s="499"/>
      <c r="AV344" s="499"/>
      <c r="AW344" s="499"/>
      <c r="AX344" s="499"/>
      <c r="AY344" s="1034">
        <f>AP340*AQ344</f>
        <v>0</v>
      </c>
      <c r="AZ344" s="499"/>
      <c r="BA344" s="499"/>
      <c r="BB344" s="487"/>
      <c r="BC344" s="1209">
        <f>AY344</f>
        <v>0</v>
      </c>
      <c r="BD344" s="487"/>
      <c r="BE344" s="487"/>
      <c r="BF344" s="754">
        <f>S344/$S$331</f>
        <v>0.38122417122857466</v>
      </c>
      <c r="BG344" s="487"/>
      <c r="BH344" s="487"/>
    </row>
    <row r="345" spans="1:60">
      <c r="A345" s="598"/>
      <c r="B345" s="1157" t="s">
        <v>531</v>
      </c>
      <c r="C345" s="598"/>
      <c r="D345" s="1120">
        <f>(S345/S338-1)*100</f>
        <v>14.857651554163542</v>
      </c>
      <c r="E345" s="598"/>
      <c r="F345" s="1179">
        <f>'SegP&amp;L'!$Y204</f>
        <v>5</v>
      </c>
      <c r="G345" s="598"/>
      <c r="H345" s="1120">
        <f>D345-F345</f>
        <v>9.8576515541635423</v>
      </c>
      <c r="I345" s="598"/>
      <c r="J345" s="598"/>
      <c r="K345" s="598"/>
      <c r="L345" s="1128">
        <f>AVERAGE(L341:L344)</f>
        <v>437.75</v>
      </c>
      <c r="M345" s="598"/>
      <c r="N345" s="1120">
        <f>(L345/L338-1)*100</f>
        <v>8.1865925239419148</v>
      </c>
      <c r="O345" s="1124"/>
      <c r="P345" s="1159">
        <f>H345/N345*100</f>
        <v>120.41214370123552</v>
      </c>
      <c r="Q345" s="1125"/>
      <c r="R345" s="598"/>
      <c r="S345" s="1160">
        <f>SUM(S341:S344)</f>
        <v>3642.2820000000002</v>
      </c>
      <c r="T345" s="598"/>
      <c r="U345" s="1161">
        <f>SUM(U341:U344)</f>
        <v>8.2932167475156682</v>
      </c>
      <c r="V345" s="598"/>
      <c r="W345" s="1176">
        <f>(U345/U338-1)*100</f>
        <v>5.9894113404293625</v>
      </c>
      <c r="X345" s="1124"/>
      <c r="Y345" s="598"/>
      <c r="Z345" s="598"/>
      <c r="AA345" s="598"/>
      <c r="AB345" s="1163">
        <f>AVERAGE(AB341:AB344)</f>
        <v>11.762500000000001</v>
      </c>
      <c r="AC345" s="598"/>
      <c r="AD345" s="1120">
        <f>(AB345/AB338-1)*100</f>
        <v>7.54285714285714</v>
      </c>
      <c r="AE345" s="1124"/>
      <c r="AF345" s="1159">
        <f>+H345/AD345*100</f>
        <v>130.6885622711076</v>
      </c>
      <c r="AG345" s="1125"/>
      <c r="AH345" s="598"/>
      <c r="AI345" s="1160">
        <f>SUM(AI341:AI344)</f>
        <v>3642.2820000000002</v>
      </c>
      <c r="AJ345" s="598"/>
      <c r="AK345" s="1164">
        <f>SUM(AK341:AK344)</f>
        <v>308.87877182608611</v>
      </c>
      <c r="AL345" s="598"/>
      <c r="AM345" s="1176">
        <f>(AK345/AK338-1)*100</f>
        <v>6.7205822084206002</v>
      </c>
      <c r="AN345" s="1124"/>
      <c r="AP345" s="562">
        <v>0.74885868498268182</v>
      </c>
      <c r="AQ345" s="1198"/>
      <c r="AR345" s="1198"/>
      <c r="AS345" s="499"/>
      <c r="AT345" s="499"/>
      <c r="AU345" s="499"/>
      <c r="AV345" s="499"/>
      <c r="AW345" s="499"/>
      <c r="AX345" s="499"/>
      <c r="AY345" s="1034">
        <f>AP340*AQ345</f>
        <v>0</v>
      </c>
      <c r="AZ345" s="499"/>
      <c r="BA345" s="499"/>
      <c r="BB345" s="487"/>
      <c r="BC345" s="1209">
        <f>AY345</f>
        <v>0</v>
      </c>
      <c r="BD345" s="487"/>
      <c r="BE345" s="487"/>
      <c r="BF345" s="487"/>
      <c r="BG345" s="487"/>
      <c r="BH345" s="487"/>
    </row>
    <row r="346" spans="1:60" ht="13.5" thickBot="1">
      <c r="A346" s="1125"/>
      <c r="B346" s="1210"/>
      <c r="C346" s="1125"/>
      <c r="D346" s="1125"/>
      <c r="E346" s="1125"/>
      <c r="F346" s="1125"/>
      <c r="G346" s="1125"/>
      <c r="H346" s="1189"/>
      <c r="I346" s="1125"/>
      <c r="J346" s="1125"/>
      <c r="K346" s="1125"/>
      <c r="L346" s="1212"/>
      <c r="M346" s="1125"/>
      <c r="N346" s="1125"/>
      <c r="O346" s="1125"/>
      <c r="P346" s="1125"/>
      <c r="Q346" s="1125"/>
      <c r="R346" s="1125"/>
      <c r="S346" s="1218"/>
      <c r="T346" s="1125"/>
      <c r="U346" s="1125"/>
      <c r="V346" s="1125"/>
      <c r="W346" s="1125"/>
      <c r="X346" s="1125"/>
      <c r="Y346" s="1125"/>
      <c r="Z346" s="1125"/>
      <c r="AA346" s="1125"/>
      <c r="AB346" s="1125"/>
      <c r="AC346" s="1125"/>
      <c r="AD346" s="1125"/>
      <c r="AE346" s="1125"/>
      <c r="AF346" s="1125"/>
      <c r="AG346" s="1125"/>
      <c r="AH346" s="1125"/>
      <c r="AI346" s="1125"/>
      <c r="AJ346" s="1125"/>
      <c r="AK346" s="1125"/>
      <c r="AL346" s="1125"/>
      <c r="AM346" s="1125"/>
      <c r="AN346" s="1125"/>
      <c r="AP346" s="487"/>
      <c r="AQ346" s="487"/>
      <c r="AR346" s="487"/>
      <c r="AS346" s="499"/>
      <c r="AT346" s="499"/>
      <c r="AU346" s="499"/>
      <c r="AV346" s="499"/>
      <c r="AW346" s="499"/>
      <c r="AX346" s="499"/>
      <c r="AY346" s="499"/>
      <c r="AZ346" s="499"/>
      <c r="BA346" s="499"/>
      <c r="BB346" s="487"/>
      <c r="BC346" s="499"/>
      <c r="BD346" s="487"/>
      <c r="BE346" s="487"/>
      <c r="BF346" s="487"/>
      <c r="BG346" s="487"/>
      <c r="BH346" s="487"/>
    </row>
    <row r="347" spans="1:60" ht="13.5" thickBot="1">
      <c r="A347" s="1154"/>
      <c r="B347" s="1186">
        <f>+B340+1</f>
        <v>2018</v>
      </c>
      <c r="C347" s="598" t="s">
        <v>164</v>
      </c>
      <c r="D347" s="1120"/>
      <c r="E347" s="1124"/>
      <c r="F347" s="598"/>
      <c r="G347" s="1124"/>
      <c r="H347" s="2082"/>
      <c r="I347" s="1124"/>
      <c r="J347" s="598"/>
      <c r="K347" s="598"/>
      <c r="L347" s="598"/>
      <c r="M347" s="598"/>
      <c r="N347" s="598"/>
      <c r="O347" s="1124"/>
      <c r="P347" s="1125"/>
      <c r="Q347" s="1125"/>
      <c r="R347" s="598"/>
      <c r="S347" s="1160"/>
      <c r="T347" s="1127"/>
      <c r="U347" s="1128"/>
      <c r="V347" s="598"/>
      <c r="W347" s="598"/>
      <c r="X347" s="1124"/>
      <c r="Y347" s="598"/>
      <c r="Z347" s="598"/>
      <c r="AA347" s="1127"/>
      <c r="AB347" s="598"/>
      <c r="AC347" s="598"/>
      <c r="AD347" s="598"/>
      <c r="AE347" s="1124"/>
      <c r="AF347" s="1125"/>
      <c r="AG347" s="1125"/>
      <c r="AH347" s="598"/>
      <c r="AI347" s="598"/>
      <c r="AJ347" s="598"/>
      <c r="AK347" s="598"/>
      <c r="AL347" s="598"/>
      <c r="AM347" s="598"/>
      <c r="AN347" s="1124"/>
      <c r="AP347" s="1196">
        <v>1</v>
      </c>
      <c r="AQ347" s="735"/>
      <c r="AR347" s="807"/>
      <c r="AS347" s="706"/>
      <c r="AT347" s="706"/>
      <c r="AU347" s="1215"/>
      <c r="AV347" s="706"/>
      <c r="AW347" s="706"/>
      <c r="AX347" s="695"/>
      <c r="AY347" s="695"/>
      <c r="AZ347" s="695"/>
      <c r="BA347" s="695"/>
      <c r="BB347" s="695"/>
      <c r="BC347" s="695"/>
      <c r="BD347" s="695"/>
      <c r="BE347" s="695"/>
      <c r="BF347" s="1216"/>
      <c r="BG347" s="695"/>
      <c r="BH347" s="695"/>
    </row>
    <row r="348" spans="1:60" ht="15">
      <c r="A348" s="598" t="s">
        <v>527</v>
      </c>
      <c r="B348" s="1157" t="s">
        <v>514</v>
      </c>
      <c r="C348" s="598"/>
      <c r="D348" s="1189">
        <f>F348+H348</f>
        <v>17</v>
      </c>
      <c r="E348" s="1124" t="s">
        <v>190</v>
      </c>
      <c r="F348" s="1190">
        <v>4</v>
      </c>
      <c r="G348" s="1124" t="s">
        <v>190</v>
      </c>
      <c r="H348" s="2082">
        <f>12+1</f>
        <v>13</v>
      </c>
      <c r="I348" s="598"/>
      <c r="J348" s="1206">
        <f>Stores!Y229+Stores!BA229+Stores!BO229</f>
        <v>460</v>
      </c>
      <c r="K348" s="1127"/>
      <c r="L348" s="1167">
        <f>AVERAGE(J348,J344)</f>
        <v>457</v>
      </c>
      <c r="M348" s="598"/>
      <c r="N348" s="1120">
        <f>(L348/L341-1)*100</f>
        <v>8.0378250591016442</v>
      </c>
      <c r="O348" s="1124"/>
      <c r="P348" s="1159">
        <f>H348/N348*100</f>
        <v>161.73529411764727</v>
      </c>
      <c r="Q348" s="1125"/>
      <c r="R348" s="598"/>
      <c r="S348" s="2064">
        <f>S341*(1+D348/100)</f>
        <v>864.3620699999999</v>
      </c>
      <c r="T348" s="598"/>
      <c r="U348" s="1161">
        <f>S348/L348</f>
        <v>1.8913830853391682</v>
      </c>
      <c r="V348" s="598"/>
      <c r="W348" s="1176">
        <f>(U348/U341-1)*100</f>
        <v>8.295404814004371</v>
      </c>
      <c r="X348" s="1124" t="s">
        <v>190</v>
      </c>
      <c r="Y348" s="598"/>
      <c r="Z348" s="1129">
        <f>Stores!AB229+Stores!BD229+Stores!BR229</f>
        <v>12.718511904761906</v>
      </c>
      <c r="AA348" s="598"/>
      <c r="AB348" s="1163">
        <f>AVERAGE(Z348,Z344)</f>
        <v>12.409255952380953</v>
      </c>
      <c r="AC348" s="598"/>
      <c r="AD348" s="1120">
        <f>(AB348/AB341-1)*100</f>
        <v>7.9065734989647973</v>
      </c>
      <c r="AE348" s="1124" t="s">
        <v>190</v>
      </c>
      <c r="AF348" s="1159">
        <f>+H348/AD348*100</f>
        <v>164.42014991325993</v>
      </c>
      <c r="AG348" s="1125" t="s">
        <v>190</v>
      </c>
      <c r="AH348" s="598"/>
      <c r="AI348" s="1160">
        <f>+S348</f>
        <v>864.3620699999999</v>
      </c>
      <c r="AJ348" s="598"/>
      <c r="AK348" s="1164">
        <f>AI348/AB348</f>
        <v>69.654625008694055</v>
      </c>
      <c r="AL348" s="598"/>
      <c r="AM348" s="1176">
        <f>(AK348/AK341-1)*100</f>
        <v>8.4271293269472913</v>
      </c>
      <c r="AN348" s="1124" t="s">
        <v>190</v>
      </c>
      <c r="AO348" s="1217">
        <f>F348+F341</f>
        <v>7</v>
      </c>
      <c r="AP348" s="562">
        <v>4.6834453525962383E-2</v>
      </c>
      <c r="AQ348" s="1198"/>
      <c r="AR348" s="1203"/>
      <c r="AS348" s="499"/>
      <c r="AT348" s="499"/>
      <c r="AU348" s="499"/>
      <c r="AV348" s="499"/>
      <c r="AW348" s="499"/>
      <c r="AX348" s="499"/>
      <c r="AY348" s="1034"/>
      <c r="AZ348" s="499"/>
      <c r="BA348" s="499"/>
      <c r="BB348" s="487"/>
      <c r="BC348" s="1209"/>
      <c r="BD348" s="487"/>
      <c r="BE348" s="487"/>
      <c r="BF348" s="754">
        <f>S348/$S$331</f>
        <v>0.30279440989807038</v>
      </c>
      <c r="BG348" s="487"/>
      <c r="BH348" s="487"/>
    </row>
    <row r="349" spans="1:60" ht="15">
      <c r="A349" s="598" t="s">
        <v>528</v>
      </c>
      <c r="B349" s="1157" t="s">
        <v>515</v>
      </c>
      <c r="C349" s="598"/>
      <c r="D349" s="1189">
        <f>F349+H349</f>
        <v>8.5</v>
      </c>
      <c r="E349" s="1124"/>
      <c r="F349" s="1190">
        <v>1</v>
      </c>
      <c r="G349" s="598"/>
      <c r="H349" s="2082">
        <f>7+0.5</f>
        <v>7.5</v>
      </c>
      <c r="I349" s="598"/>
      <c r="J349" s="1206">
        <f>Stores!Y230+Stores!BA230+Stores!BO230</f>
        <v>467</v>
      </c>
      <c r="K349" s="1127"/>
      <c r="L349" s="1167">
        <f>AVERAGE(J349,J348)</f>
        <v>463.5</v>
      </c>
      <c r="M349" s="598"/>
      <c r="N349" s="1120">
        <f>(L349/L342-1)*100</f>
        <v>7.6655052264808399</v>
      </c>
      <c r="O349" s="1124"/>
      <c r="P349" s="1159">
        <f>H349/N349*100</f>
        <v>97.840909090909051</v>
      </c>
      <c r="Q349" s="1125"/>
      <c r="R349" s="598"/>
      <c r="S349" s="1191">
        <f>S342*(1+D349/100)</f>
        <v>902.74820999999997</v>
      </c>
      <c r="T349" s="1127"/>
      <c r="U349" s="1166">
        <f>S349/L349</f>
        <v>1.9476768284789643</v>
      </c>
      <c r="V349" s="598"/>
      <c r="W349" s="1176">
        <f>(U349/U342-1)*100</f>
        <v>0.77508090614886171</v>
      </c>
      <c r="X349" s="1124"/>
      <c r="Y349" s="598"/>
      <c r="Z349" s="1129">
        <f>Stores!AB230+Stores!BD230+Stores!BR230</f>
        <v>12.922486126029359</v>
      </c>
      <c r="AA349" s="1127"/>
      <c r="AB349" s="1163">
        <f>AVERAGE(Z349,Z348)</f>
        <v>12.820499015395633</v>
      </c>
      <c r="AC349" s="598"/>
      <c r="AD349" s="1120">
        <f>(AB349/AB342-1)*100</f>
        <v>10.521543236169229</v>
      </c>
      <c r="AE349" s="1124"/>
      <c r="AF349" s="1159">
        <f>+H349/AD349*100</f>
        <v>71.28231887331637</v>
      </c>
      <c r="AG349" s="1125"/>
      <c r="AH349" s="598"/>
      <c r="AI349" s="1165">
        <f>+S349</f>
        <v>902.74820999999997</v>
      </c>
      <c r="AJ349" s="598"/>
      <c r="AK349" s="1167">
        <f>AI349/AB349</f>
        <v>70.414436202204385</v>
      </c>
      <c r="AL349" s="598"/>
      <c r="AM349" s="1176">
        <f>(AK349/AK342-1)*100</f>
        <v>-1.8290942896530771</v>
      </c>
      <c r="AN349" s="1124"/>
      <c r="AO349" s="1217">
        <f>F349+F342</f>
        <v>8</v>
      </c>
      <c r="AP349" s="562">
        <v>2.1131882251953948E-2</v>
      </c>
      <c r="AQ349" s="1198"/>
      <c r="AR349" s="1198"/>
      <c r="AS349" s="499"/>
      <c r="AT349" s="499"/>
      <c r="AU349" s="499"/>
      <c r="AV349" s="499"/>
      <c r="AW349" s="499"/>
      <c r="AX349" s="499"/>
      <c r="AY349" s="1034"/>
      <c r="AZ349" s="499"/>
      <c r="BA349" s="499"/>
      <c r="BB349" s="487"/>
      <c r="BC349" s="1209"/>
      <c r="BD349" s="487"/>
      <c r="BE349" s="487"/>
      <c r="BF349" s="754">
        <f>S349/$S$331</f>
        <v>0.31624144675100024</v>
      </c>
      <c r="BG349" s="487"/>
      <c r="BH349" s="487"/>
    </row>
    <row r="350" spans="1:60" ht="15">
      <c r="A350" s="598" t="s">
        <v>529</v>
      </c>
      <c r="B350" s="1157" t="s">
        <v>516</v>
      </c>
      <c r="C350" s="598"/>
      <c r="D350" s="1189">
        <f>F350+H350</f>
        <v>8.4</v>
      </c>
      <c r="E350" s="598"/>
      <c r="F350" s="1190">
        <v>4</v>
      </c>
      <c r="G350" s="598">
        <v>3</v>
      </c>
      <c r="H350" s="2082">
        <f>5-0.6</f>
        <v>4.4000000000000004</v>
      </c>
      <c r="I350" s="598"/>
      <c r="J350" s="1206">
        <f>Stores!Y231+Stores!BA231+Stores!BO231</f>
        <v>477</v>
      </c>
      <c r="K350" s="1127"/>
      <c r="L350" s="1167">
        <f>AVERAGE(J350,J349)</f>
        <v>472</v>
      </c>
      <c r="M350" s="598"/>
      <c r="N350" s="1120">
        <f>(L350/L343-1)*100</f>
        <v>6.4261555806087944</v>
      </c>
      <c r="O350" s="1124"/>
      <c r="P350" s="1159">
        <f>H350/N350*100</f>
        <v>68.470175438596499</v>
      </c>
      <c r="Q350" s="1125"/>
      <c r="R350" s="598"/>
      <c r="S350" s="1191">
        <f>S343*(1+D350/100)</f>
        <v>1065.827824</v>
      </c>
      <c r="T350" s="1127"/>
      <c r="U350" s="1166">
        <f>S350/L350</f>
        <v>2.2581097966101695</v>
      </c>
      <c r="V350" s="598"/>
      <c r="W350" s="1176">
        <f>(U350/U343-1)*100</f>
        <v>1.8546610169491551</v>
      </c>
      <c r="X350" s="1124"/>
      <c r="Y350" s="598"/>
      <c r="Z350" s="1129">
        <f>Stores!AB231+Stores!BD231+Stores!BR231</f>
        <v>13.221197189402078</v>
      </c>
      <c r="AA350" s="1127"/>
      <c r="AB350" s="1163">
        <f>AVERAGE(Z350,Z349)</f>
        <v>13.071841657715719</v>
      </c>
      <c r="AC350" s="598"/>
      <c r="AD350" s="1120">
        <f>(AB350/AB343-1)*100</f>
        <v>10.31090006511155</v>
      </c>
      <c r="AE350" s="1124"/>
      <c r="AF350" s="1159">
        <f>+H350/AD350*100</f>
        <v>42.673287222403104</v>
      </c>
      <c r="AG350" s="1125"/>
      <c r="AH350" s="598"/>
      <c r="AI350" s="1165">
        <f>+S350</f>
        <v>1065.827824</v>
      </c>
      <c r="AJ350" s="598"/>
      <c r="AK350" s="1167">
        <f>AI350/AB350</f>
        <v>81.536163909305756</v>
      </c>
      <c r="AL350" s="598"/>
      <c r="AM350" s="1176">
        <f>(AK350/AK343-1)*100</f>
        <v>-1.7322858067367997</v>
      </c>
      <c r="AN350" s="1124"/>
      <c r="AO350" s="1217">
        <f>F350+F343</f>
        <v>8</v>
      </c>
      <c r="AP350" s="562">
        <v>3.2722212291089958E-2</v>
      </c>
      <c r="AQ350" s="1198"/>
      <c r="AR350" s="1198"/>
      <c r="AS350" s="499"/>
      <c r="AT350" s="499"/>
      <c r="AU350" s="499"/>
      <c r="AV350" s="499"/>
      <c r="AW350" s="499"/>
      <c r="AX350" s="499"/>
      <c r="AY350" s="1034">
        <f>AP347*AQ350</f>
        <v>0</v>
      </c>
      <c r="AZ350" s="499"/>
      <c r="BA350" s="499"/>
      <c r="BB350" s="487"/>
      <c r="BC350" s="1209">
        <f>AY350</f>
        <v>0</v>
      </c>
      <c r="BD350" s="487"/>
      <c r="BE350" s="487"/>
      <c r="BF350" s="754">
        <f>S350/$S$331</f>
        <v>0.37336981598582231</v>
      </c>
      <c r="BG350" s="487"/>
      <c r="BH350" s="487"/>
    </row>
    <row r="351" spans="1:60" ht="15">
      <c r="A351" s="598" t="s">
        <v>530</v>
      </c>
      <c r="B351" s="1157" t="s">
        <v>517</v>
      </c>
      <c r="C351" s="598"/>
      <c r="D351" s="1168">
        <f>F351+H351</f>
        <v>3.2</v>
      </c>
      <c r="E351" s="598"/>
      <c r="F351" s="1219">
        <v>4</v>
      </c>
      <c r="G351" s="598"/>
      <c r="H351" s="2083">
        <f>5-5.8</f>
        <v>-0.79999999999999982</v>
      </c>
      <c r="I351" s="598"/>
      <c r="J351" s="1206">
        <f>Stores!Y232+Stores!BA232+Stores!BO232</f>
        <v>484</v>
      </c>
      <c r="K351" s="1127"/>
      <c r="L351" s="1171">
        <f>AVERAGE(J351,J350)</f>
        <v>480.5</v>
      </c>
      <c r="M351" s="598"/>
      <c r="N351" s="1168">
        <f>(L351/L344-1)*100</f>
        <v>5.837004405286339</v>
      </c>
      <c r="O351" s="1124"/>
      <c r="P351" s="1171">
        <f>H351/N351*100</f>
        <v>-13.705660377358498</v>
      </c>
      <c r="Q351" s="1125"/>
      <c r="R351" s="598"/>
      <c r="S351" s="1188">
        <f>S344*(1+D351/100)</f>
        <v>1123.0729679999999</v>
      </c>
      <c r="T351" s="598"/>
      <c r="U351" s="1173">
        <f>S351/L351</f>
        <v>2.3373006618106138</v>
      </c>
      <c r="V351" s="598"/>
      <c r="W351" s="1169">
        <f>(U351/U344-1)*100</f>
        <v>-2.49157127991676</v>
      </c>
      <c r="X351" s="1124"/>
      <c r="Y351" s="598"/>
      <c r="Z351" s="1129">
        <f>Stores!AB232+Stores!BD232+Stores!BR232</f>
        <v>13.401520318653779</v>
      </c>
      <c r="AA351" s="1127"/>
      <c r="AB351" s="1174">
        <f>AVERAGE(Z351,Z350)</f>
        <v>13.311358754027928</v>
      </c>
      <c r="AC351" s="598"/>
      <c r="AD351" s="1168">
        <f>(AB351/AB344-1)*100</f>
        <v>10.011229372131636</v>
      </c>
      <c r="AE351" s="1124"/>
      <c r="AF351" s="1171">
        <f>+H351/AD351*100</f>
        <v>-7.9910265788831909</v>
      </c>
      <c r="AG351" s="1125"/>
      <c r="AH351" s="598"/>
      <c r="AI351" s="1172">
        <f>+S351</f>
        <v>1123.0729679999999</v>
      </c>
      <c r="AJ351" s="598"/>
      <c r="AK351" s="1175">
        <f>AI351/AB351</f>
        <v>84.369521455513734</v>
      </c>
      <c r="AL351" s="598"/>
      <c r="AM351" s="1169">
        <f>(AK351/AK344-1)*100</f>
        <v>-6.191394652169091</v>
      </c>
      <c r="AN351" s="1124"/>
      <c r="AO351" s="1217">
        <f>F351+F344</f>
        <v>11</v>
      </c>
      <c r="AP351" s="1201">
        <v>0</v>
      </c>
      <c r="AQ351" s="1202"/>
      <c r="AR351" s="487"/>
      <c r="AS351" s="499"/>
      <c r="AT351" s="499"/>
      <c r="AU351" s="499"/>
      <c r="AV351" s="499"/>
      <c r="AW351" s="499"/>
      <c r="AX351" s="499"/>
      <c r="AY351" s="1034">
        <f>AP347*AQ351</f>
        <v>0</v>
      </c>
      <c r="AZ351" s="499"/>
      <c r="BA351" s="499"/>
      <c r="BB351" s="487"/>
      <c r="BC351" s="1209">
        <f>AY351</f>
        <v>0</v>
      </c>
      <c r="BD351" s="487"/>
      <c r="BE351" s="487"/>
      <c r="BF351" s="754">
        <f>S351/$S$331</f>
        <v>0.39342334470788903</v>
      </c>
      <c r="BG351" s="487"/>
      <c r="BH351" s="487"/>
    </row>
    <row r="352" spans="1:60">
      <c r="A352" s="598"/>
      <c r="B352" s="1157" t="s">
        <v>531</v>
      </c>
      <c r="C352" s="598"/>
      <c r="D352" s="1120">
        <f>(S352/S345-1)*100</f>
        <v>8.6135305283885124</v>
      </c>
      <c r="E352" s="598"/>
      <c r="F352" s="1179">
        <f>F348*S348/$S352+F349*S349/$S352+F350*S350/$S352+F351*S351/$S352</f>
        <v>3.3154102501965896</v>
      </c>
      <c r="G352" s="598"/>
      <c r="H352" s="1120">
        <f>D352-F352</f>
        <v>5.2981202781919228</v>
      </c>
      <c r="I352" s="598"/>
      <c r="J352" s="598"/>
      <c r="K352" s="598"/>
      <c r="L352" s="1128">
        <f>AVERAGE(L348:L351)</f>
        <v>468.25</v>
      </c>
      <c r="M352" s="598"/>
      <c r="N352" s="1120">
        <f>(L352/L345-1)*100</f>
        <v>6.9674471730439835</v>
      </c>
      <c r="O352" s="1124"/>
      <c r="P352" s="1159">
        <f>H352/N352*100</f>
        <v>76.041054156672502</v>
      </c>
      <c r="Q352" s="1125"/>
      <c r="R352" s="598"/>
      <c r="S352" s="1160">
        <f>SUM(S348:S351)</f>
        <v>3956.0110719999998</v>
      </c>
      <c r="T352" s="598"/>
      <c r="U352" s="1161">
        <f>SUM(U348:U351)</f>
        <v>8.4344703722389163</v>
      </c>
      <c r="V352" s="598"/>
      <c r="W352" s="1176">
        <f>(U352/U345-1)*100</f>
        <v>1.7032428914336872</v>
      </c>
      <c r="X352" s="1124"/>
      <c r="Y352" s="598"/>
      <c r="Z352" s="598"/>
      <c r="AA352" s="598"/>
      <c r="AB352" s="1163">
        <f>AVERAGE(AB348:AB351)</f>
        <v>12.903238844880059</v>
      </c>
      <c r="AC352" s="598"/>
      <c r="AD352" s="1120">
        <f>(AB352/AB345-1)*100</f>
        <v>9.6980985749633106</v>
      </c>
      <c r="AE352" s="1124"/>
      <c r="AF352" s="1159">
        <f>+H352/AD352*100</f>
        <v>54.630505528883702</v>
      </c>
      <c r="AG352" s="1125"/>
      <c r="AH352" s="598"/>
      <c r="AI352" s="1160">
        <f>SUM(AI348:AI351)</f>
        <v>3956.0110719999998</v>
      </c>
      <c r="AJ352" s="598"/>
      <c r="AK352" s="1164">
        <f>SUM(AK348:AK351)</f>
        <v>305.97474657571792</v>
      </c>
      <c r="AL352" s="598"/>
      <c r="AM352" s="1176">
        <f>(AK352/AK345-1)*100</f>
        <v>-0.94018285335688567</v>
      </c>
      <c r="AN352" s="1124"/>
      <c r="AP352" s="562">
        <v>0</v>
      </c>
      <c r="AQ352" s="1198"/>
      <c r="AR352" s="1198"/>
      <c r="AS352" s="499"/>
      <c r="AT352" s="499"/>
      <c r="AU352" s="499"/>
      <c r="AV352" s="499"/>
      <c r="AW352" s="499"/>
      <c r="AX352" s="499"/>
      <c r="AY352" s="1034">
        <f>AP347*AQ352</f>
        <v>0</v>
      </c>
      <c r="AZ352" s="499"/>
      <c r="BA352" s="499"/>
      <c r="BB352" s="487"/>
      <c r="BC352" s="1209">
        <f>AY352</f>
        <v>0</v>
      </c>
      <c r="BD352" s="487"/>
      <c r="BE352" s="487"/>
      <c r="BF352" s="487"/>
      <c r="BG352" s="487"/>
      <c r="BH352" s="487"/>
    </row>
    <row r="353" spans="1:60">
      <c r="A353" s="1125"/>
      <c r="B353" s="1210"/>
      <c r="C353" s="1125"/>
      <c r="D353" s="1125"/>
      <c r="E353" s="1125"/>
      <c r="F353" s="2059"/>
      <c r="G353" s="1125"/>
      <c r="H353" s="1125"/>
      <c r="I353" s="1125"/>
      <c r="J353" s="1125"/>
      <c r="K353" s="1125"/>
      <c r="L353" s="1212"/>
      <c r="M353" s="1125"/>
      <c r="N353" s="1125"/>
      <c r="O353" s="1125"/>
      <c r="P353" s="1125"/>
      <c r="Q353" s="1125"/>
      <c r="R353" s="1125"/>
      <c r="S353" s="1180"/>
      <c r="T353" s="1125"/>
      <c r="U353" s="1125"/>
      <c r="V353" s="1125"/>
      <c r="W353" s="1125"/>
      <c r="X353" s="1125"/>
      <c r="Y353" s="1125"/>
      <c r="Z353" s="1125"/>
      <c r="AA353" s="1125"/>
      <c r="AB353" s="1125"/>
      <c r="AC353" s="1125"/>
      <c r="AD353" s="1125"/>
      <c r="AE353" s="1125"/>
      <c r="AF353" s="1125"/>
      <c r="AG353" s="1125"/>
      <c r="AH353" s="1125"/>
      <c r="AI353" s="1125"/>
      <c r="AJ353" s="1125"/>
      <c r="AK353" s="1125"/>
      <c r="AL353" s="1125"/>
      <c r="AM353" s="1125"/>
      <c r="AN353" s="1125"/>
      <c r="AP353" s="487"/>
      <c r="AQ353" s="487"/>
      <c r="AR353" s="487"/>
      <c r="AS353" s="499"/>
      <c r="AT353" s="499"/>
      <c r="AU353" s="499"/>
      <c r="AV353" s="499"/>
      <c r="AW353" s="499"/>
      <c r="AX353" s="499"/>
      <c r="AY353" s="499"/>
      <c r="AZ353" s="499"/>
      <c r="BA353" s="499"/>
      <c r="BB353" s="487"/>
      <c r="BC353" s="499"/>
      <c r="BD353" s="487"/>
      <c r="BE353" s="487"/>
      <c r="BF353" s="487"/>
      <c r="BG353" s="487"/>
      <c r="BH353" s="487"/>
    </row>
    <row r="354" spans="1:60">
      <c r="A354" s="1122" t="s">
        <v>552</v>
      </c>
      <c r="B354" s="1147"/>
      <c r="C354" s="1122"/>
      <c r="D354" s="1122"/>
      <c r="E354" s="1148"/>
      <c r="F354" s="2059"/>
      <c r="G354" s="1122"/>
      <c r="H354" s="1122"/>
      <c r="I354" s="1148"/>
      <c r="J354" s="1149"/>
      <c r="K354" s="1149"/>
      <c r="L354" s="1149"/>
      <c r="M354" s="1150"/>
      <c r="N354" s="1149"/>
      <c r="O354" s="1148"/>
      <c r="P354" s="1149"/>
      <c r="Q354" s="1149"/>
      <c r="R354" s="1150"/>
      <c r="S354" s="1182">
        <f>S338/'qtrP&amp;L'!$DF$14</f>
        <v>9.5562664658936605E-2</v>
      </c>
      <c r="T354" s="1149"/>
      <c r="U354" s="1935">
        <f>S354*'qtrP&amp;L'!$DJ$19</f>
        <v>0</v>
      </c>
      <c r="V354" s="1150"/>
      <c r="W354" s="1149"/>
      <c r="X354" s="1151"/>
      <c r="Y354" s="1149"/>
      <c r="Z354" s="1149"/>
      <c r="AA354" s="1149"/>
      <c r="AB354" s="1149"/>
      <c r="AC354" s="1150"/>
      <c r="AD354" s="1149"/>
      <c r="AE354" s="1150"/>
      <c r="AF354" s="1149"/>
      <c r="AG354" s="1149"/>
      <c r="AH354" s="1150"/>
      <c r="AI354" s="1149"/>
      <c r="AJ354" s="1149"/>
      <c r="AK354" s="1150"/>
      <c r="AL354" s="1150"/>
      <c r="AM354" s="1149"/>
      <c r="AN354" s="1151"/>
      <c r="AP354" s="487"/>
      <c r="AQ354" s="487"/>
      <c r="AR354" s="487"/>
      <c r="AS354" s="487"/>
      <c r="AT354" s="487"/>
      <c r="AU354" s="487"/>
      <c r="AV354" s="487"/>
      <c r="AW354" s="487"/>
      <c r="AX354" s="487"/>
      <c r="AY354" s="487"/>
      <c r="AZ354" s="487"/>
      <c r="BA354" s="487"/>
      <c r="BB354" s="487"/>
      <c r="BC354" s="487"/>
      <c r="BD354" s="487"/>
      <c r="BE354" s="487"/>
      <c r="BF354" s="487"/>
      <c r="BG354" s="487"/>
      <c r="BH354" s="487"/>
    </row>
    <row r="355" spans="1:60">
      <c r="A355" s="1133" t="str">
        <f>$A$9</f>
        <v>Analysis of Space Productivity, 1999A-2017E</v>
      </c>
      <c r="B355" s="1152"/>
      <c r="C355" s="1133"/>
      <c r="D355" s="1133"/>
      <c r="E355" s="1153"/>
      <c r="F355" s="1133"/>
      <c r="G355" s="1133"/>
      <c r="H355" s="1133"/>
      <c r="I355" s="1153"/>
      <c r="J355" s="1133"/>
      <c r="K355" s="1133"/>
      <c r="L355" s="1133"/>
      <c r="M355" s="1153"/>
      <c r="N355" s="1133"/>
      <c r="O355" s="1153"/>
      <c r="P355" s="1133"/>
      <c r="Q355" s="1133"/>
      <c r="R355" s="1153"/>
      <c r="S355" s="1937">
        <f>S337*(1+F344/100)+U354</f>
        <v>934.42672000000016</v>
      </c>
      <c r="T355" s="1133"/>
      <c r="U355" s="1133"/>
      <c r="V355" s="1153"/>
      <c r="W355" s="1133"/>
      <c r="X355" s="1134"/>
      <c r="Y355" s="1133"/>
      <c r="Z355" s="1133"/>
      <c r="AA355" s="1133"/>
      <c r="AB355" s="1133"/>
      <c r="AC355" s="1153"/>
      <c r="AD355" s="1133"/>
      <c r="AE355" s="1153"/>
      <c r="AF355" s="1133"/>
      <c r="AG355" s="1133"/>
      <c r="AH355" s="1153"/>
      <c r="AI355" s="1133"/>
      <c r="AJ355" s="1133"/>
      <c r="AK355" s="1153"/>
      <c r="AL355" s="1153"/>
      <c r="AM355" s="1133"/>
      <c r="AN355" s="1151"/>
      <c r="AP355" s="1193"/>
      <c r="AQ355" s="1193"/>
      <c r="AR355" s="1193"/>
      <c r="AS355" s="1193"/>
      <c r="AT355" s="1193"/>
      <c r="AU355" s="1193"/>
      <c r="AV355" s="1193"/>
      <c r="AW355" s="1193"/>
      <c r="AX355" s="499"/>
      <c r="AY355" s="499"/>
      <c r="AZ355" s="499"/>
      <c r="BA355" s="499"/>
      <c r="BB355" s="499"/>
      <c r="BC355" s="499"/>
      <c r="BD355" s="499"/>
      <c r="BE355" s="499"/>
      <c r="BF355" s="499"/>
      <c r="BG355" s="499"/>
      <c r="BH355" s="487"/>
    </row>
    <row r="356" spans="1:60">
      <c r="A356" s="598"/>
      <c r="B356" s="1157"/>
      <c r="C356" s="598"/>
      <c r="D356" s="598"/>
      <c r="E356" s="598"/>
      <c r="F356" s="598"/>
      <c r="G356" s="598"/>
      <c r="H356" s="598"/>
      <c r="I356" s="598"/>
      <c r="J356" s="598"/>
      <c r="K356" s="598"/>
      <c r="L356" s="598"/>
      <c r="M356" s="598"/>
      <c r="N356" s="598"/>
      <c r="O356" s="598"/>
      <c r="P356" s="598"/>
      <c r="Q356" s="598"/>
      <c r="R356" s="598"/>
      <c r="S356" s="1181"/>
      <c r="T356" s="598"/>
      <c r="U356" s="598"/>
      <c r="V356" s="598"/>
      <c r="W356" s="598"/>
      <c r="X356" s="1124"/>
      <c r="Y356" s="598"/>
      <c r="Z356" s="598"/>
      <c r="AA356" s="598"/>
      <c r="AB356" s="598"/>
      <c r="AC356" s="598"/>
      <c r="AD356" s="598"/>
      <c r="AE356" s="598"/>
      <c r="AF356" s="598"/>
      <c r="AG356" s="598"/>
      <c r="AH356" s="598"/>
      <c r="AI356" s="598"/>
      <c r="AJ356" s="598"/>
      <c r="AK356" s="598"/>
      <c r="AL356" s="598"/>
      <c r="AM356" s="598"/>
      <c r="AN356" s="1124"/>
      <c r="AP356" s="1197"/>
      <c r="AQ356" s="1081"/>
      <c r="AR356" s="499"/>
      <c r="AS356" s="1197"/>
      <c r="AT356" s="1081"/>
      <c r="AU356" s="1193"/>
      <c r="AV356" s="1197"/>
      <c r="AW356" s="1081"/>
      <c r="AX356" s="499"/>
      <c r="AY356" s="499"/>
      <c r="AZ356" s="499"/>
      <c r="BA356" s="499"/>
      <c r="BB356" s="499"/>
      <c r="BC356" s="499"/>
      <c r="BD356" s="499"/>
      <c r="BE356" s="499"/>
      <c r="BF356" s="499"/>
      <c r="BG356" s="499"/>
      <c r="BH356" s="487"/>
    </row>
    <row r="357" spans="1:60">
      <c r="A357" s="598"/>
      <c r="B357" s="1157"/>
      <c r="C357" s="598"/>
      <c r="D357" s="598"/>
      <c r="E357" s="598"/>
      <c r="F357" s="598"/>
      <c r="G357" s="598"/>
      <c r="H357" s="598"/>
      <c r="I357" s="598"/>
      <c r="J357" s="1130" t="s">
        <v>343</v>
      </c>
      <c r="K357" s="1131"/>
      <c r="L357" s="1131"/>
      <c r="M357" s="1131"/>
      <c r="N357" s="1131"/>
      <c r="O357" s="1131"/>
      <c r="P357" s="1131"/>
      <c r="Q357" s="1131"/>
      <c r="R357" s="1131"/>
      <c r="S357" s="1131"/>
      <c r="T357" s="1131"/>
      <c r="U357" s="1131"/>
      <c r="V357" s="1131"/>
      <c r="W357" s="1131"/>
      <c r="X357" s="1132"/>
      <c r="Y357" s="598"/>
      <c r="Z357" s="1130" t="s">
        <v>344</v>
      </c>
      <c r="AA357" s="1131"/>
      <c r="AB357" s="1131"/>
      <c r="AC357" s="1131"/>
      <c r="AD357" s="1131"/>
      <c r="AE357" s="1131"/>
      <c r="AF357" s="1131"/>
      <c r="AG357" s="1131"/>
      <c r="AH357" s="1131"/>
      <c r="AI357" s="1131"/>
      <c r="AJ357" s="1131"/>
      <c r="AK357" s="1131"/>
      <c r="AL357" s="1131"/>
      <c r="AM357" s="1131"/>
      <c r="AN357" s="1132"/>
      <c r="AP357" s="1199"/>
      <c r="AQ357" s="1200"/>
      <c r="AR357" s="1200"/>
      <c r="AS357" s="1199"/>
      <c r="AT357" s="1200"/>
      <c r="AU357" s="1193"/>
      <c r="AV357" s="1199"/>
      <c r="AW357" s="1200"/>
      <c r="AX357" s="499"/>
      <c r="AY357" s="499"/>
      <c r="AZ357" s="499"/>
      <c r="BA357" s="1199"/>
      <c r="BB357" s="499"/>
      <c r="BC357" s="1199"/>
      <c r="BD357" s="499"/>
      <c r="BE357" s="499"/>
      <c r="BF357" s="499"/>
      <c r="BG357" s="499"/>
      <c r="BH357" s="487"/>
    </row>
    <row r="358" spans="1:60">
      <c r="A358" s="598"/>
      <c r="B358" s="1157"/>
      <c r="C358" s="598"/>
      <c r="D358" s="1133"/>
      <c r="E358" s="1134" t="s">
        <v>556</v>
      </c>
      <c r="F358" s="1133"/>
      <c r="G358" s="598"/>
      <c r="H358" s="1121" t="s">
        <v>25</v>
      </c>
      <c r="I358" s="598"/>
      <c r="J358" s="598"/>
      <c r="K358" s="598"/>
      <c r="L358" s="598"/>
      <c r="M358" s="598"/>
      <c r="N358" s="598"/>
      <c r="O358" s="598"/>
      <c r="P358" s="1135" t="s">
        <v>36</v>
      </c>
      <c r="Q358" s="1135"/>
      <c r="R358" s="598"/>
      <c r="S358" s="1136"/>
      <c r="T358" s="1136"/>
      <c r="U358" s="1133" t="s">
        <v>340</v>
      </c>
      <c r="V358" s="1136"/>
      <c r="W358" s="1136"/>
      <c r="X358" s="1124"/>
      <c r="Y358" s="598"/>
      <c r="Z358" s="598"/>
      <c r="AA358" s="598"/>
      <c r="AB358" s="598"/>
      <c r="AC358" s="598"/>
      <c r="AD358" s="598"/>
      <c r="AE358" s="598"/>
      <c r="AF358" s="1135" t="s">
        <v>36</v>
      </c>
      <c r="AG358" s="1135"/>
      <c r="AH358" s="598"/>
      <c r="AI358" s="1136"/>
      <c r="AJ358" s="1136"/>
      <c r="AK358" s="1134" t="s">
        <v>341</v>
      </c>
      <c r="AL358" s="1136"/>
      <c r="AM358" s="1136"/>
      <c r="AN358" s="1124"/>
      <c r="AP358" s="1199"/>
      <c r="AQ358" s="1200"/>
      <c r="AR358" s="1200"/>
      <c r="AS358" s="1199"/>
      <c r="AT358" s="1200"/>
      <c r="AU358" s="1193"/>
      <c r="AV358" s="1199"/>
      <c r="AW358" s="1200"/>
      <c r="AX358" s="499"/>
      <c r="AY358" s="499"/>
      <c r="AZ358" s="499"/>
      <c r="BA358" s="1199"/>
      <c r="BB358" s="499"/>
      <c r="BC358" s="1199"/>
      <c r="BD358" s="499"/>
      <c r="BE358" s="499"/>
      <c r="BF358" s="499"/>
      <c r="BG358" s="499"/>
      <c r="BH358" s="487"/>
    </row>
    <row r="359" spans="1:60">
      <c r="A359" s="598"/>
      <c r="B359" s="1157"/>
      <c r="C359" s="598"/>
      <c r="D359" s="1121"/>
      <c r="E359" s="1121"/>
      <c r="F359" s="1121" t="s">
        <v>24</v>
      </c>
      <c r="G359" s="1121"/>
      <c r="H359" s="1134" t="s">
        <v>26</v>
      </c>
      <c r="I359" s="598"/>
      <c r="J359" s="1134"/>
      <c r="K359" s="1134" t="s">
        <v>31</v>
      </c>
      <c r="L359" s="1134"/>
      <c r="M359" s="1121"/>
      <c r="N359" s="1121" t="s">
        <v>34</v>
      </c>
      <c r="O359" s="598"/>
      <c r="P359" s="1135" t="s">
        <v>37</v>
      </c>
      <c r="Q359" s="1135"/>
      <c r="R359" s="598"/>
      <c r="S359" s="598"/>
      <c r="T359" s="598"/>
      <c r="U359" s="1121" t="s">
        <v>41</v>
      </c>
      <c r="V359" s="598"/>
      <c r="W359" s="1121" t="s">
        <v>43</v>
      </c>
      <c r="X359" s="1124"/>
      <c r="Y359" s="598"/>
      <c r="Z359" s="1134"/>
      <c r="AA359" s="1134" t="s">
        <v>433</v>
      </c>
      <c r="AB359" s="1134"/>
      <c r="AC359" s="1121"/>
      <c r="AD359" s="1121" t="s">
        <v>34</v>
      </c>
      <c r="AE359" s="598"/>
      <c r="AF359" s="1135" t="s">
        <v>37</v>
      </c>
      <c r="AG359" s="1135"/>
      <c r="AH359" s="598"/>
      <c r="AI359" s="598"/>
      <c r="AJ359" s="598"/>
      <c r="AK359" s="1121" t="s">
        <v>41</v>
      </c>
      <c r="AL359" s="598"/>
      <c r="AM359" s="1121" t="s">
        <v>43</v>
      </c>
      <c r="AN359" s="1124"/>
      <c r="AP359" s="487"/>
      <c r="AQ359" s="487"/>
      <c r="AR359" s="487"/>
      <c r="AS359" s="487"/>
      <c r="AT359" s="487"/>
      <c r="AU359" s="487"/>
      <c r="AV359" s="487"/>
      <c r="AW359" s="487"/>
      <c r="AX359" s="487"/>
      <c r="AY359" s="487"/>
      <c r="AZ359" s="499"/>
      <c r="BA359" s="1199"/>
      <c r="BB359" s="499"/>
      <c r="BC359" s="1199"/>
      <c r="BD359" s="499"/>
      <c r="BE359" s="499"/>
      <c r="BF359" s="499"/>
      <c r="BG359" s="499"/>
      <c r="BH359" s="487"/>
    </row>
    <row r="360" spans="1:60">
      <c r="A360" s="598"/>
      <c r="B360" s="1157"/>
      <c r="C360" s="598"/>
      <c r="D360" s="1134" t="s">
        <v>610</v>
      </c>
      <c r="E360" s="1121"/>
      <c r="F360" s="1134" t="s">
        <v>578</v>
      </c>
      <c r="G360" s="1121"/>
      <c r="H360" s="1121" t="s">
        <v>27</v>
      </c>
      <c r="I360" s="598"/>
      <c r="J360" s="1134" t="s">
        <v>610</v>
      </c>
      <c r="K360" s="1121"/>
      <c r="L360" s="1134" t="s">
        <v>594</v>
      </c>
      <c r="M360" s="1121"/>
      <c r="N360" s="1134" t="s">
        <v>190</v>
      </c>
      <c r="O360" s="598"/>
      <c r="P360" s="1139" t="s">
        <v>38</v>
      </c>
      <c r="Q360" s="1139"/>
      <c r="R360" s="598"/>
      <c r="S360" s="1134" t="s">
        <v>610</v>
      </c>
      <c r="T360" s="598"/>
      <c r="U360" s="1134" t="s">
        <v>596</v>
      </c>
      <c r="V360" s="598"/>
      <c r="W360" s="1134" t="s">
        <v>597</v>
      </c>
      <c r="X360" s="1124"/>
      <c r="Y360" s="598"/>
      <c r="Z360" s="1134" t="s">
        <v>610</v>
      </c>
      <c r="AA360" s="1121"/>
      <c r="AB360" s="1134" t="s">
        <v>594</v>
      </c>
      <c r="AC360" s="1121"/>
      <c r="AD360" s="1134" t="s">
        <v>190</v>
      </c>
      <c r="AE360" s="598"/>
      <c r="AF360" s="1139" t="s">
        <v>339</v>
      </c>
      <c r="AG360" s="1139"/>
      <c r="AH360" s="598"/>
      <c r="AI360" s="1134" t="s">
        <v>610</v>
      </c>
      <c r="AJ360" s="598"/>
      <c r="AK360" s="1134" t="s">
        <v>334</v>
      </c>
      <c r="AL360" s="598"/>
      <c r="AM360" s="1134" t="s">
        <v>597</v>
      </c>
      <c r="AN360" s="1124"/>
      <c r="AP360" s="711" t="s">
        <v>784</v>
      </c>
      <c r="AQ360" s="711"/>
      <c r="AR360" s="807"/>
      <c r="AS360" s="711" t="s">
        <v>785</v>
      </c>
      <c r="AT360" s="711"/>
      <c r="AU360" s="807"/>
      <c r="AV360" s="706"/>
      <c r="AW360" s="706"/>
      <c r="AX360" s="695"/>
      <c r="AY360" s="695"/>
      <c r="AZ360" s="499"/>
      <c r="BA360" s="1199"/>
      <c r="BB360" s="499"/>
      <c r="BC360" s="1199"/>
      <c r="BD360" s="499"/>
      <c r="BE360" s="499"/>
      <c r="BF360" s="499"/>
      <c r="BG360" s="499"/>
      <c r="BH360" s="487"/>
    </row>
    <row r="361" spans="1:60">
      <c r="A361" s="598"/>
      <c r="B361" s="1157"/>
      <c r="C361" s="598"/>
      <c r="D361" s="1141" t="s">
        <v>29</v>
      </c>
      <c r="E361" s="1121"/>
      <c r="F361" s="1141" t="s">
        <v>30</v>
      </c>
      <c r="G361" s="1121"/>
      <c r="H361" s="1141" t="s">
        <v>28</v>
      </c>
      <c r="I361" s="598"/>
      <c r="J361" s="1141" t="s">
        <v>32</v>
      </c>
      <c r="K361" s="1121"/>
      <c r="L361" s="1141" t="s">
        <v>33</v>
      </c>
      <c r="M361" s="1121"/>
      <c r="N361" s="1141" t="s">
        <v>35</v>
      </c>
      <c r="O361" s="598"/>
      <c r="P361" s="1142" t="s">
        <v>39</v>
      </c>
      <c r="Q361" s="1142"/>
      <c r="R361" s="598"/>
      <c r="S361" s="1141" t="s">
        <v>40</v>
      </c>
      <c r="T361" s="598"/>
      <c r="U361" s="1141" t="s">
        <v>42</v>
      </c>
      <c r="V361" s="598"/>
      <c r="W361" s="1141" t="s">
        <v>44</v>
      </c>
      <c r="X361" s="1124"/>
      <c r="Y361" s="598"/>
      <c r="Z361" s="1141" t="s">
        <v>331</v>
      </c>
      <c r="AA361" s="1121"/>
      <c r="AB361" s="1141" t="s">
        <v>332</v>
      </c>
      <c r="AC361" s="1121"/>
      <c r="AD361" s="1141" t="s">
        <v>333</v>
      </c>
      <c r="AE361" s="598"/>
      <c r="AF361" s="1142" t="s">
        <v>335</v>
      </c>
      <c r="AG361" s="1142"/>
      <c r="AH361" s="598"/>
      <c r="AI361" s="1141" t="s">
        <v>336</v>
      </c>
      <c r="AJ361" s="598"/>
      <c r="AK361" s="1141" t="s">
        <v>337</v>
      </c>
      <c r="AL361" s="598"/>
      <c r="AM361" s="1141" t="s">
        <v>338</v>
      </c>
      <c r="AN361" s="1124"/>
      <c r="AP361" s="487"/>
      <c r="AQ361" s="487"/>
      <c r="AR361" s="487"/>
      <c r="AS361" s="487"/>
      <c r="AT361" s="487"/>
      <c r="AU361" s="487"/>
      <c r="AV361" s="499"/>
      <c r="AW361" s="499"/>
      <c r="AX361" s="499"/>
      <c r="AY361" s="1220" t="s">
        <v>788</v>
      </c>
      <c r="AZ361" s="499"/>
      <c r="BA361" s="1199"/>
      <c r="BB361" s="499"/>
      <c r="BC361" s="1199"/>
      <c r="BD361" s="499"/>
      <c r="BE361" s="499"/>
      <c r="BF361" s="499"/>
      <c r="BG361" s="499"/>
      <c r="BH361" s="701"/>
    </row>
    <row r="362" spans="1:60" ht="13.5" thickBot="1">
      <c r="A362" s="598"/>
      <c r="B362" s="1157"/>
      <c r="C362" s="598"/>
      <c r="D362" s="598"/>
      <c r="E362" s="598"/>
      <c r="F362" s="598"/>
      <c r="G362" s="598"/>
      <c r="H362" s="598"/>
      <c r="I362" s="598"/>
      <c r="J362" s="598"/>
      <c r="K362" s="598"/>
      <c r="L362" s="598"/>
      <c r="M362" s="598"/>
      <c r="N362" s="598"/>
      <c r="O362" s="598"/>
      <c r="P362" s="1125"/>
      <c r="Q362" s="1125"/>
      <c r="R362" s="598"/>
      <c r="S362" s="598"/>
      <c r="T362" s="598"/>
      <c r="U362" s="598"/>
      <c r="V362" s="598"/>
      <c r="W362" s="598"/>
      <c r="X362" s="1124"/>
      <c r="Y362" s="598"/>
      <c r="Z362" s="598"/>
      <c r="AA362" s="598"/>
      <c r="AB362" s="598"/>
      <c r="AC362" s="598"/>
      <c r="AD362" s="598"/>
      <c r="AE362" s="598"/>
      <c r="AF362" s="1125"/>
      <c r="AG362" s="1125"/>
      <c r="AH362" s="598"/>
      <c r="AI362" s="598"/>
      <c r="AJ362" s="598"/>
      <c r="AK362" s="598"/>
      <c r="AL362" s="598"/>
      <c r="AM362" s="598"/>
      <c r="AN362" s="1124"/>
      <c r="AR362" s="487"/>
      <c r="AU362" s="487"/>
      <c r="AV362" s="1197"/>
      <c r="AW362" s="1081"/>
      <c r="AX362" s="499"/>
      <c r="AY362" s="1221" t="s">
        <v>777</v>
      </c>
      <c r="BA362" s="1069" t="s">
        <v>778</v>
      </c>
      <c r="BB362" s="487"/>
      <c r="BC362" s="1069" t="s">
        <v>778</v>
      </c>
      <c r="BD362" s="499"/>
      <c r="BE362" s="499"/>
      <c r="BF362" s="499"/>
      <c r="BG362" s="499"/>
      <c r="BH362" s="487"/>
    </row>
    <row r="363" spans="1:60" ht="13.5" hidden="1" customHeight="1" outlineLevel="1" collapsed="1" thickBot="1">
      <c r="A363" s="1154"/>
      <c r="B363" s="1155">
        <v>1995</v>
      </c>
      <c r="C363" s="598"/>
      <c r="D363" s="598"/>
      <c r="E363" s="598"/>
      <c r="F363" s="598"/>
      <c r="G363" s="598"/>
      <c r="H363" s="598"/>
      <c r="I363" s="598"/>
      <c r="J363" s="598"/>
      <c r="K363" s="598"/>
      <c r="L363" s="598"/>
      <c r="M363" s="598"/>
      <c r="N363" s="598"/>
      <c r="O363" s="598"/>
      <c r="P363" s="1125"/>
      <c r="Q363" s="1125"/>
      <c r="R363" s="598"/>
      <c r="S363" s="598"/>
      <c r="T363" s="598"/>
      <c r="U363" s="598"/>
      <c r="V363" s="598"/>
      <c r="W363" s="598"/>
      <c r="X363" s="1124"/>
      <c r="Y363" s="598"/>
      <c r="Z363" s="598"/>
      <c r="AA363" s="598"/>
      <c r="AB363" s="598"/>
      <c r="AC363" s="598"/>
      <c r="AD363" s="598"/>
      <c r="AE363" s="598"/>
      <c r="AF363" s="1125"/>
      <c r="AG363" s="1125"/>
      <c r="AH363" s="598"/>
      <c r="AI363" s="598"/>
      <c r="AJ363" s="598"/>
      <c r="AK363" s="598"/>
      <c r="AL363" s="598"/>
      <c r="AM363" s="598"/>
      <c r="AN363" s="1124"/>
      <c r="AP363" s="1196"/>
      <c r="AQ363" s="735"/>
      <c r="AR363" s="487"/>
      <c r="AS363" s="1196"/>
      <c r="AT363" s="735"/>
      <c r="AU363" s="487"/>
      <c r="AV363" s="1197"/>
      <c r="AW363" s="1081"/>
      <c r="AX363" s="499"/>
      <c r="AY363" s="1221"/>
      <c r="BA363" s="1140" t="s">
        <v>781</v>
      </c>
      <c r="BB363" s="702"/>
      <c r="BC363" s="1140" t="s">
        <v>781</v>
      </c>
      <c r="BD363" s="499"/>
      <c r="BE363" s="499"/>
      <c r="BF363" s="499"/>
      <c r="BG363" s="499"/>
      <c r="BH363" s="487"/>
    </row>
    <row r="364" spans="1:60" ht="13.5" hidden="1" customHeight="1" outlineLevel="1">
      <c r="A364" s="598" t="s">
        <v>527</v>
      </c>
      <c r="B364" s="1157" t="s">
        <v>514</v>
      </c>
      <c r="C364" s="598"/>
      <c r="D364" s="1120"/>
      <c r="E364" s="598" t="s">
        <v>190</v>
      </c>
      <c r="F364" s="1158"/>
      <c r="G364" s="598" t="s">
        <v>190</v>
      </c>
      <c r="H364" s="1120"/>
      <c r="I364" s="1124" t="s">
        <v>190</v>
      </c>
      <c r="J364" s="1127">
        <f>Stores!AF57</f>
        <v>6</v>
      </c>
      <c r="K364" s="598"/>
      <c r="L364" s="598"/>
      <c r="M364" s="598"/>
      <c r="N364" s="1120"/>
      <c r="O364" s="1124" t="s">
        <v>190</v>
      </c>
      <c r="P364" s="1159"/>
      <c r="Q364" s="1125" t="s">
        <v>190</v>
      </c>
      <c r="R364" s="598"/>
      <c r="S364" s="1160"/>
      <c r="T364" s="598"/>
      <c r="U364" s="1161"/>
      <c r="V364" s="598"/>
      <c r="W364" s="1158"/>
      <c r="X364" s="1124" t="s">
        <v>190</v>
      </c>
      <c r="Y364" s="598"/>
      <c r="Z364" s="1162"/>
      <c r="AA364" s="598"/>
      <c r="AB364" s="1163"/>
      <c r="AC364" s="598"/>
      <c r="AD364" s="1120"/>
      <c r="AE364" s="1124" t="s">
        <v>190</v>
      </c>
      <c r="AF364" s="1159"/>
      <c r="AG364" s="1125" t="s">
        <v>190</v>
      </c>
      <c r="AH364" s="598"/>
      <c r="AI364" s="1160"/>
      <c r="AJ364" s="598"/>
      <c r="AK364" s="1164"/>
      <c r="AL364" s="598"/>
      <c r="AM364" s="1120"/>
      <c r="AN364" s="1124" t="s">
        <v>190</v>
      </c>
      <c r="AP364" s="562"/>
      <c r="AQ364" s="1198"/>
      <c r="AR364" s="1198"/>
      <c r="AS364" s="562"/>
      <c r="AT364" s="1198"/>
      <c r="AU364" s="1198"/>
      <c r="AV364" s="1199"/>
      <c r="AW364" s="1200"/>
      <c r="AX364" s="499"/>
      <c r="AY364" s="1221"/>
      <c r="AZ364" s="499"/>
      <c r="BA364" s="499"/>
      <c r="BB364" s="1088"/>
      <c r="BC364" s="499"/>
      <c r="BD364" s="1088"/>
      <c r="BE364" s="1088"/>
      <c r="BF364" s="1088"/>
      <c r="BG364" s="499"/>
      <c r="BH364" s="487"/>
    </row>
    <row r="365" spans="1:60" ht="13.5" hidden="1" customHeight="1" outlineLevel="1">
      <c r="A365" s="598" t="s">
        <v>528</v>
      </c>
      <c r="B365" s="1157" t="s">
        <v>515</v>
      </c>
      <c r="C365" s="598"/>
      <c r="D365" s="1120"/>
      <c r="E365" s="598"/>
      <c r="F365" s="1158"/>
      <c r="G365" s="598"/>
      <c r="H365" s="1120"/>
      <c r="I365" s="1124"/>
      <c r="J365" s="1127">
        <f>Stores!AF58</f>
        <v>8</v>
      </c>
      <c r="K365" s="598"/>
      <c r="L365" s="1128">
        <f>AVERAGE(J365,J364)</f>
        <v>7</v>
      </c>
      <c r="M365" s="598"/>
      <c r="N365" s="1120"/>
      <c r="O365" s="1124"/>
      <c r="P365" s="1159"/>
      <c r="Q365" s="1125"/>
      <c r="R365" s="598"/>
      <c r="S365" s="1165"/>
      <c r="T365" s="598"/>
      <c r="U365" s="1166"/>
      <c r="V365" s="598"/>
      <c r="W365" s="1158"/>
      <c r="X365" s="1124"/>
      <c r="Y365" s="598"/>
      <c r="Z365" s="1162"/>
      <c r="AA365" s="598"/>
      <c r="AB365" s="1163"/>
      <c r="AC365" s="598"/>
      <c r="AD365" s="1120"/>
      <c r="AE365" s="1124"/>
      <c r="AF365" s="1159"/>
      <c r="AG365" s="1125"/>
      <c r="AH365" s="598"/>
      <c r="AI365" s="1165"/>
      <c r="AJ365" s="598"/>
      <c r="AK365" s="1167"/>
      <c r="AL365" s="598"/>
      <c r="AM365" s="1158"/>
      <c r="AN365" s="1124"/>
      <c r="AP365" s="562"/>
      <c r="AQ365" s="1198"/>
      <c r="AR365" s="1198"/>
      <c r="AS365" s="562"/>
      <c r="AT365" s="1198"/>
      <c r="AU365" s="1198"/>
      <c r="AV365" s="1199"/>
      <c r="AW365" s="1200"/>
      <c r="AX365" s="499"/>
      <c r="AY365" s="1221"/>
      <c r="AZ365" s="499"/>
      <c r="BA365" s="499"/>
      <c r="BB365" s="1193"/>
      <c r="BC365" s="499"/>
      <c r="BD365" s="1193"/>
      <c r="BE365" s="1193"/>
      <c r="BF365" s="1193"/>
      <c r="BG365" s="499"/>
      <c r="BH365" s="487"/>
    </row>
    <row r="366" spans="1:60" ht="13.5" hidden="1" customHeight="1" outlineLevel="1">
      <c r="A366" s="598" t="s">
        <v>529</v>
      </c>
      <c r="B366" s="1157" t="s">
        <v>516</v>
      </c>
      <c r="C366" s="598"/>
      <c r="D366" s="1120"/>
      <c r="E366" s="598"/>
      <c r="F366" s="1158"/>
      <c r="G366" s="598"/>
      <c r="H366" s="1120"/>
      <c r="I366" s="1124"/>
      <c r="J366" s="1127">
        <f>Stores!AF59</f>
        <v>8</v>
      </c>
      <c r="K366" s="598"/>
      <c r="L366" s="1128">
        <f>AVERAGE(J366,J365)</f>
        <v>8</v>
      </c>
      <c r="M366" s="598"/>
      <c r="N366" s="1120"/>
      <c r="O366" s="1124"/>
      <c r="P366" s="1159"/>
      <c r="Q366" s="1125"/>
      <c r="R366" s="598"/>
      <c r="S366" s="1165"/>
      <c r="T366" s="598"/>
      <c r="U366" s="1166"/>
      <c r="V366" s="598"/>
      <c r="W366" s="1158"/>
      <c r="X366" s="1124"/>
      <c r="Y366" s="598"/>
      <c r="Z366" s="1162"/>
      <c r="AA366" s="598"/>
      <c r="AB366" s="1163"/>
      <c r="AC366" s="598"/>
      <c r="AD366" s="1120"/>
      <c r="AE366" s="1124"/>
      <c r="AF366" s="1159"/>
      <c r="AG366" s="1125"/>
      <c r="AH366" s="598"/>
      <c r="AI366" s="1165"/>
      <c r="AJ366" s="598"/>
      <c r="AK366" s="1167"/>
      <c r="AL366" s="598"/>
      <c r="AM366" s="1158"/>
      <c r="AN366" s="1124"/>
      <c r="AP366" s="562"/>
      <c r="AQ366" s="1198"/>
      <c r="AR366" s="1198"/>
      <c r="AS366" s="562"/>
      <c r="AT366" s="1198"/>
      <c r="AU366" s="1198"/>
      <c r="AV366" s="1199"/>
      <c r="AW366" s="1200"/>
      <c r="AX366" s="499"/>
      <c r="AY366" s="1221"/>
      <c r="AZ366" s="499"/>
      <c r="BA366" s="499"/>
      <c r="BB366" s="1193"/>
      <c r="BC366" s="499"/>
      <c r="BD366" s="1193"/>
      <c r="BE366" s="1193"/>
      <c r="BF366" s="1193"/>
      <c r="BG366" s="499"/>
      <c r="BH366" s="487"/>
    </row>
    <row r="367" spans="1:60" ht="13.5" hidden="1" customHeight="1" outlineLevel="1">
      <c r="A367" s="598" t="s">
        <v>530</v>
      </c>
      <c r="B367" s="1157" t="s">
        <v>517</v>
      </c>
      <c r="C367" s="598"/>
      <c r="D367" s="1168"/>
      <c r="E367" s="598"/>
      <c r="F367" s="1169"/>
      <c r="G367" s="598"/>
      <c r="H367" s="1168"/>
      <c r="I367" s="1124"/>
      <c r="J367" s="1170">
        <f>yrSales!G$204</f>
        <v>9</v>
      </c>
      <c r="K367" s="598"/>
      <c r="L367" s="1171">
        <f>AVERAGE(J367,J366)</f>
        <v>8.5</v>
      </c>
      <c r="M367" s="598"/>
      <c r="N367" s="1168"/>
      <c r="O367" s="1124"/>
      <c r="P367" s="1171"/>
      <c r="Q367" s="1125"/>
      <c r="R367" s="598"/>
      <c r="S367" s="1172"/>
      <c r="T367" s="598"/>
      <c r="U367" s="1173"/>
      <c r="V367" s="598"/>
      <c r="W367" s="1169"/>
      <c r="X367" s="1124"/>
      <c r="Y367" s="598"/>
      <c r="Z367" s="1129">
        <f>yrSales!G$214</f>
        <v>0.245</v>
      </c>
      <c r="AA367" s="598"/>
      <c r="AB367" s="1174"/>
      <c r="AC367" s="598"/>
      <c r="AD367" s="1168"/>
      <c r="AE367" s="1124"/>
      <c r="AF367" s="1171"/>
      <c r="AG367" s="1125"/>
      <c r="AH367" s="598"/>
      <c r="AI367" s="1172"/>
      <c r="AJ367" s="598"/>
      <c r="AK367" s="1175"/>
      <c r="AL367" s="598"/>
      <c r="AM367" s="1169"/>
      <c r="AN367" s="1124"/>
      <c r="AP367" s="1201"/>
      <c r="AQ367" s="1202"/>
      <c r="AR367" s="487"/>
      <c r="AS367" s="1201"/>
      <c r="AT367" s="1202"/>
      <c r="AU367" s="487"/>
      <c r="AV367" s="1199"/>
      <c r="AW367" s="1200"/>
      <c r="AX367" s="499"/>
      <c r="AY367" s="1221"/>
      <c r="AZ367" s="499"/>
      <c r="BA367" s="499"/>
      <c r="BB367" s="1193"/>
      <c r="BC367" s="499"/>
      <c r="BD367" s="1193"/>
      <c r="BE367" s="1193"/>
      <c r="BF367" s="1193"/>
      <c r="BG367" s="499"/>
      <c r="BH367" s="487"/>
    </row>
    <row r="368" spans="1:60" ht="13.5" hidden="1" customHeight="1" outlineLevel="1">
      <c r="A368" s="598"/>
      <c r="B368" s="1157" t="s">
        <v>531</v>
      </c>
      <c r="C368" s="598"/>
      <c r="D368" s="1120"/>
      <c r="E368" s="598"/>
      <c r="F368" s="1158"/>
      <c r="G368" s="598"/>
      <c r="H368" s="1120"/>
      <c r="I368" s="1124"/>
      <c r="J368" s="1127"/>
      <c r="K368" s="598"/>
      <c r="L368" s="1128">
        <f>AVERAGE(J367,5)</f>
        <v>7</v>
      </c>
      <c r="M368" s="598"/>
      <c r="N368" s="1120"/>
      <c r="O368" s="1124"/>
      <c r="P368" s="1159"/>
      <c r="Q368" s="1125"/>
      <c r="R368" s="598"/>
      <c r="S368" s="1160" t="str">
        <f>yrSales!G$194</f>
        <v>n/a</v>
      </c>
      <c r="T368" s="598"/>
      <c r="U368" s="1161"/>
      <c r="V368" s="598"/>
      <c r="W368" s="1158"/>
      <c r="X368" s="1124"/>
      <c r="Y368" s="598"/>
      <c r="Z368" s="1127"/>
      <c r="AA368" s="598"/>
      <c r="AB368" s="1163"/>
      <c r="AC368" s="598"/>
      <c r="AD368" s="1120"/>
      <c r="AE368" s="1124"/>
      <c r="AF368" s="1159"/>
      <c r="AG368" s="1125"/>
      <c r="AH368" s="598"/>
      <c r="AI368" s="1160" t="str">
        <f>+S368</f>
        <v>n/a</v>
      </c>
      <c r="AJ368" s="598"/>
      <c r="AK368" s="1164"/>
      <c r="AL368" s="598"/>
      <c r="AM368" s="1158"/>
      <c r="AN368" s="1124"/>
      <c r="AP368" s="562"/>
      <c r="AQ368" s="1198"/>
      <c r="AR368" s="1198"/>
      <c r="AS368" s="562"/>
      <c r="AT368" s="1198"/>
      <c r="AU368" s="1198"/>
      <c r="AV368" s="1199"/>
      <c r="AW368" s="1200"/>
      <c r="AX368" s="499"/>
      <c r="AY368" s="1221"/>
      <c r="AZ368" s="499"/>
      <c r="BA368" s="499"/>
      <c r="BB368" s="1193"/>
      <c r="BC368" s="499"/>
      <c r="BD368" s="1193"/>
      <c r="BE368" s="1193"/>
      <c r="BF368" s="1193"/>
      <c r="BG368" s="499"/>
      <c r="BH368" s="701"/>
    </row>
    <row r="369" spans="1:60" ht="13.5" hidden="1" customHeight="1" outlineLevel="1" thickBot="1">
      <c r="A369" s="598"/>
      <c r="B369" s="1157"/>
      <c r="C369" s="598"/>
      <c r="D369" s="598"/>
      <c r="E369" s="598"/>
      <c r="F369" s="598"/>
      <c r="G369" s="598"/>
      <c r="H369" s="598"/>
      <c r="I369" s="1124"/>
      <c r="J369" s="1127"/>
      <c r="K369" s="598"/>
      <c r="L369" s="598"/>
      <c r="M369" s="598"/>
      <c r="N369" s="598"/>
      <c r="O369" s="1124"/>
      <c r="P369" s="1125"/>
      <c r="Q369" s="1125"/>
      <c r="R369" s="598"/>
      <c r="S369" s="598"/>
      <c r="T369" s="598"/>
      <c r="U369" s="598"/>
      <c r="V369" s="598"/>
      <c r="W369" s="598"/>
      <c r="X369" s="1124"/>
      <c r="Y369" s="598"/>
      <c r="Z369" s="1127"/>
      <c r="AA369" s="598"/>
      <c r="AB369" s="598"/>
      <c r="AC369" s="598"/>
      <c r="AD369" s="598"/>
      <c r="AE369" s="1124"/>
      <c r="AF369" s="1125"/>
      <c r="AG369" s="1125"/>
      <c r="AH369" s="598"/>
      <c r="AI369" s="598"/>
      <c r="AJ369" s="598"/>
      <c r="AK369" s="598"/>
      <c r="AL369" s="598"/>
      <c r="AM369" s="598"/>
      <c r="AN369" s="1124"/>
      <c r="AP369" s="487"/>
      <c r="AQ369" s="487"/>
      <c r="AR369" s="487"/>
      <c r="AS369" s="487"/>
      <c r="AT369" s="487"/>
      <c r="AU369" s="487"/>
      <c r="AV369" s="1193"/>
      <c r="AW369" s="499"/>
      <c r="AX369" s="499"/>
      <c r="AY369" s="1221"/>
      <c r="AZ369" s="499"/>
      <c r="BA369" s="499"/>
      <c r="BB369" s="1193"/>
      <c r="BC369" s="499"/>
      <c r="BD369" s="1193"/>
      <c r="BE369" s="1193"/>
      <c r="BF369" s="1193"/>
      <c r="BG369" s="499"/>
      <c r="BH369" s="487"/>
    </row>
    <row r="370" spans="1:60" ht="13.5" hidden="1" customHeight="1" outlineLevel="1" thickBot="1">
      <c r="A370" s="1154"/>
      <c r="B370" s="1155">
        <f>B363+1</f>
        <v>1996</v>
      </c>
      <c r="C370" s="598"/>
      <c r="D370" s="598"/>
      <c r="E370" s="598"/>
      <c r="F370" s="598"/>
      <c r="G370" s="598"/>
      <c r="H370" s="598"/>
      <c r="I370" s="1124"/>
      <c r="J370" s="1127"/>
      <c r="K370" s="598"/>
      <c r="L370" s="598"/>
      <c r="M370" s="598"/>
      <c r="N370" s="598"/>
      <c r="O370" s="1124"/>
      <c r="P370" s="1125"/>
      <c r="Q370" s="1125"/>
      <c r="R370" s="598"/>
      <c r="S370" s="598"/>
      <c r="T370" s="598"/>
      <c r="U370" s="598"/>
      <c r="V370" s="598"/>
      <c r="W370" s="598"/>
      <c r="X370" s="1124"/>
      <c r="Y370" s="598"/>
      <c r="Z370" s="1127"/>
      <c r="AA370" s="598"/>
      <c r="AB370" s="598"/>
      <c r="AC370" s="598"/>
      <c r="AD370" s="598"/>
      <c r="AE370" s="1124"/>
      <c r="AF370" s="1125"/>
      <c r="AG370" s="1125"/>
      <c r="AH370" s="598"/>
      <c r="AI370" s="598"/>
      <c r="AJ370" s="598"/>
      <c r="AK370" s="598"/>
      <c r="AL370" s="598"/>
      <c r="AM370" s="598"/>
      <c r="AN370" s="1124"/>
      <c r="AP370" s="1196"/>
      <c r="AQ370" s="735"/>
      <c r="AR370" s="487"/>
      <c r="AS370" s="1196"/>
      <c r="AT370" s="735"/>
      <c r="AU370" s="487"/>
      <c r="AV370" s="1197"/>
      <c r="AW370" s="1081"/>
      <c r="AX370" s="499"/>
      <c r="AY370" s="1221"/>
      <c r="AZ370" s="499"/>
      <c r="BA370" s="499"/>
      <c r="BB370" s="1193"/>
      <c r="BC370" s="499"/>
      <c r="BD370" s="1193"/>
      <c r="BE370" s="1193"/>
      <c r="BF370" s="1193"/>
      <c r="BG370" s="499"/>
      <c r="BH370" s="487"/>
    </row>
    <row r="371" spans="1:60" ht="13.5" hidden="1" customHeight="1" outlineLevel="1">
      <c r="A371" s="598" t="s">
        <v>527</v>
      </c>
      <c r="B371" s="1157" t="s">
        <v>514</v>
      </c>
      <c r="C371" s="598"/>
      <c r="D371" s="1120"/>
      <c r="E371" s="598" t="s">
        <v>190</v>
      </c>
      <c r="F371" s="1158"/>
      <c r="G371" s="598" t="s">
        <v>190</v>
      </c>
      <c r="H371" s="1120"/>
      <c r="I371" s="1124" t="s">
        <v>190</v>
      </c>
      <c r="J371" s="1127">
        <f>Stores!AF65</f>
        <v>9</v>
      </c>
      <c r="K371" s="598"/>
      <c r="L371" s="1128">
        <f>AVERAGE(J371,J367)</f>
        <v>9</v>
      </c>
      <c r="M371" s="598"/>
      <c r="N371" s="1120"/>
      <c r="O371" s="1124" t="s">
        <v>190</v>
      </c>
      <c r="P371" s="1159"/>
      <c r="Q371" s="1125" t="s">
        <v>190</v>
      </c>
      <c r="R371" s="598"/>
      <c r="S371" s="1160"/>
      <c r="T371" s="598"/>
      <c r="U371" s="1161"/>
      <c r="V371" s="598"/>
      <c r="W371" s="1120"/>
      <c r="X371" s="1124" t="s">
        <v>190</v>
      </c>
      <c r="Y371" s="598"/>
      <c r="Z371" s="1129">
        <f>Stores!AI65</f>
        <v>0.24700000000000003</v>
      </c>
      <c r="AA371" s="598"/>
      <c r="AB371" s="1163"/>
      <c r="AC371" s="598"/>
      <c r="AD371" s="1120"/>
      <c r="AE371" s="1124"/>
      <c r="AF371" s="1159"/>
      <c r="AG371" s="1125" t="s">
        <v>190</v>
      </c>
      <c r="AH371" s="598"/>
      <c r="AI371" s="1160"/>
      <c r="AJ371" s="598"/>
      <c r="AK371" s="1164"/>
      <c r="AL371" s="598"/>
      <c r="AM371" s="1120"/>
      <c r="AN371" s="1124" t="s">
        <v>190</v>
      </c>
      <c r="AP371" s="562"/>
      <c r="AQ371" s="1198"/>
      <c r="AR371" s="1198"/>
      <c r="AS371" s="562"/>
      <c r="AT371" s="1198"/>
      <c r="AU371" s="1198"/>
      <c r="AV371" s="1199"/>
      <c r="AW371" s="1200"/>
      <c r="AX371" s="499"/>
      <c r="AY371" s="1221"/>
      <c r="AZ371" s="1199"/>
      <c r="BA371" s="499"/>
      <c r="BB371" s="1088"/>
      <c r="BC371" s="499"/>
      <c r="BD371" s="1088"/>
      <c r="BE371" s="1088"/>
      <c r="BF371" s="1088"/>
      <c r="BG371" s="499"/>
      <c r="BH371" s="487"/>
    </row>
    <row r="372" spans="1:60" ht="13.5" hidden="1" customHeight="1" outlineLevel="1">
      <c r="A372" s="598" t="s">
        <v>528</v>
      </c>
      <c r="B372" s="1157" t="s">
        <v>515</v>
      </c>
      <c r="C372" s="598"/>
      <c r="D372" s="1120"/>
      <c r="E372" s="598"/>
      <c r="F372" s="1158"/>
      <c r="G372" s="598"/>
      <c r="H372" s="1120"/>
      <c r="I372" s="1124"/>
      <c r="J372" s="1127">
        <f>Stores!AF66</f>
        <v>11</v>
      </c>
      <c r="K372" s="598"/>
      <c r="L372" s="1128">
        <f>AVERAGE(J372,J371)</f>
        <v>10</v>
      </c>
      <c r="M372" s="598"/>
      <c r="N372" s="1120">
        <f>(L372/L365-1)*100</f>
        <v>42.857142857142861</v>
      </c>
      <c r="O372" s="1124"/>
      <c r="P372" s="1159"/>
      <c r="Q372" s="1125"/>
      <c r="R372" s="598"/>
      <c r="S372" s="1165"/>
      <c r="T372" s="598"/>
      <c r="U372" s="1166"/>
      <c r="V372" s="598"/>
      <c r="W372" s="1120"/>
      <c r="X372" s="1124"/>
      <c r="Y372" s="598"/>
      <c r="Z372" s="1129">
        <f>Stores!AI66</f>
        <v>0.30188888888888893</v>
      </c>
      <c r="AA372" s="598"/>
      <c r="AB372" s="1163"/>
      <c r="AC372" s="598"/>
      <c r="AD372" s="1120"/>
      <c r="AE372" s="1124"/>
      <c r="AF372" s="1159"/>
      <c r="AG372" s="1125"/>
      <c r="AH372" s="598"/>
      <c r="AI372" s="1165"/>
      <c r="AJ372" s="598"/>
      <c r="AK372" s="1167"/>
      <c r="AL372" s="598"/>
      <c r="AM372" s="1120"/>
      <c r="AN372" s="1124"/>
      <c r="AP372" s="562"/>
      <c r="AQ372" s="1198"/>
      <c r="AR372" s="1198"/>
      <c r="AS372" s="562"/>
      <c r="AT372" s="1198"/>
      <c r="AU372" s="1198"/>
      <c r="AV372" s="1199"/>
      <c r="AW372" s="1200"/>
      <c r="AX372" s="499"/>
      <c r="AY372" s="1221"/>
      <c r="AZ372" s="1199"/>
      <c r="BA372" s="499"/>
      <c r="BB372" s="1193"/>
      <c r="BC372" s="499"/>
      <c r="BD372" s="1193"/>
      <c r="BE372" s="1193"/>
      <c r="BF372" s="1193"/>
      <c r="BG372" s="499"/>
      <c r="BH372" s="487"/>
    </row>
    <row r="373" spans="1:60" ht="13.5" hidden="1" customHeight="1" outlineLevel="1">
      <c r="A373" s="598" t="s">
        <v>529</v>
      </c>
      <c r="B373" s="1157" t="s">
        <v>516</v>
      </c>
      <c r="C373" s="598"/>
      <c r="D373" s="1120"/>
      <c r="E373" s="598"/>
      <c r="F373" s="1158"/>
      <c r="G373" s="598"/>
      <c r="H373" s="1120"/>
      <c r="I373" s="1124"/>
      <c r="J373" s="1127">
        <f>Stores!AF67</f>
        <v>18</v>
      </c>
      <c r="K373" s="598"/>
      <c r="L373" s="1128">
        <f>AVERAGE(J373,J372)</f>
        <v>14.5</v>
      </c>
      <c r="M373" s="598"/>
      <c r="N373" s="1120">
        <f>(L373/L366-1)*100</f>
        <v>81.25</v>
      </c>
      <c r="O373" s="1124"/>
      <c r="P373" s="1159"/>
      <c r="Q373" s="1125"/>
      <c r="R373" s="598"/>
      <c r="S373" s="1165"/>
      <c r="T373" s="598"/>
      <c r="U373" s="1166"/>
      <c r="V373" s="598"/>
      <c r="W373" s="1120"/>
      <c r="X373" s="1124"/>
      <c r="Y373" s="598"/>
      <c r="Z373" s="1129">
        <f>Stores!AI67</f>
        <v>0.49400000000000005</v>
      </c>
      <c r="AA373" s="598"/>
      <c r="AB373" s="1163"/>
      <c r="AC373" s="598"/>
      <c r="AD373" s="1120"/>
      <c r="AE373" s="1124"/>
      <c r="AF373" s="1159"/>
      <c r="AG373" s="1125"/>
      <c r="AH373" s="598"/>
      <c r="AI373" s="1165"/>
      <c r="AJ373" s="598"/>
      <c r="AK373" s="1167"/>
      <c r="AL373" s="598"/>
      <c r="AM373" s="1120"/>
      <c r="AN373" s="1124"/>
      <c r="AP373" s="562"/>
      <c r="AQ373" s="1198"/>
      <c r="AR373" s="1198"/>
      <c r="AS373" s="562"/>
      <c r="AT373" s="1198"/>
      <c r="AU373" s="1198"/>
      <c r="AV373" s="1199"/>
      <c r="AW373" s="1200"/>
      <c r="AX373" s="499"/>
      <c r="AY373" s="1221"/>
      <c r="AZ373" s="1199"/>
      <c r="BA373" s="499"/>
      <c r="BB373" s="1193"/>
      <c r="BC373" s="499"/>
      <c r="BD373" s="1193"/>
      <c r="BE373" s="1193"/>
      <c r="BF373" s="1193"/>
      <c r="BG373" s="499"/>
      <c r="BH373" s="487"/>
    </row>
    <row r="374" spans="1:60" ht="13.5" hidden="1" customHeight="1" outlineLevel="1">
      <c r="A374" s="598" t="s">
        <v>530</v>
      </c>
      <c r="B374" s="1157" t="s">
        <v>517</v>
      </c>
      <c r="C374" s="598"/>
      <c r="D374" s="1168"/>
      <c r="E374" s="598"/>
      <c r="F374" s="1169"/>
      <c r="G374" s="598"/>
      <c r="H374" s="1168"/>
      <c r="I374" s="1124"/>
      <c r="J374" s="1170">
        <f>yrSales!H$204</f>
        <v>18</v>
      </c>
      <c r="K374" s="598"/>
      <c r="L374" s="1171">
        <f>AVERAGE(J374,J373)</f>
        <v>18</v>
      </c>
      <c r="M374" s="598"/>
      <c r="N374" s="1168">
        <f>(L374/L367-1)*100</f>
        <v>111.76470588235294</v>
      </c>
      <c r="O374" s="1124"/>
      <c r="P374" s="1171"/>
      <c r="Q374" s="1125"/>
      <c r="R374" s="598"/>
      <c r="S374" s="1172"/>
      <c r="T374" s="598"/>
      <c r="U374" s="1173"/>
      <c r="V374" s="598"/>
      <c r="W374" s="1168"/>
      <c r="X374" s="1124"/>
      <c r="Y374" s="598"/>
      <c r="Z374" s="1129">
        <f>yrSales!H$214</f>
        <v>0.49399999999999999</v>
      </c>
      <c r="AA374" s="598"/>
      <c r="AB374" s="1174"/>
      <c r="AC374" s="598"/>
      <c r="AD374" s="1168"/>
      <c r="AE374" s="1124"/>
      <c r="AF374" s="1171"/>
      <c r="AG374" s="1125"/>
      <c r="AH374" s="598"/>
      <c r="AI374" s="1172"/>
      <c r="AJ374" s="598"/>
      <c r="AK374" s="1175"/>
      <c r="AL374" s="598"/>
      <c r="AM374" s="1168"/>
      <c r="AN374" s="1124"/>
      <c r="AP374" s="1201"/>
      <c r="AQ374" s="1202"/>
      <c r="AR374" s="487"/>
      <c r="AS374" s="1201"/>
      <c r="AT374" s="1202"/>
      <c r="AU374" s="487"/>
      <c r="AV374" s="1199"/>
      <c r="AW374" s="1200"/>
      <c r="AX374" s="499"/>
      <c r="AY374" s="1221"/>
      <c r="AZ374" s="1199"/>
      <c r="BA374" s="499"/>
      <c r="BB374" s="1193"/>
      <c r="BC374" s="499"/>
      <c r="BD374" s="1193"/>
      <c r="BE374" s="1193"/>
      <c r="BF374" s="1193"/>
      <c r="BG374" s="499"/>
      <c r="BH374" s="487"/>
    </row>
    <row r="375" spans="1:60" ht="13.5" hidden="1" customHeight="1" outlineLevel="1">
      <c r="A375" s="598"/>
      <c r="B375" s="1157" t="s">
        <v>531</v>
      </c>
      <c r="C375" s="598"/>
      <c r="D375" s="1120"/>
      <c r="E375" s="598"/>
      <c r="F375" s="1158"/>
      <c r="G375" s="598"/>
      <c r="H375" s="1120"/>
      <c r="I375" s="1124"/>
      <c r="J375" s="1127"/>
      <c r="K375" s="598"/>
      <c r="L375" s="1128">
        <f>AVERAGE(J374,J367)</f>
        <v>13.5</v>
      </c>
      <c r="M375" s="598"/>
      <c r="N375" s="1120">
        <f>(L375/L368-1)*100</f>
        <v>92.857142857142861</v>
      </c>
      <c r="O375" s="1124"/>
      <c r="P375" s="1159"/>
      <c r="Q375" s="1125"/>
      <c r="R375" s="598"/>
      <c r="S375" s="1160" t="str">
        <f>yrSales!H$194</f>
        <v>n/a</v>
      </c>
      <c r="T375" s="598"/>
      <c r="U375" s="1161"/>
      <c r="V375" s="598"/>
      <c r="W375" s="1120"/>
      <c r="X375" s="1124"/>
      <c r="Y375" s="598"/>
      <c r="Z375" s="1127"/>
      <c r="AA375" s="598"/>
      <c r="AB375" s="1163">
        <f>AVERAGE(Z374,Z367)</f>
        <v>0.3695</v>
      </c>
      <c r="AC375" s="598"/>
      <c r="AD375" s="1120"/>
      <c r="AE375" s="1124"/>
      <c r="AF375" s="1159"/>
      <c r="AG375" s="1125"/>
      <c r="AH375" s="598"/>
      <c r="AI375" s="1160" t="str">
        <f>+S375</f>
        <v>n/a</v>
      </c>
      <c r="AJ375" s="598"/>
      <c r="AK375" s="1164"/>
      <c r="AL375" s="598"/>
      <c r="AM375" s="1120"/>
      <c r="AN375" s="1124"/>
      <c r="AP375" s="562"/>
      <c r="AQ375" s="1198"/>
      <c r="AR375" s="1198"/>
      <c r="AS375" s="562"/>
      <c r="AT375" s="1198"/>
      <c r="AU375" s="1198"/>
      <c r="AV375" s="1199"/>
      <c r="AW375" s="1200"/>
      <c r="AX375" s="499"/>
      <c r="AY375" s="1221"/>
      <c r="AZ375" s="1199"/>
      <c r="BA375" s="499"/>
      <c r="BB375" s="1193"/>
      <c r="BC375" s="499"/>
      <c r="BD375" s="1193"/>
      <c r="BE375" s="1193"/>
      <c r="BF375" s="1193"/>
      <c r="BG375" s="499"/>
      <c r="BH375" s="701"/>
    </row>
    <row r="376" spans="1:60" ht="13.5" hidden="1" customHeight="1" outlineLevel="1" thickBot="1">
      <c r="A376" s="598"/>
      <c r="B376" s="1157"/>
      <c r="C376" s="598"/>
      <c r="D376" s="598"/>
      <c r="E376" s="598"/>
      <c r="F376" s="598"/>
      <c r="G376" s="598"/>
      <c r="H376" s="598"/>
      <c r="I376" s="1124"/>
      <c r="J376" s="1127"/>
      <c r="K376" s="598"/>
      <c r="L376" s="598"/>
      <c r="M376" s="598"/>
      <c r="N376" s="598"/>
      <c r="O376" s="1124"/>
      <c r="P376" s="1125"/>
      <c r="Q376" s="1125"/>
      <c r="R376" s="598"/>
      <c r="S376" s="598"/>
      <c r="T376" s="598"/>
      <c r="U376" s="598"/>
      <c r="V376" s="598"/>
      <c r="W376" s="598"/>
      <c r="X376" s="1124"/>
      <c r="Y376" s="598"/>
      <c r="Z376" s="1127"/>
      <c r="AA376" s="598"/>
      <c r="AB376" s="598"/>
      <c r="AC376" s="598"/>
      <c r="AD376" s="598"/>
      <c r="AE376" s="1124"/>
      <c r="AF376" s="1125"/>
      <c r="AG376" s="1125"/>
      <c r="AH376" s="598"/>
      <c r="AI376" s="598"/>
      <c r="AJ376" s="598"/>
      <c r="AK376" s="598"/>
      <c r="AL376" s="598"/>
      <c r="AM376" s="598"/>
      <c r="AN376" s="1124"/>
      <c r="AP376" s="487"/>
      <c r="AQ376" s="487"/>
      <c r="AR376" s="487"/>
      <c r="AS376" s="487"/>
      <c r="AT376" s="487"/>
      <c r="AU376" s="487"/>
      <c r="AV376" s="1193"/>
      <c r="AW376" s="499"/>
      <c r="AX376" s="499"/>
      <c r="AY376" s="1221"/>
      <c r="AZ376" s="499"/>
      <c r="BA376" s="499"/>
      <c r="BB376" s="1193"/>
      <c r="BC376" s="499"/>
      <c r="BD376" s="1193"/>
      <c r="BE376" s="1193"/>
      <c r="BF376" s="1193"/>
      <c r="BG376" s="499"/>
      <c r="BH376" s="487"/>
    </row>
    <row r="377" spans="1:60" ht="13.5" hidden="1" customHeight="1" outlineLevel="1" thickBot="1">
      <c r="A377" s="1154"/>
      <c r="B377" s="1155">
        <f>B370+1</f>
        <v>1997</v>
      </c>
      <c r="C377" s="598"/>
      <c r="D377" s="598"/>
      <c r="E377" s="598"/>
      <c r="F377" s="598"/>
      <c r="G377" s="598"/>
      <c r="H377" s="598"/>
      <c r="I377" s="1124"/>
      <c r="J377" s="1127"/>
      <c r="K377" s="598"/>
      <c r="L377" s="598"/>
      <c r="M377" s="598"/>
      <c r="N377" s="598"/>
      <c r="O377" s="1124"/>
      <c r="P377" s="1125"/>
      <c r="Q377" s="1125"/>
      <c r="R377" s="598"/>
      <c r="S377" s="598"/>
      <c r="T377" s="598"/>
      <c r="U377" s="598"/>
      <c r="V377" s="598"/>
      <c r="W377" s="598"/>
      <c r="X377" s="1124"/>
      <c r="Y377" s="598"/>
      <c r="Z377" s="1127"/>
      <c r="AA377" s="598"/>
      <c r="AB377" s="598"/>
      <c r="AC377" s="598"/>
      <c r="AD377" s="598"/>
      <c r="AE377" s="1124"/>
      <c r="AF377" s="1125"/>
      <c r="AG377" s="1125"/>
      <c r="AH377" s="598"/>
      <c r="AI377" s="598"/>
      <c r="AJ377" s="598"/>
      <c r="AK377" s="598"/>
      <c r="AL377" s="598"/>
      <c r="AM377" s="598"/>
      <c r="AN377" s="1124"/>
      <c r="AP377" s="1196"/>
      <c r="AQ377" s="735"/>
      <c r="AR377" s="487"/>
      <c r="AS377" s="1196"/>
      <c r="AT377" s="735"/>
      <c r="AU377" s="487"/>
      <c r="AV377" s="1197"/>
      <c r="AW377" s="1081"/>
      <c r="AX377" s="499"/>
      <c r="AY377" s="1221"/>
      <c r="AZ377" s="1193"/>
      <c r="BA377" s="499"/>
      <c r="BB377" s="1193"/>
      <c r="BC377" s="499"/>
      <c r="BD377" s="1193"/>
      <c r="BE377" s="1193"/>
      <c r="BF377" s="1193"/>
      <c r="BG377" s="499"/>
      <c r="BH377" s="487"/>
    </row>
    <row r="378" spans="1:60" ht="13.5" hidden="1" customHeight="1" outlineLevel="1">
      <c r="A378" s="598" t="s">
        <v>527</v>
      </c>
      <c r="B378" s="1157" t="s">
        <v>514</v>
      </c>
      <c r="C378" s="598"/>
      <c r="D378" s="1120"/>
      <c r="E378" s="1124" t="s">
        <v>190</v>
      </c>
      <c r="F378" s="1158">
        <f>'SegP&amp;L'!AE60</f>
        <v>24</v>
      </c>
      <c r="G378" s="1124" t="s">
        <v>190</v>
      </c>
      <c r="H378" s="1120"/>
      <c r="I378" s="1124" t="s">
        <v>190</v>
      </c>
      <c r="J378" s="1127">
        <f>Stores!AF73</f>
        <v>20</v>
      </c>
      <c r="K378" s="598"/>
      <c r="L378" s="1128">
        <f>AVERAGE(J378,J374)</f>
        <v>19</v>
      </c>
      <c r="M378" s="598"/>
      <c r="N378" s="1120">
        <f>(L378/L371-1)*100</f>
        <v>111.11111111111111</v>
      </c>
      <c r="O378" s="1124" t="s">
        <v>190</v>
      </c>
      <c r="P378" s="1159"/>
      <c r="Q378" s="1125" t="s">
        <v>190</v>
      </c>
      <c r="R378" s="598"/>
      <c r="S378" s="1160">
        <f>'SegP&amp;L'!AC60</f>
        <v>21.908999999999999</v>
      </c>
      <c r="T378" s="598"/>
      <c r="U378" s="1161">
        <f>S378/L378</f>
        <v>1.1531052631578946</v>
      </c>
      <c r="V378" s="598"/>
      <c r="W378" s="1176"/>
      <c r="X378" s="1124" t="s">
        <v>190</v>
      </c>
      <c r="Y378" s="598"/>
      <c r="Z378" s="1129">
        <f>Stores!AI73</f>
        <v>0.53600000000000003</v>
      </c>
      <c r="AA378" s="598"/>
      <c r="AB378" s="1163">
        <f>AVERAGE(Z378,Z374)</f>
        <v>0.51500000000000001</v>
      </c>
      <c r="AC378" s="598"/>
      <c r="AD378" s="1120"/>
      <c r="AE378" s="1124"/>
      <c r="AF378" s="1159"/>
      <c r="AG378" s="1125" t="s">
        <v>190</v>
      </c>
      <c r="AH378" s="598"/>
      <c r="AI378" s="1160"/>
      <c r="AJ378" s="598"/>
      <c r="AK378" s="1164"/>
      <c r="AL378" s="598"/>
      <c r="AM378" s="1120"/>
      <c r="AN378" s="1124" t="s">
        <v>190</v>
      </c>
      <c r="AP378" s="562"/>
      <c r="AQ378" s="1198"/>
      <c r="AR378" s="1203"/>
      <c r="AS378" s="562"/>
      <c r="AT378" s="1198"/>
      <c r="AU378" s="1203"/>
      <c r="AV378" s="1199"/>
      <c r="AW378" s="1200"/>
      <c r="AX378" s="499"/>
      <c r="AY378" s="1221"/>
      <c r="AZ378" s="1088"/>
      <c r="BA378" s="740"/>
      <c r="BB378" s="1088"/>
      <c r="BC378" s="740"/>
      <c r="BD378" s="1088"/>
      <c r="BE378" s="1088"/>
      <c r="BF378" s="1088"/>
      <c r="BG378" s="499"/>
      <c r="BH378" s="487"/>
    </row>
    <row r="379" spans="1:60" ht="13.5" hidden="1" customHeight="1" outlineLevel="1">
      <c r="A379" s="598" t="s">
        <v>528</v>
      </c>
      <c r="B379" s="1157" t="s">
        <v>515</v>
      </c>
      <c r="C379" s="598"/>
      <c r="D379" s="1120"/>
      <c r="E379" s="1124"/>
      <c r="F379" s="1158">
        <f>'SegP&amp;L'!AE61</f>
        <v>15</v>
      </c>
      <c r="G379" s="1124"/>
      <c r="H379" s="1120"/>
      <c r="I379" s="1124"/>
      <c r="J379" s="1127">
        <f>Stores!AF74</f>
        <v>21</v>
      </c>
      <c r="K379" s="598"/>
      <c r="L379" s="1128">
        <f>AVERAGE(J379,J378)</f>
        <v>20.5</v>
      </c>
      <c r="M379" s="598"/>
      <c r="N379" s="1120">
        <f>(L379/L372-1)*100</f>
        <v>104.99999999999999</v>
      </c>
      <c r="O379" s="1124"/>
      <c r="P379" s="1159"/>
      <c r="Q379" s="1125"/>
      <c r="R379" s="598"/>
      <c r="S379" s="1165">
        <f>'SegP&amp;L'!AC61</f>
        <v>28.213000000000001</v>
      </c>
      <c r="T379" s="598"/>
      <c r="U379" s="1166">
        <f>S379/L379</f>
        <v>1.3762439024390245</v>
      </c>
      <c r="V379" s="598"/>
      <c r="W379" s="1176"/>
      <c r="X379" s="1124"/>
      <c r="Y379" s="598"/>
      <c r="Z379" s="1129">
        <f>Stores!AI74</f>
        <v>0.56200000000000006</v>
      </c>
      <c r="AA379" s="598"/>
      <c r="AB379" s="1163">
        <f>AVERAGE(Z379,Z378)</f>
        <v>0.54900000000000004</v>
      </c>
      <c r="AC379" s="598"/>
      <c r="AD379" s="1120"/>
      <c r="AE379" s="1124"/>
      <c r="AF379" s="1159"/>
      <c r="AG379" s="1125"/>
      <c r="AH379" s="598"/>
      <c r="AI379" s="1165"/>
      <c r="AJ379" s="598"/>
      <c r="AK379" s="1167"/>
      <c r="AL379" s="598"/>
      <c r="AM379" s="1120"/>
      <c r="AN379" s="1124"/>
      <c r="AP379" s="562"/>
      <c r="AQ379" s="1198"/>
      <c r="AR379" s="1198"/>
      <c r="AS379" s="562"/>
      <c r="AT379" s="1198"/>
      <c r="AU379" s="1198"/>
      <c r="AV379" s="1199"/>
      <c r="AW379" s="1200"/>
      <c r="AX379" s="499"/>
      <c r="AY379" s="1221"/>
      <c r="AZ379" s="1200"/>
      <c r="BA379" s="740"/>
      <c r="BB379" s="1193"/>
      <c r="BC379" s="740"/>
      <c r="BD379" s="1193"/>
      <c r="BE379" s="1193"/>
      <c r="BF379" s="1193"/>
      <c r="BG379" s="499"/>
      <c r="BH379" s="487"/>
    </row>
    <row r="380" spans="1:60" ht="13.5" hidden="1" customHeight="1" outlineLevel="1">
      <c r="A380" s="598" t="s">
        <v>529</v>
      </c>
      <c r="B380" s="1157" t="s">
        <v>516</v>
      </c>
      <c r="C380" s="598"/>
      <c r="D380" s="1120"/>
      <c r="E380" s="1124"/>
      <c r="F380" s="1158">
        <f>'SegP&amp;L'!AE62</f>
        <v>5</v>
      </c>
      <c r="G380" s="1124"/>
      <c r="H380" s="1120"/>
      <c r="I380" s="1124"/>
      <c r="J380" s="1127">
        <f>Stores!AF75</f>
        <v>29</v>
      </c>
      <c r="K380" s="598"/>
      <c r="L380" s="1128">
        <f>AVERAGE(J380,J379)</f>
        <v>25</v>
      </c>
      <c r="M380" s="598"/>
      <c r="N380" s="1120">
        <f>(L380/L373-1)*100</f>
        <v>72.41379310344827</v>
      </c>
      <c r="O380" s="1124"/>
      <c r="P380" s="1159"/>
      <c r="Q380" s="1125"/>
      <c r="R380" s="598"/>
      <c r="S380" s="1165">
        <f>'SegP&amp;L'!AC62</f>
        <v>35.58</v>
      </c>
      <c r="T380" s="598"/>
      <c r="U380" s="1166">
        <f>S380/L380</f>
        <v>1.4232</v>
      </c>
      <c r="V380" s="598"/>
      <c r="W380" s="1176"/>
      <c r="X380" s="1124"/>
      <c r="Y380" s="598"/>
      <c r="Z380" s="1129">
        <f>Stores!AI75</f>
        <v>0.75800000000000001</v>
      </c>
      <c r="AA380" s="598"/>
      <c r="AB380" s="1163">
        <f>AVERAGE(Z380,Z379)</f>
        <v>0.66</v>
      </c>
      <c r="AC380" s="598"/>
      <c r="AD380" s="1120"/>
      <c r="AE380" s="1124"/>
      <c r="AF380" s="1159"/>
      <c r="AG380" s="1125"/>
      <c r="AH380" s="598"/>
      <c r="AI380" s="1165"/>
      <c r="AJ380" s="598"/>
      <c r="AK380" s="1167"/>
      <c r="AL380" s="598"/>
      <c r="AM380" s="1120"/>
      <c r="AN380" s="1124"/>
      <c r="AP380" s="562"/>
      <c r="AQ380" s="1198"/>
      <c r="AR380" s="1198"/>
      <c r="AS380" s="562"/>
      <c r="AT380" s="1198"/>
      <c r="AU380" s="1198"/>
      <c r="AV380" s="1199"/>
      <c r="AW380" s="1200"/>
      <c r="AX380" s="499"/>
      <c r="AY380" s="1221"/>
      <c r="AZ380" s="1200"/>
      <c r="BA380" s="740"/>
      <c r="BB380" s="1193"/>
      <c r="BC380" s="740"/>
      <c r="BD380" s="1193"/>
      <c r="BE380" s="1193"/>
      <c r="BF380" s="1193"/>
      <c r="BG380" s="499"/>
      <c r="BH380" s="487"/>
    </row>
    <row r="381" spans="1:60" ht="13.5" hidden="1" customHeight="1" outlineLevel="1">
      <c r="A381" s="598" t="s">
        <v>530</v>
      </c>
      <c r="B381" s="1157" t="s">
        <v>517</v>
      </c>
      <c r="C381" s="598"/>
      <c r="D381" s="1168"/>
      <c r="E381" s="1124"/>
      <c r="F381" s="1178">
        <f>'SegP&amp;L'!AE63</f>
        <v>19</v>
      </c>
      <c r="G381" s="1124"/>
      <c r="H381" s="1168"/>
      <c r="I381" s="1124"/>
      <c r="J381" s="1170">
        <f>yrSales!I$204</f>
        <v>31</v>
      </c>
      <c r="K381" s="598"/>
      <c r="L381" s="1171">
        <f>AVERAGE(J381,J380)</f>
        <v>30</v>
      </c>
      <c r="M381" s="598"/>
      <c r="N381" s="1168">
        <f>(L381/L374-1)*100</f>
        <v>66.666666666666671</v>
      </c>
      <c r="O381" s="1124"/>
      <c r="P381" s="1171"/>
      <c r="Q381" s="1125"/>
      <c r="R381" s="598"/>
      <c r="S381" s="1172">
        <f>'SegP&amp;L'!AC63</f>
        <v>65.298000000000016</v>
      </c>
      <c r="T381" s="598"/>
      <c r="U381" s="1173">
        <f>S381/L381</f>
        <v>2.1766000000000005</v>
      </c>
      <c r="V381" s="598"/>
      <c r="W381" s="1169"/>
      <c r="X381" s="1124"/>
      <c r="Y381" s="598"/>
      <c r="Z381" s="1129">
        <f>yrSales!I$214</f>
        <v>0.79800000000000004</v>
      </c>
      <c r="AA381" s="598"/>
      <c r="AB381" s="1174">
        <f>AVERAGE(Z381,Z380)</f>
        <v>0.77800000000000002</v>
      </c>
      <c r="AC381" s="598"/>
      <c r="AD381" s="1168"/>
      <c r="AE381" s="1124"/>
      <c r="AF381" s="1171"/>
      <c r="AG381" s="1125"/>
      <c r="AH381" s="598"/>
      <c r="AI381" s="1172"/>
      <c r="AJ381" s="598"/>
      <c r="AK381" s="1175"/>
      <c r="AL381" s="598"/>
      <c r="AM381" s="1168"/>
      <c r="AN381" s="1124"/>
      <c r="AP381" s="1201"/>
      <c r="AQ381" s="1202"/>
      <c r="AR381" s="487"/>
      <c r="AS381" s="1201"/>
      <c r="AT381" s="1202"/>
      <c r="AU381" s="487"/>
      <c r="AV381" s="1199"/>
      <c r="AW381" s="1200"/>
      <c r="AX381" s="499"/>
      <c r="AY381" s="1221"/>
      <c r="AZ381" s="1200"/>
      <c r="BA381" s="740"/>
      <c r="BB381" s="1193"/>
      <c r="BC381" s="740"/>
      <c r="BD381" s="1193"/>
      <c r="BE381" s="1193"/>
      <c r="BF381" s="1193"/>
      <c r="BG381" s="499"/>
      <c r="BH381" s="487"/>
    </row>
    <row r="382" spans="1:60" ht="13.5" hidden="1" customHeight="1" outlineLevel="1">
      <c r="A382" s="598"/>
      <c r="B382" s="1157" t="s">
        <v>531</v>
      </c>
      <c r="C382" s="598"/>
      <c r="D382" s="1120"/>
      <c r="E382" s="1124"/>
      <c r="F382" s="1158">
        <f>'SegP&amp;L'!AE64</f>
        <v>15</v>
      </c>
      <c r="G382" s="1124"/>
      <c r="H382" s="1120"/>
      <c r="I382" s="1124"/>
      <c r="J382" s="1127"/>
      <c r="K382" s="598"/>
      <c r="L382" s="1128">
        <f>AVERAGE(J381,J374)</f>
        <v>24.5</v>
      </c>
      <c r="M382" s="598"/>
      <c r="N382" s="1120">
        <f>(L382/L375-1)*100</f>
        <v>81.481481481481495</v>
      </c>
      <c r="O382" s="1124"/>
      <c r="P382" s="1159"/>
      <c r="Q382" s="1125"/>
      <c r="R382" s="598"/>
      <c r="S382" s="1160">
        <f>yrSales!I$194</f>
        <v>151</v>
      </c>
      <c r="T382" s="598"/>
      <c r="U382" s="1161">
        <f>S382/L382</f>
        <v>6.1632653061224492</v>
      </c>
      <c r="V382" s="598"/>
      <c r="W382" s="1176"/>
      <c r="X382" s="1124"/>
      <c r="Y382" s="598"/>
      <c r="Z382" s="1127"/>
      <c r="AA382" s="598"/>
      <c r="AB382" s="1163">
        <f>AVERAGE(Z381,Z374)</f>
        <v>0.64600000000000002</v>
      </c>
      <c r="AC382" s="598"/>
      <c r="AD382" s="1120">
        <f>(AB382/AB375-1)*100</f>
        <v>74.830852503382943</v>
      </c>
      <c r="AE382" s="1124"/>
      <c r="AF382" s="1159"/>
      <c r="AG382" s="1125"/>
      <c r="AH382" s="598"/>
      <c r="AI382" s="1160">
        <f>+S382</f>
        <v>151</v>
      </c>
      <c r="AJ382" s="598"/>
      <c r="AK382" s="1164">
        <f>AI382/AB382</f>
        <v>233.74613003095973</v>
      </c>
      <c r="AL382" s="598"/>
      <c r="AM382" s="1120"/>
      <c r="AN382" s="1124"/>
      <c r="AP382" s="562"/>
      <c r="AQ382" s="1198"/>
      <c r="AR382" s="1198"/>
      <c r="AS382" s="562"/>
      <c r="AT382" s="1198"/>
      <c r="AU382" s="1198"/>
      <c r="AV382" s="1199"/>
      <c r="AW382" s="1200"/>
      <c r="AX382" s="499"/>
      <c r="AY382" s="1221"/>
      <c r="AZ382" s="1200"/>
      <c r="BA382" s="740"/>
      <c r="BB382" s="1193"/>
      <c r="BC382" s="740"/>
      <c r="BD382" s="1193"/>
      <c r="BE382" s="1193"/>
      <c r="BF382" s="1193"/>
      <c r="BG382" s="499"/>
      <c r="BH382" s="701"/>
    </row>
    <row r="383" spans="1:60" ht="13.5" hidden="1" customHeight="1" outlineLevel="1" thickBot="1">
      <c r="A383" s="598"/>
      <c r="B383" s="1157"/>
      <c r="C383" s="598"/>
      <c r="D383" s="598"/>
      <c r="E383" s="598"/>
      <c r="F383" s="598"/>
      <c r="G383" s="598"/>
      <c r="H383" s="598"/>
      <c r="I383" s="1124"/>
      <c r="J383" s="1127"/>
      <c r="K383" s="598"/>
      <c r="L383" s="598"/>
      <c r="M383" s="598"/>
      <c r="N383" s="598"/>
      <c r="O383" s="1124"/>
      <c r="P383" s="1125"/>
      <c r="Q383" s="1125"/>
      <c r="R383" s="598"/>
      <c r="S383" s="598"/>
      <c r="T383" s="598"/>
      <c r="U383" s="598"/>
      <c r="V383" s="598"/>
      <c r="W383" s="598"/>
      <c r="X383" s="1124"/>
      <c r="Y383" s="598"/>
      <c r="Z383" s="1127"/>
      <c r="AA383" s="598"/>
      <c r="AB383" s="598"/>
      <c r="AC383" s="598"/>
      <c r="AD383" s="598"/>
      <c r="AE383" s="1124"/>
      <c r="AF383" s="1125"/>
      <c r="AG383" s="1125"/>
      <c r="AH383" s="598"/>
      <c r="AI383" s="598"/>
      <c r="AJ383" s="598"/>
      <c r="AK383" s="598"/>
      <c r="AL383" s="598"/>
      <c r="AM383" s="598"/>
      <c r="AN383" s="1124"/>
      <c r="AP383" s="487"/>
      <c r="AQ383" s="487"/>
      <c r="AR383" s="487"/>
      <c r="AS383" s="487"/>
      <c r="AT383" s="487"/>
      <c r="AU383" s="487"/>
      <c r="AV383" s="1193"/>
      <c r="AW383" s="499"/>
      <c r="AX383" s="499"/>
      <c r="AY383" s="1221"/>
      <c r="AZ383" s="499"/>
      <c r="BA383" s="499"/>
      <c r="BB383" s="1193"/>
      <c r="BC383" s="499"/>
      <c r="BD383" s="1193"/>
      <c r="BE383" s="1193"/>
      <c r="BF383" s="1193"/>
      <c r="BG383" s="499"/>
      <c r="BH383" s="701"/>
    </row>
    <row r="384" spans="1:60" ht="13.5" hidden="1" customHeight="1" outlineLevel="1" thickBot="1">
      <c r="A384" s="1154"/>
      <c r="B384" s="1155">
        <f>B377+1</f>
        <v>1998</v>
      </c>
      <c r="C384" s="598"/>
      <c r="D384" s="598"/>
      <c r="E384" s="598"/>
      <c r="F384" s="598"/>
      <c r="G384" s="598"/>
      <c r="H384" s="598"/>
      <c r="I384" s="1124"/>
      <c r="J384" s="1127"/>
      <c r="K384" s="598"/>
      <c r="L384" s="598"/>
      <c r="M384" s="598"/>
      <c r="N384" s="598"/>
      <c r="O384" s="1124"/>
      <c r="P384" s="1125"/>
      <c r="Q384" s="1125"/>
      <c r="R384" s="598"/>
      <c r="S384" s="598"/>
      <c r="T384" s="598"/>
      <c r="U384" s="598"/>
      <c r="V384" s="598"/>
      <c r="W384" s="598"/>
      <c r="X384" s="1124"/>
      <c r="Y384" s="598"/>
      <c r="Z384" s="1127"/>
      <c r="AA384" s="598"/>
      <c r="AB384" s="598"/>
      <c r="AC384" s="598"/>
      <c r="AD384" s="598"/>
      <c r="AE384" s="1124"/>
      <c r="AF384" s="1125"/>
      <c r="AG384" s="1125"/>
      <c r="AH384" s="598"/>
      <c r="AI384" s="598"/>
      <c r="AJ384" s="598"/>
      <c r="AK384" s="598"/>
      <c r="AL384" s="598"/>
      <c r="AM384" s="598"/>
      <c r="AN384" s="1124"/>
      <c r="AP384" s="1196"/>
      <c r="AQ384" s="735"/>
      <c r="AR384" s="487"/>
      <c r="AS384" s="1196"/>
      <c r="AT384" s="735"/>
      <c r="AU384" s="487"/>
      <c r="AV384" s="1197"/>
      <c r="AW384" s="1081"/>
      <c r="AX384" s="499"/>
      <c r="AY384" s="1221"/>
      <c r="AZ384" s="499"/>
      <c r="BA384" s="499"/>
      <c r="BB384" s="1193"/>
      <c r="BC384" s="499"/>
      <c r="BD384" s="1193"/>
      <c r="BE384" s="1193"/>
      <c r="BF384" s="1193"/>
      <c r="BG384" s="499"/>
      <c r="BH384" s="487"/>
    </row>
    <row r="385" spans="1:60" ht="13.5" hidden="1" customHeight="1" outlineLevel="1">
      <c r="A385" s="598" t="s">
        <v>527</v>
      </c>
      <c r="B385" s="1157" t="s">
        <v>514</v>
      </c>
      <c r="C385" s="598"/>
      <c r="D385" s="1120">
        <f>(S385/S378-1)*100</f>
        <v>96.266374549272001</v>
      </c>
      <c r="E385" s="1124" t="s">
        <v>190</v>
      </c>
      <c r="F385" s="1158">
        <f>'SegP&amp;L'!AE67</f>
        <v>8</v>
      </c>
      <c r="G385" s="1124" t="s">
        <v>190</v>
      </c>
      <c r="H385" s="1120">
        <f>D385-F385</f>
        <v>88.266374549272001</v>
      </c>
      <c r="I385" s="1124" t="s">
        <v>190</v>
      </c>
      <c r="J385" s="1127">
        <f>Stores!AF81</f>
        <v>31</v>
      </c>
      <c r="K385" s="598"/>
      <c r="L385" s="1128">
        <f>AVERAGE(J385,J381)</f>
        <v>31</v>
      </c>
      <c r="M385" s="598"/>
      <c r="N385" s="1120">
        <f>(L385/L378-1)*100</f>
        <v>63.157894736842103</v>
      </c>
      <c r="O385" s="1124" t="s">
        <v>190</v>
      </c>
      <c r="P385" s="1159">
        <f>H385/N385*100</f>
        <v>139.75509303634735</v>
      </c>
      <c r="Q385" s="1125" t="s">
        <v>190</v>
      </c>
      <c r="R385" s="598"/>
      <c r="S385" s="1160">
        <f>'SegP&amp;L'!AC67</f>
        <v>43</v>
      </c>
      <c r="T385" s="598"/>
      <c r="U385" s="1161">
        <f>S385/L385</f>
        <v>1.3870967741935485</v>
      </c>
      <c r="V385" s="598"/>
      <c r="W385" s="1176">
        <f>(U385/U378-1)*100</f>
        <v>20.292294078586082</v>
      </c>
      <c r="X385" s="1124" t="s">
        <v>190</v>
      </c>
      <c r="Y385" s="598"/>
      <c r="Z385" s="1129">
        <f>Stores!AI81</f>
        <v>0.79800000000000004</v>
      </c>
      <c r="AA385" s="598"/>
      <c r="AB385" s="1163">
        <f>AVERAGE(Z385,Z381)</f>
        <v>0.79800000000000004</v>
      </c>
      <c r="AC385" s="598"/>
      <c r="AD385" s="1120">
        <f>(AB385/AB378-1)*100</f>
        <v>54.951456310679617</v>
      </c>
      <c r="AE385" s="1124" t="s">
        <v>190</v>
      </c>
      <c r="AF385" s="1159">
        <f>+H385/AD385*100</f>
        <v>160.62608796068932</v>
      </c>
      <c r="AG385" s="1125" t="s">
        <v>190</v>
      </c>
      <c r="AH385" s="598"/>
      <c r="AI385" s="1160">
        <f>+S385</f>
        <v>43</v>
      </c>
      <c r="AJ385" s="598" t="s">
        <v>315</v>
      </c>
      <c r="AK385" s="1164">
        <f>AI385/AB385</f>
        <v>53.884711779448615</v>
      </c>
      <c r="AL385" s="598"/>
      <c r="AM385" s="1176"/>
      <c r="AN385" s="1124" t="s">
        <v>190</v>
      </c>
      <c r="AP385" s="562"/>
      <c r="AQ385" s="1198"/>
      <c r="AR385" s="1198"/>
      <c r="AS385" s="562"/>
      <c r="AT385" s="1198"/>
      <c r="AU385" s="1198"/>
      <c r="AV385" s="1199"/>
      <c r="AW385" s="1200"/>
      <c r="AX385" s="499"/>
      <c r="AY385" s="1221"/>
      <c r="AZ385" s="1200"/>
      <c r="BA385" s="740"/>
      <c r="BB385" s="1088"/>
      <c r="BC385" s="740"/>
      <c r="BD385" s="1088"/>
      <c r="BE385" s="1088"/>
      <c r="BF385" s="1088"/>
      <c r="BG385" s="499"/>
      <c r="BH385" s="487"/>
    </row>
    <row r="386" spans="1:60" ht="13.5" hidden="1" customHeight="1" outlineLevel="1">
      <c r="A386" s="598" t="s">
        <v>528</v>
      </c>
      <c r="B386" s="1157" t="s">
        <v>515</v>
      </c>
      <c r="C386" s="598"/>
      <c r="D386" s="1120">
        <f>(S386/S379-1)*100</f>
        <v>48.867543331088491</v>
      </c>
      <c r="E386" s="1124"/>
      <c r="F386" s="1158">
        <f>'SegP&amp;L'!AE68</f>
        <v>13</v>
      </c>
      <c r="G386" s="1124"/>
      <c r="H386" s="1120">
        <f>D386-F386</f>
        <v>35.867543331088491</v>
      </c>
      <c r="I386" s="1124"/>
      <c r="J386" s="1127">
        <f>Stores!AF82</f>
        <v>35</v>
      </c>
      <c r="K386" s="598"/>
      <c r="L386" s="1128">
        <f>AVERAGE(J386,J385)</f>
        <v>33</v>
      </c>
      <c r="M386" s="598"/>
      <c r="N386" s="1120">
        <f>(L386/L379-1)*100</f>
        <v>60.975609756097569</v>
      </c>
      <c r="O386" s="1124"/>
      <c r="P386" s="1159">
        <f>H386/N386*100</f>
        <v>58.822771062985112</v>
      </c>
      <c r="Q386" s="1125"/>
      <c r="R386" s="598"/>
      <c r="S386" s="1165">
        <f>'SegP&amp;L'!AC68</f>
        <v>42</v>
      </c>
      <c r="T386" s="598"/>
      <c r="U386" s="1166">
        <f>S386/L386</f>
        <v>1.2727272727272727</v>
      </c>
      <c r="V386" s="598"/>
      <c r="W386" s="1176">
        <f>(U386/U379-1)*100</f>
        <v>-7.5216776276571533</v>
      </c>
      <c r="X386" s="1124"/>
      <c r="Y386" s="598"/>
      <c r="Z386" s="1129">
        <f>Stores!AI82</f>
        <v>0.89300000000000002</v>
      </c>
      <c r="AA386" s="598"/>
      <c r="AB386" s="1163">
        <f>AVERAGE(Z386,Z385)</f>
        <v>0.84550000000000003</v>
      </c>
      <c r="AC386" s="598"/>
      <c r="AD386" s="1120">
        <f>(AB386/AB379-1)*100</f>
        <v>54.007285974499084</v>
      </c>
      <c r="AE386" s="1124"/>
      <c r="AF386" s="1159">
        <f>+H386/AD386*100</f>
        <v>66.412415813718667</v>
      </c>
      <c r="AG386" s="1125"/>
      <c r="AH386" s="598"/>
      <c r="AI386" s="1165">
        <f>+S386</f>
        <v>42</v>
      </c>
      <c r="AJ386" s="598"/>
      <c r="AK386" s="1167">
        <f>AI386/AB386</f>
        <v>49.674748669426371</v>
      </c>
      <c r="AL386" s="598"/>
      <c r="AM386" s="1176"/>
      <c r="AN386" s="1124"/>
      <c r="AP386" s="562"/>
      <c r="AQ386" s="1198"/>
      <c r="AR386" s="1198"/>
      <c r="AS386" s="562"/>
      <c r="AT386" s="1198"/>
      <c r="AU386" s="1198"/>
      <c r="AV386" s="1199"/>
      <c r="AW386" s="1200"/>
      <c r="AX386" s="499"/>
      <c r="AY386" s="1221"/>
      <c r="AZ386" s="1200"/>
      <c r="BA386" s="740"/>
      <c r="BB386" s="1193"/>
      <c r="BC386" s="740"/>
      <c r="BD386" s="1193"/>
      <c r="BE386" s="1193"/>
      <c r="BF386" s="1193"/>
      <c r="BG386" s="499"/>
      <c r="BH386" s="487"/>
    </row>
    <row r="387" spans="1:60" ht="13.5" hidden="1" customHeight="1" outlineLevel="1">
      <c r="A387" s="598" t="s">
        <v>529</v>
      </c>
      <c r="B387" s="1157" t="s">
        <v>516</v>
      </c>
      <c r="C387" s="598"/>
      <c r="D387" s="1120">
        <f>(S387/S380-1)*100</f>
        <v>54.581225407532315</v>
      </c>
      <c r="E387" s="1124"/>
      <c r="F387" s="1158">
        <f>'SegP&amp;L'!AE69</f>
        <v>12</v>
      </c>
      <c r="G387" s="1124"/>
      <c r="H387" s="1120">
        <f>D387-F387</f>
        <v>42.581225407532315</v>
      </c>
      <c r="I387" s="1124"/>
      <c r="J387" s="1127">
        <f>Stores!AF83</f>
        <v>39</v>
      </c>
      <c r="K387" s="598"/>
      <c r="L387" s="1128">
        <f>AVERAGE(J387,J386)</f>
        <v>37</v>
      </c>
      <c r="M387" s="598"/>
      <c r="N387" s="1120">
        <f>(L387/L380-1)*100</f>
        <v>48</v>
      </c>
      <c r="O387" s="1124"/>
      <c r="P387" s="1159">
        <f>H387/N387*100</f>
        <v>88.710886265692324</v>
      </c>
      <c r="Q387" s="1125"/>
      <c r="R387" s="598"/>
      <c r="S387" s="1165">
        <f>'SegP&amp;L'!AC69</f>
        <v>55</v>
      </c>
      <c r="T387" s="598"/>
      <c r="U387" s="1166">
        <f>S387/L387</f>
        <v>1.4864864864864864</v>
      </c>
      <c r="V387" s="598"/>
      <c r="W387" s="1176">
        <f>(U387/U380-1)*100</f>
        <v>4.4467739240083182</v>
      </c>
      <c r="X387" s="1124"/>
      <c r="Y387" s="598"/>
      <c r="Z387" s="1129">
        <f>Stores!AI83</f>
        <v>0.99</v>
      </c>
      <c r="AA387" s="598"/>
      <c r="AB387" s="1163">
        <f>AVERAGE(Z387,Z386)</f>
        <v>0.9415</v>
      </c>
      <c r="AC387" s="598"/>
      <c r="AD387" s="1120">
        <f>(AB387/AB380-1)*100</f>
        <v>42.651515151515149</v>
      </c>
      <c r="AE387" s="1124"/>
      <c r="AF387" s="1159">
        <f>+H387/AD387*100</f>
        <v>99.835199889773818</v>
      </c>
      <c r="AG387" s="1125"/>
      <c r="AH387" s="598"/>
      <c r="AI387" s="1165">
        <f>+S387</f>
        <v>55</v>
      </c>
      <c r="AJ387" s="598"/>
      <c r="AK387" s="1167">
        <f>AI387/AB387</f>
        <v>58.417419012214552</v>
      </c>
      <c r="AL387" s="598"/>
      <c r="AM387" s="1176"/>
      <c r="AN387" s="1124"/>
      <c r="AP387" s="562"/>
      <c r="AQ387" s="1198"/>
      <c r="AR387" s="1198"/>
      <c r="AS387" s="562"/>
      <c r="AT387" s="1198"/>
      <c r="AU387" s="1198"/>
      <c r="AV387" s="1199"/>
      <c r="AW387" s="1200"/>
      <c r="AX387" s="499"/>
      <c r="AY387" s="1221"/>
      <c r="AZ387" s="1200"/>
      <c r="BA387" s="740"/>
      <c r="BB387" s="1193"/>
      <c r="BC387" s="740"/>
      <c r="BD387" s="1193"/>
      <c r="BE387" s="1193"/>
      <c r="BF387" s="1193"/>
      <c r="BG387" s="499"/>
      <c r="BH387" s="487"/>
    </row>
    <row r="388" spans="1:60" ht="13.5" hidden="1" customHeight="1" outlineLevel="1">
      <c r="A388" s="598" t="s">
        <v>530</v>
      </c>
      <c r="B388" s="1157" t="s">
        <v>517</v>
      </c>
      <c r="C388" s="598"/>
      <c r="D388" s="1168">
        <f>(S388/S381-1)*100</f>
        <v>25.578118778523052</v>
      </c>
      <c r="E388" s="1124"/>
      <c r="F388" s="1178">
        <f>'SegP&amp;L'!AE70</f>
        <v>14</v>
      </c>
      <c r="G388" s="1124"/>
      <c r="H388" s="1168">
        <f>D388-F388</f>
        <v>11.578118778523052</v>
      </c>
      <c r="I388" s="1124"/>
      <c r="J388" s="1170">
        <f>yrSales!J$204</f>
        <v>39</v>
      </c>
      <c r="K388" s="598"/>
      <c r="L388" s="1171">
        <f>AVERAGE(J388,J387)</f>
        <v>39</v>
      </c>
      <c r="M388" s="598"/>
      <c r="N388" s="1168">
        <f>(L388/L381-1)*100</f>
        <v>30.000000000000004</v>
      </c>
      <c r="O388" s="1124"/>
      <c r="P388" s="1171">
        <f>H388/N388*100</f>
        <v>38.593729261743505</v>
      </c>
      <c r="Q388" s="1125"/>
      <c r="R388" s="598"/>
      <c r="S388" s="1172">
        <f>'SegP&amp;L'!AC70</f>
        <v>82</v>
      </c>
      <c r="T388" s="598"/>
      <c r="U388" s="1173">
        <f>S388/L388</f>
        <v>2.1025641025641026</v>
      </c>
      <c r="V388" s="598"/>
      <c r="W388" s="1169">
        <f>(U388/U381-1)*100</f>
        <v>-3.4014470934438101</v>
      </c>
      <c r="X388" s="1124"/>
      <c r="Y388" s="598"/>
      <c r="Z388" s="1129">
        <f>yrSales!J$214</f>
        <v>0.99</v>
      </c>
      <c r="AA388" s="598"/>
      <c r="AB388" s="1174">
        <f>AVERAGE(Z388,Z387)</f>
        <v>0.99</v>
      </c>
      <c r="AC388" s="598"/>
      <c r="AD388" s="1168">
        <f>(AB388/AB381-1)*100</f>
        <v>27.249357326478151</v>
      </c>
      <c r="AE388" s="1124"/>
      <c r="AF388" s="1171">
        <f>+H388/AD388*100</f>
        <v>42.489511366466672</v>
      </c>
      <c r="AG388" s="1125"/>
      <c r="AH388" s="598"/>
      <c r="AI388" s="1172">
        <f>+S388</f>
        <v>82</v>
      </c>
      <c r="AJ388" s="598"/>
      <c r="AK388" s="1175">
        <f>AI388/AB388</f>
        <v>82.828282828282823</v>
      </c>
      <c r="AL388" s="598"/>
      <c r="AM388" s="1169"/>
      <c r="AN388" s="1124"/>
      <c r="AP388" s="1201"/>
      <c r="AQ388" s="1202"/>
      <c r="AR388" s="487"/>
      <c r="AS388" s="1201"/>
      <c r="AT388" s="1202"/>
      <c r="AU388" s="487"/>
      <c r="AV388" s="1199"/>
      <c r="AW388" s="1200"/>
      <c r="AX388" s="499"/>
      <c r="AY388" s="1221"/>
      <c r="AZ388" s="1200"/>
      <c r="BA388" s="740"/>
      <c r="BB388" s="1193"/>
      <c r="BC388" s="740"/>
      <c r="BD388" s="1193"/>
      <c r="BE388" s="1193"/>
      <c r="BF388" s="1193"/>
      <c r="BG388" s="499"/>
      <c r="BH388" s="487"/>
    </row>
    <row r="389" spans="1:60" ht="13.5" hidden="1" customHeight="1" outlineLevel="1">
      <c r="A389" s="598"/>
      <c r="B389" s="1157" t="s">
        <v>531</v>
      </c>
      <c r="C389" s="598"/>
      <c r="D389" s="1120">
        <f>(S389/S382-1)*100</f>
        <v>47.079470198675487</v>
      </c>
      <c r="E389" s="1124"/>
      <c r="F389" s="1158">
        <f>'SegP&amp;L'!AE71</f>
        <v>12</v>
      </c>
      <c r="G389" s="1124"/>
      <c r="H389" s="1120">
        <f>D389-F389</f>
        <v>35.079470198675487</v>
      </c>
      <c r="I389" s="1124"/>
      <c r="J389" s="598"/>
      <c r="K389" s="598"/>
      <c r="L389" s="1128">
        <f>AVERAGE(J388,J381)</f>
        <v>35</v>
      </c>
      <c r="M389" s="598"/>
      <c r="N389" s="1120">
        <f>(L389/L382-1)*100</f>
        <v>42.857142857142861</v>
      </c>
      <c r="O389" s="1124"/>
      <c r="P389" s="1159">
        <f>H389/N389*100</f>
        <v>81.852097130242797</v>
      </c>
      <c r="Q389" s="1125"/>
      <c r="R389" s="598"/>
      <c r="S389" s="1160">
        <f>yrSales!J$194</f>
        <v>222.09</v>
      </c>
      <c r="T389" s="598"/>
      <c r="U389" s="1161">
        <f>S389/L389</f>
        <v>6.3454285714285712</v>
      </c>
      <c r="V389" s="598"/>
      <c r="W389" s="1176">
        <f>(U389/U382-1)*100</f>
        <v>2.9556291390728351</v>
      </c>
      <c r="X389" s="1124"/>
      <c r="Y389" s="598"/>
      <c r="Z389" s="1127"/>
      <c r="AA389" s="598"/>
      <c r="AB389" s="1163">
        <f>AVERAGE(Z388,Z381)</f>
        <v>0.89400000000000002</v>
      </c>
      <c r="AC389" s="598"/>
      <c r="AD389" s="1120">
        <f>(AB389/AB382-1)*100</f>
        <v>38.390092879256969</v>
      </c>
      <c r="AE389" s="1124"/>
      <c r="AF389" s="1159">
        <f>+H389/AD389*100</f>
        <v>91.376361888485334</v>
      </c>
      <c r="AG389" s="1125"/>
      <c r="AH389" s="598"/>
      <c r="AI389" s="1160">
        <f>+S389</f>
        <v>222.09</v>
      </c>
      <c r="AJ389" s="598"/>
      <c r="AK389" s="1164">
        <f>AI389/AB389</f>
        <v>248.4228187919463</v>
      </c>
      <c r="AL389" s="598"/>
      <c r="AM389" s="1176">
        <f>(AK389/AK382-1)*100</f>
        <v>6.2789012845015479</v>
      </c>
      <c r="AN389" s="1124"/>
      <c r="AP389" s="562"/>
      <c r="AQ389" s="1198"/>
      <c r="AR389" s="1198"/>
      <c r="AS389" s="562"/>
      <c r="AT389" s="1198"/>
      <c r="AU389" s="1198"/>
      <c r="AV389" s="1199"/>
      <c r="AW389" s="1200"/>
      <c r="AX389" s="499"/>
      <c r="AY389" s="1221"/>
      <c r="AZ389" s="499"/>
      <c r="BA389" s="740"/>
      <c r="BB389" s="1193"/>
      <c r="BC389" s="740"/>
      <c r="BD389" s="1193"/>
      <c r="BE389" s="1193"/>
      <c r="BF389" s="1193"/>
      <c r="BG389" s="499"/>
      <c r="BH389" s="701"/>
    </row>
    <row r="390" spans="1:60" ht="13.5" hidden="1" customHeight="1" outlineLevel="1" thickBot="1">
      <c r="A390" s="598"/>
      <c r="B390" s="1157"/>
      <c r="C390" s="598"/>
      <c r="D390" s="598"/>
      <c r="E390" s="598"/>
      <c r="F390" s="598"/>
      <c r="G390" s="598"/>
      <c r="H390" s="598"/>
      <c r="I390" s="1124"/>
      <c r="J390" s="598"/>
      <c r="K390" s="598"/>
      <c r="L390" s="598"/>
      <c r="M390" s="598"/>
      <c r="N390" s="598"/>
      <c r="O390" s="1124"/>
      <c r="P390" s="1125"/>
      <c r="Q390" s="1125"/>
      <c r="R390" s="598"/>
      <c r="S390" s="598"/>
      <c r="T390" s="598"/>
      <c r="U390" s="598"/>
      <c r="V390" s="598"/>
      <c r="W390" s="598"/>
      <c r="X390" s="1124"/>
      <c r="Y390" s="598"/>
      <c r="Z390" s="598"/>
      <c r="AA390" s="598"/>
      <c r="AB390" s="598"/>
      <c r="AC390" s="598"/>
      <c r="AD390" s="598"/>
      <c r="AE390" s="1124"/>
      <c r="AF390" s="1125"/>
      <c r="AG390" s="1125"/>
      <c r="AH390" s="598"/>
      <c r="AI390" s="598"/>
      <c r="AJ390" s="598"/>
      <c r="AK390" s="598"/>
      <c r="AL390" s="598"/>
      <c r="AM390" s="598"/>
      <c r="AN390" s="1124"/>
      <c r="AV390" s="1193"/>
      <c r="AW390" s="1193"/>
      <c r="AX390" s="1193"/>
      <c r="AY390" s="1221"/>
      <c r="AZ390" s="1193"/>
      <c r="BA390" s="1193"/>
      <c r="BB390" s="499"/>
      <c r="BC390" s="1193"/>
      <c r="BD390" s="499"/>
      <c r="BE390" s="499"/>
      <c r="BF390" s="499"/>
      <c r="BG390" s="499"/>
      <c r="BH390" s="701"/>
    </row>
    <row r="391" spans="1:60" ht="13.5" hidden="1" customHeight="1" outlineLevel="1" thickBot="1">
      <c r="A391" s="1154"/>
      <c r="B391" s="1155">
        <f>B384+1</f>
        <v>1999</v>
      </c>
      <c r="C391" s="598"/>
      <c r="D391" s="598"/>
      <c r="E391" s="598"/>
      <c r="F391" s="598"/>
      <c r="G391" s="598"/>
      <c r="H391" s="598"/>
      <c r="I391" s="1124"/>
      <c r="J391" s="598"/>
      <c r="K391" s="598"/>
      <c r="L391" s="598"/>
      <c r="M391" s="598"/>
      <c r="N391" s="598"/>
      <c r="O391" s="1124"/>
      <c r="P391" s="1125"/>
      <c r="Q391" s="1125"/>
      <c r="R391" s="598"/>
      <c r="S391" s="598"/>
      <c r="T391" s="598"/>
      <c r="U391" s="598"/>
      <c r="V391" s="598"/>
      <c r="W391" s="598"/>
      <c r="X391" s="1124"/>
      <c r="Y391" s="598"/>
      <c r="Z391" s="598"/>
      <c r="AA391" s="598"/>
      <c r="AB391" s="598"/>
      <c r="AC391" s="598"/>
      <c r="AD391" s="598"/>
      <c r="AE391" s="1124"/>
      <c r="AF391" s="1125"/>
      <c r="AG391" s="1125"/>
      <c r="AH391" s="598"/>
      <c r="AI391" s="598"/>
      <c r="AJ391" s="598"/>
      <c r="AK391" s="598"/>
      <c r="AL391" s="598"/>
      <c r="AM391" s="598"/>
      <c r="AN391" s="1124"/>
      <c r="AP391" s="1196"/>
      <c r="AQ391" s="735"/>
      <c r="AS391" s="1196"/>
      <c r="AT391" s="735"/>
      <c r="AV391" s="1193"/>
      <c r="AW391" s="1193"/>
      <c r="AX391" s="1193"/>
      <c r="AY391" s="1221"/>
      <c r="AZ391" s="1193"/>
      <c r="BA391" s="1193"/>
      <c r="BB391" s="499"/>
      <c r="BC391" s="1193"/>
      <c r="BD391" s="499"/>
      <c r="BE391" s="499"/>
      <c r="BF391" s="499"/>
      <c r="BG391" s="499"/>
      <c r="BH391" s="487"/>
    </row>
    <row r="392" spans="1:60" ht="13.5" hidden="1" customHeight="1" outlineLevel="1">
      <c r="A392" s="598" t="s">
        <v>527</v>
      </c>
      <c r="B392" s="1157" t="s">
        <v>514</v>
      </c>
      <c r="C392" s="598"/>
      <c r="D392" s="1120">
        <f>(S392/S385-1)*100</f>
        <v>30.232558139534895</v>
      </c>
      <c r="E392" s="1124" t="s">
        <v>190</v>
      </c>
      <c r="F392" s="1158">
        <f>'SegP&amp;L'!AE74</f>
        <v>20</v>
      </c>
      <c r="G392" s="1124" t="s">
        <v>190</v>
      </c>
      <c r="H392" s="1120">
        <f>D392-F392</f>
        <v>10.232558139534895</v>
      </c>
      <c r="I392" s="1124" t="s">
        <v>190</v>
      </c>
      <c r="J392" s="598">
        <f>Stores!AF89</f>
        <v>42</v>
      </c>
      <c r="K392" s="598"/>
      <c r="L392" s="1128">
        <f>AVERAGE(J392,J388)</f>
        <v>40.5</v>
      </c>
      <c r="M392" s="598"/>
      <c r="N392" s="1120">
        <f>(L392/L385-1)*100</f>
        <v>30.645161290322577</v>
      </c>
      <c r="O392" s="1124" t="s">
        <v>190</v>
      </c>
      <c r="P392" s="1159">
        <f>H392/N392*100</f>
        <v>33.390452876377033</v>
      </c>
      <c r="Q392" s="1125" t="s">
        <v>190</v>
      </c>
      <c r="R392" s="598"/>
      <c r="S392" s="1160">
        <f>'SegP&amp;L'!AC74</f>
        <v>56</v>
      </c>
      <c r="T392" s="598"/>
      <c r="U392" s="1161">
        <f>S392/L392</f>
        <v>1.382716049382716</v>
      </c>
      <c r="V392" s="598"/>
      <c r="W392" s="1176">
        <f>(U392/U385-1)*100</f>
        <v>-0.31581969566466528</v>
      </c>
      <c r="X392" s="1124" t="s">
        <v>190</v>
      </c>
      <c r="Y392" s="598"/>
      <c r="Z392" s="1129">
        <f>Stores!AI89</f>
        <v>1.0589999999999999</v>
      </c>
      <c r="AA392" s="598"/>
      <c r="AB392" s="1163">
        <f>AVERAGE(Z392,Z388)</f>
        <v>1.0245</v>
      </c>
      <c r="AC392" s="598"/>
      <c r="AD392" s="1120">
        <f>(AB392/AB385-1)*100</f>
        <v>28.383458646616532</v>
      </c>
      <c r="AE392" s="1124" t="s">
        <v>190</v>
      </c>
      <c r="AF392" s="1159">
        <f>+H392/AD392*100</f>
        <v>36.05113198829514</v>
      </c>
      <c r="AG392" s="1125" t="s">
        <v>190</v>
      </c>
      <c r="AH392" s="598"/>
      <c r="AI392" s="1160">
        <f>+S392</f>
        <v>56</v>
      </c>
      <c r="AJ392" s="598" t="s">
        <v>315</v>
      </c>
      <c r="AK392" s="1164">
        <f>AI392/AB392</f>
        <v>54.660810151293319</v>
      </c>
      <c r="AL392" s="598"/>
      <c r="AM392" s="1176">
        <f>(AK392/AK385-1)*100</f>
        <v>1.4402941877490028</v>
      </c>
      <c r="AN392" s="1124" t="s">
        <v>190</v>
      </c>
      <c r="AP392" s="562"/>
      <c r="AQ392" s="1198"/>
      <c r="AS392" s="562"/>
      <c r="AT392" s="1198"/>
      <c r="AV392" s="1193"/>
      <c r="AW392" s="1193"/>
      <c r="AX392" s="1193"/>
      <c r="AY392" s="1221"/>
      <c r="AZ392" s="1193"/>
      <c r="BA392" s="1193"/>
      <c r="BB392" s="1088"/>
      <c r="BC392" s="1193"/>
      <c r="BD392" s="1088"/>
      <c r="BE392" s="1088"/>
      <c r="BF392" s="1088"/>
      <c r="BG392" s="499"/>
      <c r="BH392" s="487"/>
    </row>
    <row r="393" spans="1:60" ht="13.5" hidden="1" customHeight="1" outlineLevel="1">
      <c r="A393" s="598" t="s">
        <v>528</v>
      </c>
      <c r="B393" s="1157" t="s">
        <v>515</v>
      </c>
      <c r="C393" s="598"/>
      <c r="D393" s="1120">
        <f>(S393/S386-1)*100</f>
        <v>46.904761904761912</v>
      </c>
      <c r="E393" s="1124"/>
      <c r="F393" s="1158">
        <f>'SegP&amp;L'!AE75</f>
        <v>14</v>
      </c>
      <c r="G393" s="1124"/>
      <c r="H393" s="1120">
        <f>D393-F393</f>
        <v>32.904761904761912</v>
      </c>
      <c r="I393" s="1124"/>
      <c r="J393" s="598">
        <f>Stores!AF90</f>
        <v>43</v>
      </c>
      <c r="K393" s="598"/>
      <c r="L393" s="1128">
        <f>AVERAGE(J393,J392)</f>
        <v>42.5</v>
      </c>
      <c r="M393" s="598"/>
      <c r="N393" s="1120">
        <f>(L393/L386-1)*100</f>
        <v>28.787878787878785</v>
      </c>
      <c r="O393" s="1124"/>
      <c r="P393" s="1159">
        <f>H393/N393*100</f>
        <v>114.30075187969928</v>
      </c>
      <c r="Q393" s="1125"/>
      <c r="R393" s="598"/>
      <c r="S393" s="1165">
        <f>'SegP&amp;L'!AC75</f>
        <v>61.7</v>
      </c>
      <c r="T393" s="598"/>
      <c r="U393" s="1166">
        <f>S393/L393</f>
        <v>1.4517647058823531</v>
      </c>
      <c r="V393" s="598"/>
      <c r="W393" s="1176">
        <f>(U393/U386-1)*100</f>
        <v>14.067226890756324</v>
      </c>
      <c r="X393" s="1124"/>
      <c r="Y393" s="598"/>
      <c r="Z393" s="1129">
        <f>Stores!AI90</f>
        <v>1.08</v>
      </c>
      <c r="AA393" s="598"/>
      <c r="AB393" s="1163">
        <f>AVERAGE(Z393,Z392)</f>
        <v>1.0695000000000001</v>
      </c>
      <c r="AC393" s="598"/>
      <c r="AD393" s="1120">
        <f>(AB393/AB386-1)*100</f>
        <v>26.493199290360735</v>
      </c>
      <c r="AE393" s="1124"/>
      <c r="AF393" s="1159">
        <f>+H393/AD393*100</f>
        <v>124.20078656462587</v>
      </c>
      <c r="AG393" s="1125"/>
      <c r="AH393" s="598"/>
      <c r="AI393" s="1165">
        <f>+S393</f>
        <v>61.7</v>
      </c>
      <c r="AJ393" s="598"/>
      <c r="AK393" s="1167">
        <f>AI393/AB393</f>
        <v>57.690509583917716</v>
      </c>
      <c r="AL393" s="598"/>
      <c r="AM393" s="1176">
        <f>(AK393/AK386-1)*100</f>
        <v>16.136490126672463</v>
      </c>
      <c r="AN393" s="1124"/>
      <c r="AP393" s="562"/>
      <c r="AQ393" s="1198"/>
      <c r="AS393" s="562"/>
      <c r="AT393" s="1198"/>
      <c r="AV393" s="1193"/>
      <c r="AW393" s="1193"/>
      <c r="AX393" s="1193"/>
      <c r="AY393" s="1221"/>
      <c r="AZ393" s="1193"/>
      <c r="BA393" s="1193"/>
      <c r="BB393" s="1193"/>
      <c r="BC393" s="1193"/>
      <c r="BD393" s="1193"/>
      <c r="BE393" s="1193"/>
      <c r="BF393" s="1193"/>
      <c r="BG393" s="499"/>
      <c r="BH393" s="487"/>
    </row>
    <row r="394" spans="1:60" ht="13.5" hidden="1" customHeight="1" outlineLevel="1">
      <c r="A394" s="598" t="s">
        <v>529</v>
      </c>
      <c r="B394" s="1157" t="s">
        <v>516</v>
      </c>
      <c r="C394" s="598"/>
      <c r="D394" s="1120">
        <f>(S394/S387-1)*100</f>
        <v>35.274545454545446</v>
      </c>
      <c r="E394" s="1124"/>
      <c r="F394" s="1158">
        <f>'SegP&amp;L'!AE76</f>
        <v>8</v>
      </c>
      <c r="G394" s="1124"/>
      <c r="H394" s="1120">
        <f>D394-F394</f>
        <v>27.274545454545446</v>
      </c>
      <c r="I394" s="1124"/>
      <c r="J394" s="598">
        <f>Stores!AF91</f>
        <v>53</v>
      </c>
      <c r="K394" s="598"/>
      <c r="L394" s="1128">
        <f>AVERAGE(J394,J393)</f>
        <v>48</v>
      </c>
      <c r="M394" s="598"/>
      <c r="N394" s="1120">
        <f>(L394/L387-1)*100</f>
        <v>29.729729729729737</v>
      </c>
      <c r="O394" s="1124"/>
      <c r="P394" s="1159">
        <f>H394/N394*100</f>
        <v>91.74165289256193</v>
      </c>
      <c r="Q394" s="1125"/>
      <c r="R394" s="598"/>
      <c r="S394" s="1165">
        <f>'SegP&amp;L'!AC76</f>
        <v>74.400999999999996</v>
      </c>
      <c r="T394" s="598"/>
      <c r="U394" s="1166">
        <f>S394/L394</f>
        <v>1.5500208333333332</v>
      </c>
      <c r="V394" s="598"/>
      <c r="W394" s="1176">
        <f>(U394/U387-1)*100</f>
        <v>4.2741287878787837</v>
      </c>
      <c r="X394" s="1124"/>
      <c r="Y394" s="598"/>
      <c r="Z394" s="1129">
        <f>Stores!AI91</f>
        <v>1.319</v>
      </c>
      <c r="AA394" s="598"/>
      <c r="AB394" s="1163">
        <f>AVERAGE(Z394,Z393)</f>
        <v>1.1995</v>
      </c>
      <c r="AC394" s="598"/>
      <c r="AD394" s="1120">
        <f>(AB394/AB387-1)*100</f>
        <v>27.403080191184269</v>
      </c>
      <c r="AE394" s="1124"/>
      <c r="AF394" s="1159">
        <f>+H394/AD394*100</f>
        <v>99.530947850599034</v>
      </c>
      <c r="AG394" s="1125"/>
      <c r="AH394" s="598"/>
      <c r="AI394" s="1165">
        <f>+S394</f>
        <v>74.400999999999996</v>
      </c>
      <c r="AJ394" s="598"/>
      <c r="AK394" s="1167">
        <f>AI394/AB394</f>
        <v>62.026677782409337</v>
      </c>
      <c r="AL394" s="598"/>
      <c r="AM394" s="1176">
        <f>(AK394/AK387-1)*100</f>
        <v>6.178394785706165</v>
      </c>
      <c r="AN394" s="1124"/>
      <c r="AP394" s="562"/>
      <c r="AQ394" s="1198"/>
      <c r="AR394" s="720"/>
      <c r="AS394" s="562"/>
      <c r="AT394" s="1198"/>
      <c r="AU394" s="720"/>
      <c r="AV394" s="1200"/>
      <c r="AW394" s="1200"/>
      <c r="AX394" s="499"/>
      <c r="AY394" s="1221"/>
      <c r="AZ394" s="499"/>
      <c r="BA394" s="499"/>
      <c r="BB394" s="1193"/>
      <c r="BC394" s="499"/>
      <c r="BD394" s="1193"/>
      <c r="BE394" s="1193"/>
      <c r="BF394" s="1193"/>
      <c r="BG394" s="499"/>
      <c r="BH394" s="487"/>
    </row>
    <row r="395" spans="1:60" ht="13.5" hidden="1" customHeight="1" outlineLevel="1">
      <c r="A395" s="598" t="s">
        <v>530</v>
      </c>
      <c r="B395" s="1157" t="s">
        <v>517</v>
      </c>
      <c r="C395" s="598"/>
      <c r="D395" s="1168">
        <f>(S395/S388-1)*100</f>
        <v>29.885365853658531</v>
      </c>
      <c r="E395" s="1124"/>
      <c r="F395" s="1178">
        <f>'SegP&amp;L'!AE77</f>
        <v>8</v>
      </c>
      <c r="G395" s="1124"/>
      <c r="H395" s="1168">
        <f>D395-F395</f>
        <v>21.885365853658531</v>
      </c>
      <c r="I395" s="1124"/>
      <c r="J395" s="598">
        <f>yrSales!K$204</f>
        <v>54</v>
      </c>
      <c r="K395" s="598"/>
      <c r="L395" s="1171">
        <f>AVERAGE(J395,J394)</f>
        <v>53.5</v>
      </c>
      <c r="M395" s="598"/>
      <c r="N395" s="1168">
        <f>(L395/L388-1)*100</f>
        <v>37.179487179487182</v>
      </c>
      <c r="O395" s="1124"/>
      <c r="P395" s="1171">
        <f>H395/N395*100</f>
        <v>58.864087468460866</v>
      </c>
      <c r="Q395" s="1125"/>
      <c r="R395" s="598"/>
      <c r="S395" s="1172">
        <f>'SegP&amp;L'!AC77</f>
        <v>106.506</v>
      </c>
      <c r="T395" s="598"/>
      <c r="U395" s="1173">
        <f>S395/L395</f>
        <v>1.9907663551401868</v>
      </c>
      <c r="V395" s="598"/>
      <c r="W395" s="1169">
        <f>(U395/U388-1)*100</f>
        <v>-5.3172099384545373</v>
      </c>
      <c r="X395" s="1124"/>
      <c r="Y395" s="598"/>
      <c r="Z395" s="1129">
        <f>yrSales!K$214</f>
        <v>1.35</v>
      </c>
      <c r="AA395" s="598"/>
      <c r="AB395" s="1174">
        <f>AVERAGE(Z395,Z394)</f>
        <v>1.3345</v>
      </c>
      <c r="AC395" s="598"/>
      <c r="AD395" s="1168">
        <f>(AB395/AB388-1)*100</f>
        <v>34.797979797979806</v>
      </c>
      <c r="AE395" s="1124"/>
      <c r="AF395" s="1171">
        <f>+H395/AD395*100</f>
        <v>62.892633367552797</v>
      </c>
      <c r="AG395" s="1125"/>
      <c r="AH395" s="598"/>
      <c r="AI395" s="1172">
        <f>+S395</f>
        <v>106.506</v>
      </c>
      <c r="AJ395" s="598"/>
      <c r="AK395" s="1175">
        <f>AI395/AB395</f>
        <v>79.80966654177594</v>
      </c>
      <c r="AL395" s="598"/>
      <c r="AM395" s="1169">
        <f>(AK395/AK388-1)*100</f>
        <v>-3.6444269800509965</v>
      </c>
      <c r="AN395" s="1124"/>
      <c r="AP395" s="1201"/>
      <c r="AQ395" s="1202"/>
      <c r="AR395" s="487"/>
      <c r="AS395" s="1201"/>
      <c r="AT395" s="1202"/>
      <c r="AU395" s="487"/>
      <c r="AV395" s="1197"/>
      <c r="AW395" s="1081"/>
      <c r="AX395" s="499"/>
      <c r="AY395" s="1221"/>
      <c r="AZ395" s="499"/>
      <c r="BA395" s="499"/>
      <c r="BB395" s="1193"/>
      <c r="BC395" s="499"/>
      <c r="BD395" s="1193"/>
      <c r="BE395" s="1193"/>
      <c r="BF395" s="1193"/>
      <c r="BG395" s="499"/>
      <c r="BH395" s="487"/>
    </row>
    <row r="396" spans="1:60" ht="13.5" hidden="1" customHeight="1" outlineLevel="1">
      <c r="A396" s="598"/>
      <c r="B396" s="1157" t="s">
        <v>531</v>
      </c>
      <c r="C396" s="598"/>
      <c r="D396" s="1120">
        <f>(S396/S389-1)*100</f>
        <v>34.476563555315408</v>
      </c>
      <c r="E396" s="1124"/>
      <c r="F396" s="1158">
        <f>'SegP&amp;L'!AE78</f>
        <v>12</v>
      </c>
      <c r="G396" s="1124"/>
      <c r="H396" s="1120">
        <f>D396-F396</f>
        <v>22.476563555315408</v>
      </c>
      <c r="I396" s="1124"/>
      <c r="J396" s="598"/>
      <c r="K396" s="598"/>
      <c r="L396" s="1128">
        <f>AVERAGE(L392:L395)</f>
        <v>46.125</v>
      </c>
      <c r="M396" s="598"/>
      <c r="N396" s="1120">
        <f>(L396/L389-1)*100</f>
        <v>31.785714285714285</v>
      </c>
      <c r="O396" s="1124"/>
      <c r="P396" s="1159">
        <f>H396/N396*100</f>
        <v>70.71278421896983</v>
      </c>
      <c r="Q396" s="1125"/>
      <c r="R396" s="598"/>
      <c r="S396" s="1160">
        <f>yrSales!K$194</f>
        <v>298.65899999999999</v>
      </c>
      <c r="T396" s="598"/>
      <c r="U396" s="1161">
        <f>S396/L396</f>
        <v>6.474991869918699</v>
      </c>
      <c r="V396" s="598"/>
      <c r="W396" s="1176">
        <f>(U396/U389-1)*100</f>
        <v>2.0418368441417867</v>
      </c>
      <c r="X396" s="1124"/>
      <c r="Y396" s="598"/>
      <c r="Z396" s="598"/>
      <c r="AA396" s="598"/>
      <c r="AB396" s="1163">
        <f>AVERAGE(AB392:AB395)</f>
        <v>1.157</v>
      </c>
      <c r="AC396" s="598"/>
      <c r="AD396" s="1120">
        <f>(AB396/AB389-1)*100</f>
        <v>29.418344519015662</v>
      </c>
      <c r="AE396" s="1124"/>
      <c r="AF396" s="1159">
        <f>+H396/AD396*100</f>
        <v>76.403223644304092</v>
      </c>
      <c r="AG396" s="1125"/>
      <c r="AH396" s="598"/>
      <c r="AI396" s="1160">
        <f>+S396</f>
        <v>298.65899999999999</v>
      </c>
      <c r="AJ396" s="598"/>
      <c r="AK396" s="1164">
        <f>AI396/AB396</f>
        <v>258.13223854796888</v>
      </c>
      <c r="AL396" s="598"/>
      <c r="AM396" s="1176">
        <f>(AK396/AK389-1)*100</f>
        <v>3.9084250807709386</v>
      </c>
      <c r="AN396" s="1124"/>
      <c r="AP396" s="562"/>
      <c r="AQ396" s="1198"/>
      <c r="AR396" s="1198"/>
      <c r="AS396" s="562"/>
      <c r="AT396" s="1198"/>
      <c r="AU396" s="1198"/>
      <c r="AV396" s="1199"/>
      <c r="AW396" s="1200"/>
      <c r="AX396" s="499"/>
      <c r="AY396" s="1221"/>
      <c r="AZ396" s="1200"/>
      <c r="BA396" s="740"/>
      <c r="BB396" s="499"/>
      <c r="BC396" s="740"/>
      <c r="BD396" s="499"/>
      <c r="BE396" s="499"/>
      <c r="BF396" s="499"/>
      <c r="BG396" s="499"/>
      <c r="BH396" s="701"/>
    </row>
    <row r="397" spans="1:60" ht="13.5" hidden="1" customHeight="1" outlineLevel="1" thickBot="1">
      <c r="A397" s="598"/>
      <c r="B397" s="1157"/>
      <c r="C397" s="598"/>
      <c r="D397" s="598"/>
      <c r="E397" s="1124"/>
      <c r="F397" s="598"/>
      <c r="G397" s="1124"/>
      <c r="H397" s="598"/>
      <c r="I397" s="1124"/>
      <c r="J397" s="598"/>
      <c r="K397" s="598"/>
      <c r="L397" s="598"/>
      <c r="M397" s="598"/>
      <c r="N397" s="598"/>
      <c r="O397" s="1124"/>
      <c r="P397" s="1125"/>
      <c r="Q397" s="1125"/>
      <c r="R397" s="598"/>
      <c r="S397" s="598"/>
      <c r="T397" s="598"/>
      <c r="U397" s="598"/>
      <c r="V397" s="598"/>
      <c r="W397" s="598"/>
      <c r="X397" s="1124"/>
      <c r="Y397" s="598"/>
      <c r="Z397" s="598"/>
      <c r="AA397" s="598"/>
      <c r="AB397" s="598"/>
      <c r="AC397" s="598"/>
      <c r="AD397" s="598"/>
      <c r="AE397" s="1124"/>
      <c r="AF397" s="1125"/>
      <c r="AG397" s="1125"/>
      <c r="AH397" s="598"/>
      <c r="AI397" s="598"/>
      <c r="AJ397" s="598"/>
      <c r="AK397" s="598"/>
      <c r="AL397" s="598"/>
      <c r="AM397" s="598"/>
      <c r="AN397" s="1124"/>
      <c r="AP397" s="562"/>
      <c r="AQ397" s="1198"/>
      <c r="AR397" s="1198"/>
      <c r="AS397" s="562"/>
      <c r="AT397" s="1198"/>
      <c r="AU397" s="1198"/>
      <c r="AV397" s="1199"/>
      <c r="AW397" s="1200"/>
      <c r="AX397" s="499"/>
      <c r="AY397" s="1221"/>
      <c r="AZ397" s="1200"/>
      <c r="BA397" s="740"/>
      <c r="BB397" s="499"/>
      <c r="BC397" s="740"/>
      <c r="BD397" s="499"/>
      <c r="BE397" s="499"/>
      <c r="BF397" s="499"/>
      <c r="BG397" s="499"/>
      <c r="BH397" s="701"/>
    </row>
    <row r="398" spans="1:60" ht="13.5" hidden="1" customHeight="1" outlineLevel="1" collapsed="1" thickBot="1">
      <c r="A398" s="1154"/>
      <c r="B398" s="1155">
        <f>B391+1</f>
        <v>2000</v>
      </c>
      <c r="C398" s="598"/>
      <c r="D398" s="598"/>
      <c r="E398" s="1124"/>
      <c r="F398" s="598"/>
      <c r="G398" s="1124"/>
      <c r="H398" s="598"/>
      <c r="I398" s="1124"/>
      <c r="J398" s="598"/>
      <c r="K398" s="598"/>
      <c r="L398" s="598"/>
      <c r="M398" s="598"/>
      <c r="N398" s="598"/>
      <c r="O398" s="1124"/>
      <c r="P398" s="1125"/>
      <c r="Q398" s="1125"/>
      <c r="R398" s="598"/>
      <c r="S398" s="598"/>
      <c r="T398" s="598"/>
      <c r="U398" s="598"/>
      <c r="V398" s="598"/>
      <c r="W398" s="598"/>
      <c r="X398" s="1124"/>
      <c r="Y398" s="598"/>
      <c r="Z398" s="598"/>
      <c r="AA398" s="598"/>
      <c r="AB398" s="598"/>
      <c r="AC398" s="598"/>
      <c r="AD398" s="598"/>
      <c r="AE398" s="1124"/>
      <c r="AF398" s="1125"/>
      <c r="AG398" s="1125"/>
      <c r="AH398" s="598"/>
      <c r="AI398" s="598"/>
      <c r="AJ398" s="598"/>
      <c r="AK398" s="598"/>
      <c r="AL398" s="598"/>
      <c r="AM398" s="598"/>
      <c r="AN398" s="1124"/>
      <c r="AP398" s="1196"/>
      <c r="AQ398" s="735"/>
      <c r="AR398" s="1198"/>
      <c r="AS398" s="1196"/>
      <c r="AT398" s="735"/>
      <c r="AU398" s="1198"/>
      <c r="AV398" s="1199"/>
      <c r="AW398" s="1200"/>
      <c r="AX398" s="499"/>
      <c r="AY398" s="1221"/>
      <c r="AZ398" s="1200"/>
      <c r="BA398" s="740"/>
      <c r="BB398" s="499"/>
      <c r="BC398" s="740"/>
      <c r="BD398" s="499"/>
      <c r="BE398" s="499"/>
      <c r="BF398" s="499"/>
      <c r="BG398" s="499"/>
      <c r="BH398" s="487"/>
    </row>
    <row r="399" spans="1:60" ht="13.5" hidden="1" customHeight="1" outlineLevel="1">
      <c r="A399" s="598" t="s">
        <v>527</v>
      </c>
      <c r="B399" s="1157" t="s">
        <v>514</v>
      </c>
      <c r="C399" s="598"/>
      <c r="D399" s="1120">
        <f>(S399/S392-1)*100</f>
        <v>29.421428571428578</v>
      </c>
      <c r="E399" s="1124" t="s">
        <v>190</v>
      </c>
      <c r="F399" s="1158">
        <f>'SegP&amp;L'!AE81</f>
        <v>6</v>
      </c>
      <c r="G399" s="1124" t="s">
        <v>190</v>
      </c>
      <c r="H399" s="1120">
        <f>D399-F399</f>
        <v>23.421428571428578</v>
      </c>
      <c r="I399" s="1124" t="s">
        <v>190</v>
      </c>
      <c r="J399" s="598">
        <f>Stores!AF97</f>
        <v>57</v>
      </c>
      <c r="K399" s="598" t="s">
        <v>315</v>
      </c>
      <c r="L399" s="1128">
        <f>AVERAGE(J399,J395)</f>
        <v>55.5</v>
      </c>
      <c r="M399" s="598"/>
      <c r="N399" s="1120">
        <f>(L399/L392-1)*100</f>
        <v>37.037037037037045</v>
      </c>
      <c r="O399" s="1124" t="s">
        <v>190</v>
      </c>
      <c r="P399" s="1159">
        <f>H399/N399*100</f>
        <v>63.237857142857145</v>
      </c>
      <c r="Q399" s="1125" t="s">
        <v>190</v>
      </c>
      <c r="R399" s="598"/>
      <c r="S399" s="1160">
        <f>'SegP&amp;L'!AC81</f>
        <v>72.475999999999999</v>
      </c>
      <c r="T399" s="598" t="s">
        <v>315</v>
      </c>
      <c r="U399" s="1161">
        <f>S399/L399</f>
        <v>1.3058738738738738</v>
      </c>
      <c r="V399" s="598"/>
      <c r="W399" s="1176">
        <f>(U399/U392-1)*100</f>
        <v>-5.5573359073359141</v>
      </c>
      <c r="X399" s="1124" t="s">
        <v>190</v>
      </c>
      <c r="Y399" s="598"/>
      <c r="Z399" s="1129">
        <f>Stores!AI97</f>
        <v>1.425</v>
      </c>
      <c r="AA399" s="598" t="s">
        <v>315</v>
      </c>
      <c r="AB399" s="1163">
        <f>AVERAGE(Z399,Z395)</f>
        <v>1.3875000000000002</v>
      </c>
      <c r="AC399" s="598"/>
      <c r="AD399" s="1120">
        <f>(AB399/AB392-1)*100</f>
        <v>35.431918008784805</v>
      </c>
      <c r="AE399" s="1124" t="s">
        <v>190</v>
      </c>
      <c r="AF399" s="1159">
        <f>+H399/AD399*100</f>
        <v>66.102626918535961</v>
      </c>
      <c r="AG399" s="1125" t="s">
        <v>190</v>
      </c>
      <c r="AH399" s="598"/>
      <c r="AI399" s="1160">
        <f>+S399</f>
        <v>72.475999999999999</v>
      </c>
      <c r="AJ399" s="598" t="s">
        <v>315</v>
      </c>
      <c r="AK399" s="1164">
        <f>AI399/AB399</f>
        <v>52.234954954954951</v>
      </c>
      <c r="AL399" s="598"/>
      <c r="AM399" s="1176">
        <f>(AK399/AK392-1)*100</f>
        <v>-4.4380154440154644</v>
      </c>
      <c r="AN399" s="1124" t="s">
        <v>190</v>
      </c>
      <c r="AP399" s="562"/>
      <c r="AQ399" s="1198"/>
      <c r="AR399" s="487"/>
      <c r="AS399" s="562"/>
      <c r="AT399" s="1198"/>
      <c r="AU399" s="487"/>
      <c r="AV399" s="1199"/>
      <c r="AW399" s="1200"/>
      <c r="AX399" s="499"/>
      <c r="AY399" s="1221"/>
      <c r="AZ399" s="1200"/>
      <c r="BA399" s="740"/>
      <c r="BB399" s="499"/>
      <c r="BC399" s="740"/>
      <c r="BD399" s="499"/>
      <c r="BE399" s="499"/>
      <c r="BF399" s="499"/>
      <c r="BG399" s="499"/>
      <c r="BH399" s="487"/>
    </row>
    <row r="400" spans="1:60" ht="13.5" hidden="1" customHeight="1" outlineLevel="1">
      <c r="A400" s="598" t="s">
        <v>528</v>
      </c>
      <c r="B400" s="1157" t="s">
        <v>515</v>
      </c>
      <c r="C400" s="598"/>
      <c r="D400" s="1120">
        <f>(S400/S393-1)*100</f>
        <v>38.589951377633724</v>
      </c>
      <c r="E400" s="598"/>
      <c r="F400" s="1158">
        <f>'SegP&amp;L'!AE82</f>
        <v>9</v>
      </c>
      <c r="G400" s="598"/>
      <c r="H400" s="1120">
        <f>D400-F400</f>
        <v>29.589951377633724</v>
      </c>
      <c r="I400" s="598"/>
      <c r="J400" s="598">
        <f>Stores!AF98</f>
        <v>64</v>
      </c>
      <c r="K400" s="1127"/>
      <c r="L400" s="1128">
        <f>AVERAGE(J400,J399)</f>
        <v>60.5</v>
      </c>
      <c r="M400" s="598"/>
      <c r="N400" s="1120">
        <f>(L400/L393-1)*100</f>
        <v>42.352941176470594</v>
      </c>
      <c r="O400" s="1124"/>
      <c r="P400" s="1159">
        <f>H400/N400*100</f>
        <v>69.865162974968513</v>
      </c>
      <c r="Q400" s="1125"/>
      <c r="R400" s="598"/>
      <c r="S400" s="1165">
        <f>'SegP&amp;L'!AC82</f>
        <v>85.51</v>
      </c>
      <c r="T400" s="598"/>
      <c r="U400" s="1166">
        <f>S400/L400</f>
        <v>1.4133884297520662</v>
      </c>
      <c r="V400" s="598"/>
      <c r="W400" s="1176">
        <f>(U400/U393-1)*100</f>
        <v>-2.6434225859597871</v>
      </c>
      <c r="X400" s="1124"/>
      <c r="Y400" s="598"/>
      <c r="Z400" s="1129">
        <f>Stores!AI98</f>
        <v>1.617</v>
      </c>
      <c r="AA400" s="1127"/>
      <c r="AB400" s="1163">
        <f>AVERAGE(Z400,Z399)</f>
        <v>1.5209999999999999</v>
      </c>
      <c r="AC400" s="598"/>
      <c r="AD400" s="1120">
        <f>(AB400/AB393-1)*100</f>
        <v>42.215988779803617</v>
      </c>
      <c r="AE400" s="1124"/>
      <c r="AF400" s="1159">
        <f>+H400/AD400*100</f>
        <v>70.091811735059338</v>
      </c>
      <c r="AG400" s="1125"/>
      <c r="AH400" s="598"/>
      <c r="AI400" s="1165">
        <f>+S400</f>
        <v>85.51</v>
      </c>
      <c r="AJ400" s="598"/>
      <c r="AK400" s="1167">
        <f>AI400/AB400</f>
        <v>56.219592373438537</v>
      </c>
      <c r="AL400" s="598"/>
      <c r="AM400" s="1176">
        <f>(AK400/AK393-1)*100</f>
        <v>-2.5496692975810031</v>
      </c>
      <c r="AN400" s="1124"/>
      <c r="AP400" s="562"/>
      <c r="AQ400" s="1198"/>
      <c r="AR400" s="1198"/>
      <c r="AS400" s="562"/>
      <c r="AT400" s="1198"/>
      <c r="AU400" s="1198"/>
      <c r="AV400" s="1199"/>
      <c r="AW400" s="1200"/>
      <c r="AX400" s="499"/>
      <c r="AY400" s="1221"/>
      <c r="AZ400" s="499"/>
      <c r="BA400" s="740"/>
      <c r="BB400" s="499"/>
      <c r="BC400" s="740"/>
      <c r="BD400" s="499"/>
      <c r="BE400" s="499"/>
      <c r="BF400" s="499"/>
      <c r="BG400" s="499"/>
      <c r="BH400" s="487"/>
    </row>
    <row r="401" spans="1:60" ht="13.5" hidden="1" customHeight="1" outlineLevel="1">
      <c r="A401" s="598" t="s">
        <v>529</v>
      </c>
      <c r="B401" s="1157" t="s">
        <v>516</v>
      </c>
      <c r="C401" s="598"/>
      <c r="D401" s="1120">
        <f>(S401/S394-1)*100</f>
        <v>29.351756024784635</v>
      </c>
      <c r="E401" s="598"/>
      <c r="F401" s="1158">
        <f>'SegP&amp;L'!AE83</f>
        <v>10</v>
      </c>
      <c r="G401" s="598"/>
      <c r="H401" s="1120">
        <f>D401-F401</f>
        <v>19.351756024784635</v>
      </c>
      <c r="I401" s="598"/>
      <c r="J401" s="598">
        <f>Stores!AF99</f>
        <v>72</v>
      </c>
      <c r="K401" s="1127"/>
      <c r="L401" s="1128">
        <f>AVERAGE(J401,J400)</f>
        <v>68</v>
      </c>
      <c r="M401" s="598"/>
      <c r="N401" s="1120">
        <f>(L401/L394-1)*100</f>
        <v>41.666666666666671</v>
      </c>
      <c r="O401" s="1124"/>
      <c r="P401" s="1159">
        <f>H401/N401*100</f>
        <v>46.444214459483121</v>
      </c>
      <c r="Q401" s="1125"/>
      <c r="R401" s="598"/>
      <c r="S401" s="1165">
        <f>'SegP&amp;L'!AC83</f>
        <v>96.239000000000004</v>
      </c>
      <c r="T401" s="598"/>
      <c r="U401" s="1166">
        <f>S401/L401</f>
        <v>1.4152794117647058</v>
      </c>
      <c r="V401" s="598"/>
      <c r="W401" s="1176">
        <f>(U401/U394-1)*100</f>
        <v>-8.6928781001520345</v>
      </c>
      <c r="X401" s="1124"/>
      <c r="Y401" s="598"/>
      <c r="Z401" s="1129">
        <f>Stores!AI99</f>
        <v>1.8280000000000001</v>
      </c>
      <c r="AA401" s="1127"/>
      <c r="AB401" s="1163">
        <f>AVERAGE(Z401,Z400)</f>
        <v>1.7225000000000001</v>
      </c>
      <c r="AC401" s="598"/>
      <c r="AD401" s="1120">
        <f>(AB401/AB394-1)*100</f>
        <v>43.601500625260535</v>
      </c>
      <c r="AE401" s="1124"/>
      <c r="AF401" s="1159">
        <f>+H401/AD401*100</f>
        <v>44.383233942120775</v>
      </c>
      <c r="AG401" s="1125"/>
      <c r="AH401" s="598"/>
      <c r="AI401" s="1165">
        <f>+S401</f>
        <v>96.239000000000004</v>
      </c>
      <c r="AJ401" s="598"/>
      <c r="AK401" s="1167">
        <f>AI401/AB401</f>
        <v>55.871698113207543</v>
      </c>
      <c r="AL401" s="598"/>
      <c r="AM401" s="1176">
        <f>(AK401/AK394-1)*100</f>
        <v>-9.923116776935192</v>
      </c>
      <c r="AN401" s="1124"/>
      <c r="AP401" s="562"/>
      <c r="AQ401" s="1198"/>
      <c r="AR401" s="1198"/>
      <c r="AS401" s="562"/>
      <c r="AT401" s="1198"/>
      <c r="AU401" s="1198"/>
      <c r="AV401" s="1199"/>
      <c r="AW401" s="1200"/>
      <c r="AX401" s="499"/>
      <c r="AY401" s="1221"/>
      <c r="AZ401" s="499"/>
      <c r="BA401" s="740"/>
      <c r="BB401" s="499"/>
      <c r="BC401" s="740"/>
      <c r="BD401" s="499"/>
      <c r="BE401" s="499"/>
      <c r="BF401" s="499"/>
      <c r="BG401" s="499"/>
      <c r="BH401" s="487"/>
    </row>
    <row r="402" spans="1:60" ht="13.5" hidden="1" customHeight="1" outlineLevel="1">
      <c r="A402" s="598" t="s">
        <v>530</v>
      </c>
      <c r="B402" s="1157" t="s">
        <v>517</v>
      </c>
      <c r="C402" s="598"/>
      <c r="D402" s="1168">
        <f>(S402/S395-1)*100</f>
        <v>26.600379321352776</v>
      </c>
      <c r="E402" s="598"/>
      <c r="F402" s="1178">
        <f>'SegP&amp;L'!AE84</f>
        <v>6</v>
      </c>
      <c r="G402" s="598"/>
      <c r="H402" s="1168">
        <f>D402-F402</f>
        <v>20.600379321352776</v>
      </c>
      <c r="I402" s="598"/>
      <c r="J402" s="598">
        <f>yrSales!L$204</f>
        <v>74</v>
      </c>
      <c r="K402" s="1127"/>
      <c r="L402" s="1171">
        <f>AVERAGE(J402,J401)</f>
        <v>73</v>
      </c>
      <c r="M402" s="598"/>
      <c r="N402" s="1168">
        <f>(L402/L395-1)*100</f>
        <v>36.448598130841113</v>
      </c>
      <c r="O402" s="1124"/>
      <c r="P402" s="1171">
        <f>H402/N402*100</f>
        <v>56.518989420121734</v>
      </c>
      <c r="Q402" s="1125"/>
      <c r="R402" s="598"/>
      <c r="S402" s="1172">
        <f>'SegP&amp;L'!AC84</f>
        <v>134.83699999999999</v>
      </c>
      <c r="T402" s="598"/>
      <c r="U402" s="1173">
        <f>S402/L402</f>
        <v>1.8470821917808218</v>
      </c>
      <c r="V402" s="598"/>
      <c r="W402" s="1169">
        <f>(U402/U395-1)*100</f>
        <v>-7.2175302233921439</v>
      </c>
      <c r="X402" s="1124"/>
      <c r="Y402" s="598"/>
      <c r="Z402" s="1129">
        <f>yrSales!L$214</f>
        <v>1.917</v>
      </c>
      <c r="AA402" s="1127"/>
      <c r="AB402" s="1174">
        <f>AVERAGE(Z402,Z401)</f>
        <v>1.8725000000000001</v>
      </c>
      <c r="AC402" s="598"/>
      <c r="AD402" s="1168">
        <f>(AB402/AB395-1)*100</f>
        <v>40.31472461596104</v>
      </c>
      <c r="AE402" s="1124"/>
      <c r="AF402" s="1171">
        <f>+H402/AD402*100</f>
        <v>51.0988962906046</v>
      </c>
      <c r="AG402" s="1125"/>
      <c r="AH402" s="598"/>
      <c r="AI402" s="1172">
        <f>+S402</f>
        <v>134.83699999999999</v>
      </c>
      <c r="AJ402" s="598"/>
      <c r="AK402" s="1175">
        <f>AI402/AB402</f>
        <v>72.009078771695584</v>
      </c>
      <c r="AL402" s="598"/>
      <c r="AM402" s="1169">
        <f>(AK402/AK395-1)*100</f>
        <v>-9.7739886759170673</v>
      </c>
      <c r="AN402" s="1124"/>
      <c r="AP402" s="1201"/>
      <c r="AQ402" s="1202"/>
      <c r="AR402" s="487"/>
      <c r="AS402" s="1201"/>
      <c r="AT402" s="1202"/>
      <c r="AU402" s="487"/>
      <c r="AV402" s="1197"/>
      <c r="AW402" s="1081"/>
      <c r="AX402" s="499"/>
      <c r="AY402" s="1221"/>
      <c r="AZ402" s="499"/>
      <c r="BA402" s="499"/>
      <c r="BB402" s="499"/>
      <c r="BC402" s="499"/>
      <c r="BD402" s="499"/>
      <c r="BE402" s="499"/>
      <c r="BF402" s="499"/>
      <c r="BG402" s="499"/>
      <c r="BH402" s="487"/>
    </row>
    <row r="403" spans="1:60" ht="13.5" hidden="1" customHeight="1" outlineLevel="1">
      <c r="A403" s="598"/>
      <c r="B403" s="1157" t="s">
        <v>531</v>
      </c>
      <c r="C403" s="598"/>
      <c r="D403" s="1120">
        <f>(S403/S396-1)*100</f>
        <v>30.269638617955597</v>
      </c>
      <c r="E403" s="598"/>
      <c r="F403" s="1158">
        <f>'SegP&amp;L'!AE85</f>
        <v>8</v>
      </c>
      <c r="G403" s="598"/>
      <c r="H403" s="1120">
        <f>D403-F403</f>
        <v>22.269638617955597</v>
      </c>
      <c r="I403" s="598"/>
      <c r="J403" s="598"/>
      <c r="K403" s="598"/>
      <c r="L403" s="1128">
        <f>AVERAGE(L399:L402)</f>
        <v>64.25</v>
      </c>
      <c r="M403" s="598"/>
      <c r="N403" s="1120">
        <f>(L403/L396-1)*100</f>
        <v>39.295392953929543</v>
      </c>
      <c r="O403" s="1124"/>
      <c r="P403" s="1159">
        <f>H403/N403*100</f>
        <v>56.672390689831822</v>
      </c>
      <c r="Q403" s="1125"/>
      <c r="R403" s="598"/>
      <c r="S403" s="1160">
        <f>yrSales!L$194</f>
        <v>389.06200000000001</v>
      </c>
      <c r="T403" s="598"/>
      <c r="U403" s="1161">
        <f>S403/L403</f>
        <v>6.0554396887159534</v>
      </c>
      <c r="V403" s="598"/>
      <c r="W403" s="1176">
        <f>(U403/U396-1)*100</f>
        <v>-6.4795785018956886</v>
      </c>
      <c r="X403" s="1124"/>
      <c r="Y403" s="598"/>
      <c r="Z403" s="598"/>
      <c r="AA403" s="598"/>
      <c r="AB403" s="1163">
        <f>AVERAGE(AB399:AB402)</f>
        <v>1.6258750000000002</v>
      </c>
      <c r="AC403" s="598"/>
      <c r="AD403" s="1120">
        <f>(AB403/AB396-1)*100</f>
        <v>40.525064822817633</v>
      </c>
      <c r="AE403" s="1124"/>
      <c r="AF403" s="1159">
        <f>+H403/AD403*100</f>
        <v>54.952752612049316</v>
      </c>
      <c r="AG403" s="1125"/>
      <c r="AH403" s="598"/>
      <c r="AI403" s="1160">
        <f>SUM(AI399:AI402)</f>
        <v>389.06200000000001</v>
      </c>
      <c r="AJ403" s="598"/>
      <c r="AK403" s="1164">
        <f>SUM(AK399:AK402)</f>
        <v>236.33532421329662</v>
      </c>
      <c r="AL403" s="598"/>
      <c r="AM403" s="1176">
        <f>(AK403/AK396-1)*100</f>
        <v>-8.4440883700862219</v>
      </c>
      <c r="AN403" s="1124"/>
      <c r="AP403" s="562"/>
      <c r="AQ403" s="1198"/>
      <c r="AR403" s="1198"/>
      <c r="AS403" s="562"/>
      <c r="AT403" s="1198"/>
      <c r="AU403" s="1198"/>
      <c r="AV403" s="1199"/>
      <c r="AW403" s="1200"/>
      <c r="AX403" s="499"/>
      <c r="AY403" s="1221"/>
      <c r="AZ403" s="1200"/>
      <c r="BA403" s="740"/>
      <c r="BB403" s="499"/>
      <c r="BC403" s="740"/>
      <c r="BD403" s="499"/>
      <c r="BE403" s="499"/>
      <c r="BF403" s="499"/>
      <c r="BG403" s="499"/>
      <c r="BH403" s="701"/>
    </row>
    <row r="404" spans="1:60" ht="13.5" hidden="1" customHeight="1" outlineLevel="1" thickBot="1">
      <c r="A404" s="598"/>
      <c r="B404" s="1157"/>
      <c r="C404" s="598"/>
      <c r="D404" s="598"/>
      <c r="E404" s="598"/>
      <c r="F404" s="598"/>
      <c r="G404" s="598"/>
      <c r="H404" s="598"/>
      <c r="I404" s="598"/>
      <c r="J404" s="598"/>
      <c r="K404" s="598"/>
      <c r="L404" s="598"/>
      <c r="M404" s="598"/>
      <c r="N404" s="598"/>
      <c r="O404" s="1124"/>
      <c r="P404" s="1125"/>
      <c r="Q404" s="1125"/>
      <c r="R404" s="598"/>
      <c r="S404" s="598"/>
      <c r="T404" s="598"/>
      <c r="U404" s="598"/>
      <c r="V404" s="598"/>
      <c r="W404" s="598"/>
      <c r="X404" s="1124"/>
      <c r="Y404" s="598"/>
      <c r="Z404" s="598"/>
      <c r="AA404" s="598"/>
      <c r="AB404" s="598"/>
      <c r="AC404" s="598"/>
      <c r="AD404" s="598"/>
      <c r="AE404" s="1124"/>
      <c r="AF404" s="1125"/>
      <c r="AG404" s="1125"/>
      <c r="AH404" s="598"/>
      <c r="AI404" s="598"/>
      <c r="AJ404" s="598"/>
      <c r="AK404" s="598"/>
      <c r="AL404" s="598"/>
      <c r="AM404" s="598"/>
      <c r="AN404" s="598"/>
      <c r="AP404" s="562"/>
      <c r="AQ404" s="1198"/>
      <c r="AR404" s="1198"/>
      <c r="AS404" s="562"/>
      <c r="AT404" s="1198"/>
      <c r="AU404" s="1198"/>
      <c r="AV404" s="1199"/>
      <c r="AW404" s="1200"/>
      <c r="AX404" s="499"/>
      <c r="AY404" s="1221"/>
      <c r="AZ404" s="1200"/>
      <c r="BA404" s="740"/>
      <c r="BB404" s="499"/>
      <c r="BC404" s="740"/>
      <c r="BD404" s="499"/>
      <c r="BE404" s="499"/>
      <c r="BF404" s="499"/>
      <c r="BG404" s="499"/>
      <c r="BH404" s="701"/>
    </row>
    <row r="405" spans="1:60" ht="13.5" hidden="1" customHeight="1" outlineLevel="1" collapsed="1" thickBot="1">
      <c r="A405" s="1154"/>
      <c r="B405" s="1155">
        <f>B398+1</f>
        <v>2001</v>
      </c>
      <c r="C405" s="598"/>
      <c r="D405" s="598"/>
      <c r="E405" s="1124"/>
      <c r="F405" s="598"/>
      <c r="G405" s="1124"/>
      <c r="H405" s="598"/>
      <c r="I405" s="1124"/>
      <c r="J405" s="598"/>
      <c r="K405" s="598"/>
      <c r="L405" s="598"/>
      <c r="M405" s="598"/>
      <c r="N405" s="598"/>
      <c r="O405" s="1124"/>
      <c r="P405" s="1125"/>
      <c r="Q405" s="1125"/>
      <c r="R405" s="598"/>
      <c r="S405" s="598"/>
      <c r="T405" s="598"/>
      <c r="U405" s="598"/>
      <c r="V405" s="598"/>
      <c r="W405" s="598"/>
      <c r="X405" s="1124"/>
      <c r="Y405" s="598"/>
      <c r="Z405" s="598"/>
      <c r="AA405" s="598"/>
      <c r="AB405" s="598"/>
      <c r="AC405" s="598"/>
      <c r="AD405" s="598"/>
      <c r="AE405" s="1124"/>
      <c r="AF405" s="1125"/>
      <c r="AG405" s="1125"/>
      <c r="AH405" s="598"/>
      <c r="AI405" s="598"/>
      <c r="AJ405" s="598"/>
      <c r="AK405" s="598"/>
      <c r="AL405" s="598"/>
      <c r="AM405" s="598"/>
      <c r="AN405" s="1124"/>
      <c r="AP405" s="1196"/>
      <c r="AQ405" s="735"/>
      <c r="AR405" s="1198"/>
      <c r="AS405" s="1196"/>
      <c r="AT405" s="735"/>
      <c r="AU405" s="1198"/>
      <c r="AV405" s="1199"/>
      <c r="AW405" s="1200"/>
      <c r="AX405" s="499"/>
      <c r="AY405" s="1221"/>
      <c r="AZ405" s="1200"/>
      <c r="BA405" s="740"/>
      <c r="BB405" s="499"/>
      <c r="BC405" s="740"/>
      <c r="BD405" s="499"/>
      <c r="BE405" s="499"/>
      <c r="BF405" s="499"/>
      <c r="BG405" s="499"/>
      <c r="BH405" s="487"/>
    </row>
    <row r="406" spans="1:60" ht="13.5" hidden="1" customHeight="1" outlineLevel="1">
      <c r="A406" s="598" t="s">
        <v>527</v>
      </c>
      <c r="B406" s="1157" t="s">
        <v>514</v>
      </c>
      <c r="C406" s="598"/>
      <c r="D406" s="1120">
        <f>(S406/S399-1)*100</f>
        <v>31.811910149566746</v>
      </c>
      <c r="E406" s="1124" t="s">
        <v>190</v>
      </c>
      <c r="F406" s="1158">
        <f>'SegP&amp;L'!AE88</f>
        <v>8</v>
      </c>
      <c r="G406" s="1124" t="s">
        <v>190</v>
      </c>
      <c r="H406" s="1120">
        <f>D406-F406</f>
        <v>23.811910149566746</v>
      </c>
      <c r="I406" s="1124" t="s">
        <v>190</v>
      </c>
      <c r="J406" s="598">
        <f>Stores!AF105</f>
        <v>76</v>
      </c>
      <c r="K406" s="598" t="s">
        <v>315</v>
      </c>
      <c r="L406" s="1128">
        <f>AVERAGE(J406,J402)</f>
        <v>75</v>
      </c>
      <c r="M406" s="598"/>
      <c r="N406" s="1120">
        <f>(L406/L399-1)*100</f>
        <v>35.13513513513513</v>
      </c>
      <c r="O406" s="1124" t="s">
        <v>190</v>
      </c>
      <c r="P406" s="1159">
        <f>H406/N406*100</f>
        <v>67.772359656459216</v>
      </c>
      <c r="Q406" s="1125" t="s">
        <v>190</v>
      </c>
      <c r="R406" s="598"/>
      <c r="S406" s="1160">
        <f>'SegP&amp;L'!AC88</f>
        <v>95.531999999999996</v>
      </c>
      <c r="T406" s="598" t="s">
        <v>315</v>
      </c>
      <c r="U406" s="1161">
        <f>S406/L406</f>
        <v>1.27376</v>
      </c>
      <c r="V406" s="598"/>
      <c r="W406" s="1176">
        <f>(U406/U399-1)*100</f>
        <v>-2.4591864893205972</v>
      </c>
      <c r="X406" s="1124" t="s">
        <v>190</v>
      </c>
      <c r="Y406" s="598"/>
      <c r="Z406" s="1129">
        <f>Stores!AI105</f>
        <v>1.966</v>
      </c>
      <c r="AA406" s="598" t="s">
        <v>315</v>
      </c>
      <c r="AB406" s="1163">
        <f>AVERAGE(Z406,Z402)</f>
        <v>1.9415</v>
      </c>
      <c r="AC406" s="598"/>
      <c r="AD406" s="1120">
        <f>(AB406/AB399-1)*100</f>
        <v>39.927927927927918</v>
      </c>
      <c r="AE406" s="1124" t="s">
        <v>190</v>
      </c>
      <c r="AF406" s="1159">
        <f>+H406/AD406*100</f>
        <v>59.637229842100851</v>
      </c>
      <c r="AG406" s="1125" t="s">
        <v>190</v>
      </c>
      <c r="AH406" s="598"/>
      <c r="AI406" s="1160">
        <f>+S406</f>
        <v>95.531999999999996</v>
      </c>
      <c r="AJ406" s="598" t="s">
        <v>315</v>
      </c>
      <c r="AK406" s="1164">
        <f>AI406/AB406</f>
        <v>49.205253669842904</v>
      </c>
      <c r="AL406" s="598"/>
      <c r="AM406" s="1176">
        <f>(AK406/AK399-1)*100</f>
        <v>-5.8001414717878568</v>
      </c>
      <c r="AN406" s="1124" t="s">
        <v>190</v>
      </c>
      <c r="AP406" s="562"/>
      <c r="AQ406" s="1198"/>
      <c r="AR406" s="487"/>
      <c r="AS406" s="562"/>
      <c r="AT406" s="1198"/>
      <c r="AU406" s="487"/>
      <c r="AV406" s="1199"/>
      <c r="AW406" s="1200"/>
      <c r="AX406" s="499"/>
      <c r="AY406" s="1221"/>
      <c r="AZ406" s="1200"/>
      <c r="BA406" s="740"/>
      <c r="BB406" s="499"/>
      <c r="BC406" s="740"/>
      <c r="BD406" s="499"/>
      <c r="BE406" s="499"/>
      <c r="BF406" s="499"/>
      <c r="BG406" s="499"/>
      <c r="BH406" s="487"/>
    </row>
    <row r="407" spans="1:60" ht="13.5" hidden="1" customHeight="1" outlineLevel="1">
      <c r="A407" s="598" t="s">
        <v>528</v>
      </c>
      <c r="B407" s="1157" t="s">
        <v>515</v>
      </c>
      <c r="C407" s="598"/>
      <c r="D407" s="1120">
        <f>(S407/S400-1)*100</f>
        <v>30.95427435387672</v>
      </c>
      <c r="E407" s="598"/>
      <c r="F407" s="1158">
        <f>'SegP&amp;L'!AE89</f>
        <v>8</v>
      </c>
      <c r="G407" s="598"/>
      <c r="H407" s="1120">
        <f>D407-F407</f>
        <v>22.95427435387672</v>
      </c>
      <c r="I407" s="598"/>
      <c r="J407" s="598">
        <f>Stores!AF106</f>
        <v>83</v>
      </c>
      <c r="K407" s="1127"/>
      <c r="L407" s="1128">
        <f>AVERAGE(J407,J406)</f>
        <v>79.5</v>
      </c>
      <c r="M407" s="598"/>
      <c r="N407" s="1120">
        <f>(L407/L400-1)*100</f>
        <v>31.404958677685958</v>
      </c>
      <c r="O407" s="1124"/>
      <c r="P407" s="1159">
        <f>H407/N407*100</f>
        <v>73.091242021554805</v>
      </c>
      <c r="Q407" s="1125"/>
      <c r="R407" s="598"/>
      <c r="S407" s="1165">
        <f>'SegP&amp;L'!AC89</f>
        <v>111.979</v>
      </c>
      <c r="T407" s="598"/>
      <c r="U407" s="1166">
        <f>S407/L407</f>
        <v>1.4085408805031447</v>
      </c>
      <c r="V407" s="598"/>
      <c r="W407" s="1176">
        <f>(U407/U400-1)*100</f>
        <v>-0.34297360491141182</v>
      </c>
      <c r="X407" s="1124"/>
      <c r="Y407" s="598"/>
      <c r="Z407" s="1129">
        <f>Stores!AI106</f>
        <v>2.2149999999999999</v>
      </c>
      <c r="AA407" s="1127"/>
      <c r="AB407" s="1163">
        <f>AVERAGE(Z407,Z406)</f>
        <v>2.0905</v>
      </c>
      <c r="AC407" s="598"/>
      <c r="AD407" s="1120">
        <f>(AB407/AB400-1)*100</f>
        <v>37.442472057856691</v>
      </c>
      <c r="AE407" s="1124"/>
      <c r="AF407" s="1159">
        <f>+H407/AD407*100</f>
        <v>61.305445640467916</v>
      </c>
      <c r="AG407" s="1125"/>
      <c r="AH407" s="598"/>
      <c r="AI407" s="1165">
        <f>+S407</f>
        <v>111.979</v>
      </c>
      <c r="AJ407" s="598"/>
      <c r="AK407" s="1167">
        <f>AI407/AB407</f>
        <v>53.565654149724942</v>
      </c>
      <c r="AL407" s="598"/>
      <c r="AM407" s="1176">
        <f>(AK407/AK400-1)*100</f>
        <v>-4.7206642945484489</v>
      </c>
      <c r="AN407" s="1124"/>
      <c r="AP407" s="562"/>
      <c r="AQ407" s="1198"/>
      <c r="AR407" s="1198"/>
      <c r="AS407" s="562"/>
      <c r="AT407" s="1198"/>
      <c r="AU407" s="1198"/>
      <c r="AV407" s="1199"/>
      <c r="AW407" s="1200"/>
      <c r="AX407" s="499"/>
      <c r="AY407" s="1221"/>
      <c r="AZ407" s="499"/>
      <c r="BA407" s="740"/>
      <c r="BB407" s="499"/>
      <c r="BC407" s="740"/>
      <c r="BD407" s="499"/>
      <c r="BE407" s="499"/>
      <c r="BF407" s="499"/>
      <c r="BG407" s="499"/>
      <c r="BH407" s="487"/>
    </row>
    <row r="408" spans="1:60" ht="13.5" hidden="1" customHeight="1" outlineLevel="1">
      <c r="A408" s="598" t="s">
        <v>529</v>
      </c>
      <c r="B408" s="1157" t="s">
        <v>516</v>
      </c>
      <c r="C408" s="598"/>
      <c r="D408" s="1120">
        <f>(S408/S401-1)*100</f>
        <v>31.243051153898094</v>
      </c>
      <c r="E408" s="598"/>
      <c r="F408" s="1158">
        <f>'SegP&amp;L'!AE90</f>
        <v>0</v>
      </c>
      <c r="G408" s="598"/>
      <c r="H408" s="1120">
        <f>D408-F408</f>
        <v>31.243051153898094</v>
      </c>
      <c r="I408" s="598"/>
      <c r="J408" s="598">
        <f>Stores!AF107</f>
        <v>99</v>
      </c>
      <c r="K408" s="1127"/>
      <c r="L408" s="1128">
        <f>AVERAGE(J408,J407)</f>
        <v>91</v>
      </c>
      <c r="M408" s="598"/>
      <c r="N408" s="1120">
        <f>(L408/L401-1)*100</f>
        <v>33.823529411764696</v>
      </c>
      <c r="O408" s="1124"/>
      <c r="P408" s="1159">
        <f>H408/N408*100</f>
        <v>92.370759933263955</v>
      </c>
      <c r="Q408" s="1125"/>
      <c r="R408" s="598"/>
      <c r="S408" s="1165">
        <f>'SegP&amp;L'!AC90</f>
        <v>126.307</v>
      </c>
      <c r="T408" s="598"/>
      <c r="U408" s="1166">
        <f>S408/L408</f>
        <v>1.387989010989011</v>
      </c>
      <c r="V408" s="598"/>
      <c r="W408" s="1176">
        <f>(U408/U401-1)*100</f>
        <v>-1.9282694674167988</v>
      </c>
      <c r="X408" s="1124"/>
      <c r="Y408" s="598"/>
      <c r="Z408" s="1129">
        <f>Stores!AI107</f>
        <v>2.6429999999999998</v>
      </c>
      <c r="AA408" s="1127"/>
      <c r="AB408" s="1163">
        <f>AVERAGE(Z408,Z407)</f>
        <v>2.4289999999999998</v>
      </c>
      <c r="AC408" s="598"/>
      <c r="AD408" s="1120">
        <f>(AB408/AB401-1)*100</f>
        <v>41.015965166908551</v>
      </c>
      <c r="AE408" s="1124"/>
      <c r="AF408" s="1159">
        <f>+H408/AD408*100</f>
        <v>76.1729024948188</v>
      </c>
      <c r="AG408" s="1125"/>
      <c r="AH408" s="598"/>
      <c r="AI408" s="1165">
        <f>+S408</f>
        <v>126.307</v>
      </c>
      <c r="AJ408" s="598"/>
      <c r="AK408" s="1167">
        <f>AI408/AB408</f>
        <v>51.999588307945665</v>
      </c>
      <c r="AL408" s="598"/>
      <c r="AM408" s="1176">
        <f>(AK408/AK401-1)*100</f>
        <v>-6.9303599783492986</v>
      </c>
      <c r="AN408" s="1124"/>
      <c r="AP408" s="562"/>
      <c r="AQ408" s="1198"/>
      <c r="AR408" s="1198"/>
      <c r="AS408" s="562"/>
      <c r="AT408" s="1198"/>
      <c r="AU408" s="1198"/>
      <c r="AV408" s="1199"/>
      <c r="AW408" s="1200"/>
      <c r="AX408" s="499"/>
      <c r="AY408" s="1221"/>
      <c r="AZ408" s="499"/>
      <c r="BA408" s="740"/>
      <c r="BB408" s="499"/>
      <c r="BC408" s="740"/>
      <c r="BD408" s="499"/>
      <c r="BE408" s="499"/>
      <c r="BF408" s="499"/>
      <c r="BG408" s="499"/>
      <c r="BH408" s="487"/>
    </row>
    <row r="409" spans="1:60" ht="13.5" hidden="1" customHeight="1" outlineLevel="1">
      <c r="A409" s="598" t="s">
        <v>530</v>
      </c>
      <c r="B409" s="1157" t="s">
        <v>517</v>
      </c>
      <c r="C409" s="598"/>
      <c r="D409" s="1168">
        <f>(S409/S402-1)*100</f>
        <v>38.471636123615951</v>
      </c>
      <c r="E409" s="598"/>
      <c r="F409" s="1178">
        <f>'SegP&amp;L'!AE91</f>
        <v>5</v>
      </c>
      <c r="G409" s="598"/>
      <c r="H409" s="1168">
        <f>D409-F409</f>
        <v>33.471636123615951</v>
      </c>
      <c r="I409" s="598"/>
      <c r="J409" s="598">
        <f>yrSales!M$204</f>
        <v>101</v>
      </c>
      <c r="K409" s="1127"/>
      <c r="L409" s="1171">
        <f>AVERAGE(J409,J408)</f>
        <v>100</v>
      </c>
      <c r="M409" s="598"/>
      <c r="N409" s="1168">
        <f>(L409/L402-1)*100</f>
        <v>36.986301369863007</v>
      </c>
      <c r="O409" s="1124"/>
      <c r="P409" s="1171">
        <f>H409/N409*100</f>
        <v>90.497386556443146</v>
      </c>
      <c r="Q409" s="1125"/>
      <c r="R409" s="598"/>
      <c r="S409" s="1172">
        <f>'SegP&amp;L'!AC91</f>
        <v>186.71100000000001</v>
      </c>
      <c r="T409" s="598"/>
      <c r="U409" s="1173">
        <f>S409/L409</f>
        <v>1.86711</v>
      </c>
      <c r="V409" s="598"/>
      <c r="W409" s="1169">
        <f>(U409/U402-1)*100</f>
        <v>1.0842943702396246</v>
      </c>
      <c r="X409" s="1124"/>
      <c r="Y409" s="598"/>
      <c r="Z409" s="1129">
        <f>yrSales!M$214</f>
        <v>2.6709999999999998</v>
      </c>
      <c r="AA409" s="1127"/>
      <c r="AB409" s="1174">
        <f>AVERAGE(Z409,Z408)</f>
        <v>2.657</v>
      </c>
      <c r="AC409" s="598"/>
      <c r="AD409" s="1168">
        <f>(AB409/AB402-1)*100</f>
        <v>41.895861148197589</v>
      </c>
      <c r="AE409" s="1124"/>
      <c r="AF409" s="1171">
        <f>+H409/AD409*100</f>
        <v>79.892464807483606</v>
      </c>
      <c r="AG409" s="1125"/>
      <c r="AH409" s="598"/>
      <c r="AI409" s="1172">
        <f>+S409</f>
        <v>186.71100000000001</v>
      </c>
      <c r="AJ409" s="598"/>
      <c r="AK409" s="1175">
        <f>AI409/AB409</f>
        <v>70.27135867519759</v>
      </c>
      <c r="AL409" s="598"/>
      <c r="AM409" s="1169">
        <f>(AK409/AK402-1)*100</f>
        <v>-2.4131958443843304</v>
      </c>
      <c r="AN409" s="1124"/>
      <c r="AP409" s="1201"/>
      <c r="AQ409" s="1202"/>
      <c r="AR409" s="487"/>
      <c r="AS409" s="1201"/>
      <c r="AT409" s="1202"/>
      <c r="AU409" s="487"/>
      <c r="AV409" s="499"/>
      <c r="AW409" s="499"/>
      <c r="AX409" s="499"/>
      <c r="AY409" s="1221"/>
      <c r="AZ409" s="499"/>
      <c r="BA409" s="499"/>
      <c r="BB409" s="499"/>
      <c r="BC409" s="499"/>
      <c r="BD409" s="499"/>
      <c r="BE409" s="499"/>
      <c r="BF409" s="499"/>
      <c r="BG409" s="499"/>
      <c r="BH409" s="487"/>
    </row>
    <row r="410" spans="1:60" ht="13.5" hidden="1" customHeight="1" outlineLevel="1">
      <c r="A410" s="598"/>
      <c r="B410" s="1157" t="s">
        <v>531</v>
      </c>
      <c r="C410" s="598"/>
      <c r="D410" s="1120">
        <f>(S410/S403-1)*100</f>
        <v>33.790758285311838</v>
      </c>
      <c r="E410" s="598"/>
      <c r="F410" s="1158">
        <f>'SegP&amp;L'!AE92</f>
        <v>5</v>
      </c>
      <c r="G410" s="598"/>
      <c r="H410" s="1120">
        <f>D410-F410</f>
        <v>28.790758285311838</v>
      </c>
      <c r="I410" s="598"/>
      <c r="J410" s="598"/>
      <c r="K410" s="598"/>
      <c r="L410" s="1128">
        <f>AVERAGE(L406:L409)</f>
        <v>86.375</v>
      </c>
      <c r="M410" s="598"/>
      <c r="N410" s="1120">
        <f>(L410/L403-1)*100</f>
        <v>34.435797665369662</v>
      </c>
      <c r="O410" s="1124"/>
      <c r="P410" s="1159">
        <f>H410/N410*100</f>
        <v>83.607060783334902</v>
      </c>
      <c r="Q410" s="1125"/>
      <c r="R410" s="598"/>
      <c r="S410" s="1160">
        <f>yrSales!M$194</f>
        <v>520.529</v>
      </c>
      <c r="T410" s="598"/>
      <c r="U410" s="1161">
        <f>SUM(U406:U409)</f>
        <v>5.9373998914921557</v>
      </c>
      <c r="V410" s="598"/>
      <c r="W410" s="1176">
        <f>(U410/U403-1)*100</f>
        <v>-1.9493183532776293</v>
      </c>
      <c r="X410" s="1124"/>
      <c r="Y410" s="598"/>
      <c r="Z410" s="598"/>
      <c r="AA410" s="598"/>
      <c r="AB410" s="1163">
        <f>AVERAGE(AB406:AB409)</f>
        <v>2.2795000000000001</v>
      </c>
      <c r="AC410" s="598"/>
      <c r="AD410" s="1120">
        <f>(AB410/AB403-1)*100</f>
        <v>40.201429999231173</v>
      </c>
      <c r="AE410" s="1124"/>
      <c r="AF410" s="1159">
        <f>+H410/AD410*100</f>
        <v>71.616254162756007</v>
      </c>
      <c r="AG410" s="1125"/>
      <c r="AH410" s="598"/>
      <c r="AI410" s="1160">
        <f>SUM(AI406:AI409)</f>
        <v>520.529</v>
      </c>
      <c r="AJ410" s="598"/>
      <c r="AK410" s="1164">
        <f>SUM(AK406:AK409)</f>
        <v>225.0418548027111</v>
      </c>
      <c r="AL410" s="598"/>
      <c r="AM410" s="1176">
        <f>(AK410/AK403-1)*100</f>
        <v>-4.7785786776389667</v>
      </c>
      <c r="AN410" s="1124"/>
      <c r="AP410" s="562"/>
      <c r="AQ410" s="1198"/>
      <c r="AR410" s="487"/>
      <c r="AS410" s="562"/>
      <c r="AT410" s="1198"/>
      <c r="AU410" s="487"/>
      <c r="AV410" s="499"/>
      <c r="AW410" s="499"/>
      <c r="AX410" s="499"/>
      <c r="AY410" s="1221"/>
      <c r="AZ410" s="499"/>
      <c r="BA410" s="499"/>
      <c r="BB410" s="499"/>
      <c r="BC410" s="499"/>
      <c r="BD410" s="499"/>
      <c r="BE410" s="499"/>
      <c r="BF410" s="499"/>
      <c r="BG410" s="499"/>
      <c r="BH410" s="701"/>
    </row>
    <row r="411" spans="1:60" ht="13.5" hidden="1" customHeight="1" outlineLevel="1" thickBot="1">
      <c r="A411" s="598"/>
      <c r="B411" s="1157"/>
      <c r="C411" s="598"/>
      <c r="D411" s="598"/>
      <c r="E411" s="598"/>
      <c r="F411" s="598"/>
      <c r="G411" s="598"/>
      <c r="H411" s="598"/>
      <c r="I411" s="598"/>
      <c r="J411" s="598"/>
      <c r="K411" s="598"/>
      <c r="L411" s="598"/>
      <c r="M411" s="598"/>
      <c r="N411" s="598"/>
      <c r="O411" s="1124"/>
      <c r="P411" s="598"/>
      <c r="Q411" s="598"/>
      <c r="R411" s="598"/>
      <c r="S411" s="598"/>
      <c r="T411" s="598"/>
      <c r="U411" s="598"/>
      <c r="V411" s="598"/>
      <c r="W411" s="598"/>
      <c r="X411" s="598"/>
      <c r="Y411" s="598"/>
      <c r="Z411" s="598"/>
      <c r="AA411" s="598"/>
      <c r="AB411" s="598"/>
      <c r="AC411" s="598"/>
      <c r="AD411" s="598"/>
      <c r="AE411" s="1124"/>
      <c r="AF411" s="598"/>
      <c r="AG411" s="598"/>
      <c r="AH411" s="598"/>
      <c r="AI411" s="598"/>
      <c r="AJ411" s="598"/>
      <c r="AK411" s="598"/>
      <c r="AL411" s="598"/>
      <c r="AM411" s="598"/>
      <c r="AN411" s="598"/>
      <c r="AP411" s="487"/>
      <c r="AQ411" s="487"/>
      <c r="AR411" s="487"/>
      <c r="AS411" s="487"/>
      <c r="AT411" s="487"/>
      <c r="AU411" s="487"/>
      <c r="AV411" s="499"/>
      <c r="AW411" s="499"/>
      <c r="AX411" s="499"/>
      <c r="AY411" s="1221"/>
      <c r="AZ411" s="499"/>
      <c r="BA411" s="499"/>
      <c r="BB411" s="499"/>
      <c r="BC411" s="499"/>
      <c r="BD411" s="499"/>
      <c r="BE411" s="499"/>
      <c r="BF411" s="499"/>
      <c r="BG411" s="499"/>
      <c r="BH411" s="701"/>
    </row>
    <row r="412" spans="1:60" ht="13.5" hidden="1" customHeight="1" outlineLevel="1" collapsed="1" thickBot="1">
      <c r="A412" s="1154"/>
      <c r="B412" s="1155">
        <v>2002</v>
      </c>
      <c r="C412" s="598"/>
      <c r="D412" s="598"/>
      <c r="E412" s="1124"/>
      <c r="F412" s="598"/>
      <c r="G412" s="1124"/>
      <c r="H412" s="598"/>
      <c r="I412" s="1124"/>
      <c r="J412" s="598"/>
      <c r="K412" s="598"/>
      <c r="L412" s="598"/>
      <c r="M412" s="598"/>
      <c r="N412" s="598"/>
      <c r="O412" s="1124"/>
      <c r="P412" s="1125"/>
      <c r="Q412" s="1125"/>
      <c r="R412" s="598"/>
      <c r="S412" s="598"/>
      <c r="T412" s="598"/>
      <c r="U412" s="598"/>
      <c r="V412" s="598"/>
      <c r="W412" s="598"/>
      <c r="X412" s="1124"/>
      <c r="Y412" s="598"/>
      <c r="Z412" s="598"/>
      <c r="AA412" s="598"/>
      <c r="AB412" s="598"/>
      <c r="AC412" s="598"/>
      <c r="AD412" s="598"/>
      <c r="AE412" s="1124"/>
      <c r="AF412" s="1125"/>
      <c r="AG412" s="1125"/>
      <c r="AH412" s="598"/>
      <c r="AI412" s="598"/>
      <c r="AJ412" s="598"/>
      <c r="AK412" s="598"/>
      <c r="AL412" s="598"/>
      <c r="AM412" s="598"/>
      <c r="AN412" s="1124"/>
      <c r="AP412" s="1196"/>
      <c r="AQ412" s="735"/>
      <c r="AR412" s="487"/>
      <c r="AS412" s="1196"/>
      <c r="AT412" s="735"/>
      <c r="AU412" s="487"/>
      <c r="AV412" s="499"/>
      <c r="AW412" s="499"/>
      <c r="AX412" s="499"/>
      <c r="AY412" s="1221"/>
      <c r="AZ412" s="499"/>
      <c r="BA412" s="499"/>
      <c r="BB412" s="499"/>
      <c r="BC412" s="499"/>
      <c r="BD412" s="499"/>
      <c r="BE412" s="499"/>
      <c r="BF412" s="499"/>
      <c r="BG412" s="499"/>
      <c r="BH412" s="487"/>
    </row>
    <row r="413" spans="1:60" ht="13.5" hidden="1" customHeight="1" outlineLevel="1">
      <c r="A413" s="598" t="s">
        <v>527</v>
      </c>
      <c r="B413" s="1157" t="s">
        <v>514</v>
      </c>
      <c r="C413" s="598"/>
      <c r="D413" s="1120">
        <f>(S413/S406-1)*100</f>
        <v>35.827785454088669</v>
      </c>
      <c r="E413" s="1124" t="s">
        <v>190</v>
      </c>
      <c r="F413" s="1158">
        <f>'SegP&amp;L'!AE95</f>
        <v>5</v>
      </c>
      <c r="G413" s="1124" t="s">
        <v>190</v>
      </c>
      <c r="H413" s="1120">
        <f>D413-F413</f>
        <v>30.827785454088669</v>
      </c>
      <c r="I413" s="1124" t="s">
        <v>190</v>
      </c>
      <c r="J413" s="598">
        <f>Stores!AF113</f>
        <v>105</v>
      </c>
      <c r="K413" s="598" t="s">
        <v>315</v>
      </c>
      <c r="L413" s="1128">
        <f>AVERAGE(J413,J409)</f>
        <v>103</v>
      </c>
      <c r="M413" s="598"/>
      <c r="N413" s="1120">
        <f>(L413/L406-1)*100</f>
        <v>37.333333333333329</v>
      </c>
      <c r="O413" s="1124" t="s">
        <v>190</v>
      </c>
      <c r="P413" s="1159">
        <f>H413/N413*100</f>
        <v>82.574425323451806</v>
      </c>
      <c r="Q413" s="1125" t="s">
        <v>190</v>
      </c>
      <c r="R413" s="598"/>
      <c r="S413" s="1160">
        <f>'SegP&amp;L'!AC95</f>
        <v>129.75899999999999</v>
      </c>
      <c r="T413" s="598" t="s">
        <v>315</v>
      </c>
      <c r="U413" s="1161">
        <f>S413/L413</f>
        <v>1.2597961165048541</v>
      </c>
      <c r="V413" s="598"/>
      <c r="W413" s="1176">
        <f>(U413/U406-1)*100</f>
        <v>-1.0962727276053519</v>
      </c>
      <c r="X413" s="1124" t="s">
        <v>190</v>
      </c>
      <c r="Y413" s="598"/>
      <c r="Z413" s="1129">
        <f>Stores!AI113</f>
        <v>2.7749999999999999</v>
      </c>
      <c r="AA413" s="598" t="s">
        <v>315</v>
      </c>
      <c r="AB413" s="1163">
        <f>AVERAGE(Z413,Z409)</f>
        <v>2.7229999999999999</v>
      </c>
      <c r="AC413" s="598"/>
      <c r="AD413" s="1120">
        <f>(AB413/AB406-1)*100</f>
        <v>40.252382178727771</v>
      </c>
      <c r="AE413" s="1124" t="s">
        <v>190</v>
      </c>
      <c r="AF413" s="1159">
        <f>+H413/AD413*100</f>
        <v>76.586238591315649</v>
      </c>
      <c r="AG413" s="1125" t="s">
        <v>190</v>
      </c>
      <c r="AH413" s="598"/>
      <c r="AI413" s="1160">
        <f>+S413</f>
        <v>129.75899999999999</v>
      </c>
      <c r="AJ413" s="598" t="s">
        <v>315</v>
      </c>
      <c r="AK413" s="1164">
        <f>AI413/AB413</f>
        <v>47.652956298200515</v>
      </c>
      <c r="AL413" s="598"/>
      <c r="AM413" s="1176">
        <f>(AK413/AK406-1)*100</f>
        <v>-3.1547390895654837</v>
      </c>
      <c r="AN413" s="1124" t="s">
        <v>190</v>
      </c>
      <c r="AP413" s="562"/>
      <c r="AQ413" s="1198"/>
      <c r="AR413" s="487"/>
      <c r="AS413" s="562"/>
      <c r="AT413" s="1198"/>
      <c r="AU413" s="487"/>
      <c r="AV413" s="499"/>
      <c r="AW413" s="499"/>
      <c r="AX413" s="499"/>
      <c r="AY413" s="1221"/>
      <c r="AZ413" s="499"/>
      <c r="BA413" s="499"/>
      <c r="BB413" s="499"/>
      <c r="BC413" s="499"/>
      <c r="BD413" s="499"/>
      <c r="BE413" s="499"/>
      <c r="BF413" s="499"/>
      <c r="BG413" s="499"/>
      <c r="BH413" s="487"/>
    </row>
    <row r="414" spans="1:60" ht="13.5" hidden="1" customHeight="1" outlineLevel="1">
      <c r="A414" s="598" t="s">
        <v>528</v>
      </c>
      <c r="B414" s="1157" t="s">
        <v>515</v>
      </c>
      <c r="C414" s="598"/>
      <c r="D414" s="1120">
        <f>(S414/S407-1)*100</f>
        <v>40.672804722314005</v>
      </c>
      <c r="E414" s="598"/>
      <c r="F414" s="1158">
        <f>'SegP&amp;L'!AE96</f>
        <v>4</v>
      </c>
      <c r="G414" s="598"/>
      <c r="H414" s="1120">
        <f>D414-F414</f>
        <v>36.672804722314005</v>
      </c>
      <c r="I414" s="598"/>
      <c r="J414" s="598">
        <f>Stores!AF114</f>
        <v>113</v>
      </c>
      <c r="K414" s="1127"/>
      <c r="L414" s="1128">
        <f>AVERAGE(J414,J413)</f>
        <v>109</v>
      </c>
      <c r="M414" s="598"/>
      <c r="N414" s="1120">
        <f>(L414/L407-1)*100</f>
        <v>37.1069182389937</v>
      </c>
      <c r="O414" s="1124"/>
      <c r="P414" s="1159">
        <f>H414/N414*100</f>
        <v>98.830100861829294</v>
      </c>
      <c r="Q414" s="1125"/>
      <c r="R414" s="598"/>
      <c r="S414" s="1165">
        <f>'SegP&amp;L'!AC96</f>
        <v>157.524</v>
      </c>
      <c r="T414" s="598"/>
      <c r="U414" s="1166">
        <f>S414/L414</f>
        <v>1.4451743119266056</v>
      </c>
      <c r="V414" s="598"/>
      <c r="W414" s="1176">
        <f>(U414/U407-1)*100</f>
        <v>2.6008071139813183</v>
      </c>
      <c r="X414" s="1124"/>
      <c r="Y414" s="598"/>
      <c r="Z414" s="1129">
        <f>Stores!AI114</f>
        <v>2.988</v>
      </c>
      <c r="AA414" s="1127"/>
      <c r="AB414" s="1163">
        <f>AVERAGE(Z414,Z413)</f>
        <v>2.8815</v>
      </c>
      <c r="AC414" s="598"/>
      <c r="AD414" s="1120">
        <f>(AB414/AB407-1)*100</f>
        <v>37.837837837837832</v>
      </c>
      <c r="AE414" s="1124"/>
      <c r="AF414" s="1159">
        <f>+H414/AD414*100</f>
        <v>96.920983908972744</v>
      </c>
      <c r="AG414" s="1125"/>
      <c r="AH414" s="598"/>
      <c r="AI414" s="1165">
        <f>+S414</f>
        <v>157.524</v>
      </c>
      <c r="AJ414" s="598"/>
      <c r="AK414" s="1167">
        <f>AI414/AB414</f>
        <v>54.667360749609578</v>
      </c>
      <c r="AL414" s="598"/>
      <c r="AM414" s="1176">
        <f>(AK414/AK407-1)*100</f>
        <v>2.0567406808944755</v>
      </c>
      <c r="AN414" s="1124"/>
      <c r="AP414" s="562"/>
      <c r="AQ414" s="1198"/>
      <c r="AR414" s="487"/>
      <c r="AS414" s="562"/>
      <c r="AT414" s="1198"/>
      <c r="AU414" s="487"/>
      <c r="AV414" s="499"/>
      <c r="AW414" s="499"/>
      <c r="AX414" s="499"/>
      <c r="AY414" s="1221"/>
      <c r="AZ414" s="499"/>
      <c r="BA414" s="499"/>
      <c r="BB414" s="499"/>
      <c r="BC414" s="499"/>
      <c r="BD414" s="499"/>
      <c r="BE414" s="499"/>
      <c r="BF414" s="499"/>
      <c r="BG414" s="499"/>
      <c r="BH414" s="487"/>
    </row>
    <row r="415" spans="1:60" ht="13.5" hidden="1" customHeight="1" outlineLevel="1">
      <c r="A415" s="598" t="s">
        <v>529</v>
      </c>
      <c r="B415" s="1157" t="s">
        <v>516</v>
      </c>
      <c r="C415" s="598"/>
      <c r="D415" s="1120">
        <f>(S415/S408-1)*100</f>
        <v>46.931682329562108</v>
      </c>
      <c r="E415" s="598"/>
      <c r="F415" s="1158">
        <f>'SegP&amp;L'!AE97</f>
        <v>11</v>
      </c>
      <c r="G415" s="598"/>
      <c r="H415" s="1120">
        <f>D415-F415</f>
        <v>35.931682329562108</v>
      </c>
      <c r="I415" s="598"/>
      <c r="J415" s="598">
        <f>Stores!AF115</f>
        <v>120</v>
      </c>
      <c r="K415" s="1127"/>
      <c r="L415" s="1128">
        <f>AVERAGE(J415,J414)</f>
        <v>116.5</v>
      </c>
      <c r="M415" s="598"/>
      <c r="N415" s="1120">
        <f>(L415/L408-1)*100</f>
        <v>28.021978021978011</v>
      </c>
      <c r="O415" s="1124"/>
      <c r="P415" s="1159">
        <f>H415/N415*100</f>
        <v>128.22678792118248</v>
      </c>
      <c r="Q415" s="1125"/>
      <c r="R415" s="598"/>
      <c r="S415" s="1165">
        <f>'SegP&amp;L'!AC97</f>
        <v>185.58500000000001</v>
      </c>
      <c r="T415" s="598"/>
      <c r="U415" s="1166">
        <f>S415/L415</f>
        <v>1.5930042918454936</v>
      </c>
      <c r="V415" s="598"/>
      <c r="W415" s="1176">
        <f>(U415/U408-1)*100</f>
        <v>14.770670317512025</v>
      </c>
      <c r="X415" s="1124"/>
      <c r="Y415" s="598"/>
      <c r="Z415" s="1129">
        <f>Stores!AI115</f>
        <v>3.165</v>
      </c>
      <c r="AA415" s="1127"/>
      <c r="AB415" s="1163">
        <f>AVERAGE(Z415,Z414)</f>
        <v>3.0765000000000002</v>
      </c>
      <c r="AC415" s="598"/>
      <c r="AD415" s="1120">
        <f>(AB415/AB408-1)*100</f>
        <v>26.657060518732003</v>
      </c>
      <c r="AE415" s="1124"/>
      <c r="AF415" s="1159">
        <f>+H415/AD415*100</f>
        <v>134.79236506333021</v>
      </c>
      <c r="AG415" s="1125"/>
      <c r="AH415" s="598"/>
      <c r="AI415" s="1165">
        <f>+S415</f>
        <v>185.58500000000001</v>
      </c>
      <c r="AJ415" s="598"/>
      <c r="AK415" s="1167">
        <f>AI415/AB415</f>
        <v>60.32341947017715</v>
      </c>
      <c r="AL415" s="598"/>
      <c r="AM415" s="1176">
        <f>(AK415/AK408-1)*100</f>
        <v>16.007494353488138</v>
      </c>
      <c r="AN415" s="1124"/>
      <c r="AP415" s="562"/>
      <c r="AQ415" s="1198"/>
      <c r="AR415" s="487"/>
      <c r="AS415" s="562"/>
      <c r="AT415" s="1198"/>
      <c r="AU415" s="487"/>
      <c r="AV415" s="499"/>
      <c r="AW415" s="499"/>
      <c r="AX415" s="499"/>
      <c r="AY415" s="1221"/>
      <c r="AZ415" s="499"/>
      <c r="BA415" s="499"/>
      <c r="BB415" s="499"/>
      <c r="BC415" s="499"/>
      <c r="BD415" s="499"/>
      <c r="BE415" s="499"/>
      <c r="BF415" s="499"/>
      <c r="BG415" s="499"/>
      <c r="BH415" s="487"/>
    </row>
    <row r="416" spans="1:60" ht="13.5" hidden="1" customHeight="1" outlineLevel="1">
      <c r="A416" s="598" t="s">
        <v>530</v>
      </c>
      <c r="B416" s="1157" t="s">
        <v>517</v>
      </c>
      <c r="C416" s="598"/>
      <c r="D416" s="1168">
        <f>(S416/S409-1)*100</f>
        <v>32.436224967998648</v>
      </c>
      <c r="E416" s="598"/>
      <c r="F416" s="1178">
        <f>'SegP&amp;L'!AE98</f>
        <v>0</v>
      </c>
      <c r="G416" s="598"/>
      <c r="H416" s="1168">
        <f>D416-F416</f>
        <v>32.436224967998648</v>
      </c>
      <c r="I416" s="598"/>
      <c r="J416" s="598">
        <f>yrSales!N$204</f>
        <v>123</v>
      </c>
      <c r="K416" s="1127"/>
      <c r="L416" s="1171">
        <f>AVERAGE(J416,J415)</f>
        <v>121.5</v>
      </c>
      <c r="M416" s="598"/>
      <c r="N416" s="1168">
        <f>(L416/L409-1)*100</f>
        <v>21.500000000000007</v>
      </c>
      <c r="O416" s="1124"/>
      <c r="P416" s="1171">
        <f>H416/N416*100</f>
        <v>150.86616264185412</v>
      </c>
      <c r="Q416" s="1125"/>
      <c r="R416" s="598"/>
      <c r="S416" s="1172">
        <f>'SegP&amp;L'!AC98</f>
        <v>247.273</v>
      </c>
      <c r="T416" s="598"/>
      <c r="U416" s="1173">
        <f>S416/L416</f>
        <v>2.0351687242798353</v>
      </c>
      <c r="V416" s="598"/>
      <c r="W416" s="1169">
        <f>(U416/U409-1)*100</f>
        <v>9.0010082041141359</v>
      </c>
      <c r="X416" s="1124"/>
      <c r="Y416" s="598"/>
      <c r="Z416" s="1129">
        <f>yrSales!N$214</f>
        <v>3.2490000000000001</v>
      </c>
      <c r="AA416" s="1127"/>
      <c r="AB416" s="1174">
        <f>AVERAGE(Z416,Z415)</f>
        <v>3.2069999999999999</v>
      </c>
      <c r="AC416" s="598"/>
      <c r="AD416" s="1168">
        <f>(AB416/AB409-1)*100</f>
        <v>20.700037636432068</v>
      </c>
      <c r="AE416" s="1124"/>
      <c r="AF416" s="1171">
        <f>+H416/AD416*100</f>
        <v>156.69645407267708</v>
      </c>
      <c r="AG416" s="1125"/>
      <c r="AH416" s="598"/>
      <c r="AI416" s="1172">
        <f>+S416</f>
        <v>247.273</v>
      </c>
      <c r="AJ416" s="598"/>
      <c r="AK416" s="1175">
        <f>AI416/AB416</f>
        <v>77.104147178048024</v>
      </c>
      <c r="AL416" s="598"/>
      <c r="AM416" s="1169">
        <f>(AK416/AK409-1)*100</f>
        <v>9.7234330339795783</v>
      </c>
      <c r="AN416" s="1124"/>
      <c r="AP416" s="1201"/>
      <c r="AQ416" s="1202"/>
      <c r="AR416" s="487"/>
      <c r="AS416" s="1201"/>
      <c r="AT416" s="1202"/>
      <c r="AU416" s="487"/>
      <c r="AV416" s="499"/>
      <c r="AW416" s="499"/>
      <c r="AX416" s="499"/>
      <c r="AY416" s="1221"/>
      <c r="AZ416" s="499"/>
      <c r="BA416" s="499"/>
      <c r="BB416" s="499"/>
      <c r="BC416" s="499"/>
      <c r="BD416" s="499"/>
      <c r="BE416" s="499"/>
      <c r="BF416" s="499"/>
      <c r="BG416" s="499"/>
      <c r="BH416" s="487"/>
    </row>
    <row r="417" spans="1:60" ht="13.5" hidden="1" customHeight="1" outlineLevel="1">
      <c r="A417" s="598"/>
      <c r="B417" s="1157" t="s">
        <v>531</v>
      </c>
      <c r="C417" s="598"/>
      <c r="D417" s="1120">
        <f>(S417/S410-1)*100</f>
        <v>38.347911451619424</v>
      </c>
      <c r="E417" s="598"/>
      <c r="F417" s="1158">
        <f>'SegP&amp;L'!AE99</f>
        <v>5</v>
      </c>
      <c r="G417" s="598"/>
      <c r="H417" s="1120">
        <f>D417-F417</f>
        <v>33.347911451619424</v>
      </c>
      <c r="I417" s="598"/>
      <c r="J417" s="598"/>
      <c r="K417" s="598"/>
      <c r="L417" s="1128">
        <f>AVERAGE(L413:L416)</f>
        <v>112.5</v>
      </c>
      <c r="M417" s="598"/>
      <c r="N417" s="1120">
        <f>(L417/L410-1)*100</f>
        <v>30.246020260492035</v>
      </c>
      <c r="O417" s="1124"/>
      <c r="P417" s="1159">
        <f>H417/N417*100</f>
        <v>110.25553499076088</v>
      </c>
      <c r="Q417" s="1125"/>
      <c r="R417" s="598"/>
      <c r="S417" s="1160">
        <f>SUM(S413:S416)</f>
        <v>720.14100000000008</v>
      </c>
      <c r="T417" s="598"/>
      <c r="U417" s="1161">
        <f>SUM(U413:U416)</f>
        <v>6.3331434445567876</v>
      </c>
      <c r="V417" s="598"/>
      <c r="W417" s="1176">
        <f>(U417/U410-1)*100</f>
        <v>6.6652669568661338</v>
      </c>
      <c r="X417" s="1124"/>
      <c r="Y417" s="598"/>
      <c r="Z417" s="598"/>
      <c r="AA417" s="598"/>
      <c r="AB417" s="1163">
        <f>AVERAGE(AB413:AB416)</f>
        <v>2.9720000000000004</v>
      </c>
      <c r="AC417" s="598"/>
      <c r="AD417" s="1120">
        <f>(AB417/AB410-1)*100</f>
        <v>30.379469181838136</v>
      </c>
      <c r="AE417" s="1124"/>
      <c r="AF417" s="1159">
        <f>+H417/AD417*100</f>
        <v>109.77121177468079</v>
      </c>
      <c r="AG417" s="1125"/>
      <c r="AH417" s="598"/>
      <c r="AI417" s="1160">
        <f>SUM(AI413:AI416)</f>
        <v>720.14100000000008</v>
      </c>
      <c r="AJ417" s="598"/>
      <c r="AK417" s="1164">
        <f>SUM(AK413:AK416)</f>
        <v>239.74788369603527</v>
      </c>
      <c r="AL417" s="598"/>
      <c r="AM417" s="1176">
        <f>(AK417/AK410-1)*100</f>
        <v>6.5347972297049362</v>
      </c>
      <c r="AN417" s="1124"/>
      <c r="AP417" s="562"/>
      <c r="AQ417" s="1198"/>
      <c r="AR417" s="487"/>
      <c r="AS417" s="562"/>
      <c r="AT417" s="1198"/>
      <c r="AU417" s="487"/>
      <c r="AV417" s="499"/>
      <c r="AW417" s="499"/>
      <c r="AX417" s="499"/>
      <c r="AY417" s="1221"/>
      <c r="AZ417" s="499"/>
      <c r="BA417" s="499"/>
      <c r="BB417" s="499"/>
      <c r="BC417" s="499"/>
      <c r="BD417" s="499"/>
      <c r="BE417" s="499"/>
      <c r="BF417" s="499"/>
      <c r="BG417" s="499"/>
      <c r="BH417" s="701"/>
    </row>
    <row r="418" spans="1:60" ht="13.5" hidden="1" customHeight="1" outlineLevel="1" thickBot="1">
      <c r="A418" s="598"/>
      <c r="B418" s="1157"/>
      <c r="C418" s="598"/>
      <c r="D418" s="598"/>
      <c r="E418" s="598"/>
      <c r="F418" s="598"/>
      <c r="G418" s="598"/>
      <c r="H418" s="598"/>
      <c r="I418" s="598"/>
      <c r="J418" s="598"/>
      <c r="K418" s="598"/>
      <c r="L418" s="598"/>
      <c r="M418" s="598"/>
      <c r="N418" s="598"/>
      <c r="O418" s="1124"/>
      <c r="P418" s="598"/>
      <c r="Q418" s="598"/>
      <c r="R418" s="598"/>
      <c r="S418" s="598"/>
      <c r="T418" s="598"/>
      <c r="U418" s="598"/>
      <c r="V418" s="598"/>
      <c r="W418" s="598"/>
      <c r="X418" s="598"/>
      <c r="Y418" s="598"/>
      <c r="Z418" s="598"/>
      <c r="AA418" s="598"/>
      <c r="AB418" s="598"/>
      <c r="AC418" s="598"/>
      <c r="AD418" s="598"/>
      <c r="AE418" s="1124"/>
      <c r="AF418" s="598"/>
      <c r="AG418" s="598"/>
      <c r="AH418" s="598"/>
      <c r="AI418" s="598"/>
      <c r="AJ418" s="598"/>
      <c r="AK418" s="598"/>
      <c r="AL418" s="598"/>
      <c r="AM418" s="598"/>
      <c r="AN418" s="598"/>
      <c r="AP418" s="562"/>
      <c r="AQ418" s="1198"/>
      <c r="AR418" s="487"/>
      <c r="AS418" s="562"/>
      <c r="AT418" s="1198"/>
      <c r="AU418" s="487"/>
      <c r="AV418" s="499"/>
      <c r="AW418" s="499"/>
      <c r="AX418" s="499"/>
      <c r="AY418" s="1221"/>
      <c r="AZ418" s="499"/>
      <c r="BA418" s="499"/>
      <c r="BB418" s="499"/>
      <c r="BC418" s="499"/>
      <c r="BD418" s="499"/>
      <c r="BE418" s="499"/>
      <c r="BF418" s="499"/>
      <c r="BG418" s="499"/>
      <c r="BH418" s="701"/>
    </row>
    <row r="419" spans="1:60" ht="13.5" hidden="1" customHeight="1" outlineLevel="1" thickBot="1">
      <c r="A419" s="1154"/>
      <c r="B419" s="1155">
        <v>2003</v>
      </c>
      <c r="C419" s="598"/>
      <c r="D419" s="598"/>
      <c r="E419" s="1124"/>
      <c r="F419" s="598"/>
      <c r="G419" s="1124"/>
      <c r="H419" s="598"/>
      <c r="I419" s="1124"/>
      <c r="J419" s="598"/>
      <c r="K419" s="598"/>
      <c r="L419" s="598"/>
      <c r="M419" s="598"/>
      <c r="N419" s="598"/>
      <c r="O419" s="1124"/>
      <c r="P419" s="1125"/>
      <c r="Q419" s="1125"/>
      <c r="R419" s="598"/>
      <c r="S419" s="598"/>
      <c r="T419" s="598"/>
      <c r="U419" s="598"/>
      <c r="V419" s="598"/>
      <c r="W419" s="598"/>
      <c r="X419" s="1124"/>
      <c r="Y419" s="598"/>
      <c r="Z419" s="598"/>
      <c r="AA419" s="598"/>
      <c r="AB419" s="598"/>
      <c r="AC419" s="598"/>
      <c r="AD419" s="598"/>
      <c r="AE419" s="1124"/>
      <c r="AF419" s="1125"/>
      <c r="AG419" s="1125"/>
      <c r="AH419" s="598"/>
      <c r="AI419" s="598"/>
      <c r="AJ419" s="598"/>
      <c r="AK419" s="598"/>
      <c r="AL419" s="598"/>
      <c r="AM419" s="598"/>
      <c r="AN419" s="1124"/>
      <c r="AP419" s="1196"/>
      <c r="AQ419" s="735"/>
      <c r="AR419" s="487"/>
      <c r="AS419" s="1196"/>
      <c r="AT419" s="735"/>
      <c r="AU419" s="487"/>
      <c r="AV419" s="499"/>
      <c r="AW419" s="499"/>
      <c r="AX419" s="499"/>
      <c r="AY419" s="1221"/>
      <c r="AZ419" s="499"/>
      <c r="BA419" s="499"/>
      <c r="BB419" s="499"/>
      <c r="BC419" s="499"/>
      <c r="BD419" s="499"/>
      <c r="BE419" s="499"/>
      <c r="BF419" s="499"/>
      <c r="BG419" s="499"/>
      <c r="BH419" s="487"/>
    </row>
    <row r="420" spans="1:60" ht="13.5" hidden="1" customHeight="1" outlineLevel="1">
      <c r="A420" s="598" t="s">
        <v>527</v>
      </c>
      <c r="B420" s="1157" t="s">
        <v>514</v>
      </c>
      <c r="C420" s="598"/>
      <c r="D420" s="1120">
        <f>(S420/S413-1)*100</f>
        <v>36.601700074753964</v>
      </c>
      <c r="E420" s="1124" t="s">
        <v>190</v>
      </c>
      <c r="F420" s="1205">
        <f>'SegP&amp;L'!AE102</f>
        <v>8</v>
      </c>
      <c r="G420" s="1124" t="s">
        <v>190</v>
      </c>
      <c r="H420" s="1120">
        <f>D420-F420</f>
        <v>28.601700074753964</v>
      </c>
      <c r="I420" s="1124" t="s">
        <v>190</v>
      </c>
      <c r="J420" s="598">
        <f>Stores!AF121</f>
        <v>123</v>
      </c>
      <c r="K420" s="598" t="s">
        <v>315</v>
      </c>
      <c r="L420" s="1128">
        <f>AVERAGE(J420,J416)</f>
        <v>123</v>
      </c>
      <c r="M420" s="598"/>
      <c r="N420" s="1120">
        <f>(L420/L413-1)*100</f>
        <v>19.417475728155331</v>
      </c>
      <c r="O420" s="1124" t="s">
        <v>190</v>
      </c>
      <c r="P420" s="1159">
        <f>H420/N420*100</f>
        <v>147.298755384983</v>
      </c>
      <c r="Q420" s="1125" t="s">
        <v>190</v>
      </c>
      <c r="R420" s="598"/>
      <c r="S420" s="1160">
        <f>'SegP&amp;L'!AC102</f>
        <v>177.25299999999999</v>
      </c>
      <c r="T420" s="598" t="s">
        <v>315</v>
      </c>
      <c r="U420" s="1161">
        <f>S420/L420</f>
        <v>1.4410813008130081</v>
      </c>
      <c r="V420" s="598"/>
      <c r="W420" s="1176">
        <f>(U420/U413-1)*100</f>
        <v>14.390041526013508</v>
      </c>
      <c r="X420" s="1124" t="s">
        <v>190</v>
      </c>
      <c r="Y420" s="598"/>
      <c r="Z420" s="1129">
        <f>Stores!AI121</f>
        <v>3.2650000000000001</v>
      </c>
      <c r="AA420" s="598" t="s">
        <v>315</v>
      </c>
      <c r="AB420" s="1163">
        <f>AVERAGE(Z420,Z416)</f>
        <v>3.2570000000000001</v>
      </c>
      <c r="AC420" s="598"/>
      <c r="AD420" s="1120">
        <f>(AB420/AB413-1)*100</f>
        <v>19.6107234667646</v>
      </c>
      <c r="AE420" s="1124" t="s">
        <v>190</v>
      </c>
      <c r="AF420" s="1159">
        <f>+H420/AD420*100</f>
        <v>145.84724588680717</v>
      </c>
      <c r="AG420" s="1125" t="s">
        <v>190</v>
      </c>
      <c r="AH420" s="598"/>
      <c r="AI420" s="1160">
        <f>+S420</f>
        <v>177.25299999999999</v>
      </c>
      <c r="AJ420" s="598" t="s">
        <v>315</v>
      </c>
      <c r="AK420" s="1164">
        <f>AI420/AB420</f>
        <v>54.422167638931526</v>
      </c>
      <c r="AL420" s="598"/>
      <c r="AM420" s="1176">
        <f>(AK420/AK413-1)*100</f>
        <v>14.205228524272329</v>
      </c>
      <c r="AN420" s="1124" t="s">
        <v>190</v>
      </c>
      <c r="AP420" s="562"/>
      <c r="AQ420" s="1198"/>
      <c r="AR420" s="487"/>
      <c r="AS420" s="562"/>
      <c r="AT420" s="1198"/>
      <c r="AU420" s="487"/>
      <c r="AV420" s="499"/>
      <c r="AW420" s="499"/>
      <c r="AX420" s="499"/>
      <c r="AY420" s="1221"/>
      <c r="AZ420" s="499"/>
      <c r="BA420" s="499"/>
      <c r="BB420" s="499"/>
      <c r="BC420" s="499"/>
      <c r="BD420" s="499"/>
      <c r="BE420" s="499"/>
      <c r="BF420" s="499"/>
      <c r="BG420" s="499"/>
      <c r="BH420" s="487"/>
    </row>
    <row r="421" spans="1:60" ht="13.5" hidden="1" customHeight="1" outlineLevel="1">
      <c r="A421" s="598" t="s">
        <v>528</v>
      </c>
      <c r="B421" s="1157" t="s">
        <v>515</v>
      </c>
      <c r="C421" s="598"/>
      <c r="D421" s="1120">
        <f>(S421/S414-1)*100</f>
        <v>33.262867880449967</v>
      </c>
      <c r="E421" s="598"/>
      <c r="F421" s="1179">
        <f>'SegP&amp;L'!AE103</f>
        <v>4</v>
      </c>
      <c r="G421" s="598"/>
      <c r="H421" s="1120">
        <f>D421-F421</f>
        <v>29.262867880449967</v>
      </c>
      <c r="I421" s="598"/>
      <c r="J421" s="598">
        <f>Stores!AF122</f>
        <v>132</v>
      </c>
      <c r="K421" s="1127"/>
      <c r="L421" s="1128">
        <f>AVERAGE(J421,J420)</f>
        <v>127.5</v>
      </c>
      <c r="M421" s="598"/>
      <c r="N421" s="1120">
        <f>(L421/L414-1)*100</f>
        <v>16.972477064220183</v>
      </c>
      <c r="O421" s="1124"/>
      <c r="P421" s="1159">
        <f>H421/N421*100</f>
        <v>172.41365399832685</v>
      </c>
      <c r="Q421" s="1125"/>
      <c r="R421" s="598"/>
      <c r="S421" s="1165">
        <f>'SegP&amp;L'!AC103</f>
        <v>209.92099999999999</v>
      </c>
      <c r="T421" s="598"/>
      <c r="U421" s="1166">
        <f>S421/L421</f>
        <v>1.6464392156862744</v>
      </c>
      <c r="V421" s="598"/>
      <c r="W421" s="1176">
        <f>(U421/U414-1)*100</f>
        <v>13.926687050737607</v>
      </c>
      <c r="X421" s="1124"/>
      <c r="Y421" s="598"/>
      <c r="Z421" s="1129">
        <f>Stores!AI122</f>
        <v>3.5259999999999998</v>
      </c>
      <c r="AA421" s="1127"/>
      <c r="AB421" s="1163">
        <f>AVERAGE(Z421,Z420)</f>
        <v>3.3955000000000002</v>
      </c>
      <c r="AC421" s="598"/>
      <c r="AD421" s="1120">
        <f>(AB421/AB414-1)*100</f>
        <v>17.837931632830141</v>
      </c>
      <c r="AE421" s="1124"/>
      <c r="AF421" s="1159">
        <f>+H421/AD421*100</f>
        <v>164.04854824419553</v>
      </c>
      <c r="AG421" s="1125"/>
      <c r="AH421" s="598"/>
      <c r="AI421" s="1165">
        <f>+S421</f>
        <v>209.92099999999999</v>
      </c>
      <c r="AJ421" s="598"/>
      <c r="AK421" s="1167">
        <f>AI421/AB421</f>
        <v>61.823295538212335</v>
      </c>
      <c r="AL421" s="598"/>
      <c r="AM421" s="1176">
        <f>(AK421/AK414-1)*100</f>
        <v>13.089958414818593</v>
      </c>
      <c r="AN421" s="1124"/>
      <c r="AP421" s="562"/>
      <c r="AQ421" s="1198"/>
      <c r="AR421" s="487"/>
      <c r="AS421" s="562"/>
      <c r="AT421" s="1198"/>
      <c r="AU421" s="487"/>
      <c r="AV421" s="499"/>
      <c r="AW421" s="499"/>
      <c r="AX421" s="499"/>
      <c r="AY421" s="1221"/>
      <c r="AZ421" s="499"/>
      <c r="BA421" s="499"/>
      <c r="BB421" s="695"/>
      <c r="BC421" s="499"/>
      <c r="BD421" s="695"/>
      <c r="BE421" s="695"/>
      <c r="BF421" s="695"/>
      <c r="BG421" s="695"/>
      <c r="BH421" s="487"/>
    </row>
    <row r="422" spans="1:60" ht="13.5" hidden="1" customHeight="1" outlineLevel="1">
      <c r="A422" s="598" t="s">
        <v>529</v>
      </c>
      <c r="B422" s="1157" t="s">
        <v>516</v>
      </c>
      <c r="C422" s="598"/>
      <c r="D422" s="1120">
        <f>(S422/S415-1)*100</f>
        <v>31.096802004472334</v>
      </c>
      <c r="E422" s="598"/>
      <c r="F422" s="1179">
        <f>'SegP&amp;L'!AE104</f>
        <v>8</v>
      </c>
      <c r="G422" s="598"/>
      <c r="H422" s="1120">
        <f>D422-F422</f>
        <v>23.096802004472334</v>
      </c>
      <c r="I422" s="598"/>
      <c r="J422" s="598">
        <f>Stores!AF123</f>
        <v>143</v>
      </c>
      <c r="K422" s="1127"/>
      <c r="L422" s="1128">
        <f>AVERAGE(J422,J421)</f>
        <v>137.5</v>
      </c>
      <c r="M422" s="598"/>
      <c r="N422" s="1120">
        <f>(L422/L415-1)*100</f>
        <v>18.025751072961384</v>
      </c>
      <c r="O422" s="1124"/>
      <c r="P422" s="1159">
        <f>H422/N422*100</f>
        <v>128.13225873909644</v>
      </c>
      <c r="Q422" s="1125"/>
      <c r="R422" s="598"/>
      <c r="S422" s="1165">
        <f>'SegP&amp;L'!AC104</f>
        <v>243.29599999999999</v>
      </c>
      <c r="T422" s="598"/>
      <c r="U422" s="1166">
        <f>S422/L422</f>
        <v>1.7694254545454544</v>
      </c>
      <c r="V422" s="598"/>
      <c r="W422" s="1176">
        <f>(U422/U415-1)*100</f>
        <v>11.074744971062</v>
      </c>
      <c r="X422" s="1124"/>
      <c r="Y422" s="598"/>
      <c r="Z422" s="1129">
        <f>Stores!AI123</f>
        <v>3.8460000000000001</v>
      </c>
      <c r="AA422" s="1127"/>
      <c r="AB422" s="1163">
        <f>AVERAGE(Z422,Z421)</f>
        <v>3.6859999999999999</v>
      </c>
      <c r="AC422" s="598"/>
      <c r="AD422" s="1120">
        <f>(AB422/AB415-1)*100</f>
        <v>19.811474077685666</v>
      </c>
      <c r="AE422" s="1124"/>
      <c r="AF422" s="1159">
        <f>+H422/AD422*100</f>
        <v>116.58295548278785</v>
      </c>
      <c r="AG422" s="1125"/>
      <c r="AH422" s="598"/>
      <c r="AI422" s="1165">
        <f>+S422</f>
        <v>243.29599999999999</v>
      </c>
      <c r="AJ422" s="598"/>
      <c r="AK422" s="1167">
        <f>AI422/AB422</f>
        <v>66.00542593597396</v>
      </c>
      <c r="AL422" s="598"/>
      <c r="AM422" s="1176">
        <f>(AK422/AK415-1)*100</f>
        <v>9.4192380267930531</v>
      </c>
      <c r="AN422" s="1124"/>
      <c r="AP422" s="562"/>
      <c r="AQ422" s="1198"/>
      <c r="AR422" s="487"/>
      <c r="AS422" s="562"/>
      <c r="AT422" s="1198"/>
      <c r="AU422" s="487"/>
      <c r="AV422" s="499"/>
      <c r="AW422" s="499"/>
      <c r="AX422" s="499"/>
      <c r="AY422" s="1221"/>
      <c r="AZ422" s="499"/>
      <c r="BA422" s="499"/>
      <c r="BB422" s="499"/>
      <c r="BC422" s="499"/>
      <c r="BD422" s="499"/>
      <c r="BE422" s="499"/>
      <c r="BF422" s="499"/>
      <c r="BG422" s="499"/>
      <c r="BH422" s="487"/>
    </row>
    <row r="423" spans="1:60" ht="13.5" hidden="1" customHeight="1" outlineLevel="1">
      <c r="A423" s="598" t="s">
        <v>530</v>
      </c>
      <c r="B423" s="1157" t="s">
        <v>517</v>
      </c>
      <c r="C423" s="598"/>
      <c r="D423" s="1168">
        <f>(S423/S416-1)*100</f>
        <v>46.282448953181301</v>
      </c>
      <c r="E423" s="598"/>
      <c r="F423" s="1178">
        <f>'SegP&amp;L'!AE105</f>
        <v>5</v>
      </c>
      <c r="G423" s="598"/>
      <c r="H423" s="1168">
        <f>D423-F423</f>
        <v>41.282448953181301</v>
      </c>
      <c r="I423" s="598"/>
      <c r="J423" s="598">
        <f>yrSales!O$204</f>
        <v>147</v>
      </c>
      <c r="K423" s="1127"/>
      <c r="L423" s="1171">
        <f>AVERAGE(J423,J422)</f>
        <v>145</v>
      </c>
      <c r="M423" s="598"/>
      <c r="N423" s="1168">
        <f>(L423/L416-1)*100</f>
        <v>19.341563786008219</v>
      </c>
      <c r="O423" s="1124"/>
      <c r="P423" s="1171">
        <f>H423/N423*100</f>
        <v>213.43904458772474</v>
      </c>
      <c r="Q423" s="1125"/>
      <c r="R423" s="598"/>
      <c r="S423" s="1172">
        <f>'SegP&amp;L'!AC105</f>
        <v>361.71699999999998</v>
      </c>
      <c r="T423" s="598"/>
      <c r="U423" s="1173">
        <f>S423/L423</f>
        <v>2.4945999999999997</v>
      </c>
      <c r="V423" s="598"/>
      <c r="W423" s="1169">
        <f>(U423/U416-1)*100</f>
        <v>22.574603778010527</v>
      </c>
      <c r="X423" s="1124"/>
      <c r="Y423" s="598"/>
      <c r="Z423" s="1129">
        <f>yrSales!O$214</f>
        <v>3.9590000000000001</v>
      </c>
      <c r="AA423" s="1127"/>
      <c r="AB423" s="1174">
        <f>AVERAGE(Z423,Z422)</f>
        <v>3.9024999999999999</v>
      </c>
      <c r="AC423" s="598"/>
      <c r="AD423" s="1168">
        <f>(AB423/AB416-1)*100</f>
        <v>21.686934830059258</v>
      </c>
      <c r="AE423" s="1124"/>
      <c r="AF423" s="1171">
        <f>+H423/AD423*100</f>
        <v>190.35631027009686</v>
      </c>
      <c r="AG423" s="1125"/>
      <c r="AH423" s="598"/>
      <c r="AI423" s="1172">
        <f>+S423</f>
        <v>361.71699999999998</v>
      </c>
      <c r="AJ423" s="598"/>
      <c r="AK423" s="1175">
        <f>AI423/AB423</f>
        <v>92.688532991672005</v>
      </c>
      <c r="AL423" s="598"/>
      <c r="AM423" s="1169">
        <f>(AK423/AK416-1)*100</f>
        <v>20.212123969981398</v>
      </c>
      <c r="AN423" s="1124"/>
      <c r="AP423" s="1201"/>
      <c r="AQ423" s="1202"/>
      <c r="AR423" s="487"/>
      <c r="AS423" s="1201"/>
      <c r="AT423" s="1202"/>
      <c r="AU423" s="487"/>
      <c r="AV423" s="499"/>
      <c r="AW423" s="499"/>
      <c r="AX423" s="499"/>
      <c r="AY423" s="1221"/>
      <c r="AZ423" s="499"/>
      <c r="BA423" s="499"/>
      <c r="BB423" s="499"/>
      <c r="BC423" s="499"/>
      <c r="BD423" s="499"/>
      <c r="BE423" s="499"/>
      <c r="BF423" s="499"/>
      <c r="BG423" s="499"/>
      <c r="BH423" s="487"/>
    </row>
    <row r="424" spans="1:60" ht="13.5" hidden="1" customHeight="1" outlineLevel="1">
      <c r="A424" s="598"/>
      <c r="B424" s="1157" t="s">
        <v>531</v>
      </c>
      <c r="C424" s="598"/>
      <c r="D424" s="1120">
        <f>(S424/S417-1)*100</f>
        <v>37.776768716126405</v>
      </c>
      <c r="E424" s="598"/>
      <c r="F424" s="1179">
        <f>F420*S420/$S424+F421*S421/$S424+F422*S422/$S424+F423*S423/$S424</f>
        <v>6.0600078412637943</v>
      </c>
      <c r="G424" s="598"/>
      <c r="H424" s="1120">
        <f>D424-F424</f>
        <v>31.716760874862612</v>
      </c>
      <c r="I424" s="598"/>
      <c r="J424" s="598"/>
      <c r="K424" s="598"/>
      <c r="L424" s="1128">
        <f>AVERAGE(L420:L423)</f>
        <v>133.25</v>
      </c>
      <c r="M424" s="598"/>
      <c r="N424" s="1120">
        <f>(L424/L417-1)*100</f>
        <v>18.444444444444443</v>
      </c>
      <c r="O424" s="1124"/>
      <c r="P424" s="1159">
        <f>H424/N424*100</f>
        <v>171.95834209262864</v>
      </c>
      <c r="Q424" s="1125"/>
      <c r="R424" s="598"/>
      <c r="S424" s="1160">
        <f>SUM(S420:S423)</f>
        <v>992.18700000000001</v>
      </c>
      <c r="T424" s="598"/>
      <c r="U424" s="1161">
        <f>SUM(U420:U423)</f>
        <v>7.3515459710447359</v>
      </c>
      <c r="V424" s="598"/>
      <c r="W424" s="1176">
        <f>(U424/U417-1)*100</f>
        <v>16.080522025176069</v>
      </c>
      <c r="X424" s="1124"/>
      <c r="Y424" s="598"/>
      <c r="Z424" s="598"/>
      <c r="AA424" s="598"/>
      <c r="AB424" s="1163">
        <f>AVERAGE(AB420:AB423)</f>
        <v>3.5602499999999999</v>
      </c>
      <c r="AC424" s="598"/>
      <c r="AD424" s="1120">
        <f>(AB424/AB417-1)*100</f>
        <v>19.793068640646005</v>
      </c>
      <c r="AE424" s="1124"/>
      <c r="AF424" s="1159">
        <f>+H424/AD424*100</f>
        <v>160.24175660024105</v>
      </c>
      <c r="AG424" s="1125"/>
      <c r="AH424" s="598"/>
      <c r="AI424" s="1160">
        <f>SUM(AI420:AI423)</f>
        <v>992.18700000000001</v>
      </c>
      <c r="AJ424" s="598"/>
      <c r="AK424" s="1164">
        <f>SUM(AK420:AK423)</f>
        <v>274.9394221047898</v>
      </c>
      <c r="AL424" s="598"/>
      <c r="AM424" s="1176">
        <f>(AK424/AK417-1)*100</f>
        <v>14.678560605511827</v>
      </c>
      <c r="AN424" s="1124"/>
      <c r="AP424" s="562"/>
      <c r="AQ424" s="1198"/>
      <c r="AR424" s="487"/>
      <c r="AS424" s="562"/>
      <c r="AT424" s="1198"/>
      <c r="AU424" s="487"/>
      <c r="AV424" s="499"/>
      <c r="AW424" s="499"/>
      <c r="AX424" s="499"/>
      <c r="AY424" s="1221"/>
      <c r="AZ424" s="499"/>
      <c r="BA424" s="499"/>
      <c r="BB424" s="499"/>
      <c r="BC424" s="499"/>
      <c r="BD424" s="499"/>
      <c r="BE424" s="499"/>
      <c r="BF424" s="499"/>
      <c r="BG424" s="499"/>
      <c r="BH424" s="487"/>
    </row>
    <row r="425" spans="1:60" ht="13.5" hidden="1" customHeight="1" outlineLevel="1" thickBot="1">
      <c r="A425" s="598"/>
      <c r="B425" s="1157"/>
      <c r="C425" s="598"/>
      <c r="D425" s="598"/>
      <c r="E425" s="598"/>
      <c r="F425" s="598"/>
      <c r="G425" s="598"/>
      <c r="H425" s="598"/>
      <c r="I425" s="598"/>
      <c r="J425" s="598"/>
      <c r="K425" s="598"/>
      <c r="L425" s="598"/>
      <c r="M425" s="598"/>
      <c r="N425" s="598"/>
      <c r="O425" s="1124"/>
      <c r="P425" s="598"/>
      <c r="Q425" s="598"/>
      <c r="R425" s="598"/>
      <c r="S425" s="598"/>
      <c r="T425" s="598"/>
      <c r="U425" s="598"/>
      <c r="V425" s="598"/>
      <c r="W425" s="598"/>
      <c r="X425" s="598"/>
      <c r="Y425" s="598"/>
      <c r="Z425" s="598"/>
      <c r="AA425" s="598"/>
      <c r="AB425" s="598"/>
      <c r="AC425" s="598"/>
      <c r="AD425" s="598"/>
      <c r="AE425" s="1124"/>
      <c r="AF425" s="598"/>
      <c r="AG425" s="598"/>
      <c r="AH425" s="598"/>
      <c r="AI425" s="598"/>
      <c r="AJ425" s="598"/>
      <c r="AK425" s="598"/>
      <c r="AL425" s="598"/>
      <c r="AM425" s="598"/>
      <c r="AN425" s="598"/>
      <c r="AP425" s="487"/>
      <c r="AQ425" s="487"/>
      <c r="AR425" s="487"/>
      <c r="AS425" s="487"/>
      <c r="AT425" s="487"/>
      <c r="AU425" s="487"/>
      <c r="AV425" s="499"/>
      <c r="AW425" s="499"/>
      <c r="AX425" s="499"/>
      <c r="AY425" s="1221"/>
      <c r="AZ425" s="499"/>
      <c r="BA425" s="499"/>
      <c r="BB425" s="499"/>
      <c r="BC425" s="499"/>
      <c r="BD425" s="499"/>
      <c r="BE425" s="499"/>
      <c r="BF425" s="499"/>
      <c r="BG425" s="499"/>
      <c r="BH425" s="701"/>
    </row>
    <row r="426" spans="1:60" ht="13.5" hidden="1" customHeight="1" outlineLevel="1" collapsed="1" thickBot="1">
      <c r="A426" s="1154"/>
      <c r="B426" s="1155">
        <v>2004</v>
      </c>
      <c r="C426" s="598"/>
      <c r="D426" s="598"/>
      <c r="E426" s="1124"/>
      <c r="F426" s="598"/>
      <c r="G426" s="1124"/>
      <c r="H426" s="598"/>
      <c r="I426" s="1124"/>
      <c r="J426" s="598"/>
      <c r="K426" s="598"/>
      <c r="L426" s="598"/>
      <c r="M426" s="598"/>
      <c r="N426" s="598"/>
      <c r="O426" s="1124"/>
      <c r="P426" s="1125"/>
      <c r="Q426" s="1125"/>
      <c r="R426" s="598"/>
      <c r="S426" s="598"/>
      <c r="T426" s="598"/>
      <c r="U426" s="598"/>
      <c r="V426" s="598"/>
      <c r="W426" s="598"/>
      <c r="X426" s="1124"/>
      <c r="Y426" s="598"/>
      <c r="Z426" s="598"/>
      <c r="AA426" s="598"/>
      <c r="AB426" s="598"/>
      <c r="AC426" s="598"/>
      <c r="AD426" s="598"/>
      <c r="AE426" s="1124"/>
      <c r="AF426" s="1125"/>
      <c r="AG426" s="1125"/>
      <c r="AH426" s="598"/>
      <c r="AI426" s="598"/>
      <c r="AJ426" s="598"/>
      <c r="AK426" s="598"/>
      <c r="AL426" s="598"/>
      <c r="AM426" s="598"/>
      <c r="AN426" s="1124"/>
      <c r="AP426" s="1196"/>
      <c r="AQ426" s="735"/>
      <c r="AR426" s="487"/>
      <c r="AS426" s="1196"/>
      <c r="AT426" s="735"/>
      <c r="AU426" s="487"/>
      <c r="AV426" s="499"/>
      <c r="AW426" s="499"/>
      <c r="AX426" s="499"/>
      <c r="AY426" s="1221"/>
      <c r="AZ426" s="499"/>
      <c r="BA426" s="499"/>
      <c r="BB426" s="499"/>
      <c r="BC426" s="499"/>
      <c r="BD426" s="499"/>
      <c r="BE426" s="499"/>
      <c r="BF426" s="499"/>
      <c r="BG426" s="499"/>
      <c r="BH426" s="487"/>
    </row>
    <row r="427" spans="1:60" ht="13.5" hidden="1" customHeight="1" outlineLevel="1">
      <c r="A427" s="598" t="s">
        <v>527</v>
      </c>
      <c r="B427" s="1157" t="s">
        <v>514</v>
      </c>
      <c r="C427" s="598"/>
      <c r="D427" s="1120">
        <f>(S427/S420-1)*100</f>
        <v>48.514834727762036</v>
      </c>
      <c r="E427" s="1124" t="s">
        <v>190</v>
      </c>
      <c r="F427" s="1179">
        <f>'SegP&amp;L'!AE109</f>
        <v>5</v>
      </c>
      <c r="G427" s="1124" t="s">
        <v>190</v>
      </c>
      <c r="H427" s="1120">
        <f>D427-F427</f>
        <v>43.514834727762036</v>
      </c>
      <c r="I427" s="1124" t="s">
        <v>190</v>
      </c>
      <c r="J427" s="598">
        <f>Stores!AF129</f>
        <v>148</v>
      </c>
      <c r="K427" s="598"/>
      <c r="L427" s="1128">
        <f>AVERAGE(J427,J423)</f>
        <v>147.5</v>
      </c>
      <c r="M427" s="598"/>
      <c r="N427" s="1120">
        <f>(L427/L420-1)*100</f>
        <v>19.918699186991873</v>
      </c>
      <c r="O427" s="1124" t="s">
        <v>190</v>
      </c>
      <c r="P427" s="1159">
        <f>H427/N427*100</f>
        <v>218.46223149039713</v>
      </c>
      <c r="Q427" s="1125" t="s">
        <v>190</v>
      </c>
      <c r="R427" s="598"/>
      <c r="S427" s="1160">
        <f>'SegP&amp;L'!AC109</f>
        <v>263.24700000000001</v>
      </c>
      <c r="T427" s="598"/>
      <c r="U427" s="1161">
        <f>S427/L427</f>
        <v>1.7847254237288137</v>
      </c>
      <c r="V427" s="598"/>
      <c r="W427" s="1176">
        <f>(U427/U420-1)*100</f>
        <v>23.846268959421902</v>
      </c>
      <c r="X427" s="1124" t="s">
        <v>190</v>
      </c>
      <c r="Y427" s="598"/>
      <c r="Z427" s="1129">
        <f>Stores!AI129</f>
        <v>4.2153319727891159</v>
      </c>
      <c r="AA427" s="598"/>
      <c r="AB427" s="1163">
        <f>AVERAGE(Z427,Z423)</f>
        <v>4.0871659863945577</v>
      </c>
      <c r="AC427" s="598"/>
      <c r="AD427" s="1120">
        <f>(AB427/AB420-1)*100</f>
        <v>25.488670137996849</v>
      </c>
      <c r="AE427" s="1124" t="s">
        <v>190</v>
      </c>
      <c r="AF427" s="1159">
        <f>+H427/AD427*100</f>
        <v>170.72226401836852</v>
      </c>
      <c r="AG427" s="1125" t="s">
        <v>190</v>
      </c>
      <c r="AH427" s="598"/>
      <c r="AI427" s="1160">
        <f>+S427</f>
        <v>263.24700000000001</v>
      </c>
      <c r="AJ427" s="598"/>
      <c r="AK427" s="1164">
        <f>AI427/AB427</f>
        <v>64.408198951621259</v>
      </c>
      <c r="AL427" s="598"/>
      <c r="AM427" s="1176">
        <f>(AK427/AK420-1)*100</f>
        <v>18.349198030741618</v>
      </c>
      <c r="AN427" s="1124" t="s">
        <v>190</v>
      </c>
      <c r="AP427" s="562"/>
      <c r="AQ427" s="1198"/>
      <c r="AR427" s="487"/>
      <c r="AS427" s="562"/>
      <c r="AT427" s="1198"/>
      <c r="AU427" s="487"/>
      <c r="AV427" s="499"/>
      <c r="AW427" s="499"/>
      <c r="AX427" s="499"/>
      <c r="AY427" s="1221"/>
      <c r="AZ427" s="499"/>
      <c r="BA427" s="499"/>
      <c r="BB427" s="499"/>
      <c r="BC427" s="499"/>
      <c r="BD427" s="499"/>
      <c r="BE427" s="499"/>
      <c r="BF427" s="499"/>
      <c r="BG427" s="499"/>
      <c r="BH427" s="487"/>
    </row>
    <row r="428" spans="1:60" ht="13.5" hidden="1" customHeight="1" outlineLevel="1">
      <c r="A428" s="598" t="s">
        <v>528</v>
      </c>
      <c r="B428" s="1157" t="s">
        <v>515</v>
      </c>
      <c r="C428" s="598"/>
      <c r="D428" s="1120">
        <f>(S428/S421-1)*100</f>
        <v>31.204596014691234</v>
      </c>
      <c r="E428" s="598"/>
      <c r="F428" s="1179">
        <f>'SegP&amp;L'!AE110</f>
        <v>1</v>
      </c>
      <c r="G428" s="598"/>
      <c r="H428" s="1120">
        <f>D428-F428</f>
        <v>30.204596014691234</v>
      </c>
      <c r="I428" s="598"/>
      <c r="J428" s="598">
        <f>Stores!AF130</f>
        <v>154</v>
      </c>
      <c r="K428" s="1127"/>
      <c r="L428" s="1128">
        <f>AVERAGE(J428,J427)</f>
        <v>151</v>
      </c>
      <c r="M428" s="598"/>
      <c r="N428" s="1120">
        <f>(L428/L421-1)*100</f>
        <v>18.43137254901961</v>
      </c>
      <c r="O428" s="1124"/>
      <c r="P428" s="1159">
        <f>H428/N428*100</f>
        <v>163.87599965417584</v>
      </c>
      <c r="Q428" s="1125"/>
      <c r="R428" s="598"/>
      <c r="S428" s="1165">
        <f>'SegP&amp;L'!AC110</f>
        <v>275.42599999999999</v>
      </c>
      <c r="T428" s="598"/>
      <c r="U428" s="1166">
        <f>S428/L428</f>
        <v>1.8240132450331126</v>
      </c>
      <c r="V428" s="598"/>
      <c r="W428" s="1176">
        <f>(U428/U421-1)*100</f>
        <v>10.785337694524078</v>
      </c>
      <c r="X428" s="1124"/>
      <c r="Y428" s="598"/>
      <c r="Z428" s="1129">
        <f>Stores!AI130</f>
        <v>4.38622380952381</v>
      </c>
      <c r="AA428" s="1127"/>
      <c r="AB428" s="1163">
        <f>AVERAGE(Z428,Z427)</f>
        <v>4.3007778911564625</v>
      </c>
      <c r="AC428" s="598"/>
      <c r="AD428" s="1120">
        <f>(AB428/AB421-1)*100</f>
        <v>26.66110708751177</v>
      </c>
      <c r="AE428" s="1124"/>
      <c r="AF428" s="1159">
        <f>+H428/AD428*100</f>
        <v>113.29085441031536</v>
      </c>
      <c r="AG428" s="1125"/>
      <c r="AH428" s="598"/>
      <c r="AI428" s="1165">
        <f>+S428</f>
        <v>275.42599999999999</v>
      </c>
      <c r="AJ428" s="598"/>
      <c r="AK428" s="1167">
        <f>AI428/AB428</f>
        <v>64.040972812464631</v>
      </c>
      <c r="AL428" s="598"/>
      <c r="AM428" s="1176">
        <f>(AK428/AK421-1)*100</f>
        <v>3.5871223863851887</v>
      </c>
      <c r="AN428" s="1124"/>
      <c r="AP428" s="562"/>
      <c r="AQ428" s="1198"/>
      <c r="AR428" s="487"/>
      <c r="AS428" s="562"/>
      <c r="AT428" s="1198"/>
      <c r="AU428" s="487"/>
      <c r="AV428" s="499"/>
      <c r="AW428" s="499"/>
      <c r="AX428" s="499"/>
      <c r="AY428" s="1221"/>
      <c r="AZ428" s="499"/>
      <c r="BA428" s="499"/>
      <c r="BB428" s="499"/>
      <c r="BC428" s="499"/>
      <c r="BD428" s="499"/>
      <c r="BE428" s="499"/>
      <c r="BF428" s="499"/>
      <c r="BG428" s="499"/>
      <c r="BH428" s="487"/>
    </row>
    <row r="429" spans="1:60" ht="13.5" hidden="1" customHeight="1" outlineLevel="1">
      <c r="A429" s="598" t="s">
        <v>529</v>
      </c>
      <c r="B429" s="1157" t="s">
        <v>516</v>
      </c>
      <c r="C429" s="598"/>
      <c r="D429" s="1120">
        <f>(S429/S422-1)*100</f>
        <v>38.032684466657884</v>
      </c>
      <c r="E429" s="598"/>
      <c r="F429" s="1179">
        <f>'SegP&amp;L'!AE111</f>
        <v>4</v>
      </c>
      <c r="G429" s="598"/>
      <c r="H429" s="1120">
        <f>D429-F429</f>
        <v>34.032684466657884</v>
      </c>
      <c r="I429" s="598"/>
      <c r="J429" s="598">
        <f>Stores!AF131</f>
        <v>160</v>
      </c>
      <c r="K429" s="1127"/>
      <c r="L429" s="1128">
        <f>AVERAGE(J429,J428)</f>
        <v>157</v>
      </c>
      <c r="M429" s="598"/>
      <c r="N429" s="1120">
        <f>(L429/L422-1)*100</f>
        <v>14.181818181818183</v>
      </c>
      <c r="O429" s="1124"/>
      <c r="P429" s="1159">
        <f>H429/N429*100</f>
        <v>239.97405713669019</v>
      </c>
      <c r="Q429" s="1125"/>
      <c r="R429" s="598"/>
      <c r="S429" s="1165">
        <f>'SegP&amp;L'!AC111</f>
        <v>335.82799999999997</v>
      </c>
      <c r="T429" s="598"/>
      <c r="U429" s="1166">
        <f>S429/L429</f>
        <v>2.1390318471337579</v>
      </c>
      <c r="V429" s="598"/>
      <c r="W429" s="1176">
        <f>(U429/U422-1)*100</f>
        <v>20.888497542455163</v>
      </c>
      <c r="X429" s="1124"/>
      <c r="Y429" s="598"/>
      <c r="Z429" s="1129">
        <f>Stores!AI131</f>
        <v>4.5571156462585041</v>
      </c>
      <c r="AA429" s="1127"/>
      <c r="AB429" s="1163">
        <f>AVERAGE(Z429,Z428)</f>
        <v>4.4716697278911575</v>
      </c>
      <c r="AC429" s="598"/>
      <c r="AD429" s="1120">
        <f>(AB429/AB422-1)*100</f>
        <v>21.314968201062335</v>
      </c>
      <c r="AE429" s="1124"/>
      <c r="AF429" s="1159">
        <f>+H429/AD429*100</f>
        <v>159.66565910692609</v>
      </c>
      <c r="AG429" s="1125"/>
      <c r="AH429" s="598"/>
      <c r="AI429" s="1165">
        <f>+S429</f>
        <v>335.82799999999997</v>
      </c>
      <c r="AJ429" s="598"/>
      <c r="AK429" s="1167">
        <f>AI429/AB429</f>
        <v>75.101253096877684</v>
      </c>
      <c r="AL429" s="598"/>
      <c r="AM429" s="1176">
        <f>(AK429/AK422-1)*100</f>
        <v>13.780423399928953</v>
      </c>
      <c r="AN429" s="1124"/>
      <c r="AP429" s="562"/>
      <c r="AQ429" s="1198"/>
      <c r="AR429" s="487"/>
      <c r="AS429" s="562"/>
      <c r="AT429" s="1198"/>
      <c r="AU429" s="487"/>
      <c r="AV429" s="499"/>
      <c r="AW429" s="499"/>
      <c r="AX429" s="499"/>
      <c r="AY429" s="1221"/>
      <c r="AZ429" s="499"/>
      <c r="BA429" s="499"/>
      <c r="BB429" s="1193"/>
      <c r="BC429" s="499"/>
      <c r="BD429" s="1193"/>
      <c r="BE429" s="1193"/>
      <c r="BF429" s="1193"/>
      <c r="BG429" s="1193"/>
      <c r="BH429" s="487"/>
    </row>
    <row r="430" spans="1:60" ht="13.5" hidden="1" customHeight="1" outlineLevel="1">
      <c r="A430" s="598" t="s">
        <v>530</v>
      </c>
      <c r="B430" s="1157" t="s">
        <v>517</v>
      </c>
      <c r="C430" s="598"/>
      <c r="D430" s="1168">
        <f>(S430/S423-1)*100</f>
        <v>18.861430344717011</v>
      </c>
      <c r="E430" s="598"/>
      <c r="F430" s="1179">
        <f>'SegP&amp;L'!AE112</f>
        <v>3</v>
      </c>
      <c r="G430" s="598"/>
      <c r="H430" s="1168">
        <f>D430-F430</f>
        <v>15.861430344717011</v>
      </c>
      <c r="I430" s="598"/>
      <c r="J430" s="598">
        <f>Stores!AF132</f>
        <v>170</v>
      </c>
      <c r="K430" s="1127"/>
      <c r="L430" s="1171">
        <f>AVERAGE(J430,J429)</f>
        <v>165</v>
      </c>
      <c r="M430" s="598"/>
      <c r="N430" s="1168">
        <f>(L430/L423-1)*100</f>
        <v>13.793103448275868</v>
      </c>
      <c r="O430" s="1124"/>
      <c r="P430" s="1171">
        <f>H430/N430*100</f>
        <v>114.99536999919829</v>
      </c>
      <c r="Q430" s="1125"/>
      <c r="R430" s="598"/>
      <c r="S430" s="1172">
        <f>'SegP&amp;L'!AC112</f>
        <v>429.94200000000001</v>
      </c>
      <c r="T430" s="598"/>
      <c r="U430" s="1173">
        <f>S430/L430</f>
        <v>2.605709090909091</v>
      </c>
      <c r="V430" s="598"/>
      <c r="W430" s="1169">
        <f>(U430/U423-1)*100</f>
        <v>4.4539842423270803</v>
      </c>
      <c r="X430" s="1124"/>
      <c r="Y430" s="598"/>
      <c r="Z430" s="1129">
        <f>yrSales!P$214</f>
        <v>4.84193537414966</v>
      </c>
      <c r="AA430" s="1127"/>
      <c r="AB430" s="1174">
        <f>AVERAGE(Z430,Z429)</f>
        <v>4.699525510204082</v>
      </c>
      <c r="AC430" s="598"/>
      <c r="AD430" s="1168">
        <f>(AB430/AB423-1)*100</f>
        <v>20.423459582423643</v>
      </c>
      <c r="AE430" s="1124"/>
      <c r="AF430" s="1171">
        <f>+H430/AD430*100</f>
        <v>77.66279890390021</v>
      </c>
      <c r="AG430" s="1125"/>
      <c r="AH430" s="598"/>
      <c r="AI430" s="1172">
        <f>+S430</f>
        <v>429.94200000000001</v>
      </c>
      <c r="AJ430" s="598"/>
      <c r="AK430" s="1175">
        <f>AI430/AB430</f>
        <v>91.486257296926411</v>
      </c>
      <c r="AL430" s="598"/>
      <c r="AM430" s="1169">
        <f>(AK430/AK423-1)*100</f>
        <v>-1.297113737741018</v>
      </c>
      <c r="AN430" s="1124"/>
      <c r="AP430" s="1201"/>
      <c r="AQ430" s="1202"/>
      <c r="AR430" s="487"/>
      <c r="AS430" s="1201"/>
      <c r="AT430" s="1202"/>
      <c r="AU430" s="487"/>
      <c r="AV430" s="499"/>
      <c r="AW430" s="499"/>
      <c r="AX430" s="499"/>
      <c r="AY430" s="1221"/>
      <c r="AZ430" s="499"/>
      <c r="BA430" s="499"/>
      <c r="BB430" s="1193"/>
      <c r="BC430" s="499"/>
      <c r="BD430" s="1193"/>
      <c r="BE430" s="1193"/>
      <c r="BF430" s="1193"/>
      <c r="BG430" s="1193"/>
      <c r="BH430" s="487"/>
    </row>
    <row r="431" spans="1:60" ht="13.5" hidden="1" customHeight="1" outlineLevel="1">
      <c r="A431" s="598"/>
      <c r="B431" s="1157" t="s">
        <v>531</v>
      </c>
      <c r="C431" s="598"/>
      <c r="D431" s="1120">
        <f>(S431/S424-1)*100</f>
        <v>31.471486725788587</v>
      </c>
      <c r="E431" s="598"/>
      <c r="F431" s="1179">
        <f>F427*S427/$S431+F428*S428/$S431+F429*S429/$S431+F430*S430/$S431</f>
        <v>3.238776243960066</v>
      </c>
      <c r="G431" s="598"/>
      <c r="H431" s="1120">
        <f>D431-F431</f>
        <v>28.232710481828519</v>
      </c>
      <c r="I431" s="598"/>
      <c r="J431" s="598"/>
      <c r="K431" s="598"/>
      <c r="L431" s="1128">
        <f>AVERAGE(L427:L430)</f>
        <v>155.125</v>
      </c>
      <c r="M431" s="598"/>
      <c r="N431" s="1120">
        <f>(L431/L424-1)*100</f>
        <v>16.416510318949349</v>
      </c>
      <c r="O431" s="1124"/>
      <c r="P431" s="1159">
        <f>H431/N431*100</f>
        <v>171.97753927788108</v>
      </c>
      <c r="Q431" s="1125"/>
      <c r="R431" s="598"/>
      <c r="S431" s="1160">
        <f>SUM(S427:S430)</f>
        <v>1304.443</v>
      </c>
      <c r="T431" s="598"/>
      <c r="U431" s="1161">
        <f>SUM(U427:U430)</f>
        <v>8.3534796068047754</v>
      </c>
      <c r="V431" s="598"/>
      <c r="W431" s="1176">
        <f>(U431/U424-1)*100</f>
        <v>13.628883498876544</v>
      </c>
      <c r="X431" s="1124"/>
      <c r="Y431" s="598"/>
      <c r="Z431" s="598"/>
      <c r="AA431" s="598"/>
      <c r="AB431" s="1163">
        <f>AVERAGE(AB427:AB430)</f>
        <v>4.3897847789115652</v>
      </c>
      <c r="AC431" s="598"/>
      <c r="AD431" s="1120">
        <f>(AB431/AB424-1)*100</f>
        <v>23.299902504362493</v>
      </c>
      <c r="AE431" s="1124"/>
      <c r="AF431" s="1159">
        <f>+H431/AD431*100</f>
        <v>121.17093827556766</v>
      </c>
      <c r="AG431" s="1125"/>
      <c r="AH431" s="598"/>
      <c r="AI431" s="1160">
        <f>SUM(AI427:AI430)</f>
        <v>1304.443</v>
      </c>
      <c r="AJ431" s="598"/>
      <c r="AK431" s="1164">
        <f>SUM(AK427:AK430)</f>
        <v>295.03668215788997</v>
      </c>
      <c r="AL431" s="598"/>
      <c r="AM431" s="1176">
        <f>(AK431/AK424-1)*100</f>
        <v>7.3097047703258644</v>
      </c>
      <c r="AN431" s="1124"/>
      <c r="AP431" s="562"/>
      <c r="AQ431" s="1198"/>
      <c r="AR431" s="487"/>
      <c r="AS431" s="562"/>
      <c r="AT431" s="1198"/>
      <c r="AU431" s="487"/>
      <c r="AV431" s="499"/>
      <c r="AW431" s="499"/>
      <c r="AX431" s="499"/>
      <c r="AY431" s="1221"/>
      <c r="AZ431" s="499"/>
      <c r="BA431" s="499"/>
      <c r="BB431" s="1193"/>
      <c r="BC431" s="499"/>
      <c r="BD431" s="1193"/>
      <c r="BE431" s="1193"/>
      <c r="BF431" s="1193"/>
      <c r="BG431" s="1193"/>
      <c r="BH431" s="487"/>
    </row>
    <row r="432" spans="1:60" ht="13.5" hidden="1" customHeight="1" outlineLevel="1" thickBot="1">
      <c r="A432" s="598"/>
      <c r="B432" s="1157"/>
      <c r="C432" s="598"/>
      <c r="D432" s="598"/>
      <c r="E432" s="598"/>
      <c r="F432" s="598"/>
      <c r="G432" s="598"/>
      <c r="H432" s="598"/>
      <c r="I432" s="598"/>
      <c r="J432" s="598"/>
      <c r="K432" s="598"/>
      <c r="L432" s="598"/>
      <c r="M432" s="598"/>
      <c r="N432" s="598"/>
      <c r="O432" s="1124"/>
      <c r="P432" s="598"/>
      <c r="Q432" s="598"/>
      <c r="R432" s="598"/>
      <c r="S432" s="598"/>
      <c r="T432" s="598"/>
      <c r="U432" s="598"/>
      <c r="V432" s="598"/>
      <c r="W432" s="598"/>
      <c r="X432" s="598"/>
      <c r="Y432" s="598"/>
      <c r="Z432" s="598"/>
      <c r="AA432" s="598"/>
      <c r="AB432" s="598"/>
      <c r="AC432" s="598"/>
      <c r="AD432" s="598"/>
      <c r="AE432" s="1124"/>
      <c r="AF432" s="598"/>
      <c r="AG432" s="598"/>
      <c r="AH432" s="598"/>
      <c r="AI432" s="598"/>
      <c r="AJ432" s="598"/>
      <c r="AK432" s="598"/>
      <c r="AL432" s="598"/>
      <c r="AM432" s="598"/>
      <c r="AN432" s="598"/>
      <c r="AP432" s="487"/>
      <c r="AQ432" s="487"/>
      <c r="AR432" s="487"/>
      <c r="AS432" s="487"/>
      <c r="AT432" s="487"/>
      <c r="AU432" s="487"/>
      <c r="AV432" s="499"/>
      <c r="AW432" s="499"/>
      <c r="AX432" s="499"/>
      <c r="AY432" s="1221"/>
      <c r="AZ432" s="499"/>
      <c r="BA432" s="499"/>
      <c r="BB432" s="1193"/>
      <c r="BC432" s="499"/>
      <c r="BD432" s="1193"/>
      <c r="BE432" s="1193"/>
      <c r="BF432" s="1193"/>
      <c r="BG432" s="1193"/>
      <c r="BH432" s="487"/>
    </row>
    <row r="433" spans="1:60" ht="13.5" hidden="1" customHeight="1" outlineLevel="1" collapsed="1" thickBot="1">
      <c r="A433" s="1154"/>
      <c r="B433" s="1118">
        <f>+B426+1</f>
        <v>2005</v>
      </c>
      <c r="C433" s="598"/>
      <c r="D433" s="598"/>
      <c r="E433" s="1124"/>
      <c r="F433" s="598"/>
      <c r="G433" s="1124"/>
      <c r="H433" s="598"/>
      <c r="I433" s="1124"/>
      <c r="J433" s="598"/>
      <c r="K433" s="598"/>
      <c r="L433" s="598"/>
      <c r="M433" s="598"/>
      <c r="N433" s="598"/>
      <c r="O433" s="1124"/>
      <c r="P433" s="1125"/>
      <c r="Q433" s="1125"/>
      <c r="R433" s="598"/>
      <c r="S433" s="598"/>
      <c r="T433" s="598"/>
      <c r="U433" s="598"/>
      <c r="V433" s="598"/>
      <c r="W433" s="598"/>
      <c r="X433" s="1124"/>
      <c r="Y433" s="598"/>
      <c r="Z433" s="598"/>
      <c r="AA433" s="598"/>
      <c r="AB433" s="598"/>
      <c r="AC433" s="598"/>
      <c r="AD433" s="598"/>
      <c r="AE433" s="1124"/>
      <c r="AF433" s="1125"/>
      <c r="AG433" s="1125"/>
      <c r="AH433" s="598"/>
      <c r="AI433" s="598"/>
      <c r="AJ433" s="598"/>
      <c r="AK433" s="598"/>
      <c r="AL433" s="598"/>
      <c r="AM433" s="598"/>
      <c r="AN433" s="1124"/>
      <c r="AP433" s="1196"/>
      <c r="AQ433" s="735"/>
      <c r="AR433" s="487"/>
      <c r="AS433" s="1196"/>
      <c r="AT433" s="735"/>
      <c r="AU433" s="487"/>
      <c r="AV433" s="499"/>
      <c r="AW433" s="499"/>
      <c r="AX433" s="499"/>
      <c r="AY433" s="1221"/>
      <c r="AZ433" s="499"/>
      <c r="BA433" s="499"/>
      <c r="BB433" s="1193"/>
      <c r="BC433" s="499"/>
      <c r="BD433" s="1193"/>
      <c r="BE433" s="1193"/>
      <c r="BF433" s="1193"/>
      <c r="BG433" s="1193"/>
      <c r="BH433" s="487"/>
    </row>
    <row r="434" spans="1:60" ht="13.5" hidden="1" customHeight="1" outlineLevel="1">
      <c r="A434" s="598" t="s">
        <v>527</v>
      </c>
      <c r="B434" s="1157" t="s">
        <v>514</v>
      </c>
      <c r="C434" s="598"/>
      <c r="D434" s="1120">
        <f>(S434/S427-1)*100</f>
        <v>20.687415241199325</v>
      </c>
      <c r="E434" s="1124" t="s">
        <v>190</v>
      </c>
      <c r="F434" s="1179">
        <f>'SegP&amp;L'!AE116</f>
        <v>-1</v>
      </c>
      <c r="G434" s="1124" t="s">
        <v>190</v>
      </c>
      <c r="H434" s="1120">
        <f>D434-F434</f>
        <v>21.687415241199325</v>
      </c>
      <c r="I434" s="1124" t="s">
        <v>190</v>
      </c>
      <c r="J434" s="598">
        <f>Stores!AF137</f>
        <v>175</v>
      </c>
      <c r="K434" s="598"/>
      <c r="L434" s="1128">
        <f>AVERAGE(J434,J430)</f>
        <v>172.5</v>
      </c>
      <c r="M434" s="598"/>
      <c r="N434" s="1120">
        <f>(L434/L427-1)*100</f>
        <v>16.949152542372879</v>
      </c>
      <c r="O434" s="1124" t="s">
        <v>190</v>
      </c>
      <c r="P434" s="1159">
        <f>H434/N434*100</f>
        <v>127.95574992307604</v>
      </c>
      <c r="Q434" s="1125" t="s">
        <v>190</v>
      </c>
      <c r="R434" s="598"/>
      <c r="S434" s="1160">
        <f>'SegP&amp;L'!AC116</f>
        <v>317.70600000000002</v>
      </c>
      <c r="T434" s="598"/>
      <c r="U434" s="1161">
        <f>S434/L434</f>
        <v>1.8417739130434783</v>
      </c>
      <c r="V434" s="598"/>
      <c r="W434" s="1176">
        <f>(U434/U427-1)*100</f>
        <v>3.1964854960979672</v>
      </c>
      <c r="X434" s="1124" t="s">
        <v>190</v>
      </c>
      <c r="Y434" s="598"/>
      <c r="Z434" s="1129">
        <f>Stores!AI137</f>
        <v>5.2153553299492383</v>
      </c>
      <c r="AA434" s="598"/>
      <c r="AB434" s="1163">
        <f>AVERAGE(Z434,Z430)</f>
        <v>5.0286453520494492</v>
      </c>
      <c r="AC434" s="598"/>
      <c r="AD434" s="1120">
        <f>(AB434/AB427-1)*100</f>
        <v>23.035016654300499</v>
      </c>
      <c r="AE434" s="1124" t="s">
        <v>190</v>
      </c>
      <c r="AF434" s="1159">
        <f>+H434/AD434*100</f>
        <v>94.149770181088257</v>
      </c>
      <c r="AG434" s="1125" t="s">
        <v>190</v>
      </c>
      <c r="AH434" s="598"/>
      <c r="AI434" s="1160">
        <f>+S434</f>
        <v>317.70600000000002</v>
      </c>
      <c r="AJ434" s="598"/>
      <c r="AK434" s="1164">
        <f>AI434/AB434</f>
        <v>63.179241675994781</v>
      </c>
      <c r="AL434" s="598"/>
      <c r="AM434" s="1176">
        <f>(AK434/AK427-1)*100</f>
        <v>-1.9080758282801535</v>
      </c>
      <c r="AN434" s="1124" t="s">
        <v>190</v>
      </c>
      <c r="AP434" s="562"/>
      <c r="AQ434" s="1198"/>
      <c r="AR434" s="487"/>
      <c r="AS434" s="562"/>
      <c r="AT434" s="1198"/>
      <c r="AU434" s="487"/>
      <c r="AV434" s="499"/>
      <c r="AW434" s="499"/>
      <c r="AX434" s="499"/>
      <c r="AY434" s="1221"/>
      <c r="AZ434" s="499"/>
      <c r="BA434" s="499"/>
      <c r="BB434" s="1193"/>
      <c r="BC434" s="499"/>
      <c r="BD434" s="1193"/>
      <c r="BE434" s="1193"/>
      <c r="BF434" s="1193"/>
      <c r="BG434" s="1193"/>
      <c r="BH434" s="487"/>
    </row>
    <row r="435" spans="1:60" ht="13.5" hidden="1" customHeight="1" outlineLevel="1">
      <c r="A435" s="598" t="s">
        <v>528</v>
      </c>
      <c r="B435" s="1157" t="s">
        <v>515</v>
      </c>
      <c r="C435" s="598"/>
      <c r="D435" s="1120">
        <f>(S435/S428-1)*100</f>
        <v>18.92123474181815</v>
      </c>
      <c r="E435" s="598"/>
      <c r="F435" s="1179">
        <f>'SegP&amp;L'!AE117</f>
        <v>2</v>
      </c>
      <c r="G435" s="598"/>
      <c r="H435" s="1120">
        <f>D435-F435</f>
        <v>16.92123474181815</v>
      </c>
      <c r="I435" s="598"/>
      <c r="J435" s="598">
        <f>Stores!AF138</f>
        <v>184</v>
      </c>
      <c r="K435" s="1127"/>
      <c r="L435" s="1128">
        <f>AVERAGE(J435,J434)</f>
        <v>179.5</v>
      </c>
      <c r="M435" s="598"/>
      <c r="N435" s="1120">
        <f>(L435/L428-1)*100</f>
        <v>18.87417218543046</v>
      </c>
      <c r="O435" s="1124"/>
      <c r="P435" s="1159">
        <f>H435/N435*100</f>
        <v>89.652857754896175</v>
      </c>
      <c r="Q435" s="1125"/>
      <c r="R435" s="598"/>
      <c r="S435" s="1165">
        <f>'SegP&amp;L'!AC117</f>
        <v>327.54000000000002</v>
      </c>
      <c r="T435" s="598"/>
      <c r="U435" s="1166">
        <f>S435/L435</f>
        <v>1.8247353760445684</v>
      </c>
      <c r="V435" s="598"/>
      <c r="W435" s="1176">
        <f>(U435/U428-1)*100</f>
        <v>3.9590228493247004E-2</v>
      </c>
      <c r="X435" s="1124"/>
      <c r="Y435" s="598"/>
      <c r="Z435" s="1129">
        <f>Stores!AI138</f>
        <v>5.4835736040609149</v>
      </c>
      <c r="AA435" s="1127"/>
      <c r="AB435" s="1163">
        <f>AVERAGE(Z435,Z434)</f>
        <v>5.3494644670050766</v>
      </c>
      <c r="AC435" s="598"/>
      <c r="AD435" s="1120">
        <f>(AB435/AB428-1)*100</f>
        <v>24.383648781421407</v>
      </c>
      <c r="AE435" s="1124"/>
      <c r="AF435" s="1159">
        <f>+H435/AD435*100</f>
        <v>69.39582707043796</v>
      </c>
      <c r="AG435" s="1125"/>
      <c r="AH435" s="598"/>
      <c r="AI435" s="1165">
        <f>+S435</f>
        <v>327.54000000000002</v>
      </c>
      <c r="AJ435" s="598"/>
      <c r="AK435" s="1167">
        <f>AI435/AB435</f>
        <v>61.228558862336897</v>
      </c>
      <c r="AL435" s="598"/>
      <c r="AM435" s="1176">
        <f>(AK435/AK428-1)*100</f>
        <v>-4.3915853033080987</v>
      </c>
      <c r="AN435" s="1124"/>
      <c r="AP435" s="562"/>
      <c r="AQ435" s="1198"/>
      <c r="AR435" s="487"/>
      <c r="AS435" s="562"/>
      <c r="AT435" s="1198"/>
      <c r="AU435" s="487"/>
      <c r="AV435" s="499"/>
      <c r="AW435" s="499"/>
      <c r="AX435" s="499"/>
      <c r="AY435" s="1221"/>
      <c r="AZ435" s="499"/>
      <c r="BA435" s="499"/>
      <c r="BB435" s="1193"/>
      <c r="BC435" s="499"/>
      <c r="BD435" s="1193"/>
      <c r="BE435" s="1193"/>
      <c r="BF435" s="1193"/>
      <c r="BG435" s="1193"/>
      <c r="BH435" s="701"/>
    </row>
    <row r="436" spans="1:60" ht="13.5" hidden="1" customHeight="1" outlineLevel="1">
      <c r="A436" s="598" t="s">
        <v>529</v>
      </c>
      <c r="B436" s="1157" t="s">
        <v>516</v>
      </c>
      <c r="C436" s="598"/>
      <c r="D436" s="1120">
        <f>(S436/S429-1)*100</f>
        <v>14.662565360839498</v>
      </c>
      <c r="E436" s="598"/>
      <c r="F436" s="1179">
        <f>'SegP&amp;L'!AE118</f>
        <v>-7</v>
      </c>
      <c r="G436" s="598"/>
      <c r="H436" s="1120">
        <f>D436-F436</f>
        <v>21.662565360839498</v>
      </c>
      <c r="I436" s="598"/>
      <c r="J436" s="598">
        <f>Stores!AF139</f>
        <v>197</v>
      </c>
      <c r="K436" s="1127"/>
      <c r="L436" s="1128">
        <f>AVERAGE(J436,J435)</f>
        <v>190.5</v>
      </c>
      <c r="M436" s="598"/>
      <c r="N436" s="1120">
        <f>(L436/L429-1)*100</f>
        <v>21.3375796178344</v>
      </c>
      <c r="O436" s="1124"/>
      <c r="P436" s="1159">
        <f>H436/N436*100</f>
        <v>101.52306751199404</v>
      </c>
      <c r="Q436" s="1125"/>
      <c r="R436" s="598"/>
      <c r="S436" s="1165">
        <f>'SegP&amp;L'!AC118</f>
        <v>385.06900000000002</v>
      </c>
      <c r="T436" s="598"/>
      <c r="U436" s="1166">
        <f>S436/L436</f>
        <v>2.0213595800524935</v>
      </c>
      <c r="V436" s="598"/>
      <c r="W436" s="1176">
        <f>(U436/U429-1)*100</f>
        <v>-5.5011928522215259</v>
      </c>
      <c r="X436" s="1124"/>
      <c r="Y436" s="598"/>
      <c r="Z436" s="1129">
        <f>Stores!AI139</f>
        <v>5.8710000000000004</v>
      </c>
      <c r="AA436" s="1127"/>
      <c r="AB436" s="1163">
        <f>AVERAGE(Z436,Z435)</f>
        <v>5.6772868020304577</v>
      </c>
      <c r="AC436" s="598"/>
      <c r="AD436" s="1120">
        <f>(AB436/AB429-1)*100</f>
        <v>26.96122807593553</v>
      </c>
      <c r="AE436" s="1124"/>
      <c r="AF436" s="1159">
        <f>+H436/AD436*100</f>
        <v>80.347101770837369</v>
      </c>
      <c r="AG436" s="1125"/>
      <c r="AH436" s="598"/>
      <c r="AI436" s="1165">
        <f>+S436</f>
        <v>385.06900000000002</v>
      </c>
      <c r="AJ436" s="598"/>
      <c r="AK436" s="1167">
        <f>AI436/AB436</f>
        <v>67.826236973316497</v>
      </c>
      <c r="AL436" s="598"/>
      <c r="AM436" s="1176">
        <f>(AK436/AK429-1)*100</f>
        <v>-9.6869437240637009</v>
      </c>
      <c r="AN436" s="1124"/>
      <c r="AP436" s="562"/>
      <c r="AQ436" s="1198"/>
      <c r="AR436" s="487"/>
      <c r="AS436" s="562"/>
      <c r="AT436" s="1198"/>
      <c r="AU436" s="487"/>
      <c r="AV436" s="499"/>
      <c r="AW436" s="499"/>
      <c r="AX436" s="499"/>
      <c r="AY436" s="1221"/>
      <c r="AZ436" s="499"/>
      <c r="BA436" s="499"/>
      <c r="BB436" s="1193"/>
      <c r="BC436" s="499"/>
      <c r="BD436" s="1193"/>
      <c r="BE436" s="1193"/>
      <c r="BF436" s="1193"/>
      <c r="BG436" s="1193"/>
      <c r="BH436" s="487"/>
    </row>
    <row r="437" spans="1:60" ht="13.5" hidden="1" customHeight="1" outlineLevel="1">
      <c r="A437" s="598" t="s">
        <v>530</v>
      </c>
      <c r="B437" s="1157" t="s">
        <v>517</v>
      </c>
      <c r="C437" s="598"/>
      <c r="D437" s="1168">
        <f>(S437/S430-1)*100</f>
        <v>13.224807066999734</v>
      </c>
      <c r="E437" s="598"/>
      <c r="F437" s="1178">
        <f>'SegP&amp;L'!AE119</f>
        <v>7</v>
      </c>
      <c r="G437" s="598"/>
      <c r="H437" s="1168">
        <f>D437-F437</f>
        <v>6.224807066999734</v>
      </c>
      <c r="I437" s="598"/>
      <c r="J437" s="598">
        <f>Stores!AF140</f>
        <v>197</v>
      </c>
      <c r="K437" s="1127"/>
      <c r="L437" s="1171">
        <f>AVERAGE(J437,J436)</f>
        <v>197</v>
      </c>
      <c r="M437" s="598"/>
      <c r="N437" s="1168">
        <f>(L437/L430-1)*100</f>
        <v>19.393939393939384</v>
      </c>
      <c r="O437" s="1124"/>
      <c r="P437" s="1171">
        <f>H437/N437*100</f>
        <v>32.096661439217392</v>
      </c>
      <c r="Q437" s="1125"/>
      <c r="R437" s="598"/>
      <c r="S437" s="1172">
        <f>'SegP&amp;L'!AC119</f>
        <v>486.80099999999999</v>
      </c>
      <c r="T437" s="598"/>
      <c r="U437" s="1173">
        <f>S437/L437</f>
        <v>2.4710710659898476</v>
      </c>
      <c r="V437" s="598"/>
      <c r="W437" s="1169">
        <f>(U437/U430-1)*100</f>
        <v>-5.1670397662185064</v>
      </c>
      <c r="X437" s="1124"/>
      <c r="Y437" s="598"/>
      <c r="Z437" s="1129">
        <f>Stores!AI140</f>
        <v>5.8710000000000004</v>
      </c>
      <c r="AA437" s="1127"/>
      <c r="AB437" s="1174">
        <f>AVERAGE(Z437,Z436)</f>
        <v>5.8710000000000004</v>
      </c>
      <c r="AC437" s="598"/>
      <c r="AD437" s="1168">
        <f>(AB437/AB430-1)*100</f>
        <v>24.927505707805931</v>
      </c>
      <c r="AE437" s="1124"/>
      <c r="AF437" s="1171">
        <f>+H437/AD437*100</f>
        <v>24.971640323606323</v>
      </c>
      <c r="AG437" s="1125"/>
      <c r="AH437" s="598"/>
      <c r="AI437" s="1172">
        <f>+S437</f>
        <v>486.80099999999999</v>
      </c>
      <c r="AJ437" s="598"/>
      <c r="AK437" s="1175">
        <f>AI437/AB437</f>
        <v>82.916198262646901</v>
      </c>
      <c r="AL437" s="598"/>
      <c r="AM437" s="1169">
        <f>(AK437/AK430-1)*100</f>
        <v>-9.3675916880768817</v>
      </c>
      <c r="AN437" s="1124"/>
      <c r="AP437" s="1201"/>
      <c r="AQ437" s="1202"/>
      <c r="AR437" s="487"/>
      <c r="AS437" s="1201"/>
      <c r="AT437" s="1202"/>
      <c r="AU437" s="487"/>
      <c r="AV437" s="499"/>
      <c r="AW437" s="499"/>
      <c r="AX437" s="499"/>
      <c r="AY437" s="1221"/>
      <c r="AZ437" s="499"/>
      <c r="BA437" s="499"/>
      <c r="BB437" s="1193"/>
      <c r="BC437" s="499"/>
      <c r="BD437" s="1193"/>
      <c r="BE437" s="1193"/>
      <c r="BF437" s="1193"/>
      <c r="BG437" s="1193"/>
      <c r="BH437" s="487"/>
    </row>
    <row r="438" spans="1:60" ht="13.5" hidden="1" customHeight="1" outlineLevel="1">
      <c r="A438" s="598"/>
      <c r="B438" s="1157" t="s">
        <v>531</v>
      </c>
      <c r="C438" s="598"/>
      <c r="D438" s="1120">
        <f>(S438/S431-1)*100</f>
        <v>16.303740370410978</v>
      </c>
      <c r="E438" s="598"/>
      <c r="F438" s="1179">
        <f>F434*S434/$S438+F435*S435/$S438+F436*S436/$S438+F437*S437/$S438</f>
        <v>0.6917717564115069</v>
      </c>
      <c r="G438" s="598"/>
      <c r="H438" s="1120">
        <f>D438-F438</f>
        <v>15.611968613999471</v>
      </c>
      <c r="I438" s="598"/>
      <c r="J438" s="598"/>
      <c r="K438" s="598"/>
      <c r="L438" s="1128">
        <f>AVERAGE(L434:L437)</f>
        <v>184.875</v>
      </c>
      <c r="M438" s="598"/>
      <c r="N438" s="1120">
        <f>(L438/L431-1)*100</f>
        <v>19.178082191780831</v>
      </c>
      <c r="O438" s="1124"/>
      <c r="P438" s="1159">
        <f>H438/N438*100</f>
        <v>81.405264915854346</v>
      </c>
      <c r="Q438" s="1125"/>
      <c r="R438" s="598"/>
      <c r="S438" s="1160">
        <f>SUM(S434:S437)</f>
        <v>1517.116</v>
      </c>
      <c r="T438" s="598"/>
      <c r="U438" s="1161">
        <f>SUM(U434:U437)</f>
        <v>8.1589399351303875</v>
      </c>
      <c r="V438" s="598"/>
      <c r="W438" s="1176">
        <f>(U438/U431-1)*100</f>
        <v>-2.3288459520020233</v>
      </c>
      <c r="X438" s="1124"/>
      <c r="Y438" s="598"/>
      <c r="Z438" s="598"/>
      <c r="AA438" s="598"/>
      <c r="AB438" s="1163">
        <f>AVERAGE(AB434:AB437)</f>
        <v>5.4815991552712457</v>
      </c>
      <c r="AC438" s="598"/>
      <c r="AD438" s="1120">
        <f>(AB438/AB431-1)*100</f>
        <v>24.871706276005479</v>
      </c>
      <c r="AE438" s="1124"/>
      <c r="AF438" s="1159">
        <f>+H438/AD438*100</f>
        <v>62.769994308998534</v>
      </c>
      <c r="AG438" s="1125"/>
      <c r="AH438" s="598"/>
      <c r="AI438" s="1160">
        <f>SUM(AI434:AI437)</f>
        <v>1517.116</v>
      </c>
      <c r="AJ438" s="598"/>
      <c r="AK438" s="1164">
        <f>SUM(AK434:AK437)</f>
        <v>275.15023577429508</v>
      </c>
      <c r="AL438" s="598"/>
      <c r="AM438" s="1176">
        <f>(AK438/AK431-1)*100</f>
        <v>-6.7403301305268171</v>
      </c>
      <c r="AN438" s="1124"/>
      <c r="AP438" s="562"/>
      <c r="AQ438" s="1198"/>
      <c r="AR438" s="487"/>
      <c r="AS438" s="562"/>
      <c r="AT438" s="1198"/>
      <c r="AU438" s="487"/>
      <c r="AV438" s="499"/>
      <c r="AW438" s="499"/>
      <c r="AX438" s="499"/>
      <c r="AY438" s="1221"/>
      <c r="AZ438" s="499"/>
      <c r="BA438" s="499"/>
      <c r="BB438" s="1088"/>
      <c r="BC438" s="499"/>
      <c r="BD438" s="1088"/>
      <c r="BE438" s="1088"/>
      <c r="BF438" s="1088"/>
      <c r="BG438" s="1193"/>
      <c r="BH438" s="487"/>
    </row>
    <row r="439" spans="1:60" ht="13.5" hidden="1" customHeight="1" outlineLevel="1" thickBot="1">
      <c r="A439" s="598"/>
      <c r="B439" s="1157"/>
      <c r="C439" s="598"/>
      <c r="D439" s="1120"/>
      <c r="E439" s="598"/>
      <c r="F439" s="1179"/>
      <c r="G439" s="598"/>
      <c r="H439" s="1120"/>
      <c r="I439" s="598"/>
      <c r="J439" s="598"/>
      <c r="K439" s="598"/>
      <c r="L439" s="1128"/>
      <c r="M439" s="598"/>
      <c r="N439" s="1120"/>
      <c r="O439" s="1124"/>
      <c r="P439" s="1159"/>
      <c r="Q439" s="1125"/>
      <c r="R439" s="598"/>
      <c r="S439" s="1160"/>
      <c r="T439" s="598"/>
      <c r="U439" s="1161"/>
      <c r="V439" s="598"/>
      <c r="W439" s="1176"/>
      <c r="X439" s="1124"/>
      <c r="Y439" s="598"/>
      <c r="Z439" s="598"/>
      <c r="AA439" s="598"/>
      <c r="AB439" s="1163"/>
      <c r="AC439" s="598"/>
      <c r="AD439" s="1120"/>
      <c r="AE439" s="1124"/>
      <c r="AF439" s="1159"/>
      <c r="AG439" s="1125"/>
      <c r="AH439" s="598"/>
      <c r="AI439" s="1160"/>
      <c r="AJ439" s="598"/>
      <c r="AK439" s="1164"/>
      <c r="AL439" s="598"/>
      <c r="AM439" s="1176"/>
      <c r="AN439" s="1124"/>
      <c r="AP439" s="487"/>
      <c r="AQ439" s="487"/>
      <c r="AR439" s="487"/>
      <c r="AS439" s="487"/>
      <c r="AT439" s="487"/>
      <c r="AU439" s="487"/>
      <c r="AV439" s="499"/>
      <c r="AW439" s="499"/>
      <c r="AX439" s="499"/>
      <c r="AY439" s="1221"/>
      <c r="AZ439" s="499"/>
      <c r="BA439" s="499"/>
      <c r="BB439" s="1193"/>
      <c r="BC439" s="499"/>
      <c r="BD439" s="1193"/>
      <c r="BE439" s="1193"/>
      <c r="BF439" s="1193"/>
      <c r="BG439" s="1193"/>
      <c r="BH439" s="487"/>
    </row>
    <row r="440" spans="1:60" ht="13.5" hidden="1" customHeight="1" outlineLevel="1" thickBot="1">
      <c r="A440" s="1154"/>
      <c r="B440" s="1118">
        <f>+B433+1</f>
        <v>2006</v>
      </c>
      <c r="C440" s="598"/>
      <c r="D440" s="598"/>
      <c r="E440" s="1124"/>
      <c r="F440" s="598"/>
      <c r="G440" s="1124"/>
      <c r="H440" s="598"/>
      <c r="I440" s="1124"/>
      <c r="J440" s="598"/>
      <c r="K440" s="598"/>
      <c r="L440" s="598"/>
      <c r="M440" s="598"/>
      <c r="N440" s="598"/>
      <c r="O440" s="1124"/>
      <c r="P440" s="1125"/>
      <c r="Q440" s="1125"/>
      <c r="R440" s="598"/>
      <c r="S440" s="598"/>
      <c r="T440" s="598"/>
      <c r="U440" s="598"/>
      <c r="V440" s="598"/>
      <c r="W440" s="598"/>
      <c r="X440" s="1124"/>
      <c r="Y440" s="598"/>
      <c r="Z440" s="598"/>
      <c r="AA440" s="598"/>
      <c r="AB440" s="598"/>
      <c r="AC440" s="598"/>
      <c r="AD440" s="598"/>
      <c r="AE440" s="1124"/>
      <c r="AF440" s="1125"/>
      <c r="AG440" s="1125"/>
      <c r="AH440" s="598"/>
      <c r="AI440" s="598"/>
      <c r="AJ440" s="598"/>
      <c r="AK440" s="598"/>
      <c r="AL440" s="598"/>
      <c r="AM440" s="598"/>
      <c r="AN440" s="1124"/>
      <c r="AP440" s="1196"/>
      <c r="AQ440" s="735"/>
      <c r="AR440" s="487"/>
      <c r="AS440" s="1196"/>
      <c r="AT440" s="735"/>
      <c r="AU440" s="487"/>
      <c r="AV440" s="499"/>
      <c r="AW440" s="499"/>
      <c r="AX440" s="499"/>
      <c r="AY440" s="1221"/>
      <c r="AZ440" s="499"/>
      <c r="BA440" s="499"/>
      <c r="BB440" s="1193"/>
      <c r="BC440" s="499"/>
      <c r="BD440" s="1193"/>
      <c r="BE440" s="1193"/>
      <c r="BF440" s="1193"/>
      <c r="BG440" s="1193"/>
      <c r="BH440" s="487"/>
    </row>
    <row r="441" spans="1:60" ht="13.5" hidden="1" customHeight="1" outlineLevel="1">
      <c r="A441" s="598" t="s">
        <v>527</v>
      </c>
      <c r="B441" s="1157" t="s">
        <v>514</v>
      </c>
      <c r="C441" s="598"/>
      <c r="D441" s="1120">
        <f>(S441/S434-1)*100</f>
        <v>9.9507091461917607</v>
      </c>
      <c r="E441" s="1124" t="s">
        <v>190</v>
      </c>
      <c r="F441" s="1179">
        <f>'SegP&amp;L'!$AE$123</f>
        <v>5</v>
      </c>
      <c r="G441" s="1124" t="s">
        <v>190</v>
      </c>
      <c r="H441" s="1120">
        <f>D441-F441</f>
        <v>4.9507091461917607</v>
      </c>
      <c r="I441" s="1124" t="s">
        <v>190</v>
      </c>
      <c r="J441" s="598">
        <f>Stores!AF145</f>
        <v>201</v>
      </c>
      <c r="K441" s="598"/>
      <c r="L441" s="1128">
        <f>AVERAGE(J441,J437)</f>
        <v>199</v>
      </c>
      <c r="M441" s="598"/>
      <c r="N441" s="1120">
        <f>(L441/L434-1)*100</f>
        <v>15.362318840579704</v>
      </c>
      <c r="O441" s="1124" t="s">
        <v>190</v>
      </c>
      <c r="P441" s="1159">
        <f>H441/N441*100</f>
        <v>32.22631425351242</v>
      </c>
      <c r="Q441" s="1125" t="s">
        <v>190</v>
      </c>
      <c r="R441" s="598"/>
      <c r="S441" s="1160">
        <f>'SegP&amp;L'!AC123</f>
        <v>349.32</v>
      </c>
      <c r="T441" s="598"/>
      <c r="U441" s="1161">
        <f>S441/L441</f>
        <v>1.7553768844221105</v>
      </c>
      <c r="V441" s="598"/>
      <c r="W441" s="1176">
        <f>(U441/U434-1)*100</f>
        <v>-4.6909682024217192</v>
      </c>
      <c r="X441" s="1124" t="s">
        <v>190</v>
      </c>
      <c r="Y441" s="598"/>
      <c r="Z441" s="1129">
        <f>Stores!AI145</f>
        <v>6</v>
      </c>
      <c r="AA441" s="598"/>
      <c r="AB441" s="1163">
        <f>AVERAGE(Z441,Z437)</f>
        <v>5.9355000000000002</v>
      </c>
      <c r="AC441" s="598"/>
      <c r="AD441" s="1120">
        <f>(AB441/AB434-1)*100</f>
        <v>18.033776185488158</v>
      </c>
      <c r="AE441" s="1124" t="s">
        <v>190</v>
      </c>
      <c r="AF441" s="1159">
        <f>+H441/AD441*100</f>
        <v>27.452426465044038</v>
      </c>
      <c r="AG441" s="1125" t="s">
        <v>190</v>
      </c>
      <c r="AH441" s="598"/>
      <c r="AI441" s="1160">
        <f>+S441</f>
        <v>349.32</v>
      </c>
      <c r="AJ441" s="598"/>
      <c r="AK441" s="1164">
        <f>AI441/AB441</f>
        <v>58.852666161233252</v>
      </c>
      <c r="AL441" s="598"/>
      <c r="AM441" s="1176">
        <f>(AK441/AK434-1)*100</f>
        <v>-6.8480966215924477</v>
      </c>
      <c r="AN441" s="1124" t="s">
        <v>190</v>
      </c>
      <c r="AP441" s="562"/>
      <c r="AQ441" s="1198"/>
      <c r="AR441" s="487"/>
      <c r="AS441" s="562"/>
      <c r="AT441" s="1198"/>
      <c r="AU441" s="487"/>
      <c r="AV441" s="499"/>
      <c r="AW441" s="499"/>
      <c r="AX441" s="499"/>
      <c r="AY441" s="1221"/>
      <c r="AZ441" s="499"/>
      <c r="BA441" s="499"/>
      <c r="BB441" s="1193"/>
      <c r="BC441" s="499"/>
      <c r="BD441" s="1193"/>
      <c r="BE441" s="1193"/>
      <c r="BF441" s="1193"/>
      <c r="BG441" s="1193"/>
      <c r="BH441" s="487"/>
    </row>
    <row r="442" spans="1:60" ht="13.5" hidden="1" customHeight="1" outlineLevel="1">
      <c r="A442" s="598" t="s">
        <v>528</v>
      </c>
      <c r="B442" s="1157" t="s">
        <v>515</v>
      </c>
      <c r="C442" s="598"/>
      <c r="D442" s="1120">
        <f>(S442/S435-1)*100</f>
        <v>23.783354704768868</v>
      </c>
      <c r="E442" s="598"/>
      <c r="F442" s="1179">
        <f>'SegP&amp;L'!$AE$124</f>
        <v>10</v>
      </c>
      <c r="G442" s="598"/>
      <c r="H442" s="1120">
        <f>D442-F442</f>
        <v>13.783354704768868</v>
      </c>
      <c r="I442" s="598"/>
      <c r="J442" s="598">
        <f>Stores!AF146</f>
        <v>202</v>
      </c>
      <c r="K442" s="1127"/>
      <c r="L442" s="1128">
        <f>AVERAGE(J442,J441)</f>
        <v>201.5</v>
      </c>
      <c r="M442" s="598"/>
      <c r="N442" s="1120">
        <f>(L442/L435-1)*100</f>
        <v>12.256267409470745</v>
      </c>
      <c r="O442" s="1124"/>
      <c r="P442" s="1159">
        <f>H442/N442*100</f>
        <v>112.45964406845515</v>
      </c>
      <c r="Q442" s="1125"/>
      <c r="R442" s="598"/>
      <c r="S442" s="1165">
        <f>'SegP&amp;L'!AC124</f>
        <v>405.44</v>
      </c>
      <c r="T442" s="598"/>
      <c r="U442" s="1166">
        <f>S442/L442</f>
        <v>2.0121091811414393</v>
      </c>
      <c r="V442" s="598"/>
      <c r="W442" s="1176">
        <f>(U442/U435-1)*100</f>
        <v>10.26854674692812</v>
      </c>
      <c r="X442" s="1124"/>
      <c r="Y442" s="598"/>
      <c r="Z442" s="1129">
        <f>Stores!AI146</f>
        <v>6.1</v>
      </c>
      <c r="AA442" s="1127"/>
      <c r="AB442" s="1163">
        <f>AVERAGE(Z442,Z441)</f>
        <v>6.05</v>
      </c>
      <c r="AC442" s="598"/>
      <c r="AD442" s="1120">
        <f>(AB442/AB435-1)*100</f>
        <v>13.09543295998601</v>
      </c>
      <c r="AE442" s="1124"/>
      <c r="AF442" s="1159">
        <f>+H442/AD442*100</f>
        <v>105.25314242671358</v>
      </c>
      <c r="AG442" s="1125"/>
      <c r="AH442" s="598"/>
      <c r="AI442" s="1165">
        <f>+S442</f>
        <v>405.44</v>
      </c>
      <c r="AJ442" s="598"/>
      <c r="AK442" s="1167">
        <f>AI442/AB442</f>
        <v>67.01487603305786</v>
      </c>
      <c r="AL442" s="598"/>
      <c r="AM442" s="1176">
        <f>(AK442/AK435-1)*100</f>
        <v>9.4503566280738749</v>
      </c>
      <c r="AN442" s="1124"/>
      <c r="AP442" s="562"/>
      <c r="AQ442" s="1198"/>
      <c r="AR442" s="487"/>
      <c r="AS442" s="562"/>
      <c r="AT442" s="1198"/>
      <c r="AU442" s="487"/>
      <c r="AV442" s="499"/>
      <c r="AW442" s="499"/>
      <c r="AX442" s="499"/>
      <c r="AY442" s="1221"/>
      <c r="AZ442" s="499"/>
      <c r="BA442" s="499"/>
      <c r="BB442" s="1193"/>
      <c r="BC442" s="499"/>
      <c r="BD442" s="1193"/>
      <c r="BE442" s="1193"/>
      <c r="BF442" s="1193"/>
      <c r="BG442" s="1193"/>
      <c r="BH442" s="701"/>
    </row>
    <row r="443" spans="1:60" ht="13.5" hidden="1" customHeight="1" outlineLevel="1">
      <c r="A443" s="598" t="s">
        <v>529</v>
      </c>
      <c r="B443" s="1157" t="s">
        <v>516</v>
      </c>
      <c r="C443" s="598"/>
      <c r="D443" s="1120">
        <f>(S443/S436-1)*100</f>
        <v>24.946697864538557</v>
      </c>
      <c r="E443" s="598"/>
      <c r="F443" s="1179">
        <f>'SegP&amp;L'!$AE$125</f>
        <v>11</v>
      </c>
      <c r="G443" s="598"/>
      <c r="H443" s="1120">
        <f>D443-F443</f>
        <v>13.946697864538557</v>
      </c>
      <c r="I443" s="598"/>
      <c r="J443" s="598">
        <f>Stores!AF147</f>
        <v>210</v>
      </c>
      <c r="K443" s="1127"/>
      <c r="L443" s="1128">
        <f>AVERAGE(J443,J442)</f>
        <v>206</v>
      </c>
      <c r="M443" s="598"/>
      <c r="N443" s="1120">
        <f>(L443/L436-1)*100</f>
        <v>8.1364829396325398</v>
      </c>
      <c r="O443" s="1124"/>
      <c r="P443" s="1159">
        <f>H443/N443*100</f>
        <v>171.409415689974</v>
      </c>
      <c r="Q443" s="1125"/>
      <c r="R443" s="598"/>
      <c r="S443" s="1165">
        <f>'SegP&amp;L'!AC125</f>
        <v>481.13099999999997</v>
      </c>
      <c r="T443" s="598"/>
      <c r="U443" s="1166">
        <f>S443/L443</f>
        <v>2.3355873786407764</v>
      </c>
      <c r="V443" s="598"/>
      <c r="W443" s="1176">
        <f>(U443/U436-1)*100</f>
        <v>15.54536865628442</v>
      </c>
      <c r="X443" s="1124"/>
      <c r="Y443" s="598"/>
      <c r="Z443" s="1129">
        <f>Stores!AI147</f>
        <v>6.3</v>
      </c>
      <c r="AA443" s="1127"/>
      <c r="AB443" s="1163">
        <f>AVERAGE(Z443,Z442)</f>
        <v>6.1999999999999993</v>
      </c>
      <c r="AC443" s="598"/>
      <c r="AD443" s="1120">
        <f>(AB443/AB436-1)*100</f>
        <v>9.2070951529627862</v>
      </c>
      <c r="AE443" s="1124"/>
      <c r="AF443" s="1159">
        <f>+H443/AD443*100</f>
        <v>151.47772052785396</v>
      </c>
      <c r="AG443" s="1125"/>
      <c r="AH443" s="598"/>
      <c r="AI443" s="1165">
        <f>+S443</f>
        <v>481.13099999999997</v>
      </c>
      <c r="AJ443" s="598"/>
      <c r="AK443" s="1167">
        <f>AI443/AB443</f>
        <v>77.601774193548394</v>
      </c>
      <c r="AL443" s="598"/>
      <c r="AM443" s="1176">
        <f>(AK443/AK436-1)*100</f>
        <v>14.412619152198713</v>
      </c>
      <c r="AN443" s="1124"/>
      <c r="AP443" s="562"/>
      <c r="AQ443" s="1198"/>
      <c r="AR443" s="487"/>
      <c r="AS443" s="562"/>
      <c r="AT443" s="1198"/>
      <c r="AU443" s="487"/>
      <c r="AV443" s="499"/>
      <c r="AW443" s="499"/>
      <c r="AX443" s="499"/>
      <c r="AY443" s="1221"/>
      <c r="AZ443" s="499"/>
      <c r="BA443" s="499"/>
      <c r="BB443" s="1193"/>
      <c r="BC443" s="499"/>
      <c r="BD443" s="1193"/>
      <c r="BE443" s="1193"/>
      <c r="BF443" s="1193"/>
      <c r="BG443" s="1193"/>
      <c r="BH443" s="487"/>
    </row>
    <row r="444" spans="1:60" ht="13.5" hidden="1" customHeight="1" outlineLevel="1">
      <c r="A444" s="598" t="s">
        <v>530</v>
      </c>
      <c r="B444" s="1157" t="s">
        <v>517</v>
      </c>
      <c r="C444" s="598"/>
      <c r="D444" s="1168">
        <f>(S444/S437-1)*100</f>
        <v>29.131000141741701</v>
      </c>
      <c r="E444" s="598"/>
      <c r="F444" s="1178">
        <f>'SegP&amp;L'!$AE$126</f>
        <v>10</v>
      </c>
      <c r="G444" s="598"/>
      <c r="H444" s="1168">
        <f>D444-F444</f>
        <v>19.131000141741701</v>
      </c>
      <c r="I444" s="598"/>
      <c r="J444" s="598">
        <f>Stores!AF148</f>
        <v>210</v>
      </c>
      <c r="K444" s="1127"/>
      <c r="L444" s="1171">
        <f>AVERAGE(J444,J443)</f>
        <v>210</v>
      </c>
      <c r="M444" s="598"/>
      <c r="N444" s="1168">
        <f>(L444/L437-1)*100</f>
        <v>6.5989847715736127</v>
      </c>
      <c r="O444" s="1124"/>
      <c r="P444" s="1171">
        <f>H444/N444*100</f>
        <v>289.90823291716231</v>
      </c>
      <c r="Q444" s="1125"/>
      <c r="R444" s="598"/>
      <c r="S444" s="1172">
        <f>'SegP&amp;L'!AC126</f>
        <v>628.61099999999999</v>
      </c>
      <c r="T444" s="598"/>
      <c r="U444" s="1173">
        <f>S444/L444</f>
        <v>2.9933857142857141</v>
      </c>
      <c r="V444" s="598"/>
      <c r="W444" s="1169">
        <f>(U444/U437-1)*100</f>
        <v>21.137176323443406</v>
      </c>
      <c r="X444" s="1124"/>
      <c r="Y444" s="598"/>
      <c r="Z444" s="1129">
        <f>Stores!AI148</f>
        <v>6.5</v>
      </c>
      <c r="AA444" s="1127"/>
      <c r="AB444" s="1174">
        <f>AVERAGE(Z444,Z443)</f>
        <v>6.4</v>
      </c>
      <c r="AC444" s="598"/>
      <c r="AD444" s="1168">
        <f>(AB444/AB437-1)*100</f>
        <v>9.0103900528019096</v>
      </c>
      <c r="AE444" s="1124"/>
      <c r="AF444" s="1171">
        <f>+H444/AD444*100</f>
        <v>212.32155355796883</v>
      </c>
      <c r="AG444" s="1125"/>
      <c r="AH444" s="598"/>
      <c r="AI444" s="1172">
        <f>+S444</f>
        <v>628.61099999999999</v>
      </c>
      <c r="AJ444" s="598"/>
      <c r="AK444" s="1175">
        <f>AI444/AB444</f>
        <v>98.220468749999995</v>
      </c>
      <c r="AL444" s="598"/>
      <c r="AM444" s="1169">
        <f>(AK444/AK437-1)*100</f>
        <v>18.45751591127587</v>
      </c>
      <c r="AN444" s="1124"/>
      <c r="AP444" s="1201"/>
      <c r="AQ444" s="1202"/>
      <c r="AR444" s="487"/>
      <c r="AS444" s="1201"/>
      <c r="AT444" s="1202"/>
      <c r="AU444" s="487"/>
      <c r="AV444" s="499"/>
      <c r="AW444" s="499"/>
      <c r="AX444" s="499"/>
      <c r="AY444" s="1221"/>
      <c r="AZ444" s="499"/>
      <c r="BA444" s="499"/>
      <c r="BB444" s="1193"/>
      <c r="BC444" s="499"/>
      <c r="BD444" s="1193"/>
      <c r="BE444" s="1193"/>
      <c r="BF444" s="1193"/>
      <c r="BG444" s="1193"/>
      <c r="BH444" s="487"/>
    </row>
    <row r="445" spans="1:60" ht="13.5" hidden="1" customHeight="1" outlineLevel="1">
      <c r="A445" s="598"/>
      <c r="B445" s="1157" t="s">
        <v>531</v>
      </c>
      <c r="C445" s="598"/>
      <c r="D445" s="1120">
        <f>(S445/S438-1)*100</f>
        <v>22.897787644451718</v>
      </c>
      <c r="E445" s="598"/>
      <c r="F445" s="1179">
        <f>'SegP&amp;L'!$AE$127</f>
        <v>9</v>
      </c>
      <c r="G445" s="598"/>
      <c r="H445" s="1120">
        <f>D445-F445</f>
        <v>13.897787644451718</v>
      </c>
      <c r="I445" s="598"/>
      <c r="J445" s="598"/>
      <c r="K445" s="598"/>
      <c r="L445" s="1128">
        <f>AVERAGE(L441:L444)</f>
        <v>204.125</v>
      </c>
      <c r="M445" s="598"/>
      <c r="N445" s="1120">
        <f>(L445/L438-1)*100</f>
        <v>10.412440838404336</v>
      </c>
      <c r="O445" s="1124"/>
      <c r="P445" s="1159">
        <f>H445/N445*100</f>
        <v>133.47290861132515</v>
      </c>
      <c r="Q445" s="1125"/>
      <c r="R445" s="598"/>
      <c r="S445" s="1160">
        <f>SUM(S441:S444)</f>
        <v>1864.502</v>
      </c>
      <c r="T445" s="598"/>
      <c r="U445" s="1161">
        <f>SUM(U441:U444)</f>
        <v>9.0964591584900418</v>
      </c>
      <c r="V445" s="598"/>
      <c r="W445" s="1176">
        <f>(U445/U438-1)*100</f>
        <v>11.490698924291953</v>
      </c>
      <c r="X445" s="1124"/>
      <c r="Y445" s="598"/>
      <c r="Z445" s="598"/>
      <c r="AA445" s="598"/>
      <c r="AB445" s="1163">
        <f>AVERAGE(AB441:AB444)</f>
        <v>6.146374999999999</v>
      </c>
      <c r="AC445" s="598"/>
      <c r="AD445" s="1120">
        <f>(AB445/AB438-1)*100</f>
        <v>12.127407092316989</v>
      </c>
      <c r="AE445" s="1124"/>
      <c r="AF445" s="1159">
        <f>+H445/AD445*100</f>
        <v>114.59817864328402</v>
      </c>
      <c r="AG445" s="1125"/>
      <c r="AH445" s="598"/>
      <c r="AI445" s="1160">
        <f>SUM(AI441:AI444)</f>
        <v>1864.502</v>
      </c>
      <c r="AJ445" s="598"/>
      <c r="AK445" s="1164">
        <f>SUM(AK441:AK444)</f>
        <v>301.68978513783952</v>
      </c>
      <c r="AL445" s="598"/>
      <c r="AM445" s="1176">
        <f>(AK445/AK438-1)*100</f>
        <v>9.645475784841695</v>
      </c>
      <c r="AN445" s="1124"/>
      <c r="AP445" s="562"/>
      <c r="AQ445" s="1198"/>
      <c r="AR445" s="487"/>
      <c r="AS445" s="562"/>
      <c r="AT445" s="1198"/>
      <c r="AU445" s="487"/>
      <c r="AV445" s="499"/>
      <c r="AW445" s="499"/>
      <c r="AX445" s="499"/>
      <c r="AY445" s="1221"/>
      <c r="AZ445" s="499"/>
      <c r="BA445" s="499"/>
      <c r="BB445" s="1088"/>
      <c r="BC445" s="499"/>
      <c r="BD445" s="1088"/>
      <c r="BE445" s="1088"/>
      <c r="BF445" s="1088"/>
      <c r="BG445" s="1193"/>
      <c r="BH445" s="487"/>
    </row>
    <row r="446" spans="1:60" ht="13.5" hidden="1" customHeight="1" outlineLevel="1" thickBot="1">
      <c r="A446" s="598"/>
      <c r="B446" s="1157"/>
      <c r="C446" s="598"/>
      <c r="D446" s="598"/>
      <c r="E446" s="598"/>
      <c r="F446" s="598"/>
      <c r="G446" s="598"/>
      <c r="H446" s="598"/>
      <c r="I446" s="598"/>
      <c r="J446" s="598"/>
      <c r="K446" s="598"/>
      <c r="L446" s="598"/>
      <c r="M446" s="598"/>
      <c r="N446" s="598"/>
      <c r="O446" s="598"/>
      <c r="P446" s="598"/>
      <c r="Q446" s="598"/>
      <c r="R446" s="598"/>
      <c r="S446" s="598"/>
      <c r="T446" s="598"/>
      <c r="U446" s="598"/>
      <c r="V446" s="598"/>
      <c r="W446" s="598"/>
      <c r="X446" s="598"/>
      <c r="Y446" s="598"/>
      <c r="Z446" s="598"/>
      <c r="AA446" s="598"/>
      <c r="AB446" s="598"/>
      <c r="AC446" s="598"/>
      <c r="AD446" s="598"/>
      <c r="AE446" s="598"/>
      <c r="AF446" s="598"/>
      <c r="AG446" s="598"/>
      <c r="AH446" s="598"/>
      <c r="AI446" s="598"/>
      <c r="AJ446" s="598"/>
      <c r="AK446" s="598"/>
      <c r="AL446" s="598"/>
      <c r="AM446" s="598"/>
      <c r="AN446" s="598"/>
      <c r="AP446" s="487"/>
      <c r="AQ446" s="487"/>
      <c r="AR446" s="487"/>
      <c r="AS446" s="487"/>
      <c r="AT446" s="487"/>
      <c r="AU446" s="487"/>
      <c r="AV446" s="499"/>
      <c r="AW446" s="499"/>
      <c r="AX446" s="499"/>
      <c r="AY446" s="1221"/>
      <c r="AZ446" s="499"/>
      <c r="BA446" s="499"/>
      <c r="BB446" s="1193"/>
      <c r="BC446" s="499"/>
      <c r="BD446" s="1193"/>
      <c r="BE446" s="1193"/>
      <c r="BF446" s="1193"/>
      <c r="BG446" s="1193"/>
      <c r="BH446" s="487"/>
    </row>
    <row r="447" spans="1:60" ht="13.5" hidden="1" customHeight="1" outlineLevel="1" thickBot="1">
      <c r="A447" s="1154"/>
      <c r="B447" s="1118">
        <f>+B440+1</f>
        <v>2007</v>
      </c>
      <c r="C447" s="598"/>
      <c r="D447" s="598"/>
      <c r="E447" s="1124"/>
      <c r="F447" s="598"/>
      <c r="G447" s="1124"/>
      <c r="H447" s="598"/>
      <c r="I447" s="1124"/>
      <c r="J447" s="598"/>
      <c r="K447" s="598"/>
      <c r="L447" s="598"/>
      <c r="M447" s="598"/>
      <c r="N447" s="598"/>
      <c r="O447" s="1124"/>
      <c r="P447" s="1125"/>
      <c r="Q447" s="1125"/>
      <c r="R447" s="598"/>
      <c r="S447" s="598"/>
      <c r="T447" s="598"/>
      <c r="U447" s="598"/>
      <c r="V447" s="598"/>
      <c r="W447" s="598"/>
      <c r="X447" s="1124"/>
      <c r="Y447" s="598"/>
      <c r="Z447" s="598"/>
      <c r="AA447" s="598"/>
      <c r="AB447" s="598"/>
      <c r="AC447" s="598"/>
      <c r="AD447" s="598"/>
      <c r="AE447" s="1124"/>
      <c r="AF447" s="1125"/>
      <c r="AG447" s="1125"/>
      <c r="AH447" s="598"/>
      <c r="AI447" s="598"/>
      <c r="AJ447" s="598"/>
      <c r="AK447" s="598"/>
      <c r="AL447" s="598"/>
      <c r="AM447" s="598"/>
      <c r="AN447" s="1124"/>
      <c r="AP447" s="1196"/>
      <c r="AQ447" s="735"/>
      <c r="AR447" s="487"/>
      <c r="AS447" s="1196"/>
      <c r="AT447" s="735"/>
      <c r="AU447" s="487"/>
      <c r="AV447" s="499"/>
      <c r="AW447" s="499"/>
      <c r="AX447" s="499"/>
      <c r="AY447" s="1221"/>
      <c r="AZ447" s="499"/>
      <c r="BA447" s="499"/>
      <c r="BB447" s="1193"/>
      <c r="BC447" s="499"/>
      <c r="BD447" s="1193"/>
      <c r="BE447" s="1193"/>
      <c r="BF447" s="1193"/>
      <c r="BG447" s="1193"/>
      <c r="BH447" s="487"/>
    </row>
    <row r="448" spans="1:60" ht="13.5" hidden="1" customHeight="1" outlineLevel="1">
      <c r="A448" s="598" t="s">
        <v>527</v>
      </c>
      <c r="B448" s="1157" t="s">
        <v>514</v>
      </c>
      <c r="C448" s="598"/>
      <c r="D448" s="1120">
        <f>(S448/S441-1)*100</f>
        <v>26.708748425512429</v>
      </c>
      <c r="E448" s="1124" t="s">
        <v>190</v>
      </c>
      <c r="F448" s="1179">
        <f>'SegP&amp;L'!AE130</f>
        <v>8</v>
      </c>
      <c r="G448" s="1124" t="s">
        <v>190</v>
      </c>
      <c r="H448" s="1120">
        <f>D448-F448</f>
        <v>18.708748425512429</v>
      </c>
      <c r="I448" s="1124" t="s">
        <v>190</v>
      </c>
      <c r="J448" s="598">
        <f>Stores!AF152</f>
        <v>211</v>
      </c>
      <c r="K448" s="598"/>
      <c r="L448" s="1128">
        <f>AVERAGE(J448,J444)</f>
        <v>210.5</v>
      </c>
      <c r="M448" s="598"/>
      <c r="N448" s="1120">
        <f>(L448/L441-1)*100</f>
        <v>5.7788944723618174</v>
      </c>
      <c r="O448" s="1124" t="s">
        <v>190</v>
      </c>
      <c r="P448" s="1159">
        <f>H448/N448*100</f>
        <v>323.7426901458233</v>
      </c>
      <c r="Q448" s="1125" t="s">
        <v>190</v>
      </c>
      <c r="R448" s="598"/>
      <c r="S448" s="1160">
        <f>'SegP&amp;L'!AC130</f>
        <v>442.61900000000003</v>
      </c>
      <c r="T448" s="598"/>
      <c r="U448" s="1161">
        <f>S448/L448</f>
        <v>2.102703087885986</v>
      </c>
      <c r="V448" s="598"/>
      <c r="W448" s="1176">
        <f>(U448/U441-1)*100</f>
        <v>19.78641775143457</v>
      </c>
      <c r="X448" s="1124" t="s">
        <v>190</v>
      </c>
      <c r="Y448" s="598"/>
      <c r="Z448" s="1129">
        <f>Stores!AI152</f>
        <v>6.4</v>
      </c>
      <c r="AA448" s="598"/>
      <c r="AB448" s="1163">
        <f>AVERAGE(Z448,Z444)</f>
        <v>6.45</v>
      </c>
      <c r="AC448" s="598"/>
      <c r="AD448" s="1120">
        <f>(AB448/AB441-1)*100</f>
        <v>8.6681829668941113</v>
      </c>
      <c r="AE448" s="1124" t="s">
        <v>190</v>
      </c>
      <c r="AF448" s="1159">
        <f>+H448/AD448*100</f>
        <v>215.83241259403115</v>
      </c>
      <c r="AG448" s="1125" t="s">
        <v>190</v>
      </c>
      <c r="AH448" s="598"/>
      <c r="AI448" s="1160">
        <f>+S448</f>
        <v>442.61900000000003</v>
      </c>
      <c r="AJ448" s="598"/>
      <c r="AK448" s="1164">
        <f>AI448/AB448</f>
        <v>68.623100775193805</v>
      </c>
      <c r="AL448" s="598"/>
      <c r="AM448" s="1176">
        <f>(AK448/AK441-1)*100</f>
        <v>16.601515702268088</v>
      </c>
      <c r="AN448" s="1124" t="s">
        <v>190</v>
      </c>
      <c r="AP448" s="562">
        <v>1.3273257206349207</v>
      </c>
      <c r="AQ448" s="1198"/>
      <c r="AR448" s="487"/>
      <c r="AS448" s="562">
        <v>1.9637758015873017</v>
      </c>
      <c r="AT448" s="1198"/>
      <c r="AU448" s="487"/>
      <c r="AV448" s="499"/>
      <c r="AW448" s="499"/>
      <c r="AX448" s="499"/>
      <c r="AY448" s="1221"/>
      <c r="AZ448" s="499"/>
      <c r="BA448" s="499"/>
      <c r="BB448" s="1193"/>
      <c r="BC448" s="499"/>
      <c r="BD448" s="1193"/>
      <c r="BE448" s="1193"/>
      <c r="BF448" s="1193"/>
      <c r="BG448" s="1193"/>
      <c r="BH448" s="487"/>
    </row>
    <row r="449" spans="1:61" ht="13.5" hidden="1" customHeight="1" outlineLevel="1">
      <c r="A449" s="598" t="s">
        <v>528</v>
      </c>
      <c r="B449" s="1157" t="s">
        <v>515</v>
      </c>
      <c r="C449" s="598"/>
      <c r="D449" s="1120">
        <f>(S449/S442-1)*100</f>
        <v>19.497089581689032</v>
      </c>
      <c r="E449" s="598"/>
      <c r="F449" s="1179">
        <f>'SegP&amp;L'!AE131</f>
        <v>7</v>
      </c>
      <c r="G449" s="598"/>
      <c r="H449" s="1120">
        <f>D449-F449</f>
        <v>12.497089581689032</v>
      </c>
      <c r="I449" s="598"/>
      <c r="J449" s="598">
        <f>Stores!AF153</f>
        <v>212</v>
      </c>
      <c r="K449" s="1127"/>
      <c r="L449" s="1128">
        <f>AVERAGE(J449,J448)</f>
        <v>211.5</v>
      </c>
      <c r="M449" s="598"/>
      <c r="N449" s="1120">
        <f>(L449/L442-1)*100</f>
        <v>4.9627791563275458</v>
      </c>
      <c r="O449" s="1124"/>
      <c r="P449" s="1159">
        <f>H449/N449*100</f>
        <v>251.81635507103385</v>
      </c>
      <c r="Q449" s="1125"/>
      <c r="R449" s="598"/>
      <c r="S449" s="1165">
        <f>'SegP&amp;L'!AC131</f>
        <v>484.48899999999998</v>
      </c>
      <c r="T449" s="598"/>
      <c r="U449" s="1166">
        <f>S449/L449</f>
        <v>2.2907281323877067</v>
      </c>
      <c r="V449" s="598"/>
      <c r="W449" s="1176">
        <f>(U449/U442-1)*100</f>
        <v>13.847108986810097</v>
      </c>
      <c r="X449" s="1124"/>
      <c r="Y449" s="598"/>
      <c r="Z449" s="1129">
        <f>Stores!AI153</f>
        <v>6.6</v>
      </c>
      <c r="AA449" s="1127"/>
      <c r="AB449" s="1163">
        <f>AVERAGE(Z449,Z448)</f>
        <v>6.5</v>
      </c>
      <c r="AC449" s="598"/>
      <c r="AD449" s="1120">
        <f>(AB449/AB442-1)*100</f>
        <v>7.4380165289256173</v>
      </c>
      <c r="AE449" s="1124"/>
      <c r="AF449" s="1159">
        <f>+H449/AD449*100</f>
        <v>168.01642659826371</v>
      </c>
      <c r="AG449" s="1125"/>
      <c r="AH449" s="598"/>
      <c r="AI449" s="1165">
        <f>+S449</f>
        <v>484.48899999999998</v>
      </c>
      <c r="AJ449" s="598"/>
      <c r="AK449" s="1167">
        <f>AI449/AB449</f>
        <v>74.536769230769224</v>
      </c>
      <c r="AL449" s="598"/>
      <c r="AM449" s="1176">
        <f>(AK449/AK442-1)*100</f>
        <v>11.224214149110523</v>
      </c>
      <c r="AN449" s="1124"/>
      <c r="AP449" s="562">
        <v>1.3552768030303033</v>
      </c>
      <c r="AQ449" s="1198"/>
      <c r="AR449" s="487"/>
      <c r="AS449" s="562">
        <v>2.0009662727272723</v>
      </c>
      <c r="AT449" s="1198"/>
      <c r="AU449" s="487"/>
      <c r="AV449" s="499"/>
      <c r="AW449" s="499"/>
      <c r="AX449" s="499"/>
      <c r="AY449" s="1221"/>
      <c r="AZ449" s="499"/>
      <c r="BA449" s="499"/>
      <c r="BB449" s="1193"/>
      <c r="BC449" s="499"/>
      <c r="BD449" s="1193"/>
      <c r="BE449" s="1193"/>
      <c r="BF449" s="1193"/>
      <c r="BG449" s="1193"/>
      <c r="BH449" s="701"/>
    </row>
    <row r="450" spans="1:61" ht="13.5" hidden="1" customHeight="1" outlineLevel="1">
      <c r="A450" s="598" t="s">
        <v>529</v>
      </c>
      <c r="B450" s="1157" t="s">
        <v>516</v>
      </c>
      <c r="C450" s="598"/>
      <c r="D450" s="1120">
        <f>(S450/S443-1)*100</f>
        <v>18.039369735061772</v>
      </c>
      <c r="E450" s="598"/>
      <c r="F450" s="1179">
        <f>'SegP&amp;L'!AE132</f>
        <v>6</v>
      </c>
      <c r="G450" s="598"/>
      <c r="H450" s="1120">
        <f>D450-F450</f>
        <v>12.039369735061772</v>
      </c>
      <c r="I450" s="598"/>
      <c r="J450" s="598">
        <f>Stores!AF154</f>
        <v>225</v>
      </c>
      <c r="K450" s="1127"/>
      <c r="L450" s="1128">
        <f>AVERAGE(J450,J449)</f>
        <v>218.5</v>
      </c>
      <c r="M450" s="598"/>
      <c r="N450" s="1120">
        <f>(L450/L443-1)*100</f>
        <v>6.0679611650485521</v>
      </c>
      <c r="O450" s="1124"/>
      <c r="P450" s="1159">
        <f>H450/N450*100</f>
        <v>198.40881323381774</v>
      </c>
      <c r="Q450" s="1125"/>
      <c r="R450" s="598"/>
      <c r="S450" s="1165">
        <f>'SegP&amp;L'!AC132</f>
        <v>567.92399999999998</v>
      </c>
      <c r="T450" s="598"/>
      <c r="U450" s="1166">
        <f>S450/L450</f>
        <v>2.5991945080091532</v>
      </c>
      <c r="V450" s="598"/>
      <c r="W450" s="1176">
        <f>(U450/U443-1)*100</f>
        <v>11.28654537950904</v>
      </c>
      <c r="X450" s="1124"/>
      <c r="Y450" s="598"/>
      <c r="Z450" s="1129">
        <f>Stores!AI154</f>
        <v>7</v>
      </c>
      <c r="AA450" s="1127"/>
      <c r="AB450" s="1163">
        <f>AVERAGE(Z450,Z449)</f>
        <v>6.8</v>
      </c>
      <c r="AC450" s="598"/>
      <c r="AD450" s="1120">
        <f>(AB450/AB443-1)*100</f>
        <v>9.6774193548387224</v>
      </c>
      <c r="AE450" s="1124"/>
      <c r="AF450" s="1159">
        <f>+H450/AD450*100</f>
        <v>124.40682059563815</v>
      </c>
      <c r="AG450" s="1125"/>
      <c r="AH450" s="598"/>
      <c r="AI450" s="1165">
        <f>+S450</f>
        <v>567.92399999999998</v>
      </c>
      <c r="AJ450" s="598"/>
      <c r="AK450" s="1167">
        <f>AI450/AB450</f>
        <v>83.518235294117645</v>
      </c>
      <c r="AL450" s="598"/>
      <c r="AM450" s="1176">
        <f>(AK450/AK443-1)*100</f>
        <v>7.6241312290268759</v>
      </c>
      <c r="AN450" s="1124"/>
      <c r="AP450" s="562">
        <v>1.390870033333333</v>
      </c>
      <c r="AQ450" s="1198"/>
      <c r="AR450" s="487"/>
      <c r="AS450" s="562">
        <v>2.024357968181818</v>
      </c>
      <c r="AT450" s="1198"/>
      <c r="AU450" s="487"/>
      <c r="AV450" s="499"/>
      <c r="AW450" s="499"/>
      <c r="AX450" s="499"/>
      <c r="AY450" s="1221"/>
      <c r="AZ450" s="499"/>
      <c r="BA450" s="499"/>
      <c r="BB450" s="1193"/>
      <c r="BC450" s="499"/>
      <c r="BD450" s="1193"/>
      <c r="BE450" s="1193"/>
      <c r="BF450" s="1193"/>
      <c r="BG450" s="1193"/>
      <c r="BH450" s="487"/>
    </row>
    <row r="451" spans="1:61" ht="13.5" hidden="1" customHeight="1" outlineLevel="1">
      <c r="A451" s="598" t="s">
        <v>530</v>
      </c>
      <c r="B451" s="1157" t="s">
        <v>517</v>
      </c>
      <c r="C451" s="598"/>
      <c r="D451" s="1168">
        <f>(S451/S444-1)*100</f>
        <v>14.726913782927763</v>
      </c>
      <c r="E451" s="598"/>
      <c r="F451" s="1178">
        <f>'SegP&amp;L'!AE133</f>
        <v>5</v>
      </c>
      <c r="G451" s="598"/>
      <c r="H451" s="1168">
        <f>D451-F451</f>
        <v>9.7269137829277632</v>
      </c>
      <c r="I451" s="598"/>
      <c r="J451" s="598">
        <f>Stores!AF155</f>
        <v>226</v>
      </c>
      <c r="K451" s="1127"/>
      <c r="L451" s="1171">
        <f>AVERAGE(J451,J450)</f>
        <v>225.5</v>
      </c>
      <c r="M451" s="598"/>
      <c r="N451" s="1168">
        <f>(L451/L444-1)*100</f>
        <v>7.3809523809523769</v>
      </c>
      <c r="O451" s="1124"/>
      <c r="P451" s="1171">
        <f>H451/N451*100</f>
        <v>131.78399318805361</v>
      </c>
      <c r="Q451" s="1125"/>
      <c r="R451" s="598"/>
      <c r="S451" s="1172">
        <f>'SegP&amp;L'!AC133</f>
        <v>721.18600000000004</v>
      </c>
      <c r="T451" s="598"/>
      <c r="U451" s="1173">
        <f>S451/L451</f>
        <v>3.1981640798226167</v>
      </c>
      <c r="V451" s="598"/>
      <c r="W451" s="1169">
        <f>(U451/U444-1)*100</f>
        <v>6.8410283566068042</v>
      </c>
      <c r="X451" s="1124"/>
      <c r="Y451" s="598"/>
      <c r="Z451" s="1129">
        <f>Stores!AI155</f>
        <v>7.085</v>
      </c>
      <c r="AA451" s="1127"/>
      <c r="AB451" s="1174">
        <f>AVERAGE(Z451,Z450)</f>
        <v>7.0425000000000004</v>
      </c>
      <c r="AC451" s="598"/>
      <c r="AD451" s="1168">
        <f>(AB451/AB444-1)*100</f>
        <v>10.039062499999996</v>
      </c>
      <c r="AE451" s="1124"/>
      <c r="AF451" s="1171">
        <f>+H451/AD451*100</f>
        <v>96.890658693755185</v>
      </c>
      <c r="AG451" s="1125"/>
      <c r="AH451" s="598"/>
      <c r="AI451" s="1172">
        <f>+S451</f>
        <v>721.18600000000004</v>
      </c>
      <c r="AJ451" s="598"/>
      <c r="AK451" s="1175">
        <f>AI451/AB451</f>
        <v>102.40482783102591</v>
      </c>
      <c r="AL451" s="598"/>
      <c r="AM451" s="1169">
        <f>(AK451/AK444-1)*100</f>
        <v>4.2601701399698433</v>
      </c>
      <c r="AN451" s="1124"/>
      <c r="AP451" s="1201">
        <v>1.4644341907692306</v>
      </c>
      <c r="AQ451" s="1202"/>
      <c r="AR451" s="487"/>
      <c r="AS451" s="1201">
        <v>2.0195780569230766</v>
      </c>
      <c r="AT451" s="1202"/>
      <c r="AU451" s="487"/>
      <c r="AV451" s="499"/>
      <c r="AW451" s="499"/>
      <c r="AX451" s="499"/>
      <c r="AY451" s="1221"/>
      <c r="AZ451" s="499"/>
      <c r="BA451" s="499"/>
      <c r="BB451" s="1193"/>
      <c r="BC451" s="499"/>
      <c r="BD451" s="1193"/>
      <c r="BE451" s="1193"/>
      <c r="BF451" s="1193"/>
      <c r="BG451" s="1193"/>
      <c r="BH451" s="487"/>
    </row>
    <row r="452" spans="1:61" ht="13.5" hidden="1" customHeight="1" outlineLevel="1">
      <c r="A452" s="598"/>
      <c r="B452" s="1157" t="s">
        <v>531</v>
      </c>
      <c r="C452" s="598"/>
      <c r="D452" s="1120">
        <f>(S452/S445-1)*100</f>
        <v>18.863803846818072</v>
      </c>
      <c r="E452" s="598"/>
      <c r="F452" s="1179">
        <f>'SegP&amp;L'!AE134</f>
        <v>6</v>
      </c>
      <c r="G452" s="598"/>
      <c r="H452" s="1120">
        <f>D452-F452</f>
        <v>12.863803846818072</v>
      </c>
      <c r="I452" s="598"/>
      <c r="J452" s="598"/>
      <c r="K452" s="598"/>
      <c r="L452" s="1128">
        <f>AVERAGE(L448:L451)</f>
        <v>216.5</v>
      </c>
      <c r="M452" s="598"/>
      <c r="N452" s="1120">
        <f>(L452/L445-1)*100</f>
        <v>6.0624617268830283</v>
      </c>
      <c r="O452" s="1124"/>
      <c r="P452" s="1159">
        <f>H452/N452*100</f>
        <v>212.18779476620148</v>
      </c>
      <c r="Q452" s="1125"/>
      <c r="R452" s="598"/>
      <c r="S452" s="1160">
        <f>SUM(S448:S451)</f>
        <v>2216.2179999999998</v>
      </c>
      <c r="T452" s="598"/>
      <c r="U452" s="1161">
        <f>SUM(U448:U451)</f>
        <v>10.190789808105462</v>
      </c>
      <c r="V452" s="598"/>
      <c r="W452" s="1176">
        <f>(U452/U445-1)*100</f>
        <v>12.030292562728029</v>
      </c>
      <c r="X452" s="1124"/>
      <c r="Y452" s="598"/>
      <c r="Z452" s="598"/>
      <c r="AA452" s="598"/>
      <c r="AB452" s="1163">
        <f>AVERAGE(AB448:AB451)</f>
        <v>6.6981250000000001</v>
      </c>
      <c r="AC452" s="598"/>
      <c r="AD452" s="1120">
        <f>(AB452/AB445-1)*100</f>
        <v>8.9768359398832764</v>
      </c>
      <c r="AE452" s="1124"/>
      <c r="AF452" s="1159">
        <f>+H452/AD452*100</f>
        <v>143.2999771073608</v>
      </c>
      <c r="AG452" s="1125"/>
      <c r="AH452" s="598"/>
      <c r="AI452" s="1160">
        <f>SUM(AI448:AI451)</f>
        <v>2216.2179999999998</v>
      </c>
      <c r="AJ452" s="598"/>
      <c r="AK452" s="1164">
        <f>SUM(AK448:AK451)</f>
        <v>329.08293313110659</v>
      </c>
      <c r="AL452" s="598"/>
      <c r="AM452" s="1176">
        <f>(AK452/AK445-1)*100</f>
        <v>9.0799056987465931</v>
      </c>
      <c r="AN452" s="1124"/>
      <c r="AP452" s="562">
        <v>1.3848285923076911</v>
      </c>
      <c r="AQ452" s="1198"/>
      <c r="AR452" s="487"/>
      <c r="AS452" s="562">
        <v>2.0025455734615374</v>
      </c>
      <c r="AT452" s="1198"/>
      <c r="AU452" s="487"/>
      <c r="AV452" s="499"/>
      <c r="AW452" s="499"/>
      <c r="AX452" s="499"/>
      <c r="AY452" s="1221"/>
      <c r="AZ452" s="499"/>
      <c r="BA452" s="499"/>
      <c r="BB452" s="1088"/>
      <c r="BC452" s="499"/>
      <c r="BD452" s="1088"/>
      <c r="BE452" s="1088"/>
      <c r="BF452" s="1088"/>
      <c r="BG452" s="1193"/>
      <c r="BH452" s="487"/>
    </row>
    <row r="453" spans="1:61" ht="13.5" hidden="1" customHeight="1" outlineLevel="1" thickBot="1">
      <c r="A453" s="598"/>
      <c r="B453" s="1157"/>
      <c r="C453" s="598"/>
      <c r="D453" s="1120"/>
      <c r="E453" s="598"/>
      <c r="F453" s="1179"/>
      <c r="G453" s="598"/>
      <c r="H453" s="1120"/>
      <c r="I453" s="598"/>
      <c r="J453" s="598"/>
      <c r="K453" s="598"/>
      <c r="L453" s="1128"/>
      <c r="M453" s="598"/>
      <c r="N453" s="1120"/>
      <c r="O453" s="1124"/>
      <c r="P453" s="1159"/>
      <c r="Q453" s="1125"/>
      <c r="R453" s="598"/>
      <c r="S453" s="1160"/>
      <c r="T453" s="598"/>
      <c r="U453" s="1161"/>
      <c r="V453" s="598"/>
      <c r="W453" s="1176"/>
      <c r="X453" s="1124"/>
      <c r="Y453" s="598"/>
      <c r="Z453" s="598"/>
      <c r="AA453" s="598"/>
      <c r="AB453" s="1163"/>
      <c r="AC453" s="598"/>
      <c r="AD453" s="1120"/>
      <c r="AE453" s="1124"/>
      <c r="AF453" s="1159"/>
      <c r="AG453" s="1125"/>
      <c r="AH453" s="598"/>
      <c r="AI453" s="1160"/>
      <c r="AJ453" s="598"/>
      <c r="AK453" s="1164"/>
      <c r="AL453" s="598"/>
      <c r="AM453" s="1176"/>
      <c r="AN453" s="1124"/>
      <c r="AP453" s="487"/>
      <c r="AQ453" s="487"/>
      <c r="AR453" s="487"/>
      <c r="AS453" s="487"/>
      <c r="AT453" s="487"/>
      <c r="AU453" s="487"/>
      <c r="AV453" s="499"/>
      <c r="AW453" s="499"/>
      <c r="AX453" s="499"/>
      <c r="AY453" s="1221"/>
      <c r="AZ453" s="499"/>
      <c r="BA453" s="499"/>
      <c r="BB453" s="1193"/>
      <c r="BC453" s="499"/>
      <c r="BD453" s="1193"/>
      <c r="BE453" s="1193"/>
      <c r="BF453" s="1193"/>
      <c r="BG453" s="1193"/>
      <c r="BH453" s="487"/>
    </row>
    <row r="454" spans="1:61" ht="13.5" hidden="1" outlineLevel="1" thickBot="1">
      <c r="A454" s="1154"/>
      <c r="B454" s="1118">
        <f>+B447+1</f>
        <v>2008</v>
      </c>
      <c r="C454" s="598"/>
      <c r="D454" s="598"/>
      <c r="E454" s="1124"/>
      <c r="F454" s="598"/>
      <c r="G454" s="1124"/>
      <c r="H454" s="598"/>
      <c r="I454" s="1124"/>
      <c r="J454" s="598"/>
      <c r="K454" s="598"/>
      <c r="L454" s="598"/>
      <c r="M454" s="598"/>
      <c r="N454" s="598"/>
      <c r="O454" s="1124"/>
      <c r="P454" s="1125"/>
      <c r="Q454" s="1125"/>
      <c r="R454" s="598"/>
      <c r="S454" s="598"/>
      <c r="T454" s="598"/>
      <c r="U454" s="598"/>
      <c r="V454" s="598"/>
      <c r="W454" s="598"/>
      <c r="X454" s="1124"/>
      <c r="Y454" s="598"/>
      <c r="Z454" s="598"/>
      <c r="AA454" s="598"/>
      <c r="AB454" s="598"/>
      <c r="AC454" s="598"/>
      <c r="AD454" s="598"/>
      <c r="AE454" s="1124"/>
      <c r="AF454" s="1125"/>
      <c r="AG454" s="1125"/>
      <c r="AH454" s="598"/>
      <c r="AI454" s="598"/>
      <c r="AJ454" s="598"/>
      <c r="AK454" s="598"/>
      <c r="AL454" s="598"/>
      <c r="AM454" s="598"/>
      <c r="AN454" s="1124"/>
      <c r="AP454" s="1196">
        <f>1-AS454</f>
        <v>7.0796460176991149E-2</v>
      </c>
      <c r="AQ454" s="735"/>
      <c r="AR454" s="487"/>
      <c r="AS454" s="1196">
        <f>210/226</f>
        <v>0.92920353982300885</v>
      </c>
      <c r="AT454" s="735"/>
      <c r="AU454" s="487"/>
      <c r="AV454" s="499"/>
      <c r="AW454" s="499"/>
      <c r="AX454" s="499"/>
      <c r="AY454" s="1222" t="s">
        <v>780</v>
      </c>
      <c r="AZ454" s="499"/>
      <c r="BA454" s="1140" t="s">
        <v>781</v>
      </c>
      <c r="BB454" s="487"/>
      <c r="BC454" s="1140" t="s">
        <v>781</v>
      </c>
      <c r="BD454" s="487"/>
      <c r="BE454" s="487"/>
      <c r="BF454" s="1193"/>
      <c r="BG454" s="1193"/>
      <c r="BH454" s="487"/>
    </row>
    <row r="455" spans="1:61" hidden="1" outlineLevel="1">
      <c r="A455" s="598" t="s">
        <v>527</v>
      </c>
      <c r="B455" s="1157" t="s">
        <v>514</v>
      </c>
      <c r="C455" s="598"/>
      <c r="D455" s="1120">
        <f>(S455/S448-1)*100</f>
        <v>11.878161579145941</v>
      </c>
      <c r="E455" s="1124" t="s">
        <v>190</v>
      </c>
      <c r="F455" s="1179">
        <f>'SegP&amp;L'!AE137</f>
        <v>5</v>
      </c>
      <c r="G455" s="1124" t="s">
        <v>190</v>
      </c>
      <c r="H455" s="1120">
        <f>D455-F455</f>
        <v>6.8781615791459405</v>
      </c>
      <c r="I455" s="1124" t="s">
        <v>190</v>
      </c>
      <c r="J455" s="598">
        <f>Stores!AF159</f>
        <v>227</v>
      </c>
      <c r="K455" s="598"/>
      <c r="L455" s="1128">
        <f>AVERAGE(J455,J451)</f>
        <v>226.5</v>
      </c>
      <c r="M455" s="598"/>
      <c r="N455" s="1120">
        <f>(L455/L448-1)*100</f>
        <v>7.6009501187648487</v>
      </c>
      <c r="O455" s="1124" t="s">
        <v>190</v>
      </c>
      <c r="P455" s="1159">
        <f>H455/N455*100</f>
        <v>90.490813275638743</v>
      </c>
      <c r="Q455" s="1125" t="s">
        <v>190</v>
      </c>
      <c r="R455" s="598"/>
      <c r="S455" s="1165">
        <f>'SegP&amp;L'!AC137</f>
        <v>495.19400000000002</v>
      </c>
      <c r="T455" s="598"/>
      <c r="U455" s="1161">
        <f>S455/L455</f>
        <v>2.1862869757174392</v>
      </c>
      <c r="V455" s="598"/>
      <c r="W455" s="1176">
        <f>(U455/U448-1)*100</f>
        <v>3.975068487462341</v>
      </c>
      <c r="X455" s="1124" t="s">
        <v>190</v>
      </c>
      <c r="Y455" s="598"/>
      <c r="Z455" s="1129">
        <f>Stores!AI159+Stores!BK159</f>
        <v>7.1</v>
      </c>
      <c r="AA455" s="598"/>
      <c r="AB455" s="1163">
        <f>AVERAGE(Z455,Z451)</f>
        <v>7.0924999999999994</v>
      </c>
      <c r="AC455" s="598"/>
      <c r="AD455" s="1120">
        <f>(AB455/AB448-1)*100</f>
        <v>9.9612403100775015</v>
      </c>
      <c r="AE455" s="1124" t="s">
        <v>190</v>
      </c>
      <c r="AF455" s="1159">
        <f>+H455/AD455*100</f>
        <v>69.049248537729795</v>
      </c>
      <c r="AG455" s="1125" t="s">
        <v>190</v>
      </c>
      <c r="AH455" s="598"/>
      <c r="AI455" s="1160">
        <f>+S455</f>
        <v>495.19400000000002</v>
      </c>
      <c r="AJ455" s="598"/>
      <c r="AK455" s="1164">
        <f>AI455/AB455</f>
        <v>69.819386676066273</v>
      </c>
      <c r="AL455" s="598"/>
      <c r="AM455" s="1176">
        <f>(AK455/AK448-1)*100</f>
        <v>1.7432699591810152</v>
      </c>
      <c r="AN455" s="1124" t="s">
        <v>190</v>
      </c>
      <c r="AP455" s="562">
        <v>1.5335972453125004</v>
      </c>
      <c r="AQ455" s="1198">
        <f>(AP455/AP448-1)*100</f>
        <v>15.540384810663554</v>
      </c>
      <c r="AR455" s="1203" t="s">
        <v>190</v>
      </c>
      <c r="AS455" s="562">
        <v>1.9823894468749998</v>
      </c>
      <c r="AT455" s="1198">
        <f>(AS455/AS448-1)*100</f>
        <v>0.94784981425337644</v>
      </c>
      <c r="AU455" s="1203" t="s">
        <v>190</v>
      </c>
      <c r="AV455" s="499"/>
      <c r="AW455" s="499"/>
      <c r="AX455" s="499"/>
      <c r="AY455" s="1034">
        <f>AP454*AQ455+AS454*AT455</f>
        <v>1.980949637008079</v>
      </c>
      <c r="AZ455" s="499"/>
      <c r="BA455" s="499"/>
      <c r="BB455" s="1193"/>
      <c r="BC455" s="499"/>
      <c r="BD455" s="1193"/>
      <c r="BE455" s="1193"/>
      <c r="BF455" s="1193"/>
      <c r="BG455" s="1193"/>
      <c r="BH455" s="487"/>
    </row>
    <row r="456" spans="1:61" hidden="1" outlineLevel="1">
      <c r="A456" s="598" t="s">
        <v>528</v>
      </c>
      <c r="B456" s="1157" t="s">
        <v>515</v>
      </c>
      <c r="C456" s="598"/>
      <c r="D456" s="1120">
        <f>(S456/S449-1)*100</f>
        <v>13.029810790337848</v>
      </c>
      <c r="E456" s="598"/>
      <c r="F456" s="1179">
        <f>'SegP&amp;L'!AE138</f>
        <v>5</v>
      </c>
      <c r="G456" s="598"/>
      <c r="H456" s="1120">
        <f>D456-F456</f>
        <v>8.0298107903378479</v>
      </c>
      <c r="I456" s="598"/>
      <c r="J456" s="598">
        <f>Stores!AF160</f>
        <v>231</v>
      </c>
      <c r="K456" s="1127"/>
      <c r="L456" s="1128">
        <f>AVERAGE(J456,J455)</f>
        <v>229</v>
      </c>
      <c r="M456" s="598"/>
      <c r="N456" s="1120">
        <f>(L456/L449-1)*100</f>
        <v>8.2742316784869985</v>
      </c>
      <c r="O456" s="1124"/>
      <c r="P456" s="1159">
        <f>H456/N456*100</f>
        <v>97.045998980368836</v>
      </c>
      <c r="Q456" s="1125"/>
      <c r="R456" s="598"/>
      <c r="S456" s="1165">
        <f>'SegP&amp;L'!AC138</f>
        <v>547.61699999999996</v>
      </c>
      <c r="T456" s="598"/>
      <c r="U456" s="1166">
        <f>S456/L456</f>
        <v>2.3913406113537117</v>
      </c>
      <c r="V456" s="598"/>
      <c r="W456" s="1176">
        <f>(U456/U449-1)*100</f>
        <v>4.3921614941329956</v>
      </c>
      <c r="X456" s="1124"/>
      <c r="Y456" s="598"/>
      <c r="Z456" s="1129">
        <f>Stores!AI160+Stores!BK160</f>
        <v>7.3</v>
      </c>
      <c r="AA456" s="1127"/>
      <c r="AB456" s="1163">
        <f>AVERAGE(Z456,Z455)</f>
        <v>7.1999999999999993</v>
      </c>
      <c r="AC456" s="598"/>
      <c r="AD456" s="1120">
        <f>(AB456/AB449-1)*100</f>
        <v>10.769230769230752</v>
      </c>
      <c r="AE456" s="1124"/>
      <c r="AF456" s="1159">
        <f>+H456/AD456*100</f>
        <v>74.56252876742299</v>
      </c>
      <c r="AG456" s="1125"/>
      <c r="AH456" s="598"/>
      <c r="AI456" s="1165">
        <f>+S456</f>
        <v>547.61699999999996</v>
      </c>
      <c r="AJ456" s="598"/>
      <c r="AK456" s="1167">
        <f>AI456/AB456</f>
        <v>76.057916666666671</v>
      </c>
      <c r="AL456" s="598"/>
      <c r="AM456" s="1176">
        <f>(AK456/AK449-1)*100</f>
        <v>2.0408014079439152</v>
      </c>
      <c r="AN456" s="1124"/>
      <c r="AP456" s="562">
        <v>1.5626631439393934</v>
      </c>
      <c r="AQ456" s="1198">
        <f>(AP456/AP449-1)*100</f>
        <v>15.302139049778528</v>
      </c>
      <c r="AR456" s="1198">
        <f>+(AP456/AP449-1)*100</f>
        <v>15.302139049778528</v>
      </c>
      <c r="AS456" s="562">
        <v>1.9733124969696969</v>
      </c>
      <c r="AT456" s="1198">
        <f>(AS456/AS449-1)*100</f>
        <v>-1.3820210832381497</v>
      </c>
      <c r="AU456" s="1198">
        <f>+(AS456/AS449-1)*100</f>
        <v>-1.3820210832381497</v>
      </c>
      <c r="AV456" s="499"/>
      <c r="AW456" s="499"/>
      <c r="AX456" s="499"/>
      <c r="AY456" s="1034">
        <f>AP454*AQ456+AS454*AT456</f>
        <v>-0.2008416047944912</v>
      </c>
      <c r="AZ456" s="499"/>
      <c r="BA456" s="499"/>
      <c r="BB456" s="1193"/>
      <c r="BC456" s="499"/>
      <c r="BD456" s="1193"/>
      <c r="BE456" s="1193"/>
      <c r="BF456" s="1193"/>
      <c r="BG456" s="1193"/>
      <c r="BH456" s="701"/>
    </row>
    <row r="457" spans="1:61" hidden="1" outlineLevel="1">
      <c r="A457" s="598" t="s">
        <v>529</v>
      </c>
      <c r="B457" s="1157" t="s">
        <v>516</v>
      </c>
      <c r="C457" s="598"/>
      <c r="D457" s="1120">
        <f>(S457/S450-1)*100</f>
        <v>2.0867228713701058</v>
      </c>
      <c r="E457" s="598"/>
      <c r="F457" s="1179">
        <f>'SegP&amp;L'!AE139</f>
        <v>4</v>
      </c>
      <c r="G457" s="598"/>
      <c r="H457" s="1120">
        <f>D457-F457</f>
        <v>-1.9132771286298942</v>
      </c>
      <c r="I457" s="598"/>
      <c r="J457" s="598">
        <f>Stores!AF161</f>
        <v>235</v>
      </c>
      <c r="K457" s="1127"/>
      <c r="L457" s="1128">
        <f>AVERAGE(J457,J456)</f>
        <v>233</v>
      </c>
      <c r="M457" s="598"/>
      <c r="N457" s="1120">
        <f>(L457/L450-1)*100</f>
        <v>6.6361556064073124</v>
      </c>
      <c r="O457" s="1124"/>
      <c r="P457" s="1159">
        <f>H457/N457*100</f>
        <v>-28.831107076250518</v>
      </c>
      <c r="Q457" s="1125"/>
      <c r="R457" s="598"/>
      <c r="S457" s="1165">
        <f>'SegP&amp;L'!AC139</f>
        <v>579.77499999999998</v>
      </c>
      <c r="T457" s="598"/>
      <c r="U457" s="1166">
        <f>S457/L457</f>
        <v>2.4883047210300426</v>
      </c>
      <c r="V457" s="598"/>
      <c r="W457" s="1176">
        <f>(U457/U450-1)*100</f>
        <v>-4.2663135304962685</v>
      </c>
      <c r="X457" s="1124"/>
      <c r="Y457" s="598"/>
      <c r="Z457" s="1129">
        <f>Stores!AI161+Stores!BK161</f>
        <v>7.4</v>
      </c>
      <c r="AA457" s="1127"/>
      <c r="AB457" s="1163">
        <f>AVERAGE(Z457,Z456)</f>
        <v>7.35</v>
      </c>
      <c r="AC457" s="598"/>
      <c r="AD457" s="1120">
        <f>(AB457/AB450-1)*100</f>
        <v>8.0882352941176414</v>
      </c>
      <c r="AE457" s="1124"/>
      <c r="AF457" s="1159">
        <f>+H457/AD457*100</f>
        <v>-23.655062681242345</v>
      </c>
      <c r="AG457" s="1125"/>
      <c r="AH457" s="598"/>
      <c r="AI457" s="1165">
        <f>+S457</f>
        <v>579.77499999999998</v>
      </c>
      <c r="AJ457" s="598"/>
      <c r="AK457" s="1167">
        <f>AI457/AB457</f>
        <v>78.88095238095238</v>
      </c>
      <c r="AL457" s="598"/>
      <c r="AM457" s="1176">
        <f>(AK457/AK450-1)*100</f>
        <v>-5.5524196564194828</v>
      </c>
      <c r="AN457" s="1124"/>
      <c r="AP457" s="562">
        <v>1.4219617000000007</v>
      </c>
      <c r="AQ457" s="1198">
        <f>(AP457/AP450-1)*100</f>
        <v>2.2354113555925759</v>
      </c>
      <c r="AR457" s="1198">
        <f>+(AP457/AP450-1)*100</f>
        <v>2.2354113555925759</v>
      </c>
      <c r="AS457" s="562">
        <v>1.7944957939393937</v>
      </c>
      <c r="AT457" s="1198">
        <f>(AS457/AS450-1)*100</f>
        <v>-11.354818557553614</v>
      </c>
      <c r="AU457" s="1198">
        <f>+(AS457/AS450-1)*100</f>
        <v>-11.354818557553614</v>
      </c>
      <c r="AV457" s="499"/>
      <c r="AW457" s="499"/>
      <c r="AX457" s="499"/>
      <c r="AY457" s="1034">
        <f>AP454*AQ457+AS454*AT457</f>
        <v>-10.392678386711406</v>
      </c>
      <c r="AZ457" s="499"/>
      <c r="BA457" s="499"/>
      <c r="BB457" s="1193"/>
      <c r="BC457" s="499"/>
      <c r="BD457" s="1193"/>
      <c r="BE457" s="1193"/>
      <c r="BF457" s="1193"/>
      <c r="BG457" s="1193"/>
      <c r="BH457" s="487"/>
    </row>
    <row r="458" spans="1:61" hidden="1" outlineLevel="1">
      <c r="A458" s="598" t="s">
        <v>530</v>
      </c>
      <c r="B458" s="1157" t="s">
        <v>517</v>
      </c>
      <c r="C458" s="598"/>
      <c r="D458" s="1168">
        <f>(S458/S451-1)*100</f>
        <v>-14.103851156289782</v>
      </c>
      <c r="E458" s="598"/>
      <c r="F458" s="1178">
        <f>'SegP&amp;L'!AE140</f>
        <v>3</v>
      </c>
      <c r="G458" s="598"/>
      <c r="H458" s="1168">
        <f>D458-F458</f>
        <v>-17.103851156289782</v>
      </c>
      <c r="I458" s="598"/>
      <c r="J458" s="598">
        <f>Stores!AF162+Stores!BH162</f>
        <v>242</v>
      </c>
      <c r="K458" s="1127"/>
      <c r="L458" s="1171">
        <f>AVERAGE(J458,J457)</f>
        <v>238.5</v>
      </c>
      <c r="M458" s="598"/>
      <c r="N458" s="1168">
        <f>(L458/L451-1)*100</f>
        <v>5.7649667405764937</v>
      </c>
      <c r="O458" s="1124"/>
      <c r="P458" s="1171">
        <f>H458/N458*100</f>
        <v>-296.68603351871906</v>
      </c>
      <c r="Q458" s="1125"/>
      <c r="R458" s="598"/>
      <c r="S458" s="1172">
        <f>'SegP&amp;L'!AC140</f>
        <v>619.471</v>
      </c>
      <c r="T458" s="598"/>
      <c r="U458" s="1173">
        <f>S458/L458</f>
        <v>2.5973626834381554</v>
      </c>
      <c r="V458" s="598"/>
      <c r="W458" s="1169">
        <f>(U458/U451-1)*100</f>
        <v>-18.78582153351508</v>
      </c>
      <c r="X458" s="1124"/>
      <c r="Y458" s="598"/>
      <c r="Z458" s="1129">
        <f>Stores!AI162+Stores!BK162</f>
        <v>7.6</v>
      </c>
      <c r="AA458" s="1127"/>
      <c r="AB458" s="1174">
        <f>AVERAGE(Z458,Z457)</f>
        <v>7.5</v>
      </c>
      <c r="AC458" s="598"/>
      <c r="AD458" s="1168">
        <f>(AB458/AB451-1)*100</f>
        <v>6.4962726304579332</v>
      </c>
      <c r="AE458" s="1124"/>
      <c r="AF458" s="1171">
        <f>+H458/AD458*100</f>
        <v>-263.28715140583785</v>
      </c>
      <c r="AG458" s="1125"/>
      <c r="AH458" s="598"/>
      <c r="AI458" s="1172">
        <f>+S458</f>
        <v>619.471</v>
      </c>
      <c r="AJ458" s="598"/>
      <c r="AK458" s="1175">
        <f>AI458/AB458</f>
        <v>82.596133333333327</v>
      </c>
      <c r="AL458" s="598"/>
      <c r="AM458" s="1169">
        <f>(AK458/AK451-1)*100</f>
        <v>-19.343516235756109</v>
      </c>
      <c r="AN458" s="1124"/>
      <c r="AP458" s="1201">
        <v>1.3183081765625002</v>
      </c>
      <c r="AQ458" s="1202">
        <f>(AP458/AP451-1)*100</f>
        <v>-9.9783257675767683</v>
      </c>
      <c r="AR458" s="487"/>
      <c r="AS458" s="1201">
        <v>1.4897604796875001</v>
      </c>
      <c r="AT458" s="1202">
        <f>(AS458/AS451-1)*100</f>
        <v>-26.234072776705585</v>
      </c>
      <c r="AU458" s="487"/>
      <c r="AV458" s="499"/>
      <c r="AW458" s="499"/>
      <c r="AX458" s="499"/>
      <c r="AY458" s="1034">
        <f>AP454*AQ458+AS454*AT458</f>
        <v>-25.083223430926555</v>
      </c>
      <c r="AZ458" s="499"/>
      <c r="BA458" s="499"/>
      <c r="BB458" s="1193"/>
      <c r="BC458" s="499"/>
      <c r="BD458" s="1193"/>
      <c r="BE458" s="1193"/>
      <c r="BF458" s="1193"/>
      <c r="BG458" s="1193"/>
      <c r="BH458" s="487"/>
    </row>
    <row r="459" spans="1:61" hidden="1" outlineLevel="1">
      <c r="A459" s="598"/>
      <c r="B459" s="1157" t="s">
        <v>531</v>
      </c>
      <c r="C459" s="598"/>
      <c r="D459" s="1120">
        <f>(S459/S452-1)*100</f>
        <v>1.165905159149494</v>
      </c>
      <c r="E459" s="598"/>
      <c r="F459" s="1179">
        <f>'SegP&amp;L'!AE141</f>
        <v>4</v>
      </c>
      <c r="G459" s="598"/>
      <c r="H459" s="1120">
        <f>D459-F459</f>
        <v>-2.834094840850506</v>
      </c>
      <c r="I459" s="598"/>
      <c r="J459" s="598"/>
      <c r="K459" s="598"/>
      <c r="L459" s="1128">
        <f>AVERAGE(L455:L458)</f>
        <v>231.75</v>
      </c>
      <c r="M459" s="598"/>
      <c r="N459" s="1120">
        <f>(L459/L452-1)*100</f>
        <v>7.0438799076212533</v>
      </c>
      <c r="O459" s="1124"/>
      <c r="P459" s="1159">
        <f>H459/N459*100</f>
        <v>-40.234854625844854</v>
      </c>
      <c r="Q459" s="1125"/>
      <c r="R459" s="598"/>
      <c r="S459" s="1160">
        <f>SUM(S455:S458)</f>
        <v>2242.0569999999998</v>
      </c>
      <c r="T459" s="598"/>
      <c r="U459" s="1161">
        <f>SUM(U455:U458)</f>
        <v>9.6632949915393489</v>
      </c>
      <c r="V459" s="598"/>
      <c r="W459" s="1176">
        <f>(U459/U452-1)*100</f>
        <v>-5.1761917034787501</v>
      </c>
      <c r="X459" s="1124"/>
      <c r="Y459" s="598"/>
      <c r="Z459" s="598"/>
      <c r="AA459" s="598"/>
      <c r="AB459" s="1163">
        <f>AVERAGE(AB455:AB458)</f>
        <v>7.2856249999999996</v>
      </c>
      <c r="AC459" s="598"/>
      <c r="AD459" s="1120">
        <f>(AB459/AB452-1)*100</f>
        <v>8.771111318465973</v>
      </c>
      <c r="AE459" s="1124"/>
      <c r="AF459" s="1159">
        <f>+H459/AD459*100</f>
        <v>-32.311696180207363</v>
      </c>
      <c r="AG459" s="1125"/>
      <c r="AH459" s="598"/>
      <c r="AI459" s="1160">
        <f>SUM(AI455:AI458)</f>
        <v>2242.0569999999998</v>
      </c>
      <c r="AJ459" s="598"/>
      <c r="AK459" s="1164">
        <f>SUM(AK455:AK458)</f>
        <v>307.35438905701864</v>
      </c>
      <c r="AL459" s="598"/>
      <c r="AM459" s="1176">
        <f>(AK459/AK452-1)*100</f>
        <v>-6.6027562922660881</v>
      </c>
      <c r="AN459" s="1124"/>
      <c r="AP459" s="562">
        <v>1.459643025769231</v>
      </c>
      <c r="AQ459" s="1198">
        <f>(AP459/AP452-1)*100</f>
        <v>5.4024327542853801</v>
      </c>
      <c r="AR459" s="1198"/>
      <c r="AS459" s="562">
        <v>1.811126701923077</v>
      </c>
      <c r="AT459" s="1198">
        <f>(AS459/AS452-1)*100</f>
        <v>-9.5587772920233576</v>
      </c>
      <c r="AU459" s="1198"/>
      <c r="AV459" s="499"/>
      <c r="AW459" s="499"/>
      <c r="AX459" s="499"/>
      <c r="AY459" s="1034">
        <f>AP454*AQ459+AS454*AT459</f>
        <v>-8.4995765807802606</v>
      </c>
      <c r="AZ459" s="499"/>
      <c r="BA459" s="499"/>
      <c r="BB459" s="1088"/>
      <c r="BC459" s="499"/>
      <c r="BD459" s="1088"/>
      <c r="BE459" s="1088"/>
      <c r="BF459" s="1088"/>
      <c r="BG459" s="1193"/>
      <c r="BH459" s="487"/>
    </row>
    <row r="460" spans="1:61" ht="13.5" hidden="1" outlineLevel="1" thickBot="1">
      <c r="A460" s="598"/>
      <c r="B460" s="1157"/>
      <c r="C460" s="598"/>
      <c r="D460" s="1120"/>
      <c r="E460" s="598"/>
      <c r="F460" s="1179"/>
      <c r="G460" s="598"/>
      <c r="H460" s="1120"/>
      <c r="I460" s="598"/>
      <c r="J460" s="598"/>
      <c r="K460" s="598"/>
      <c r="L460" s="1128"/>
      <c r="M460" s="598"/>
      <c r="N460" s="1120"/>
      <c r="O460" s="1124"/>
      <c r="P460" s="1159"/>
      <c r="Q460" s="1125"/>
      <c r="R460" s="598"/>
      <c r="S460" s="1160">
        <f>370*0.12</f>
        <v>44.4</v>
      </c>
      <c r="T460" s="598"/>
      <c r="U460" s="1161"/>
      <c r="V460" s="598"/>
      <c r="W460" s="1176"/>
      <c r="X460" s="1124"/>
      <c r="Y460" s="598"/>
      <c r="Z460" s="598"/>
      <c r="AA460" s="598"/>
      <c r="AB460" s="1163"/>
      <c r="AC460" s="598"/>
      <c r="AD460" s="1120"/>
      <c r="AE460" s="1124"/>
      <c r="AF460" s="1159"/>
      <c r="AG460" s="1125"/>
      <c r="AH460" s="598"/>
      <c r="AI460" s="1160"/>
      <c r="AJ460" s="598"/>
      <c r="AK460" s="1164"/>
      <c r="AL460" s="598"/>
      <c r="AM460" s="1176"/>
      <c r="AN460" s="1124"/>
      <c r="AP460" s="487"/>
      <c r="AQ460" s="487"/>
      <c r="AR460" s="487"/>
      <c r="AS460" s="487"/>
      <c r="AT460" s="487"/>
      <c r="AU460" s="487"/>
      <c r="AV460" s="499"/>
      <c r="AW460" s="499"/>
      <c r="AX460" s="499"/>
      <c r="AY460" s="499"/>
      <c r="AZ460" s="499"/>
      <c r="BA460" s="499"/>
      <c r="BB460" s="1193"/>
      <c r="BC460" s="499"/>
      <c r="BD460" s="1193"/>
      <c r="BE460" s="1193"/>
      <c r="BF460" s="1193"/>
      <c r="BG460" s="1193"/>
      <c r="BH460" s="487"/>
    </row>
    <row r="461" spans="1:61" ht="13.5" hidden="1" outlineLevel="1" thickBot="1">
      <c r="A461" s="1154"/>
      <c r="B461" s="1118">
        <f>+B454+1</f>
        <v>2009</v>
      </c>
      <c r="C461" s="598"/>
      <c r="D461" s="598"/>
      <c r="E461" s="1124"/>
      <c r="F461" s="598"/>
      <c r="G461" s="1124"/>
      <c r="H461" s="598"/>
      <c r="I461" s="1124"/>
      <c r="J461" s="598"/>
      <c r="K461" s="598"/>
      <c r="L461" s="598"/>
      <c r="M461" s="598"/>
      <c r="N461" s="598"/>
      <c r="O461" s="1124"/>
      <c r="P461" s="1125"/>
      <c r="Q461" s="1125"/>
      <c r="R461" s="598"/>
      <c r="S461" s="1165"/>
      <c r="T461" s="598"/>
      <c r="U461" s="598"/>
      <c r="V461" s="598"/>
      <c r="W461" s="598"/>
      <c r="X461" s="1124"/>
      <c r="Y461" s="598"/>
      <c r="Z461" s="598"/>
      <c r="AA461" s="598"/>
      <c r="AB461" s="598"/>
      <c r="AC461" s="598"/>
      <c r="AD461" s="598"/>
      <c r="AE461" s="1124"/>
      <c r="AF461" s="1125"/>
      <c r="AG461" s="1125"/>
      <c r="AH461" s="598"/>
      <c r="AI461" s="598"/>
      <c r="AJ461" s="598"/>
      <c r="AK461" s="598"/>
      <c r="AL461" s="598"/>
      <c r="AM461" s="598"/>
      <c r="AN461" s="1124"/>
      <c r="AP461" s="1196">
        <f>1-AS461</f>
        <v>9.9173553719008267E-2</v>
      </c>
      <c r="AQ461" s="735"/>
      <c r="AR461" s="487"/>
      <c r="AS461" s="1196">
        <f>(211+7)/(235+7)</f>
        <v>0.90082644628099173</v>
      </c>
      <c r="AT461" s="735"/>
      <c r="AU461" s="487"/>
      <c r="AV461" s="499"/>
      <c r="AW461" s="499"/>
      <c r="AX461" s="499"/>
      <c r="AY461" s="499"/>
      <c r="AZ461" s="499"/>
      <c r="BA461" s="499"/>
      <c r="BB461" s="1193"/>
      <c r="BC461" s="499"/>
      <c r="BD461" s="1193"/>
      <c r="BE461" s="1193"/>
      <c r="BF461" s="1193"/>
      <c r="BG461" s="1193"/>
      <c r="BH461" s="487"/>
    </row>
    <row r="462" spans="1:61" hidden="1" outlineLevel="1">
      <c r="A462" s="598" t="s">
        <v>527</v>
      </c>
      <c r="B462" s="1157" t="s">
        <v>514</v>
      </c>
      <c r="C462" s="598"/>
      <c r="D462" s="1120">
        <f>(S462/S455-1)*100</f>
        <v>-15.076919348780482</v>
      </c>
      <c r="E462" s="1124" t="s">
        <v>190</v>
      </c>
      <c r="F462" s="1179">
        <f>'SegP&amp;L'!AE144</f>
        <v>6</v>
      </c>
      <c r="G462" s="1124" t="s">
        <v>190</v>
      </c>
      <c r="H462" s="1120">
        <f>D462-F462</f>
        <v>-21.076919348780482</v>
      </c>
      <c r="I462" s="1124" t="s">
        <v>190</v>
      </c>
      <c r="J462" s="598">
        <f>Stores!AF166+Stores!BH166</f>
        <v>246</v>
      </c>
      <c r="K462" s="598"/>
      <c r="L462" s="1128">
        <f>AVERAGE(J462,J458)</f>
        <v>244</v>
      </c>
      <c r="M462" s="598"/>
      <c r="N462" s="1120">
        <f>(L462/L455-1)*100</f>
        <v>7.7262693156732842</v>
      </c>
      <c r="O462" s="1124" t="s">
        <v>190</v>
      </c>
      <c r="P462" s="1159">
        <f>H462/N462*100</f>
        <v>-272.79555614278752</v>
      </c>
      <c r="Q462" s="1125" t="s">
        <v>190</v>
      </c>
      <c r="R462" s="598"/>
      <c r="S462" s="1165">
        <f>'SegP&amp;L'!AC144</f>
        <v>420.53399999999999</v>
      </c>
      <c r="T462" s="598"/>
      <c r="U462" s="1161">
        <f>S462/L462</f>
        <v>1.7235</v>
      </c>
      <c r="V462" s="598"/>
      <c r="W462" s="1176">
        <f>(U462/U455-1)*100</f>
        <v>-21.167714067617936</v>
      </c>
      <c r="X462" s="1124" t="s">
        <v>190</v>
      </c>
      <c r="Y462" s="598"/>
      <c r="Z462" s="1129">
        <f>Stores!AI166+Stores!BK166</f>
        <v>7.8</v>
      </c>
      <c r="AA462" s="598"/>
      <c r="AB462" s="1163">
        <f>AVERAGE(Z462,Z458)</f>
        <v>7.6999999999999993</v>
      </c>
      <c r="AC462" s="598"/>
      <c r="AD462" s="1120">
        <f>(AB462/AB455-1)*100</f>
        <v>8.5653859710962177</v>
      </c>
      <c r="AE462" s="1124" t="s">
        <v>190</v>
      </c>
      <c r="AF462" s="1159">
        <f>+H462/AD462*100</f>
        <v>-246.07086498967203</v>
      </c>
      <c r="AG462" s="1125" t="s">
        <v>190</v>
      </c>
      <c r="AH462" s="598"/>
      <c r="AI462" s="1160">
        <f>+S462</f>
        <v>420.53399999999999</v>
      </c>
      <c r="AJ462" s="598"/>
      <c r="AK462" s="1164">
        <f>AI462/AB462</f>
        <v>54.6148051948052</v>
      </c>
      <c r="AL462" s="598"/>
      <c r="AM462" s="1176">
        <f>(AK462/AK455-1)*100</f>
        <v>-21.777019543016308</v>
      </c>
      <c r="AN462" s="1124" t="s">
        <v>190</v>
      </c>
      <c r="AP462" s="562">
        <v>1.3013190953125</v>
      </c>
      <c r="AQ462" s="1198">
        <f>(AP462/AP455-1)*100</f>
        <v>-15.145968128853104</v>
      </c>
      <c r="AR462" s="1203" t="s">
        <v>190</v>
      </c>
      <c r="AS462" s="562">
        <v>1.4428010921874999</v>
      </c>
      <c r="AT462" s="1198">
        <f>(AS462/AS455-1)*100</f>
        <v>-27.219089343826795</v>
      </c>
      <c r="AU462" s="1203" t="s">
        <v>190</v>
      </c>
      <c r="AV462" s="499"/>
      <c r="AW462" s="499"/>
      <c r="AX462" s="499"/>
      <c r="AY462" s="1034">
        <f>AP461*AQ462+AS461*AT462</f>
        <v>-26.021755008457504</v>
      </c>
      <c r="AZ462" s="499"/>
    </row>
    <row r="463" spans="1:61" hidden="1" outlineLevel="1">
      <c r="A463" s="598" t="s">
        <v>528</v>
      </c>
      <c r="B463" s="1157" t="s">
        <v>515</v>
      </c>
      <c r="C463" s="598"/>
      <c r="D463" s="1120">
        <f>(S463/S456-1)*100</f>
        <v>-6.5790506868851679</v>
      </c>
      <c r="E463" s="598"/>
      <c r="F463" s="1179">
        <f>'SegP&amp;L'!AE145</f>
        <v>6</v>
      </c>
      <c r="G463" s="598"/>
      <c r="H463" s="1120">
        <f>D463-F463</f>
        <v>-12.579050686885168</v>
      </c>
      <c r="I463" s="598"/>
      <c r="J463" s="598">
        <f>Stores!AF167+Stores!BH167</f>
        <v>252</v>
      </c>
      <c r="K463" s="1127"/>
      <c r="L463" s="1128">
        <f>AVERAGE(J463,J462)</f>
        <v>249</v>
      </c>
      <c r="M463" s="598"/>
      <c r="N463" s="1120">
        <f>(L463/L456-1)*100</f>
        <v>8.7336244541484689</v>
      </c>
      <c r="O463" s="1124"/>
      <c r="P463" s="1159">
        <f>H463/N463*100</f>
        <v>-144.0301303648352</v>
      </c>
      <c r="Q463" s="1180"/>
      <c r="R463" s="598"/>
      <c r="S463" s="1165">
        <f>'SegP&amp;L'!AC145</f>
        <v>511.589</v>
      </c>
      <c r="T463" s="598"/>
      <c r="U463" s="1166">
        <f>S463/L463</f>
        <v>2.0545742971887551</v>
      </c>
      <c r="V463" s="598"/>
      <c r="W463" s="1176">
        <f>(U463/U456-1)*100</f>
        <v>-14.082741394765886</v>
      </c>
      <c r="X463" s="1124"/>
      <c r="Y463" s="598"/>
      <c r="Z463" s="1129">
        <f>Stores!AI167+Stores!BK167</f>
        <v>8.1</v>
      </c>
      <c r="AA463" s="1127"/>
      <c r="AB463" s="1163">
        <f>AVERAGE(Z463,Z462)</f>
        <v>7.9499999999999993</v>
      </c>
      <c r="AC463" s="598"/>
      <c r="AD463" s="1120">
        <f>(AB463/AB456-1)*100</f>
        <v>10.416666666666675</v>
      </c>
      <c r="AE463" s="1124"/>
      <c r="AF463" s="1159">
        <f>+H463/AD463*100</f>
        <v>-120.75888659409753</v>
      </c>
      <c r="AG463" s="1125"/>
      <c r="AH463" s="598"/>
      <c r="AI463" s="1165">
        <f>+S463</f>
        <v>511.589</v>
      </c>
      <c r="AJ463" s="598"/>
      <c r="AK463" s="1167">
        <f>AI463/AB463</f>
        <v>64.350817610062904</v>
      </c>
      <c r="AL463" s="598"/>
      <c r="AM463" s="1176">
        <f>(AK463/AK456-1)*100</f>
        <v>-15.392347791896</v>
      </c>
      <c r="AN463" s="1124"/>
      <c r="AP463" s="562">
        <v>1.3910041212121216</v>
      </c>
      <c r="AQ463" s="1198">
        <f>(AP463/AP456-1)*100</f>
        <v>-10.985030484210967</v>
      </c>
      <c r="AR463" s="1198">
        <f>+(AP463/AP456-1)*100</f>
        <v>-10.985030484210967</v>
      </c>
      <c r="AS463" s="562">
        <v>1.604099609090909</v>
      </c>
      <c r="AT463" s="1198">
        <f>(AS463/AS456-1)*100</f>
        <v>-18.710310122992023</v>
      </c>
      <c r="AU463" s="1198">
        <f>+(AS463/AS456-1)*100</f>
        <v>-18.710310122992023</v>
      </c>
      <c r="AV463" s="499"/>
      <c r="AW463" s="499"/>
      <c r="AX463" s="499"/>
      <c r="AY463" s="1034">
        <f>AP461*AQ463+AS461*AT463</f>
        <v>-17.944166687741006</v>
      </c>
      <c r="AZ463" s="499"/>
      <c r="BA463" s="499"/>
      <c r="BB463" s="1193"/>
      <c r="BC463" s="499"/>
      <c r="BD463" s="1193"/>
      <c r="BE463" s="1193"/>
      <c r="BF463" s="1193"/>
      <c r="BG463" s="1193"/>
      <c r="BH463" s="701"/>
    </row>
    <row r="464" spans="1:61" hidden="1" outlineLevel="1">
      <c r="A464" s="598" t="s">
        <v>529</v>
      </c>
      <c r="B464" s="1157" t="s">
        <v>516</v>
      </c>
      <c r="C464" s="598"/>
      <c r="D464" s="1120">
        <f>(S464/S457-1)*100</f>
        <v>4.0184554352981738</v>
      </c>
      <c r="E464" s="598"/>
      <c r="F464" s="1179">
        <f>'SegP&amp;L'!AE146</f>
        <v>1</v>
      </c>
      <c r="G464" s="598"/>
      <c r="H464" s="1120">
        <f>D464-F464</f>
        <v>3.0184554352981738</v>
      </c>
      <c r="I464" s="598"/>
      <c r="J464" s="598">
        <f>Stores!AF168+Stores!BH168</f>
        <v>276</v>
      </c>
      <c r="K464" s="1127"/>
      <c r="L464" s="1128">
        <f>AVERAGE(J464,J463)</f>
        <v>264</v>
      </c>
      <c r="M464" s="598"/>
      <c r="N464" s="1120">
        <f>(L464/L457-1)*100</f>
        <v>13.30472103004292</v>
      </c>
      <c r="O464" s="1124"/>
      <c r="P464" s="1159">
        <f>H464/N464*100</f>
        <v>22.687100529821755</v>
      </c>
      <c r="Q464" s="1180"/>
      <c r="R464" s="598"/>
      <c r="S464" s="1165">
        <f>'SegP&amp;L'!AC146</f>
        <v>603.07299999999998</v>
      </c>
      <c r="T464" s="598"/>
      <c r="U464" s="1166">
        <f>S464/L464</f>
        <v>2.2843674242424243</v>
      </c>
      <c r="V464" s="598"/>
      <c r="W464" s="1176">
        <f>(U464/U457-1)*100</f>
        <v>-8.1958328923315236</v>
      </c>
      <c r="X464" s="1124"/>
      <c r="Y464" s="598"/>
      <c r="Z464" s="1129">
        <f>Stores!AI168+Stores!BK168</f>
        <v>8.7000000000000011</v>
      </c>
      <c r="AA464" s="1127"/>
      <c r="AB464" s="1163">
        <f>AVERAGE(Z464,Z463)</f>
        <v>8.4</v>
      </c>
      <c r="AC464" s="598"/>
      <c r="AD464" s="1120">
        <f>(AB464/AB457-1)*100</f>
        <v>14.285714285714302</v>
      </c>
      <c r="AE464" s="1124"/>
      <c r="AF464" s="1159">
        <f>+H464/AD464*100</f>
        <v>21.12918804708719</v>
      </c>
      <c r="AG464" s="1125"/>
      <c r="AH464" s="598"/>
      <c r="AI464" s="1165">
        <f>+S464</f>
        <v>603.07299999999998</v>
      </c>
      <c r="AJ464" s="598"/>
      <c r="AK464" s="1167">
        <f>AI464/AB464</f>
        <v>71.794404761904758</v>
      </c>
      <c r="AL464" s="598"/>
      <c r="AM464" s="1176">
        <f>(AK464/AK457-1)*100</f>
        <v>-8.9838514941141039</v>
      </c>
      <c r="AN464" s="1124"/>
      <c r="AP464" s="562">
        <v>1.4547003723076928</v>
      </c>
      <c r="AQ464" s="1198">
        <f>(AP464/AP457-1)*100</f>
        <v>2.3023596421543724</v>
      </c>
      <c r="AR464" s="1198">
        <f>+(AP464/AP457-1)*100</f>
        <v>2.3023596421543724</v>
      </c>
      <c r="AS464" s="562">
        <v>1.6350249892307696</v>
      </c>
      <c r="AT464" s="1198">
        <f>(AS464/AS457-1)*100</f>
        <v>-8.8866636103138159</v>
      </c>
      <c r="AU464" s="1198">
        <f>+(AS464/AS457-1)*100</f>
        <v>-8.8866636103138159</v>
      </c>
      <c r="AV464" s="499"/>
      <c r="AW464" s="499"/>
      <c r="AX464" s="499"/>
      <c r="AY464" s="1034">
        <f>AP461*AQ464+AS461*AT464</f>
        <v>-7.7770084117219298</v>
      </c>
      <c r="AZ464" s="499"/>
      <c r="BA464" s="499"/>
      <c r="BB464" s="1193"/>
      <c r="BC464" s="499"/>
      <c r="BD464" s="1193"/>
      <c r="BE464" s="1193"/>
      <c r="BF464" s="1193"/>
      <c r="BG464" s="1193"/>
      <c r="BH464" s="487"/>
    </row>
    <row r="465" spans="1:61" hidden="1" outlineLevel="1">
      <c r="A465" s="598" t="s">
        <v>530</v>
      </c>
      <c r="B465" s="1157" t="s">
        <v>517</v>
      </c>
      <c r="C465" s="598"/>
      <c r="D465" s="1168">
        <f>(S465/S458-1)*100</f>
        <v>19.497603600491399</v>
      </c>
      <c r="E465" s="598"/>
      <c r="F465" s="1178">
        <f>'SegP&amp;L'!AE147</f>
        <v>6</v>
      </c>
      <c r="G465" s="598"/>
      <c r="H465" s="1168">
        <f>D465-F465</f>
        <v>13.497603600491399</v>
      </c>
      <c r="I465" s="598"/>
      <c r="J465" s="598">
        <f>Stores!AF169+Stores!BH169</f>
        <v>277</v>
      </c>
      <c r="K465" s="1127"/>
      <c r="L465" s="1171">
        <f>AVERAGE(J465,J464)</f>
        <v>276.5</v>
      </c>
      <c r="M465" s="598"/>
      <c r="N465" s="1168">
        <f>(L465/L458-1)*100</f>
        <v>15.932914046121581</v>
      </c>
      <c r="O465" s="1124"/>
      <c r="P465" s="1171">
        <f>H465/N465*100</f>
        <v>84.715222597821082</v>
      </c>
      <c r="Q465" s="1180"/>
      <c r="R465" s="598"/>
      <c r="S465" s="1172">
        <f>'SegP&amp;L'!AC147</f>
        <v>740.25300000000004</v>
      </c>
      <c r="T465" s="598"/>
      <c r="U465" s="1173">
        <f>S465/L465</f>
        <v>2.6772260397830019</v>
      </c>
      <c r="V465" s="598"/>
      <c r="W465" s="1169">
        <f>(U465/U458-1)*100</f>
        <v>3.0747864691399451</v>
      </c>
      <c r="X465" s="1124"/>
      <c r="Y465" s="598"/>
      <c r="Z465" s="1129">
        <f>Stores!AI169+Stores!BK169</f>
        <v>8.8000000000000007</v>
      </c>
      <c r="AA465" s="1127"/>
      <c r="AB465" s="1174">
        <f>AVERAGE(Z465,Z464)</f>
        <v>8.75</v>
      </c>
      <c r="AC465" s="598"/>
      <c r="AD465" s="1168">
        <f>(AB465/AB458-1)*100</f>
        <v>16.666666666666675</v>
      </c>
      <c r="AE465" s="1124"/>
      <c r="AF465" s="1171">
        <f>+H465/AD465*100</f>
        <v>80.985621602948356</v>
      </c>
      <c r="AG465" s="1125"/>
      <c r="AH465" s="598"/>
      <c r="AI465" s="1172">
        <f>+S465</f>
        <v>740.25300000000004</v>
      </c>
      <c r="AJ465" s="598"/>
      <c r="AK465" s="1175">
        <f>AI465/AB465</f>
        <v>84.600342857142863</v>
      </c>
      <c r="AL465" s="598"/>
      <c r="AM465" s="1169">
        <f>(AK465/AK458-1)*100</f>
        <v>2.426517371849779</v>
      </c>
      <c r="AN465" s="1124"/>
      <c r="AP465" s="1201">
        <v>1.4606120437499999</v>
      </c>
      <c r="AQ465" s="1202">
        <f>(AP465/AP458-1)*100</f>
        <v>10.794431053181984</v>
      </c>
      <c r="AR465" s="487"/>
      <c r="AS465" s="1201">
        <v>1.6330691484374997</v>
      </c>
      <c r="AT465" s="1202">
        <f>(AS465/AS458-1)*100</f>
        <v>9.6195778250246491</v>
      </c>
      <c r="AU465" s="487"/>
      <c r="AV465" s="499"/>
      <c r="AW465" s="499"/>
      <c r="AX465" s="499"/>
      <c r="AY465" s="1034">
        <f>AP461*AQ465+AS461*AT465</f>
        <v>9.7360921947592605</v>
      </c>
      <c r="AZ465" s="499"/>
      <c r="BA465" s="499"/>
      <c r="BB465" s="1193"/>
      <c r="BC465" s="499"/>
      <c r="BD465" s="1193"/>
      <c r="BE465" s="1193"/>
      <c r="BF465" s="1193"/>
      <c r="BG465" s="1193"/>
      <c r="BH465" s="487"/>
    </row>
    <row r="466" spans="1:61" hidden="1" outlineLevel="1">
      <c r="A466" s="598"/>
      <c r="B466" s="1157" t="s">
        <v>531</v>
      </c>
      <c r="C466" s="598"/>
      <c r="D466" s="1120">
        <f>(S466/S459-1)*100</f>
        <v>1.4893466134001221</v>
      </c>
      <c r="E466" s="598"/>
      <c r="F466" s="1179">
        <f>'SegP&amp;L'!AE148</f>
        <v>5</v>
      </c>
      <c r="G466" s="598"/>
      <c r="H466" s="1120">
        <f>D466-F466</f>
        <v>-3.5106533865998779</v>
      </c>
      <c r="I466" s="598"/>
      <c r="J466" s="598"/>
      <c r="K466" s="598"/>
      <c r="L466" s="1128">
        <f>AVERAGE(L462:L465)</f>
        <v>258.375</v>
      </c>
      <c r="M466" s="598"/>
      <c r="N466" s="1120">
        <f>(L466/L459-1)*100</f>
        <v>11.488673139158578</v>
      </c>
      <c r="O466" s="1124"/>
      <c r="P466" s="1159">
        <f>H466/N466*100</f>
        <v>-30.557518210122876</v>
      </c>
      <c r="Q466" s="1125"/>
      <c r="R466" s="598"/>
      <c r="S466" s="1160">
        <f>SUM(S462:S465)</f>
        <v>2275.4490000000001</v>
      </c>
      <c r="T466" s="598"/>
      <c r="U466" s="1161">
        <f>SUM(U462:U465)</f>
        <v>8.7396677612141822</v>
      </c>
      <c r="V466" s="598"/>
      <c r="W466" s="1176">
        <f>(U466/U459-1)*100</f>
        <v>-9.5580982587600172</v>
      </c>
      <c r="X466" s="1124"/>
      <c r="Y466" s="598"/>
      <c r="Z466" s="598"/>
      <c r="AA466" s="598"/>
      <c r="AB466" s="1163">
        <f>AVERAGE(AB462:AB465)</f>
        <v>8.1999999999999993</v>
      </c>
      <c r="AC466" s="598"/>
      <c r="AD466" s="1120">
        <f>(AB466/AB459-1)*100</f>
        <v>12.550398901947336</v>
      </c>
      <c r="AE466" s="1124"/>
      <c r="AF466" s="1159">
        <f>+H466/AD466*100</f>
        <v>-27.972444653174811</v>
      </c>
      <c r="AG466" s="1125"/>
      <c r="AH466" s="598"/>
      <c r="AI466" s="1160">
        <f>SUM(AI462:AI465)</f>
        <v>2275.4490000000001</v>
      </c>
      <c r="AJ466" s="598"/>
      <c r="AK466" s="1164">
        <f>SUM(AK462:AK465)</f>
        <v>275.3603704239157</v>
      </c>
      <c r="AL466" s="598"/>
      <c r="AM466" s="1176">
        <f>(AK466/AK459-1)*100</f>
        <v>-10.409488125828448</v>
      </c>
      <c r="AN466" s="1124"/>
      <c r="AP466" s="562">
        <v>1.4020285293436296</v>
      </c>
      <c r="AQ466" s="1198">
        <f>(AP466/AP459-1)*100</f>
        <v>-3.9471634782236253</v>
      </c>
      <c r="AR466" s="1198"/>
      <c r="AS466" s="562">
        <v>1.5791617525096533</v>
      </c>
      <c r="AT466" s="1198">
        <f>(AS466/AS459-1)*100</f>
        <v>-12.807770387743744</v>
      </c>
      <c r="AU466" s="1198"/>
      <c r="AV466" s="499"/>
      <c r="AW466" s="499"/>
      <c r="AX466" s="499"/>
      <c r="AY466" s="1034">
        <f>AP461*AQ466+AS461*AT466</f>
        <v>-11.929032512419436</v>
      </c>
      <c r="AZ466" s="499"/>
      <c r="BA466" s="499">
        <v>-11</v>
      </c>
      <c r="BB466" s="1088"/>
      <c r="BC466" s="499"/>
      <c r="BD466" s="1088"/>
      <c r="BE466" s="1088"/>
      <c r="BF466" s="1088"/>
      <c r="BG466" s="1193"/>
      <c r="BH466" s="487"/>
    </row>
    <row r="467" spans="1:61" ht="13.5" hidden="1" outlineLevel="1" thickBot="1">
      <c r="A467" s="598"/>
      <c r="B467" s="1157"/>
      <c r="C467" s="598"/>
      <c r="D467" s="1120"/>
      <c r="E467" s="598"/>
      <c r="F467" s="1179"/>
      <c r="G467" s="598"/>
      <c r="H467" s="1120"/>
      <c r="I467" s="598"/>
      <c r="J467" s="598"/>
      <c r="K467" s="598"/>
      <c r="L467" s="1128"/>
      <c r="M467" s="598"/>
      <c r="N467" s="1120"/>
      <c r="O467" s="1124"/>
      <c r="P467" s="1159"/>
      <c r="Q467" s="1125"/>
      <c r="R467" s="598"/>
      <c r="S467" s="1160"/>
      <c r="T467" s="598"/>
      <c r="U467" s="1161"/>
      <c r="V467" s="598"/>
      <c r="W467" s="1176"/>
      <c r="X467" s="1124"/>
      <c r="Y467" s="598"/>
      <c r="Z467" s="598"/>
      <c r="AA467" s="598"/>
      <c r="AB467" s="1163"/>
      <c r="AC467" s="598"/>
      <c r="AD467" s="1120"/>
      <c r="AE467" s="1124"/>
      <c r="AF467" s="1159"/>
      <c r="AG467" s="1125"/>
      <c r="AH467" s="598"/>
      <c r="AI467" s="1160"/>
      <c r="AJ467" s="598"/>
      <c r="AK467" s="1164"/>
      <c r="AL467" s="598"/>
      <c r="AM467" s="1176"/>
      <c r="AN467" s="1124"/>
      <c r="AP467" s="487"/>
      <c r="AQ467" s="487"/>
      <c r="AR467" s="487"/>
      <c r="AS467" s="487"/>
      <c r="AT467" s="487"/>
      <c r="AU467" s="487"/>
      <c r="AV467" s="499"/>
      <c r="AW467" s="499"/>
      <c r="AX467" s="499"/>
      <c r="AY467" s="499"/>
      <c r="AZ467" s="499"/>
      <c r="BA467" s="499"/>
      <c r="BB467" s="1193"/>
      <c r="BC467" s="499"/>
      <c r="BD467" s="1193"/>
      <c r="BE467" s="1193"/>
      <c r="BF467" s="1193"/>
      <c r="BG467" s="1193"/>
      <c r="BH467" s="487"/>
    </row>
    <row r="468" spans="1:61" ht="13.5" hidden="1" outlineLevel="1" thickBot="1">
      <c r="A468" s="1154"/>
      <c r="B468" s="1118">
        <f>+B461+1</f>
        <v>2010</v>
      </c>
      <c r="C468" s="598"/>
      <c r="D468" s="598"/>
      <c r="E468" s="1124"/>
      <c r="F468" s="598"/>
      <c r="G468" s="1124"/>
      <c r="H468" s="598"/>
      <c r="I468" s="1124"/>
      <c r="J468" s="598"/>
      <c r="K468" s="598"/>
      <c r="L468" s="598"/>
      <c r="M468" s="598"/>
      <c r="N468" s="598"/>
      <c r="O468" s="1124"/>
      <c r="P468" s="1125"/>
      <c r="Q468" s="1125"/>
      <c r="R468" s="598"/>
      <c r="S468" s="1165"/>
      <c r="T468" s="598"/>
      <c r="U468" s="598"/>
      <c r="V468" s="598"/>
      <c r="W468" s="598"/>
      <c r="X468" s="1124"/>
      <c r="Y468" s="598"/>
      <c r="Z468" s="598"/>
      <c r="AA468" s="598"/>
      <c r="AB468" s="598"/>
      <c r="AC468" s="598"/>
      <c r="AD468" s="598"/>
      <c r="AE468" s="1124"/>
      <c r="AF468" s="1125"/>
      <c r="AG468" s="1125"/>
      <c r="AH468" s="598"/>
      <c r="AI468" s="598"/>
      <c r="AJ468" s="598"/>
      <c r="AK468" s="598"/>
      <c r="AL468" s="598"/>
      <c r="AM468" s="598"/>
      <c r="AN468" s="1124"/>
      <c r="AP468" s="1196">
        <f>1-AS468</f>
        <v>0.15523465703971118</v>
      </c>
      <c r="AQ468" s="735"/>
      <c r="AR468" s="487"/>
      <c r="AS468" s="1196">
        <f>(220+14)/(263+14)</f>
        <v>0.84476534296028882</v>
      </c>
      <c r="AT468" s="735"/>
      <c r="AU468" s="487"/>
      <c r="AV468" s="499"/>
      <c r="AW468" s="499"/>
      <c r="AX468" s="499"/>
      <c r="AY468" s="499"/>
      <c r="AZ468" s="499"/>
      <c r="BA468" s="499"/>
      <c r="BB468" s="1193"/>
      <c r="BC468" s="499"/>
      <c r="BD468" s="1193"/>
      <c r="BE468" s="1193"/>
      <c r="BF468" s="1193"/>
      <c r="BG468" s="1193"/>
      <c r="BH468" s="487"/>
    </row>
    <row r="469" spans="1:61" hidden="1" outlineLevel="1">
      <c r="A469" s="598" t="s">
        <v>527</v>
      </c>
      <c r="B469" s="1157" t="s">
        <v>514</v>
      </c>
      <c r="C469" s="598"/>
      <c r="D469" s="1120">
        <f>(S469/S462-1)*100</f>
        <v>22.520414520585732</v>
      </c>
      <c r="E469" s="1124" t="s">
        <v>190</v>
      </c>
      <c r="F469" s="1179">
        <f>'SegP&amp;L'!AE151</f>
        <v>1</v>
      </c>
      <c r="G469" s="1124" t="s">
        <v>190</v>
      </c>
      <c r="H469" s="1120">
        <f>D469-F469</f>
        <v>21.520414520585732</v>
      </c>
      <c r="I469" s="1124" t="s">
        <v>190</v>
      </c>
      <c r="J469" s="598">
        <f>Stores!AF173+Stores!BH173</f>
        <v>286</v>
      </c>
      <c r="K469" s="598"/>
      <c r="L469" s="1128">
        <f>AVERAGE(J469,J465)</f>
        <v>281.5</v>
      </c>
      <c r="M469" s="598"/>
      <c r="N469" s="1120">
        <f>(L469/L462-1)*100</f>
        <v>15.368852459016402</v>
      </c>
      <c r="O469" s="1124" t="s">
        <v>190</v>
      </c>
      <c r="P469" s="1159">
        <f>H469/N469*100</f>
        <v>140.02616381394441</v>
      </c>
      <c r="Q469" s="1125" t="s">
        <v>190</v>
      </c>
      <c r="R469" s="598"/>
      <c r="S469" s="1165">
        <f>'SegP&amp;L'!AC151</f>
        <v>515.24</v>
      </c>
      <c r="T469" s="598"/>
      <c r="U469" s="1161">
        <f>S469/L469</f>
        <v>1.8303374777975134</v>
      </c>
      <c r="V469" s="598"/>
      <c r="W469" s="1176">
        <f>(U469/U462-1)*100</f>
        <v>6.1988672931542421</v>
      </c>
      <c r="X469" s="1124" t="s">
        <v>190</v>
      </c>
      <c r="Y469" s="598"/>
      <c r="Z469" s="1129">
        <f>Stores!AI173+Stores!BK173</f>
        <v>9</v>
      </c>
      <c r="AA469" s="598"/>
      <c r="AB469" s="1163">
        <f>AVERAGE(Z469,Z465)</f>
        <v>8.9</v>
      </c>
      <c r="AC469" s="598"/>
      <c r="AD469" s="1120">
        <f>(AB469/AB462-1)*100</f>
        <v>15.58441558441559</v>
      </c>
      <c r="AE469" s="1124" t="s">
        <v>190</v>
      </c>
      <c r="AF469" s="1159">
        <f>+H469/AD469*100</f>
        <v>138.08932650709173</v>
      </c>
      <c r="AG469" s="1125" t="s">
        <v>190</v>
      </c>
      <c r="AH469" s="598"/>
      <c r="AI469" s="1160">
        <f>+S469</f>
        <v>515.24</v>
      </c>
      <c r="AJ469" s="598"/>
      <c r="AK469" s="1164">
        <f>AI469/AB469</f>
        <v>57.892134831460673</v>
      </c>
      <c r="AL469" s="598"/>
      <c r="AM469" s="1176">
        <f>(AK469/AK462-1)*100</f>
        <v>6.0008080683719101</v>
      </c>
      <c r="AN469" s="1124" t="s">
        <v>190</v>
      </c>
      <c r="AP469" s="562">
        <v>1.3564149461538462</v>
      </c>
      <c r="AQ469" s="1198">
        <f>(AP469/AP462-1)*100</f>
        <v>4.2338463363680523</v>
      </c>
      <c r="AR469" s="1203" t="s">
        <v>190</v>
      </c>
      <c r="AS469" s="562">
        <v>1.5332442015384609</v>
      </c>
      <c r="AT469" s="1198">
        <f>(AS469/AS462-1)*100</f>
        <v>6.2685778268878334</v>
      </c>
      <c r="AU469" s="1203" t="s">
        <v>190</v>
      </c>
      <c r="AV469" s="499"/>
      <c r="AW469" s="499"/>
      <c r="AX469" s="499"/>
      <c r="AY469" s="1034">
        <f>AP468*AQ469+AS468*AT469</f>
        <v>5.952716981789095</v>
      </c>
      <c r="AZ469" s="499"/>
      <c r="BA469" s="499">
        <v>7</v>
      </c>
      <c r="BB469" s="1193"/>
      <c r="BC469" s="499">
        <f>BA469</f>
        <v>7</v>
      </c>
      <c r="BD469" s="1193"/>
      <c r="BE469" s="1193"/>
      <c r="BF469" s="1193"/>
      <c r="BG469" s="1193"/>
      <c r="BH469" s="487"/>
    </row>
    <row r="470" spans="1:61" hidden="1" outlineLevel="1">
      <c r="A470" s="598" t="s">
        <v>528</v>
      </c>
      <c r="B470" s="1157" t="s">
        <v>515</v>
      </c>
      <c r="C470" s="598"/>
      <c r="D470" s="1120">
        <f>(S470/S463-1)*100</f>
        <v>3.2430329815535508</v>
      </c>
      <c r="E470" s="598"/>
      <c r="F470" s="1179">
        <f>'SegP&amp;L'!AE152</f>
        <v>-4</v>
      </c>
      <c r="G470" s="598"/>
      <c r="H470" s="1120">
        <f>D470-F470</f>
        <v>7.2430329815535508</v>
      </c>
      <c r="I470" s="598"/>
      <c r="J470" s="598">
        <f>Stores!AF174+Stores!BH174</f>
        <v>304</v>
      </c>
      <c r="K470" s="1127"/>
      <c r="L470" s="1128">
        <f>AVERAGE(J470,J469)</f>
        <v>295</v>
      </c>
      <c r="M470" s="598"/>
      <c r="N470" s="1120">
        <f>(L470/L463-1)*100</f>
        <v>18.473895582329327</v>
      </c>
      <c r="O470" s="1124"/>
      <c r="P470" s="1159">
        <f>H470/N470*100</f>
        <v>39.206852443626808</v>
      </c>
      <c r="Q470" s="1125"/>
      <c r="R470" s="598"/>
      <c r="S470" s="1165">
        <f>'SegP&amp;L'!AC152</f>
        <v>528.17999999999995</v>
      </c>
      <c r="T470" s="598"/>
      <c r="U470" s="1166">
        <f>S470/L470</f>
        <v>1.7904406779661015</v>
      </c>
      <c r="V470" s="598"/>
      <c r="W470" s="1176">
        <f>(U470/U463-1)*100</f>
        <v>-12.855880635909045</v>
      </c>
      <c r="X470" s="1124"/>
      <c r="Y470" s="598"/>
      <c r="Z470" s="1129">
        <f>Stores!AI174+Stores!BK174</f>
        <v>9.4</v>
      </c>
      <c r="AA470" s="1127"/>
      <c r="AB470" s="1163">
        <f>AVERAGE(Z470,Z469)</f>
        <v>9.1999999999999993</v>
      </c>
      <c r="AC470" s="598"/>
      <c r="AD470" s="1120">
        <f>(AB470/AB463-1)*100</f>
        <v>15.723270440251568</v>
      </c>
      <c r="AE470" s="1124"/>
      <c r="AF470" s="1159">
        <f>+H470/AD470*100</f>
        <v>46.065689762680591</v>
      </c>
      <c r="AG470" s="1125"/>
      <c r="AH470" s="598"/>
      <c r="AI470" s="1165">
        <f>+S470</f>
        <v>528.17999999999995</v>
      </c>
      <c r="AJ470" s="598"/>
      <c r="AK470" s="1167">
        <f>AI470/AB470</f>
        <v>57.410869565217389</v>
      </c>
      <c r="AL470" s="598"/>
      <c r="AM470" s="1176">
        <f>(AK470/AK463-1)*100</f>
        <v>-10.784553021374943</v>
      </c>
      <c r="AN470" s="1124"/>
      <c r="AP470" s="562">
        <v>1.2519634492307687</v>
      </c>
      <c r="AQ470" s="1198">
        <f>(AP470/AP463-1)*100</f>
        <v>-9.9957052506927653</v>
      </c>
      <c r="AR470" s="1198">
        <f>+(AP470/AP463-1)*100</f>
        <v>-9.9957052506927653</v>
      </c>
      <c r="AS470" s="562">
        <v>1.4902003076923074</v>
      </c>
      <c r="AT470" s="1198">
        <f>(AS470/AS463-1)*100</f>
        <v>-7.1005130076150174</v>
      </c>
      <c r="AU470" s="1198">
        <f>+(AS470/AS463-1)*100</f>
        <v>-7.1005130076150174</v>
      </c>
      <c r="AV470" s="499"/>
      <c r="AW470" s="499"/>
      <c r="AX470" s="499"/>
      <c r="AY470" s="1034">
        <f>AP468*AQ470+AS468*AT470</f>
        <v>-7.5499471825332236</v>
      </c>
      <c r="AZ470" s="499"/>
      <c r="BA470" s="499"/>
      <c r="BB470" s="1200"/>
      <c r="BC470" s="499"/>
      <c r="BD470" s="1200"/>
      <c r="BE470" s="1200"/>
      <c r="BF470" s="1200"/>
      <c r="BG470" s="1200"/>
      <c r="BH470" s="701"/>
    </row>
    <row r="471" spans="1:61" hidden="1" outlineLevel="1">
      <c r="A471" s="598" t="s">
        <v>529</v>
      </c>
      <c r="B471" s="1157" t="s">
        <v>516</v>
      </c>
      <c r="C471" s="598"/>
      <c r="D471" s="1120">
        <f>(S471/S464-1)*100</f>
        <v>11.37872197893126</v>
      </c>
      <c r="E471" s="598"/>
      <c r="F471" s="1179">
        <f>'SegP&amp;L'!AE153</f>
        <v>-3</v>
      </c>
      <c r="G471" s="598"/>
      <c r="H471" s="1120">
        <f>D471-F471</f>
        <v>14.37872197893126</v>
      </c>
      <c r="I471" s="598"/>
      <c r="J471" s="598">
        <f>Stores!AF175+Stores!BH175</f>
        <v>328</v>
      </c>
      <c r="K471" s="1127"/>
      <c r="L471" s="1128">
        <f>AVERAGE(J471,J470)</f>
        <v>316</v>
      </c>
      <c r="M471" s="598"/>
      <c r="N471" s="1120">
        <f>(L471/L464-1)*100</f>
        <v>19.696969696969703</v>
      </c>
      <c r="O471" s="1124"/>
      <c r="P471" s="1159">
        <f>H471/N471*100</f>
        <v>72.999665431497149</v>
      </c>
      <c r="Q471" s="1125"/>
      <c r="R471" s="598"/>
      <c r="S471" s="1165">
        <f>'SegP&amp;L'!AC153</f>
        <v>671.69500000000005</v>
      </c>
      <c r="T471" s="598"/>
      <c r="U471" s="1166">
        <f>S471/L471</f>
        <v>2.1256170886075951</v>
      </c>
      <c r="V471" s="598"/>
      <c r="W471" s="1176">
        <f>(U471/U464-1)*100</f>
        <v>-6.9494221441840249</v>
      </c>
      <c r="X471" s="1124"/>
      <c r="Y471" s="598"/>
      <c r="Z471" s="1129">
        <f>Stores!AI175+Stores!BK175</f>
        <v>10.199999999999999</v>
      </c>
      <c r="AA471" s="1127"/>
      <c r="AB471" s="1163">
        <f>AVERAGE(Z471,Z470)</f>
        <v>9.8000000000000007</v>
      </c>
      <c r="AC471" s="598"/>
      <c r="AD471" s="1120">
        <f>(AB471/AB464-1)*100</f>
        <v>16.666666666666675</v>
      </c>
      <c r="AE471" s="1124"/>
      <c r="AF471" s="1159">
        <f>+H471/AD471*100</f>
        <v>86.272331873587518</v>
      </c>
      <c r="AG471" s="1125"/>
      <c r="AH471" s="598"/>
      <c r="AI471" s="1165">
        <f>+S471</f>
        <v>671.69500000000005</v>
      </c>
      <c r="AJ471" s="598"/>
      <c r="AK471" s="1167">
        <f>AI471/AB471</f>
        <v>68.540306122448982</v>
      </c>
      <c r="AL471" s="598"/>
      <c r="AM471" s="1176">
        <f>(AK471/AK464-1)*100</f>
        <v>-4.5325240180589255</v>
      </c>
      <c r="AN471" s="1124"/>
      <c r="AP471" s="562">
        <v>1.3274626246153849</v>
      </c>
      <c r="AQ471" s="1198">
        <f>(AP471/AP464-1)*100</f>
        <v>-8.7466635820311112</v>
      </c>
      <c r="AR471" s="1198">
        <f>+(AP471/AP464-1)*100</f>
        <v>-8.7466635820311112</v>
      </c>
      <c r="AS471" s="562">
        <v>1.5689557661538462</v>
      </c>
      <c r="AT471" s="1198">
        <f>(AS471/AS464-1)*100</f>
        <v>-4.0408693146645414</v>
      </c>
      <c r="AU471" s="1198">
        <f>+(AS471/AS464-1)*100</f>
        <v>-4.0408693146645414</v>
      </c>
      <c r="AV471" s="499"/>
      <c r="AW471" s="499"/>
      <c r="AX471" s="499"/>
      <c r="AY471" s="1034">
        <f>AP468*AQ471+AS468*AT471</f>
        <v>-4.7713716738586296</v>
      </c>
      <c r="AZ471" s="499"/>
      <c r="BA471" s="499"/>
      <c r="BB471" s="1200"/>
      <c r="BC471" s="499"/>
      <c r="BD471" s="1200"/>
      <c r="BE471" s="1200"/>
      <c r="BF471" s="1200"/>
      <c r="BG471" s="1200"/>
      <c r="BH471" s="701"/>
    </row>
    <row r="472" spans="1:61" hidden="1" outlineLevel="1">
      <c r="A472" s="598" t="s">
        <v>530</v>
      </c>
      <c r="B472" s="1157" t="s">
        <v>517</v>
      </c>
      <c r="C472" s="598"/>
      <c r="D472" s="1168">
        <f>(S472/S465-1)*100</f>
        <v>5.1460784353457356</v>
      </c>
      <c r="E472" s="598"/>
      <c r="F472" s="1178">
        <f>'SegP&amp;L'!AE154</f>
        <v>-6</v>
      </c>
      <c r="G472" s="598"/>
      <c r="H472" s="1168">
        <f>D472-F472</f>
        <v>11.146078435345736</v>
      </c>
      <c r="I472" s="598"/>
      <c r="J472" s="598">
        <f>Stores!AF176+Stores!BH176</f>
        <v>331</v>
      </c>
      <c r="K472" s="1127"/>
      <c r="L472" s="1171">
        <f>AVERAGE(J472,J471)</f>
        <v>329.5</v>
      </c>
      <c r="M472" s="598"/>
      <c r="N472" s="1168">
        <f>(L472/L465-1)*100</f>
        <v>19.168173598553338</v>
      </c>
      <c r="O472" s="1124"/>
      <c r="P472" s="1171">
        <f>H472/N472*100</f>
        <v>58.148880893832022</v>
      </c>
      <c r="Q472" s="1125"/>
      <c r="R472" s="598"/>
      <c r="S472" s="1172">
        <f>'SegP&amp;L'!AC154</f>
        <v>778.34699999999998</v>
      </c>
      <c r="T472" s="598"/>
      <c r="U472" s="1173">
        <f>S472/L472</f>
        <v>2.3622063732928678</v>
      </c>
      <c r="V472" s="598"/>
      <c r="W472" s="1169">
        <f>(U472/U465-1)*100</f>
        <v>-11.766644347881339</v>
      </c>
      <c r="X472" s="1124"/>
      <c r="Y472" s="598"/>
      <c r="Z472" s="1129">
        <f>Stores!AI176+Stores!BK176</f>
        <v>10.3</v>
      </c>
      <c r="AA472" s="1127"/>
      <c r="AB472" s="1174">
        <f>AVERAGE(Z472,Z471)</f>
        <v>10.25</v>
      </c>
      <c r="AC472" s="598"/>
      <c r="AD472" s="1168">
        <f>(AB472/AB465-1)*100</f>
        <v>17.142857142857149</v>
      </c>
      <c r="AE472" s="1124"/>
      <c r="AF472" s="1171">
        <f>+H472/AD472*100</f>
        <v>65.01879087285009</v>
      </c>
      <c r="AG472" s="1125"/>
      <c r="AH472" s="598"/>
      <c r="AI472" s="1172">
        <f>+S472</f>
        <v>778.34699999999998</v>
      </c>
      <c r="AJ472" s="598"/>
      <c r="AK472" s="1175">
        <f>AI472/AB472</f>
        <v>75.936292682926833</v>
      </c>
      <c r="AL472" s="598"/>
      <c r="AM472" s="1169">
        <f>(AK472/AK465-1)*100</f>
        <v>-10.241152555192656</v>
      </c>
      <c r="AN472" s="1124"/>
      <c r="AP472" s="1201">
        <v>1.340946551515152</v>
      </c>
      <c r="AQ472" s="1202">
        <f>(AP472/AP465-1)*100</f>
        <v>-8.1928320902802341</v>
      </c>
      <c r="AR472" s="487"/>
      <c r="AS472" s="1201">
        <v>1.5771124757575754</v>
      </c>
      <c r="AT472" s="1202">
        <f>(AS472/AS465-1)*100</f>
        <v>-3.4264729533016403</v>
      </c>
      <c r="AU472" s="487"/>
      <c r="AV472" s="499"/>
      <c r="AW472" s="499"/>
      <c r="AX472" s="499"/>
      <c r="AY472" s="1034">
        <f>AP468*AQ472+AS468*AT472</f>
        <v>-4.1663770792586057</v>
      </c>
      <c r="AZ472" s="499"/>
      <c r="BA472" s="499"/>
      <c r="BB472" s="499"/>
      <c r="BC472" s="499"/>
      <c r="BD472" s="499"/>
      <c r="BE472" s="499"/>
      <c r="BF472" s="499"/>
      <c r="BG472" s="499"/>
      <c r="BH472" s="487"/>
    </row>
    <row r="473" spans="1:61" hidden="1" outlineLevel="1">
      <c r="A473" s="598"/>
      <c r="B473" s="1157" t="s">
        <v>531</v>
      </c>
      <c r="C473" s="598"/>
      <c r="D473" s="1120">
        <f>(S473/S466-1)*100</f>
        <v>9.5810980602070384</v>
      </c>
      <c r="E473" s="598"/>
      <c r="F473" s="1179">
        <f>'SegP&amp;L'!AE155</f>
        <v>-3</v>
      </c>
      <c r="G473" s="598"/>
      <c r="H473" s="1120">
        <f>D473-F473</f>
        <v>12.581098060207038</v>
      </c>
      <c r="I473" s="598"/>
      <c r="J473" s="598"/>
      <c r="K473" s="598"/>
      <c r="L473" s="1128">
        <f>AVERAGE(L469:L472)</f>
        <v>305.5</v>
      </c>
      <c r="M473" s="598"/>
      <c r="N473" s="1120">
        <f>(L473/L466-1)*100</f>
        <v>18.238993710691819</v>
      </c>
      <c r="O473" s="1124"/>
      <c r="P473" s="1159">
        <f>H473/N473*100</f>
        <v>68.979123847342066</v>
      </c>
      <c r="Q473" s="1125"/>
      <c r="R473" s="598"/>
      <c r="S473" s="1160">
        <f>SUM(S469:S472)</f>
        <v>2493.4620000000004</v>
      </c>
      <c r="T473" s="598"/>
      <c r="U473" s="1161">
        <f>SUM(U469:U472)</f>
        <v>8.1086016176640783</v>
      </c>
      <c r="V473" s="598"/>
      <c r="W473" s="1176">
        <f>(U473/U466-1)*100</f>
        <v>-7.2207109102100597</v>
      </c>
      <c r="X473" s="1124"/>
      <c r="Y473" s="598"/>
      <c r="Z473" s="598"/>
      <c r="AA473" s="598"/>
      <c r="AB473" s="1163">
        <f>AVERAGE(AB469:AB472)</f>
        <v>9.5375000000000014</v>
      </c>
      <c r="AC473" s="598"/>
      <c r="AD473" s="1120">
        <f>(AB473/AB466-1)*100</f>
        <v>16.310975609756117</v>
      </c>
      <c r="AE473" s="1124"/>
      <c r="AF473" s="1159">
        <f>+H473/AD473*100</f>
        <v>77.132713341082308</v>
      </c>
      <c r="AG473" s="1125"/>
      <c r="AH473" s="598"/>
      <c r="AI473" s="1160">
        <f>SUM(AI469:AI472)</f>
        <v>2493.4620000000004</v>
      </c>
      <c r="AJ473" s="598"/>
      <c r="AK473" s="1164">
        <f>SUM(AK469:AK472)</f>
        <v>259.77960320205386</v>
      </c>
      <c r="AL473" s="598"/>
      <c r="AM473" s="1176">
        <f>(AK473/AK466-1)*100</f>
        <v>-5.6583186599710515</v>
      </c>
      <c r="AN473" s="1124"/>
      <c r="AP473" s="562">
        <v>1.3192802249042148</v>
      </c>
      <c r="AQ473" s="1198">
        <f>(AP473/AP466-1)*100</f>
        <v>-5.9020414141040423</v>
      </c>
      <c r="AR473" s="1198"/>
      <c r="AS473" s="562">
        <v>1.5425112693486573</v>
      </c>
      <c r="AT473" s="1198">
        <f>(AS473/AS466-1)*100</f>
        <v>-2.320882145400871</v>
      </c>
      <c r="AU473" s="1198"/>
      <c r="AV473" s="499"/>
      <c r="AW473" s="499"/>
      <c r="AX473" s="499"/>
      <c r="AY473" s="1034">
        <f>AP468*AQ473+AS468*AT473</f>
        <v>-2.8768021762825908</v>
      </c>
      <c r="AZ473" s="499"/>
      <c r="BA473" s="499"/>
      <c r="BB473" s="1200"/>
      <c r="BC473" s="499"/>
      <c r="BD473" s="1200"/>
      <c r="BE473" s="1200"/>
      <c r="BF473" s="1200"/>
      <c r="BG473" s="1200"/>
      <c r="BH473" s="487"/>
    </row>
    <row r="474" spans="1:61" ht="13.5" hidden="1" outlineLevel="1" thickBot="1">
      <c r="A474" s="598"/>
      <c r="B474" s="1157"/>
      <c r="C474" s="598"/>
      <c r="D474" s="1120"/>
      <c r="E474" s="598"/>
      <c r="F474" s="1179"/>
      <c r="G474" s="598"/>
      <c r="H474" s="1120"/>
      <c r="I474" s="598"/>
      <c r="J474" s="598"/>
      <c r="K474" s="598"/>
      <c r="L474" s="1128"/>
      <c r="M474" s="598"/>
      <c r="N474" s="1120"/>
      <c r="O474" s="1124"/>
      <c r="P474" s="1159"/>
      <c r="Q474" s="1125"/>
      <c r="R474" s="598"/>
      <c r="S474" s="1160"/>
      <c r="T474" s="598"/>
      <c r="U474" s="1161"/>
      <c r="V474" s="598"/>
      <c r="W474" s="1176"/>
      <c r="X474" s="1124"/>
      <c r="Y474" s="598"/>
      <c r="Z474" s="598"/>
      <c r="AA474" s="598"/>
      <c r="AB474" s="1163"/>
      <c r="AC474" s="598"/>
      <c r="AD474" s="1120"/>
      <c r="AE474" s="1124"/>
      <c r="AF474" s="1159"/>
      <c r="AG474" s="1125"/>
      <c r="AH474" s="598"/>
      <c r="AI474" s="1160"/>
      <c r="AJ474" s="598"/>
      <c r="AK474" s="1164"/>
      <c r="AL474" s="598"/>
      <c r="AM474" s="1176"/>
      <c r="AN474" s="1124"/>
      <c r="AP474" s="487"/>
      <c r="AQ474" s="487"/>
      <c r="AR474" s="487"/>
      <c r="AS474" s="487"/>
      <c r="AT474" s="487"/>
      <c r="AU474" s="487"/>
      <c r="AV474" s="499"/>
      <c r="AW474" s="499"/>
      <c r="AX474" s="499"/>
      <c r="AY474" s="499"/>
      <c r="AZ474" s="499"/>
      <c r="BA474" s="499"/>
      <c r="BB474" s="1200"/>
      <c r="BC474" s="499"/>
      <c r="BD474" s="1200"/>
      <c r="BE474" s="1200"/>
      <c r="BF474" s="1200"/>
      <c r="BG474" s="1200"/>
      <c r="BH474" s="487"/>
    </row>
    <row r="475" spans="1:61" ht="13.5" hidden="1" outlineLevel="1" thickBot="1">
      <c r="A475" s="1154"/>
      <c r="B475" s="1118">
        <f>+B468+1</f>
        <v>2011</v>
      </c>
      <c r="C475" s="598"/>
      <c r="D475" s="598"/>
      <c r="E475" s="1124"/>
      <c r="F475" s="598"/>
      <c r="G475" s="1124"/>
      <c r="H475" s="598"/>
      <c r="I475" s="1124"/>
      <c r="J475" s="598"/>
      <c r="K475" s="598"/>
      <c r="L475" s="598"/>
      <c r="M475" s="598"/>
      <c r="N475" s="598"/>
      <c r="O475" s="1124"/>
      <c r="P475" s="1125"/>
      <c r="Q475" s="1125"/>
      <c r="R475" s="598"/>
      <c r="S475" s="1165"/>
      <c r="T475" s="598"/>
      <c r="U475" s="598"/>
      <c r="V475" s="598"/>
      <c r="W475" s="598"/>
      <c r="X475" s="1124"/>
      <c r="Y475" s="598"/>
      <c r="Z475" s="598"/>
      <c r="AA475" s="598"/>
      <c r="AB475" s="598"/>
      <c r="AC475" s="598"/>
      <c r="AD475" s="598"/>
      <c r="AE475" s="1124"/>
      <c r="AF475" s="1125"/>
      <c r="AG475" s="1125"/>
      <c r="AH475" s="598"/>
      <c r="AI475" s="598"/>
      <c r="AJ475" s="598"/>
      <c r="AK475" s="598"/>
      <c r="AL475" s="598"/>
      <c r="AM475" s="598"/>
      <c r="AN475" s="1124"/>
      <c r="AP475" s="1196">
        <f>1-AS475</f>
        <v>0.21148036253776437</v>
      </c>
      <c r="AQ475" s="735"/>
      <c r="AR475" s="487"/>
      <c r="AS475" s="1196">
        <f>(237+24)/(307+24)</f>
        <v>0.78851963746223563</v>
      </c>
      <c r="AT475" s="735"/>
      <c r="AU475" s="487"/>
      <c r="AV475" s="499"/>
      <c r="AW475" s="499"/>
      <c r="AX475" s="499"/>
      <c r="AY475" s="499"/>
      <c r="AZ475" s="499"/>
      <c r="BA475" s="499"/>
      <c r="BB475" s="1200"/>
      <c r="BC475" s="499"/>
      <c r="BD475" s="1200"/>
      <c r="BE475" s="1200"/>
      <c r="BF475" s="1200"/>
      <c r="BG475" s="1200"/>
      <c r="BH475" s="487"/>
    </row>
    <row r="476" spans="1:61" hidden="1" outlineLevel="1">
      <c r="A476" s="598" t="s">
        <v>527</v>
      </c>
      <c r="B476" s="1157" t="s">
        <v>514</v>
      </c>
      <c r="C476" s="598"/>
      <c r="D476" s="1120">
        <f>(S476/S469-1)*100</f>
        <v>14.607755609036555</v>
      </c>
      <c r="E476" s="1124" t="s">
        <v>190</v>
      </c>
      <c r="F476" s="1179">
        <f>'SegP&amp;L'!AE158</f>
        <v>-5</v>
      </c>
      <c r="G476" s="1124" t="s">
        <v>190</v>
      </c>
      <c r="H476" s="1120">
        <f>D476-F476</f>
        <v>19.607755609036555</v>
      </c>
      <c r="I476" s="1124" t="s">
        <v>190</v>
      </c>
      <c r="J476" s="598">
        <f>Stores!AF180+Stores!BH180</f>
        <v>340</v>
      </c>
      <c r="K476" s="598"/>
      <c r="L476" s="1128">
        <f>AVERAGE(J476,J472)</f>
        <v>335.5</v>
      </c>
      <c r="M476" s="598"/>
      <c r="N476" s="1120">
        <f>(L476/L469-1)*100</f>
        <v>19.182948490230899</v>
      </c>
      <c r="O476" s="1124" t="s">
        <v>190</v>
      </c>
      <c r="P476" s="1159">
        <f>H476/N476*100</f>
        <v>102.21450377673689</v>
      </c>
      <c r="Q476" s="1125" t="s">
        <v>190</v>
      </c>
      <c r="R476" s="598"/>
      <c r="S476" s="1165">
        <f>'SegP&amp;L'!AC158</f>
        <v>590.505</v>
      </c>
      <c r="T476" s="598"/>
      <c r="U476" s="1161">
        <f>S476/L476</f>
        <v>1.7600745156482862</v>
      </c>
      <c r="V476" s="598"/>
      <c r="W476" s="1176">
        <f>(U476/U469-1)*100</f>
        <v>-3.8387981998694753</v>
      </c>
      <c r="X476" s="1124" t="s">
        <v>190</v>
      </c>
      <c r="Y476" s="598"/>
      <c r="Z476" s="1129">
        <f>Stores!AI180+Stores!BK180</f>
        <v>10.6</v>
      </c>
      <c r="AA476" s="598"/>
      <c r="AB476" s="1163">
        <f>AVERAGE(Z476,Z472)</f>
        <v>10.45</v>
      </c>
      <c r="AC476" s="598"/>
      <c r="AD476" s="1120">
        <f>(AB476/AB469-1)*100</f>
        <v>17.415730337078639</v>
      </c>
      <c r="AE476" s="1124" t="s">
        <v>190</v>
      </c>
      <c r="AF476" s="1159">
        <f>+H476/AD476*100</f>
        <v>112.58646769059708</v>
      </c>
      <c r="AG476" s="1125" t="s">
        <v>190</v>
      </c>
      <c r="AH476" s="598"/>
      <c r="AI476" s="1160">
        <f>+S476</f>
        <v>590.505</v>
      </c>
      <c r="AJ476" s="598"/>
      <c r="AK476" s="1164">
        <f>AI476/AB476</f>
        <v>56.507655502392346</v>
      </c>
      <c r="AL476" s="598"/>
      <c r="AM476" s="1176">
        <f>(AK476/AK469-1)*100</f>
        <v>-2.3914808688588085</v>
      </c>
      <c r="AN476" s="1124" t="s">
        <v>190</v>
      </c>
      <c r="AP476" s="562">
        <v>1.4031565859375004</v>
      </c>
      <c r="AQ476" s="1198">
        <f>(AP476/AP469-1)*100</f>
        <v>3.4459690905199292</v>
      </c>
      <c r="AR476" s="1203" t="s">
        <v>190</v>
      </c>
      <c r="AS476" s="562">
        <v>1.6211307984375001</v>
      </c>
      <c r="AT476" s="1198">
        <f>(AS476/AS469-1)*100</f>
        <v>5.7320677822132682</v>
      </c>
      <c r="AU476" s="1203" t="s">
        <v>190</v>
      </c>
      <c r="AV476" s="499"/>
      <c r="AW476" s="499"/>
      <c r="AX476" s="499"/>
      <c r="AY476" s="1034">
        <f>AP475*AQ476+AS475*AT476</f>
        <v>5.2486028020968511</v>
      </c>
      <c r="AZ476" s="499"/>
      <c r="BA476" s="499"/>
      <c r="BB476" s="1200"/>
      <c r="BC476" s="499"/>
      <c r="BD476" s="1200"/>
      <c r="BE476" s="1200"/>
      <c r="BF476" s="1200"/>
      <c r="BG476" s="1200"/>
      <c r="BH476" s="487"/>
    </row>
    <row r="477" spans="1:61" hidden="1" outlineLevel="1">
      <c r="A477" s="598" t="s">
        <v>528</v>
      </c>
      <c r="B477" s="1157" t="s">
        <v>515</v>
      </c>
      <c r="C477" s="598"/>
      <c r="D477" s="1120">
        <f>(S477/S470-1)*100</f>
        <v>25.276988905297436</v>
      </c>
      <c r="E477" s="598"/>
      <c r="F477" s="1179">
        <f>'SegP&amp;L'!AE159</f>
        <v>0</v>
      </c>
      <c r="G477" s="598"/>
      <c r="H477" s="1120">
        <f>D477-F477</f>
        <v>25.276988905297436</v>
      </c>
      <c r="I477" s="598"/>
      <c r="J477" s="598">
        <f>Stores!AF181+Stores!BH181</f>
        <v>346</v>
      </c>
      <c r="K477" s="1127"/>
      <c r="L477" s="1128">
        <f>AVERAGE(J477,J476)</f>
        <v>343</v>
      </c>
      <c r="M477" s="598"/>
      <c r="N477" s="1120">
        <f>(L477/L470-1)*100</f>
        <v>16.271186440677976</v>
      </c>
      <c r="O477" s="1124"/>
      <c r="P477" s="1159">
        <f>H477/N477*100</f>
        <v>155.34816098047372</v>
      </c>
      <c r="Q477" s="1125"/>
      <c r="R477" s="598"/>
      <c r="S477" s="1165">
        <f>'SegP&amp;L'!AC159</f>
        <v>661.68799999999999</v>
      </c>
      <c r="T477" s="598"/>
      <c r="U477" s="1166">
        <f>S477/L477</f>
        <v>1.9291195335276967</v>
      </c>
      <c r="V477" s="598"/>
      <c r="W477" s="1176">
        <f>(U477/U470-1)*100</f>
        <v>7.7455152392499782</v>
      </c>
      <c r="X477" s="1124"/>
      <c r="Y477" s="598"/>
      <c r="Z477" s="1129">
        <f>Stores!AI181+Stores!BK181</f>
        <v>10.8</v>
      </c>
      <c r="AA477" s="1127"/>
      <c r="AB477" s="1163">
        <f>AVERAGE(Z477,Z476)</f>
        <v>10.7</v>
      </c>
      <c r="AC477" s="598"/>
      <c r="AD477" s="1120">
        <f>(AB477/AB470-1)*100</f>
        <v>16.304347826086961</v>
      </c>
      <c r="AE477" s="1124"/>
      <c r="AF477" s="1159">
        <f>+H477/AD477*100</f>
        <v>155.03219861915758</v>
      </c>
      <c r="AG477" s="1125"/>
      <c r="AH477" s="598"/>
      <c r="AI477" s="1165">
        <f>+S477</f>
        <v>661.68799999999999</v>
      </c>
      <c r="AJ477" s="598"/>
      <c r="AK477" s="1167">
        <f>AI477/AB477</f>
        <v>61.84</v>
      </c>
      <c r="AL477" s="598"/>
      <c r="AM477" s="1176">
        <f>(AK477/AK470-1)*100</f>
        <v>7.714794198947339</v>
      </c>
      <c r="AN477" s="1124"/>
      <c r="AP477" s="1199">
        <v>1.3213192530303028</v>
      </c>
      <c r="AQ477" s="1200">
        <f>(AP477/AP470-1)*100</f>
        <v>5.5397626697606617</v>
      </c>
      <c r="AR477" s="487"/>
      <c r="AS477" s="1199">
        <v>1.5641374757575754</v>
      </c>
      <c r="AT477" s="1200">
        <f>(AS477/AS470-1)*100</f>
        <v>4.9615590389835207</v>
      </c>
      <c r="AU477" s="487"/>
      <c r="AV477" s="499"/>
      <c r="AW477" s="499"/>
      <c r="AX477" s="499"/>
      <c r="AY477" s="1034">
        <f>AP475*AQ477+AS475*AT477</f>
        <v>5.083837752440922</v>
      </c>
      <c r="AZ477" s="499"/>
      <c r="BA477" s="499"/>
      <c r="BB477" s="1200"/>
      <c r="BC477" s="499"/>
      <c r="BD477" s="1200"/>
      <c r="BE477" s="1200"/>
      <c r="BF477" s="1200"/>
      <c r="BG477" s="1200"/>
      <c r="BH477" s="701"/>
    </row>
    <row r="478" spans="1:61" hidden="1" outlineLevel="1">
      <c r="A478" s="598" t="s">
        <v>529</v>
      </c>
      <c r="B478" s="1157" t="s">
        <v>516</v>
      </c>
      <c r="C478" s="598"/>
      <c r="D478" s="1120">
        <f>(S478/S471-1)*100</f>
        <v>11.16072026738324</v>
      </c>
      <c r="E478" s="598"/>
      <c r="F478" s="1179">
        <f>'SegP&amp;L'!AE160</f>
        <v>0</v>
      </c>
      <c r="G478" s="598"/>
      <c r="H478" s="1120">
        <f>D478-F478</f>
        <v>11.16072026738324</v>
      </c>
      <c r="I478" s="598"/>
      <c r="J478" s="598">
        <f>Stores!AF182+Stores!BH182</f>
        <v>357</v>
      </c>
      <c r="K478" s="1127"/>
      <c r="L478" s="1128">
        <f>AVERAGE(J478,J477)</f>
        <v>351.5</v>
      </c>
      <c r="M478" s="598"/>
      <c r="N478" s="1120">
        <f>(L478/L471-1)*100</f>
        <v>11.234177215189867</v>
      </c>
      <c r="O478" s="1124"/>
      <c r="P478" s="1159">
        <f>H478/N478*100</f>
        <v>99.346129704031156</v>
      </c>
      <c r="Q478" s="1125"/>
      <c r="R478" s="598"/>
      <c r="S478" s="1165">
        <f>'SegP&amp;L'!AC160</f>
        <v>746.66099999999994</v>
      </c>
      <c r="T478" s="598"/>
      <c r="U478" s="1166">
        <f>S478/L478</f>
        <v>2.1242133712660025</v>
      </c>
      <c r="V478" s="598"/>
      <c r="W478" s="1176">
        <f>(U478/U471-1)*100</f>
        <v>-6.6038109550203838E-2</v>
      </c>
      <c r="X478" s="1124"/>
      <c r="Y478" s="598"/>
      <c r="Z478" s="1129">
        <f>Stores!AI182+Stores!BK182</f>
        <v>11</v>
      </c>
      <c r="AA478" s="1127"/>
      <c r="AB478" s="1163">
        <f>AVERAGE(Z478,Z477)</f>
        <v>10.9</v>
      </c>
      <c r="AC478" s="598"/>
      <c r="AD478" s="1120">
        <f>(AB478/AB471-1)*100</f>
        <v>11.22448979591837</v>
      </c>
      <c r="AE478" s="1124"/>
      <c r="AF478" s="1159">
        <f>+H478/AD478*100</f>
        <v>99.431871473050677</v>
      </c>
      <c r="AG478" s="1125"/>
      <c r="AH478" s="598"/>
      <c r="AI478" s="1165">
        <f>+S478</f>
        <v>746.66099999999994</v>
      </c>
      <c r="AJ478" s="598"/>
      <c r="AK478" s="1167">
        <f>AI478/AB478</f>
        <v>68.501009174311918</v>
      </c>
      <c r="AL478" s="598"/>
      <c r="AM478" s="1176">
        <f>(AK478/AK471-1)*100</f>
        <v>-5.7334071526993213E-2</v>
      </c>
      <c r="AN478" s="1124"/>
      <c r="AP478" s="562">
        <v>1.3950139787878786</v>
      </c>
      <c r="AQ478" s="1198">
        <f>(AP478/AP471-1)*100</f>
        <v>5.0887575228015125</v>
      </c>
      <c r="AR478" s="1198">
        <f>+(AP478/AP471-1)*100</f>
        <v>5.0887575228015125</v>
      </c>
      <c r="AS478" s="562">
        <v>1.5977503212121218</v>
      </c>
      <c r="AT478" s="1198">
        <f>(AS478/AS471-1)*100</f>
        <v>1.8352687615191821</v>
      </c>
      <c r="AU478" s="1198">
        <f>+(AS478/AS471-1)*100</f>
        <v>1.8352687615191821</v>
      </c>
      <c r="AV478" s="499"/>
      <c r="AW478" s="499"/>
      <c r="AX478" s="499"/>
      <c r="AY478" s="1034">
        <f>AP475*AQ478+AS475*AT478</f>
        <v>2.523317744267711</v>
      </c>
      <c r="AZ478" s="499"/>
      <c r="BA478" s="499">
        <v>2</v>
      </c>
      <c r="BB478" s="1200"/>
      <c r="BC478" s="499">
        <f>BA478</f>
        <v>2</v>
      </c>
      <c r="BD478" s="1200"/>
      <c r="BE478" s="1200"/>
      <c r="BF478" s="1200"/>
      <c r="BG478" s="1200"/>
      <c r="BH478" s="701"/>
    </row>
    <row r="479" spans="1:61" hidden="1" outlineLevel="1">
      <c r="A479" s="598" t="s">
        <v>530</v>
      </c>
      <c r="B479" s="1157" t="s">
        <v>517</v>
      </c>
      <c r="C479" s="598"/>
      <c r="D479" s="1168">
        <f>(S479/S472-1)*100</f>
        <v>14.575632719082886</v>
      </c>
      <c r="E479" s="598"/>
      <c r="F479" s="1178">
        <f>'SegP&amp;L'!AE161</f>
        <v>10</v>
      </c>
      <c r="G479" s="598"/>
      <c r="H479" s="1168">
        <f>D479-F479</f>
        <v>4.5756327190828863</v>
      </c>
      <c r="I479" s="598"/>
      <c r="J479" s="598">
        <f>Stores!AF183+Stores!BH183</f>
        <v>356</v>
      </c>
      <c r="K479" s="1127"/>
      <c r="L479" s="1171">
        <f>AVERAGE(J479,J478)</f>
        <v>356.5</v>
      </c>
      <c r="M479" s="598"/>
      <c r="N479" s="1168">
        <f>(L479/L472-1)*100</f>
        <v>8.1942336874051502</v>
      </c>
      <c r="O479" s="1124"/>
      <c r="P479" s="1171">
        <f>H479/N479*100</f>
        <v>55.839665960659737</v>
      </c>
      <c r="Q479" s="1125"/>
      <c r="R479" s="598"/>
      <c r="S479" s="1172">
        <f>'SegP&amp;L'!AC161</f>
        <v>891.79600000000005</v>
      </c>
      <c r="T479" s="598"/>
      <c r="U479" s="1173">
        <f>S479/L479</f>
        <v>2.5015315568022443</v>
      </c>
      <c r="V479" s="598"/>
      <c r="W479" s="1169">
        <f>(U479/U472-1)*100</f>
        <v>5.8980953181986484</v>
      </c>
      <c r="X479" s="1124"/>
      <c r="Y479" s="598"/>
      <c r="Z479" s="1129">
        <f>Stores!AI183+Stores!BK183</f>
        <v>11</v>
      </c>
      <c r="AA479" s="1127"/>
      <c r="AB479" s="1174">
        <f>AVERAGE(Z479,Z478)</f>
        <v>11</v>
      </c>
      <c r="AC479" s="598"/>
      <c r="AD479" s="1168">
        <f>(AB479/AB472-1)*100</f>
        <v>7.3170731707317138</v>
      </c>
      <c r="AE479" s="1124"/>
      <c r="AF479" s="1171">
        <f>+H479/AD479*100</f>
        <v>62.53364716079939</v>
      </c>
      <c r="AG479" s="1125"/>
      <c r="AH479" s="598"/>
      <c r="AI479" s="1172">
        <f>+S479</f>
        <v>891.79600000000005</v>
      </c>
      <c r="AJ479" s="598"/>
      <c r="AK479" s="1175">
        <f>AI479/AB479</f>
        <v>81.072363636363647</v>
      </c>
      <c r="AL479" s="598"/>
      <c r="AM479" s="1169">
        <f>(AK479/AK472-1)*100</f>
        <v>6.7636577609635928</v>
      </c>
      <c r="AN479" s="1124"/>
      <c r="AP479" s="1201">
        <v>1.3881888298850573</v>
      </c>
      <c r="AQ479" s="1202">
        <f>(AP479/AP472-1)*100</f>
        <v>3.5230545405799951</v>
      </c>
      <c r="AR479" s="1198"/>
      <c r="AS479" s="1201">
        <v>1.6014442091954024</v>
      </c>
      <c r="AT479" s="1202">
        <f>(AS479/AS472-1)*100</f>
        <v>1.5428026733565137</v>
      </c>
      <c r="AU479" s="1198"/>
      <c r="AV479" s="499"/>
      <c r="AW479" s="499"/>
      <c r="AX479" s="499"/>
      <c r="AY479" s="1034">
        <f>AP475*AQ479+AS475*AT479</f>
        <v>1.9615870561530204</v>
      </c>
      <c r="AZ479" s="499"/>
      <c r="BA479" s="499"/>
      <c r="BB479" s="499"/>
      <c r="BC479" s="499"/>
      <c r="BD479" s="499"/>
      <c r="BE479" s="499"/>
      <c r="BF479" s="499"/>
      <c r="BG479" s="499"/>
      <c r="BH479" s="487"/>
    </row>
    <row r="480" spans="1:61" hidden="1" outlineLevel="1">
      <c r="A480" s="598"/>
      <c r="B480" s="1157" t="s">
        <v>531</v>
      </c>
      <c r="C480" s="598"/>
      <c r="D480" s="1120">
        <f>(S480/S473-1)*100</f>
        <v>15.92917798626965</v>
      </c>
      <c r="E480" s="598"/>
      <c r="F480" s="1179">
        <f>'SegP&amp;L'!AE162</f>
        <v>2</v>
      </c>
      <c r="G480" s="598"/>
      <c r="H480" s="1120">
        <f>D480-F480</f>
        <v>13.92917798626965</v>
      </c>
      <c r="I480" s="598"/>
      <c r="J480" s="598"/>
      <c r="K480" s="598"/>
      <c r="L480" s="1128">
        <f>AVERAGE(L476:L479)</f>
        <v>346.625</v>
      </c>
      <c r="M480" s="598"/>
      <c r="N480" s="1120">
        <f>(L480/L473-1)*100</f>
        <v>13.461538461538458</v>
      </c>
      <c r="O480" s="1124"/>
      <c r="P480" s="1159">
        <f>H480/N480*100</f>
        <v>103.47389361228885</v>
      </c>
      <c r="Q480" s="1125"/>
      <c r="R480" s="598"/>
      <c r="S480" s="1160">
        <f>SUM(S476:S479)</f>
        <v>2890.6499999999996</v>
      </c>
      <c r="T480" s="598"/>
      <c r="U480" s="1161">
        <f>SUM(U476:U479)</f>
        <v>8.3149389772442284</v>
      </c>
      <c r="V480" s="598"/>
      <c r="W480" s="1176">
        <f>(U480/U473-1)*100</f>
        <v>2.5446725503279977</v>
      </c>
      <c r="X480" s="1124"/>
      <c r="Y480" s="598"/>
      <c r="Z480" s="598"/>
      <c r="AA480" s="598"/>
      <c r="AB480" s="1163">
        <f>AVERAGE(AB476:AB479)</f>
        <v>10.762499999999999</v>
      </c>
      <c r="AC480" s="598"/>
      <c r="AD480" s="1120">
        <f>(AB480/AB473-1)*100</f>
        <v>12.844036697247674</v>
      </c>
      <c r="AE480" s="1124"/>
      <c r="AF480" s="1159">
        <f>+H480/AD480*100</f>
        <v>108.44860003595684</v>
      </c>
      <c r="AG480" s="1125"/>
      <c r="AH480" s="598"/>
      <c r="AI480" s="1160">
        <f>SUM(AI476:AI479)</f>
        <v>2890.6499999999996</v>
      </c>
      <c r="AJ480" s="598"/>
      <c r="AK480" s="1164">
        <f>SUM(AK476:AK479)</f>
        <v>267.92102831306789</v>
      </c>
      <c r="AL480" s="598"/>
      <c r="AM480" s="1176">
        <f>(AK480/AK473-1)*100</f>
        <v>3.1339739574094638</v>
      </c>
      <c r="AN480" s="1124"/>
      <c r="AP480" s="562">
        <v>1.4344195353846148</v>
      </c>
      <c r="AQ480" s="1198">
        <f>(AP480/AP473-1)*100</f>
        <v>8.7274339679244139</v>
      </c>
      <c r="AR480" s="1198">
        <f>+(AP480/AP473-1)*100</f>
        <v>8.7274339679244139</v>
      </c>
      <c r="AS480" s="562">
        <v>1.6236918907692306</v>
      </c>
      <c r="AT480" s="1198">
        <f>(AS480/AS473-1)*100</f>
        <v>5.2628867635341692</v>
      </c>
      <c r="AU480" s="1198">
        <f>+(AS480/AS473-1)*100</f>
        <v>5.2628867635341692</v>
      </c>
      <c r="AV480" s="499"/>
      <c r="AW480" s="499"/>
      <c r="AX480" s="499"/>
      <c r="AY480" s="1034">
        <f>AP475*AQ480+AS475*AT480</f>
        <v>5.9955704623478168</v>
      </c>
      <c r="AZ480" s="499"/>
      <c r="BA480" s="499">
        <v>4</v>
      </c>
      <c r="BB480" s="1200"/>
      <c r="BC480" s="499">
        <f>BA480</f>
        <v>4</v>
      </c>
      <c r="BD480" s="1200"/>
      <c r="BE480" s="1200"/>
      <c r="BF480" s="1200"/>
      <c r="BG480" s="1200"/>
      <c r="BH480" s="487"/>
    </row>
    <row r="481" spans="1:60" ht="13.5" hidden="1" outlineLevel="1" thickBot="1">
      <c r="A481" s="598"/>
      <c r="B481" s="1157"/>
      <c r="C481" s="598"/>
      <c r="D481" s="1120"/>
      <c r="E481" s="598"/>
      <c r="F481" s="1179"/>
      <c r="G481" s="598"/>
      <c r="H481" s="1120"/>
      <c r="I481" s="598"/>
      <c r="J481" s="598"/>
      <c r="K481" s="598"/>
      <c r="L481" s="1128"/>
      <c r="M481" s="598"/>
      <c r="N481" s="1120"/>
      <c r="O481" s="1124"/>
      <c r="P481" s="1159"/>
      <c r="Q481" s="1125"/>
      <c r="R481" s="598"/>
      <c r="S481" s="1181"/>
      <c r="T481" s="598"/>
      <c r="U481" s="1161"/>
      <c r="V481" s="598"/>
      <c r="W481" s="1176"/>
      <c r="X481" s="1124"/>
      <c r="Y481" s="598"/>
      <c r="Z481" s="598"/>
      <c r="AA481" s="598"/>
      <c r="AB481" s="1163"/>
      <c r="AC481" s="598"/>
      <c r="AD481" s="1120"/>
      <c r="AE481" s="1124"/>
      <c r="AF481" s="1159"/>
      <c r="AG481" s="1125"/>
      <c r="AH481" s="598"/>
      <c r="AI481" s="1160"/>
      <c r="AJ481" s="598"/>
      <c r="AK481" s="1164"/>
      <c r="AL481" s="598"/>
      <c r="AM481" s="1176"/>
      <c r="AN481" s="1124"/>
      <c r="AP481" s="487"/>
      <c r="AQ481" s="487"/>
      <c r="AR481" s="487"/>
      <c r="AS481" s="487"/>
      <c r="AT481" s="487"/>
      <c r="AU481" s="487"/>
      <c r="AV481" s="499"/>
      <c r="AW481" s="499"/>
      <c r="AX481" s="499"/>
      <c r="AY481" s="499"/>
      <c r="AZ481" s="499"/>
      <c r="BA481" s="499"/>
      <c r="BB481" s="1200"/>
      <c r="BC481" s="499"/>
      <c r="BD481" s="1200"/>
      <c r="BE481" s="1200"/>
      <c r="BF481" s="1200"/>
      <c r="BG481" s="1200"/>
      <c r="BH481" s="487"/>
    </row>
    <row r="482" spans="1:60" ht="13.5" collapsed="1" thickBot="1">
      <c r="A482" s="1154"/>
      <c r="B482" s="1118">
        <f>+B475+1</f>
        <v>2012</v>
      </c>
      <c r="C482" s="598"/>
      <c r="D482" s="598"/>
      <c r="E482" s="1124"/>
      <c r="F482" s="598"/>
      <c r="G482" s="1124"/>
      <c r="H482" s="598"/>
      <c r="I482" s="1124"/>
      <c r="J482" s="598"/>
      <c r="K482" s="598"/>
      <c r="L482" s="598"/>
      <c r="M482" s="598"/>
      <c r="N482" s="598"/>
      <c r="O482" s="1124"/>
      <c r="P482" s="1125"/>
      <c r="Q482" s="1125"/>
      <c r="R482" s="598"/>
      <c r="S482" s="1165"/>
      <c r="T482" s="598"/>
      <c r="U482" s="598"/>
      <c r="V482" s="598"/>
      <c r="W482" s="598"/>
      <c r="X482" s="1124"/>
      <c r="Y482" s="598"/>
      <c r="Z482" s="598"/>
      <c r="AA482" s="598"/>
      <c r="AB482" s="598"/>
      <c r="AC482" s="598"/>
      <c r="AD482" s="598"/>
      <c r="AE482" s="1124"/>
      <c r="AF482" s="1125"/>
      <c r="AG482" s="1125"/>
      <c r="AH482" s="598"/>
      <c r="AI482" s="598"/>
      <c r="AJ482" s="598"/>
      <c r="AK482" s="598"/>
      <c r="AL482" s="598"/>
      <c r="AM482" s="598"/>
      <c r="AN482" s="1124"/>
      <c r="AP482" s="1196">
        <f>1-AS482</f>
        <v>0.2443820224719101</v>
      </c>
      <c r="AQ482" s="735"/>
      <c r="AR482" s="487"/>
      <c r="AS482" s="1196">
        <f>(245+24)/(332+24)</f>
        <v>0.7556179775280899</v>
      </c>
      <c r="AT482" s="735"/>
      <c r="AU482" s="487"/>
      <c r="AV482" s="499"/>
      <c r="AW482" s="499"/>
      <c r="AX482" s="499"/>
      <c r="AY482" s="499"/>
      <c r="AZ482" s="499"/>
      <c r="BA482" s="499"/>
      <c r="BB482" s="1200"/>
      <c r="BC482" s="499"/>
      <c r="BD482" s="1200"/>
      <c r="BE482" s="1200"/>
      <c r="BF482" s="1200"/>
      <c r="BG482" s="1200"/>
      <c r="BH482" s="487"/>
    </row>
    <row r="483" spans="1:60">
      <c r="A483" s="598" t="s">
        <v>527</v>
      </c>
      <c r="B483" s="1157" t="s">
        <v>514</v>
      </c>
      <c r="C483" s="598"/>
      <c r="D483" s="1120">
        <f>(S483/S476-1)*100</f>
        <v>13.986672424450264</v>
      </c>
      <c r="E483" s="1124" t="s">
        <v>190</v>
      </c>
      <c r="F483" s="1179">
        <f>'SegP&amp;L'!AE165</f>
        <v>13</v>
      </c>
      <c r="G483" s="1124" t="s">
        <v>190</v>
      </c>
      <c r="H483" s="1120">
        <f>D483-F483</f>
        <v>0.98667242445026382</v>
      </c>
      <c r="I483" s="1124" t="s">
        <v>190</v>
      </c>
      <c r="J483" s="598">
        <f>Stores!AF187+Stores!BH187</f>
        <v>359</v>
      </c>
      <c r="K483" s="598"/>
      <c r="L483" s="1128">
        <f>AVERAGE(J483,J479)</f>
        <v>357.5</v>
      </c>
      <c r="M483" s="598"/>
      <c r="N483" s="1120">
        <f>(L483/L476-1)*100</f>
        <v>6.5573770491803351</v>
      </c>
      <c r="O483" s="1124" t="s">
        <v>190</v>
      </c>
      <c r="P483" s="1159">
        <f>H483/N483*100</f>
        <v>15.046754472866505</v>
      </c>
      <c r="Q483" s="1125" t="s">
        <v>190</v>
      </c>
      <c r="R483" s="598"/>
      <c r="S483" s="1165">
        <f>'SegP&amp;L'!AC165</f>
        <v>673.09699999999998</v>
      </c>
      <c r="T483" s="598"/>
      <c r="U483" s="1161">
        <f>S483/L483</f>
        <v>1.8827888111888111</v>
      </c>
      <c r="V483" s="598"/>
      <c r="W483" s="1176">
        <f>(U483/U476-1)*100</f>
        <v>6.9721079675610032</v>
      </c>
      <c r="X483" s="1124" t="s">
        <v>190</v>
      </c>
      <c r="Y483" s="598"/>
      <c r="Z483" s="1129">
        <f>Stores!AI187+Stores!BK187</f>
        <v>11.1</v>
      </c>
      <c r="AA483" s="598"/>
      <c r="AB483" s="1163">
        <f>AVERAGE(Z483,Z479)</f>
        <v>11.05</v>
      </c>
      <c r="AC483" s="598"/>
      <c r="AD483" s="1120">
        <f>(AB483/AB476-1)*100</f>
        <v>5.741626794258381</v>
      </c>
      <c r="AE483" s="1124" t="s">
        <v>190</v>
      </c>
      <c r="AF483" s="1159">
        <f>+H483/AD483*100</f>
        <v>17.18454472584207</v>
      </c>
      <c r="AG483" s="1125" t="s">
        <v>190</v>
      </c>
      <c r="AH483" s="598"/>
      <c r="AI483" s="1160">
        <f>+S483</f>
        <v>673.09699999999998</v>
      </c>
      <c r="AJ483" s="598"/>
      <c r="AK483" s="1164">
        <f>AI483/AB483</f>
        <v>60.913755656108592</v>
      </c>
      <c r="AL483" s="598"/>
      <c r="AM483" s="1176">
        <f>(AK483/AK476-1)*100</f>
        <v>7.797350844842077</v>
      </c>
      <c r="AN483" s="1124" t="s">
        <v>190</v>
      </c>
      <c r="AP483" s="562">
        <v>1.3197213921874997</v>
      </c>
      <c r="AQ483" s="1198">
        <f>(AP483/AP476-1)*100</f>
        <v>-5.9462496620970136</v>
      </c>
      <c r="AR483" s="1203" t="s">
        <v>190</v>
      </c>
      <c r="AS483" s="562">
        <v>1.5866894203125004</v>
      </c>
      <c r="AT483" s="1198">
        <f>(AS483/AS476-1)*100</f>
        <v>-2.1245280244009623</v>
      </c>
      <c r="AU483" s="1203" t="s">
        <v>190</v>
      </c>
      <c r="AV483" s="499"/>
      <c r="AW483" s="499"/>
      <c r="AX483" s="499"/>
      <c r="AY483" s="1034">
        <f>AP482*AQ483+AS482*AT483</f>
        <v>-3.0584880875457836</v>
      </c>
      <c r="AZ483" s="499"/>
      <c r="BA483" s="499">
        <v>-3.8</v>
      </c>
      <c r="BB483" s="1200"/>
      <c r="BC483" s="499">
        <f>BA483</f>
        <v>-3.8</v>
      </c>
      <c r="BD483" s="1200"/>
      <c r="BE483" s="1200"/>
      <c r="BF483" s="1200"/>
      <c r="BG483" s="1200"/>
      <c r="BH483" s="487"/>
    </row>
    <row r="484" spans="1:60">
      <c r="A484" s="598" t="s">
        <v>528</v>
      </c>
      <c r="B484" s="1157" t="s">
        <v>515</v>
      </c>
      <c r="C484" s="598"/>
      <c r="D484" s="1120">
        <f>(S484/S477-1)*100</f>
        <v>7.4662076386454057</v>
      </c>
      <c r="E484" s="598"/>
      <c r="F484" s="1179">
        <f>'SegP&amp;L'!AE166</f>
        <v>10</v>
      </c>
      <c r="G484" s="598"/>
      <c r="H484" s="1120">
        <f>D484-F484</f>
        <v>-2.5337923613545943</v>
      </c>
      <c r="I484" s="598"/>
      <c r="J484" s="598">
        <f>Stores!AF188+Stores!BH188</f>
        <v>362</v>
      </c>
      <c r="K484" s="1127"/>
      <c r="L484" s="1128">
        <f>AVERAGE(J484,J480)</f>
        <v>362</v>
      </c>
      <c r="M484" s="598"/>
      <c r="N484" s="1120">
        <f>(L484/L477-1)*100</f>
        <v>5.5393586005830997</v>
      </c>
      <c r="O484" s="1124"/>
      <c r="P484" s="1159">
        <f>H484/N484*100</f>
        <v>-45.741619997085493</v>
      </c>
      <c r="Q484" s="1125"/>
      <c r="R484" s="598"/>
      <c r="S484" s="1165">
        <f>'SegP&amp;L'!AC166</f>
        <v>711.09100000000001</v>
      </c>
      <c r="T484" s="1127"/>
      <c r="U484" s="1166">
        <f>S484/L484</f>
        <v>1.9643397790055248</v>
      </c>
      <c r="V484" s="598"/>
      <c r="W484" s="1176">
        <f>(U484/U477-1)*100</f>
        <v>1.8257160775010384</v>
      </c>
      <c r="X484" s="1124"/>
      <c r="Y484" s="598"/>
      <c r="Z484" s="1129">
        <f>Stores!AI188+Stores!BK188</f>
        <v>11.2</v>
      </c>
      <c r="AA484" s="1127"/>
      <c r="AB484" s="1163">
        <f>AVERAGE(Z484,Z483)</f>
        <v>11.149999999999999</v>
      </c>
      <c r="AC484" s="598"/>
      <c r="AD484" s="1120">
        <f>(AB484/AB477-1)*100</f>
        <v>4.2056074766354978</v>
      </c>
      <c r="AE484" s="1124"/>
      <c r="AF484" s="1159">
        <f>+H484/AD484*100</f>
        <v>-60.247951703320588</v>
      </c>
      <c r="AG484" s="1125"/>
      <c r="AH484" s="598"/>
      <c r="AI484" s="1165">
        <f>+S484</f>
        <v>711.09100000000001</v>
      </c>
      <c r="AJ484" s="598"/>
      <c r="AK484" s="1167">
        <f>AI484/AB484</f>
        <v>63.774977578475344</v>
      </c>
      <c r="AL484" s="598"/>
      <c r="AM484" s="1176">
        <f>(AK484/AK477-1)*100</f>
        <v>3.1290064334982937</v>
      </c>
      <c r="AN484" s="1124"/>
      <c r="AP484" s="562">
        <v>1.2554279328358211</v>
      </c>
      <c r="AQ484" s="1198">
        <f>(AP484/AP477-1)*100</f>
        <v>-4.9867827206306998</v>
      </c>
      <c r="AR484" s="1198">
        <f>+(AP484/AP477-1)*100</f>
        <v>-4.9867827206306998</v>
      </c>
      <c r="AS484" s="562">
        <v>1.5699600656716417</v>
      </c>
      <c r="AT484" s="1198">
        <f>(AS484/AS477-1)*100</f>
        <v>0.37225563636893444</v>
      </c>
      <c r="AU484" s="1198">
        <f>+(AS484/AS477-1)*100</f>
        <v>0.37225563636893444</v>
      </c>
      <c r="AV484" s="499"/>
      <c r="AW484" s="499"/>
      <c r="AX484" s="499"/>
      <c r="AY484" s="1034">
        <f>AP482*AQ484+AS482*AT484</f>
        <v>-0.93739699581917835</v>
      </c>
      <c r="AZ484" s="499"/>
      <c r="BA484" s="499"/>
      <c r="BB484" s="1200"/>
      <c r="BC484" s="499"/>
      <c r="BD484" s="1200"/>
      <c r="BE484" s="1200"/>
      <c r="BF484" s="1200"/>
      <c r="BG484" s="1200"/>
      <c r="BH484" s="701"/>
    </row>
    <row r="485" spans="1:60">
      <c r="A485" s="598" t="s">
        <v>529</v>
      </c>
      <c r="B485" s="1157" t="s">
        <v>516</v>
      </c>
      <c r="C485" s="598"/>
      <c r="D485" s="1120">
        <f>(S485/S478-1)*100</f>
        <v>12.905722945218789</v>
      </c>
      <c r="E485" s="598"/>
      <c r="F485" s="1179">
        <f>'SegP&amp;L'!AE167</f>
        <v>11</v>
      </c>
      <c r="G485" s="598"/>
      <c r="H485" s="1120">
        <f>D485-F485</f>
        <v>1.9057229452187894</v>
      </c>
      <c r="I485" s="598"/>
      <c r="J485" s="598">
        <f>Stores!AF189+Stores!BH189</f>
        <v>367</v>
      </c>
      <c r="K485" s="1127"/>
      <c r="L485" s="1128">
        <f>AVERAGE(J485,J484)</f>
        <v>364.5</v>
      </c>
      <c r="M485" s="598"/>
      <c r="N485" s="1120">
        <f>(L485/L478-1)*100</f>
        <v>3.6984352773826501</v>
      </c>
      <c r="O485" s="1124"/>
      <c r="P485" s="1159">
        <f>H485/N485*100</f>
        <v>51.527816557261815</v>
      </c>
      <c r="Q485" s="1125"/>
      <c r="R485" s="598"/>
      <c r="S485" s="1165">
        <f>'SegP&amp;L'!AC167</f>
        <v>843.02300000000002</v>
      </c>
      <c r="T485" s="1127"/>
      <c r="U485" s="1166">
        <f>S485/L485</f>
        <v>2.3128203017832649</v>
      </c>
      <c r="V485" s="598"/>
      <c r="W485" s="1176">
        <f>(U485/U478-1)*100</f>
        <v>8.8789070377075738</v>
      </c>
      <c r="X485" s="1124"/>
      <c r="Y485" s="598"/>
      <c r="Z485" s="1129">
        <f>Stores!AI189+Stores!BK189</f>
        <v>11.4</v>
      </c>
      <c r="AA485" s="1127"/>
      <c r="AB485" s="1163">
        <f>AVERAGE(Z485,Z484)</f>
        <v>11.3</v>
      </c>
      <c r="AC485" s="598"/>
      <c r="AD485" s="1120">
        <f>(AB485/AB478-1)*100</f>
        <v>3.669724770642202</v>
      </c>
      <c r="AE485" s="1124"/>
      <c r="AF485" s="1159">
        <f>+H485/AD485*100</f>
        <v>51.930950257212004</v>
      </c>
      <c r="AG485" s="1125"/>
      <c r="AH485" s="598"/>
      <c r="AI485" s="1165">
        <f>+S485</f>
        <v>843.02300000000002</v>
      </c>
      <c r="AJ485" s="598"/>
      <c r="AK485" s="1167">
        <f>AI485/AB485</f>
        <v>74.603805309734511</v>
      </c>
      <c r="AL485" s="598"/>
      <c r="AM485" s="1176">
        <f>(AK485/AK478-1)*100</f>
        <v>8.9090601860960064</v>
      </c>
      <c r="AN485" s="1124"/>
      <c r="AP485" s="562">
        <v>1.2744579803030305</v>
      </c>
      <c r="AQ485" s="1198">
        <f>(AP485/AP478-1)*100</f>
        <v>-8.641920462302366</v>
      </c>
      <c r="AR485" s="1198">
        <f>+(AP485/AP478-1)*100</f>
        <v>-8.641920462302366</v>
      </c>
      <c r="AS485" s="562">
        <v>1.5966063863636362</v>
      </c>
      <c r="AT485" s="1198">
        <f>(AS485/AS478-1)*100</f>
        <v>-7.1596596370437915E-2</v>
      </c>
      <c r="AU485" s="1198">
        <f>+(AS485/AS478-1)*100</f>
        <v>-7.1596596370437915E-2</v>
      </c>
      <c r="AV485" s="499"/>
      <c r="AW485" s="499"/>
      <c r="AX485" s="499"/>
      <c r="AY485" s="1034">
        <f>AP482*AQ485+AS482*AT485</f>
        <v>-2.1660296759661617</v>
      </c>
      <c r="AZ485" s="499"/>
      <c r="BA485" s="499">
        <v>-2</v>
      </c>
      <c r="BB485" s="1200"/>
      <c r="BC485" s="499">
        <f>BA485</f>
        <v>-2</v>
      </c>
      <c r="BD485" s="1200"/>
      <c r="BE485" s="1200"/>
      <c r="BF485" s="1200"/>
      <c r="BG485" s="1200"/>
      <c r="BH485" s="701"/>
    </row>
    <row r="486" spans="1:60">
      <c r="A486" s="598" t="s">
        <v>530</v>
      </c>
      <c r="B486" s="1157" t="s">
        <v>517</v>
      </c>
      <c r="C486" s="598"/>
      <c r="D486" s="1168">
        <f>(S486/S479-1)*100</f>
        <v>18.485617787027529</v>
      </c>
      <c r="E486" s="598"/>
      <c r="F486" s="1178">
        <f>'SegP&amp;L'!AE168</f>
        <v>7</v>
      </c>
      <c r="G486" s="598"/>
      <c r="H486" s="1168">
        <f>D486-F486</f>
        <v>11.485617787027529</v>
      </c>
      <c r="I486" s="598"/>
      <c r="J486" s="598">
        <f>Stores!AF190+Stores!BH190</f>
        <v>367</v>
      </c>
      <c r="K486" s="1127"/>
      <c r="L486" s="1171">
        <f>AVERAGE(J486,J485)</f>
        <v>367</v>
      </c>
      <c r="M486" s="598"/>
      <c r="N486" s="1168">
        <f>(L486/L479-1)*100</f>
        <v>2.9453015427769902</v>
      </c>
      <c r="O486" s="1124"/>
      <c r="P486" s="1171">
        <f>H486/N486*100</f>
        <v>389.96407057860245</v>
      </c>
      <c r="Q486" s="1125"/>
      <c r="R486" s="598"/>
      <c r="S486" s="1172">
        <f>'SegP&amp;L'!AC168</f>
        <v>1056.6500000000001</v>
      </c>
      <c r="T486" s="598"/>
      <c r="U486" s="1173">
        <f>S486/L486</f>
        <v>2.8791553133514989</v>
      </c>
      <c r="V486" s="598"/>
      <c r="W486" s="1169">
        <f>(U486/U479-1)*100</f>
        <v>15.095702291758339</v>
      </c>
      <c r="X486" s="1124"/>
      <c r="Y486" s="598"/>
      <c r="Z486" s="1129">
        <f>Stores!AI190+Stores!BK190</f>
        <v>11.3</v>
      </c>
      <c r="AA486" s="1127"/>
      <c r="AB486" s="1174">
        <f>AVERAGE(Z486,Z485)</f>
        <v>11.350000000000001</v>
      </c>
      <c r="AC486" s="598"/>
      <c r="AD486" s="1168">
        <f>(AB486/AB479-1)*100</f>
        <v>3.1818181818181968</v>
      </c>
      <c r="AE486" s="1124"/>
      <c r="AF486" s="1171">
        <f>+H486/AD486*100</f>
        <v>360.97655902086353</v>
      </c>
      <c r="AG486" s="1125"/>
      <c r="AH486" s="598"/>
      <c r="AI486" s="1172">
        <f>+S486</f>
        <v>1056.6500000000001</v>
      </c>
      <c r="AJ486" s="598"/>
      <c r="AK486" s="1175">
        <f>AI486/AB486</f>
        <v>93.096916299559467</v>
      </c>
      <c r="AL486" s="598"/>
      <c r="AM486" s="1169">
        <f>(AK486/AK479-1)*100</f>
        <v>14.831876269365862</v>
      </c>
      <c r="AN486" s="1124"/>
      <c r="AP486" s="1201">
        <v>1.3084357553846155</v>
      </c>
      <c r="AQ486" s="1202">
        <f>(AP486/AP479-1)*100</f>
        <v>-5.7451171471423983</v>
      </c>
      <c r="AR486" s="487"/>
      <c r="AS486" s="1201">
        <v>1.6018649261538458</v>
      </c>
      <c r="AT486" s="1202">
        <f>(AS486/AS479-1)*100</f>
        <v>2.6271096802976679E-2</v>
      </c>
      <c r="AU486" s="487"/>
      <c r="AV486" s="499"/>
      <c r="AW486" s="499"/>
      <c r="AX486" s="499"/>
      <c r="AY486" s="1034">
        <f>AP482*AQ486+AS482*AT486</f>
        <v>-1.3841524347229996</v>
      </c>
      <c r="AZ486" s="499"/>
      <c r="BA486" s="499"/>
      <c r="BB486" s="499"/>
      <c r="BC486" s="499"/>
      <c r="BD486" s="499"/>
      <c r="BE486" s="499"/>
      <c r="BF486" s="499"/>
      <c r="BG486" s="499"/>
      <c r="BH486" s="487"/>
    </row>
    <row r="487" spans="1:60">
      <c r="A487" s="598"/>
      <c r="B487" s="1157" t="s">
        <v>531</v>
      </c>
      <c r="C487" s="598"/>
      <c r="D487" s="1120">
        <f>(S487/S480-1)*100</f>
        <v>13.602857488800124</v>
      </c>
      <c r="E487" s="598"/>
      <c r="F487" s="1179">
        <f>'SegP&amp;L'!AE169</f>
        <v>10</v>
      </c>
      <c r="G487" s="598"/>
      <c r="H487" s="1120">
        <f>D487-F487</f>
        <v>3.6028574888001241</v>
      </c>
      <c r="I487" s="598"/>
      <c r="J487" s="598"/>
      <c r="K487" s="598"/>
      <c r="L487" s="1128">
        <f>AVERAGE(L483:L486)</f>
        <v>362.75</v>
      </c>
      <c r="M487" s="598"/>
      <c r="N487" s="1120">
        <f>(L487/L480-1)*100</f>
        <v>4.6520014424810574</v>
      </c>
      <c r="O487" s="1124"/>
      <c r="P487" s="1159">
        <f>H487/N487*100</f>
        <v>77.447471445292763</v>
      </c>
      <c r="Q487" s="1125"/>
      <c r="R487" s="598"/>
      <c r="S487" s="1160">
        <f>SUM(S483:S486)</f>
        <v>3283.8610000000003</v>
      </c>
      <c r="T487" s="598"/>
      <c r="U487" s="1161">
        <f>SUM(U483:U486)</f>
        <v>9.0391042053290995</v>
      </c>
      <c r="V487" s="598"/>
      <c r="W487" s="1176">
        <f>(U487/U480-1)*100</f>
        <v>8.709206767081735</v>
      </c>
      <c r="X487" s="1124"/>
      <c r="Y487" s="598"/>
      <c r="Z487" s="598"/>
      <c r="AA487" s="598"/>
      <c r="AB487" s="1163">
        <f>AVERAGE(AB483:AB486)</f>
        <v>11.2125</v>
      </c>
      <c r="AC487" s="598"/>
      <c r="AD487" s="1120">
        <f>(AB487/AB480-1)*100</f>
        <v>4.1811846689895571</v>
      </c>
      <c r="AE487" s="1124"/>
      <c r="AF487" s="1159">
        <f>+H487/AD487*100</f>
        <v>86.168341607136085</v>
      </c>
      <c r="AG487" s="1125"/>
      <c r="AH487" s="598"/>
      <c r="AI487" s="1160">
        <f>SUM(AI483:AI486)</f>
        <v>3283.8610000000003</v>
      </c>
      <c r="AJ487" s="598"/>
      <c r="AK487" s="1164">
        <f>SUM(AK483:AK486)</f>
        <v>292.38945484387796</v>
      </c>
      <c r="AL487" s="598"/>
      <c r="AM487" s="1176">
        <f>(AK487/AK480-1)*100</f>
        <v>9.1327010368960302</v>
      </c>
      <c r="AN487" s="1124"/>
      <c r="AP487" s="562">
        <v>1.2890778297709919</v>
      </c>
      <c r="AQ487" s="1198">
        <f>(AP487/AP480-1)*100</f>
        <v>-10.132440477022087</v>
      </c>
      <c r="AR487" s="1198"/>
      <c r="AS487" s="562">
        <v>1.5886743854961831</v>
      </c>
      <c r="AT487" s="1198">
        <f>(AS487/AS480-1)*100</f>
        <v>-2.1566594913803416</v>
      </c>
      <c r="AU487" s="1198"/>
      <c r="AV487" s="499"/>
      <c r="AW487" s="499"/>
      <c r="AX487" s="499"/>
      <c r="AY487" s="1034">
        <f>AP482*AQ487+AS482*AT487</f>
        <v>-4.1057969794444755</v>
      </c>
      <c r="AZ487" s="499"/>
      <c r="BA487" s="499">
        <v>-2</v>
      </c>
      <c r="BB487" s="1200"/>
      <c r="BC487" s="499">
        <f>BA487</f>
        <v>-2</v>
      </c>
      <c r="BD487" s="1200"/>
      <c r="BE487" s="1200"/>
      <c r="BF487" s="1200"/>
      <c r="BG487" s="1200"/>
      <c r="BH487" s="487"/>
    </row>
    <row r="488" spans="1:60" ht="13.5" thickBot="1">
      <c r="A488" s="598"/>
      <c r="B488" s="1157"/>
      <c r="C488" s="598"/>
      <c r="D488" s="1120"/>
      <c r="E488" s="598"/>
      <c r="F488" s="1179"/>
      <c r="G488" s="598"/>
      <c r="H488" s="1120"/>
      <c r="I488" s="598"/>
      <c r="J488" s="598"/>
      <c r="K488" s="598"/>
      <c r="L488" s="1128"/>
      <c r="M488" s="598"/>
      <c r="N488" s="1120"/>
      <c r="O488" s="1124"/>
      <c r="P488" s="1159"/>
      <c r="Q488" s="1125"/>
      <c r="R488" s="598"/>
      <c r="S488" s="1181"/>
      <c r="T488" s="598"/>
      <c r="U488" s="1161"/>
      <c r="V488" s="598"/>
      <c r="W488" s="1176"/>
      <c r="X488" s="1124"/>
      <c r="Y488" s="598"/>
      <c r="Z488" s="598"/>
      <c r="AA488" s="598"/>
      <c r="AB488" s="1163"/>
      <c r="AC488" s="598"/>
      <c r="AD488" s="1120"/>
      <c r="AE488" s="1124"/>
      <c r="AF488" s="1159"/>
      <c r="AG488" s="1125"/>
      <c r="AH488" s="598"/>
      <c r="AI488" s="1160"/>
      <c r="AJ488" s="598"/>
      <c r="AK488" s="1164"/>
      <c r="AL488" s="598"/>
      <c r="AM488" s="1176"/>
      <c r="AN488" s="1124"/>
      <c r="AP488" s="487"/>
      <c r="AQ488" s="487"/>
      <c r="AR488" s="487"/>
      <c r="AS488" s="487"/>
      <c r="AT488" s="487"/>
      <c r="AU488" s="487"/>
      <c r="AV488" s="499"/>
      <c r="AW488" s="499"/>
      <c r="AX488" s="499"/>
      <c r="AY488" s="499"/>
      <c r="AZ488" s="499"/>
      <c r="BA488" s="499"/>
      <c r="BB488" s="1200"/>
      <c r="BC488" s="499"/>
      <c r="BD488" s="1200"/>
      <c r="BE488" s="1200"/>
      <c r="BF488" s="1200"/>
      <c r="BG488" s="1200"/>
      <c r="BH488" s="487"/>
    </row>
    <row r="489" spans="1:60" ht="13.5" thickBot="1">
      <c r="A489" s="1154"/>
      <c r="B489" s="1118">
        <f>+B482+1</f>
        <v>2013</v>
      </c>
      <c r="C489" s="598"/>
      <c r="D489" s="598"/>
      <c r="E489" s="1124"/>
      <c r="F489" s="598"/>
      <c r="G489" s="1124"/>
      <c r="H489" s="598"/>
      <c r="I489" s="1124"/>
      <c r="J489" s="598"/>
      <c r="K489" s="598"/>
      <c r="L489" s="598"/>
      <c r="M489" s="598"/>
      <c r="N489" s="598"/>
      <c r="O489" s="1124"/>
      <c r="P489" s="1125"/>
      <c r="Q489" s="1125"/>
      <c r="R489" s="598"/>
      <c r="S489" s="1165"/>
      <c r="T489" s="598"/>
      <c r="U489" s="598"/>
      <c r="V489" s="598"/>
      <c r="W489" s="598"/>
      <c r="X489" s="1124"/>
      <c r="Y489" s="598"/>
      <c r="Z489" s="598"/>
      <c r="AA489" s="598"/>
      <c r="AB489" s="598"/>
      <c r="AC489" s="598"/>
      <c r="AD489" s="598"/>
      <c r="AE489" s="1124"/>
      <c r="AF489" s="1125"/>
      <c r="AG489" s="1125"/>
      <c r="AH489" s="598"/>
      <c r="AI489" s="598"/>
      <c r="AJ489" s="598"/>
      <c r="AK489" s="598"/>
      <c r="AL489" s="598"/>
      <c r="AM489" s="598"/>
      <c r="AN489" s="1124"/>
      <c r="AP489" s="1196">
        <f>1-AS489</f>
        <v>0.24795640326975477</v>
      </c>
      <c r="AQ489" s="735"/>
      <c r="AR489" s="487"/>
      <c r="AS489" s="1196">
        <f>(252+24)/(343+24)</f>
        <v>0.75204359673024523</v>
      </c>
      <c r="AT489" s="735"/>
      <c r="AU489" s="487"/>
      <c r="AV489" s="499"/>
      <c r="AW489" s="499"/>
      <c r="AX489" s="499"/>
      <c r="AY489" s="499"/>
      <c r="AZ489" s="499"/>
      <c r="BA489" s="499"/>
      <c r="BB489" s="1200"/>
      <c r="BC489" s="499"/>
      <c r="BD489" s="1200"/>
      <c r="BE489" s="1200"/>
      <c r="BF489" s="1200"/>
      <c r="BG489" s="1200"/>
      <c r="BH489" s="487"/>
    </row>
    <row r="490" spans="1:60">
      <c r="A490" s="598" t="s">
        <v>527</v>
      </c>
      <c r="B490" s="1157" t="s">
        <v>514</v>
      </c>
      <c r="C490" s="598"/>
      <c r="D490" s="1120">
        <f>(S490/S483-1)*100</f>
        <v>6.795008743167763</v>
      </c>
      <c r="E490" s="1124" t="s">
        <v>190</v>
      </c>
      <c r="F490" s="1179">
        <f>'SegP&amp;L'!AE172</f>
        <v>4</v>
      </c>
      <c r="G490" s="1124" t="s">
        <v>190</v>
      </c>
      <c r="H490" s="1120">
        <f>D490-F490</f>
        <v>2.795008743167763</v>
      </c>
      <c r="I490" s="1124" t="s">
        <v>190</v>
      </c>
      <c r="J490" s="598">
        <f>Stores!AF194+Stores!BH194</f>
        <v>376</v>
      </c>
      <c r="K490" s="598"/>
      <c r="L490" s="1128">
        <f>AVERAGE(J490,J486)</f>
        <v>371.5</v>
      </c>
      <c r="M490" s="598"/>
      <c r="N490" s="1120">
        <f>(L490/L483-1)*100</f>
        <v>3.9160839160839123</v>
      </c>
      <c r="O490" s="1124" t="s">
        <v>190</v>
      </c>
      <c r="P490" s="1159">
        <f>H490/N490*100</f>
        <v>71.372544691605441</v>
      </c>
      <c r="Q490" s="1125" t="s">
        <v>190</v>
      </c>
      <c r="R490" s="598"/>
      <c r="S490" s="1165">
        <f>'SegP&amp;L'!AC172</f>
        <v>718.83399999999995</v>
      </c>
      <c r="T490" s="598"/>
      <c r="U490" s="1161">
        <f>S490/L490</f>
        <v>1.9349502018842528</v>
      </c>
      <c r="V490" s="598"/>
      <c r="W490" s="1176">
        <f>(U490/U483-1)*100</f>
        <v>2.7704323706123191</v>
      </c>
      <c r="X490" s="1124" t="s">
        <v>190</v>
      </c>
      <c r="Y490" s="598"/>
      <c r="Z490" s="1129">
        <f>Stores!AI194+Stores!BK194</f>
        <v>11.6</v>
      </c>
      <c r="AA490" s="598"/>
      <c r="AB490" s="1163">
        <f>AVERAGE(Z490,Z486)</f>
        <v>11.45</v>
      </c>
      <c r="AC490" s="598"/>
      <c r="AD490" s="1120">
        <f>(AB490/AB483-1)*100</f>
        <v>3.6199095022624306</v>
      </c>
      <c r="AE490" s="1124" t="s">
        <v>190</v>
      </c>
      <c r="AF490" s="1159">
        <f>+H490/AD490*100</f>
        <v>77.212116530009737</v>
      </c>
      <c r="AG490" s="1125" t="s">
        <v>190</v>
      </c>
      <c r="AH490" s="598"/>
      <c r="AI490" s="1160">
        <f>+S490</f>
        <v>718.83399999999995</v>
      </c>
      <c r="AJ490" s="598"/>
      <c r="AK490" s="1164">
        <f>AI490/AB490</f>
        <v>62.780262008733622</v>
      </c>
      <c r="AL490" s="598"/>
      <c r="AM490" s="1176">
        <f>(AK490/AK483-1)*100</f>
        <v>3.0641787434064538</v>
      </c>
      <c r="AN490" s="1124" t="s">
        <v>190</v>
      </c>
      <c r="AP490" s="562">
        <v>1.3110987412698414</v>
      </c>
      <c r="AQ490" s="1198">
        <f>(AP490/AP483-1)*100</f>
        <v>-0.65336903445702976</v>
      </c>
      <c r="AR490" s="1203" t="s">
        <v>190</v>
      </c>
      <c r="AS490" s="562">
        <v>1.529270947619048</v>
      </c>
      <c r="AT490" s="1198">
        <f>(AS490/AS483-1)*100</f>
        <v>-3.6187594092701336</v>
      </c>
      <c r="AU490" s="1203" t="s">
        <v>190</v>
      </c>
      <c r="AV490" s="499"/>
      <c r="AW490" s="499"/>
      <c r="AX490" s="499"/>
      <c r="AY490" s="1034">
        <f>AP489*AQ490+AS489*AT490</f>
        <v>-2.8834718776407264</v>
      </c>
      <c r="AZ490" s="499"/>
      <c r="BA490" s="499">
        <v>-3</v>
      </c>
      <c r="BB490" s="1200"/>
      <c r="BC490" s="499">
        <f>BA490</f>
        <v>-3</v>
      </c>
      <c r="BD490" s="1200"/>
      <c r="BE490" s="1200"/>
      <c r="BF490" s="1200"/>
      <c r="BG490" s="1200"/>
      <c r="BH490" s="487"/>
    </row>
    <row r="491" spans="1:60">
      <c r="A491" s="598" t="s">
        <v>528</v>
      </c>
      <c r="B491" s="1157" t="s">
        <v>515</v>
      </c>
      <c r="C491" s="598"/>
      <c r="D491" s="1120">
        <f>(S491/S484-1)*100</f>
        <v>9.3518269813568153</v>
      </c>
      <c r="E491" s="598"/>
      <c r="F491" s="1179">
        <f>'SegP&amp;L'!AE173</f>
        <v>6</v>
      </c>
      <c r="G491" s="598"/>
      <c r="H491" s="1120">
        <f>D491-F491</f>
        <v>3.3518269813568153</v>
      </c>
      <c r="I491" s="598"/>
      <c r="J491" s="598">
        <f>Stores!AF195+Stores!BH195</f>
        <v>382</v>
      </c>
      <c r="K491" s="1127"/>
      <c r="L491" s="1128">
        <f>AVERAGE(J491,J487)</f>
        <v>382</v>
      </c>
      <c r="M491" s="598"/>
      <c r="N491" s="1120">
        <f>(L491/L484-1)*100</f>
        <v>5.5248618784530468</v>
      </c>
      <c r="O491" s="1124"/>
      <c r="P491" s="1159">
        <f>H491/N491*100</f>
        <v>60.668068362558273</v>
      </c>
      <c r="Q491" s="1125"/>
      <c r="R491" s="598"/>
      <c r="S491" s="1165">
        <f>'SegP&amp;L'!AC173</f>
        <v>777.59100000000001</v>
      </c>
      <c r="T491" s="1127"/>
      <c r="U491" s="1166">
        <f>S491/L491</f>
        <v>2.0355785340314134</v>
      </c>
      <c r="V491" s="598"/>
      <c r="W491" s="1176">
        <f>(U491/U484-1)*100</f>
        <v>3.6266004378302741</v>
      </c>
      <c r="X491" s="1124"/>
      <c r="Y491" s="598"/>
      <c r="Z491" s="1129">
        <f>Stores!AI195+Stores!BK195</f>
        <v>11.799999999999999</v>
      </c>
      <c r="AA491" s="1127"/>
      <c r="AB491" s="1163">
        <f>AVERAGE(Z491,Z490)</f>
        <v>11.7</v>
      </c>
      <c r="AC491" s="598"/>
      <c r="AD491" s="1120">
        <f>(AB491/AB484-1)*100</f>
        <v>4.9327354260089828</v>
      </c>
      <c r="AE491" s="1124"/>
      <c r="AF491" s="1159">
        <f>+H491/AD491*100</f>
        <v>67.950674258415248</v>
      </c>
      <c r="AG491" s="1125"/>
      <c r="AH491" s="598"/>
      <c r="AI491" s="1165">
        <f>+S491</f>
        <v>777.59100000000001</v>
      </c>
      <c r="AJ491" s="598"/>
      <c r="AK491" s="1167">
        <f>AI491/AB491</f>
        <v>66.46076923076923</v>
      </c>
      <c r="AL491" s="598"/>
      <c r="AM491" s="1176">
        <f>(AK491/AK484-1)*100</f>
        <v>4.2113564822331861</v>
      </c>
      <c r="AN491" s="1124"/>
      <c r="AP491" s="562">
        <v>1.3075101227272732</v>
      </c>
      <c r="AQ491" s="1198">
        <f>(AP491/AP484-1)*100</f>
        <v>4.148560704221893</v>
      </c>
      <c r="AR491" s="1198">
        <f>+(AP491/AP484-1)*100</f>
        <v>4.148560704221893</v>
      </c>
      <c r="AS491" s="562">
        <v>1.5311079166666659</v>
      </c>
      <c r="AT491" s="1198">
        <f>(AS491/AS484-1)*100</f>
        <v>-2.4747221190211999</v>
      </c>
      <c r="AU491" s="1198">
        <f>+(AS491/AS484-1)*100</f>
        <v>-2.4747221190211999</v>
      </c>
      <c r="AV491" s="499"/>
      <c r="AW491" s="499"/>
      <c r="AX491" s="499"/>
      <c r="AY491" s="1034">
        <f>AP489*AQ491+AS489*AT491</f>
        <v>-0.83243673233149562</v>
      </c>
      <c r="AZ491" s="499"/>
      <c r="BA491" s="499">
        <v>-1</v>
      </c>
      <c r="BB491" s="1200"/>
      <c r="BC491" s="499">
        <f>BA491</f>
        <v>-1</v>
      </c>
      <c r="BD491" s="1200"/>
      <c r="BE491" s="1200"/>
      <c r="BF491" s="1200"/>
      <c r="BG491" s="1200"/>
      <c r="BH491" s="701"/>
    </row>
    <row r="492" spans="1:60">
      <c r="A492" s="598" t="s">
        <v>529</v>
      </c>
      <c r="B492" s="1157" t="s">
        <v>516</v>
      </c>
      <c r="C492" s="598"/>
      <c r="D492" s="1120">
        <f>(S492/S485-1)*100</f>
        <v>15.332796376848567</v>
      </c>
      <c r="E492" s="598"/>
      <c r="F492" s="1179">
        <f>'SegP&amp;L'!AE174</f>
        <v>5</v>
      </c>
      <c r="G492" s="598"/>
      <c r="H492" s="1120">
        <f>D492-F492</f>
        <v>10.332796376848567</v>
      </c>
      <c r="I492" s="598"/>
      <c r="J492" s="598">
        <f>Stores!AF196+Stores!BH196</f>
        <v>399</v>
      </c>
      <c r="K492" s="1127"/>
      <c r="L492" s="1128">
        <f>AVERAGE(J492,J488)</f>
        <v>399</v>
      </c>
      <c r="M492" s="598"/>
      <c r="N492" s="1120">
        <f>(L492/L485-1)*100</f>
        <v>9.4650205761316784</v>
      </c>
      <c r="O492" s="1124"/>
      <c r="P492" s="1159">
        <f>H492/N492*100</f>
        <v>109.16823998148712</v>
      </c>
      <c r="Q492" s="1125"/>
      <c r="R492" s="598"/>
      <c r="S492" s="1165">
        <f>'SegP&amp;L'!AC174</f>
        <v>972.28200000000004</v>
      </c>
      <c r="T492" s="1127"/>
      <c r="U492" s="1166">
        <f>S492/L492</f>
        <v>2.4367969924812032</v>
      </c>
      <c r="V492" s="598"/>
      <c r="W492" s="1176">
        <f>(U492/U485-1)*100</f>
        <v>5.3604117277225471</v>
      </c>
      <c r="X492" s="1124"/>
      <c r="Y492" s="598"/>
      <c r="Z492" s="1129">
        <f>Stores!AI196+Stores!BK196</f>
        <v>12.2</v>
      </c>
      <c r="AA492" s="1127"/>
      <c r="AB492" s="1163">
        <f>AVERAGE(Z492,Z491)</f>
        <v>12</v>
      </c>
      <c r="AC492" s="598"/>
      <c r="AD492" s="1120">
        <f>(AB492/AB485-1)*100</f>
        <v>6.1946902654867131</v>
      </c>
      <c r="AE492" s="1124"/>
      <c r="AF492" s="1159">
        <f>+H492/AD492*100</f>
        <v>166.80085579769863</v>
      </c>
      <c r="AG492" s="1125"/>
      <c r="AH492" s="598"/>
      <c r="AI492" s="1165">
        <f>+S492</f>
        <v>972.28200000000004</v>
      </c>
      <c r="AJ492" s="598"/>
      <c r="AK492" s="1167">
        <f>AI492/AB492</f>
        <v>81.023499999999999</v>
      </c>
      <c r="AL492" s="598"/>
      <c r="AM492" s="1176">
        <f>(AK492/AK485-1)*100</f>
        <v>8.6050499215323928</v>
      </c>
      <c r="AN492" s="1124"/>
      <c r="AP492" s="562">
        <v>1.3440625242424245</v>
      </c>
      <c r="AQ492" s="1198">
        <f>(AP492/AP485-1)*100</f>
        <v>5.4615016748409406</v>
      </c>
      <c r="AR492" s="1198">
        <f>+(AP492/AP485-1)*100</f>
        <v>5.4615016748409406</v>
      </c>
      <c r="AS492" s="562">
        <v>1.5826093818181814</v>
      </c>
      <c r="AT492" s="1198">
        <f>(AS492/AS485-1)*100</f>
        <v>-0.87667221332702328</v>
      </c>
      <c r="AU492" s="1198">
        <f>+(AS492/AS485-1)*100</f>
        <v>-0.87667221332702328</v>
      </c>
      <c r="AV492" s="499"/>
      <c r="AW492" s="499"/>
      <c r="AX492" s="499"/>
      <c r="AY492" s="1034">
        <f>AP489*AQ492+AS489*AT492</f>
        <v>0.69491858728138201</v>
      </c>
      <c r="AZ492" s="499"/>
      <c r="BA492" s="499">
        <v>1</v>
      </c>
      <c r="BB492" s="1200"/>
      <c r="BC492" s="499">
        <f>BA492</f>
        <v>1</v>
      </c>
      <c r="BD492" s="1200"/>
      <c r="BE492" s="1200"/>
      <c r="BF492" s="1200"/>
      <c r="BG492" s="1200"/>
      <c r="BH492" s="701"/>
    </row>
    <row r="493" spans="1:60">
      <c r="A493" s="598" t="s">
        <v>530</v>
      </c>
      <c r="B493" s="1157" t="s">
        <v>517</v>
      </c>
      <c r="C493" s="598"/>
      <c r="D493" s="1168">
        <f>(S493/S486-1)*100</f>
        <v>9.105285572327638</v>
      </c>
      <c r="E493" s="598"/>
      <c r="F493" s="1178">
        <f>'SegP&amp;L'!AE175</f>
        <v>9</v>
      </c>
      <c r="G493" s="598"/>
      <c r="H493" s="1168">
        <f>D493-F493</f>
        <v>0.10528557232763802</v>
      </c>
      <c r="I493" s="598"/>
      <c r="J493" s="598">
        <f>Stores!AF197+Stores!BH197</f>
        <v>399</v>
      </c>
      <c r="K493" s="1127"/>
      <c r="L493" s="1171">
        <f>AVERAGE(J493,J489)</f>
        <v>399</v>
      </c>
      <c r="M493" s="598"/>
      <c r="N493" s="1168">
        <f>(L493/L486-1)*100</f>
        <v>8.719346049046317</v>
      </c>
      <c r="O493" s="1124"/>
      <c r="P493" s="1171">
        <f>H493/N493*100</f>
        <v>1.2074939076325992</v>
      </c>
      <c r="Q493" s="1125"/>
      <c r="R493" s="598"/>
      <c r="S493" s="1172">
        <f>'SegP&amp;L'!AC175</f>
        <v>1152.8610000000001</v>
      </c>
      <c r="T493" s="598"/>
      <c r="U493" s="1173">
        <f>S493/L493</f>
        <v>2.8893759398496242</v>
      </c>
      <c r="V493" s="598"/>
      <c r="W493" s="1169">
        <f>(U493/U486-1)*100</f>
        <v>0.35498698006075635</v>
      </c>
      <c r="X493" s="1124"/>
      <c r="Y493" s="598"/>
      <c r="Z493" s="1129">
        <f>Stores!AI197+Stores!BK197</f>
        <v>12.2</v>
      </c>
      <c r="AA493" s="1127"/>
      <c r="AB493" s="1174">
        <f>AVERAGE(Z493,Z492)</f>
        <v>12.2</v>
      </c>
      <c r="AC493" s="598"/>
      <c r="AD493" s="1168">
        <f>(AB493/AB486-1)*100</f>
        <v>7.4889867841409385</v>
      </c>
      <c r="AE493" s="1124"/>
      <c r="AF493" s="1171">
        <f>+H493/AD493*100</f>
        <v>1.4058720540219958</v>
      </c>
      <c r="AG493" s="1125"/>
      <c r="AH493" s="598"/>
      <c r="AI493" s="1172">
        <f>+S493</f>
        <v>1152.8610000000001</v>
      </c>
      <c r="AJ493" s="598"/>
      <c r="AK493" s="1175">
        <f>AI493/AB493</f>
        <v>94.496803278688532</v>
      </c>
      <c r="AL493" s="598"/>
      <c r="AM493" s="1169">
        <f>(AK493/AK486-1)*100</f>
        <v>1.5036878070425308</v>
      </c>
      <c r="AN493" s="1124"/>
      <c r="AP493" s="1201">
        <v>1.3604772676923078</v>
      </c>
      <c r="AQ493" s="1202">
        <f>(AP493/AP486-1)*100</f>
        <v>3.9773838412413776</v>
      </c>
      <c r="AR493" s="487"/>
      <c r="AS493" s="1201">
        <v>1.632075032307692</v>
      </c>
      <c r="AT493" s="1202">
        <f>(AS493/AS486-1)*100</f>
        <v>1.8859334305035391</v>
      </c>
      <c r="AU493" s="487"/>
      <c r="AV493" s="499"/>
      <c r="AW493" s="499"/>
      <c r="AX493" s="499"/>
      <c r="AY493" s="1034">
        <f>AP489*AQ493+AS489*AT493</f>
        <v>2.404521951967145</v>
      </c>
      <c r="AZ493" s="499"/>
      <c r="BA493" s="499"/>
      <c r="BB493" s="1200"/>
      <c r="BC493" s="499"/>
      <c r="BD493" s="1200"/>
      <c r="BE493" s="1200"/>
      <c r="BF493" s="1200"/>
      <c r="BG493" s="1200"/>
      <c r="BH493" s="701"/>
    </row>
    <row r="494" spans="1:60">
      <c r="A494" s="598"/>
      <c r="B494" s="1157" t="s">
        <v>531</v>
      </c>
      <c r="C494" s="598"/>
      <c r="D494" s="1120">
        <f>(S494/S487-1)*100</f>
        <v>10.283839663128248</v>
      </c>
      <c r="E494" s="598"/>
      <c r="F494" s="1179">
        <f>'SegP&amp;L'!AE176</f>
        <v>6</v>
      </c>
      <c r="G494" s="598"/>
      <c r="H494" s="1120">
        <f>D494-F494</f>
        <v>4.2838396631282478</v>
      </c>
      <c r="I494" s="598"/>
      <c r="J494" s="598"/>
      <c r="K494" s="598"/>
      <c r="L494" s="1128">
        <f>AVERAGE(L490:L493)</f>
        <v>387.875</v>
      </c>
      <c r="M494" s="598"/>
      <c r="N494" s="1120">
        <f>(L494/L487-1)*100</f>
        <v>6.9262577532736014</v>
      </c>
      <c r="O494" s="1124"/>
      <c r="P494" s="1159">
        <f>H494/N494*100</f>
        <v>61.849267176110359</v>
      </c>
      <c r="Q494" s="1125"/>
      <c r="R494" s="598"/>
      <c r="S494" s="1160">
        <f>SUM(S490:S493)</f>
        <v>3621.5680000000002</v>
      </c>
      <c r="T494" s="598"/>
      <c r="U494" s="1161">
        <f>SUM(U490:U493)</f>
        <v>9.2967016682464934</v>
      </c>
      <c r="V494" s="598"/>
      <c r="W494" s="1176">
        <f>(U494/U487-1)*100</f>
        <v>2.8498118515496662</v>
      </c>
      <c r="X494" s="1124"/>
      <c r="Y494" s="598"/>
      <c r="Z494" s="598"/>
      <c r="AA494" s="598"/>
      <c r="AB494" s="1163">
        <f>AVERAGE(AB490:AB493)</f>
        <v>11.837499999999999</v>
      </c>
      <c r="AC494" s="598"/>
      <c r="AD494" s="1120">
        <f>(AB494/AB487-1)*100</f>
        <v>5.5741360089186065</v>
      </c>
      <c r="AE494" s="1124"/>
      <c r="AF494" s="1159">
        <f>+H494/AD494*100</f>
        <v>76.852083556520924</v>
      </c>
      <c r="AG494" s="1125"/>
      <c r="AH494" s="598"/>
      <c r="AI494" s="1160">
        <f>SUM(AI490:AI493)</f>
        <v>3621.5680000000002</v>
      </c>
      <c r="AJ494" s="598"/>
      <c r="AK494" s="1164">
        <f>SUM(AK490:AK493)</f>
        <v>304.76133451819135</v>
      </c>
      <c r="AL494" s="598"/>
      <c r="AM494" s="1176">
        <f>(AK494/AK487-1)*100</f>
        <v>4.2313015976993329</v>
      </c>
      <c r="AN494" s="1124"/>
      <c r="AP494" s="562">
        <v>1.3307871639829618</v>
      </c>
      <c r="AQ494" s="1198">
        <f>(AP494/AP487-1)*100</f>
        <v>3.2355947211798464</v>
      </c>
      <c r="AR494" s="1198"/>
      <c r="AS494" s="562">
        <v>1.5687658196028968</v>
      </c>
      <c r="AT494" s="1198">
        <f>(AS494/AS487-1)*100</f>
        <v>-1.2531558433270917</v>
      </c>
      <c r="AU494" s="1198"/>
      <c r="AV494" s="499"/>
      <c r="AW494" s="499"/>
      <c r="AX494" s="499"/>
      <c r="AY494" s="1034">
        <f>AP489*AQ494+AS489*AT494</f>
        <v>-0.14014139817686999</v>
      </c>
      <c r="AZ494" s="499"/>
      <c r="BA494" s="499">
        <v>0</v>
      </c>
      <c r="BB494" s="1200"/>
      <c r="BC494" s="499">
        <f>BA494</f>
        <v>0</v>
      </c>
      <c r="BD494" s="1200"/>
      <c r="BE494" s="1200"/>
      <c r="BF494" s="1200"/>
      <c r="BG494" s="1200"/>
      <c r="BH494" s="701"/>
    </row>
    <row r="495" spans="1:60" ht="13.5" thickBot="1">
      <c r="A495" s="598"/>
      <c r="B495" s="1157"/>
      <c r="C495" s="598"/>
      <c r="D495" s="1120"/>
      <c r="E495" s="598"/>
      <c r="F495" s="1179"/>
      <c r="G495" s="598"/>
      <c r="H495" s="1120"/>
      <c r="I495" s="598"/>
      <c r="J495" s="598"/>
      <c r="K495" s="598"/>
      <c r="L495" s="1128"/>
      <c r="M495" s="598"/>
      <c r="N495" s="1120"/>
      <c r="O495" s="1124"/>
      <c r="P495" s="1159"/>
      <c r="Q495" s="1125"/>
      <c r="R495" s="598"/>
      <c r="S495" s="1181"/>
      <c r="T495" s="598"/>
      <c r="U495" s="1161"/>
      <c r="V495" s="598"/>
      <c r="W495" s="1176"/>
      <c r="X495" s="1124"/>
      <c r="Y495" s="598"/>
      <c r="Z495" s="598"/>
      <c r="AA495" s="598"/>
      <c r="AB495" s="1163"/>
      <c r="AC495" s="598"/>
      <c r="AD495" s="1120"/>
      <c r="AE495" s="1124"/>
      <c r="AF495" s="1159"/>
      <c r="AG495" s="1125"/>
      <c r="AH495" s="598"/>
      <c r="AI495" s="1160"/>
      <c r="AJ495" s="598"/>
      <c r="AK495" s="1164"/>
      <c r="AL495" s="598"/>
      <c r="AM495" s="1176"/>
      <c r="AN495" s="1124"/>
      <c r="AP495" s="487"/>
      <c r="AQ495" s="487"/>
      <c r="AR495" s="487"/>
      <c r="AS495" s="487"/>
      <c r="AT495" s="487"/>
      <c r="AU495" s="487"/>
      <c r="AV495" s="499"/>
      <c r="AW495" s="499"/>
      <c r="AX495" s="499"/>
      <c r="AY495" s="499"/>
      <c r="AZ495" s="499"/>
      <c r="BA495" s="499"/>
      <c r="BB495" s="499"/>
      <c r="BC495" s="499"/>
      <c r="BD495" s="499"/>
      <c r="BE495" s="499"/>
      <c r="BF495" s="499"/>
      <c r="BG495" s="499"/>
      <c r="BH495" s="487"/>
    </row>
    <row r="496" spans="1:60" ht="13.5" thickBot="1">
      <c r="A496" s="1154"/>
      <c r="B496" s="1118">
        <f>+B489+1</f>
        <v>2014</v>
      </c>
      <c r="C496" s="598"/>
      <c r="D496" s="598"/>
      <c r="E496" s="1124"/>
      <c r="F496" s="598"/>
      <c r="G496" s="1124"/>
      <c r="H496" s="598"/>
      <c r="I496" s="1124"/>
      <c r="J496" s="598"/>
      <c r="K496" s="598"/>
      <c r="L496" s="598"/>
      <c r="M496" s="598"/>
      <c r="N496" s="598"/>
      <c r="O496" s="1124"/>
      <c r="P496" s="1125"/>
      <c r="Q496" s="1125"/>
      <c r="R496" s="598"/>
      <c r="S496" s="1165"/>
      <c r="T496" s="598"/>
      <c r="U496" s="598"/>
      <c r="V496" s="598"/>
      <c r="W496" s="598"/>
      <c r="X496" s="1124"/>
      <c r="Y496" s="598"/>
      <c r="Z496" s="598"/>
      <c r="AA496" s="598"/>
      <c r="AB496" s="598"/>
      <c r="AC496" s="598"/>
      <c r="AD496" s="598"/>
      <c r="AE496" s="1124"/>
      <c r="AF496" s="1125"/>
      <c r="AG496" s="1125"/>
      <c r="AH496" s="598"/>
      <c r="AI496" s="598"/>
      <c r="AJ496" s="598"/>
      <c r="AK496" s="598"/>
      <c r="AL496" s="598"/>
      <c r="AM496" s="598"/>
      <c r="AN496" s="1124"/>
      <c r="AP496" s="1196">
        <f>1-AS496</f>
        <v>0.25313283208020054</v>
      </c>
      <c r="AQ496" s="735"/>
      <c r="AR496" s="487"/>
      <c r="AS496" s="1196">
        <f>(270+28)/(371+28)</f>
        <v>0.74686716791979946</v>
      </c>
      <c r="AT496" s="735"/>
      <c r="AU496" s="487"/>
      <c r="AV496" s="499"/>
      <c r="AW496" s="499"/>
      <c r="AX496" s="499"/>
      <c r="AY496" s="499"/>
      <c r="AZ496" s="499"/>
      <c r="BA496" s="499"/>
      <c r="BB496" s="499"/>
      <c r="BC496" s="499"/>
      <c r="BD496" s="499"/>
      <c r="BE496" s="499"/>
      <c r="BF496" s="499"/>
      <c r="BG496" s="499"/>
      <c r="BH496" s="487"/>
    </row>
    <row r="497" spans="1:60">
      <c r="A497" s="598" t="s">
        <v>527</v>
      </c>
      <c r="B497" s="1157" t="s">
        <v>514</v>
      </c>
      <c r="C497" s="598"/>
      <c r="D497" s="1120">
        <f>(S497/S490-1)*100</f>
        <v>23.929725082564278</v>
      </c>
      <c r="E497" s="1124" t="s">
        <v>190</v>
      </c>
      <c r="F497" s="1179">
        <f>'SegP&amp;L'!AE179</f>
        <v>8</v>
      </c>
      <c r="G497" s="1124" t="s">
        <v>190</v>
      </c>
      <c r="H497" s="1120">
        <f>D497-F497</f>
        <v>15.929725082564278</v>
      </c>
      <c r="I497" s="1124" t="s">
        <v>190</v>
      </c>
      <c r="J497" s="598">
        <f>Stores!AF201+Stores!BH201</f>
        <v>408</v>
      </c>
      <c r="K497" s="598"/>
      <c r="L497" s="1128">
        <f>AVERAGE(J497,J493)</f>
        <v>403.5</v>
      </c>
      <c r="M497" s="598"/>
      <c r="N497" s="1120">
        <f>(L497/L490-1)*100</f>
        <v>8.61372812920591</v>
      </c>
      <c r="O497" s="1124" t="s">
        <v>190</v>
      </c>
      <c r="P497" s="1159">
        <f>H497/N497*100</f>
        <v>184.93415213039492</v>
      </c>
      <c r="Q497" s="1125" t="s">
        <v>190</v>
      </c>
      <c r="R497" s="598"/>
      <c r="S497" s="1160">
        <f>'SegP&amp;L'!AC179</f>
        <v>890.84900000000005</v>
      </c>
      <c r="T497" s="1127"/>
      <c r="U497" s="1166">
        <f>S497/L497</f>
        <v>2.2078042131350681</v>
      </c>
      <c r="V497" s="598"/>
      <c r="W497" s="1176">
        <f>(U497/U490-1)*100</f>
        <v>14.10134539819734</v>
      </c>
      <c r="X497" s="1124" t="s">
        <v>190</v>
      </c>
      <c r="Y497" s="598"/>
      <c r="Z497" s="1129">
        <f>Stores!AI201+Stores!BK201</f>
        <v>12.5</v>
      </c>
      <c r="AA497" s="598"/>
      <c r="AB497" s="1163">
        <f>AVERAGE(Z497,Z493)</f>
        <v>12.35</v>
      </c>
      <c r="AC497" s="598"/>
      <c r="AD497" s="1120">
        <f>(AB497/AB490-1)*100</f>
        <v>7.8602620087336206</v>
      </c>
      <c r="AE497" s="1124" t="s">
        <v>190</v>
      </c>
      <c r="AF497" s="1159">
        <f>+H497/AD497*100</f>
        <v>202.6615024392901</v>
      </c>
      <c r="AG497" s="1125" t="s">
        <v>190</v>
      </c>
      <c r="AH497" s="598"/>
      <c r="AI497" s="1160">
        <f>+S497</f>
        <v>890.84900000000005</v>
      </c>
      <c r="AJ497" s="598"/>
      <c r="AK497" s="1164">
        <f>AI497/AB497</f>
        <v>72.133522267206487</v>
      </c>
      <c r="AL497" s="598"/>
      <c r="AM497" s="1176">
        <f>(AK497/AK490-1)*100</f>
        <v>14.898409084644616</v>
      </c>
      <c r="AN497" s="1124" t="s">
        <v>190</v>
      </c>
      <c r="AP497" s="562">
        <v>1.3770781333333335</v>
      </c>
      <c r="AQ497" s="1198">
        <f>(AP497/AP490-1)*100</f>
        <v>5.0323739918771482</v>
      </c>
      <c r="AR497" s="1203" t="s">
        <v>190</v>
      </c>
      <c r="AS497" s="562">
        <v>1.6648884809523812</v>
      </c>
      <c r="AT497" s="1198">
        <f>(AS497/AS490-1)*100</f>
        <v>8.8681167679591777</v>
      </c>
      <c r="AU497" s="1203" t="s">
        <v>190</v>
      </c>
      <c r="AV497" s="499"/>
      <c r="AW497" s="499"/>
      <c r="AX497" s="499"/>
      <c r="AY497" s="1034">
        <f>AP496*AQ497+AS496*AT497</f>
        <v>7.8971643359183634</v>
      </c>
      <c r="AZ497" s="499"/>
      <c r="BA497" s="499">
        <v>9</v>
      </c>
      <c r="BB497" s="695"/>
      <c r="BC497" s="499"/>
      <c r="BD497" s="695"/>
      <c r="BE497" s="695"/>
      <c r="BF497" s="695"/>
      <c r="BG497" s="695"/>
      <c r="BH497" s="487"/>
    </row>
    <row r="498" spans="1:60">
      <c r="A498" s="598" t="s">
        <v>528</v>
      </c>
      <c r="B498" s="1157" t="s">
        <v>515</v>
      </c>
      <c r="C498" s="598"/>
      <c r="D498" s="1120">
        <f>(S498/S491-1)*100</f>
        <v>22.730201352639124</v>
      </c>
      <c r="E498" s="1124"/>
      <c r="F498" s="1179">
        <f>'SegP&amp;L'!AE180</f>
        <v>6</v>
      </c>
      <c r="G498" s="1124"/>
      <c r="H498" s="1120">
        <f>D498-F498</f>
        <v>16.730201352639124</v>
      </c>
      <c r="I498" s="1124"/>
      <c r="J498" s="598">
        <f>Stores!AF202+Stores!BH202</f>
        <v>410</v>
      </c>
      <c r="K498" s="598"/>
      <c r="L498" s="1128">
        <f>AVERAGE(J498,J494)</f>
        <v>410</v>
      </c>
      <c r="M498" s="598"/>
      <c r="N498" s="1120">
        <f>(L498/L491-1)*100</f>
        <v>7.3298429319371694</v>
      </c>
      <c r="O498" s="1124"/>
      <c r="P498" s="1159">
        <f>H498/N498*100</f>
        <v>228.24774702529101</v>
      </c>
      <c r="Q498" s="1125"/>
      <c r="R498" s="598"/>
      <c r="S498" s="1165">
        <f>'SegP&amp;L'!AC180</f>
        <v>954.33900000000006</v>
      </c>
      <c r="T498" s="1127"/>
      <c r="U498" s="1166">
        <f>S498/L498</f>
        <v>2.3276560975609759</v>
      </c>
      <c r="V498" s="598"/>
      <c r="W498" s="1176">
        <f>(U498/U491-1)*100</f>
        <v>14.348626626117444</v>
      </c>
      <c r="X498" s="1124"/>
      <c r="Y498" s="598"/>
      <c r="Z498" s="1129">
        <f>Stores!AI202+Stores!BK202</f>
        <v>12.6</v>
      </c>
      <c r="AA498" s="1127"/>
      <c r="AB498" s="1163">
        <f>AVERAGE(Z498,Z497)</f>
        <v>12.55</v>
      </c>
      <c r="AC498" s="598"/>
      <c r="AD498" s="1120">
        <f>(AB498/AB491-1)*100</f>
        <v>7.2649572649572836</v>
      </c>
      <c r="AE498" s="1124"/>
      <c r="AF498" s="1159">
        <f>+H498/AD498*100</f>
        <v>230.28630097162028</v>
      </c>
      <c r="AG498" s="1125"/>
      <c r="AH498" s="598"/>
      <c r="AI498" s="1165">
        <f>+S498</f>
        <v>954.33900000000006</v>
      </c>
      <c r="AJ498" s="598"/>
      <c r="AK498" s="1167">
        <f>AI498/AB498</f>
        <v>76.042948207171321</v>
      </c>
      <c r="AL498" s="598"/>
      <c r="AM498" s="1176">
        <f>(AK498/AK491-1)*100</f>
        <v>14.417797276962375</v>
      </c>
      <c r="AN498" s="1124"/>
      <c r="AP498" s="562">
        <v>1.3620730742424245</v>
      </c>
      <c r="AQ498" s="1198">
        <f>(AP498/AP491-1)*100</f>
        <v>4.1730423777783798</v>
      </c>
      <c r="AR498" s="1198">
        <f>+(AP498/AP491-1)*100</f>
        <v>4.1730423777783798</v>
      </c>
      <c r="AS498" s="562">
        <v>1.6942313242424241</v>
      </c>
      <c r="AT498" s="1198">
        <f>(AS498/AS491-1)*100</f>
        <v>10.653945799646159</v>
      </c>
      <c r="AU498" s="1198">
        <f>+(AS498/AS491-1)*100</f>
        <v>10.653945799646159</v>
      </c>
      <c r="AV498" s="499"/>
      <c r="AW498" s="499"/>
      <c r="AX498" s="499"/>
      <c r="AY498" s="1034">
        <f>AP496*AQ498+AS496*AT498</f>
        <v>9.0134163620305063</v>
      </c>
      <c r="AZ498" s="499"/>
      <c r="BA498" s="499">
        <v>10</v>
      </c>
      <c r="BB498" s="499"/>
      <c r="BC498" s="499"/>
      <c r="BD498" s="499"/>
      <c r="BE498" s="499"/>
      <c r="BF498" s="499"/>
      <c r="BG498" s="499"/>
      <c r="BH498" s="487"/>
    </row>
    <row r="499" spans="1:60">
      <c r="A499" s="598" t="s">
        <v>528</v>
      </c>
      <c r="B499" s="1157" t="s">
        <v>516</v>
      </c>
      <c r="C499" s="598"/>
      <c r="D499" s="1120">
        <f>(S499/S492-1)*100</f>
        <v>7.9499569055068386</v>
      </c>
      <c r="E499" s="1124"/>
      <c r="F499" s="1179">
        <f>'SegP&amp;L'!AE181</f>
        <v>-1</v>
      </c>
      <c r="G499" s="1124"/>
      <c r="H499" s="1120">
        <f>D499-F499</f>
        <v>8.9499569055068378</v>
      </c>
      <c r="I499" s="1124"/>
      <c r="J499" s="598">
        <f>Stores!AF203+Stores!BH203</f>
        <v>440</v>
      </c>
      <c r="K499" s="598"/>
      <c r="L499" s="1128">
        <f>AVERAGE(J499,J495)</f>
        <v>440</v>
      </c>
      <c r="M499" s="598"/>
      <c r="N499" s="1120">
        <f>(L499/L492-1)*100</f>
        <v>10.275689223057638</v>
      </c>
      <c r="O499" s="1124"/>
      <c r="P499" s="1159">
        <f>H499/N499*100</f>
        <v>87.098361104810493</v>
      </c>
      <c r="Q499" s="1125"/>
      <c r="R499" s="598"/>
      <c r="S499" s="1165">
        <f>'SegP&amp;L'!AC181</f>
        <v>1049.578</v>
      </c>
      <c r="T499" s="1127"/>
      <c r="U499" s="1166">
        <f>S499/L499</f>
        <v>2.3854045454545454</v>
      </c>
      <c r="V499" s="598"/>
      <c r="W499" s="1176">
        <f>(U499/U492-1)*100</f>
        <v>-2.1090163515972149</v>
      </c>
      <c r="X499" s="1124"/>
      <c r="Y499" s="598"/>
      <c r="Z499" s="1129">
        <f>Stores!AI203+Stores!BK203</f>
        <v>13.299999999999999</v>
      </c>
      <c r="AA499" s="1127"/>
      <c r="AB499" s="1163">
        <f>AVERAGE(Z499,Z498)</f>
        <v>12.95</v>
      </c>
      <c r="AC499" s="598"/>
      <c r="AD499" s="1120">
        <f>(AB499/AB492-1)*100</f>
        <v>7.9166666666666607</v>
      </c>
      <c r="AE499" s="1124"/>
      <c r="AF499" s="1159">
        <f>+H499/AD499*100</f>
        <v>113.05208722745488</v>
      </c>
      <c r="AG499" s="1125"/>
      <c r="AH499" s="598"/>
      <c r="AI499" s="1165">
        <f>+S499</f>
        <v>1049.578</v>
      </c>
      <c r="AJ499" s="598"/>
      <c r="AK499" s="1167">
        <f>AI499/AB499</f>
        <v>81.048494208494205</v>
      </c>
      <c r="AL499" s="598"/>
      <c r="AM499" s="1176">
        <f>(AK499/AK492-1)*100</f>
        <v>3.0848097766944527E-2</v>
      </c>
      <c r="AN499" s="1124"/>
      <c r="AP499" s="562">
        <v>1.3015685094339622</v>
      </c>
      <c r="AQ499" s="1198">
        <f>(AP499/AP492-1)*100</f>
        <v>-3.1616099729001701</v>
      </c>
      <c r="AR499" s="1198">
        <f>+(AP499/AP492-1)*100</f>
        <v>-3.1616099729001701</v>
      </c>
      <c r="AS499" s="562">
        <v>1.6416872660377355</v>
      </c>
      <c r="AT499" s="1198">
        <f>(AS499/AS492-1)*100</f>
        <v>3.7329416151749673</v>
      </c>
      <c r="AU499" s="1198">
        <f>+(AS499/AS492-1)*100</f>
        <v>3.7329416151749673</v>
      </c>
      <c r="AV499" s="499"/>
      <c r="AW499" s="499"/>
      <c r="AX499" s="499"/>
      <c r="AY499" s="1034">
        <f>AP496*AQ499+AS496*AT499</f>
        <v>1.9877042457624636</v>
      </c>
      <c r="AZ499" s="499"/>
      <c r="BA499" s="499">
        <v>1</v>
      </c>
      <c r="BB499" s="499">
        <v>6</v>
      </c>
      <c r="BC499" s="499"/>
      <c r="BD499" s="499">
        <v>6</v>
      </c>
      <c r="BE499" s="499"/>
      <c r="BF499" s="499"/>
      <c r="BG499" s="499"/>
      <c r="BH499" s="487"/>
    </row>
    <row r="500" spans="1:60" ht="15">
      <c r="A500" s="598" t="s">
        <v>530</v>
      </c>
      <c r="B500" s="1157" t="s">
        <v>517</v>
      </c>
      <c r="C500" s="598"/>
      <c r="D500" s="1168">
        <f>(S500/S493-1)*100</f>
        <v>3.915389626329624</v>
      </c>
      <c r="E500" s="598"/>
      <c r="F500" s="1178">
        <f>'SegP&amp;L'!AE182</f>
        <v>2</v>
      </c>
      <c r="G500" s="598"/>
      <c r="H500" s="1168">
        <f>D500-F500</f>
        <v>1.915389626329624</v>
      </c>
      <c r="I500" s="598"/>
      <c r="J500" s="598">
        <f>Stores!AF204+Stores!BH204</f>
        <v>440</v>
      </c>
      <c r="K500" s="598"/>
      <c r="L500" s="1171">
        <f>AVERAGE(J500,J496)</f>
        <v>440</v>
      </c>
      <c r="M500" s="598"/>
      <c r="N500" s="1168">
        <f>(L500/L493-1)*100</f>
        <v>10.275689223057638</v>
      </c>
      <c r="O500" s="1124"/>
      <c r="P500" s="1171">
        <f>H500/N500*100</f>
        <v>18.64001124159806</v>
      </c>
      <c r="Q500" s="1125"/>
      <c r="R500" s="598"/>
      <c r="S500" s="1185">
        <f>'SegP&amp;L'!AC182</f>
        <v>1198</v>
      </c>
      <c r="T500" s="598"/>
      <c r="U500" s="1173">
        <f>S500/L500</f>
        <v>2.7227272727272727</v>
      </c>
      <c r="V500" s="598"/>
      <c r="W500" s="1169">
        <f>(U500/U493-1)*100</f>
        <v>-5.7676353161238207</v>
      </c>
      <c r="X500" s="1124"/>
      <c r="Y500" s="598"/>
      <c r="Z500" s="1129">
        <f>Stores!AI204+Stores!BK204</f>
        <v>13.299999999999999</v>
      </c>
      <c r="AA500" s="598"/>
      <c r="AB500" s="1214">
        <f>AVERAGE(Z500,Z499)</f>
        <v>13.299999999999999</v>
      </c>
      <c r="AC500" s="598"/>
      <c r="AD500" s="1168">
        <f>(AB500/AB493-1)*100</f>
        <v>9.0163934426229488</v>
      </c>
      <c r="AE500" s="1124"/>
      <c r="AF500" s="1171">
        <f>+H500/AD500*100</f>
        <v>21.2434122192922</v>
      </c>
      <c r="AG500" s="1125"/>
      <c r="AH500" s="598"/>
      <c r="AI500" s="1172">
        <f>+S500</f>
        <v>1198</v>
      </c>
      <c r="AJ500" s="598"/>
      <c r="AK500" s="1175">
        <f>AI500/AB500</f>
        <v>90.075187969924826</v>
      </c>
      <c r="AL500" s="598"/>
      <c r="AM500" s="1169">
        <f>(AK500/AK493-1)*100</f>
        <v>-4.6791162826149257</v>
      </c>
      <c r="AN500" s="1124"/>
      <c r="AP500" s="1201">
        <v>1.2348454416666665</v>
      </c>
      <c r="AQ500" s="1202">
        <f>(AP500/AP493-1)*100</f>
        <v>-9.2343936211990219</v>
      </c>
      <c r="AR500" s="487"/>
      <c r="AS500" s="1201">
        <v>1.5659442319148935</v>
      </c>
      <c r="AT500" s="1202">
        <f>(AS500/AS493-1)*100</f>
        <v>-4.0519460860382157</v>
      </c>
      <c r="AU500" s="487"/>
      <c r="AV500" s="499"/>
      <c r="AW500" s="499"/>
      <c r="AX500" s="499"/>
      <c r="AY500" s="1034">
        <f>AP496*AQ500+AS496*AT500</f>
        <v>-5.3637937077205251</v>
      </c>
      <c r="AZ500" s="499"/>
      <c r="BA500" s="499"/>
      <c r="BB500" s="1088"/>
      <c r="BC500" s="499"/>
      <c r="BD500" s="1088"/>
      <c r="BE500" s="1088"/>
      <c r="BF500" s="1088"/>
      <c r="BG500" s="1200"/>
      <c r="BH500" s="487"/>
    </row>
    <row r="501" spans="1:60">
      <c r="A501" s="598"/>
      <c r="B501" s="1157" t="s">
        <v>531</v>
      </c>
      <c r="C501" s="598"/>
      <c r="D501" s="1120">
        <f>(S501/S494-1)*100</f>
        <v>13.010883683531539</v>
      </c>
      <c r="E501" s="598"/>
      <c r="F501" s="1179">
        <f>'SegP&amp;L'!AE183</f>
        <v>3</v>
      </c>
      <c r="G501" s="598"/>
      <c r="H501" s="1120">
        <f>D501-F501</f>
        <v>10.010883683531539</v>
      </c>
      <c r="I501" s="598"/>
      <c r="J501" s="598"/>
      <c r="K501" s="598"/>
      <c r="L501" s="1128">
        <f>AVERAGE(L497:L500)</f>
        <v>423.375</v>
      </c>
      <c r="M501" s="598"/>
      <c r="N501" s="1120">
        <f>(L501/L494-1)*100</f>
        <v>9.1524331292297756</v>
      </c>
      <c r="O501" s="1124"/>
      <c r="P501" s="1159">
        <f>H501/N501*100</f>
        <v>109.37947911971257</v>
      </c>
      <c r="Q501" s="1125"/>
      <c r="R501" s="598"/>
      <c r="S501" s="1160">
        <f>SUM(S497:S500)</f>
        <v>4092.7660000000001</v>
      </c>
      <c r="T501" s="598"/>
      <c r="U501" s="1161">
        <f>SUM(U497:U500)</f>
        <v>9.6435921288778612</v>
      </c>
      <c r="V501" s="598"/>
      <c r="W501" s="1176">
        <f>(U501/U494-1)*100</f>
        <v>3.7313283034153377</v>
      </c>
      <c r="X501" s="1124"/>
      <c r="Y501" s="598"/>
      <c r="Z501" s="598"/>
      <c r="AA501" s="598"/>
      <c r="AB501" s="1163">
        <f>AVERAGE(AB497:AB500)</f>
        <v>12.787499999999998</v>
      </c>
      <c r="AC501" s="598"/>
      <c r="AD501" s="1120">
        <f>(AB501/AB494-1)*100</f>
        <v>8.0253431890179527</v>
      </c>
      <c r="AE501" s="1124"/>
      <c r="AF501" s="1159">
        <f>+H501/AD501*100</f>
        <v>124.74087958295218</v>
      </c>
      <c r="AG501" s="1125"/>
      <c r="AH501" s="598"/>
      <c r="AI501" s="1160">
        <f>SUM(AI497:AI500)</f>
        <v>4092.7660000000001</v>
      </c>
      <c r="AJ501" s="598"/>
      <c r="AK501" s="1164">
        <f>SUM(AK497:AK500)</f>
        <v>319.3001526527969</v>
      </c>
      <c r="AL501" s="598"/>
      <c r="AM501" s="1176">
        <f>(AK501/AK494-1)*100</f>
        <v>4.7705586266678202</v>
      </c>
      <c r="AN501" s="1124"/>
      <c r="AP501" s="562">
        <v>1.3188912896690967</v>
      </c>
      <c r="AQ501" s="1198">
        <f>(AP501/AP494-1)*100</f>
        <v>-0.8938975845139252</v>
      </c>
      <c r="AR501" s="1198"/>
      <c r="AS501" s="562">
        <v>1.6416878257868586</v>
      </c>
      <c r="AT501" s="1198">
        <f>(AS501/AS494-1)*100</f>
        <v>4.648367861713143</v>
      </c>
      <c r="AU501" s="1198"/>
      <c r="AV501" s="499"/>
      <c r="AW501" s="499"/>
      <c r="AX501" s="499"/>
      <c r="AY501" s="1034">
        <f>AP496*AQ501+AS496*AT501</f>
        <v>3.2454385131694488</v>
      </c>
      <c r="AZ501" s="499"/>
      <c r="BA501" s="499"/>
      <c r="BB501" s="1200"/>
      <c r="BC501" s="499"/>
      <c r="BD501" s="1200"/>
      <c r="BE501" s="1200"/>
      <c r="BF501" s="1200"/>
      <c r="BG501" s="1200"/>
      <c r="BH501" s="487"/>
    </row>
    <row r="502" spans="1:60" ht="13.5" thickBot="1">
      <c r="A502" s="598"/>
      <c r="B502" s="1157"/>
      <c r="C502" s="598"/>
      <c r="D502" s="1120"/>
      <c r="E502" s="598"/>
      <c r="F502" s="1179"/>
      <c r="G502" s="598"/>
      <c r="H502" s="1120"/>
      <c r="I502" s="598"/>
      <c r="J502" s="598"/>
      <c r="K502" s="598"/>
      <c r="L502" s="1128"/>
      <c r="M502" s="598"/>
      <c r="N502" s="1120"/>
      <c r="O502" s="1124"/>
      <c r="P502" s="1159"/>
      <c r="Q502" s="1125"/>
      <c r="R502" s="598"/>
      <c r="S502" s="1181"/>
      <c r="T502" s="598"/>
      <c r="U502" s="1161"/>
      <c r="V502" s="598"/>
      <c r="W502" s="1176"/>
      <c r="X502" s="1124"/>
      <c r="Y502" s="598"/>
      <c r="Z502" s="598"/>
      <c r="AA502" s="598"/>
      <c r="AB502" s="1163"/>
      <c r="AC502" s="598"/>
      <c r="AD502" s="1120"/>
      <c r="AE502" s="1124"/>
      <c r="AF502" s="1159"/>
      <c r="AG502" s="1125"/>
      <c r="AH502" s="598"/>
      <c r="AI502" s="1160"/>
      <c r="AJ502" s="598"/>
      <c r="AK502" s="1164"/>
      <c r="AL502" s="598"/>
      <c r="AM502" s="1176"/>
      <c r="AN502" s="1124"/>
      <c r="AP502" s="487"/>
      <c r="AQ502" s="487"/>
      <c r="AR502" s="487"/>
      <c r="AS502" s="487"/>
      <c r="AT502" s="487"/>
      <c r="AU502" s="487"/>
      <c r="AV502" s="499"/>
      <c r="AW502" s="499"/>
      <c r="AX502" s="499"/>
      <c r="AY502" s="499"/>
      <c r="AZ502" s="499"/>
      <c r="BA502" s="499"/>
      <c r="BB502" s="1200"/>
      <c r="BC502" s="499"/>
      <c r="BD502" s="1200"/>
      <c r="BE502" s="1200"/>
      <c r="BF502" s="1200"/>
      <c r="BG502" s="1200"/>
      <c r="BH502" s="487"/>
    </row>
    <row r="503" spans="1:60" ht="13.5" thickBot="1">
      <c r="A503" s="1154"/>
      <c r="B503" s="1118">
        <f>+B496+1</f>
        <v>2015</v>
      </c>
      <c r="C503" s="598"/>
      <c r="D503" s="598"/>
      <c r="E503" s="1124"/>
      <c r="F503" s="598"/>
      <c r="G503" s="1124"/>
      <c r="H503" s="598"/>
      <c r="I503" s="1124"/>
      <c r="J503" s="598"/>
      <c r="K503" s="598"/>
      <c r="L503" s="598"/>
      <c r="M503" s="598"/>
      <c r="N503" s="598"/>
      <c r="O503" s="1124"/>
      <c r="P503" s="1125"/>
      <c r="Q503" s="1125"/>
      <c r="R503" s="598"/>
      <c r="S503" s="1165"/>
      <c r="T503" s="598"/>
      <c r="U503" s="598"/>
      <c r="V503" s="598"/>
      <c r="W503" s="598"/>
      <c r="X503" s="1124"/>
      <c r="Y503" s="598"/>
      <c r="Z503" s="598"/>
      <c r="AA503" s="598"/>
      <c r="AB503" s="598"/>
      <c r="AC503" s="598"/>
      <c r="AD503" s="598"/>
      <c r="AE503" s="1124"/>
      <c r="AF503" s="1125"/>
      <c r="AG503" s="1125"/>
      <c r="AH503" s="598"/>
      <c r="AI503" s="598"/>
      <c r="AJ503" s="598"/>
      <c r="AK503" s="598"/>
      <c r="AL503" s="598"/>
      <c r="AM503" s="598"/>
      <c r="AN503" s="1124"/>
      <c r="AP503" s="1196">
        <f>1-AS503</f>
        <v>0.25313283208020054</v>
      </c>
      <c r="AQ503" s="735"/>
      <c r="AR503" s="807"/>
      <c r="AS503" s="1196">
        <f>(270+28)/(371+28)</f>
        <v>0.74686716791979946</v>
      </c>
      <c r="AT503" s="735"/>
      <c r="AU503" s="807"/>
      <c r="AV503" s="706"/>
      <c r="AW503" s="706"/>
      <c r="AX503" s="695"/>
      <c r="AY503" s="695"/>
      <c r="AZ503" s="695"/>
      <c r="BA503" s="695"/>
      <c r="BB503" s="1200"/>
      <c r="BC503" s="695"/>
      <c r="BD503" s="1200"/>
      <c r="BE503" s="1200"/>
      <c r="BF503" s="1200"/>
      <c r="BG503" s="1200"/>
      <c r="BH503" s="487"/>
    </row>
    <row r="504" spans="1:60">
      <c r="A504" s="598" t="s">
        <v>527</v>
      </c>
      <c r="B504" s="1157" t="s">
        <v>514</v>
      </c>
      <c r="C504" s="598"/>
      <c r="D504" s="1120">
        <f>(S504/S497-1)*100</f>
        <v>-2.3603326714179418</v>
      </c>
      <c r="E504" s="1124" t="s">
        <v>190</v>
      </c>
      <c r="F504" s="1179">
        <f>'SegP&amp;L'!AE186</f>
        <v>3</v>
      </c>
      <c r="G504" s="1124" t="s">
        <v>190</v>
      </c>
      <c r="H504" s="1120">
        <f>D504-F504</f>
        <v>-5.3603326714179413</v>
      </c>
      <c r="I504" s="598"/>
      <c r="J504" s="598">
        <f>Stores!AF208+Stores!BH208</f>
        <v>449</v>
      </c>
      <c r="K504" s="1127"/>
      <c r="L504" s="1128">
        <f>AVERAGE(J504,J500)</f>
        <v>444.5</v>
      </c>
      <c r="M504" s="598"/>
      <c r="N504" s="1120">
        <f>(L504/L497-1)*100</f>
        <v>10.161090458488232</v>
      </c>
      <c r="O504" s="1124"/>
      <c r="P504" s="1159">
        <f>H504/N504*100</f>
        <v>-52.753517876027765</v>
      </c>
      <c r="Q504" s="1125"/>
      <c r="R504" s="598"/>
      <c r="S504" s="1160">
        <f>'SegP&amp;L'!AC186</f>
        <v>869.822</v>
      </c>
      <c r="T504" s="1127"/>
      <c r="U504" s="1166">
        <f>S504/L504</f>
        <v>1.9568548931383578</v>
      </c>
      <c r="V504" s="598"/>
      <c r="W504" s="1176">
        <f>(U504/U497-1)*100</f>
        <v>-11.366466215786586</v>
      </c>
      <c r="X504" s="1124" t="s">
        <v>190</v>
      </c>
      <c r="Y504" s="598"/>
      <c r="Z504" s="1129">
        <f>Stores!AI208+Stores!BK208</f>
        <v>13.5</v>
      </c>
      <c r="AA504" s="598"/>
      <c r="AB504" s="1163">
        <f>AVERAGE(Z504,Z500)</f>
        <v>13.399999999999999</v>
      </c>
      <c r="AC504" s="598"/>
      <c r="AD504" s="1120">
        <f>(AB504/AB497-1)*100</f>
        <v>8.5020242914979782</v>
      </c>
      <c r="AE504" s="1124" t="s">
        <v>190</v>
      </c>
      <c r="AF504" s="1159">
        <f>+H504/AD504*100</f>
        <v>-63.047722373344342</v>
      </c>
      <c r="AG504" s="1125" t="s">
        <v>190</v>
      </c>
      <c r="AH504" s="598"/>
      <c r="AI504" s="1160">
        <f>+S504</f>
        <v>869.822</v>
      </c>
      <c r="AJ504" s="598"/>
      <c r="AK504" s="1164">
        <f>AI504/AB504</f>
        <v>64.912089552238811</v>
      </c>
      <c r="AL504" s="598"/>
      <c r="AM504" s="1176">
        <f>(AK504/AK497-1)*100</f>
        <v>-10.011202126269525</v>
      </c>
      <c r="AN504" s="1124" t="s">
        <v>190</v>
      </c>
      <c r="AP504" s="562">
        <v>1.0986776453125002</v>
      </c>
      <c r="AQ504" s="1198">
        <f>(AP504/AP497-1)*100</f>
        <v>-20.216753231491769</v>
      </c>
      <c r="AR504" s="1203" t="s">
        <v>190</v>
      </c>
      <c r="AS504" s="562">
        <v>0</v>
      </c>
      <c r="AT504" s="1198">
        <f>(AS504/AS497-1)*100</f>
        <v>-100</v>
      </c>
      <c r="AU504" s="1203" t="s">
        <v>190</v>
      </c>
      <c r="AV504" s="499"/>
      <c r="AW504" s="499"/>
      <c r="AX504" s="499"/>
      <c r="AY504" s="1034">
        <f>AP503*AQ504</f>
        <v>-5.1175240009540577</v>
      </c>
      <c r="AZ504" s="499"/>
      <c r="BA504" s="499"/>
      <c r="BB504" s="1200"/>
      <c r="BC504" s="499"/>
      <c r="BD504" s="1200"/>
      <c r="BE504" s="1200"/>
      <c r="BF504" s="1200"/>
      <c r="BG504" s="1200"/>
      <c r="BH504" s="701"/>
    </row>
    <row r="505" spans="1:60">
      <c r="A505" s="598" t="s">
        <v>528</v>
      </c>
      <c r="B505" s="1157" t="s">
        <v>515</v>
      </c>
      <c r="C505" s="598"/>
      <c r="D505" s="1120">
        <f>(S505/S498-1)*100</f>
        <v>0.92042764677959799</v>
      </c>
      <c r="E505" s="598"/>
      <c r="F505" s="1179">
        <f>'SegP&amp;L'!AE187</f>
        <v>5</v>
      </c>
      <c r="G505" s="598"/>
      <c r="H505" s="1120">
        <f>D505-F505</f>
        <v>-4.079572353220402</v>
      </c>
      <c r="I505" s="598"/>
      <c r="J505" s="598">
        <f>Stores!AF209+Stores!BH209</f>
        <v>456</v>
      </c>
      <c r="K505" s="1127"/>
      <c r="L505" s="1128">
        <f>AVERAGE(J505,J504)</f>
        <v>452.5</v>
      </c>
      <c r="M505" s="598"/>
      <c r="N505" s="1120">
        <f>(L505/L498-1)*100</f>
        <v>10.365853658536594</v>
      </c>
      <c r="O505" s="1124"/>
      <c r="P505" s="1159">
        <f>H505/N505*100</f>
        <v>-39.355874466361499</v>
      </c>
      <c r="Q505" s="1125"/>
      <c r="R505" s="598"/>
      <c r="S505" s="1165">
        <f>'SegP&amp;L'!AC187</f>
        <v>963.12300000000005</v>
      </c>
      <c r="T505" s="1127"/>
      <c r="U505" s="1166">
        <f>S505/L505</f>
        <v>2.1284486187845304</v>
      </c>
      <c r="V505" s="598"/>
      <c r="W505" s="1176">
        <f>(U505/U498-1)*100</f>
        <v>-8.5582865520892106</v>
      </c>
      <c r="X505" s="1124"/>
      <c r="Y505" s="598"/>
      <c r="Z505" s="1129">
        <f>Stores!AI209+Stores!BK209</f>
        <v>13.7</v>
      </c>
      <c r="AA505" s="1127"/>
      <c r="AB505" s="1163">
        <f>AVERAGE(Z505,Z504)</f>
        <v>13.6</v>
      </c>
      <c r="AC505" s="598"/>
      <c r="AD505" s="1120">
        <f>(AB505/AB498-1)*100</f>
        <v>8.3665338645418252</v>
      </c>
      <c r="AE505" s="1124"/>
      <c r="AF505" s="1159">
        <f>+H505/AD505*100</f>
        <v>-48.760602888491519</v>
      </c>
      <c r="AG505" s="1125"/>
      <c r="AH505" s="598"/>
      <c r="AI505" s="1165">
        <f>+S505</f>
        <v>963.12300000000005</v>
      </c>
      <c r="AJ505" s="598"/>
      <c r="AK505" s="1167">
        <f>AI505/AB505</f>
        <v>70.817867647058833</v>
      </c>
      <c r="AL505" s="598"/>
      <c r="AM505" s="1176">
        <f>(AK505/AK498-1)*100</f>
        <v>-6.8712230171261712</v>
      </c>
      <c r="AN505" s="1124"/>
      <c r="AP505" s="562">
        <f>AP504</f>
        <v>1.0986776453125002</v>
      </c>
      <c r="AQ505" s="1198">
        <f>(AP505/AP498-1)*100</f>
        <v>-19.3378339173486</v>
      </c>
      <c r="AR505" s="1198">
        <f>+(AP505/AP498-1)*100</f>
        <v>-19.3378339173486</v>
      </c>
      <c r="AS505" s="562">
        <v>0</v>
      </c>
      <c r="AT505" s="1198">
        <f>(AS505/AS498-1)*100</f>
        <v>-100</v>
      </c>
      <c r="AU505" s="1198">
        <f>+(AS505/AS498-1)*100</f>
        <v>-100</v>
      </c>
      <c r="AV505" s="499"/>
      <c r="AW505" s="499"/>
      <c r="AX505" s="499"/>
      <c r="AY505" s="1034">
        <f>AP503*AQ505</f>
        <v>-4.8950406657950101</v>
      </c>
      <c r="AZ505" s="499"/>
      <c r="BA505" s="499"/>
      <c r="BB505" s="499"/>
      <c r="BC505" s="499"/>
      <c r="BD505" s="499"/>
      <c r="BE505" s="499"/>
      <c r="BF505" s="499"/>
      <c r="BG505" s="499"/>
      <c r="BH505" s="487"/>
    </row>
    <row r="506" spans="1:60">
      <c r="A506" s="598" t="s">
        <v>529</v>
      </c>
      <c r="B506" s="1157" t="s">
        <v>516</v>
      </c>
      <c r="C506" s="598"/>
      <c r="D506" s="1120">
        <f>(S506/S499-1)*100</f>
        <v>6.0915910966121478</v>
      </c>
      <c r="E506" s="598"/>
      <c r="F506" s="1179">
        <f>'SegP&amp;L'!AE188</f>
        <v>7</v>
      </c>
      <c r="G506" s="598"/>
      <c r="H506" s="1120">
        <f>D506-F506</f>
        <v>-0.90840890338785218</v>
      </c>
      <c r="I506" s="598"/>
      <c r="J506" s="598">
        <f>Stores!AF210+Stores!BH210</f>
        <v>493</v>
      </c>
      <c r="K506" s="1127"/>
      <c r="L506" s="1128">
        <f>AVERAGE(J506,J505)</f>
        <v>474.5</v>
      </c>
      <c r="M506" s="598"/>
      <c r="N506" s="1120">
        <f>(L506/L499-1)*100</f>
        <v>7.8409090909090873</v>
      </c>
      <c r="O506" s="1124"/>
      <c r="P506" s="1159">
        <f>H506/N506*100</f>
        <v>-11.585504854801599</v>
      </c>
      <c r="Q506" s="1125"/>
      <c r="R506" s="598"/>
      <c r="S506" s="1165">
        <f>'SegP&amp;L'!AC188</f>
        <v>1113.5139999999999</v>
      </c>
      <c r="T506" s="1127"/>
      <c r="U506" s="1166">
        <f>S506/L506</f>
        <v>2.3467102212855635</v>
      </c>
      <c r="V506" s="598"/>
      <c r="W506" s="1176">
        <f>(U506/U499-1)*100</f>
        <v>-1.6221283824882082</v>
      </c>
      <c r="X506" s="1124"/>
      <c r="Y506" s="598"/>
      <c r="Z506" s="1129">
        <f>Stores!AI210+Stores!BK210</f>
        <v>14.600000000000001</v>
      </c>
      <c r="AA506" s="1127"/>
      <c r="AB506" s="1163">
        <f>AVERAGE(Z506,Z505)</f>
        <v>14.15</v>
      </c>
      <c r="AC506" s="598"/>
      <c r="AD506" s="1120">
        <f>(AB506/AB499-1)*100</f>
        <v>9.2664092664092692</v>
      </c>
      <c r="AE506" s="1124"/>
      <c r="AF506" s="1159">
        <f>+H506/AD506*100</f>
        <v>-9.8032460823939012</v>
      </c>
      <c r="AG506" s="1125"/>
      <c r="AH506" s="598"/>
      <c r="AI506" s="1165">
        <f>+S506</f>
        <v>1113.5139999999999</v>
      </c>
      <c r="AJ506" s="598"/>
      <c r="AK506" s="1167">
        <f>AI506/AB506</f>
        <v>78.693568904593633</v>
      </c>
      <c r="AL506" s="598"/>
      <c r="AM506" s="1176">
        <f>(AK506/AK499-1)*100</f>
        <v>-2.9055756394962939</v>
      </c>
      <c r="AN506" s="1124"/>
      <c r="AP506" s="562">
        <f>AP505</f>
        <v>1.0986776453125002</v>
      </c>
      <c r="AQ506" s="1198">
        <f>(AP506/AP499-1)*100</f>
        <v>-15.588181693923818</v>
      </c>
      <c r="AR506" s="1198">
        <f>+(AP506/AP499-1)*100</f>
        <v>-15.588181693923818</v>
      </c>
      <c r="AS506" s="562">
        <v>1.5076277468750008</v>
      </c>
      <c r="AT506" s="1198">
        <f>(AS506/AS499-1)*100</f>
        <v>-8.1659596158220609</v>
      </c>
      <c r="AU506" s="1198">
        <f>+(AS506/AS499-1)*100</f>
        <v>-8.1659596158220609</v>
      </c>
      <c r="AV506" s="499"/>
      <c r="AW506" s="499"/>
      <c r="AX506" s="499"/>
      <c r="AY506" s="1034">
        <f>AP503*AQ506</f>
        <v>-3.9458805791636742</v>
      </c>
      <c r="AZ506" s="499"/>
      <c r="BA506" s="499"/>
      <c r="BB506" s="499"/>
      <c r="BC506" s="499"/>
      <c r="BD506" s="499"/>
      <c r="BE506" s="499"/>
      <c r="BF506" s="499"/>
      <c r="BG506" s="499"/>
      <c r="BH506" s="487"/>
    </row>
    <row r="507" spans="1:60" ht="15">
      <c r="A507" s="598" t="s">
        <v>530</v>
      </c>
      <c r="B507" s="1157" t="s">
        <v>517</v>
      </c>
      <c r="C507" s="598"/>
      <c r="D507" s="1168">
        <f>(S507/S500-1)*100</f>
        <v>6.8792988313856496</v>
      </c>
      <c r="E507" s="598"/>
      <c r="F507" s="1178">
        <f>'SegP&amp;L'!AE189</f>
        <v>1</v>
      </c>
      <c r="G507" s="598"/>
      <c r="H507" s="1168">
        <f>D507-F507</f>
        <v>5.8792988313856496</v>
      </c>
      <c r="I507" s="598"/>
      <c r="J507" s="598">
        <f>Stores!AF211+Stores!BH211</f>
        <v>495</v>
      </c>
      <c r="K507" s="1127"/>
      <c r="L507" s="1171">
        <f>AVERAGE(J507,J506)</f>
        <v>494</v>
      </c>
      <c r="M507" s="598"/>
      <c r="N507" s="1168">
        <f>(L507/L500-1)*100</f>
        <v>12.27272727272728</v>
      </c>
      <c r="O507" s="1124"/>
      <c r="P507" s="1171">
        <f>H507/N507*100</f>
        <v>47.905397885364522</v>
      </c>
      <c r="Q507" s="1125"/>
      <c r="R507" s="598"/>
      <c r="S507" s="1185">
        <f>'SegP&amp;L'!AC189</f>
        <v>1280.414</v>
      </c>
      <c r="T507" s="598"/>
      <c r="U507" s="1173">
        <f>S507/L507</f>
        <v>2.5919311740890687</v>
      </c>
      <c r="V507" s="598"/>
      <c r="W507" s="1169">
        <f>(U507/U500-1)*100</f>
        <v>-4.8038633890492228</v>
      </c>
      <c r="X507" s="1124"/>
      <c r="Y507" s="598"/>
      <c r="Z507" s="1129">
        <f>Stores!AI211+Stores!BK211</f>
        <v>14.600000000000001</v>
      </c>
      <c r="AA507" s="1127"/>
      <c r="AB507" s="1174">
        <f>AVERAGE(Z507,Z506)</f>
        <v>14.600000000000001</v>
      </c>
      <c r="AC507" s="598"/>
      <c r="AD507" s="1168">
        <f>(AB507/AB500-1)*100</f>
        <v>9.774436090225592</v>
      </c>
      <c r="AE507" s="1124"/>
      <c r="AF507" s="1171">
        <f>+H507/AD507*100</f>
        <v>60.149749582637625</v>
      </c>
      <c r="AG507" s="1125"/>
      <c r="AH507" s="598"/>
      <c r="AI507" s="1172">
        <f>+S507</f>
        <v>1280.414</v>
      </c>
      <c r="AJ507" s="598"/>
      <c r="AK507" s="1175">
        <f>AI507/AB507</f>
        <v>87.699589041095876</v>
      </c>
      <c r="AL507" s="598"/>
      <c r="AM507" s="1169">
        <f>(AK507/AK500-1)*100</f>
        <v>-2.6373510645596898</v>
      </c>
      <c r="AN507" s="1124"/>
      <c r="AP507" s="1201">
        <f>AP506</f>
        <v>1.0986776453125002</v>
      </c>
      <c r="AQ507" s="1202">
        <f>(AP507/AP500-1)*100</f>
        <v>-11.027112524331883</v>
      </c>
      <c r="AR507" s="487"/>
      <c r="AS507" s="1201">
        <v>1.5529328878787874</v>
      </c>
      <c r="AT507" s="1202">
        <f>(AS507/AS500-1)*100</f>
        <v>-0.83089447062846267</v>
      </c>
      <c r="AU507" s="487"/>
      <c r="AV507" s="499"/>
      <c r="AW507" s="499"/>
      <c r="AX507" s="499"/>
      <c r="AY507" s="1034">
        <f>AP503*AQ507</f>
        <v>-2.7913242229511788</v>
      </c>
      <c r="AZ507" s="499"/>
      <c r="BA507" s="499"/>
      <c r="BB507" s="1088"/>
      <c r="BC507" s="499"/>
      <c r="BD507" s="1088"/>
      <c r="BE507" s="1088"/>
      <c r="BF507" s="1088"/>
      <c r="BG507" s="1200"/>
      <c r="BH507" s="487"/>
    </row>
    <row r="508" spans="1:60">
      <c r="A508" s="598"/>
      <c r="B508" s="1157" t="s">
        <v>531</v>
      </c>
      <c r="C508" s="598"/>
      <c r="D508" s="1120">
        <f>(S508/S501-1)*100</f>
        <v>3.2766837879321553</v>
      </c>
      <c r="E508" s="598"/>
      <c r="F508" s="1179">
        <f>'SegP&amp;L'!AE190</f>
        <v>4</v>
      </c>
      <c r="G508" s="598"/>
      <c r="H508" s="1120">
        <f>D508-F508</f>
        <v>-0.72331621206784469</v>
      </c>
      <c r="I508" s="598"/>
      <c r="J508" s="598"/>
      <c r="K508" s="598"/>
      <c r="L508" s="1128">
        <f>AVERAGE(L504:L507)</f>
        <v>466.375</v>
      </c>
      <c r="M508" s="598"/>
      <c r="N508" s="1120">
        <f>(L508/L501-1)*100</f>
        <v>10.156480661352219</v>
      </c>
      <c r="O508" s="1124"/>
      <c r="P508" s="1159">
        <f>H508/N508*100</f>
        <v>-7.1217209600982336</v>
      </c>
      <c r="Q508" s="1125"/>
      <c r="R508" s="598"/>
      <c r="S508" s="1160">
        <f>SUM(S504:S507)</f>
        <v>4226.8729999999996</v>
      </c>
      <c r="T508" s="598"/>
      <c r="U508" s="1161">
        <f>SUM(U504:U507)</f>
        <v>9.0239449072975209</v>
      </c>
      <c r="V508" s="598"/>
      <c r="W508" s="1176">
        <f>(U508/U501-1)*100</f>
        <v>-6.4254814316005664</v>
      </c>
      <c r="X508" s="1124"/>
      <c r="Y508" s="598"/>
      <c r="Z508" s="598"/>
      <c r="AA508" s="598"/>
      <c r="AB508" s="1163">
        <f>AVERAGE(AB504:AB507)</f>
        <v>13.9375</v>
      </c>
      <c r="AC508" s="598"/>
      <c r="AD508" s="1120">
        <f>(AB508/AB501-1)*100</f>
        <v>8.9931573802541678</v>
      </c>
      <c r="AE508" s="1124"/>
      <c r="AF508" s="1159">
        <f>+H508/AD508*100</f>
        <v>-8.0429617928848263</v>
      </c>
      <c r="AG508" s="1125"/>
      <c r="AH508" s="598"/>
      <c r="AI508" s="1160">
        <f>SUM(AI504:AI507)</f>
        <v>4226.8729999999996</v>
      </c>
      <c r="AJ508" s="598"/>
      <c r="AK508" s="1164">
        <f>SUM(AK504:AK507)</f>
        <v>302.12311514498714</v>
      </c>
      <c r="AL508" s="598"/>
      <c r="AM508" s="1176">
        <f>(AK508/AK501-1)*100</f>
        <v>-5.3795895069576938</v>
      </c>
      <c r="AN508" s="1124"/>
      <c r="AP508" s="562">
        <v>1.1196349446153846</v>
      </c>
      <c r="AQ508" s="1198">
        <f>(AP508/AP501-1)*100</f>
        <v>-15.107867237769423</v>
      </c>
      <c r="AR508" s="1198"/>
      <c r="AS508" s="562">
        <v>1.5411203153846154</v>
      </c>
      <c r="AT508" s="1198">
        <f>(AS508/AS501-1)*100</f>
        <v>-6.1258607649137815</v>
      </c>
      <c r="AU508" s="1198"/>
      <c r="AV508" s="499"/>
      <c r="AW508" s="499"/>
      <c r="AX508" s="499"/>
      <c r="AY508" s="1034">
        <f>AP503*AQ508</f>
        <v>-3.8242972205882504</v>
      </c>
      <c r="AZ508" s="499"/>
      <c r="BA508" s="499"/>
      <c r="BB508" s="1200"/>
      <c r="BC508" s="499"/>
      <c r="BD508" s="1200"/>
      <c r="BE508" s="1200"/>
      <c r="BF508" s="1200"/>
      <c r="BG508" s="1200"/>
      <c r="BH508" s="487"/>
    </row>
    <row r="509" spans="1:60" ht="13.5" thickBot="1">
      <c r="A509" s="598"/>
      <c r="B509" s="1157"/>
      <c r="C509" s="598"/>
      <c r="D509" s="1120"/>
      <c r="E509" s="598"/>
      <c r="F509" s="1179"/>
      <c r="G509" s="598"/>
      <c r="H509" s="1120"/>
      <c r="I509" s="598"/>
      <c r="J509" s="598"/>
      <c r="K509" s="598"/>
      <c r="L509" s="1128"/>
      <c r="M509" s="598"/>
      <c r="N509" s="1120"/>
      <c r="O509" s="1124"/>
      <c r="P509" s="1159"/>
      <c r="Q509" s="1125"/>
      <c r="R509" s="598"/>
      <c r="S509" s="1223"/>
      <c r="T509" s="598"/>
      <c r="U509" s="1161"/>
      <c r="V509" s="598"/>
      <c r="W509" s="1176"/>
      <c r="X509" s="1124"/>
      <c r="Y509" s="598"/>
      <c r="Z509" s="598"/>
      <c r="AA509" s="598"/>
      <c r="AB509" s="1163"/>
      <c r="AC509" s="598"/>
      <c r="AD509" s="1120"/>
      <c r="AE509" s="1124"/>
      <c r="AF509" s="1159"/>
      <c r="AG509" s="1125"/>
      <c r="AH509" s="598"/>
      <c r="AI509" s="1160"/>
      <c r="AJ509" s="598"/>
      <c r="AK509" s="1164"/>
      <c r="AL509" s="598"/>
      <c r="AM509" s="1176"/>
      <c r="AN509" s="1124"/>
      <c r="AP509" s="487"/>
      <c r="AQ509" s="487"/>
      <c r="AR509" s="487"/>
      <c r="AS509" s="487"/>
      <c r="AT509" s="487"/>
      <c r="AU509" s="487"/>
      <c r="AV509" s="487"/>
      <c r="AW509" s="487"/>
      <c r="AX509" s="487"/>
      <c r="AY509" s="487"/>
      <c r="AZ509" s="499"/>
      <c r="BA509" s="740"/>
      <c r="BB509" s="1200"/>
      <c r="BC509" s="740"/>
      <c r="BD509" s="1200"/>
      <c r="BE509" s="1200"/>
      <c r="BF509" s="1200"/>
      <c r="BG509" s="1200"/>
      <c r="BH509" s="487"/>
    </row>
    <row r="510" spans="1:60" ht="13.5" thickBot="1">
      <c r="A510" s="1154"/>
      <c r="B510" s="1118">
        <f>+B503+1</f>
        <v>2016</v>
      </c>
      <c r="C510" s="598"/>
      <c r="D510" s="598"/>
      <c r="E510" s="1124"/>
      <c r="F510" s="598"/>
      <c r="G510" s="1124"/>
      <c r="H510" s="598"/>
      <c r="I510" s="1124"/>
      <c r="J510" s="598"/>
      <c r="K510" s="598"/>
      <c r="L510" s="598"/>
      <c r="M510" s="598"/>
      <c r="N510" s="598"/>
      <c r="O510" s="1124"/>
      <c r="P510" s="1125"/>
      <c r="Q510" s="1125"/>
      <c r="R510" s="598"/>
      <c r="S510" s="1165"/>
      <c r="T510" s="598"/>
      <c r="U510" s="598"/>
      <c r="V510" s="598"/>
      <c r="W510" s="598"/>
      <c r="X510" s="1124"/>
      <c r="Y510" s="598"/>
      <c r="Z510" s="598"/>
      <c r="AA510" s="598"/>
      <c r="AB510" s="598"/>
      <c r="AC510" s="598"/>
      <c r="AD510" s="598"/>
      <c r="AE510" s="1124"/>
      <c r="AF510" s="1125"/>
      <c r="AG510" s="1125"/>
      <c r="AH510" s="598"/>
      <c r="AI510" s="598"/>
      <c r="AJ510" s="598"/>
      <c r="AK510" s="598"/>
      <c r="AL510" s="598"/>
      <c r="AM510" s="598"/>
      <c r="AN510" s="1124"/>
      <c r="AP510" s="1196">
        <f>1-AS510</f>
        <v>0.25313283208020054</v>
      </c>
      <c r="AQ510" s="735"/>
      <c r="AR510" s="807"/>
      <c r="AS510" s="1196">
        <f>(270+28)/(371+28)</f>
        <v>0.74686716791979946</v>
      </c>
      <c r="AT510" s="735"/>
      <c r="AU510" s="807"/>
      <c r="AV510" s="706"/>
      <c r="AW510" s="706"/>
      <c r="AX510" s="695"/>
      <c r="AY510" s="695"/>
      <c r="AZ510" s="695"/>
      <c r="BA510" s="695"/>
      <c r="BB510" s="1200"/>
      <c r="BC510" s="695"/>
      <c r="BD510" s="1200"/>
      <c r="BE510" s="1200"/>
      <c r="BF510" s="1200"/>
      <c r="BG510" s="1200"/>
      <c r="BH510" s="487"/>
    </row>
    <row r="511" spans="1:60">
      <c r="A511" s="598" t="s">
        <v>527</v>
      </c>
      <c r="B511" s="1157" t="s">
        <v>514</v>
      </c>
      <c r="C511" s="598"/>
      <c r="D511" s="1120">
        <f>(S511/S504-1)*100</f>
        <v>12.778016651682744</v>
      </c>
      <c r="E511" s="1124" t="s">
        <v>190</v>
      </c>
      <c r="F511" s="1179">
        <f>'SegP&amp;L'!$AE193</f>
        <v>4</v>
      </c>
      <c r="G511" s="1124" t="s">
        <v>190</v>
      </c>
      <c r="H511" s="1120">
        <f>D511-F511</f>
        <v>8.7780166516827443</v>
      </c>
      <c r="I511" s="598"/>
      <c r="J511" s="598">
        <f>Stores!AF215+Stores!BH215+Stores!CP215</f>
        <v>547</v>
      </c>
      <c r="K511" s="1127"/>
      <c r="L511" s="1128">
        <f>AVERAGE(J511,J507)</f>
        <v>521</v>
      </c>
      <c r="M511" s="598"/>
      <c r="N511" s="1120">
        <f>(L511/L504-1)*100</f>
        <v>17.210348706411693</v>
      </c>
      <c r="O511" s="1124"/>
      <c r="P511" s="1159">
        <f>H511/N511*100</f>
        <v>51.004292832326549</v>
      </c>
      <c r="Q511" s="1125"/>
      <c r="R511" s="598"/>
      <c r="S511" s="1160">
        <f>'SegP&amp;L'!$AC193</f>
        <v>980.96799999999996</v>
      </c>
      <c r="T511" s="1127"/>
      <c r="U511" s="1166">
        <f>S511/L511</f>
        <v>1.882856046065259</v>
      </c>
      <c r="V511" s="598"/>
      <c r="W511" s="1176">
        <f>(U511/U504-1)*100</f>
        <v>-3.7815193825854521</v>
      </c>
      <c r="X511" s="1124" t="s">
        <v>190</v>
      </c>
      <c r="Y511" s="598"/>
      <c r="Z511" s="1129">
        <f>Stores!AI215+Stores!BK215</f>
        <v>15</v>
      </c>
      <c r="AA511" s="598"/>
      <c r="AB511" s="1163">
        <f>AVERAGE(Z511,Z507)</f>
        <v>14.8</v>
      </c>
      <c r="AC511" s="598"/>
      <c r="AD511" s="1120">
        <f>(AB511/AB504-1)*100</f>
        <v>10.447761194029859</v>
      </c>
      <c r="AE511" s="1124" t="s">
        <v>190</v>
      </c>
      <c r="AF511" s="1159">
        <f>+H511/AD511*100</f>
        <v>84.018159380391921</v>
      </c>
      <c r="AG511" s="1125" t="s">
        <v>190</v>
      </c>
      <c r="AH511" s="598"/>
      <c r="AI511" s="1160">
        <f>+S511</f>
        <v>980.96799999999996</v>
      </c>
      <c r="AJ511" s="598"/>
      <c r="AK511" s="1164">
        <f>AI511/AB511</f>
        <v>66.281621621621611</v>
      </c>
      <c r="AL511" s="598"/>
      <c r="AM511" s="1176">
        <f>(AK511/AK504-1)*100</f>
        <v>2.1098258873343712</v>
      </c>
      <c r="AN511" s="1124" t="s">
        <v>190</v>
      </c>
      <c r="AP511" s="562">
        <v>1.1201464984615384</v>
      </c>
      <c r="AQ511" s="1198">
        <f>(AP511/AP504-1)*100</f>
        <v>1.9540629811332533</v>
      </c>
      <c r="AR511" s="1203" t="s">
        <v>190</v>
      </c>
      <c r="AS511" s="562">
        <v>0</v>
      </c>
      <c r="AT511" s="1198"/>
      <c r="AU511" s="1203"/>
      <c r="AV511" s="499"/>
      <c r="AW511" s="499"/>
      <c r="AX511" s="499"/>
      <c r="AY511" s="1034">
        <f>AP510*AQ511</f>
        <v>0.4946374964773399</v>
      </c>
      <c r="AZ511" s="499"/>
      <c r="BA511" s="499"/>
      <c r="BB511" s="1200"/>
      <c r="BC511" s="499"/>
      <c r="BD511" s="1200"/>
      <c r="BE511" s="1200"/>
      <c r="BF511" s="1200"/>
      <c r="BG511" s="1200"/>
      <c r="BH511" s="701"/>
    </row>
    <row r="512" spans="1:60">
      <c r="A512" s="598" t="s">
        <v>528</v>
      </c>
      <c r="B512" s="1157" t="s">
        <v>515</v>
      </c>
      <c r="C512" s="598"/>
      <c r="D512" s="1120">
        <f>(S512/S505-1)*100</f>
        <v>7.9416647717892808</v>
      </c>
      <c r="E512" s="598"/>
      <c r="F512" s="1179">
        <f>'SegP&amp;L'!$AE194</f>
        <v>2</v>
      </c>
      <c r="G512" s="598"/>
      <c r="H512" s="1120">
        <f>D512-F512</f>
        <v>5.9416647717892808</v>
      </c>
      <c r="I512" s="598"/>
      <c r="J512" s="598">
        <f>Stores!AF216+Stores!BH216+Stores!CP216</f>
        <v>551</v>
      </c>
      <c r="K512" s="1127"/>
      <c r="L512" s="1128">
        <f>AVERAGE(J512,J511)</f>
        <v>549</v>
      </c>
      <c r="M512" s="598"/>
      <c r="N512" s="1120">
        <f>(L512/L505-1)*100</f>
        <v>21.325966850828728</v>
      </c>
      <c r="O512" s="1124"/>
      <c r="P512" s="1159">
        <f>H512/N512*100</f>
        <v>27.861174188960103</v>
      </c>
      <c r="Q512" s="1125"/>
      <c r="R512" s="598"/>
      <c r="S512" s="1165">
        <f>'SegP&amp;L'!$AC194</f>
        <v>1039.6110000000001</v>
      </c>
      <c r="T512" s="1127"/>
      <c r="U512" s="1166">
        <f>S512/L512</f>
        <v>1.8936448087431696</v>
      </c>
      <c r="V512" s="598"/>
      <c r="W512" s="1176">
        <f>(U512/U505-1)*100</f>
        <v>-11.031687961321213</v>
      </c>
      <c r="X512" s="1124"/>
      <c r="Y512" s="598"/>
      <c r="Z512" s="1129">
        <f>Stores!AI216+Stores!BK216</f>
        <v>15.200000000000001</v>
      </c>
      <c r="AA512" s="1127"/>
      <c r="AB512" s="1163">
        <f>AVERAGE(Z512,Z511)</f>
        <v>15.100000000000001</v>
      </c>
      <c r="AC512" s="598"/>
      <c r="AD512" s="1120">
        <f>(AB512/AB505-1)*100</f>
        <v>11.029411764705888</v>
      </c>
      <c r="AE512" s="1124"/>
      <c r="AF512" s="1159">
        <f>+H512/AD512*100</f>
        <v>53.871093930889458</v>
      </c>
      <c r="AG512" s="1125"/>
      <c r="AH512" s="598"/>
      <c r="AI512" s="1165">
        <f>+S512</f>
        <v>1039.6110000000001</v>
      </c>
      <c r="AJ512" s="598"/>
      <c r="AK512" s="1167">
        <f>AI512/AB512</f>
        <v>68.848410596026497</v>
      </c>
      <c r="AL512" s="598"/>
      <c r="AM512" s="1176">
        <f>(AK512/AK505-1)*100</f>
        <v>-2.7810171591831745</v>
      </c>
      <c r="AN512" s="1124"/>
      <c r="AP512" s="562">
        <f>AP511</f>
        <v>1.1201464984615384</v>
      </c>
      <c r="AQ512" s="1198">
        <f>(AP512/AP505-1)*100</f>
        <v>1.9540629811332533</v>
      </c>
      <c r="AR512" s="1198">
        <f>+(AP512/AP505-1)*100</f>
        <v>1.9540629811332533</v>
      </c>
      <c r="AS512" s="562">
        <v>1.4283834707692307</v>
      </c>
      <c r="AT512" s="1198"/>
      <c r="AU512" s="1198"/>
      <c r="AV512" s="499"/>
      <c r="AW512" s="499"/>
      <c r="AX512" s="499"/>
      <c r="AY512" s="1034">
        <f>AP510*AQ512</f>
        <v>0.4946374964773399</v>
      </c>
      <c r="AZ512" s="499"/>
      <c r="BA512" s="499"/>
      <c r="BB512" s="499"/>
      <c r="BC512" s="499"/>
      <c r="BD512" s="499"/>
      <c r="BE512" s="499"/>
      <c r="BF512" s="499"/>
      <c r="BG512" s="499"/>
      <c r="BH512" s="487"/>
    </row>
    <row r="513" spans="1:60">
      <c r="A513" s="598" t="s">
        <v>529</v>
      </c>
      <c r="B513" s="1157" t="s">
        <v>516</v>
      </c>
      <c r="C513" s="598"/>
      <c r="D513" s="1120">
        <f>(S513/S506-1)*100</f>
        <v>-0.76218170584293476</v>
      </c>
      <c r="E513" s="598"/>
      <c r="F513" s="1179">
        <f>'SegP&amp;L'!$AE195</f>
        <v>0</v>
      </c>
      <c r="G513" s="598"/>
      <c r="H513" s="1120">
        <f>D513-F513</f>
        <v>-0.76218170584293476</v>
      </c>
      <c r="I513" s="598"/>
      <c r="J513" s="598">
        <f>Stores!AF217+Stores!BH217+Stores!CP217</f>
        <v>582</v>
      </c>
      <c r="K513" s="1127"/>
      <c r="L513" s="1128">
        <f>AVERAGE(J513,J512)</f>
        <v>566.5</v>
      </c>
      <c r="M513" s="598"/>
      <c r="N513" s="1120">
        <f>(L513/L506-1)*100</f>
        <v>19.388830347734466</v>
      </c>
      <c r="O513" s="1124"/>
      <c r="P513" s="1159">
        <f>H513/N513*100</f>
        <v>-3.9310349937225255</v>
      </c>
      <c r="Q513" s="1125"/>
      <c r="R513" s="598"/>
      <c r="S513" s="1165">
        <f>'SegP&amp;L'!$AC195</f>
        <v>1105.027</v>
      </c>
      <c r="T513" s="1127"/>
      <c r="U513" s="1166">
        <f>S513/L513</f>
        <v>1.950621359223301</v>
      </c>
      <c r="V513" s="598"/>
      <c r="W513" s="1176">
        <f>(U513/U506-1)*100</f>
        <v>-16.87847346764778</v>
      </c>
      <c r="X513" s="1124"/>
      <c r="Y513" s="598"/>
      <c r="Z513" s="1129">
        <f>Stores!AI217+Stores!BK217</f>
        <v>15.9</v>
      </c>
      <c r="AA513" s="1127"/>
      <c r="AB513" s="1163">
        <f>AVERAGE(Z513,Z512)</f>
        <v>15.55</v>
      </c>
      <c r="AC513" s="598"/>
      <c r="AD513" s="1120">
        <f>(AB513/AB506-1)*100</f>
        <v>9.8939929328621936</v>
      </c>
      <c r="AE513" s="1124"/>
      <c r="AF513" s="1159">
        <f>+H513/AD513*100</f>
        <v>-7.7034793840553739</v>
      </c>
      <c r="AG513" s="1125"/>
      <c r="AH513" s="598"/>
      <c r="AI513" s="1165">
        <f>+S513</f>
        <v>1105.027</v>
      </c>
      <c r="AJ513" s="598"/>
      <c r="AK513" s="1167">
        <f>AI513/AB513</f>
        <v>71.062829581993569</v>
      </c>
      <c r="AL513" s="598"/>
      <c r="AM513" s="1176">
        <f>(AK513/AK506-1)*100</f>
        <v>-9.6967762789503258</v>
      </c>
      <c r="AN513" s="1124"/>
      <c r="AP513" s="562">
        <f>AP512</f>
        <v>1.1201464984615384</v>
      </c>
      <c r="AQ513" s="1198">
        <f>(AP513/AP506-1)*100</f>
        <v>1.9540629811332533</v>
      </c>
      <c r="AR513" s="1198">
        <f>+(AP513/AP506-1)*100</f>
        <v>1.9540629811332533</v>
      </c>
      <c r="AS513" s="562">
        <v>1.3972118600000001</v>
      </c>
      <c r="AT513" s="1198">
        <f>(AS513/AS506-1)*100</f>
        <v>-7.3238163136669421</v>
      </c>
      <c r="AU513" s="1198"/>
      <c r="AV513" s="499"/>
      <c r="AW513" s="499"/>
      <c r="AX513" s="499"/>
      <c r="AY513" s="1034">
        <f>AP510*AQ513</f>
        <v>0.4946374964773399</v>
      </c>
      <c r="AZ513" s="499"/>
      <c r="BA513" s="499"/>
      <c r="BB513" s="499"/>
      <c r="BC513" s="499"/>
      <c r="BD513" s="499"/>
      <c r="BE513" s="499"/>
      <c r="BF513" s="499"/>
      <c r="BG513" s="499"/>
      <c r="BH513" s="487"/>
    </row>
    <row r="514" spans="1:60">
      <c r="A514" s="598" t="s">
        <v>530</v>
      </c>
      <c r="B514" s="1157" t="s">
        <v>517</v>
      </c>
      <c r="C514" s="598"/>
      <c r="D514" s="1168">
        <f>(S514/S507-1)*100</f>
        <v>-3.4398249316236806</v>
      </c>
      <c r="E514" s="598"/>
      <c r="F514" s="1178">
        <f>'SegP&amp;L'!$AE196</f>
        <v>2</v>
      </c>
      <c r="G514" s="598"/>
      <c r="H514" s="1168">
        <f>D514-F514</f>
        <v>-5.4398249316236811</v>
      </c>
      <c r="I514" s="598"/>
      <c r="J514" s="598">
        <f>Stores!AF218+Stores!BH218+Stores!CP218</f>
        <v>582</v>
      </c>
      <c r="K514" s="1127"/>
      <c r="L514" s="1171">
        <f>AVERAGE(J514,J513)</f>
        <v>582</v>
      </c>
      <c r="M514" s="598"/>
      <c r="N514" s="1168">
        <f>(L514/L507-1)*100</f>
        <v>17.813765182186224</v>
      </c>
      <c r="O514" s="1124"/>
      <c r="P514" s="1171">
        <f>H514/N514*100</f>
        <v>-30.537199047978408</v>
      </c>
      <c r="Q514" s="1125"/>
      <c r="R514" s="598"/>
      <c r="S514" s="1172">
        <f>'SegP&amp;L'!$AC196</f>
        <v>1236.3699999999999</v>
      </c>
      <c r="T514" s="598"/>
      <c r="U514" s="1173">
        <f>S514/L514</f>
        <v>2.1243470790378005</v>
      </c>
      <c r="V514" s="598"/>
      <c r="W514" s="1169">
        <f>(U514/U507-1)*100</f>
        <v>-18.039988859488144</v>
      </c>
      <c r="X514" s="1124"/>
      <c r="Y514" s="598"/>
      <c r="Z514" s="1129">
        <f>Stores!AI218+Stores!BK218</f>
        <v>15.9</v>
      </c>
      <c r="AA514" s="1127"/>
      <c r="AB514" s="1174">
        <f>AVERAGE(Z514,Z513)</f>
        <v>15.9</v>
      </c>
      <c r="AC514" s="598"/>
      <c r="AD514" s="1168">
        <f>(AB514/AB507-1)*100</f>
        <v>8.904109589041088</v>
      </c>
      <c r="AE514" s="1124"/>
      <c r="AF514" s="1171">
        <f>+H514/AD514*100</f>
        <v>-61.093418462850622</v>
      </c>
      <c r="AG514" s="1125"/>
      <c r="AH514" s="598"/>
      <c r="AI514" s="1172">
        <f>+S514</f>
        <v>1236.3699999999999</v>
      </c>
      <c r="AJ514" s="598"/>
      <c r="AK514" s="1175">
        <f>AI514/AB514</f>
        <v>77.759119496855334</v>
      </c>
      <c r="AL514" s="598"/>
      <c r="AM514" s="1169">
        <f>(AK514/AK507-1)*100</f>
        <v>-11.334682012685892</v>
      </c>
      <c r="AN514" s="1124"/>
      <c r="AP514" s="1201">
        <f>AP513</f>
        <v>1.1201464984615384</v>
      </c>
      <c r="AQ514" s="1202">
        <f>(AP514/AP507-1)*100</f>
        <v>1.9540629811332533</v>
      </c>
      <c r="AR514" s="487"/>
      <c r="AS514" s="1201">
        <v>1.2869018060606063</v>
      </c>
      <c r="AT514" s="1202">
        <f>(AS514/AS507-1)*100</f>
        <v>-17.130880793024062</v>
      </c>
      <c r="AU514" s="487"/>
      <c r="AV514" s="499"/>
      <c r="AW514" s="499"/>
      <c r="AX514" s="499"/>
      <c r="AY514" s="1034">
        <f>AP510*AQ514</f>
        <v>0.4946374964773399</v>
      </c>
      <c r="AZ514" s="499"/>
      <c r="BA514" s="499"/>
      <c r="BB514" s="1088"/>
      <c r="BC514" s="499"/>
      <c r="BD514" s="1088"/>
      <c r="BE514" s="1088"/>
      <c r="BF514" s="1088"/>
      <c r="BG514" s="1200"/>
      <c r="BH514" s="487"/>
    </row>
    <row r="515" spans="1:60">
      <c r="A515" s="598"/>
      <c r="B515" s="1157" t="s">
        <v>531</v>
      </c>
      <c r="C515" s="598"/>
      <c r="D515" s="1120">
        <f>(S515/S508-1)*100</f>
        <v>3.1962871844032348</v>
      </c>
      <c r="E515" s="598"/>
      <c r="F515" s="1184">
        <f>'SegP&amp;L'!$AE197</f>
        <v>2</v>
      </c>
      <c r="G515" s="598"/>
      <c r="H515" s="1120">
        <f>D515-F515</f>
        <v>1.1962871844032348</v>
      </c>
      <c r="I515" s="598"/>
      <c r="J515" s="598"/>
      <c r="K515" s="598"/>
      <c r="L515" s="1128">
        <f>AVERAGE(L511:L514)</f>
        <v>554.625</v>
      </c>
      <c r="M515" s="598"/>
      <c r="N515" s="1120">
        <f>(L515/L508-1)*100</f>
        <v>18.922540873760397</v>
      </c>
      <c r="O515" s="1124"/>
      <c r="P515" s="1159">
        <f>H515/N515*100</f>
        <v>6.3220219334397543</v>
      </c>
      <c r="Q515" s="1125"/>
      <c r="R515" s="598"/>
      <c r="S515" s="1160">
        <f>SUM(S511:S514)</f>
        <v>4361.9760000000006</v>
      </c>
      <c r="T515" s="598"/>
      <c r="U515" s="1161">
        <f>SUM(U511:U514)</f>
        <v>7.8514692930695302</v>
      </c>
      <c r="V515" s="598"/>
      <c r="W515" s="1176">
        <f>(U515/U508-1)*100</f>
        <v>-12.992938523813768</v>
      </c>
      <c r="X515" s="1124"/>
      <c r="Y515" s="598"/>
      <c r="Z515" s="598"/>
      <c r="AA515" s="598"/>
      <c r="AB515" s="1163">
        <f>AVERAGE(AB511:AB514)</f>
        <v>15.3375</v>
      </c>
      <c r="AC515" s="598"/>
      <c r="AD515" s="1120">
        <f>(AB515/AB508-1)*100</f>
        <v>10.044843049327357</v>
      </c>
      <c r="AE515" s="1124"/>
      <c r="AF515" s="1159">
        <f>+H515/AD515*100</f>
        <v>11.909466166157202</v>
      </c>
      <c r="AG515" s="1125"/>
      <c r="AH515" s="598"/>
      <c r="AI515" s="1160">
        <f>SUM(AI511:AI514)</f>
        <v>4361.9760000000006</v>
      </c>
      <c r="AJ515" s="598"/>
      <c r="AK515" s="1164">
        <f>SUM(AK511:AK514)</f>
        <v>283.95198129649702</v>
      </c>
      <c r="AL515" s="598"/>
      <c r="AM515" s="1176">
        <f>(AK515/AK508-1)*100</f>
        <v>-6.0144798387140597</v>
      </c>
      <c r="AN515" s="1124"/>
      <c r="AP515" s="562">
        <v>1.0651586560606059</v>
      </c>
      <c r="AQ515" s="1198">
        <f>(AP515/AP508-1)*100</f>
        <v>-4.8655402206557845</v>
      </c>
      <c r="AR515" s="1198"/>
      <c r="AS515" s="562">
        <v>1.2416654121212116</v>
      </c>
      <c r="AT515" s="1198">
        <f>(AS515/AS508-1)*100</f>
        <v>-19.430987981536607</v>
      </c>
      <c r="AU515" s="1198"/>
      <c r="AV515" s="499"/>
      <c r="AW515" s="499"/>
      <c r="AX515" s="499"/>
      <c r="AY515" s="1034">
        <f>AP510*AQ515</f>
        <v>-1.2316279756547226</v>
      </c>
      <c r="AZ515" s="499"/>
      <c r="BA515" s="499"/>
      <c r="BB515" s="1200"/>
      <c r="BC515" s="499"/>
      <c r="BD515" s="1200"/>
      <c r="BE515" s="1200"/>
      <c r="BF515" s="1200"/>
      <c r="BG515" s="1200"/>
      <c r="BH515" s="487"/>
    </row>
    <row r="516" spans="1:60" ht="13.5" thickBot="1">
      <c r="A516" s="598"/>
      <c r="B516" s="1157"/>
      <c r="C516" s="598"/>
      <c r="D516" s="1120"/>
      <c r="E516" s="598"/>
      <c r="F516" s="1179"/>
      <c r="G516" s="598"/>
      <c r="H516" s="1120"/>
      <c r="I516" s="598"/>
      <c r="J516" s="598"/>
      <c r="K516" s="598"/>
      <c r="L516" s="1128"/>
      <c r="M516" s="598"/>
      <c r="N516" s="1120"/>
      <c r="O516" s="1124"/>
      <c r="P516" s="1159"/>
      <c r="Q516" s="1125"/>
      <c r="R516" s="598"/>
      <c r="S516" s="1223"/>
      <c r="T516" s="598"/>
      <c r="U516" s="1161"/>
      <c r="V516" s="598"/>
      <c r="W516" s="1176"/>
      <c r="X516" s="1124"/>
      <c r="Y516" s="598"/>
      <c r="Z516" s="598"/>
      <c r="AA516" s="598"/>
      <c r="AB516" s="1163"/>
      <c r="AC516" s="598"/>
      <c r="AD516" s="1120"/>
      <c r="AE516" s="1124"/>
      <c r="AF516" s="1159"/>
      <c r="AG516" s="1125"/>
      <c r="AH516" s="598"/>
      <c r="AI516" s="1160"/>
      <c r="AJ516" s="598"/>
      <c r="AK516" s="1164"/>
      <c r="AL516" s="598"/>
      <c r="AM516" s="1176"/>
      <c r="AN516" s="1124"/>
      <c r="AP516" s="487"/>
      <c r="AQ516" s="487"/>
      <c r="AR516" s="487"/>
      <c r="AS516" s="487"/>
      <c r="AT516" s="487"/>
      <c r="AU516" s="487"/>
      <c r="AV516" s="487"/>
      <c r="AW516" s="487"/>
      <c r="AX516" s="487"/>
      <c r="AY516" s="487"/>
      <c r="AZ516" s="499"/>
      <c r="BA516" s="740"/>
      <c r="BB516" s="1200"/>
      <c r="BC516" s="740"/>
      <c r="BD516" s="1200"/>
      <c r="BE516" s="1200"/>
      <c r="BF516" s="1200"/>
      <c r="BG516" s="1200"/>
      <c r="BH516" s="487"/>
    </row>
    <row r="517" spans="1:60" ht="13.5" thickBot="1">
      <c r="A517" s="1154"/>
      <c r="B517" s="1155">
        <f>+B510+1</f>
        <v>2017</v>
      </c>
      <c r="C517" s="598"/>
      <c r="D517" s="598"/>
      <c r="E517" s="1124"/>
      <c r="F517" s="598"/>
      <c r="G517" s="1124"/>
      <c r="H517" s="598"/>
      <c r="I517" s="1124"/>
      <c r="J517" s="598"/>
      <c r="K517" s="598"/>
      <c r="L517" s="598"/>
      <c r="M517" s="598"/>
      <c r="N517" s="598"/>
      <c r="O517" s="1124"/>
      <c r="P517" s="1125"/>
      <c r="Q517" s="1125"/>
      <c r="R517" s="598"/>
      <c r="S517" s="1165"/>
      <c r="T517" s="598"/>
      <c r="U517" s="598"/>
      <c r="V517" s="598"/>
      <c r="W517" s="598"/>
      <c r="X517" s="1124"/>
      <c r="Y517" s="598"/>
      <c r="Z517" s="598"/>
      <c r="AA517" s="598"/>
      <c r="AB517" s="598"/>
      <c r="AC517" s="598"/>
      <c r="AD517" s="598"/>
      <c r="AE517" s="1124"/>
      <c r="AF517" s="1125"/>
      <c r="AG517" s="1125"/>
      <c r="AH517" s="598"/>
      <c r="AI517" s="598"/>
      <c r="AJ517" s="598"/>
      <c r="AK517" s="598"/>
      <c r="AL517" s="598"/>
      <c r="AM517" s="598"/>
      <c r="AN517" s="1124"/>
      <c r="AP517" s="1196">
        <f>1-AS517</f>
        <v>0.25313283208020054</v>
      </c>
      <c r="AQ517" s="735"/>
      <c r="AR517" s="807"/>
      <c r="AS517" s="1196">
        <f>(270+28)/(371+28)</f>
        <v>0.74686716791979946</v>
      </c>
      <c r="AT517" s="735"/>
      <c r="AU517" s="807"/>
      <c r="AV517" s="706"/>
      <c r="AW517" s="706"/>
      <c r="AX517" s="695"/>
      <c r="AY517" s="695"/>
      <c r="AZ517" s="695"/>
      <c r="BA517" s="695"/>
      <c r="BB517" s="1200"/>
      <c r="BC517" s="695"/>
      <c r="BD517" s="1200"/>
      <c r="BE517" s="1200"/>
      <c r="BF517" s="1200"/>
      <c r="BG517" s="1200"/>
      <c r="BH517" s="487"/>
    </row>
    <row r="518" spans="1:60">
      <c r="A518" s="598" t="s">
        <v>527</v>
      </c>
      <c r="B518" s="1157" t="s">
        <v>514</v>
      </c>
      <c r="C518" s="598"/>
      <c r="D518" s="1120">
        <f>(S518/S511-1)*100</f>
        <v>-2.4586938615734577</v>
      </c>
      <c r="E518" s="1124" t="s">
        <v>190</v>
      </c>
      <c r="F518" s="1179">
        <f>'SegP&amp;L'!$AE200</f>
        <v>0</v>
      </c>
      <c r="G518" s="1124" t="s">
        <v>190</v>
      </c>
      <c r="H518" s="1120">
        <f>D518-F518</f>
        <v>-2.4586938615734577</v>
      </c>
      <c r="I518" s="598"/>
      <c r="J518" s="598">
        <f>Stores!AF222+Stores!BH222+Stores!CP222</f>
        <v>596</v>
      </c>
      <c r="K518" s="1127"/>
      <c r="L518" s="1128">
        <f>AVERAGE(J518,J514)</f>
        <v>589</v>
      </c>
      <c r="M518" s="598"/>
      <c r="N518" s="1120">
        <f>(L518/L511-1)*100</f>
        <v>13.051823416506725</v>
      </c>
      <c r="O518" s="1124"/>
      <c r="P518" s="1159">
        <f>H518/N518*100</f>
        <v>-18.837933851173101</v>
      </c>
      <c r="Q518" s="1125"/>
      <c r="R518" s="598"/>
      <c r="S518" s="1160">
        <f>'SegP&amp;L'!$AC200</f>
        <v>956.84900000000005</v>
      </c>
      <c r="T518" s="1127"/>
      <c r="U518" s="1166">
        <f>S518/L518</f>
        <v>1.6245314091680816</v>
      </c>
      <c r="V518" s="598"/>
      <c r="W518" s="1176">
        <f>(U518/U511-1)*100</f>
        <v>-13.719829375008096</v>
      </c>
      <c r="X518" s="1124" t="s">
        <v>190</v>
      </c>
      <c r="Y518" s="598"/>
      <c r="Z518" s="1129">
        <f>Stores!AI222+Stores!BK222</f>
        <v>16.2</v>
      </c>
      <c r="AA518" s="598"/>
      <c r="AB518" s="1163">
        <f>AVERAGE(Z518,Z514)</f>
        <v>16.05</v>
      </c>
      <c r="AC518" s="598"/>
      <c r="AD518" s="1120">
        <f>(AB518/AB511-1)*100</f>
        <v>8.4459459459459438</v>
      </c>
      <c r="AE518" s="1124" t="s">
        <v>190</v>
      </c>
      <c r="AF518" s="1159">
        <f>+H518/AD518*100</f>
        <v>-29.110935321029746</v>
      </c>
      <c r="AG518" s="1125" t="s">
        <v>190</v>
      </c>
      <c r="AH518" s="598"/>
      <c r="AI518" s="1160">
        <f>+S518</f>
        <v>956.84900000000005</v>
      </c>
      <c r="AJ518" s="598"/>
      <c r="AK518" s="1164">
        <f>AI518/AB518</f>
        <v>59.616760124610593</v>
      </c>
      <c r="AL518" s="598"/>
      <c r="AM518" s="1176">
        <f>(AK518/AK511-1)*100</f>
        <v>-10.055368794472708</v>
      </c>
      <c r="AN518" s="1124" t="s">
        <v>190</v>
      </c>
      <c r="AP518" s="562">
        <v>1.1825139439393941</v>
      </c>
      <c r="AQ518" s="1198"/>
      <c r="AR518" s="1203" t="s">
        <v>190</v>
      </c>
      <c r="AS518" s="562">
        <v>1.2486495841269836</v>
      </c>
      <c r="AT518" s="1198"/>
      <c r="AU518" s="1203"/>
      <c r="AV518" s="499"/>
      <c r="AW518" s="499"/>
      <c r="AX518" s="499"/>
      <c r="AY518" s="1034">
        <f>AP517*AQ518</f>
        <v>0</v>
      </c>
      <c r="AZ518" s="499"/>
      <c r="BA518" s="499"/>
      <c r="BB518" s="1200"/>
      <c r="BC518" s="499"/>
      <c r="BD518" s="1200"/>
      <c r="BE518" s="1200"/>
      <c r="BF518" s="1200"/>
      <c r="BG518" s="1200"/>
      <c r="BH518" s="701"/>
    </row>
    <row r="519" spans="1:60" ht="15">
      <c r="A519" s="598" t="s">
        <v>528</v>
      </c>
      <c r="B519" s="1157" t="s">
        <v>515</v>
      </c>
      <c r="C519" s="598"/>
      <c r="D519" s="1120">
        <f>(S519/S512-1)*100</f>
        <v>4.3310430536036781</v>
      </c>
      <c r="E519" s="598"/>
      <c r="F519" s="1179">
        <f>'SegP&amp;L'!$AE201</f>
        <v>1</v>
      </c>
      <c r="G519" s="598"/>
      <c r="H519" s="1120">
        <f>D519-F519</f>
        <v>3.3310430536036781</v>
      </c>
      <c r="I519" s="598"/>
      <c r="J519" s="598">
        <f>Stores!AF223+Stores!BH223+Stores!CP223</f>
        <v>608</v>
      </c>
      <c r="K519" s="1127"/>
      <c r="L519" s="1128">
        <f>AVERAGE(J519,J518)</f>
        <v>602</v>
      </c>
      <c r="M519" s="598"/>
      <c r="N519" s="1120">
        <f>(L519/L512-1)*100</f>
        <v>9.6539162112932573</v>
      </c>
      <c r="O519" s="1124"/>
      <c r="P519" s="1159">
        <f>H519/N519*100</f>
        <v>34.504578045819244</v>
      </c>
      <c r="Q519" s="1125"/>
      <c r="R519" s="598"/>
      <c r="S519" s="2049">
        <f>'SegP&amp;L'!$AC201</f>
        <v>1084.6369999999999</v>
      </c>
      <c r="T519" s="1127"/>
      <c r="U519" s="1166">
        <f>S519/L519</f>
        <v>1.8017225913621262</v>
      </c>
      <c r="V519" s="598"/>
      <c r="W519" s="1176">
        <f>(U519/U512-1)*100</f>
        <v>-4.8542481122451413</v>
      </c>
      <c r="X519" s="1124"/>
      <c r="Y519" s="598"/>
      <c r="Z519" s="1129">
        <f>Stores!AI223+Stores!BK223</f>
        <v>16.600000000000001</v>
      </c>
      <c r="AA519" s="1127"/>
      <c r="AB519" s="1163">
        <f>AVERAGE(Z519,Z518)</f>
        <v>16.399999999999999</v>
      </c>
      <c r="AC519" s="598"/>
      <c r="AD519" s="1120">
        <f>(AB519/AB512-1)*100</f>
        <v>8.6092715231787853</v>
      </c>
      <c r="AE519" s="1124"/>
      <c r="AF519" s="1159">
        <f>+H519/AD519*100</f>
        <v>38.691346238012052</v>
      </c>
      <c r="AG519" s="1125"/>
      <c r="AH519" s="598"/>
      <c r="AI519" s="1165">
        <f>+S519</f>
        <v>1084.6369999999999</v>
      </c>
      <c r="AJ519" s="598"/>
      <c r="AK519" s="1167">
        <f>AI519/AB519</f>
        <v>66.136402439024394</v>
      </c>
      <c r="AL519" s="598"/>
      <c r="AM519" s="1176">
        <f>(AK519/AK512-1)*100</f>
        <v>-3.9391006030844</v>
      </c>
      <c r="AN519" s="1124"/>
      <c r="AP519" s="562">
        <f>AP518</f>
        <v>1.1825139439393941</v>
      </c>
      <c r="AQ519" s="1198"/>
      <c r="AR519" s="1198"/>
      <c r="AS519" s="562">
        <v>1.2910920696969697</v>
      </c>
      <c r="AT519" s="1198"/>
      <c r="AU519" s="1198"/>
      <c r="AV519" s="499"/>
      <c r="AW519" s="499"/>
      <c r="AX519" s="499"/>
      <c r="AY519" s="1034">
        <f>AP517*AQ519</f>
        <v>0</v>
      </c>
      <c r="AZ519" s="499"/>
      <c r="BA519" s="499"/>
      <c r="BB519" s="499"/>
      <c r="BC519" s="499"/>
      <c r="BD519" s="499"/>
      <c r="BE519" s="499"/>
      <c r="BF519" s="499"/>
      <c r="BG519" s="499"/>
      <c r="BH519" s="487"/>
    </row>
    <row r="520" spans="1:60" ht="15">
      <c r="A520" s="598" t="s">
        <v>529</v>
      </c>
      <c r="B520" s="1157" t="s">
        <v>516</v>
      </c>
      <c r="C520" s="598"/>
      <c r="D520" s="1120">
        <f>(S520/S513-1)*100</f>
        <v>13.276598671344676</v>
      </c>
      <c r="E520" s="598"/>
      <c r="F520" s="1179">
        <f>'SegP&amp;L'!$AE202</f>
        <v>1</v>
      </c>
      <c r="G520" s="598"/>
      <c r="H520" s="1120">
        <f>D520-F520</f>
        <v>12.276598671344676</v>
      </c>
      <c r="I520" s="598"/>
      <c r="J520" s="598">
        <f>Stores!AF224+Stores!BH224+Stores!CP224</f>
        <v>633</v>
      </c>
      <c r="K520" s="1127"/>
      <c r="L520" s="1128">
        <f>AVERAGE(J520,J519)</f>
        <v>620.5</v>
      </c>
      <c r="M520" s="598"/>
      <c r="N520" s="1120">
        <f>(L520/L513-1)*100</f>
        <v>9.5322153574580746</v>
      </c>
      <c r="O520" s="1124"/>
      <c r="P520" s="1159">
        <f>H520/N520*100</f>
        <v>128.79061383919924</v>
      </c>
      <c r="Q520" s="1125"/>
      <c r="R520" s="598"/>
      <c r="S520" s="2049">
        <f>'SegP&amp;L'!$AC202</f>
        <v>1251.7370000000001</v>
      </c>
      <c r="T520" s="1127"/>
      <c r="U520" s="1166">
        <f>S520/L520</f>
        <v>2.0173037872683319</v>
      </c>
      <c r="V520" s="598"/>
      <c r="W520" s="1176">
        <f>(U520/U513-1)*100</f>
        <v>3.4185223969649625</v>
      </c>
      <c r="X520" s="1124"/>
      <c r="Y520" s="598"/>
      <c r="Z520" s="1129">
        <f>Stores!AI224+Stores!BK224</f>
        <v>16.900000000000002</v>
      </c>
      <c r="AA520" s="1127"/>
      <c r="AB520" s="1163">
        <f>AVERAGE(Z520,Z519)</f>
        <v>16.75</v>
      </c>
      <c r="AC520" s="598"/>
      <c r="AD520" s="1120">
        <f>(AB520/AB513-1)*100</f>
        <v>7.7170418006430763</v>
      </c>
      <c r="AE520" s="1124"/>
      <c r="AF520" s="1159">
        <f>+H520/AD520*100</f>
        <v>159.08425778284163</v>
      </c>
      <c r="AG520" s="1125"/>
      <c r="AH520" s="598"/>
      <c r="AI520" s="1165">
        <f>+S520</f>
        <v>1251.7370000000001</v>
      </c>
      <c r="AJ520" s="598"/>
      <c r="AK520" s="1167">
        <f>AI520/AB520</f>
        <v>74.730567164179106</v>
      </c>
      <c r="AL520" s="598"/>
      <c r="AM520" s="1176">
        <f>(AK520/AK513-1)*100</f>
        <v>5.1612602590692447</v>
      </c>
      <c r="AN520" s="1124"/>
      <c r="AP520" s="562">
        <f>AP519</f>
        <v>1.1825139439393941</v>
      </c>
      <c r="AQ520" s="1198"/>
      <c r="AR520" s="1198"/>
      <c r="AS520" s="562">
        <v>1.3152275590909097</v>
      </c>
      <c r="AT520" s="1198"/>
      <c r="AU520" s="1198"/>
      <c r="AV520" s="499"/>
      <c r="AW520" s="499"/>
      <c r="AX520" s="499"/>
      <c r="AY520" s="1034">
        <f>AP517*AQ520</f>
        <v>0</v>
      </c>
      <c r="AZ520" s="499"/>
      <c r="BA520" s="499"/>
      <c r="BB520" s="499"/>
      <c r="BC520" s="499"/>
      <c r="BD520" s="499"/>
      <c r="BE520" s="499"/>
      <c r="BF520" s="499"/>
      <c r="BG520" s="499"/>
      <c r="BH520" s="487"/>
    </row>
    <row r="521" spans="1:60">
      <c r="A521" s="598" t="s">
        <v>530</v>
      </c>
      <c r="B521" s="1157" t="s">
        <v>517</v>
      </c>
      <c r="C521" s="598"/>
      <c r="D521" s="1168">
        <f>(S521/S514-1)*100</f>
        <v>26.477187249771529</v>
      </c>
      <c r="E521" s="598"/>
      <c r="F521" s="1178">
        <f>'SegP&amp;L'!$AE203</f>
        <v>3</v>
      </c>
      <c r="G521" s="598"/>
      <c r="H521" s="1168">
        <f>D521-F521</f>
        <v>23.477187249771529</v>
      </c>
      <c r="I521" s="598"/>
      <c r="J521" s="598">
        <f>Stores!AF225+Stores!BH225+Stores!CP225</f>
        <v>633</v>
      </c>
      <c r="K521" s="1127"/>
      <c r="L521" s="1171">
        <f>AVERAGE(J521,J520)</f>
        <v>633</v>
      </c>
      <c r="M521" s="598"/>
      <c r="N521" s="1168">
        <f>(L521/L514-1)*100</f>
        <v>8.7628865979381345</v>
      </c>
      <c r="O521" s="1124"/>
      <c r="P521" s="1171">
        <f>H521/N521*100</f>
        <v>267.91613685033423</v>
      </c>
      <c r="Q521" s="1125"/>
      <c r="R521" s="598"/>
      <c r="S521" s="1172">
        <f>'SegP&amp;L'!$AC203</f>
        <v>1563.7260000000001</v>
      </c>
      <c r="T521" s="598"/>
      <c r="U521" s="1173">
        <f>S521/L521</f>
        <v>2.4703412322274882</v>
      </c>
      <c r="V521" s="598"/>
      <c r="W521" s="1169">
        <f>(U521/U514-1)*100</f>
        <v>16.287082115903683</v>
      </c>
      <c r="X521" s="1124"/>
      <c r="Y521" s="598"/>
      <c r="Z521" s="1129">
        <f>Stores!AI225+Stores!BK225</f>
        <v>16.900000000000002</v>
      </c>
      <c r="AA521" s="1127"/>
      <c r="AB521" s="1174">
        <f>AVERAGE(Z521,Z520)</f>
        <v>16.900000000000002</v>
      </c>
      <c r="AC521" s="598"/>
      <c r="AD521" s="1168">
        <f>(AB521/AB514-1)*100</f>
        <v>6.2893081761006497</v>
      </c>
      <c r="AE521" s="1124"/>
      <c r="AF521" s="1171">
        <f>+H521/AD521*100</f>
        <v>373.28727727136607</v>
      </c>
      <c r="AG521" s="1125"/>
      <c r="AH521" s="598"/>
      <c r="AI521" s="1172">
        <f>+S521</f>
        <v>1563.7260000000001</v>
      </c>
      <c r="AJ521" s="598"/>
      <c r="AK521" s="1175">
        <f>AI521/AB521</f>
        <v>92.528165680473364</v>
      </c>
      <c r="AL521" s="598"/>
      <c r="AM521" s="1169">
        <f>(AK521/AK514-1)*100</f>
        <v>18.993330016057229</v>
      </c>
      <c r="AN521" s="1124"/>
      <c r="AP521" s="1201">
        <f>AP520</f>
        <v>1.1825139439393941</v>
      </c>
      <c r="AQ521" s="1202"/>
      <c r="AR521" s="487"/>
      <c r="AS521" s="1201">
        <v>1.3400520931034483</v>
      </c>
      <c r="AT521" s="1202"/>
      <c r="AU521" s="487"/>
      <c r="AV521" s="499"/>
      <c r="AW521" s="499"/>
      <c r="AX521" s="499"/>
      <c r="AY521" s="1034">
        <f>AP517*AQ521</f>
        <v>0</v>
      </c>
      <c r="AZ521" s="499"/>
      <c r="BA521" s="499"/>
      <c r="BB521" s="1088"/>
      <c r="BC521" s="499"/>
      <c r="BD521" s="1088"/>
      <c r="BE521" s="1088"/>
      <c r="BF521" s="1088"/>
      <c r="BG521" s="1200"/>
      <c r="BH521" s="487"/>
    </row>
    <row r="522" spans="1:60">
      <c r="A522" s="598"/>
      <c r="B522" s="1157" t="s">
        <v>531</v>
      </c>
      <c r="C522" s="598"/>
      <c r="D522" s="1120">
        <f>(S522/S515-1)*100</f>
        <v>11.34744895432711</v>
      </c>
      <c r="E522" s="598"/>
      <c r="F522" s="1179">
        <f>'SegP&amp;L'!$AE204</f>
        <v>2</v>
      </c>
      <c r="G522" s="598"/>
      <c r="H522" s="1120">
        <f>D522-F522</f>
        <v>9.3474489543271098</v>
      </c>
      <c r="I522" s="598"/>
      <c r="J522" s="598"/>
      <c r="K522" s="598"/>
      <c r="L522" s="1128">
        <f>AVERAGE(L518:L521)</f>
        <v>611.125</v>
      </c>
      <c r="M522" s="598"/>
      <c r="N522" s="1120">
        <f>(L522/L515-1)*100</f>
        <v>10.18706333107955</v>
      </c>
      <c r="O522" s="1124"/>
      <c r="P522" s="1159">
        <f>H522/N522*100</f>
        <v>91.758033208737658</v>
      </c>
      <c r="Q522" s="1125"/>
      <c r="R522" s="598"/>
      <c r="S522" s="1160">
        <f>SUM(S518:S521)</f>
        <v>4856.9490000000005</v>
      </c>
      <c r="T522" s="598"/>
      <c r="U522" s="1161">
        <f>SUM(U518:U521)</f>
        <v>7.9138990200260277</v>
      </c>
      <c r="V522" s="598"/>
      <c r="W522" s="1176">
        <f>(U522/U515-1)*100</f>
        <v>0.79513431978399662</v>
      </c>
      <c r="X522" s="1124"/>
      <c r="Y522" s="598"/>
      <c r="Z522" s="598"/>
      <c r="AA522" s="598"/>
      <c r="AB522" s="1163">
        <f>AVERAGE(AB518:AB521)</f>
        <v>16.525000000000002</v>
      </c>
      <c r="AC522" s="598"/>
      <c r="AD522" s="1120">
        <f>(AB522/AB515-1)*100</f>
        <v>7.7424612876935806</v>
      </c>
      <c r="AE522" s="1124"/>
      <c r="AF522" s="1159">
        <f>+H522/AD522*100</f>
        <v>120.72968281009825</v>
      </c>
      <c r="AG522" s="1125"/>
      <c r="AH522" s="598"/>
      <c r="AI522" s="1160">
        <f>SUM(AI518:AI521)</f>
        <v>4856.9490000000005</v>
      </c>
      <c r="AJ522" s="598"/>
      <c r="AK522" s="1164">
        <f>SUM(AK518:AK521)</f>
        <v>293.01189540828744</v>
      </c>
      <c r="AL522" s="598"/>
      <c r="AM522" s="1176">
        <f>(AK522/AK515-1)*100</f>
        <v>3.1906500776728963</v>
      </c>
      <c r="AN522" s="1124"/>
      <c r="AP522" s="562">
        <v>1.0694170158730159</v>
      </c>
      <c r="AQ522" s="1198"/>
      <c r="AR522" s="1198"/>
      <c r="AS522" s="562">
        <v>1.2510853142857141</v>
      </c>
      <c r="AT522" s="1198"/>
      <c r="AU522" s="1198"/>
      <c r="AV522" s="499"/>
      <c r="AW522" s="499"/>
      <c r="AX522" s="499"/>
      <c r="AY522" s="1034">
        <f>AP517*AQ522</f>
        <v>0</v>
      </c>
      <c r="AZ522" s="499"/>
      <c r="BA522" s="499"/>
      <c r="BB522" s="1200"/>
      <c r="BC522" s="499"/>
      <c r="BD522" s="1200"/>
      <c r="BE522" s="1200"/>
      <c r="BF522" s="1200"/>
      <c r="BG522" s="1200"/>
      <c r="BH522" s="487"/>
    </row>
    <row r="523" spans="1:60" ht="13.5" thickBot="1">
      <c r="A523" s="598"/>
      <c r="B523" s="1157"/>
      <c r="C523" s="598"/>
      <c r="D523" s="1120"/>
      <c r="E523" s="598"/>
      <c r="F523" s="1179"/>
      <c r="G523" s="598"/>
      <c r="H523" s="1120"/>
      <c r="I523" s="598"/>
      <c r="J523" s="598"/>
      <c r="K523" s="598"/>
      <c r="L523" s="1128"/>
      <c r="M523" s="598"/>
      <c r="N523" s="1120"/>
      <c r="O523" s="1124"/>
      <c r="P523" s="1159"/>
      <c r="Q523" s="1125"/>
      <c r="R523" s="598"/>
      <c r="S523" s="1223"/>
      <c r="T523" s="598"/>
      <c r="U523" s="1161"/>
      <c r="V523" s="598"/>
      <c r="W523" s="1176"/>
      <c r="X523" s="1124"/>
      <c r="Y523" s="598"/>
      <c r="Z523" s="598"/>
      <c r="AA523" s="598"/>
      <c r="AB523" s="1163"/>
      <c r="AC523" s="598"/>
      <c r="AD523" s="1120"/>
      <c r="AE523" s="1124"/>
      <c r="AF523" s="1159"/>
      <c r="AG523" s="1125"/>
      <c r="AH523" s="598"/>
      <c r="AI523" s="1160"/>
      <c r="AJ523" s="598"/>
      <c r="AK523" s="1164"/>
      <c r="AL523" s="598"/>
      <c r="AM523" s="1176"/>
      <c r="AN523" s="1124"/>
      <c r="AP523" s="487"/>
      <c r="AQ523" s="487"/>
      <c r="AR523" s="487"/>
      <c r="AS523" s="487"/>
      <c r="AT523" s="487"/>
      <c r="AU523" s="487"/>
      <c r="AV523" s="487"/>
      <c r="AW523" s="487"/>
      <c r="AX523" s="487"/>
      <c r="AY523" s="487"/>
      <c r="AZ523" s="499"/>
      <c r="BA523" s="740"/>
      <c r="BB523" s="1200"/>
      <c r="BC523" s="740"/>
      <c r="BD523" s="1200"/>
      <c r="BE523" s="1200"/>
      <c r="BF523" s="1200"/>
      <c r="BG523" s="1200"/>
      <c r="BH523" s="487"/>
    </row>
    <row r="524" spans="1:60" ht="13.5" thickBot="1">
      <c r="A524" s="1154"/>
      <c r="B524" s="1186">
        <f>+B517+1</f>
        <v>2018</v>
      </c>
      <c r="C524" s="598"/>
      <c r="D524" s="598"/>
      <c r="E524" s="1124"/>
      <c r="F524" s="598"/>
      <c r="G524" s="1124"/>
      <c r="H524" s="598"/>
      <c r="I524" s="1124"/>
      <c r="J524" s="598"/>
      <c r="K524" s="598"/>
      <c r="L524" s="598"/>
      <c r="M524" s="598"/>
      <c r="N524" s="598"/>
      <c r="O524" s="1124"/>
      <c r="P524" s="1125"/>
      <c r="Q524" s="1125"/>
      <c r="R524" s="598"/>
      <c r="S524" s="1165"/>
      <c r="T524" s="598"/>
      <c r="U524" s="598"/>
      <c r="V524" s="598"/>
      <c r="W524" s="598"/>
      <c r="X524" s="1124"/>
      <c r="Y524" s="598"/>
      <c r="Z524" s="598"/>
      <c r="AA524" s="598"/>
      <c r="AB524" s="598"/>
      <c r="AC524" s="598"/>
      <c r="AD524" s="598"/>
      <c r="AE524" s="1124"/>
      <c r="AF524" s="1125"/>
      <c r="AG524" s="1125"/>
      <c r="AH524" s="598"/>
      <c r="AI524" s="598"/>
      <c r="AJ524" s="598"/>
      <c r="AK524" s="598"/>
      <c r="AL524" s="598"/>
      <c r="AM524" s="598"/>
      <c r="AN524" s="1124"/>
      <c r="AP524" s="1196">
        <f>1-AS524</f>
        <v>0.25313283208020054</v>
      </c>
      <c r="AQ524" s="735"/>
      <c r="AR524" s="807"/>
      <c r="AS524" s="1196">
        <f>(270+28)/(371+28)</f>
        <v>0.74686716791979946</v>
      </c>
      <c r="AT524" s="735"/>
      <c r="AU524" s="807"/>
      <c r="AV524" s="706"/>
      <c r="AW524" s="706"/>
      <c r="AX524" s="695"/>
      <c r="AY524" s="695"/>
      <c r="AZ524" s="695"/>
      <c r="BA524" s="695"/>
      <c r="BB524" s="1200"/>
      <c r="BC524" s="695"/>
      <c r="BD524" s="1200"/>
      <c r="BE524" s="1200"/>
      <c r="BF524" s="1200"/>
      <c r="BG524" s="1200"/>
      <c r="BH524" s="487"/>
    </row>
    <row r="525" spans="1:60" ht="15">
      <c r="A525" s="598" t="s">
        <v>527</v>
      </c>
      <c r="B525" s="1157" t="s">
        <v>514</v>
      </c>
      <c r="C525" s="598"/>
      <c r="D525" s="1189">
        <f>F525+H525</f>
        <v>19</v>
      </c>
      <c r="E525" s="1124" t="s">
        <v>190</v>
      </c>
      <c r="F525" s="1190">
        <v>3</v>
      </c>
      <c r="G525" s="1124" t="s">
        <v>190</v>
      </c>
      <c r="H525" s="2082">
        <f>15+1</f>
        <v>16</v>
      </c>
      <c r="I525" s="598"/>
      <c r="J525" s="598">
        <f>Stores!AF229+Stores!BH229+Stores!CP229</f>
        <v>643</v>
      </c>
      <c r="K525" s="1127"/>
      <c r="L525" s="1128">
        <f>AVERAGE(J525,J521)</f>
        <v>638</v>
      </c>
      <c r="M525" s="598"/>
      <c r="N525" s="1120">
        <f>(L525/L518-1)*100</f>
        <v>8.3191850594227503</v>
      </c>
      <c r="O525" s="1124"/>
      <c r="P525" s="1159">
        <f>H525/N525*100</f>
        <v>192.32653061224488</v>
      </c>
      <c r="Q525" s="1125"/>
      <c r="R525" s="598"/>
      <c r="S525" s="2064">
        <f>S518*(1+D525/100)</f>
        <v>1138.65031</v>
      </c>
      <c r="T525" s="1127"/>
      <c r="U525" s="1166">
        <f>S525/L525</f>
        <v>1.7847183542319749</v>
      </c>
      <c r="V525" s="598"/>
      <c r="W525" s="1176">
        <f>(U525/U518-1)*100</f>
        <v>9.8605015673981065</v>
      </c>
      <c r="X525" s="1124" t="s">
        <v>190</v>
      </c>
      <c r="Y525" s="598"/>
      <c r="Z525" s="1129">
        <f>Stores!AI229+Stores!BK229</f>
        <v>17.802352472089314</v>
      </c>
      <c r="AA525" s="598"/>
      <c r="AB525" s="1163">
        <f>AVERAGE(Z525,Z521)</f>
        <v>17.351176236044658</v>
      </c>
      <c r="AC525" s="598"/>
      <c r="AD525" s="1120">
        <f>(AB525/AB518-1)*100</f>
        <v>8.1070170470072043</v>
      </c>
      <c r="AE525" s="1124" t="s">
        <v>190</v>
      </c>
      <c r="AF525" s="1159">
        <f>+H525/AD525*100</f>
        <v>197.35989090964819</v>
      </c>
      <c r="AG525" s="1125" t="s">
        <v>190</v>
      </c>
      <c r="AH525" s="598"/>
      <c r="AI525" s="1160">
        <f>+S525</f>
        <v>1138.65031</v>
      </c>
      <c r="AJ525" s="598"/>
      <c r="AK525" s="1164">
        <f>AI525/AB525</f>
        <v>65.623811003349275</v>
      </c>
      <c r="AL525" s="598"/>
      <c r="AM525" s="1176">
        <f>(AK525/AK518-1)*100</f>
        <v>10.076110922805558</v>
      </c>
      <c r="AN525" s="1124" t="s">
        <v>190</v>
      </c>
      <c r="AP525" s="562">
        <v>6.4656565435589064E-2</v>
      </c>
      <c r="AQ525" s="1198"/>
      <c r="AR525" s="1203" t="s">
        <v>190</v>
      </c>
      <c r="AS525" s="562">
        <v>-6.1840100696637923E-2</v>
      </c>
      <c r="AT525" s="1198"/>
      <c r="AU525" s="1203"/>
      <c r="AV525" s="499"/>
      <c r="AW525" s="499"/>
      <c r="AX525" s="499"/>
      <c r="AY525" s="1034">
        <f>AP524*AQ525</f>
        <v>0</v>
      </c>
      <c r="AZ525" s="499"/>
      <c r="BA525" s="499"/>
      <c r="BB525" s="1200"/>
      <c r="BC525" s="499"/>
      <c r="BD525" s="1200"/>
      <c r="BE525" s="1200"/>
      <c r="BF525" s="1200"/>
      <c r="BG525" s="1200"/>
      <c r="BH525" s="701"/>
    </row>
    <row r="526" spans="1:60" ht="15">
      <c r="A526" s="598" t="s">
        <v>528</v>
      </c>
      <c r="B526" s="1157" t="s">
        <v>515</v>
      </c>
      <c r="C526" s="598"/>
      <c r="D526" s="1189">
        <f>F526+H526</f>
        <v>13.5</v>
      </c>
      <c r="E526" s="598"/>
      <c r="F526" s="1190">
        <v>3</v>
      </c>
      <c r="G526" s="598"/>
      <c r="H526" s="2082">
        <f>10+0.5</f>
        <v>10.5</v>
      </c>
      <c r="I526" s="598"/>
      <c r="J526" s="598">
        <f>Stores!AF230+Stores!BH230+Stores!CP230</f>
        <v>651</v>
      </c>
      <c r="K526" s="1127"/>
      <c r="L526" s="1128">
        <f>AVERAGE(J526,J525)</f>
        <v>647</v>
      </c>
      <c r="M526" s="598"/>
      <c r="N526" s="1120">
        <f>(L526/L519-1)*100</f>
        <v>7.4750830564784154</v>
      </c>
      <c r="O526" s="1124"/>
      <c r="P526" s="1159">
        <f>H526/N526*100</f>
        <v>140.46666666666647</v>
      </c>
      <c r="Q526" s="1125"/>
      <c r="R526" s="598"/>
      <c r="S526" s="1191">
        <f>S519*(1+D526/100)</f>
        <v>1231.062995</v>
      </c>
      <c r="T526" s="1127"/>
      <c r="U526" s="1166">
        <f>S526/L526</f>
        <v>1.9027248763523956</v>
      </c>
      <c r="V526" s="598"/>
      <c r="W526" s="1176">
        <f>(U526/U519-1)*100</f>
        <v>5.6058732612055628</v>
      </c>
      <c r="X526" s="1124"/>
      <c r="Y526" s="598"/>
      <c r="Z526" s="1129">
        <f>Stores!AI230+Stores!BK230</f>
        <v>18.026355661881979</v>
      </c>
      <c r="AA526" s="1127"/>
      <c r="AB526" s="1163">
        <f>AVERAGE(Z526,Z525)</f>
        <v>17.914354066985645</v>
      </c>
      <c r="AC526" s="598"/>
      <c r="AD526" s="1120">
        <f>(AB526/AB519-1)*100</f>
        <v>9.233866262107604</v>
      </c>
      <c r="AE526" s="1124"/>
      <c r="AF526" s="1159">
        <f>+H526/AD526*100</f>
        <v>113.71184834123214</v>
      </c>
      <c r="AG526" s="1125"/>
      <c r="AH526" s="598"/>
      <c r="AI526" s="1165">
        <f>+S526</f>
        <v>1231.062995</v>
      </c>
      <c r="AJ526" s="598"/>
      <c r="AK526" s="1167">
        <f>AI526/AB526</f>
        <v>68.719362718677388</v>
      </c>
      <c r="AL526" s="598"/>
      <c r="AM526" s="1176">
        <f>(AK526/AK519-1)*100</f>
        <v>3.9055046606661037</v>
      </c>
      <c r="AN526" s="1124"/>
      <c r="AP526" s="562">
        <f>AP525</f>
        <v>6.4656565435589064E-2</v>
      </c>
      <c r="AQ526" s="1198"/>
      <c r="AR526" s="1198"/>
      <c r="AS526" s="562">
        <v>-4.0909878117232568E-2</v>
      </c>
      <c r="AT526" s="1198"/>
      <c r="AU526" s="1198"/>
      <c r="AV526" s="499"/>
      <c r="AW526" s="499"/>
      <c r="AX526" s="499"/>
      <c r="AY526" s="1034">
        <f>AP524*AQ526</f>
        <v>0</v>
      </c>
      <c r="AZ526" s="499"/>
      <c r="BA526" s="499"/>
      <c r="BB526" s="499"/>
      <c r="BC526" s="499"/>
      <c r="BD526" s="499"/>
      <c r="BE526" s="499"/>
      <c r="BF526" s="499"/>
      <c r="BG526" s="499"/>
      <c r="BH526" s="487"/>
    </row>
    <row r="527" spans="1:60" ht="15">
      <c r="A527" s="598" t="s">
        <v>529</v>
      </c>
      <c r="B527" s="1157" t="s">
        <v>516</v>
      </c>
      <c r="C527" s="598"/>
      <c r="D527" s="1189">
        <f>F527+H527</f>
        <v>11.4</v>
      </c>
      <c r="E527" s="598"/>
      <c r="F527" s="1190">
        <v>2</v>
      </c>
      <c r="G527" s="598"/>
      <c r="H527" s="2082">
        <f>10-0.6</f>
        <v>9.4</v>
      </c>
      <c r="I527" s="598"/>
      <c r="J527" s="598">
        <f>Stores!AF231+Stores!BH231+Stores!CP231</f>
        <v>668</v>
      </c>
      <c r="K527" s="1127"/>
      <c r="L527" s="1128">
        <f>AVERAGE(J527,J526)</f>
        <v>659.5</v>
      </c>
      <c r="M527" s="598"/>
      <c r="N527" s="1120">
        <f>(L527/L520-1)*100</f>
        <v>6.2852538275584235</v>
      </c>
      <c r="O527" s="1124"/>
      <c r="P527" s="1159">
        <f>H527/N527*100</f>
        <v>149.5564102564102</v>
      </c>
      <c r="Q527" s="1125"/>
      <c r="R527" s="598"/>
      <c r="S527" s="1191">
        <f>S520*(1+D527/100)</f>
        <v>1394.4350180000001</v>
      </c>
      <c r="T527" s="1127"/>
      <c r="U527" s="1166">
        <f>S527/L527</f>
        <v>2.1143821349507204</v>
      </c>
      <c r="V527" s="598"/>
      <c r="W527" s="1176">
        <f>(U527/U520-1)*100</f>
        <v>4.8122820318423187</v>
      </c>
      <c r="X527" s="1124"/>
      <c r="Y527" s="598"/>
      <c r="Z527" s="1129">
        <f>Stores!AI231+Stores!BK231</f>
        <v>18.371411483253592</v>
      </c>
      <c r="AA527" s="1127"/>
      <c r="AB527" s="1163">
        <f>AVERAGE(Z527,Z526)</f>
        <v>18.198883572567787</v>
      </c>
      <c r="AC527" s="598"/>
      <c r="AD527" s="1120">
        <f>(AB527/AB520-1)*100</f>
        <v>8.6500511795091874</v>
      </c>
      <c r="AE527" s="1124"/>
      <c r="AF527" s="1159">
        <f>+H527/AD527*100</f>
        <v>108.66987726347031</v>
      </c>
      <c r="AG527" s="1125"/>
      <c r="AH527" s="598"/>
      <c r="AI527" s="1165">
        <f>+S527</f>
        <v>1394.4350180000001</v>
      </c>
      <c r="AJ527" s="598"/>
      <c r="AK527" s="1167">
        <f>AI527/AB527</f>
        <v>76.622008841350649</v>
      </c>
      <c r="AL527" s="598"/>
      <c r="AM527" s="1176">
        <f>(AK527/AK520-1)*100</f>
        <v>2.5310147493142088</v>
      </c>
      <c r="AN527" s="1124"/>
      <c r="AP527" s="562">
        <f>AP526</f>
        <v>6.4656565435589064E-2</v>
      </c>
      <c r="AQ527" s="1198"/>
      <c r="AR527" s="1198"/>
      <c r="AS527" s="562">
        <v>4.1300965460249639E-2</v>
      </c>
      <c r="AT527" s="1198"/>
      <c r="AU527" s="1198"/>
      <c r="AV527" s="499"/>
      <c r="AW527" s="499"/>
      <c r="AX527" s="499"/>
      <c r="AY527" s="1034">
        <f>AP524*AQ527</f>
        <v>0</v>
      </c>
      <c r="AZ527" s="499"/>
      <c r="BA527" s="499"/>
      <c r="BB527" s="499"/>
      <c r="BC527" s="499"/>
      <c r="BD527" s="499"/>
      <c r="BE527" s="499"/>
      <c r="BF527" s="499"/>
      <c r="BG527" s="499"/>
      <c r="BH527" s="487"/>
    </row>
    <row r="528" spans="1:60" ht="15">
      <c r="A528" s="598" t="s">
        <v>530</v>
      </c>
      <c r="B528" s="1157" t="s">
        <v>517</v>
      </c>
      <c r="C528" s="598"/>
      <c r="D528" s="1168">
        <f>F528+H528</f>
        <v>5.3</v>
      </c>
      <c r="E528" s="598"/>
      <c r="F528" s="1219">
        <v>1</v>
      </c>
      <c r="G528" s="598"/>
      <c r="H528" s="2083">
        <f>10-5.7</f>
        <v>4.3</v>
      </c>
      <c r="I528" s="598"/>
      <c r="J528" s="598">
        <f>Stores!AF232+Stores!BH232+Stores!CP232</f>
        <v>668</v>
      </c>
      <c r="K528" s="1127"/>
      <c r="L528" s="1171">
        <f>AVERAGE(J528,J527)</f>
        <v>668</v>
      </c>
      <c r="M528" s="598"/>
      <c r="N528" s="1168">
        <f>(L528/L521-1)*100</f>
        <v>5.5292259083728368</v>
      </c>
      <c r="O528" s="1124"/>
      <c r="P528" s="1171">
        <f>H528/N528*100</f>
        <v>77.768571428571292</v>
      </c>
      <c r="Q528" s="1125"/>
      <c r="R528" s="598"/>
      <c r="S528" s="1188">
        <f>S521*(1+D528/100)</f>
        <v>1646.603478</v>
      </c>
      <c r="T528" s="598"/>
      <c r="U528" s="1173">
        <f>S528/L528</f>
        <v>2.4649752664670657</v>
      </c>
      <c r="V528" s="598"/>
      <c r="W528" s="1169">
        <f>(U528/U521-1)*100</f>
        <v>-0.21721556886228344</v>
      </c>
      <c r="X528" s="1124"/>
      <c r="Y528" s="598"/>
      <c r="Z528" s="1129">
        <f>Stores!AI232+Stores!BK232</f>
        <v>18.371411483253592</v>
      </c>
      <c r="AA528" s="1127"/>
      <c r="AB528" s="1174">
        <f>AVERAGE(Z528,Z527)</f>
        <v>18.371411483253592</v>
      </c>
      <c r="AC528" s="598"/>
      <c r="AD528" s="1168">
        <f>(AB528/AB521-1)*100</f>
        <v>8.7065768239857455</v>
      </c>
      <c r="AE528" s="1124"/>
      <c r="AF528" s="1171">
        <f>+H528/AD528*100</f>
        <v>49.387952199008126</v>
      </c>
      <c r="AG528" s="1125"/>
      <c r="AH528" s="598"/>
      <c r="AI528" s="1172">
        <f>+S528</f>
        <v>1646.603478</v>
      </c>
      <c r="AJ528" s="598"/>
      <c r="AK528" s="1175">
        <f>AI528/AB528</f>
        <v>89.628577504834439</v>
      </c>
      <c r="AL528" s="598"/>
      <c r="AM528" s="1169">
        <f>(AK528/AK521-1)*100</f>
        <v>-3.1337357163785606</v>
      </c>
      <c r="AN528" s="1124"/>
      <c r="AP528" s="1201">
        <f>AP527</f>
        <v>6.4656565435589064E-2</v>
      </c>
      <c r="AQ528" s="1202"/>
      <c r="AR528" s="487"/>
      <c r="AS528" s="1201">
        <v>0</v>
      </c>
      <c r="AT528" s="1202"/>
      <c r="AU528" s="487"/>
      <c r="AV528" s="499"/>
      <c r="AW528" s="499"/>
      <c r="AX528" s="499"/>
      <c r="AY528" s="1034">
        <f>AP524*AQ528</f>
        <v>0</v>
      </c>
      <c r="AZ528" s="499"/>
      <c r="BA528" s="499"/>
      <c r="BB528" s="1088"/>
      <c r="BC528" s="499"/>
      <c r="BD528" s="1088"/>
      <c r="BE528" s="1088"/>
      <c r="BF528" s="1088"/>
      <c r="BG528" s="1200"/>
      <c r="BH528" s="487"/>
    </row>
    <row r="529" spans="1:60">
      <c r="A529" s="598"/>
      <c r="B529" s="1157" t="s">
        <v>531</v>
      </c>
      <c r="C529" s="598"/>
      <c r="D529" s="1120">
        <f>(S529/S522-1)*100</f>
        <v>11.402277458544452</v>
      </c>
      <c r="E529" s="598"/>
      <c r="F529" s="1179">
        <f>F525*S525/$S529+F526*S526/$S529+F527*S527/$S529+F528*S528/$S529</f>
        <v>2.1336431338185493</v>
      </c>
      <c r="G529" s="598"/>
      <c r="H529" s="1120">
        <f>D529-F529</f>
        <v>9.2686343247259018</v>
      </c>
      <c r="I529" s="598"/>
      <c r="J529" s="598"/>
      <c r="K529" s="598"/>
      <c r="L529" s="1128">
        <f>AVERAGE(L525:L528)</f>
        <v>653.125</v>
      </c>
      <c r="M529" s="598"/>
      <c r="N529" s="1120">
        <f>(L529/L522-1)*100</f>
        <v>6.8725710779300453</v>
      </c>
      <c r="O529" s="1124"/>
      <c r="P529" s="1159">
        <f>H529/N529*100</f>
        <v>134.86414646900283</v>
      </c>
      <c r="Q529" s="1125"/>
      <c r="R529" s="598"/>
      <c r="S529" s="1160">
        <f>SUM(S525:S528)</f>
        <v>5410.7518010000003</v>
      </c>
      <c r="T529" s="598"/>
      <c r="U529" s="1161">
        <f>SUM(U525:U528)</f>
        <v>8.2668006320021572</v>
      </c>
      <c r="V529" s="598"/>
      <c r="W529" s="1176">
        <f>(U529/U522-1)*100</f>
        <v>4.4592635195763286</v>
      </c>
      <c r="X529" s="1124"/>
      <c r="Y529" s="598"/>
      <c r="Z529" s="598"/>
      <c r="AA529" s="598"/>
      <c r="AB529" s="1163">
        <f>AVERAGE(AB525:AB528)</f>
        <v>17.95895633971292</v>
      </c>
      <c r="AC529" s="598"/>
      <c r="AD529" s="1120">
        <f>(AB529/AB522-1)*100</f>
        <v>8.6774967607438303</v>
      </c>
      <c r="AE529" s="1124"/>
      <c r="AF529" s="1159">
        <f>+H529/AD529*100</f>
        <v>106.81230521060314</v>
      </c>
      <c r="AG529" s="1125"/>
      <c r="AH529" s="598"/>
      <c r="AI529" s="1160">
        <f>SUM(AI525:AI528)</f>
        <v>5410.7518010000003</v>
      </c>
      <c r="AJ529" s="598"/>
      <c r="AK529" s="1164">
        <f>SUM(AK525:AK528)</f>
        <v>300.59376006821174</v>
      </c>
      <c r="AL529" s="598"/>
      <c r="AM529" s="1176">
        <f>(AK529/AK522-1)*100</f>
        <v>2.5875620678674549</v>
      </c>
      <c r="AN529" s="1124"/>
      <c r="AP529" s="562">
        <v>2.8594072980227037E-2</v>
      </c>
      <c r="AQ529" s="1198"/>
      <c r="AR529" s="1198"/>
      <c r="AS529" s="562">
        <v>5.5466372837034818E-3</v>
      </c>
      <c r="AT529" s="1198"/>
      <c r="AU529" s="1198"/>
      <c r="AV529" s="499"/>
      <c r="AW529" s="499"/>
      <c r="AX529" s="499"/>
      <c r="AY529" s="1034">
        <f>AP524*AQ529</f>
        <v>0</v>
      </c>
      <c r="AZ529" s="499"/>
      <c r="BA529" s="499"/>
      <c r="BB529" s="1200"/>
      <c r="BC529" s="499"/>
      <c r="BD529" s="1200"/>
      <c r="BE529" s="1200"/>
      <c r="BF529" s="1200"/>
      <c r="BG529" s="1200"/>
      <c r="BH529" s="487"/>
    </row>
    <row r="530" spans="1:60">
      <c r="A530" s="598"/>
      <c r="B530" s="1157"/>
      <c r="C530" s="598"/>
      <c r="D530" s="1120"/>
      <c r="E530" s="598"/>
      <c r="F530" s="2058"/>
      <c r="G530" s="598"/>
      <c r="H530" s="1120"/>
      <c r="I530" s="598"/>
      <c r="J530" s="598"/>
      <c r="K530" s="598"/>
      <c r="L530" s="1128"/>
      <c r="M530" s="598"/>
      <c r="N530" s="1120"/>
      <c r="O530" s="1124"/>
      <c r="P530" s="1159"/>
      <c r="Q530" s="1125"/>
      <c r="R530" s="598"/>
      <c r="S530" s="1126"/>
      <c r="T530" s="598"/>
      <c r="U530" s="1161"/>
      <c r="V530" s="598"/>
      <c r="W530" s="1176"/>
      <c r="X530" s="1124"/>
      <c r="Y530" s="598"/>
      <c r="Z530" s="598"/>
      <c r="AA530" s="598"/>
      <c r="AB530" s="1163"/>
      <c r="AC530" s="598"/>
      <c r="AD530" s="1120"/>
      <c r="AE530" s="1124"/>
      <c r="AF530" s="1159"/>
      <c r="AG530" s="1125"/>
      <c r="AH530" s="598"/>
      <c r="AI530" s="1160"/>
      <c r="AJ530" s="598"/>
      <c r="AK530" s="1164"/>
      <c r="AL530" s="598"/>
      <c r="AM530" s="1176"/>
      <c r="AN530" s="1124"/>
      <c r="AP530" s="487"/>
      <c r="AQ530" s="487"/>
      <c r="AR530" s="487"/>
      <c r="AS530" s="487"/>
      <c r="AT530" s="487"/>
      <c r="AU530" s="487"/>
      <c r="AV530" s="487"/>
      <c r="AW530" s="487"/>
      <c r="AX530" s="487"/>
      <c r="AY530" s="487"/>
      <c r="AZ530" s="499"/>
      <c r="BA530" s="740"/>
      <c r="BB530" s="1200"/>
      <c r="BC530" s="740"/>
      <c r="BD530" s="1200"/>
      <c r="BE530" s="1200"/>
      <c r="BF530" s="1200"/>
      <c r="BG530" s="1200"/>
      <c r="BH530" s="487"/>
    </row>
    <row r="531" spans="1:60">
      <c r="A531" s="1122" t="s">
        <v>378</v>
      </c>
      <c r="B531" s="1147"/>
      <c r="C531" s="1122"/>
      <c r="D531" s="1122"/>
      <c r="E531" s="1148"/>
      <c r="F531" s="2058"/>
      <c r="G531" s="1122"/>
      <c r="H531" s="1122"/>
      <c r="I531" s="1148"/>
      <c r="J531" s="2060"/>
      <c r="K531" s="1149"/>
      <c r="L531" s="1149"/>
      <c r="M531" s="1150"/>
      <c r="N531" s="1149"/>
      <c r="O531" s="1148"/>
      <c r="P531" s="1159"/>
      <c r="Q531" s="1149"/>
      <c r="R531" s="1150"/>
      <c r="S531" s="1182">
        <f>S515/'qtrP&amp;L'!$DF$14</f>
        <v>0.13144918186446952</v>
      </c>
      <c r="T531" s="1149"/>
      <c r="U531" s="1935">
        <f>S531*'qtrP&amp;L'!$DJ$19</f>
        <v>0</v>
      </c>
      <c r="V531" s="1150"/>
      <c r="W531" s="1936"/>
      <c r="X531" s="1151"/>
      <c r="Y531" s="1149"/>
      <c r="Z531" s="1149"/>
      <c r="AA531" s="1149"/>
      <c r="AB531" s="1149"/>
      <c r="AC531" s="1150"/>
      <c r="AD531" s="1149"/>
      <c r="AE531" s="1150"/>
      <c r="AF531" s="1149"/>
      <c r="AG531" s="1149"/>
      <c r="AH531" s="1150"/>
      <c r="AI531" s="1149"/>
      <c r="AJ531" s="1149"/>
      <c r="AK531" s="1150"/>
      <c r="AL531" s="1150"/>
      <c r="AM531" s="1149"/>
      <c r="AN531" s="1151"/>
      <c r="AP531" s="487"/>
      <c r="AQ531" s="487"/>
      <c r="AR531" s="1193"/>
      <c r="AS531" s="487"/>
      <c r="AT531" s="487"/>
      <c r="AU531" s="1193"/>
      <c r="AV531" s="1193"/>
      <c r="AW531" s="1193"/>
      <c r="AX531" s="499"/>
      <c r="AY531" s="499"/>
      <c r="AZ531" s="499"/>
      <c r="BA531" s="740"/>
      <c r="BB531" s="1200"/>
      <c r="BC531" s="740"/>
      <c r="BD531" s="1200"/>
      <c r="BE531" s="1200"/>
      <c r="BF531" s="1200"/>
      <c r="BG531" s="1200"/>
      <c r="BH531" s="487"/>
    </row>
    <row r="532" spans="1:60">
      <c r="A532" s="1133" t="str">
        <f>$A$9</f>
        <v>Analysis of Space Productivity, 1999A-2017E</v>
      </c>
      <c r="B532" s="1152"/>
      <c r="C532" s="1133"/>
      <c r="D532" s="1133"/>
      <c r="E532" s="1153"/>
      <c r="F532" s="1133"/>
      <c r="G532" s="1133"/>
      <c r="H532" s="1133"/>
      <c r="I532" s="1153"/>
      <c r="J532" s="1133"/>
      <c r="K532" s="1133"/>
      <c r="L532" s="1133"/>
      <c r="M532" s="1153"/>
      <c r="N532" s="1133"/>
      <c r="O532" s="1153"/>
      <c r="P532" s="1133"/>
      <c r="Q532" s="1133"/>
      <c r="R532" s="1153"/>
      <c r="S532" s="1937">
        <f>S514*(1+F521/100)+U531</f>
        <v>1273.4611</v>
      </c>
      <c r="T532" s="1133"/>
      <c r="U532" s="1133"/>
      <c r="V532" s="1153"/>
      <c r="W532" s="1133"/>
      <c r="X532" s="1134"/>
      <c r="Y532" s="1133"/>
      <c r="Z532" s="1133"/>
      <c r="AA532" s="1133"/>
      <c r="AB532" s="1133"/>
      <c r="AC532" s="1153"/>
      <c r="AD532" s="1133"/>
      <c r="AE532" s="1153"/>
      <c r="AF532" s="1133"/>
      <c r="AG532" s="1133"/>
      <c r="AH532" s="1153"/>
      <c r="AI532" s="1133"/>
      <c r="AJ532" s="1133"/>
      <c r="AK532" s="1153"/>
      <c r="AL532" s="1153"/>
      <c r="AM532" s="1133"/>
      <c r="AN532" s="1151"/>
      <c r="AP532" s="1193"/>
      <c r="AQ532" s="1224"/>
      <c r="AR532" s="499"/>
      <c r="AS532" s="1193"/>
      <c r="AT532" s="1193"/>
      <c r="AU532" s="499"/>
      <c r="AV532" s="1199"/>
      <c r="AW532" s="1200"/>
      <c r="AX532" s="1200"/>
      <c r="AY532" s="740"/>
      <c r="AZ532" s="499"/>
      <c r="BA532" s="740"/>
      <c r="BB532" s="1200"/>
      <c r="BC532" s="740"/>
      <c r="BD532" s="1200"/>
      <c r="BE532" s="1200"/>
      <c r="BF532" s="1200"/>
      <c r="BG532" s="1200"/>
      <c r="BH532" s="701"/>
    </row>
    <row r="533" spans="1:60" ht="13.5">
      <c r="A533" s="598"/>
      <c r="B533" s="1157"/>
      <c r="C533" s="598"/>
      <c r="D533" s="598"/>
      <c r="E533" s="598"/>
      <c r="F533" s="598"/>
      <c r="G533" s="598"/>
      <c r="H533" s="598"/>
      <c r="I533" s="598"/>
      <c r="J533" s="598"/>
      <c r="K533" s="598"/>
      <c r="L533" s="598"/>
      <c r="M533" s="598"/>
      <c r="N533" s="598"/>
      <c r="O533" s="598"/>
      <c r="P533" s="598"/>
      <c r="Q533" s="598"/>
      <c r="R533" s="598"/>
      <c r="S533" s="1225"/>
      <c r="T533" s="598"/>
      <c r="U533" s="598"/>
      <c r="V533" s="598"/>
      <c r="W533" s="598"/>
      <c r="X533" s="1124"/>
      <c r="Y533" s="598"/>
      <c r="Z533" s="598"/>
      <c r="AA533" s="598"/>
      <c r="AB533" s="598"/>
      <c r="AC533" s="598"/>
      <c r="AD533" s="598"/>
      <c r="AE533" s="598"/>
      <c r="AF533" s="598"/>
      <c r="AG533" s="598"/>
      <c r="AH533" s="598"/>
      <c r="AI533" s="598"/>
      <c r="AJ533" s="598"/>
      <c r="AK533" s="598"/>
      <c r="AL533" s="598"/>
      <c r="AM533" s="598"/>
      <c r="AN533" s="1124"/>
      <c r="AP533" s="1199"/>
      <c r="AQ533" s="1224"/>
      <c r="AR533" s="499"/>
      <c r="AS533" s="1199"/>
      <c r="AT533" s="1200"/>
      <c r="AU533" s="499"/>
      <c r="AV533" s="499"/>
      <c r="AW533" s="499"/>
      <c r="AX533" s="499"/>
      <c r="AY533" s="499"/>
      <c r="AZ533" s="499"/>
      <c r="BA533" s="499"/>
      <c r="BB533" s="499"/>
      <c r="BC533" s="499"/>
      <c r="BD533" s="499"/>
      <c r="BE533" s="499"/>
      <c r="BF533" s="499"/>
      <c r="BG533" s="499"/>
      <c r="BH533" s="487"/>
    </row>
    <row r="534" spans="1:60">
      <c r="A534" s="598"/>
      <c r="B534" s="1157"/>
      <c r="C534" s="598"/>
      <c r="D534" s="598"/>
      <c r="E534" s="598"/>
      <c r="F534" s="598"/>
      <c r="G534" s="598"/>
      <c r="H534" s="598"/>
      <c r="I534" s="598"/>
      <c r="J534" s="1130" t="s">
        <v>343</v>
      </c>
      <c r="K534" s="1131"/>
      <c r="L534" s="1131"/>
      <c r="M534" s="1131"/>
      <c r="N534" s="1131"/>
      <c r="O534" s="1131"/>
      <c r="P534" s="1131"/>
      <c r="Q534" s="1131"/>
      <c r="R534" s="1131"/>
      <c r="S534" s="1131"/>
      <c r="T534" s="1131"/>
      <c r="U534" s="1131"/>
      <c r="V534" s="1131"/>
      <c r="W534" s="1131"/>
      <c r="X534" s="1132"/>
      <c r="Y534" s="598"/>
      <c r="Z534" s="1130" t="s">
        <v>344</v>
      </c>
      <c r="AA534" s="1131"/>
      <c r="AB534" s="1131"/>
      <c r="AC534" s="1131"/>
      <c r="AD534" s="1131"/>
      <c r="AE534" s="1131"/>
      <c r="AF534" s="1131"/>
      <c r="AG534" s="1131"/>
      <c r="AH534" s="1131"/>
      <c r="AI534" s="1131"/>
      <c r="AJ534" s="1131"/>
      <c r="AK534" s="1131"/>
      <c r="AL534" s="1131"/>
      <c r="AM534" s="1131"/>
      <c r="AN534" s="1132"/>
      <c r="AP534" s="499"/>
      <c r="AQ534" s="499"/>
      <c r="AR534" s="499"/>
      <c r="AS534" s="499"/>
      <c r="AT534" s="499"/>
      <c r="AU534" s="499"/>
      <c r="AV534" s="1226"/>
      <c r="AW534" s="499"/>
      <c r="AX534" s="499"/>
      <c r="AY534" s="499"/>
      <c r="AZ534" s="499"/>
      <c r="BA534" s="1193"/>
      <c r="BB534" s="499"/>
      <c r="BC534" s="1193"/>
      <c r="BD534" s="499"/>
      <c r="BE534" s="499"/>
      <c r="BF534" s="499"/>
      <c r="BG534" s="499"/>
      <c r="BH534" s="487"/>
    </row>
    <row r="535" spans="1:60">
      <c r="A535" s="598"/>
      <c r="B535" s="1157"/>
      <c r="C535" s="598"/>
      <c r="D535" s="1133"/>
      <c r="E535" s="1134" t="s">
        <v>556</v>
      </c>
      <c r="F535" s="1133"/>
      <c r="G535" s="598"/>
      <c r="H535" s="1121" t="s">
        <v>25</v>
      </c>
      <c r="I535" s="598"/>
      <c r="J535" s="598"/>
      <c r="K535" s="598"/>
      <c r="L535" s="598"/>
      <c r="M535" s="598"/>
      <c r="N535" s="598"/>
      <c r="O535" s="598"/>
      <c r="P535" s="1135" t="s">
        <v>36</v>
      </c>
      <c r="Q535" s="1135"/>
      <c r="R535" s="598"/>
      <c r="S535" s="1136"/>
      <c r="T535" s="1136"/>
      <c r="U535" s="1133" t="s">
        <v>340</v>
      </c>
      <c r="V535" s="1136"/>
      <c r="W535" s="1136"/>
      <c r="X535" s="1124"/>
      <c r="Y535" s="598"/>
      <c r="Z535" s="598"/>
      <c r="AA535" s="598"/>
      <c r="AB535" s="598"/>
      <c r="AC535" s="598"/>
      <c r="AD535" s="598"/>
      <c r="AE535" s="598"/>
      <c r="AF535" s="1135" t="s">
        <v>36</v>
      </c>
      <c r="AG535" s="1135"/>
      <c r="AH535" s="598"/>
      <c r="AI535" s="1136"/>
      <c r="AJ535" s="1136"/>
      <c r="AK535" s="1134" t="s">
        <v>341</v>
      </c>
      <c r="AL535" s="1136"/>
      <c r="AM535" s="1136"/>
      <c r="AN535" s="1124"/>
      <c r="AP535" s="1197"/>
      <c r="AQ535" s="499"/>
      <c r="AR535" s="1227"/>
      <c r="AS535" s="1197"/>
      <c r="AT535" s="499"/>
      <c r="AU535" s="1227"/>
      <c r="AV535" s="1199"/>
      <c r="AW535" s="1200"/>
      <c r="AX535" s="1200"/>
      <c r="AY535" s="740"/>
      <c r="AZ535" s="1088"/>
      <c r="BA535" s="740"/>
      <c r="BB535" s="1088"/>
      <c r="BC535" s="740"/>
      <c r="BD535" s="1088"/>
      <c r="BE535" s="1088"/>
      <c r="BF535" s="1088"/>
      <c r="BG535" s="1200"/>
      <c r="BH535" s="487"/>
    </row>
    <row r="536" spans="1:60">
      <c r="A536" s="598"/>
      <c r="B536" s="1157"/>
      <c r="C536" s="598"/>
      <c r="D536" s="1121"/>
      <c r="E536" s="1121"/>
      <c r="F536" s="1121" t="s">
        <v>24</v>
      </c>
      <c r="G536" s="1121"/>
      <c r="H536" s="1134" t="s">
        <v>26</v>
      </c>
      <c r="I536" s="598"/>
      <c r="J536" s="1134"/>
      <c r="K536" s="1134" t="s">
        <v>31</v>
      </c>
      <c r="L536" s="1134"/>
      <c r="M536" s="1121"/>
      <c r="N536" s="1121" t="s">
        <v>34</v>
      </c>
      <c r="O536" s="598"/>
      <c r="P536" s="1135" t="s">
        <v>37</v>
      </c>
      <c r="Q536" s="1135"/>
      <c r="R536" s="598"/>
      <c r="S536" s="598"/>
      <c r="T536" s="598"/>
      <c r="U536" s="1121" t="s">
        <v>41</v>
      </c>
      <c r="V536" s="598"/>
      <c r="W536" s="1121" t="s">
        <v>43</v>
      </c>
      <c r="X536" s="1124"/>
      <c r="Y536" s="598"/>
      <c r="Z536" s="1134"/>
      <c r="AA536" s="1134" t="s">
        <v>433</v>
      </c>
      <c r="AB536" s="1134"/>
      <c r="AC536" s="1121"/>
      <c r="AD536" s="1121" t="s">
        <v>34</v>
      </c>
      <c r="AE536" s="598"/>
      <c r="AF536" s="1135" t="s">
        <v>37</v>
      </c>
      <c r="AG536" s="1135"/>
      <c r="AH536" s="598"/>
      <c r="AI536" s="598"/>
      <c r="AJ536" s="598"/>
      <c r="AK536" s="1121" t="s">
        <v>41</v>
      </c>
      <c r="AL536" s="598"/>
      <c r="AM536" s="1121" t="s">
        <v>43</v>
      </c>
      <c r="AN536" s="1124"/>
      <c r="AP536" s="1199"/>
      <c r="AQ536" s="1200"/>
      <c r="AR536" s="499"/>
      <c r="AS536" s="1199"/>
      <c r="AT536" s="1200"/>
      <c r="AU536" s="499"/>
      <c r="AV536" s="1199"/>
      <c r="AW536" s="1200"/>
      <c r="AX536" s="1200"/>
      <c r="AY536" s="740"/>
      <c r="AZ536" s="499"/>
      <c r="BA536" s="740"/>
      <c r="BB536" s="1200"/>
      <c r="BC536" s="740"/>
      <c r="BD536" s="1200"/>
      <c r="BE536" s="1200"/>
      <c r="BF536" s="1200"/>
      <c r="BG536" s="1200"/>
      <c r="BH536" s="487"/>
    </row>
    <row r="537" spans="1:60">
      <c r="A537" s="598"/>
      <c r="B537" s="1157"/>
      <c r="C537" s="598"/>
      <c r="D537" s="1134" t="s">
        <v>610</v>
      </c>
      <c r="E537" s="1121"/>
      <c r="F537" s="1134" t="s">
        <v>578</v>
      </c>
      <c r="G537" s="1121"/>
      <c r="H537" s="1121" t="s">
        <v>27</v>
      </c>
      <c r="I537" s="598"/>
      <c r="J537" s="1134" t="s">
        <v>610</v>
      </c>
      <c r="K537" s="1121"/>
      <c r="L537" s="1134" t="s">
        <v>594</v>
      </c>
      <c r="M537" s="1121"/>
      <c r="N537" s="1134" t="s">
        <v>190</v>
      </c>
      <c r="O537" s="598"/>
      <c r="P537" s="1139" t="s">
        <v>38</v>
      </c>
      <c r="Q537" s="1139"/>
      <c r="R537" s="598"/>
      <c r="S537" s="1134" t="s">
        <v>610</v>
      </c>
      <c r="T537" s="598"/>
      <c r="U537" s="1134" t="s">
        <v>596</v>
      </c>
      <c r="V537" s="598"/>
      <c r="W537" s="1134" t="s">
        <v>597</v>
      </c>
      <c r="X537" s="1124"/>
      <c r="Y537" s="598"/>
      <c r="Z537" s="1134" t="s">
        <v>610</v>
      </c>
      <c r="AA537" s="1121"/>
      <c r="AB537" s="1134" t="s">
        <v>594</v>
      </c>
      <c r="AC537" s="1121"/>
      <c r="AD537" s="1134" t="s">
        <v>190</v>
      </c>
      <c r="AE537" s="598"/>
      <c r="AF537" s="1139" t="s">
        <v>339</v>
      </c>
      <c r="AG537" s="1139"/>
      <c r="AH537" s="598"/>
      <c r="AI537" s="1134" t="s">
        <v>610</v>
      </c>
      <c r="AJ537" s="598"/>
      <c r="AK537" s="1134" t="s">
        <v>334</v>
      </c>
      <c r="AL537" s="598"/>
      <c r="AM537" s="1134" t="s">
        <v>597</v>
      </c>
      <c r="AN537" s="1124"/>
      <c r="AP537" s="1199"/>
      <c r="AQ537" s="1200"/>
      <c r="AR537" s="499"/>
      <c r="AS537" s="1199"/>
      <c r="AT537" s="1200"/>
      <c r="AU537" s="499"/>
      <c r="AV537" s="1199"/>
      <c r="AW537" s="1200"/>
      <c r="AX537" s="1200"/>
      <c r="AY537" s="740"/>
      <c r="AZ537" s="499"/>
      <c r="BA537" s="740"/>
      <c r="BB537" s="1200"/>
      <c r="BC537" s="740"/>
      <c r="BD537" s="1200"/>
      <c r="BE537" s="1200"/>
      <c r="BF537" s="1200"/>
      <c r="BG537" s="1200"/>
      <c r="BH537" s="487"/>
    </row>
    <row r="538" spans="1:60">
      <c r="A538" s="598"/>
      <c r="B538" s="1157"/>
      <c r="C538" s="598"/>
      <c r="D538" s="1141" t="s">
        <v>29</v>
      </c>
      <c r="E538" s="1121"/>
      <c r="F538" s="1141" t="s">
        <v>30</v>
      </c>
      <c r="G538" s="1121"/>
      <c r="H538" s="1141" t="s">
        <v>28</v>
      </c>
      <c r="I538" s="598"/>
      <c r="J538" s="1141" t="s">
        <v>32</v>
      </c>
      <c r="K538" s="1121"/>
      <c r="L538" s="1141" t="s">
        <v>33</v>
      </c>
      <c r="M538" s="1121"/>
      <c r="N538" s="1141" t="s">
        <v>35</v>
      </c>
      <c r="O538" s="598"/>
      <c r="P538" s="1142" t="s">
        <v>39</v>
      </c>
      <c r="Q538" s="1142"/>
      <c r="R538" s="598"/>
      <c r="S538" s="1141" t="s">
        <v>40</v>
      </c>
      <c r="T538" s="598"/>
      <c r="U538" s="1141" t="s">
        <v>42</v>
      </c>
      <c r="V538" s="598"/>
      <c r="W538" s="1141" t="s">
        <v>44</v>
      </c>
      <c r="X538" s="1124"/>
      <c r="Y538" s="598"/>
      <c r="Z538" s="1141" t="s">
        <v>331</v>
      </c>
      <c r="AA538" s="1121"/>
      <c r="AB538" s="1141" t="s">
        <v>332</v>
      </c>
      <c r="AC538" s="1121"/>
      <c r="AD538" s="1141" t="s">
        <v>333</v>
      </c>
      <c r="AE538" s="598"/>
      <c r="AF538" s="1142" t="s">
        <v>335</v>
      </c>
      <c r="AG538" s="1142"/>
      <c r="AH538" s="598"/>
      <c r="AI538" s="1141" t="s">
        <v>336</v>
      </c>
      <c r="AJ538" s="598"/>
      <c r="AK538" s="1141" t="s">
        <v>337</v>
      </c>
      <c r="AL538" s="598"/>
      <c r="AM538" s="1141" t="s">
        <v>338</v>
      </c>
      <c r="AN538" s="1124"/>
      <c r="AP538" s="1199"/>
      <c r="AQ538" s="1200"/>
      <c r="AR538" s="499"/>
      <c r="AS538" s="1199"/>
      <c r="AT538" s="1200"/>
      <c r="AU538" s="499"/>
      <c r="AV538" s="1199"/>
      <c r="AW538" s="1200"/>
      <c r="AX538" s="1200"/>
      <c r="AY538" s="740"/>
      <c r="AZ538" s="499"/>
      <c r="BA538" s="740"/>
      <c r="BB538" s="1200"/>
      <c r="BC538" s="740"/>
      <c r="BD538" s="1200"/>
      <c r="BE538" s="1200"/>
      <c r="BF538" s="1200"/>
      <c r="BG538" s="1200"/>
      <c r="BH538" s="487"/>
    </row>
    <row r="539" spans="1:60">
      <c r="A539" s="598"/>
      <c r="B539" s="1157"/>
      <c r="C539" s="598"/>
      <c r="D539" s="598"/>
      <c r="E539" s="598"/>
      <c r="F539" s="598"/>
      <c r="G539" s="598"/>
      <c r="H539" s="598"/>
      <c r="I539" s="598"/>
      <c r="J539" s="598"/>
      <c r="K539" s="598"/>
      <c r="L539" s="598"/>
      <c r="M539" s="598"/>
      <c r="N539" s="598"/>
      <c r="O539" s="598"/>
      <c r="P539" s="1125"/>
      <c r="Q539" s="1125"/>
      <c r="R539" s="598"/>
      <c r="S539" s="598"/>
      <c r="T539" s="598"/>
      <c r="U539" s="598"/>
      <c r="V539" s="598"/>
      <c r="W539" s="598"/>
      <c r="X539" s="1124"/>
      <c r="Y539" s="598"/>
      <c r="Z539" s="598"/>
      <c r="AA539" s="598"/>
      <c r="AB539" s="598"/>
      <c r="AC539" s="598"/>
      <c r="AD539" s="598"/>
      <c r="AE539" s="598"/>
      <c r="AF539" s="1125"/>
      <c r="AG539" s="1125"/>
      <c r="AH539" s="598"/>
      <c r="AI539" s="598"/>
      <c r="AJ539" s="598"/>
      <c r="AK539" s="598"/>
      <c r="AL539" s="598"/>
      <c r="AM539" s="598"/>
      <c r="AN539" s="1124"/>
      <c r="AP539" s="1199"/>
      <c r="AQ539" s="1200"/>
      <c r="AR539" s="499"/>
      <c r="AS539" s="1199"/>
      <c r="AT539" s="1200"/>
      <c r="AU539" s="499"/>
      <c r="AV539" s="1199"/>
      <c r="AW539" s="1200"/>
      <c r="AX539" s="1200"/>
      <c r="AY539" s="740"/>
      <c r="AZ539" s="499"/>
      <c r="BA539" s="740"/>
      <c r="BB539" s="1200"/>
      <c r="BC539" s="740"/>
      <c r="BD539" s="1200"/>
      <c r="BE539" s="1200"/>
      <c r="BF539" s="1200"/>
      <c r="BG539" s="1200"/>
      <c r="BH539" s="701"/>
    </row>
    <row r="540" spans="1:60" hidden="1" outlineLevel="1" collapsed="1">
      <c r="A540" s="1154"/>
      <c r="B540" s="1155">
        <v>1995</v>
      </c>
      <c r="C540" s="598"/>
      <c r="D540" s="598"/>
      <c r="E540" s="598"/>
      <c r="F540" s="598"/>
      <c r="G540" s="598"/>
      <c r="H540" s="598"/>
      <c r="I540" s="598"/>
      <c r="J540" s="598"/>
      <c r="K540" s="598"/>
      <c r="L540" s="598"/>
      <c r="M540" s="598"/>
      <c r="N540" s="598"/>
      <c r="O540" s="598"/>
      <c r="P540" s="1125"/>
      <c r="Q540" s="1125"/>
      <c r="R540" s="598"/>
      <c r="S540" s="598"/>
      <c r="T540" s="598"/>
      <c r="U540" s="598"/>
      <c r="V540" s="598"/>
      <c r="W540" s="598"/>
      <c r="X540" s="1124"/>
      <c r="Y540" s="598"/>
      <c r="Z540" s="598"/>
      <c r="AA540" s="598"/>
      <c r="AB540" s="598"/>
      <c r="AC540" s="598"/>
      <c r="AD540" s="598"/>
      <c r="AE540" s="598"/>
      <c r="AF540" s="1125"/>
      <c r="AG540" s="1125"/>
      <c r="AH540" s="598"/>
      <c r="AI540" s="598"/>
      <c r="AJ540" s="598"/>
      <c r="AK540" s="598"/>
      <c r="AL540" s="598"/>
      <c r="AM540" s="598"/>
      <c r="AN540" s="1124"/>
      <c r="AP540" s="1199"/>
      <c r="AQ540" s="1200"/>
      <c r="AR540" s="499"/>
      <c r="AS540" s="1199"/>
      <c r="AT540" s="1200"/>
      <c r="AU540" s="499"/>
      <c r="AV540" s="499"/>
      <c r="AW540" s="499"/>
      <c r="AX540" s="499"/>
      <c r="AY540" s="499"/>
      <c r="AZ540" s="499"/>
      <c r="BA540" s="499"/>
      <c r="BB540" s="499"/>
      <c r="BC540" s="499"/>
      <c r="BD540" s="499"/>
      <c r="BE540" s="499"/>
      <c r="BF540" s="499"/>
      <c r="BG540" s="499"/>
      <c r="BH540" s="487"/>
    </row>
    <row r="541" spans="1:60" hidden="1" outlineLevel="1">
      <c r="A541" s="598" t="s">
        <v>527</v>
      </c>
      <c r="B541" s="1157" t="s">
        <v>514</v>
      </c>
      <c r="C541" s="598"/>
      <c r="D541" s="1120"/>
      <c r="E541" s="598" t="s">
        <v>190</v>
      </c>
      <c r="F541" s="1158"/>
      <c r="G541" s="598" t="s">
        <v>190</v>
      </c>
      <c r="H541" s="1120"/>
      <c r="I541" s="1124" t="s">
        <v>190</v>
      </c>
      <c r="J541" s="598">
        <f>Stores!AM57</f>
        <v>19</v>
      </c>
      <c r="K541" s="598"/>
      <c r="L541" s="1128">
        <f>AVERAGE(J541,15)</f>
        <v>17</v>
      </c>
      <c r="M541" s="598"/>
      <c r="N541" s="1120"/>
      <c r="O541" s="1124" t="s">
        <v>190</v>
      </c>
      <c r="P541" s="1159"/>
      <c r="Q541" s="1125" t="s">
        <v>190</v>
      </c>
      <c r="R541" s="598"/>
      <c r="S541" s="1160">
        <f>'SegP&amp;L'!AI46</f>
        <v>13.105</v>
      </c>
      <c r="T541" s="598"/>
      <c r="U541" s="1161">
        <f>S541/L541</f>
        <v>0.77088235294117646</v>
      </c>
      <c r="V541" s="598"/>
      <c r="W541" s="1158"/>
      <c r="X541" s="1124" t="s">
        <v>190</v>
      </c>
      <c r="Y541" s="598"/>
      <c r="Z541" s="1129">
        <f>Stores!AP57</f>
        <v>0.71854545454545449</v>
      </c>
      <c r="AA541" s="598"/>
      <c r="AB541" s="1163"/>
      <c r="AC541" s="598"/>
      <c r="AD541" s="1120"/>
      <c r="AE541" s="1124" t="s">
        <v>190</v>
      </c>
      <c r="AF541" s="1159"/>
      <c r="AG541" s="1125" t="s">
        <v>190</v>
      </c>
      <c r="AH541" s="598"/>
      <c r="AI541" s="1160"/>
      <c r="AJ541" s="598"/>
      <c r="AK541" s="1164"/>
      <c r="AL541" s="598"/>
      <c r="AM541" s="1120"/>
      <c r="AN541" s="1124" t="s">
        <v>190</v>
      </c>
      <c r="AP541" s="499"/>
      <c r="AQ541" s="499"/>
      <c r="AR541" s="499"/>
      <c r="AS541" s="499"/>
      <c r="AT541" s="499"/>
      <c r="AU541" s="499"/>
      <c r="AV541" s="1226"/>
      <c r="AW541" s="499"/>
      <c r="AX541" s="499"/>
      <c r="AY541" s="499"/>
      <c r="AZ541" s="499"/>
      <c r="BA541" s="1193"/>
      <c r="BB541" s="499"/>
      <c r="BC541" s="1193"/>
      <c r="BD541" s="499"/>
      <c r="BE541" s="499"/>
      <c r="BF541" s="499"/>
      <c r="BG541" s="499"/>
      <c r="BH541" s="487"/>
    </row>
    <row r="542" spans="1:60" hidden="1" outlineLevel="1">
      <c r="A542" s="598" t="s">
        <v>528</v>
      </c>
      <c r="B542" s="1157" t="s">
        <v>515</v>
      </c>
      <c r="C542" s="598"/>
      <c r="D542" s="1120"/>
      <c r="E542" s="598"/>
      <c r="F542" s="1158"/>
      <c r="G542" s="598"/>
      <c r="H542" s="1120"/>
      <c r="I542" s="1124"/>
      <c r="J542" s="598">
        <f>Stores!AM58</f>
        <v>22</v>
      </c>
      <c r="K542" s="598"/>
      <c r="L542" s="1128">
        <f>AVERAGE(J542,J541)</f>
        <v>20.5</v>
      </c>
      <c r="M542" s="598"/>
      <c r="N542" s="1120"/>
      <c r="O542" s="1124"/>
      <c r="P542" s="1159"/>
      <c r="Q542" s="1125"/>
      <c r="R542" s="598"/>
      <c r="S542" s="1165">
        <f>'SegP&amp;L'!AI47</f>
        <v>19.311</v>
      </c>
      <c r="T542" s="598"/>
      <c r="U542" s="1166">
        <f>S542/L542</f>
        <v>0.94199999999999995</v>
      </c>
      <c r="V542" s="598"/>
      <c r="W542" s="1158"/>
      <c r="X542" s="1124"/>
      <c r="Y542" s="598"/>
      <c r="Z542" s="1129">
        <f>Stores!AP58</f>
        <v>0.83199999999999985</v>
      </c>
      <c r="AA542" s="598"/>
      <c r="AB542" s="1163"/>
      <c r="AC542" s="598"/>
      <c r="AD542" s="1120"/>
      <c r="AE542" s="1124"/>
      <c r="AF542" s="1159"/>
      <c r="AG542" s="1125"/>
      <c r="AH542" s="598"/>
      <c r="AI542" s="1165"/>
      <c r="AJ542" s="598"/>
      <c r="AK542" s="1167"/>
      <c r="AL542" s="598"/>
      <c r="AM542" s="1158"/>
      <c r="AN542" s="1124"/>
      <c r="AP542" s="1197"/>
      <c r="AQ542" s="499"/>
      <c r="AR542" s="1227"/>
      <c r="AS542" s="1197"/>
      <c r="AT542" s="499"/>
      <c r="AU542" s="1227"/>
      <c r="AV542" s="1199"/>
      <c r="AW542" s="1200"/>
      <c r="AX542" s="1200"/>
      <c r="AY542" s="740"/>
      <c r="AZ542" s="1088"/>
      <c r="BA542" s="740"/>
      <c r="BB542" s="1088"/>
      <c r="BC542" s="740"/>
      <c r="BD542" s="1088"/>
      <c r="BE542" s="1088"/>
      <c r="BF542" s="1088"/>
      <c r="BG542" s="1200"/>
      <c r="BH542" s="487"/>
    </row>
    <row r="543" spans="1:60" hidden="1" outlineLevel="1">
      <c r="A543" s="598" t="s">
        <v>529</v>
      </c>
      <c r="B543" s="1157" t="s">
        <v>516</v>
      </c>
      <c r="C543" s="598"/>
      <c r="D543" s="1120"/>
      <c r="E543" s="598"/>
      <c r="F543" s="1158"/>
      <c r="G543" s="598"/>
      <c r="H543" s="1120"/>
      <c r="I543" s="1124"/>
      <c r="J543" s="598">
        <f>Stores!AM59</f>
        <v>24</v>
      </c>
      <c r="K543" s="598"/>
      <c r="L543" s="1128">
        <f>AVERAGE(J543,J542)</f>
        <v>23</v>
      </c>
      <c r="M543" s="598"/>
      <c r="N543" s="1120"/>
      <c r="O543" s="1124"/>
      <c r="P543" s="1159"/>
      <c r="Q543" s="1125"/>
      <c r="R543" s="598"/>
      <c r="S543" s="1165">
        <f>'SegP&amp;L'!AI48</f>
        <v>20.539000000000001</v>
      </c>
      <c r="T543" s="598"/>
      <c r="U543" s="1166">
        <f>S543/L543</f>
        <v>0.89300000000000002</v>
      </c>
      <c r="V543" s="598"/>
      <c r="W543" s="1158"/>
      <c r="X543" s="1124"/>
      <c r="Y543" s="598"/>
      <c r="Z543" s="1129">
        <f>Stores!AP59</f>
        <v>0.90763636363636346</v>
      </c>
      <c r="AA543" s="598"/>
      <c r="AB543" s="1163"/>
      <c r="AC543" s="598"/>
      <c r="AD543" s="1120"/>
      <c r="AE543" s="1124"/>
      <c r="AF543" s="1159"/>
      <c r="AG543" s="1125"/>
      <c r="AH543" s="598"/>
      <c r="AI543" s="1165"/>
      <c r="AJ543" s="598"/>
      <c r="AK543" s="1167"/>
      <c r="AL543" s="598"/>
      <c r="AM543" s="1158"/>
      <c r="AN543" s="1124"/>
      <c r="AP543" s="1199"/>
      <c r="AQ543" s="1200"/>
      <c r="AR543" s="499"/>
      <c r="AS543" s="1199"/>
      <c r="AT543" s="1200"/>
      <c r="AU543" s="499"/>
      <c r="AV543" s="1199"/>
      <c r="AW543" s="1200"/>
      <c r="AX543" s="1200"/>
      <c r="AY543" s="740"/>
      <c r="AZ543" s="499"/>
      <c r="BA543" s="740"/>
      <c r="BB543" s="1200"/>
      <c r="BC543" s="740"/>
      <c r="BD543" s="1200"/>
      <c r="BE543" s="1200"/>
      <c r="BF543" s="1200"/>
      <c r="BG543" s="1200"/>
      <c r="BH543" s="487"/>
    </row>
    <row r="544" spans="1:60" hidden="1" outlineLevel="1">
      <c r="A544" s="598" t="s">
        <v>530</v>
      </c>
      <c r="B544" s="1157" t="s">
        <v>517</v>
      </c>
      <c r="C544" s="598"/>
      <c r="D544" s="1168"/>
      <c r="E544" s="598"/>
      <c r="F544" s="1169"/>
      <c r="G544" s="598"/>
      <c r="H544" s="1168"/>
      <c r="I544" s="1124"/>
      <c r="J544" s="598">
        <f>yrSales!G$246</f>
        <v>22</v>
      </c>
      <c r="K544" s="598"/>
      <c r="L544" s="1171">
        <f>AVERAGE(J544,J543)</f>
        <v>23</v>
      </c>
      <c r="M544" s="598"/>
      <c r="N544" s="1168"/>
      <c r="O544" s="1124"/>
      <c r="P544" s="1171"/>
      <c r="Q544" s="1125"/>
      <c r="R544" s="598"/>
      <c r="S544" s="1172">
        <f>'SegP&amp;L'!AI49</f>
        <v>25.45</v>
      </c>
      <c r="T544" s="598"/>
      <c r="U544" s="1173">
        <f>S544/L544</f>
        <v>1.1065217391304347</v>
      </c>
      <c r="V544" s="598"/>
      <c r="W544" s="1169"/>
      <c r="X544" s="1124"/>
      <c r="Y544" s="598"/>
      <c r="Z544" s="1129">
        <f>yrSales!G$256</f>
        <v>0.83199999999999996</v>
      </c>
      <c r="AA544" s="598"/>
      <c r="AB544" s="1174"/>
      <c r="AC544" s="598"/>
      <c r="AD544" s="1168"/>
      <c r="AE544" s="1124"/>
      <c r="AF544" s="1171"/>
      <c r="AG544" s="1125"/>
      <c r="AH544" s="598"/>
      <c r="AI544" s="1172"/>
      <c r="AJ544" s="598"/>
      <c r="AK544" s="1175"/>
      <c r="AL544" s="598"/>
      <c r="AM544" s="1169"/>
      <c r="AN544" s="1124"/>
      <c r="AP544" s="1199"/>
      <c r="AQ544" s="1200"/>
      <c r="AR544" s="499"/>
      <c r="AS544" s="1199"/>
      <c r="AT544" s="1200"/>
      <c r="AU544" s="499"/>
      <c r="AV544" s="1199"/>
      <c r="AW544" s="1200"/>
      <c r="AX544" s="1200"/>
      <c r="AY544" s="740"/>
      <c r="AZ544" s="499"/>
      <c r="BA544" s="740"/>
      <c r="BB544" s="1200"/>
      <c r="BC544" s="740"/>
      <c r="BD544" s="1200"/>
      <c r="BE544" s="1200"/>
      <c r="BF544" s="1200"/>
      <c r="BG544" s="1200"/>
      <c r="BH544" s="487"/>
    </row>
    <row r="545" spans="1:60" hidden="1" outlineLevel="1">
      <c r="A545" s="598"/>
      <c r="B545" s="1157" t="s">
        <v>531</v>
      </c>
      <c r="C545" s="598"/>
      <c r="D545" s="1120"/>
      <c r="E545" s="598"/>
      <c r="F545" s="1158"/>
      <c r="G545" s="598"/>
      <c r="H545" s="1120"/>
      <c r="I545" s="1124"/>
      <c r="J545" s="1127"/>
      <c r="K545" s="598"/>
      <c r="L545" s="1128">
        <f>AVERAGE(J544,15)</f>
        <v>18.5</v>
      </c>
      <c r="M545" s="598"/>
      <c r="N545" s="1120"/>
      <c r="O545" s="1124"/>
      <c r="P545" s="1159"/>
      <c r="Q545" s="1125"/>
      <c r="R545" s="598"/>
      <c r="S545" s="1160">
        <f>yrSales!G$236</f>
        <v>78.405000000000001</v>
      </c>
      <c r="T545" s="598"/>
      <c r="U545" s="1161">
        <f>S545/L545</f>
        <v>4.2381081081081078</v>
      </c>
      <c r="V545" s="598"/>
      <c r="W545" s="1158"/>
      <c r="X545" s="1124"/>
      <c r="Y545" s="598"/>
      <c r="Z545" s="1127"/>
      <c r="AA545" s="598"/>
      <c r="AB545" s="1163"/>
      <c r="AC545" s="598"/>
      <c r="AD545" s="1120"/>
      <c r="AE545" s="1124"/>
      <c r="AF545" s="1159"/>
      <c r="AG545" s="1125"/>
      <c r="AH545" s="598"/>
      <c r="AI545" s="1160">
        <f>+S545</f>
        <v>78.405000000000001</v>
      </c>
      <c r="AJ545" s="598"/>
      <c r="AK545" s="1164"/>
      <c r="AL545" s="598"/>
      <c r="AM545" s="1158"/>
      <c r="AN545" s="1124"/>
      <c r="AP545" s="1199"/>
      <c r="AQ545" s="1200"/>
      <c r="AR545" s="499"/>
      <c r="AS545" s="1199"/>
      <c r="AT545" s="1200"/>
      <c r="AU545" s="499"/>
      <c r="AV545" s="1199"/>
      <c r="AW545" s="1200"/>
      <c r="AX545" s="1200"/>
      <c r="AY545" s="740"/>
      <c r="AZ545" s="499"/>
      <c r="BA545" s="740"/>
      <c r="BB545" s="1200"/>
      <c r="BC545" s="740"/>
      <c r="BD545" s="1200"/>
      <c r="BE545" s="1200"/>
      <c r="BF545" s="1200"/>
      <c r="BG545" s="1200"/>
      <c r="BH545" s="487"/>
    </row>
    <row r="546" spans="1:60" hidden="1" outlineLevel="1">
      <c r="A546" s="598"/>
      <c r="B546" s="1157"/>
      <c r="C546" s="598"/>
      <c r="D546" s="598"/>
      <c r="E546" s="598"/>
      <c r="F546" s="598"/>
      <c r="G546" s="598"/>
      <c r="H546" s="598"/>
      <c r="I546" s="1124"/>
      <c r="J546" s="1127"/>
      <c r="K546" s="598"/>
      <c r="L546" s="598"/>
      <c r="M546" s="598"/>
      <c r="N546" s="598"/>
      <c r="O546" s="1124"/>
      <c r="P546" s="1125"/>
      <c r="Q546" s="1125"/>
      <c r="R546" s="598"/>
      <c r="S546" s="598"/>
      <c r="T546" s="598"/>
      <c r="U546" s="598"/>
      <c r="V546" s="598"/>
      <c r="W546" s="598"/>
      <c r="X546" s="1124"/>
      <c r="Y546" s="598"/>
      <c r="Z546" s="1127"/>
      <c r="AA546" s="598"/>
      <c r="AB546" s="598"/>
      <c r="AC546" s="598"/>
      <c r="AD546" s="598"/>
      <c r="AE546" s="1124"/>
      <c r="AF546" s="1125"/>
      <c r="AG546" s="1125"/>
      <c r="AH546" s="598"/>
      <c r="AI546" s="598"/>
      <c r="AJ546" s="598"/>
      <c r="AK546" s="598"/>
      <c r="AL546" s="598"/>
      <c r="AM546" s="598"/>
      <c r="AN546" s="1124"/>
      <c r="AP546" s="1199"/>
      <c r="AQ546" s="1200"/>
      <c r="AR546" s="499"/>
      <c r="AS546" s="1199"/>
      <c r="AT546" s="1200"/>
      <c r="AU546" s="499"/>
      <c r="AV546" s="1199"/>
      <c r="AW546" s="1200"/>
      <c r="AX546" s="1200"/>
      <c r="AY546" s="740"/>
      <c r="AZ546" s="499"/>
      <c r="BA546" s="740"/>
      <c r="BB546" s="1200"/>
      <c r="BC546" s="740"/>
      <c r="BD546" s="1200"/>
      <c r="BE546" s="1200"/>
      <c r="BF546" s="1200"/>
      <c r="BG546" s="1200"/>
      <c r="BH546" s="701"/>
    </row>
    <row r="547" spans="1:60" hidden="1" outlineLevel="1">
      <c r="A547" s="1154"/>
      <c r="B547" s="1155">
        <f>B540+1</f>
        <v>1996</v>
      </c>
      <c r="C547" s="598"/>
      <c r="D547" s="598"/>
      <c r="E547" s="598"/>
      <c r="F547" s="598"/>
      <c r="G547" s="598"/>
      <c r="H547" s="598"/>
      <c r="I547" s="1124"/>
      <c r="J547" s="1127"/>
      <c r="K547" s="598"/>
      <c r="L547" s="598"/>
      <c r="M547" s="598"/>
      <c r="N547" s="598"/>
      <c r="O547" s="1124"/>
      <c r="P547" s="1125"/>
      <c r="Q547" s="1125"/>
      <c r="R547" s="598"/>
      <c r="S547" s="598"/>
      <c r="T547" s="598"/>
      <c r="U547" s="598"/>
      <c r="V547" s="598"/>
      <c r="W547" s="598"/>
      <c r="X547" s="1124"/>
      <c r="Y547" s="598"/>
      <c r="Z547" s="1127"/>
      <c r="AA547" s="598"/>
      <c r="AB547" s="598"/>
      <c r="AC547" s="598"/>
      <c r="AD547" s="598"/>
      <c r="AE547" s="1124"/>
      <c r="AF547" s="1125"/>
      <c r="AG547" s="1125"/>
      <c r="AH547" s="598"/>
      <c r="AI547" s="598"/>
      <c r="AJ547" s="598"/>
      <c r="AK547" s="598"/>
      <c r="AL547" s="598"/>
      <c r="AM547" s="598"/>
      <c r="AN547" s="1124"/>
      <c r="AP547" s="1199"/>
      <c r="AQ547" s="1200"/>
      <c r="AR547" s="499"/>
      <c r="AS547" s="1199"/>
      <c r="AT547" s="1200"/>
      <c r="AU547" s="499"/>
      <c r="AV547" s="499"/>
      <c r="AW547" s="499"/>
      <c r="AX547" s="499"/>
      <c r="AY547" s="499"/>
      <c r="AZ547" s="499"/>
      <c r="BA547" s="499"/>
      <c r="BB547" s="499"/>
      <c r="BC547" s="499"/>
      <c r="BD547" s="499"/>
      <c r="BE547" s="499"/>
      <c r="BF547" s="499"/>
      <c r="BG547" s="499"/>
      <c r="BH547" s="487"/>
    </row>
    <row r="548" spans="1:60" hidden="1" outlineLevel="1">
      <c r="A548" s="598" t="s">
        <v>527</v>
      </c>
      <c r="B548" s="1157" t="s">
        <v>514</v>
      </c>
      <c r="C548" s="598"/>
      <c r="D548" s="1120">
        <f>(S548/S541-1)*100</f>
        <v>47.905379626096888</v>
      </c>
      <c r="E548" s="598" t="s">
        <v>190</v>
      </c>
      <c r="F548" s="1158">
        <f>'SegP&amp;L'!AK53</f>
        <v>5</v>
      </c>
      <c r="G548" s="598" t="s">
        <v>190</v>
      </c>
      <c r="H548" s="1120">
        <f>D548-F548</f>
        <v>42.905379626096888</v>
      </c>
      <c r="I548" s="1124" t="s">
        <v>190</v>
      </c>
      <c r="J548" s="598">
        <f>Stores!AM65</f>
        <v>23</v>
      </c>
      <c r="K548" s="598"/>
      <c r="L548" s="1128">
        <f>AVERAGE(J548,J544)</f>
        <v>22.5</v>
      </c>
      <c r="M548" s="598"/>
      <c r="N548" s="1120">
        <f>(L548/L541-1)*100</f>
        <v>32.352941176470587</v>
      </c>
      <c r="O548" s="1124" t="s">
        <v>190</v>
      </c>
      <c r="P548" s="1159">
        <f>H548/N548*100</f>
        <v>132.61662793520856</v>
      </c>
      <c r="Q548" s="1125" t="s">
        <v>190</v>
      </c>
      <c r="R548" s="598"/>
      <c r="S548" s="1160">
        <f>'SegP&amp;L'!AI53</f>
        <v>19.382999999999999</v>
      </c>
      <c r="T548" s="598"/>
      <c r="U548" s="1161">
        <f>S548/L548</f>
        <v>0.8614666666666666</v>
      </c>
      <c r="V548" s="598"/>
      <c r="W548" s="1176">
        <f>(U548/U541-1)*100</f>
        <v>11.750731273050995</v>
      </c>
      <c r="X548" s="1124" t="s">
        <v>190</v>
      </c>
      <c r="Y548" s="598"/>
      <c r="Z548" s="1129">
        <f>Stores!AP65</f>
        <v>0.8466190476190476</v>
      </c>
      <c r="AA548" s="598"/>
      <c r="AB548" s="1163">
        <f>AVERAGE(Z548,Z544)</f>
        <v>0.83930952380952384</v>
      </c>
      <c r="AC548" s="598"/>
      <c r="AD548" s="1120"/>
      <c r="AE548" s="1124"/>
      <c r="AF548" s="1159"/>
      <c r="AG548" s="1125" t="s">
        <v>190</v>
      </c>
      <c r="AH548" s="598"/>
      <c r="AI548" s="1160">
        <f>+S548</f>
        <v>19.382999999999999</v>
      </c>
      <c r="AJ548" s="598"/>
      <c r="AK548" s="1164">
        <f>AI548/AB548</f>
        <v>23.0939831494142</v>
      </c>
      <c r="AL548" s="598"/>
      <c r="AM548" s="1120"/>
      <c r="AN548" s="1124" t="s">
        <v>190</v>
      </c>
      <c r="AP548" s="499"/>
      <c r="AQ548" s="499"/>
      <c r="AR548" s="499"/>
      <c r="AS548" s="499"/>
      <c r="AT548" s="499"/>
      <c r="AU548" s="499"/>
      <c r="AV548" s="1226"/>
      <c r="AW548" s="499"/>
      <c r="AX548" s="499"/>
      <c r="AY548" s="499"/>
      <c r="AZ548" s="499"/>
      <c r="BA548" s="1193"/>
      <c r="BB548" s="499"/>
      <c r="BC548" s="1193"/>
      <c r="BD548" s="499"/>
      <c r="BE548" s="499"/>
      <c r="BF548" s="499"/>
      <c r="BG548" s="499"/>
      <c r="BH548" s="487"/>
    </row>
    <row r="549" spans="1:60" hidden="1" outlineLevel="1">
      <c r="A549" s="598" t="s">
        <v>528</v>
      </c>
      <c r="B549" s="1157" t="s">
        <v>515</v>
      </c>
      <c r="C549" s="598"/>
      <c r="D549" s="1120">
        <f>(S549/S542-1)*100</f>
        <v>3.9925431101444753</v>
      </c>
      <c r="E549" s="598"/>
      <c r="F549" s="1158">
        <f>'SegP&amp;L'!AK54</f>
        <v>-1</v>
      </c>
      <c r="G549" s="598"/>
      <c r="H549" s="1120">
        <f>D549-F549</f>
        <v>4.9925431101444753</v>
      </c>
      <c r="I549" s="1124"/>
      <c r="J549" s="598">
        <f>Stores!AM66</f>
        <v>23</v>
      </c>
      <c r="K549" s="598"/>
      <c r="L549" s="1128">
        <f>AVERAGE(J549,J548)</f>
        <v>23</v>
      </c>
      <c r="M549" s="598"/>
      <c r="N549" s="1120">
        <f>(L549/L542-1)*100</f>
        <v>12.195121951219523</v>
      </c>
      <c r="O549" s="1124"/>
      <c r="P549" s="1159">
        <f>H549/N549*100</f>
        <v>40.93885350318466</v>
      </c>
      <c r="Q549" s="1125"/>
      <c r="R549" s="598"/>
      <c r="S549" s="1165">
        <f>'SegP&amp;L'!AI54</f>
        <v>20.082000000000001</v>
      </c>
      <c r="T549" s="598"/>
      <c r="U549" s="1166">
        <f>S549/L549</f>
        <v>0.87313043478260877</v>
      </c>
      <c r="V549" s="598"/>
      <c r="W549" s="1176">
        <f>(U549/U542-1)*100</f>
        <v>-7.3109941844364368</v>
      </c>
      <c r="X549" s="1124"/>
      <c r="Y549" s="598"/>
      <c r="Z549" s="1129">
        <f>Stores!AP66</f>
        <v>0.8466190476190476</v>
      </c>
      <c r="AA549" s="598"/>
      <c r="AB549" s="1163">
        <f>AVERAGE(Z549,Z548)</f>
        <v>0.8466190476190476</v>
      </c>
      <c r="AC549" s="598"/>
      <c r="AD549" s="1120"/>
      <c r="AE549" s="1124"/>
      <c r="AF549" s="1159"/>
      <c r="AG549" s="1125"/>
      <c r="AH549" s="598"/>
      <c r="AI549" s="1165">
        <f>+S549</f>
        <v>20.082000000000001</v>
      </c>
      <c r="AJ549" s="598"/>
      <c r="AK549" s="1167">
        <f>AI549/AB549</f>
        <v>23.720231734068285</v>
      </c>
      <c r="AL549" s="598"/>
      <c r="AM549" s="1120"/>
      <c r="AN549" s="1124"/>
      <c r="AP549" s="1197"/>
      <c r="AQ549" s="499"/>
      <c r="AR549" s="1227"/>
      <c r="AS549" s="1197"/>
      <c r="AT549" s="499"/>
      <c r="AU549" s="1227"/>
      <c r="AV549" s="1199"/>
      <c r="AW549" s="1200"/>
      <c r="AX549" s="1200"/>
      <c r="AY549" s="740"/>
      <c r="AZ549" s="1088"/>
      <c r="BA549" s="740"/>
      <c r="BB549" s="1088"/>
      <c r="BC549" s="740"/>
      <c r="BD549" s="1088"/>
      <c r="BE549" s="1088"/>
      <c r="BF549" s="1088"/>
      <c r="BG549" s="1200"/>
      <c r="BH549" s="487"/>
    </row>
    <row r="550" spans="1:60" hidden="1" outlineLevel="1">
      <c r="A550" s="598" t="s">
        <v>529</v>
      </c>
      <c r="B550" s="1157" t="s">
        <v>516</v>
      </c>
      <c r="C550" s="598"/>
      <c r="D550" s="1120">
        <f>(S550/S543-1)*100</f>
        <v>-4.5182336043624316</v>
      </c>
      <c r="E550" s="598"/>
      <c r="F550" s="1158">
        <f>'SegP&amp;L'!AK55</f>
        <v>-5</v>
      </c>
      <c r="G550" s="598"/>
      <c r="H550" s="1120">
        <f>D550-F550</f>
        <v>0.4817663956375684</v>
      </c>
      <c r="I550" s="1124"/>
      <c r="J550" s="598">
        <f>Stores!AM67</f>
        <v>23</v>
      </c>
      <c r="K550" s="598"/>
      <c r="L550" s="1128">
        <f>AVERAGE(J550,J549)</f>
        <v>23</v>
      </c>
      <c r="M550" s="598"/>
      <c r="N550" s="1120">
        <f>(L550/L543-1)*100</f>
        <v>0</v>
      </c>
      <c r="O550" s="1124"/>
      <c r="P550" s="1228" t="s">
        <v>181</v>
      </c>
      <c r="Q550" s="1125"/>
      <c r="R550" s="598"/>
      <c r="S550" s="1165">
        <f>'SegP&amp;L'!AI55</f>
        <v>19.611000000000001</v>
      </c>
      <c r="T550" s="598"/>
      <c r="U550" s="1166">
        <f>S550/L550</f>
        <v>0.85265217391304349</v>
      </c>
      <c r="V550" s="598"/>
      <c r="W550" s="1176">
        <f>(U550/U543-1)*100</f>
        <v>-4.5182336043624316</v>
      </c>
      <c r="X550" s="1124"/>
      <c r="Y550" s="598"/>
      <c r="Z550" s="1129">
        <f>Stores!AP67</f>
        <v>0.8466190476190476</v>
      </c>
      <c r="AA550" s="598"/>
      <c r="AB550" s="1163">
        <f>AVERAGE(Z550,Z549)</f>
        <v>0.8466190476190476</v>
      </c>
      <c r="AC550" s="598"/>
      <c r="AD550" s="1120"/>
      <c r="AE550" s="1124"/>
      <c r="AF550" s="1159"/>
      <c r="AG550" s="1125"/>
      <c r="AH550" s="598"/>
      <c r="AI550" s="1165">
        <f>+S550</f>
        <v>19.611000000000001</v>
      </c>
      <c r="AJ550" s="598"/>
      <c r="AK550" s="1167">
        <f>AI550/AB550</f>
        <v>23.163901231790316</v>
      </c>
      <c r="AL550" s="598"/>
      <c r="AM550" s="1120"/>
      <c r="AN550" s="1124"/>
      <c r="AP550" s="1199"/>
      <c r="AQ550" s="1200"/>
      <c r="AR550" s="499"/>
      <c r="AS550" s="1199"/>
      <c r="AT550" s="1200"/>
      <c r="AU550" s="499"/>
      <c r="AV550" s="1199"/>
      <c r="AW550" s="1200"/>
      <c r="AX550" s="1200"/>
      <c r="AY550" s="740"/>
      <c r="AZ550" s="499"/>
      <c r="BA550" s="740"/>
      <c r="BB550" s="1200"/>
      <c r="BC550" s="740"/>
      <c r="BD550" s="1200"/>
      <c r="BE550" s="1200"/>
      <c r="BF550" s="1200"/>
      <c r="BG550" s="1200"/>
      <c r="BH550" s="487"/>
    </row>
    <row r="551" spans="1:60" hidden="1" outlineLevel="1">
      <c r="A551" s="598" t="s">
        <v>530</v>
      </c>
      <c r="B551" s="1157" t="s">
        <v>517</v>
      </c>
      <c r="C551" s="598"/>
      <c r="D551" s="1168">
        <f>(S551/S544-1)*100</f>
        <v>9.7956777996071054</v>
      </c>
      <c r="E551" s="598"/>
      <c r="F551" s="1169">
        <f>'SegP&amp;L'!AK56</f>
        <v>7</v>
      </c>
      <c r="G551" s="598"/>
      <c r="H551" s="1168">
        <f>D551-F551</f>
        <v>2.7956777996071054</v>
      </c>
      <c r="I551" s="1124"/>
      <c r="J551" s="598">
        <f>yrSales!H$246</f>
        <v>21</v>
      </c>
      <c r="K551" s="598"/>
      <c r="L551" s="1171">
        <f>AVERAGE(J551,J550)</f>
        <v>22</v>
      </c>
      <c r="M551" s="598"/>
      <c r="N551" s="1168">
        <f>(L551/L544-1)*100</f>
        <v>-4.3478260869565188</v>
      </c>
      <c r="O551" s="1124"/>
      <c r="P551" s="1171">
        <f>H551/N551*100</f>
        <v>-64.300589390963466</v>
      </c>
      <c r="Q551" s="1125"/>
      <c r="R551" s="598"/>
      <c r="S551" s="1172">
        <f>'SegP&amp;L'!AI56</f>
        <v>27.943000000000008</v>
      </c>
      <c r="T551" s="598"/>
      <c r="U551" s="1173">
        <f>S551/L551</f>
        <v>1.2701363636363641</v>
      </c>
      <c r="V551" s="598"/>
      <c r="W551" s="1169">
        <f>(U551/U544-1)*100</f>
        <v>14.786390426861985</v>
      </c>
      <c r="X551" s="1124"/>
      <c r="Y551" s="598"/>
      <c r="Z551" s="1129">
        <f>yrSales!H$256</f>
        <v>0.77300000000000002</v>
      </c>
      <c r="AA551" s="598"/>
      <c r="AB551" s="1174">
        <f>AVERAGE(Z551,Z550)</f>
        <v>0.80980952380952376</v>
      </c>
      <c r="AC551" s="598"/>
      <c r="AD551" s="1168"/>
      <c r="AE551" s="1124"/>
      <c r="AF551" s="1171"/>
      <c r="AG551" s="1125"/>
      <c r="AH551" s="598"/>
      <c r="AI551" s="1172">
        <f>+S551</f>
        <v>27.943000000000008</v>
      </c>
      <c r="AJ551" s="598"/>
      <c r="AK551" s="1175">
        <f>AI551/AB551</f>
        <v>34.505645066447151</v>
      </c>
      <c r="AL551" s="598"/>
      <c r="AM551" s="1168"/>
      <c r="AN551" s="1124"/>
      <c r="AP551" s="1199"/>
      <c r="AQ551" s="1200"/>
      <c r="AR551" s="499"/>
      <c r="AS551" s="1199"/>
      <c r="AT551" s="1200"/>
      <c r="AU551" s="499"/>
      <c r="AV551" s="1199"/>
      <c r="AW551" s="1200"/>
      <c r="AX551" s="1200"/>
      <c r="AY551" s="740"/>
      <c r="AZ551" s="499"/>
      <c r="BA551" s="740"/>
      <c r="BB551" s="1200"/>
      <c r="BC551" s="740"/>
      <c r="BD551" s="1200"/>
      <c r="BE551" s="1200"/>
      <c r="BF551" s="1200"/>
      <c r="BG551" s="1200"/>
      <c r="BH551" s="487"/>
    </row>
    <row r="552" spans="1:60" hidden="1" outlineLevel="1">
      <c r="A552" s="598"/>
      <c r="B552" s="1157" t="s">
        <v>531</v>
      </c>
      <c r="C552" s="598"/>
      <c r="D552" s="1120">
        <f>(S552/S545-1)*100</f>
        <v>10.986544225495853</v>
      </c>
      <c r="E552" s="598"/>
      <c r="F552" s="1158">
        <f>'SegP&amp;L'!AK57</f>
        <v>2</v>
      </c>
      <c r="G552" s="598"/>
      <c r="H552" s="1120">
        <f>D552-F552</f>
        <v>8.9865442254958534</v>
      </c>
      <c r="I552" s="1124"/>
      <c r="J552" s="1127"/>
      <c r="K552" s="598"/>
      <c r="L552" s="1128">
        <f>AVERAGE(J551,J544)</f>
        <v>21.5</v>
      </c>
      <c r="M552" s="598"/>
      <c r="N552" s="1120">
        <f>(L552/L545-1)*100</f>
        <v>16.216216216216207</v>
      </c>
      <c r="O552" s="1124"/>
      <c r="P552" s="1159">
        <f>H552/N552*100</f>
        <v>55.417022723891129</v>
      </c>
      <c r="Q552" s="1125"/>
      <c r="R552" s="598"/>
      <c r="S552" s="1160">
        <f>yrSales!H$236</f>
        <v>87.01900000000002</v>
      </c>
      <c r="T552" s="598"/>
      <c r="U552" s="1161">
        <f>S552/L552</f>
        <v>4.0473953488372105</v>
      </c>
      <c r="V552" s="598"/>
      <c r="W552" s="1120">
        <f>(U552/U545-1)*100</f>
        <v>-4.4999503175965794</v>
      </c>
      <c r="X552" s="1124"/>
      <c r="Y552" s="598"/>
      <c r="Z552" s="1127"/>
      <c r="AA552" s="598"/>
      <c r="AB552" s="1163">
        <f>AVERAGE(AB548:AB551)</f>
        <v>0.8355892857142857</v>
      </c>
      <c r="AC552" s="598"/>
      <c r="AD552" s="1120"/>
      <c r="AE552" s="1124"/>
      <c r="AF552" s="1159"/>
      <c r="AG552" s="1125"/>
      <c r="AH552" s="598"/>
      <c r="AI552" s="1160">
        <f>+S552</f>
        <v>87.01900000000002</v>
      </c>
      <c r="AJ552" s="598"/>
      <c r="AK552" s="1164">
        <f>AI552/AB552</f>
        <v>104.14087577201721</v>
      </c>
      <c r="AL552" s="598"/>
      <c r="AM552" s="1120"/>
      <c r="AN552" s="1124"/>
      <c r="AP552" s="1199"/>
      <c r="AQ552" s="1200"/>
      <c r="AR552" s="499"/>
      <c r="AS552" s="1199"/>
      <c r="AT552" s="1200"/>
      <c r="AU552" s="499"/>
      <c r="AV552" s="1199"/>
      <c r="AW552" s="1200"/>
      <c r="AX552" s="1200"/>
      <c r="AY552" s="740"/>
      <c r="AZ552" s="499"/>
      <c r="BA552" s="740"/>
      <c r="BB552" s="1200"/>
      <c r="BC552" s="740"/>
      <c r="BD552" s="1200"/>
      <c r="BE552" s="1200"/>
      <c r="BF552" s="1200"/>
      <c r="BG552" s="1200"/>
      <c r="BH552" s="487"/>
    </row>
    <row r="553" spans="1:60" hidden="1" outlineLevel="1">
      <c r="A553" s="598"/>
      <c r="B553" s="1157"/>
      <c r="C553" s="598"/>
      <c r="D553" s="598"/>
      <c r="E553" s="598"/>
      <c r="F553" s="598"/>
      <c r="G553" s="598"/>
      <c r="H553" s="598"/>
      <c r="I553" s="1124"/>
      <c r="J553" s="1127"/>
      <c r="K553" s="598"/>
      <c r="L553" s="598"/>
      <c r="M553" s="598"/>
      <c r="N553" s="598"/>
      <c r="O553" s="1124"/>
      <c r="P553" s="1125"/>
      <c r="Q553" s="1125"/>
      <c r="R553" s="598"/>
      <c r="S553" s="598"/>
      <c r="T553" s="598"/>
      <c r="U553" s="598"/>
      <c r="V553" s="598"/>
      <c r="W553" s="598"/>
      <c r="X553" s="1124"/>
      <c r="Y553" s="598"/>
      <c r="Z553" s="1127"/>
      <c r="AA553" s="598"/>
      <c r="AB553" s="598"/>
      <c r="AC553" s="598"/>
      <c r="AD553" s="598"/>
      <c r="AE553" s="1124"/>
      <c r="AF553" s="1125"/>
      <c r="AG553" s="1125"/>
      <c r="AH553" s="598"/>
      <c r="AI553" s="598"/>
      <c r="AJ553" s="598"/>
      <c r="AK553" s="598"/>
      <c r="AL553" s="598"/>
      <c r="AM553" s="598"/>
      <c r="AN553" s="1124"/>
      <c r="AP553" s="1199"/>
      <c r="AQ553" s="1200"/>
      <c r="AR553" s="499"/>
      <c r="AS553" s="1199"/>
      <c r="AT553" s="1200"/>
      <c r="AU553" s="499"/>
      <c r="AV553" s="1199"/>
      <c r="AW553" s="1200"/>
      <c r="AX553" s="1200"/>
      <c r="AY553" s="740"/>
      <c r="AZ553" s="499"/>
      <c r="BA553" s="740"/>
      <c r="BB553" s="1200"/>
      <c r="BC553" s="740"/>
      <c r="BD553" s="1200"/>
      <c r="BE553" s="1200"/>
      <c r="BF553" s="1200"/>
      <c r="BG553" s="1200"/>
      <c r="BH553" s="701"/>
    </row>
    <row r="554" spans="1:60" hidden="1" outlineLevel="1">
      <c r="A554" s="1154"/>
      <c r="B554" s="1155">
        <f>B547+1</f>
        <v>1997</v>
      </c>
      <c r="C554" s="598"/>
      <c r="D554" s="598"/>
      <c r="E554" s="598"/>
      <c r="F554" s="598"/>
      <c r="G554" s="598"/>
      <c r="H554" s="598"/>
      <c r="I554" s="1124"/>
      <c r="J554" s="1127"/>
      <c r="K554" s="598"/>
      <c r="L554" s="598"/>
      <c r="M554" s="598"/>
      <c r="N554" s="598"/>
      <c r="O554" s="1124"/>
      <c r="P554" s="1125"/>
      <c r="Q554" s="1125"/>
      <c r="R554" s="598"/>
      <c r="S554" s="598"/>
      <c r="T554" s="598"/>
      <c r="U554" s="598"/>
      <c r="V554" s="598"/>
      <c r="W554" s="598"/>
      <c r="X554" s="1124"/>
      <c r="Y554" s="598"/>
      <c r="Z554" s="1127"/>
      <c r="AA554" s="598"/>
      <c r="AB554" s="598"/>
      <c r="AC554" s="598"/>
      <c r="AD554" s="598"/>
      <c r="AE554" s="1124"/>
      <c r="AF554" s="1125"/>
      <c r="AG554" s="1125"/>
      <c r="AH554" s="598"/>
      <c r="AI554" s="598"/>
      <c r="AJ554" s="598"/>
      <c r="AK554" s="598"/>
      <c r="AL554" s="598"/>
      <c r="AM554" s="598"/>
      <c r="AN554" s="1124"/>
      <c r="AP554" s="1199"/>
      <c r="AQ554" s="1200"/>
      <c r="AR554" s="1193"/>
      <c r="AS554" s="1199"/>
      <c r="AT554" s="1200"/>
      <c r="AU554" s="1193"/>
      <c r="AV554" s="1193"/>
      <c r="AW554" s="1193"/>
      <c r="AX554" s="1193"/>
      <c r="AY554" s="740"/>
      <c r="AZ554" s="1193"/>
      <c r="BA554" s="1193"/>
      <c r="BB554" s="1193"/>
      <c r="BC554" s="1193"/>
      <c r="BD554" s="1193"/>
      <c r="BE554" s="1193"/>
      <c r="BF554" s="1193"/>
      <c r="BG554" s="1193"/>
    </row>
    <row r="555" spans="1:60" hidden="1" outlineLevel="1">
      <c r="A555" s="598" t="s">
        <v>527</v>
      </c>
      <c r="B555" s="1157" t="s">
        <v>514</v>
      </c>
      <c r="C555" s="598"/>
      <c r="D555" s="1120">
        <f>(S555/S548-1)*100</f>
        <v>5.2107516896249484</v>
      </c>
      <c r="E555" s="598" t="s">
        <v>190</v>
      </c>
      <c r="F555" s="1158">
        <f>'SegP&amp;L'!AK60</f>
        <v>9</v>
      </c>
      <c r="G555" s="598" t="s">
        <v>190</v>
      </c>
      <c r="H555" s="1120">
        <f>D555-F555</f>
        <v>-3.7892483103750516</v>
      </c>
      <c r="I555" s="1124" t="s">
        <v>190</v>
      </c>
      <c r="J555" s="598">
        <f>Stores!AM73</f>
        <v>21</v>
      </c>
      <c r="K555" s="598"/>
      <c r="L555" s="1128">
        <f>AVERAGE(J555,J551)</f>
        <v>21</v>
      </c>
      <c r="M555" s="598"/>
      <c r="N555" s="1120">
        <f>(L555/L548-1)*100</f>
        <v>-6.6666666666666652</v>
      </c>
      <c r="O555" s="1124" t="s">
        <v>190</v>
      </c>
      <c r="P555" s="1159">
        <f>H555/N555*100</f>
        <v>56.838724655625782</v>
      </c>
      <c r="Q555" s="1125" t="s">
        <v>190</v>
      </c>
      <c r="R555" s="598"/>
      <c r="S555" s="1160">
        <f>'SegP&amp;L'!AI60</f>
        <v>20.393000000000001</v>
      </c>
      <c r="T555" s="598"/>
      <c r="U555" s="1161">
        <f>S555/L555</f>
        <v>0.97109523809523812</v>
      </c>
      <c r="V555" s="598"/>
      <c r="W555" s="1176">
        <f>(U555/U548-1)*100</f>
        <v>12.725805381741019</v>
      </c>
      <c r="X555" s="1124" t="s">
        <v>190</v>
      </c>
      <c r="Y555" s="598"/>
      <c r="Z555" s="1129">
        <f>Stores!AP73</f>
        <v>0.77300000000000002</v>
      </c>
      <c r="AA555" s="598"/>
      <c r="AB555" s="1163">
        <f>AVERAGE(Z555,Z551)</f>
        <v>0.77300000000000002</v>
      </c>
      <c r="AC555" s="598"/>
      <c r="AD555" s="1120">
        <f>(AB555/AB548-1)*100</f>
        <v>-7.9004850926214898</v>
      </c>
      <c r="AE555" s="1124"/>
      <c r="AF555" s="1159">
        <f>+H555/AD555*100</f>
        <v>47.962223407192418</v>
      </c>
      <c r="AG555" s="1125" t="s">
        <v>190</v>
      </c>
      <c r="AH555" s="598"/>
      <c r="AI555" s="1160">
        <f>+S555</f>
        <v>20.393000000000001</v>
      </c>
      <c r="AJ555" s="598"/>
      <c r="AK555" s="1164">
        <f>AI555/AB555</f>
        <v>26.381630012936611</v>
      </c>
      <c r="AL555" s="598"/>
      <c r="AM555" s="1164">
        <f>AK555/AD555</f>
        <v>-3.339241793845702</v>
      </c>
      <c r="AN555" s="1124" t="s">
        <v>190</v>
      </c>
      <c r="AP555" s="1193"/>
      <c r="AQ555" s="1200"/>
      <c r="AR555" s="499"/>
      <c r="AS555" s="1193"/>
      <c r="AT555" s="1200"/>
      <c r="AU555" s="499"/>
      <c r="AV555" s="1226"/>
      <c r="AW555" s="1200"/>
      <c r="AX555" s="1200"/>
      <c r="AY555" s="740"/>
      <c r="AZ555" s="499"/>
      <c r="BA555" s="499"/>
      <c r="BB555" s="499"/>
      <c r="BC555" s="499"/>
      <c r="BD555" s="499"/>
      <c r="BE555" s="499"/>
      <c r="BF555" s="499"/>
      <c r="BG555" s="499"/>
      <c r="BH555" s="487"/>
    </row>
    <row r="556" spans="1:60" hidden="1" outlineLevel="1">
      <c r="A556" s="598" t="s">
        <v>528</v>
      </c>
      <c r="B556" s="1157" t="s">
        <v>515</v>
      </c>
      <c r="C556" s="598"/>
      <c r="D556" s="1120">
        <f>(S556/S549-1)*100</f>
        <v>6.2543571357434491</v>
      </c>
      <c r="E556" s="598"/>
      <c r="F556" s="1158">
        <f>'SegP&amp;L'!AK61</f>
        <v>14</v>
      </c>
      <c r="G556" s="598"/>
      <c r="H556" s="1120">
        <f>D556-F556</f>
        <v>-7.7456428642565509</v>
      </c>
      <c r="I556" s="1124"/>
      <c r="J556" s="598">
        <f>Stores!AM74</f>
        <v>21</v>
      </c>
      <c r="K556" s="598"/>
      <c r="L556" s="1128">
        <f>AVERAGE(J556,J555)</f>
        <v>21</v>
      </c>
      <c r="M556" s="598"/>
      <c r="N556" s="1120">
        <f>(L556/L549-1)*100</f>
        <v>-8.6956521739130483</v>
      </c>
      <c r="O556" s="1124"/>
      <c r="P556" s="1159">
        <f>H556/N556*100</f>
        <v>89.074892938950285</v>
      </c>
      <c r="Q556" s="1125"/>
      <c r="R556" s="598"/>
      <c r="S556" s="1165">
        <f>'SegP&amp;L'!AI61</f>
        <v>21.338000000000001</v>
      </c>
      <c r="T556" s="598"/>
      <c r="U556" s="1166">
        <f>S556/L556</f>
        <v>1.0160952380952382</v>
      </c>
      <c r="V556" s="598"/>
      <c r="W556" s="1176">
        <f>(U556/U549-1)*100</f>
        <v>16.37381972009997</v>
      </c>
      <c r="X556" s="1124"/>
      <c r="Y556" s="598"/>
      <c r="Z556" s="1129">
        <f>Stores!AP74</f>
        <v>0.77300000000000002</v>
      </c>
      <c r="AA556" s="598"/>
      <c r="AB556" s="1163">
        <f>AVERAGE(Z556,Z555)</f>
        <v>0.77300000000000002</v>
      </c>
      <c r="AC556" s="598"/>
      <c r="AD556" s="1120">
        <f>(AB556/AB549-1)*100</f>
        <v>-8.6956521739130377</v>
      </c>
      <c r="AE556" s="1124"/>
      <c r="AF556" s="1159">
        <f>+H556/AD556*100</f>
        <v>89.074892938950384</v>
      </c>
      <c r="AG556" s="1125"/>
      <c r="AH556" s="598"/>
      <c r="AI556" s="1165">
        <f>+S556</f>
        <v>21.338000000000001</v>
      </c>
      <c r="AJ556" s="598"/>
      <c r="AK556" s="1167">
        <f>AI556/AB556</f>
        <v>27.604139715394567</v>
      </c>
      <c r="AL556" s="598"/>
      <c r="AM556" s="1167">
        <f>AK556/AD556</f>
        <v>-3.1744760672703771</v>
      </c>
      <c r="AN556" s="1124"/>
      <c r="AP556" s="1197"/>
      <c r="AQ556" s="499"/>
      <c r="AR556" s="499"/>
      <c r="AS556" s="1197"/>
      <c r="AT556" s="499"/>
      <c r="AU556" s="499"/>
      <c r="AV556" s="1200"/>
      <c r="AW556" s="1200"/>
      <c r="AX556" s="1200"/>
      <c r="AY556" s="740"/>
      <c r="AZ556" s="1199"/>
      <c r="BA556" s="1200"/>
      <c r="BB556" s="1200"/>
      <c r="BC556" s="1200"/>
      <c r="BD556" s="1200"/>
      <c r="BE556" s="1200"/>
      <c r="BF556" s="1200"/>
      <c r="BG556" s="1200"/>
      <c r="BH556" s="487"/>
    </row>
    <row r="557" spans="1:60" hidden="1" outlineLevel="1">
      <c r="A557" s="598" t="s">
        <v>529</v>
      </c>
      <c r="B557" s="1157" t="s">
        <v>516</v>
      </c>
      <c r="C557" s="598"/>
      <c r="D557" s="1120">
        <f>(S557/S550-1)*100</f>
        <v>18.39273876905818</v>
      </c>
      <c r="E557" s="598"/>
      <c r="F557" s="1158">
        <f>'SegP&amp;L'!AK62</f>
        <v>20</v>
      </c>
      <c r="G557" s="598"/>
      <c r="H557" s="1120">
        <f>D557-F557</f>
        <v>-1.6072612309418197</v>
      </c>
      <c r="I557" s="1124"/>
      <c r="J557" s="598">
        <f>Stores!AM75</f>
        <v>24</v>
      </c>
      <c r="K557" s="598"/>
      <c r="L557" s="1128">
        <f>AVERAGE(J557,J556)</f>
        <v>22.5</v>
      </c>
      <c r="M557" s="598"/>
      <c r="N557" s="1120">
        <f>(L557/L550-1)*100</f>
        <v>-2.1739130434782594</v>
      </c>
      <c r="O557" s="1124"/>
      <c r="P557" s="1159">
        <f>H557/N557*100</f>
        <v>73.934016623323757</v>
      </c>
      <c r="Q557" s="1125"/>
      <c r="R557" s="598"/>
      <c r="S557" s="1165">
        <f>'SegP&amp;L'!AI62</f>
        <v>23.218</v>
      </c>
      <c r="T557" s="598"/>
      <c r="U557" s="1166">
        <f>S557/L557</f>
        <v>1.031911111111111</v>
      </c>
      <c r="V557" s="598"/>
      <c r="W557" s="1176">
        <f>(U557/U550-1)*100</f>
        <v>21.023688519481688</v>
      </c>
      <c r="X557" s="1124"/>
      <c r="Y557" s="598"/>
      <c r="Z557" s="1129">
        <f>Stores!AP75</f>
        <v>0.82699999999999996</v>
      </c>
      <c r="AA557" s="598"/>
      <c r="AB557" s="1163">
        <f>AVERAGE(Z557,Z556)</f>
        <v>0.8</v>
      </c>
      <c r="AC557" s="598"/>
      <c r="AD557" s="1120">
        <f>(AB557/AB550-1)*100</f>
        <v>-5.5064964283705446</v>
      </c>
      <c r="AE557" s="1124"/>
      <c r="AF557" s="1159">
        <f>+H557/AD557*100</f>
        <v>29.188454979483797</v>
      </c>
      <c r="AG557" s="1125"/>
      <c r="AH557" s="598"/>
      <c r="AI557" s="1165">
        <f>+S557</f>
        <v>23.218</v>
      </c>
      <c r="AJ557" s="598"/>
      <c r="AK557" s="1167">
        <f>AI557/AB557</f>
        <v>29.022499999999997</v>
      </c>
      <c r="AL557" s="598"/>
      <c r="AM557" s="1167">
        <f>AK557/AD557</f>
        <v>-5.2705927221654791</v>
      </c>
      <c r="AN557" s="1124"/>
      <c r="AP557" s="1199"/>
      <c r="AQ557" s="1200"/>
      <c r="AR557" s="499"/>
      <c r="AS557" s="1199"/>
      <c r="AT557" s="1200"/>
      <c r="AU557" s="499"/>
      <c r="AV557" s="1200"/>
      <c r="AW557" s="1200"/>
      <c r="AX557" s="1200"/>
      <c r="AY557" s="740"/>
      <c r="AZ557" s="1199"/>
      <c r="BA557" s="1200"/>
      <c r="BB557" s="1200"/>
      <c r="BC557" s="1200"/>
      <c r="BD557" s="1200"/>
      <c r="BE557" s="1200"/>
      <c r="BF557" s="1200"/>
      <c r="BG557" s="1200"/>
      <c r="BH557" s="487"/>
    </row>
    <row r="558" spans="1:60" hidden="1" outlineLevel="1">
      <c r="A558" s="598" t="s">
        <v>530</v>
      </c>
      <c r="B558" s="1157" t="s">
        <v>517</v>
      </c>
      <c r="C558" s="598"/>
      <c r="D558" s="1168">
        <f>(S558/S551-1)*100</f>
        <v>18.673728661918876</v>
      </c>
      <c r="E558" s="598"/>
      <c r="F558" s="1169">
        <f>'SegP&amp;L'!AK63</f>
        <v>7</v>
      </c>
      <c r="G558" s="598"/>
      <c r="H558" s="1168">
        <f>D558-F558</f>
        <v>11.673728661918876</v>
      </c>
      <c r="I558" s="1124"/>
      <c r="J558" s="598">
        <f>yrSales!I$246</f>
        <v>23</v>
      </c>
      <c r="K558" s="598"/>
      <c r="L558" s="1171">
        <f>AVERAGE(J558,J557)</f>
        <v>23.5</v>
      </c>
      <c r="M558" s="598"/>
      <c r="N558" s="1168">
        <f>(L558/L551-1)*100</f>
        <v>6.8181818181818121</v>
      </c>
      <c r="O558" s="1124"/>
      <c r="P558" s="1171">
        <f>H558/N558*100</f>
        <v>171.21468704147699</v>
      </c>
      <c r="Q558" s="1125"/>
      <c r="R558" s="598"/>
      <c r="S558" s="1172">
        <f>'SegP&amp;L'!AI63</f>
        <v>33.161000000000001</v>
      </c>
      <c r="T558" s="598"/>
      <c r="U558" s="1173">
        <f>S558/L558</f>
        <v>1.4111063829787234</v>
      </c>
      <c r="V558" s="598"/>
      <c r="W558" s="1169">
        <f>(U558/U551-1)*100</f>
        <v>11.098809811158095</v>
      </c>
      <c r="X558" s="1124"/>
      <c r="Y558" s="598"/>
      <c r="Z558" s="1129">
        <f>yrSales!I$256</f>
        <v>0.77900000000000003</v>
      </c>
      <c r="AA558" s="598"/>
      <c r="AB558" s="1174">
        <f>AVERAGE(Z558,Z557)</f>
        <v>0.80299999999999994</v>
      </c>
      <c r="AC558" s="598"/>
      <c r="AD558" s="1168">
        <f>(AB558/AB551-1)*100</f>
        <v>-0.84087968952134551</v>
      </c>
      <c r="AE558" s="1124"/>
      <c r="AF558" s="1171">
        <f>+H558/AD558*100</f>
        <v>-1388.2757316405061</v>
      </c>
      <c r="AG558" s="1125"/>
      <c r="AH558" s="598"/>
      <c r="AI558" s="1172">
        <f>+S558</f>
        <v>33.161000000000001</v>
      </c>
      <c r="AJ558" s="598"/>
      <c r="AK558" s="1175">
        <f>AI558/AB558</f>
        <v>41.296388542963889</v>
      </c>
      <c r="AL558" s="598"/>
      <c r="AM558" s="1175">
        <f>AK558/AD558</f>
        <v>-49.110935913401669</v>
      </c>
      <c r="AN558" s="1124"/>
      <c r="AP558" s="1199"/>
      <c r="AQ558" s="1200"/>
      <c r="AR558" s="499"/>
      <c r="AS558" s="1199"/>
      <c r="AT558" s="1200"/>
      <c r="AU558" s="499"/>
      <c r="AV558" s="1200"/>
      <c r="AW558" s="1200"/>
      <c r="AX558" s="1200"/>
      <c r="AY558" s="740"/>
      <c r="AZ558" s="1199"/>
      <c r="BA558" s="1200"/>
      <c r="BB558" s="1200"/>
      <c r="BC558" s="1200"/>
      <c r="BD558" s="1200"/>
      <c r="BE558" s="1200"/>
      <c r="BF558" s="1200"/>
      <c r="BG558" s="1200"/>
      <c r="BH558" s="487"/>
    </row>
    <row r="559" spans="1:60" hidden="1" outlineLevel="1">
      <c r="A559" s="598"/>
      <c r="B559" s="1157" t="s">
        <v>531</v>
      </c>
      <c r="C559" s="598"/>
      <c r="D559" s="1120">
        <f>(S559/S552-1)*100</f>
        <v>12.745492363736632</v>
      </c>
      <c r="E559" s="598"/>
      <c r="F559" s="1158">
        <f>'SegP&amp;L'!AK64</f>
        <v>13</v>
      </c>
      <c r="G559" s="598"/>
      <c r="H559" s="1120">
        <f>D559-F559</f>
        <v>-0.25450763626336759</v>
      </c>
      <c r="I559" s="1124"/>
      <c r="J559" s="1127"/>
      <c r="K559" s="598"/>
      <c r="L559" s="1128">
        <f>AVERAGE(J558,J551)</f>
        <v>22</v>
      </c>
      <c r="M559" s="598"/>
      <c r="N559" s="1120">
        <f>(L559/L552-1)*100</f>
        <v>2.3255813953488413</v>
      </c>
      <c r="O559" s="1124"/>
      <c r="P559" s="1159">
        <f>H559/N559*100</f>
        <v>-10.943828359324787</v>
      </c>
      <c r="Q559" s="1125"/>
      <c r="R559" s="598"/>
      <c r="S559" s="1160">
        <f>yrSales!I$236</f>
        <v>98.11</v>
      </c>
      <c r="T559" s="598"/>
      <c r="U559" s="1161">
        <f>S559/L559</f>
        <v>4.4595454545454549</v>
      </c>
      <c r="V559" s="598"/>
      <c r="W559" s="1176">
        <f>(U559/U552-1)*100</f>
        <v>10.183094810015337</v>
      </c>
      <c r="X559" s="1124"/>
      <c r="Y559" s="598"/>
      <c r="Z559" s="1127"/>
      <c r="AA559" s="598"/>
      <c r="AB559" s="1163">
        <f>AVERAGE(AB555:AB558)</f>
        <v>0.78725000000000001</v>
      </c>
      <c r="AC559" s="598"/>
      <c r="AD559" s="1120">
        <f>(AB559/AB552-1)*100</f>
        <v>-5.7850533199410137</v>
      </c>
      <c r="AE559" s="1124"/>
      <c r="AF559" s="1159">
        <f>+H559/AD559*100</f>
        <v>4.3994000087446494</v>
      </c>
      <c r="AG559" s="1125"/>
      <c r="AH559" s="598"/>
      <c r="AI559" s="1160">
        <f>SUM(AI555:AI558)</f>
        <v>98.11</v>
      </c>
      <c r="AJ559" s="598"/>
      <c r="AK559" s="1164">
        <f>AI559/AB559</f>
        <v>124.62369006033661</v>
      </c>
      <c r="AL559" s="598"/>
      <c r="AM559" s="1120">
        <f>(AK559/AK552-1)*100</f>
        <v>19.668371459790592</v>
      </c>
      <c r="AN559" s="1124"/>
      <c r="AP559" s="1199"/>
      <c r="AQ559" s="1200"/>
      <c r="AR559" s="499"/>
      <c r="AS559" s="1199"/>
      <c r="AT559" s="1200"/>
      <c r="AU559" s="499"/>
      <c r="AV559" s="1200"/>
      <c r="AW559" s="1200"/>
      <c r="AX559" s="1200"/>
      <c r="AY559" s="740"/>
      <c r="AZ559" s="1199"/>
      <c r="BA559" s="1200"/>
      <c r="BB559" s="1200"/>
      <c r="BC559" s="1200"/>
      <c r="BD559" s="1200"/>
      <c r="BE559" s="1200"/>
      <c r="BF559" s="1200"/>
      <c r="BG559" s="1200"/>
      <c r="BH559" s="487"/>
    </row>
    <row r="560" spans="1:60" hidden="1" outlineLevel="1">
      <c r="A560" s="598"/>
      <c r="B560" s="1157"/>
      <c r="C560" s="598"/>
      <c r="D560" s="598"/>
      <c r="E560" s="598"/>
      <c r="F560" s="598"/>
      <c r="G560" s="598"/>
      <c r="H560" s="598"/>
      <c r="I560" s="1124"/>
      <c r="J560" s="1127"/>
      <c r="K560" s="598"/>
      <c r="L560" s="598"/>
      <c r="M560" s="598"/>
      <c r="N560" s="598"/>
      <c r="O560" s="1124"/>
      <c r="P560" s="1125"/>
      <c r="Q560" s="1125"/>
      <c r="R560" s="598"/>
      <c r="S560" s="598"/>
      <c r="T560" s="598"/>
      <c r="U560" s="598"/>
      <c r="V560" s="598"/>
      <c r="W560" s="598"/>
      <c r="X560" s="1124"/>
      <c r="Y560" s="598"/>
      <c r="Z560" s="1127"/>
      <c r="AA560" s="598"/>
      <c r="AB560" s="598"/>
      <c r="AC560" s="598"/>
      <c r="AD560" s="598"/>
      <c r="AE560" s="1124"/>
      <c r="AF560" s="1125"/>
      <c r="AG560" s="1125"/>
      <c r="AH560" s="598"/>
      <c r="AI560" s="598"/>
      <c r="AJ560" s="598"/>
      <c r="AK560" s="598"/>
      <c r="AL560" s="598"/>
      <c r="AM560" s="598"/>
      <c r="AN560" s="1124"/>
      <c r="AP560" s="1199"/>
      <c r="AQ560" s="1200"/>
      <c r="AR560" s="499"/>
      <c r="AS560" s="1199"/>
      <c r="AT560" s="1200"/>
      <c r="AU560" s="499"/>
      <c r="AV560" s="1200"/>
      <c r="AW560" s="1200"/>
      <c r="AX560" s="1200"/>
      <c r="AY560" s="740"/>
      <c r="AZ560" s="1199"/>
      <c r="BA560" s="1200"/>
      <c r="BB560" s="1200"/>
      <c r="BC560" s="1200"/>
      <c r="BD560" s="1200"/>
      <c r="BE560" s="1200"/>
      <c r="BF560" s="1200"/>
      <c r="BG560" s="1200"/>
      <c r="BH560" s="701"/>
    </row>
    <row r="561" spans="1:60" hidden="1" outlineLevel="1">
      <c r="A561" s="1154"/>
      <c r="B561" s="1155">
        <f>B554+1</f>
        <v>1998</v>
      </c>
      <c r="C561" s="598"/>
      <c r="D561" s="598"/>
      <c r="E561" s="598"/>
      <c r="F561" s="598"/>
      <c r="G561" s="598"/>
      <c r="H561" s="598"/>
      <c r="I561" s="1124"/>
      <c r="J561" s="1127"/>
      <c r="K561" s="598"/>
      <c r="L561" s="598"/>
      <c r="M561" s="598"/>
      <c r="N561" s="598"/>
      <c r="O561" s="1124"/>
      <c r="P561" s="1125"/>
      <c r="Q561" s="1125"/>
      <c r="R561" s="598"/>
      <c r="S561" s="598"/>
      <c r="T561" s="598"/>
      <c r="U561" s="598"/>
      <c r="V561" s="598"/>
      <c r="W561" s="598"/>
      <c r="X561" s="1124"/>
      <c r="Y561" s="598"/>
      <c r="Z561" s="1127"/>
      <c r="AA561" s="598"/>
      <c r="AB561" s="598"/>
      <c r="AC561" s="598"/>
      <c r="AD561" s="598"/>
      <c r="AE561" s="1124"/>
      <c r="AF561" s="1125"/>
      <c r="AG561" s="1125"/>
      <c r="AH561" s="598"/>
      <c r="AI561" s="598"/>
      <c r="AJ561" s="598"/>
      <c r="AK561" s="598"/>
      <c r="AL561" s="598"/>
      <c r="AM561" s="598"/>
      <c r="AN561" s="1124"/>
      <c r="AP561" s="1199"/>
      <c r="AQ561" s="1200"/>
      <c r="AR561" s="1193"/>
      <c r="AS561" s="1199"/>
      <c r="AT561" s="1200"/>
      <c r="AU561" s="1193"/>
      <c r="AV561" s="1193"/>
      <c r="AW561" s="1193"/>
      <c r="AX561" s="1193"/>
      <c r="AY561" s="1193"/>
      <c r="AZ561" s="1193"/>
      <c r="BA561" s="1193"/>
      <c r="BB561" s="1193"/>
      <c r="BC561" s="1193"/>
      <c r="BD561" s="1193"/>
      <c r="BE561" s="1193"/>
      <c r="BF561" s="1193"/>
      <c r="BG561" s="1193"/>
    </row>
    <row r="562" spans="1:60" hidden="1" outlineLevel="1">
      <c r="A562" s="598" t="s">
        <v>527</v>
      </c>
      <c r="B562" s="1157" t="s">
        <v>514</v>
      </c>
      <c r="C562" s="598"/>
      <c r="D562" s="1120">
        <f>(S562/S555-1)*100</f>
        <v>24.464276957779639</v>
      </c>
      <c r="E562" s="1124" t="s">
        <v>190</v>
      </c>
      <c r="F562" s="1158">
        <f>'SegP&amp;L'!AK67</f>
        <v>8</v>
      </c>
      <c r="G562" s="1124" t="s">
        <v>190</v>
      </c>
      <c r="H562" s="1120">
        <f>D562-F562</f>
        <v>16.464276957779639</v>
      </c>
      <c r="I562" s="1124" t="s">
        <v>190</v>
      </c>
      <c r="J562" s="598">
        <f>Stores!AM81</f>
        <v>25</v>
      </c>
      <c r="K562" s="598"/>
      <c r="L562" s="1128">
        <f>AVERAGE(J562,J558)</f>
        <v>24</v>
      </c>
      <c r="M562" s="598"/>
      <c r="N562" s="1120">
        <f>(L562/L555-1)*100</f>
        <v>14.285714285714279</v>
      </c>
      <c r="O562" s="1124" t="s">
        <v>190</v>
      </c>
      <c r="P562" s="1159">
        <f>H562/N562*100</f>
        <v>115.24993870445752</v>
      </c>
      <c r="Q562" s="1125" t="s">
        <v>190</v>
      </c>
      <c r="R562" s="598"/>
      <c r="S562" s="1160">
        <f>'SegP&amp;L'!AI67</f>
        <v>25.382000000000001</v>
      </c>
      <c r="T562" s="598"/>
      <c r="U562" s="1161">
        <f>S562/L562</f>
        <v>1.0575833333333333</v>
      </c>
      <c r="V562" s="598"/>
      <c r="W562" s="1176">
        <f>(U562/U555-1)*100</f>
        <v>8.9062423380571687</v>
      </c>
      <c r="X562" s="1124" t="s">
        <v>190</v>
      </c>
      <c r="Y562" s="598"/>
      <c r="Z562" s="1129">
        <f>Stores!AP81</f>
        <v>0.82699999999999996</v>
      </c>
      <c r="AA562" s="598"/>
      <c r="AB562" s="1163">
        <f>AVERAGE(Z562,Z558)</f>
        <v>0.80299999999999994</v>
      </c>
      <c r="AC562" s="598"/>
      <c r="AD562" s="1120">
        <f>(AB562/AB555-1)*100</f>
        <v>3.8809831824061947</v>
      </c>
      <c r="AE562" s="1124"/>
      <c r="AF562" s="1159">
        <f>+H562/AD562*100</f>
        <v>424.22953627879031</v>
      </c>
      <c r="AG562" s="1125" t="s">
        <v>190</v>
      </c>
      <c r="AH562" s="598"/>
      <c r="AI562" s="1160">
        <f>+S562</f>
        <v>25.382000000000001</v>
      </c>
      <c r="AJ562" s="598"/>
      <c r="AK562" s="1164">
        <f>AI562/AB562</f>
        <v>31.608966376089668</v>
      </c>
      <c r="AL562" s="598"/>
      <c r="AM562" s="1176">
        <f>(AK562/AK555-1)*100</f>
        <v>19.814303970564961</v>
      </c>
      <c r="AN562" s="1124" t="s">
        <v>190</v>
      </c>
      <c r="AP562" s="1193"/>
      <c r="AQ562" s="1193"/>
      <c r="AR562" s="499"/>
      <c r="AS562" s="1193"/>
      <c r="AT562" s="1193"/>
      <c r="AU562" s="499"/>
      <c r="AV562" s="1226"/>
      <c r="AW562" s="1200"/>
      <c r="AX562" s="1200"/>
      <c r="AY562" s="740"/>
      <c r="AZ562" s="499"/>
      <c r="BA562" s="499"/>
      <c r="BB562" s="499"/>
      <c r="BC562" s="499"/>
      <c r="BD562" s="499"/>
      <c r="BE562" s="499"/>
      <c r="BF562" s="499"/>
      <c r="BG562" s="499"/>
      <c r="BH562" s="487"/>
    </row>
    <row r="563" spans="1:60" hidden="1" outlineLevel="1">
      <c r="A563" s="598" t="s">
        <v>528</v>
      </c>
      <c r="B563" s="1157" t="s">
        <v>515</v>
      </c>
      <c r="C563" s="598"/>
      <c r="D563" s="1120">
        <f>(S563/S556-1)*100</f>
        <v>25.67719561345956</v>
      </c>
      <c r="E563" s="598"/>
      <c r="F563" s="1158">
        <f>'SegP&amp;L'!AK68</f>
        <v>6</v>
      </c>
      <c r="G563" s="598"/>
      <c r="H563" s="1120">
        <f>D563-F563</f>
        <v>19.67719561345956</v>
      </c>
      <c r="I563" s="1124"/>
      <c r="J563" s="598">
        <f>Stores!AM82</f>
        <v>25</v>
      </c>
      <c r="K563" s="598"/>
      <c r="L563" s="1128">
        <f>AVERAGE(J563,J562)</f>
        <v>25</v>
      </c>
      <c r="M563" s="598"/>
      <c r="N563" s="1120">
        <f>(L563/L556-1)*100</f>
        <v>19.047619047619047</v>
      </c>
      <c r="O563" s="1124"/>
      <c r="P563" s="1159">
        <f>H563/N563*100</f>
        <v>103.3052769706627</v>
      </c>
      <c r="Q563" s="1125"/>
      <c r="R563" s="598"/>
      <c r="S563" s="1165">
        <f>'SegP&amp;L'!AI68</f>
        <v>26.817</v>
      </c>
      <c r="T563" s="598"/>
      <c r="U563" s="1166">
        <f>S563/L563</f>
        <v>1.0726800000000001</v>
      </c>
      <c r="V563" s="598"/>
      <c r="W563" s="1176">
        <f>(U563/U556-1)*100</f>
        <v>5.5688443153060208</v>
      </c>
      <c r="X563" s="1124"/>
      <c r="Y563" s="598"/>
      <c r="Z563" s="1129">
        <f>Stores!AP82</f>
        <v>0.84799999999999998</v>
      </c>
      <c r="AA563" s="598"/>
      <c r="AB563" s="1163">
        <f>AVERAGE(Z563,Z562)</f>
        <v>0.83749999999999991</v>
      </c>
      <c r="AC563" s="598"/>
      <c r="AD563" s="1120">
        <f>(AB563/AB556-1)*100</f>
        <v>8.3441138421733285</v>
      </c>
      <c r="AE563" s="1124"/>
      <c r="AF563" s="1159">
        <f>+H563/AD563*100</f>
        <v>235.82127456130669</v>
      </c>
      <c r="AG563" s="1125"/>
      <c r="AH563" s="598"/>
      <c r="AI563" s="1165">
        <f>+S563</f>
        <v>26.817</v>
      </c>
      <c r="AJ563" s="598"/>
      <c r="AK563" s="1167">
        <f>AI563/AB563</f>
        <v>32.020298507462691</v>
      </c>
      <c r="AL563" s="598"/>
      <c r="AM563" s="1176">
        <f>(AK563/AK556-1)*100</f>
        <v>15.998175772184187</v>
      </c>
      <c r="AN563" s="1124"/>
      <c r="AP563" s="1197"/>
      <c r="AQ563" s="499"/>
      <c r="AR563" s="499"/>
      <c r="AS563" s="1197"/>
      <c r="AT563" s="499"/>
      <c r="AU563" s="499"/>
      <c r="AV563" s="1200"/>
      <c r="AW563" s="1200"/>
      <c r="AX563" s="1200"/>
      <c r="AY563" s="740"/>
      <c r="AZ563" s="1199"/>
      <c r="BA563" s="1200"/>
      <c r="BB563" s="1200"/>
      <c r="BC563" s="1200"/>
      <c r="BD563" s="1200"/>
      <c r="BE563" s="1200"/>
      <c r="BF563" s="1200"/>
      <c r="BG563" s="1200"/>
      <c r="BH563" s="487"/>
    </row>
    <row r="564" spans="1:60" hidden="1" outlineLevel="1">
      <c r="A564" s="598" t="s">
        <v>529</v>
      </c>
      <c r="B564" s="1157" t="s">
        <v>516</v>
      </c>
      <c r="C564" s="598"/>
      <c r="D564" s="1120">
        <f>(S564/S557-1)*100</f>
        <v>36.945473339650256</v>
      </c>
      <c r="E564" s="598"/>
      <c r="F564" s="1158">
        <f>'SegP&amp;L'!AK69</f>
        <v>10</v>
      </c>
      <c r="G564" s="598"/>
      <c r="H564" s="1120">
        <f>D564-F564</f>
        <v>26.945473339650256</v>
      </c>
      <c r="I564" s="1124"/>
      <c r="J564" s="598">
        <f>Stores!AM83</f>
        <v>31</v>
      </c>
      <c r="K564" s="598"/>
      <c r="L564" s="1128">
        <f>AVERAGE(J564,J563)</f>
        <v>28</v>
      </c>
      <c r="M564" s="598"/>
      <c r="N564" s="1120">
        <f>(L564/L557-1)*100</f>
        <v>24.444444444444446</v>
      </c>
      <c r="O564" s="1124"/>
      <c r="P564" s="1159">
        <f>H564/N564*100</f>
        <v>110.23148184402376</v>
      </c>
      <c r="Q564" s="1125"/>
      <c r="R564" s="598"/>
      <c r="S564" s="1165">
        <f>'SegP&amp;L'!AI69</f>
        <v>31.795999999999999</v>
      </c>
      <c r="T564" s="598"/>
      <c r="U564" s="1166">
        <f>S564/L564</f>
        <v>1.1355714285714285</v>
      </c>
      <c r="V564" s="598"/>
      <c r="W564" s="1176">
        <f>(U564/U557-1)*100</f>
        <v>10.045469647933247</v>
      </c>
      <c r="X564" s="1124"/>
      <c r="Y564" s="598"/>
      <c r="Z564" s="1129">
        <f>Stores!AP83</f>
        <v>0.98699999999999999</v>
      </c>
      <c r="AA564" s="598"/>
      <c r="AB564" s="1163">
        <f>AVERAGE(Z564,Z563)</f>
        <v>0.91749999999999998</v>
      </c>
      <c r="AC564" s="598"/>
      <c r="AD564" s="1120">
        <f>(AB564/AB557-1)*100</f>
        <v>14.687499999999986</v>
      </c>
      <c r="AE564" s="1124"/>
      <c r="AF564" s="1159">
        <f>+H564/AD564*100</f>
        <v>183.45854188698064</v>
      </c>
      <c r="AG564" s="1125"/>
      <c r="AH564" s="598"/>
      <c r="AI564" s="1165">
        <f>+S564</f>
        <v>31.795999999999999</v>
      </c>
      <c r="AJ564" s="598"/>
      <c r="AK564" s="1167">
        <f>AI564/AB564</f>
        <v>34.655040871934602</v>
      </c>
      <c r="AL564" s="598"/>
      <c r="AM564" s="1176">
        <f>(AK564/AK557-1)*100</f>
        <v>19.407497189885792</v>
      </c>
      <c r="AN564" s="1124"/>
      <c r="AP564" s="1199"/>
      <c r="AQ564" s="1200"/>
      <c r="AR564" s="499"/>
      <c r="AS564" s="1199"/>
      <c r="AT564" s="1200"/>
      <c r="AU564" s="499"/>
      <c r="AV564" s="1200"/>
      <c r="AW564" s="1200"/>
      <c r="AX564" s="1200"/>
      <c r="AY564" s="740"/>
      <c r="AZ564" s="1199"/>
      <c r="BA564" s="1200"/>
      <c r="BB564" s="1200"/>
      <c r="BC564" s="1200"/>
      <c r="BD564" s="1200"/>
      <c r="BE564" s="1200"/>
      <c r="BF564" s="1200"/>
      <c r="BG564" s="1200"/>
      <c r="BH564" s="487"/>
    </row>
    <row r="565" spans="1:60" hidden="1" outlineLevel="1">
      <c r="A565" s="598" t="s">
        <v>530</v>
      </c>
      <c r="B565" s="1157" t="s">
        <v>517</v>
      </c>
      <c r="C565" s="598"/>
      <c r="D565" s="1168">
        <f>(S565/S558-1)*100</f>
        <v>46.385814661801518</v>
      </c>
      <c r="E565" s="598"/>
      <c r="F565" s="1169">
        <f>'SegP&amp;L'!AK70</f>
        <v>10</v>
      </c>
      <c r="G565" s="598"/>
      <c r="H565" s="1168">
        <f>D565-F565</f>
        <v>36.385814661801518</v>
      </c>
      <c r="I565" s="1124"/>
      <c r="J565" s="598">
        <f>yrSales!J$246</f>
        <v>35</v>
      </c>
      <c r="K565" s="598"/>
      <c r="L565" s="1171">
        <f>AVERAGE(J565,J564)</f>
        <v>33</v>
      </c>
      <c r="M565" s="598"/>
      <c r="N565" s="1168">
        <f>(L565/L558-1)*100</f>
        <v>40.425531914893618</v>
      </c>
      <c r="O565" s="1124"/>
      <c r="P565" s="1171">
        <f>H565/N565*100</f>
        <v>90.007015216035342</v>
      </c>
      <c r="Q565" s="1125"/>
      <c r="R565" s="598"/>
      <c r="S565" s="1172">
        <f>'SegP&amp;L'!AI70</f>
        <v>48.542999999999999</v>
      </c>
      <c r="T565" s="598"/>
      <c r="U565" s="1173">
        <f>S565/L565</f>
        <v>1.4710000000000001</v>
      </c>
      <c r="V565" s="598"/>
      <c r="W565" s="1169">
        <f>(U565/U558-1)*100</f>
        <v>4.2444437743132113</v>
      </c>
      <c r="X565" s="1124"/>
      <c r="Y565" s="598"/>
      <c r="Z565" s="1129">
        <f>yrSales!J$256</f>
        <v>1.0860000000000001</v>
      </c>
      <c r="AA565" s="598"/>
      <c r="AB565" s="1174">
        <f>AVERAGE(Z565,Z564)</f>
        <v>1.0365</v>
      </c>
      <c r="AC565" s="598"/>
      <c r="AD565" s="1168">
        <f>(AB565/AB558-1)*100</f>
        <v>29.078455790784563</v>
      </c>
      <c r="AE565" s="1124"/>
      <c r="AF565" s="1171">
        <f>+H565/AD565*100</f>
        <v>125.12980374058506</v>
      </c>
      <c r="AG565" s="1125"/>
      <c r="AH565" s="598"/>
      <c r="AI565" s="1172">
        <f>+S565</f>
        <v>48.542999999999999</v>
      </c>
      <c r="AJ565" s="598"/>
      <c r="AK565" s="1175">
        <f>AI565/AB565</f>
        <v>46.833574529667146</v>
      </c>
      <c r="AL565" s="598"/>
      <c r="AM565" s="1169">
        <f>(AK565/AK558-1)*100</f>
        <v>13.408402482804238</v>
      </c>
      <c r="AN565" s="1124"/>
      <c r="AP565" s="1199"/>
      <c r="AQ565" s="1200"/>
      <c r="AR565" s="499"/>
      <c r="AS565" s="1199"/>
      <c r="AT565" s="1200"/>
      <c r="AU565" s="499"/>
      <c r="AV565" s="1200"/>
      <c r="AW565" s="1200"/>
      <c r="AX565" s="1200"/>
      <c r="AY565" s="740"/>
      <c r="AZ565" s="1199"/>
      <c r="BA565" s="1200"/>
      <c r="BB565" s="1200"/>
      <c r="BC565" s="1200"/>
      <c r="BD565" s="1200"/>
      <c r="BE565" s="1200"/>
      <c r="BF565" s="1200"/>
      <c r="BG565" s="1200"/>
      <c r="BH565" s="487"/>
    </row>
    <row r="566" spans="1:60" hidden="1" outlineLevel="1">
      <c r="A566" s="598"/>
      <c r="B566" s="1157" t="s">
        <v>531</v>
      </c>
      <c r="C566" s="598"/>
      <c r="D566" s="1120">
        <f>(S566/S559-1)*100</f>
        <v>35.091224136173693</v>
      </c>
      <c r="E566" s="598"/>
      <c r="F566" s="1158">
        <f>'SegP&amp;L'!AK71</f>
        <v>9</v>
      </c>
      <c r="G566" s="598"/>
      <c r="H566" s="1120">
        <f>D566-F566</f>
        <v>26.091224136173693</v>
      </c>
      <c r="I566" s="1124"/>
      <c r="J566" s="598"/>
      <c r="K566" s="598"/>
      <c r="L566" s="1128">
        <f>AVERAGE(J565,J558)</f>
        <v>29</v>
      </c>
      <c r="M566" s="598"/>
      <c r="N566" s="1120">
        <f>(L566/L559-1)*100</f>
        <v>31.818181818181813</v>
      </c>
      <c r="O566" s="1124"/>
      <c r="P566" s="1159">
        <f>H566/N566*100</f>
        <v>82.000990142260193</v>
      </c>
      <c r="Q566" s="1125"/>
      <c r="R566" s="598"/>
      <c r="S566" s="1160">
        <f>yrSales!J$236</f>
        <v>132.53800000000001</v>
      </c>
      <c r="T566" s="598"/>
      <c r="U566" s="1161">
        <f>S566/L566</f>
        <v>4.5702758620689661</v>
      </c>
      <c r="V566" s="598"/>
      <c r="W566" s="1176">
        <f>(U566/U559-1)*100</f>
        <v>2.4829976205455573</v>
      </c>
      <c r="X566" s="1124"/>
      <c r="Y566" s="598"/>
      <c r="Z566" s="1127"/>
      <c r="AA566" s="598"/>
      <c r="AB566" s="1163">
        <f>AVERAGE(AB562:AB565)</f>
        <v>0.89862500000000001</v>
      </c>
      <c r="AC566" s="598"/>
      <c r="AD566" s="1120">
        <f>(AB566/AB559-1)*100</f>
        <v>14.147348364560175</v>
      </c>
      <c r="AE566" s="1124"/>
      <c r="AF566" s="1159">
        <f>+H566/AD566*100</f>
        <v>184.42483682336919</v>
      </c>
      <c r="AG566" s="1125"/>
      <c r="AH566" s="598"/>
      <c r="AI566" s="1160">
        <f>SUM(AI562:AI565)</f>
        <v>132.53800000000001</v>
      </c>
      <c r="AJ566" s="598"/>
      <c r="AK566" s="1164">
        <f>SUM(AK562:AK565)</f>
        <v>145.11788028515411</v>
      </c>
      <c r="AL566" s="598"/>
      <c r="AM566" s="1176">
        <f>(AK566/AK559-1)*100</f>
        <v>16.44485909131339</v>
      </c>
      <c r="AN566" s="1124"/>
      <c r="AP566" s="1199"/>
      <c r="AQ566" s="1200"/>
      <c r="AR566" s="499"/>
      <c r="AS566" s="1199"/>
      <c r="AT566" s="1200"/>
      <c r="AU566" s="499"/>
      <c r="AV566" s="1200"/>
      <c r="AW566" s="1200"/>
      <c r="AX566" s="1200"/>
      <c r="AY566" s="740"/>
      <c r="AZ566" s="1199"/>
      <c r="BA566" s="1200"/>
      <c r="BB566" s="1200"/>
      <c r="BC566" s="1200"/>
      <c r="BD566" s="1200"/>
      <c r="BE566" s="1200"/>
      <c r="BF566" s="1200"/>
      <c r="BG566" s="1200"/>
      <c r="BH566" s="487"/>
    </row>
    <row r="567" spans="1:60" hidden="1" outlineLevel="1">
      <c r="A567" s="598"/>
      <c r="B567" s="1157"/>
      <c r="C567" s="598"/>
      <c r="D567" s="598"/>
      <c r="E567" s="598"/>
      <c r="F567" s="598"/>
      <c r="G567" s="598"/>
      <c r="H567" s="598"/>
      <c r="I567" s="1124"/>
      <c r="J567" s="598"/>
      <c r="K567" s="598"/>
      <c r="L567" s="598"/>
      <c r="M567" s="598"/>
      <c r="N567" s="598"/>
      <c r="O567" s="1124"/>
      <c r="P567" s="1125"/>
      <c r="Q567" s="1125"/>
      <c r="R567" s="598"/>
      <c r="S567" s="598"/>
      <c r="T567" s="598"/>
      <c r="U567" s="598"/>
      <c r="V567" s="598"/>
      <c r="W567" s="598"/>
      <c r="X567" s="1124"/>
      <c r="Y567" s="598"/>
      <c r="Z567" s="598"/>
      <c r="AA567" s="598"/>
      <c r="AB567" s="598"/>
      <c r="AC567" s="598"/>
      <c r="AD567" s="598"/>
      <c r="AE567" s="1124"/>
      <c r="AF567" s="1125"/>
      <c r="AG567" s="1125"/>
      <c r="AH567" s="598"/>
      <c r="AI567" s="598"/>
      <c r="AJ567" s="598"/>
      <c r="AK567" s="598"/>
      <c r="AL567" s="598"/>
      <c r="AM567" s="598"/>
      <c r="AN567" s="1124"/>
      <c r="AP567" s="1199"/>
      <c r="AQ567" s="1200"/>
      <c r="AR567" s="499"/>
      <c r="AS567" s="1199"/>
      <c r="AT567" s="1200"/>
      <c r="AU567" s="499"/>
      <c r="AV567" s="1200"/>
      <c r="AW567" s="1200"/>
      <c r="AX567" s="1200"/>
      <c r="AY567" s="740"/>
      <c r="AZ567" s="1199"/>
      <c r="BA567" s="1200"/>
      <c r="BB567" s="1200"/>
      <c r="BC567" s="1200"/>
      <c r="BD567" s="1200"/>
      <c r="BE567" s="1200"/>
      <c r="BF567" s="1200"/>
      <c r="BG567" s="1200"/>
      <c r="BH567" s="701"/>
    </row>
    <row r="568" spans="1:60" hidden="1" outlineLevel="1">
      <c r="A568" s="1154"/>
      <c r="B568" s="1155">
        <f>B561+1</f>
        <v>1999</v>
      </c>
      <c r="C568" s="598"/>
      <c r="D568" s="598"/>
      <c r="E568" s="598"/>
      <c r="F568" s="1158"/>
      <c r="G568" s="598"/>
      <c r="H568" s="598"/>
      <c r="I568" s="1124"/>
      <c r="J568" s="598"/>
      <c r="K568" s="598"/>
      <c r="L568" s="598"/>
      <c r="M568" s="598"/>
      <c r="N568" s="598"/>
      <c r="O568" s="1124"/>
      <c r="P568" s="1125"/>
      <c r="Q568" s="1125"/>
      <c r="R568" s="598"/>
      <c r="S568" s="598"/>
      <c r="T568" s="598"/>
      <c r="U568" s="598"/>
      <c r="V568" s="598"/>
      <c r="W568" s="598"/>
      <c r="X568" s="1124"/>
      <c r="Y568" s="598"/>
      <c r="Z568" s="598"/>
      <c r="AA568" s="598"/>
      <c r="AB568" s="598"/>
      <c r="AC568" s="598"/>
      <c r="AD568" s="598"/>
      <c r="AE568" s="1124"/>
      <c r="AF568" s="1125"/>
      <c r="AG568" s="1125"/>
      <c r="AH568" s="598"/>
      <c r="AI568" s="598"/>
      <c r="AJ568" s="598"/>
      <c r="AK568" s="598"/>
      <c r="AL568" s="598"/>
      <c r="AM568" s="598"/>
      <c r="AN568" s="1124"/>
      <c r="AP568" s="1199"/>
      <c r="AQ568" s="1200"/>
      <c r="AR568" s="1193"/>
      <c r="AS568" s="1199"/>
      <c r="AT568" s="1200"/>
      <c r="AU568" s="1193"/>
      <c r="AV568" s="1193"/>
      <c r="AW568" s="1193"/>
      <c r="AX568" s="1193"/>
      <c r="AY568" s="1193"/>
      <c r="AZ568" s="1193"/>
      <c r="BA568" s="1193"/>
      <c r="BB568" s="1193"/>
      <c r="BC568" s="1193"/>
      <c r="BD568" s="1193"/>
      <c r="BE568" s="1193"/>
      <c r="BF568" s="1193"/>
      <c r="BG568" s="1193"/>
    </row>
    <row r="569" spans="1:60" hidden="1" outlineLevel="1">
      <c r="A569" s="598" t="s">
        <v>527</v>
      </c>
      <c r="B569" s="1157" t="s">
        <v>514</v>
      </c>
      <c r="C569" s="598"/>
      <c r="D569" s="1120">
        <f>(S569/S562-1)*100</f>
        <v>50.787959971633455</v>
      </c>
      <c r="E569" s="1124" t="s">
        <v>190</v>
      </c>
      <c r="F569" s="1158">
        <f>'SegP&amp;L'!AK74</f>
        <v>11</v>
      </c>
      <c r="G569" s="1124" t="s">
        <v>190</v>
      </c>
      <c r="H569" s="1120">
        <f>D569-F569</f>
        <v>39.787959971633455</v>
      </c>
      <c r="I569" s="1124" t="s">
        <v>190</v>
      </c>
      <c r="J569" s="598">
        <f>Stores!AM89</f>
        <v>38</v>
      </c>
      <c r="K569" s="598"/>
      <c r="L569" s="1128">
        <f>AVERAGE(J569,J565)</f>
        <v>36.5</v>
      </c>
      <c r="M569" s="598"/>
      <c r="N569" s="1120">
        <f>(L569/L562-1)*100</f>
        <v>52.083333333333329</v>
      </c>
      <c r="O569" s="1124" t="s">
        <v>190</v>
      </c>
      <c r="P569" s="1159">
        <f>H569/N569*100</f>
        <v>76.392883145536246</v>
      </c>
      <c r="Q569" s="1125" t="s">
        <v>190</v>
      </c>
      <c r="R569" s="598"/>
      <c r="S569" s="1160">
        <f>'SegP&amp;L'!AI74</f>
        <v>38.273000000000003</v>
      </c>
      <c r="T569" s="598"/>
      <c r="U569" s="1161">
        <f>S569/L569</f>
        <v>1.0485753424657536</v>
      </c>
      <c r="V569" s="598"/>
      <c r="W569" s="1176">
        <f>(U569/U562-1)*100</f>
        <v>-0.85175234741908801</v>
      </c>
      <c r="X569" s="1124" t="s">
        <v>190</v>
      </c>
      <c r="Y569" s="598"/>
      <c r="Z569" s="1129">
        <f>Stores!AP89</f>
        <v>1.161</v>
      </c>
      <c r="AA569" s="598"/>
      <c r="AB569" s="1163">
        <f>AVERAGE(Z569,Z565)</f>
        <v>1.1234999999999999</v>
      </c>
      <c r="AC569" s="598"/>
      <c r="AD569" s="1120">
        <f>(AB569/AB562-1)*100</f>
        <v>39.912826899128277</v>
      </c>
      <c r="AE569" s="1124" t="s">
        <v>190</v>
      </c>
      <c r="AF569" s="1159">
        <f>+H569/AD569*100</f>
        <v>99.687150880566804</v>
      </c>
      <c r="AG569" s="1125" t="s">
        <v>190</v>
      </c>
      <c r="AH569" s="598"/>
      <c r="AI569" s="1160">
        <f>+S569</f>
        <v>38.273000000000003</v>
      </c>
      <c r="AJ569" s="598"/>
      <c r="AK569" s="1164">
        <f>AI569/AB569</f>
        <v>34.065865598575883</v>
      </c>
      <c r="AL569" s="598"/>
      <c r="AM569" s="1176">
        <f>(AK569/AK562-1)*100</f>
        <v>7.7727920402506978</v>
      </c>
      <c r="AN569" s="1124" t="s">
        <v>190</v>
      </c>
      <c r="AP569" s="1193"/>
      <c r="AQ569" s="1193"/>
      <c r="AR569" s="499"/>
      <c r="AS569" s="1193"/>
      <c r="AT569" s="1193"/>
      <c r="AU569" s="499"/>
      <c r="AV569" s="1226"/>
      <c r="AW569" s="1200"/>
      <c r="AX569" s="1200"/>
      <c r="AY569" s="740"/>
      <c r="AZ569" s="499"/>
      <c r="BA569" s="499"/>
      <c r="BB569" s="499"/>
      <c r="BC569" s="499"/>
      <c r="BD569" s="499"/>
      <c r="BE569" s="499"/>
      <c r="BF569" s="499"/>
      <c r="BG569" s="499"/>
      <c r="BH569" s="487"/>
    </row>
    <row r="570" spans="1:60" hidden="1" outlineLevel="1">
      <c r="A570" s="598" t="s">
        <v>528</v>
      </c>
      <c r="B570" s="1157" t="s">
        <v>515</v>
      </c>
      <c r="C570" s="598"/>
      <c r="D570" s="1120">
        <f>(S570/S563-1)*100</f>
        <v>60.073833762165798</v>
      </c>
      <c r="E570" s="1124"/>
      <c r="F570" s="1158">
        <f>'SegP&amp;L'!AK75</f>
        <v>14</v>
      </c>
      <c r="G570" s="1124"/>
      <c r="H570" s="1120">
        <f>D570-F570</f>
        <v>46.073833762165798</v>
      </c>
      <c r="I570" s="1124"/>
      <c r="J570" s="598">
        <f>Stores!AM90</f>
        <v>39</v>
      </c>
      <c r="K570" s="598"/>
      <c r="L570" s="1128">
        <f>AVERAGE(J570,J569)</f>
        <v>38.5</v>
      </c>
      <c r="M570" s="598"/>
      <c r="N570" s="1120">
        <f>(L570/L563-1)*100</f>
        <v>54</v>
      </c>
      <c r="O570" s="1124"/>
      <c r="P570" s="1159">
        <f>H570/N570*100</f>
        <v>85.321914374381109</v>
      </c>
      <c r="Q570" s="1125"/>
      <c r="R570" s="598"/>
      <c r="S570" s="1165">
        <f>'SegP&amp;L'!AI75</f>
        <v>42.927</v>
      </c>
      <c r="T570" s="598"/>
      <c r="U570" s="1166">
        <f>S570/L570</f>
        <v>1.114987012987013</v>
      </c>
      <c r="V570" s="598"/>
      <c r="W570" s="1176">
        <f>(U570/U563-1)*100</f>
        <v>3.9440478975102389</v>
      </c>
      <c r="X570" s="1124"/>
      <c r="Y570" s="598"/>
      <c r="Z570" s="1129">
        <f>Stores!AP90</f>
        <v>1.099</v>
      </c>
      <c r="AA570" s="598"/>
      <c r="AB570" s="1163">
        <f>AVERAGE(Z570,Z569)</f>
        <v>1.1299999999999999</v>
      </c>
      <c r="AC570" s="598"/>
      <c r="AD570" s="1120">
        <f>(AB570/AB563-1)*100</f>
        <v>34.925373134328353</v>
      </c>
      <c r="AE570" s="1124"/>
      <c r="AF570" s="1159">
        <f>+H570/AD570*100</f>
        <v>131.92080607115849</v>
      </c>
      <c r="AG570" s="1125"/>
      <c r="AH570" s="598"/>
      <c r="AI570" s="1165">
        <f>+S570</f>
        <v>42.927</v>
      </c>
      <c r="AJ570" s="598"/>
      <c r="AK570" s="1167">
        <f>AI570/AB570</f>
        <v>37.988495575221243</v>
      </c>
      <c r="AL570" s="598"/>
      <c r="AM570" s="1176">
        <f>(AK570/AK563-1)*100</f>
        <v>18.638792721959163</v>
      </c>
      <c r="AN570" s="1124"/>
      <c r="AP570" s="1197"/>
      <c r="AQ570" s="499"/>
      <c r="AR570" s="499"/>
      <c r="AS570" s="1197"/>
      <c r="AT570" s="499"/>
      <c r="AU570" s="499"/>
      <c r="AV570" s="1200"/>
      <c r="AW570" s="1200"/>
      <c r="AX570" s="1200"/>
      <c r="AY570" s="740"/>
      <c r="AZ570" s="1199"/>
      <c r="BA570" s="1200"/>
      <c r="BB570" s="1200"/>
      <c r="BC570" s="1200"/>
      <c r="BD570" s="1200"/>
      <c r="BE570" s="1200"/>
      <c r="BF570" s="1200"/>
      <c r="BG570" s="1200"/>
      <c r="BH570" s="487"/>
    </row>
    <row r="571" spans="1:60" hidden="1" outlineLevel="1">
      <c r="A571" s="598" t="s">
        <v>529</v>
      </c>
      <c r="B571" s="1157" t="s">
        <v>516</v>
      </c>
      <c r="C571" s="598"/>
      <c r="D571" s="1120">
        <f>(S571/S564-1)*100</f>
        <v>66.542961378789784</v>
      </c>
      <c r="E571" s="1124"/>
      <c r="F571" s="1158">
        <f>'SegP&amp;L'!AK76</f>
        <v>17</v>
      </c>
      <c r="G571" s="1124"/>
      <c r="H571" s="1120">
        <f>D571-F571</f>
        <v>49.542961378789784</v>
      </c>
      <c r="I571" s="1124"/>
      <c r="J571" s="598">
        <f>Stores!AM91</f>
        <v>46</v>
      </c>
      <c r="K571" s="598"/>
      <c r="L571" s="1128">
        <f>AVERAGE(J571,J570)</f>
        <v>42.5</v>
      </c>
      <c r="M571" s="598"/>
      <c r="N571" s="1120">
        <f>(L571/L564-1)*100</f>
        <v>51.785714285714278</v>
      </c>
      <c r="O571" s="1124"/>
      <c r="P571" s="1159">
        <f>H571/N571*100</f>
        <v>95.669166800421664</v>
      </c>
      <c r="Q571" s="1125"/>
      <c r="R571" s="598"/>
      <c r="S571" s="1165">
        <f>'SegP&amp;L'!AI76</f>
        <v>52.954000000000001</v>
      </c>
      <c r="T571" s="598"/>
      <c r="U571" s="1166">
        <f>S571/L571</f>
        <v>1.2459764705882352</v>
      </c>
      <c r="V571" s="598"/>
      <c r="W571" s="1176">
        <f>(U571/U564-1)*100</f>
        <v>9.7224216142615116</v>
      </c>
      <c r="X571" s="1124"/>
      <c r="Y571" s="598"/>
      <c r="Z571" s="1129">
        <f>Stores!AP91</f>
        <v>1.248</v>
      </c>
      <c r="AA571" s="598"/>
      <c r="AB571" s="1163">
        <f>AVERAGE(Z571,Z570)</f>
        <v>1.1735</v>
      </c>
      <c r="AC571" s="598"/>
      <c r="AD571" s="1120">
        <f>(AB571/AB564-1)*100</f>
        <v>27.901907356948218</v>
      </c>
      <c r="AE571" s="1124"/>
      <c r="AF571" s="1159">
        <f>+H571/AD571*100</f>
        <v>177.5611994728111</v>
      </c>
      <c r="AG571" s="1125"/>
      <c r="AH571" s="598"/>
      <c r="AI571" s="1165">
        <f>+S571</f>
        <v>52.954000000000001</v>
      </c>
      <c r="AJ571" s="598"/>
      <c r="AK571" s="1167">
        <f>AI571/AB571</f>
        <v>45.124840221559438</v>
      </c>
      <c r="AL571" s="598"/>
      <c r="AM571" s="1176">
        <f>(AK571/AK564-1)*100</f>
        <v>30.211475982138602</v>
      </c>
      <c r="AN571" s="1124"/>
      <c r="AP571" s="1199"/>
      <c r="AQ571" s="1200"/>
      <c r="AR571" s="499"/>
      <c r="AS571" s="1199"/>
      <c r="AT571" s="1200"/>
      <c r="AU571" s="499"/>
      <c r="AV571" s="1200"/>
      <c r="AW571" s="1200"/>
      <c r="AX571" s="1200"/>
      <c r="AY571" s="740"/>
      <c r="AZ571" s="1199"/>
      <c r="BA571" s="1200"/>
      <c r="BB571" s="1200"/>
      <c r="BC571" s="1200"/>
      <c r="BD571" s="1200"/>
      <c r="BE571" s="1200"/>
      <c r="BF571" s="1200"/>
      <c r="BG571" s="1200"/>
      <c r="BH571" s="487"/>
    </row>
    <row r="572" spans="1:60" hidden="1" outlineLevel="1">
      <c r="A572" s="598" t="s">
        <v>530</v>
      </c>
      <c r="B572" s="1157" t="s">
        <v>517</v>
      </c>
      <c r="C572" s="598"/>
      <c r="D572" s="1168">
        <f>(S572/S565-1)*100</f>
        <v>49.67348536349219</v>
      </c>
      <c r="E572" s="1124"/>
      <c r="F572" s="1169">
        <f>'SegP&amp;L'!AK77</f>
        <v>9</v>
      </c>
      <c r="G572" s="1124"/>
      <c r="H572" s="1168">
        <f>D572-F572</f>
        <v>40.67348536349219</v>
      </c>
      <c r="I572" s="1124"/>
      <c r="J572" s="598">
        <f>yrSales!K$246</f>
        <v>51</v>
      </c>
      <c r="K572" s="598"/>
      <c r="L572" s="1171">
        <f>AVERAGE(J572,J571)</f>
        <v>48.5</v>
      </c>
      <c r="M572" s="598"/>
      <c r="N572" s="1168">
        <f>(L572/L565-1)*100</f>
        <v>46.969696969696969</v>
      </c>
      <c r="O572" s="1124"/>
      <c r="P572" s="1171">
        <f>H572/N572*100</f>
        <v>86.595162386789823</v>
      </c>
      <c r="Q572" s="1125"/>
      <c r="R572" s="598"/>
      <c r="S572" s="1172">
        <f>'SegP&amp;L'!AI77</f>
        <v>72.656000000000006</v>
      </c>
      <c r="T572" s="598"/>
      <c r="U572" s="1173">
        <f>S572/L572</f>
        <v>1.4980618556701033</v>
      </c>
      <c r="V572" s="598"/>
      <c r="W572" s="1169">
        <f>(U572/U565-1)*100</f>
        <v>1.8396910720668291</v>
      </c>
      <c r="X572" s="1124"/>
      <c r="Y572" s="598"/>
      <c r="Z572" s="1129">
        <f>yrSales!K$256</f>
        <v>1.381</v>
      </c>
      <c r="AA572" s="598"/>
      <c r="AB572" s="1174">
        <f>AVERAGE(Z572,Z571)</f>
        <v>1.3145</v>
      </c>
      <c r="AC572" s="598"/>
      <c r="AD572" s="1168">
        <f>(AB572/AB565-1)*100</f>
        <v>26.821032320308724</v>
      </c>
      <c r="AE572" s="1124"/>
      <c r="AF572" s="1171">
        <f>+H572/AD572*100</f>
        <v>151.6477251052506</v>
      </c>
      <c r="AG572" s="1125"/>
      <c r="AH572" s="598"/>
      <c r="AI572" s="1172">
        <f>+S572</f>
        <v>72.656000000000006</v>
      </c>
      <c r="AJ572" s="598"/>
      <c r="AK572" s="1175">
        <f>AI572/AB572</f>
        <v>55.27272727272728</v>
      </c>
      <c r="AL572" s="598"/>
      <c r="AM572" s="1169">
        <f>(AK572/AK565-1)*100</f>
        <v>18.019450421650561</v>
      </c>
      <c r="AN572" s="1124"/>
      <c r="AP572" s="1199"/>
      <c r="AQ572" s="1200"/>
      <c r="AR572" s="499"/>
      <c r="AS572" s="1199"/>
      <c r="AT572" s="1200"/>
      <c r="AU572" s="499"/>
      <c r="AV572" s="1200"/>
      <c r="AW572" s="1200"/>
      <c r="AX572" s="1200"/>
      <c r="AY572" s="740"/>
      <c r="AZ572" s="1199"/>
      <c r="BA572" s="1200"/>
      <c r="BB572" s="1200"/>
      <c r="BC572" s="1200"/>
      <c r="BD572" s="1200"/>
      <c r="BE572" s="1200"/>
      <c r="BF572" s="1200"/>
      <c r="BG572" s="1200"/>
      <c r="BH572" s="487"/>
    </row>
    <row r="573" spans="1:60" hidden="1" outlineLevel="1">
      <c r="A573" s="598"/>
      <c r="B573" s="1157" t="s">
        <v>531</v>
      </c>
      <c r="C573" s="598"/>
      <c r="D573" s="1120">
        <f>(S573/S566-1)*100</f>
        <v>56.038268270231924</v>
      </c>
      <c r="E573" s="1124"/>
      <c r="F573" s="1158">
        <f>'SegP&amp;L'!AK78</f>
        <v>13</v>
      </c>
      <c r="G573" s="1124"/>
      <c r="H573" s="1120">
        <f>D573-F573</f>
        <v>43.038268270231924</v>
      </c>
      <c r="I573" s="1124"/>
      <c r="J573" s="1229"/>
      <c r="K573" s="598"/>
      <c r="L573" s="1128">
        <f>AVERAGE(L569:L572)</f>
        <v>41.5</v>
      </c>
      <c r="M573" s="598"/>
      <c r="N573" s="1120">
        <f>(L573/L566-1)*100</f>
        <v>43.103448275862078</v>
      </c>
      <c r="O573" s="1124"/>
      <c r="P573" s="1159">
        <f>H573/N573*100</f>
        <v>99.848782386938041</v>
      </c>
      <c r="Q573" s="1125"/>
      <c r="R573" s="598"/>
      <c r="S573" s="1160">
        <f>yrSales!K$236</f>
        <v>206.81</v>
      </c>
      <c r="T573" s="598"/>
      <c r="U573" s="1161">
        <f>S573/L573</f>
        <v>4.983373493975904</v>
      </c>
      <c r="V573" s="598"/>
      <c r="W573" s="1176">
        <f>(U573/U566-1)*100</f>
        <v>9.0387898755837526</v>
      </c>
      <c r="X573" s="1124"/>
      <c r="Y573" s="598"/>
      <c r="Z573" s="598"/>
      <c r="AA573" s="598"/>
      <c r="AB573" s="1163">
        <f>AVERAGE(AB569:AB572)</f>
        <v>1.1853749999999998</v>
      </c>
      <c r="AC573" s="598"/>
      <c r="AD573" s="1120">
        <f>(AB573/AB566-1)*100</f>
        <v>31.909862289609102</v>
      </c>
      <c r="AE573" s="1124"/>
      <c r="AF573" s="1159">
        <f>+H573/AD573*100</f>
        <v>134.87450331067896</v>
      </c>
      <c r="AG573" s="1125"/>
      <c r="AH573" s="598"/>
      <c r="AI573" s="1160">
        <f>SUM(AI569:AI572)</f>
        <v>206.81</v>
      </c>
      <c r="AJ573" s="598"/>
      <c r="AK573" s="1164">
        <f>SUM(AK569:AK572)</f>
        <v>172.45192866808384</v>
      </c>
      <c r="AL573" s="598"/>
      <c r="AM573" s="1176">
        <f>(AK573/AK566-1)*100</f>
        <v>18.835754993953046</v>
      </c>
      <c r="AN573" s="1124"/>
      <c r="AP573" s="1199"/>
      <c r="AQ573" s="1200"/>
      <c r="AR573" s="499"/>
      <c r="AS573" s="1199"/>
      <c r="AT573" s="1200"/>
      <c r="AU573" s="499"/>
      <c r="AV573" s="1200"/>
      <c r="AW573" s="1200"/>
      <c r="AX573" s="1200"/>
      <c r="AY573" s="740"/>
      <c r="AZ573" s="1199"/>
      <c r="BA573" s="1200"/>
      <c r="BB573" s="1200"/>
      <c r="BC573" s="1200"/>
      <c r="BD573" s="1200"/>
      <c r="BE573" s="1200"/>
      <c r="BF573" s="1200"/>
      <c r="BG573" s="1200"/>
      <c r="BH573" s="487"/>
    </row>
    <row r="574" spans="1:60" hidden="1" outlineLevel="1">
      <c r="A574" s="598"/>
      <c r="B574" s="1157"/>
      <c r="C574" s="598"/>
      <c r="D574" s="598"/>
      <c r="E574" s="1124"/>
      <c r="F574" s="598"/>
      <c r="G574" s="1124"/>
      <c r="H574" s="598"/>
      <c r="I574" s="1124"/>
      <c r="J574" s="1229"/>
      <c r="K574" s="598"/>
      <c r="L574" s="598"/>
      <c r="M574" s="598"/>
      <c r="N574" s="598"/>
      <c r="O574" s="1124"/>
      <c r="P574" s="1125"/>
      <c r="Q574" s="1125"/>
      <c r="R574" s="598"/>
      <c r="S574" s="598"/>
      <c r="T574" s="598"/>
      <c r="U574" s="598"/>
      <c r="V574" s="598"/>
      <c r="W574" s="598"/>
      <c r="X574" s="1124"/>
      <c r="Y574" s="598"/>
      <c r="Z574" s="598"/>
      <c r="AA574" s="598"/>
      <c r="AB574" s="598"/>
      <c r="AC574" s="598"/>
      <c r="AD574" s="598"/>
      <c r="AE574" s="1124"/>
      <c r="AF574" s="1125"/>
      <c r="AG574" s="1125"/>
      <c r="AH574" s="598"/>
      <c r="AI574" s="598"/>
      <c r="AJ574" s="598"/>
      <c r="AK574" s="598"/>
      <c r="AL574" s="598"/>
      <c r="AM574" s="598"/>
      <c r="AN574" s="1124"/>
      <c r="AP574" s="1199"/>
      <c r="AQ574" s="1200"/>
      <c r="AR574" s="499"/>
      <c r="AS574" s="1199"/>
      <c r="AT574" s="1200"/>
      <c r="AU574" s="499"/>
      <c r="AV574" s="1200"/>
      <c r="AW574" s="1200"/>
      <c r="AX574" s="1200"/>
      <c r="AY574" s="740"/>
      <c r="AZ574" s="1199"/>
      <c r="BA574" s="1200"/>
      <c r="BB574" s="1200"/>
      <c r="BC574" s="1200"/>
      <c r="BD574" s="1200"/>
      <c r="BE574" s="1200"/>
      <c r="BF574" s="1200"/>
      <c r="BG574" s="1200"/>
      <c r="BH574" s="701"/>
    </row>
    <row r="575" spans="1:60" hidden="1" outlineLevel="1" collapsed="1">
      <c r="A575" s="1154"/>
      <c r="B575" s="1155">
        <f>B568+1</f>
        <v>2000</v>
      </c>
      <c r="C575" s="598"/>
      <c r="D575" s="598"/>
      <c r="E575" s="1124"/>
      <c r="F575" s="598"/>
      <c r="G575" s="1124"/>
      <c r="H575" s="598"/>
      <c r="I575" s="1124"/>
      <c r="J575" s="1229"/>
      <c r="K575" s="598"/>
      <c r="L575" s="598"/>
      <c r="M575" s="598"/>
      <c r="N575" s="598"/>
      <c r="O575" s="1124"/>
      <c r="P575" s="1125"/>
      <c r="Q575" s="1125"/>
      <c r="R575" s="598"/>
      <c r="S575" s="598"/>
      <c r="T575" s="598"/>
      <c r="U575" s="598"/>
      <c r="V575" s="598"/>
      <c r="W575" s="598"/>
      <c r="X575" s="1124"/>
      <c r="Y575" s="598"/>
      <c r="Z575" s="598"/>
      <c r="AA575" s="598"/>
      <c r="AB575" s="598"/>
      <c r="AC575" s="598"/>
      <c r="AD575" s="598"/>
      <c r="AE575" s="1124"/>
      <c r="AF575" s="1125"/>
      <c r="AG575" s="1125"/>
      <c r="AH575" s="598"/>
      <c r="AI575" s="598"/>
      <c r="AJ575" s="598"/>
      <c r="AK575" s="598"/>
      <c r="AL575" s="598"/>
      <c r="AM575" s="598"/>
      <c r="AN575" s="1124"/>
      <c r="AP575" s="1199"/>
      <c r="AQ575" s="1200"/>
      <c r="AR575" s="1193"/>
      <c r="AS575" s="1199"/>
      <c r="AT575" s="1200"/>
      <c r="AU575" s="1193"/>
      <c r="AV575" s="1193"/>
      <c r="AW575" s="1193"/>
      <c r="AX575" s="1193"/>
      <c r="AY575" s="1193"/>
      <c r="AZ575" s="1193"/>
      <c r="BA575" s="1193"/>
      <c r="BB575" s="1193"/>
      <c r="BC575" s="1193"/>
      <c r="BD575" s="1193"/>
      <c r="BE575" s="1193"/>
      <c r="BF575" s="1193"/>
      <c r="BG575" s="1193"/>
    </row>
    <row r="576" spans="1:60" hidden="1" outlineLevel="1">
      <c r="A576" s="598" t="s">
        <v>527</v>
      </c>
      <c r="B576" s="1157" t="s">
        <v>514</v>
      </c>
      <c r="C576" s="598"/>
      <c r="D576" s="1120">
        <f>(S576/S569-1)*100</f>
        <v>54.503174561701464</v>
      </c>
      <c r="E576" s="1124" t="s">
        <v>190</v>
      </c>
      <c r="F576" s="1158">
        <f>'SegP&amp;L'!AK81</f>
        <v>10</v>
      </c>
      <c r="G576" s="1124" t="s">
        <v>190</v>
      </c>
      <c r="H576" s="1120">
        <f>D576-F576</f>
        <v>44.503174561701464</v>
      </c>
      <c r="I576" s="1124" t="s">
        <v>190</v>
      </c>
      <c r="J576" s="598">
        <f>Stores!AM97</f>
        <v>55</v>
      </c>
      <c r="K576" s="598" t="s">
        <v>315</v>
      </c>
      <c r="L576" s="1128">
        <f>AVERAGE(J576,J572)</f>
        <v>53</v>
      </c>
      <c r="M576" s="598"/>
      <c r="N576" s="1120">
        <f>(L576/L569-1)*100</f>
        <v>45.205479452054796</v>
      </c>
      <c r="O576" s="1124" t="s">
        <v>190</v>
      </c>
      <c r="P576" s="1159">
        <f>H576/N576*100</f>
        <v>98.446416454672942</v>
      </c>
      <c r="Q576" s="1125" t="s">
        <v>190</v>
      </c>
      <c r="R576" s="598"/>
      <c r="S576" s="1160">
        <f>'SegP&amp;L'!AI81</f>
        <v>59.133000000000003</v>
      </c>
      <c r="T576" s="598" t="s">
        <v>315</v>
      </c>
      <c r="U576" s="1161">
        <f>S576/L576</f>
        <v>1.1157169811320755</v>
      </c>
      <c r="V576" s="598"/>
      <c r="W576" s="1176">
        <f>(U576/U569-1)*100</f>
        <v>6.4031296509830637</v>
      </c>
      <c r="X576" s="1124" t="s">
        <v>190</v>
      </c>
      <c r="Y576" s="598"/>
      <c r="Z576" s="1129">
        <f>Stores!AP97</f>
        <v>1.4710000000000001</v>
      </c>
      <c r="AA576" s="598" t="s">
        <v>315</v>
      </c>
      <c r="AB576" s="1163">
        <f>AVERAGE(Z576,Z572)</f>
        <v>1.4260000000000002</v>
      </c>
      <c r="AC576" s="598"/>
      <c r="AD576" s="1120">
        <f>(AB576/AB569-1)*100</f>
        <v>26.924788607031623</v>
      </c>
      <c r="AE576" s="1124" t="s">
        <v>190</v>
      </c>
      <c r="AF576" s="1159">
        <f>+H576/AD576*100</f>
        <v>165.28699709114559</v>
      </c>
      <c r="AG576" s="1125" t="s">
        <v>190</v>
      </c>
      <c r="AH576" s="598"/>
      <c r="AI576" s="1160">
        <f>+S576</f>
        <v>59.133000000000003</v>
      </c>
      <c r="AJ576" s="598" t="s">
        <v>315</v>
      </c>
      <c r="AK576" s="1164">
        <f>AI576/AB576</f>
        <v>41.467741935483865</v>
      </c>
      <c r="AL576" s="598"/>
      <c r="AM576" s="1176">
        <f>(AK576/AK569-1)*100</f>
        <v>21.728132272139945</v>
      </c>
      <c r="AN576" s="1124" t="s">
        <v>190</v>
      </c>
      <c r="AP576" s="1193"/>
      <c r="AQ576" s="1193"/>
      <c r="AR576" s="1193"/>
      <c r="AS576" s="1193"/>
      <c r="AT576" s="1193"/>
      <c r="AU576" s="1193"/>
      <c r="AV576" s="1193"/>
      <c r="AW576" s="1193"/>
      <c r="AX576" s="1193"/>
      <c r="AY576" s="1193"/>
      <c r="AZ576" s="1193"/>
      <c r="BA576" s="1193"/>
      <c r="BB576" s="1193"/>
      <c r="BC576" s="1193"/>
      <c r="BD576" s="1193"/>
      <c r="BE576" s="1193"/>
      <c r="BF576" s="1193"/>
      <c r="BG576" s="1193"/>
    </row>
    <row r="577" spans="1:59" hidden="1" outlineLevel="1">
      <c r="A577" s="598" t="s">
        <v>528</v>
      </c>
      <c r="B577" s="1157" t="s">
        <v>515</v>
      </c>
      <c r="C577" s="598"/>
      <c r="D577" s="1120">
        <f>(S577/S570-1)*100</f>
        <v>56.437673259254083</v>
      </c>
      <c r="E577" s="598"/>
      <c r="F577" s="1158">
        <f>'SegP&amp;L'!AK82</f>
        <v>5</v>
      </c>
      <c r="G577" s="598"/>
      <c r="H577" s="1120">
        <f>D577-F577</f>
        <v>51.437673259254083</v>
      </c>
      <c r="I577" s="598"/>
      <c r="J577" s="598">
        <f>Stores!AM98</f>
        <v>60</v>
      </c>
      <c r="K577" s="1127"/>
      <c r="L577" s="1128">
        <f>AVERAGE(J577,J576)</f>
        <v>57.5</v>
      </c>
      <c r="M577" s="598"/>
      <c r="N577" s="1120">
        <f>(L577/L570-1)*100</f>
        <v>49.350649350649348</v>
      </c>
      <c r="O577" s="1124"/>
      <c r="P577" s="1159">
        <f>H577/N577*100</f>
        <v>104.22896949901485</v>
      </c>
      <c r="Q577" s="1125"/>
      <c r="R577" s="598"/>
      <c r="S577" s="1165">
        <f>'SegP&amp;L'!AI82</f>
        <v>67.153999999999996</v>
      </c>
      <c r="T577" s="598"/>
      <c r="U577" s="1166">
        <f>S577/L577</f>
        <v>1.167895652173913</v>
      </c>
      <c r="V577" s="598"/>
      <c r="W577" s="1176">
        <f>(U577/U570-1)*100</f>
        <v>4.7452247040222995</v>
      </c>
      <c r="X577" s="1124"/>
      <c r="Y577" s="598"/>
      <c r="Z577" s="1129">
        <f>Stores!AP98</f>
        <v>1.605</v>
      </c>
      <c r="AA577" s="1127"/>
      <c r="AB577" s="1163">
        <f>AVERAGE(Z577,Z576)</f>
        <v>1.538</v>
      </c>
      <c r="AC577" s="598"/>
      <c r="AD577" s="1120">
        <f>(AB577/AB570-1)*100</f>
        <v>36.106194690265504</v>
      </c>
      <c r="AE577" s="1124"/>
      <c r="AF577" s="1159">
        <f>+H577/AD577*100</f>
        <v>142.46218329156147</v>
      </c>
      <c r="AG577" s="1125"/>
      <c r="AH577" s="598"/>
      <c r="AI577" s="1165">
        <f>+S577</f>
        <v>67.153999999999996</v>
      </c>
      <c r="AJ577" s="598"/>
      <c r="AK577" s="1167">
        <f>AI577/AB577</f>
        <v>43.663198959687904</v>
      </c>
      <c r="AL577" s="598"/>
      <c r="AM577" s="1176">
        <f>(AK577/AK570-1)*100</f>
        <v>14.937952394640487</v>
      </c>
      <c r="AN577" s="1124"/>
      <c r="AP577" s="1193"/>
      <c r="AQ577" s="1193"/>
      <c r="AR577" s="1193"/>
      <c r="AS577" s="1193"/>
      <c r="AT577" s="1193"/>
      <c r="AU577" s="1193"/>
      <c r="AV577" s="1193"/>
      <c r="AW577" s="1193"/>
      <c r="AX577" s="1193"/>
      <c r="AY577" s="1193"/>
      <c r="AZ577" s="1193"/>
      <c r="BA577" s="1193"/>
      <c r="BB577" s="1193"/>
      <c r="BC577" s="1193"/>
      <c r="BD577" s="1193"/>
      <c r="BE577" s="1193"/>
      <c r="BF577" s="1193"/>
      <c r="BG577" s="1193"/>
    </row>
    <row r="578" spans="1:59" hidden="1" outlineLevel="1">
      <c r="A578" s="598" t="s">
        <v>529</v>
      </c>
      <c r="B578" s="1157" t="s">
        <v>516</v>
      </c>
      <c r="C578" s="598"/>
      <c r="D578" s="1120">
        <f>(S578/S571-1)*100</f>
        <v>45.480983495108958</v>
      </c>
      <c r="E578" s="598"/>
      <c r="F578" s="1158">
        <f>'SegP&amp;L'!AK83</f>
        <v>0</v>
      </c>
      <c r="G578" s="598"/>
      <c r="H578" s="1120">
        <f>D578-F578</f>
        <v>45.480983495108958</v>
      </c>
      <c r="I578" s="598"/>
      <c r="J578" s="598">
        <f>Stores!AM99</f>
        <v>69</v>
      </c>
      <c r="K578" s="1127"/>
      <c r="L578" s="1128">
        <f>AVERAGE(J578,J577)</f>
        <v>64.5</v>
      </c>
      <c r="M578" s="598"/>
      <c r="N578" s="1120">
        <f>(L578/L571-1)*100</f>
        <v>51.764705882352935</v>
      </c>
      <c r="O578" s="1124"/>
      <c r="P578" s="1159">
        <f>H578/N578*100</f>
        <v>87.860990842824137</v>
      </c>
      <c r="Q578" s="1125"/>
      <c r="R578" s="598"/>
      <c r="S578" s="1165">
        <f>'SegP&amp;L'!AI83</f>
        <v>77.037999999999997</v>
      </c>
      <c r="T578" s="598"/>
      <c r="U578" s="1166">
        <f>S578/L578</f>
        <v>1.1943875968992248</v>
      </c>
      <c r="V578" s="598"/>
      <c r="W578" s="1176">
        <f>(U578/U571-1)*100</f>
        <v>-4.1404372319049472</v>
      </c>
      <c r="X578" s="1124"/>
      <c r="Y578" s="598"/>
      <c r="Z578" s="1129">
        <f>Stores!AP99</f>
        <v>1.837</v>
      </c>
      <c r="AA578" s="1127"/>
      <c r="AB578" s="1163">
        <f>AVERAGE(Z578,Z577)</f>
        <v>1.7210000000000001</v>
      </c>
      <c r="AC578" s="598"/>
      <c r="AD578" s="1120">
        <f>(AB578/AB571-1)*100</f>
        <v>46.655304644226689</v>
      </c>
      <c r="AE578" s="1124"/>
      <c r="AF578" s="1159">
        <f>+H578/AD578*100</f>
        <v>97.482984715087383</v>
      </c>
      <c r="AG578" s="1125"/>
      <c r="AH578" s="598"/>
      <c r="AI578" s="1165">
        <f>+S578</f>
        <v>77.037999999999997</v>
      </c>
      <c r="AJ578" s="598"/>
      <c r="AK578" s="1167">
        <f>AI578/AB578</f>
        <v>44.763509587449157</v>
      </c>
      <c r="AL578" s="598"/>
      <c r="AM578" s="1176">
        <f>(AK578/AK571-1)*100</f>
        <v>-0.8007355424111795</v>
      </c>
      <c r="AN578" s="1124"/>
      <c r="AP578" s="1193"/>
      <c r="AQ578" s="1193"/>
      <c r="AR578" s="1193"/>
      <c r="AS578" s="1193"/>
      <c r="AT578" s="1193"/>
      <c r="AU578" s="1193"/>
      <c r="AV578" s="1193"/>
      <c r="AW578" s="1193"/>
      <c r="AX578" s="1193"/>
      <c r="AY578" s="1193"/>
      <c r="AZ578" s="1193"/>
      <c r="BA578" s="1193"/>
      <c r="BB578" s="1193"/>
      <c r="BC578" s="1193"/>
      <c r="BD578" s="1193"/>
      <c r="BE578" s="1193"/>
      <c r="BF578" s="1193"/>
      <c r="BG578" s="1193"/>
    </row>
    <row r="579" spans="1:59" hidden="1" outlineLevel="1">
      <c r="A579" s="598" t="s">
        <v>530</v>
      </c>
      <c r="B579" s="1157" t="s">
        <v>517</v>
      </c>
      <c r="C579" s="598"/>
      <c r="D579" s="1168">
        <f>(S579/S572-1)*100</f>
        <v>53.724399911913665</v>
      </c>
      <c r="E579" s="598"/>
      <c r="F579" s="1169">
        <f>'SegP&amp;L'!AK84</f>
        <v>-1</v>
      </c>
      <c r="G579" s="598"/>
      <c r="H579" s="1168">
        <f>D579-F579</f>
        <v>54.724399911913665</v>
      </c>
      <c r="I579" s="598"/>
      <c r="J579" s="598">
        <f>yrSales!L$246</f>
        <v>81</v>
      </c>
      <c r="K579" s="1127"/>
      <c r="L579" s="1171">
        <f>AVERAGE(J579,J578)</f>
        <v>75</v>
      </c>
      <c r="M579" s="598"/>
      <c r="N579" s="1168">
        <f>(L579/L572-1)*100</f>
        <v>54.639175257731964</v>
      </c>
      <c r="O579" s="1124"/>
      <c r="P579" s="1171">
        <f>H579/N579*100</f>
        <v>100.15597719727593</v>
      </c>
      <c r="Q579" s="1125"/>
      <c r="R579" s="598"/>
      <c r="S579" s="1172">
        <f>'SegP&amp;L'!AI84</f>
        <v>111.69</v>
      </c>
      <c r="T579" s="598"/>
      <c r="U579" s="1173">
        <f>S579/L579</f>
        <v>1.4892000000000001</v>
      </c>
      <c r="V579" s="598"/>
      <c r="W579" s="1169">
        <f>(U579/U572-1)*100</f>
        <v>-0.59155472362916184</v>
      </c>
      <c r="X579" s="1124"/>
      <c r="Y579" s="598"/>
      <c r="Z579" s="1129">
        <f>yrSales!L$256</f>
        <v>2.1349999999999998</v>
      </c>
      <c r="AA579" s="1127"/>
      <c r="AB579" s="1174">
        <f>AVERAGE(Z579,Z578)</f>
        <v>1.9859999999999998</v>
      </c>
      <c r="AC579" s="598"/>
      <c r="AD579" s="1168">
        <f>(AB579/AB572-1)*100</f>
        <v>51.084062381133499</v>
      </c>
      <c r="AE579" s="1124"/>
      <c r="AF579" s="1171">
        <f>+H579/AD579*100</f>
        <v>107.12617078810204</v>
      </c>
      <c r="AG579" s="1125"/>
      <c r="AH579" s="598"/>
      <c r="AI579" s="1172">
        <f>+S579</f>
        <v>111.69</v>
      </c>
      <c r="AJ579" s="598"/>
      <c r="AK579" s="1175">
        <f>AI579/AB579</f>
        <v>56.238670694864055</v>
      </c>
      <c r="AL579" s="598"/>
      <c r="AM579" s="1169">
        <f>(AK579/AK572-1)*100</f>
        <v>1.7475950071553559</v>
      </c>
      <c r="AN579" s="1124"/>
      <c r="AP579" s="1193"/>
      <c r="AQ579" s="1193"/>
      <c r="AR579" s="1193"/>
      <c r="AS579" s="1193"/>
      <c r="AT579" s="1193"/>
      <c r="AU579" s="1193"/>
      <c r="AV579" s="1193"/>
      <c r="AW579" s="1193"/>
      <c r="AX579" s="1193"/>
      <c r="AY579" s="1193"/>
      <c r="AZ579" s="1193"/>
      <c r="BA579" s="1193"/>
      <c r="BB579" s="1193"/>
      <c r="BC579" s="1193"/>
      <c r="BD579" s="1193"/>
      <c r="BE579" s="1193"/>
      <c r="BF579" s="1193"/>
      <c r="BG579" s="1193"/>
    </row>
    <row r="580" spans="1:59" hidden="1" outlineLevel="1">
      <c r="A580" s="598"/>
      <c r="B580" s="1157" t="s">
        <v>531</v>
      </c>
      <c r="C580" s="598"/>
      <c r="D580" s="1120">
        <f>(S580/S573-1)*100</f>
        <v>52.320970939509692</v>
      </c>
      <c r="E580" s="598"/>
      <c r="F580" s="1158">
        <f>'SegP&amp;L'!AK85</f>
        <v>3</v>
      </c>
      <c r="G580" s="598"/>
      <c r="H580" s="1120">
        <f>D580-F580</f>
        <v>49.320970939509692</v>
      </c>
      <c r="I580" s="598"/>
      <c r="J580" s="1229"/>
      <c r="K580" s="598"/>
      <c r="L580" s="1128">
        <f>AVERAGE(L576:L579)</f>
        <v>62.5</v>
      </c>
      <c r="M580" s="598"/>
      <c r="N580" s="1120">
        <f>(L580/L573-1)*100</f>
        <v>50.602409638554221</v>
      </c>
      <c r="O580" s="1124"/>
      <c r="P580" s="1159">
        <f>H580/N580*100</f>
        <v>97.467633047126284</v>
      </c>
      <c r="Q580" s="1125"/>
      <c r="R580" s="598"/>
      <c r="S580" s="1160">
        <f>yrSales!L$236</f>
        <v>315.01499999999999</v>
      </c>
      <c r="T580" s="598"/>
      <c r="U580" s="1161">
        <f>S580/L580</f>
        <v>5.0402399999999998</v>
      </c>
      <c r="V580" s="598"/>
      <c r="W580" s="1176">
        <f>(U580/U573-1)*100</f>
        <v>1.1411247038344285</v>
      </c>
      <c r="X580" s="1124"/>
      <c r="Y580" s="598"/>
      <c r="Z580" s="598"/>
      <c r="AA580" s="598"/>
      <c r="AB580" s="1163">
        <f>AVERAGE(AB576:AB579)</f>
        <v>1.6677500000000001</v>
      </c>
      <c r="AC580" s="598"/>
      <c r="AD580" s="1120">
        <f>(AB580/AB573-1)*100</f>
        <v>40.693873246862822</v>
      </c>
      <c r="AE580" s="1124"/>
      <c r="AF580" s="1159">
        <f>+H580/AD580*100</f>
        <v>121.19999155723508</v>
      </c>
      <c r="AG580" s="1125"/>
      <c r="AH580" s="598"/>
      <c r="AI580" s="1160">
        <f>SUM(AI576:AI579)</f>
        <v>315.01499999999999</v>
      </c>
      <c r="AJ580" s="598"/>
      <c r="AK580" s="1164">
        <f>SUM(AK576:AK579)</f>
        <v>186.13312117748498</v>
      </c>
      <c r="AL580" s="598"/>
      <c r="AM580" s="1176">
        <f>(AK580/AK573-1)*100</f>
        <v>7.9333369102140727</v>
      </c>
      <c r="AN580" s="1124"/>
      <c r="AP580" s="1193"/>
      <c r="AQ580" s="1193"/>
      <c r="AR580" s="1193"/>
      <c r="AS580" s="1193"/>
      <c r="AT580" s="1193"/>
      <c r="AU580" s="1193"/>
      <c r="AV580" s="1193"/>
      <c r="AW580" s="1193"/>
      <c r="AX580" s="1193"/>
      <c r="AY580" s="1193"/>
      <c r="AZ580" s="1193"/>
      <c r="BA580" s="1193"/>
      <c r="BB580" s="1193"/>
      <c r="BC580" s="1193"/>
      <c r="BD580" s="1193"/>
      <c r="BE580" s="1193"/>
      <c r="BF580" s="1193"/>
      <c r="BG580" s="1193"/>
    </row>
    <row r="581" spans="1:59" hidden="1" outlineLevel="1">
      <c r="A581" s="598"/>
      <c r="B581" s="1157"/>
      <c r="C581" s="598"/>
      <c r="D581" s="598"/>
      <c r="E581" s="598"/>
      <c r="F581" s="598"/>
      <c r="G581" s="598"/>
      <c r="H581" s="598"/>
      <c r="I581" s="598"/>
      <c r="J581" s="1229"/>
      <c r="K581" s="598"/>
      <c r="L581" s="598"/>
      <c r="M581" s="598"/>
      <c r="N581" s="598"/>
      <c r="O581" s="1124"/>
      <c r="P581" s="1125"/>
      <c r="Q581" s="1125"/>
      <c r="R581" s="598"/>
      <c r="S581" s="598"/>
      <c r="T581" s="598"/>
      <c r="U581" s="598"/>
      <c r="V581" s="598"/>
      <c r="W581" s="598"/>
      <c r="X581" s="1124"/>
      <c r="Y581" s="598"/>
      <c r="Z581" s="598"/>
      <c r="AA581" s="598"/>
      <c r="AB581" s="598"/>
      <c r="AC581" s="598"/>
      <c r="AD581" s="598"/>
      <c r="AE581" s="1124"/>
      <c r="AF581" s="1125"/>
      <c r="AG581" s="1125"/>
      <c r="AH581" s="598"/>
      <c r="AI581" s="598"/>
      <c r="AJ581" s="598"/>
      <c r="AK581" s="598"/>
      <c r="AL581" s="598"/>
      <c r="AM581" s="598"/>
      <c r="AN581" s="598"/>
      <c r="AP581" s="1193"/>
      <c r="AQ581" s="1193"/>
      <c r="AR581" s="1193"/>
      <c r="AS581" s="1193"/>
      <c r="AT581" s="1193"/>
      <c r="AU581" s="1193"/>
      <c r="AV581" s="1193"/>
      <c r="AW581" s="1193"/>
      <c r="AX581" s="1193"/>
      <c r="AY581" s="1193"/>
      <c r="AZ581" s="1193"/>
      <c r="BA581" s="1193"/>
      <c r="BB581" s="1193"/>
      <c r="BC581" s="1193"/>
      <c r="BD581" s="1193"/>
      <c r="BE581" s="1193"/>
      <c r="BF581" s="1193"/>
      <c r="BG581" s="1193"/>
    </row>
    <row r="582" spans="1:59" hidden="1" outlineLevel="1" collapsed="1">
      <c r="A582" s="1154"/>
      <c r="B582" s="1155">
        <f>B575+1</f>
        <v>2001</v>
      </c>
      <c r="C582" s="598"/>
      <c r="D582" s="598"/>
      <c r="E582" s="1124"/>
      <c r="F582" s="598"/>
      <c r="G582" s="1124"/>
      <c r="H582" s="598"/>
      <c r="I582" s="1124"/>
      <c r="J582" s="1229"/>
      <c r="K582" s="598"/>
      <c r="L582" s="598"/>
      <c r="M582" s="598"/>
      <c r="N582" s="598"/>
      <c r="O582" s="1124"/>
      <c r="P582" s="1125"/>
      <c r="Q582" s="1125"/>
      <c r="R582" s="598"/>
      <c r="S582" s="598"/>
      <c r="T582" s="598"/>
      <c r="U582" s="598"/>
      <c r="V582" s="598"/>
      <c r="W582" s="598"/>
      <c r="X582" s="1124"/>
      <c r="Y582" s="598"/>
      <c r="Z582" s="598"/>
      <c r="AA582" s="598"/>
      <c r="AB582" s="598"/>
      <c r="AC582" s="598"/>
      <c r="AD582" s="598"/>
      <c r="AE582" s="1124"/>
      <c r="AF582" s="1125"/>
      <c r="AG582" s="1125"/>
      <c r="AH582" s="598"/>
      <c r="AI582" s="598"/>
      <c r="AJ582" s="598"/>
      <c r="AK582" s="598"/>
      <c r="AL582" s="598"/>
      <c r="AM582" s="598"/>
      <c r="AN582" s="1124"/>
      <c r="AP582" s="1193"/>
      <c r="AQ582" s="1193"/>
      <c r="AR582" s="1193"/>
      <c r="AS582" s="1193"/>
      <c r="AT582" s="1193"/>
      <c r="AU582" s="1193"/>
      <c r="AV582" s="1193"/>
      <c r="AW582" s="1193"/>
      <c r="AX582" s="1193"/>
      <c r="AY582" s="1193"/>
      <c r="AZ582" s="1193"/>
      <c r="BA582" s="1193"/>
      <c r="BB582" s="1193"/>
      <c r="BC582" s="1193"/>
      <c r="BD582" s="1193"/>
      <c r="BE582" s="1193"/>
      <c r="BF582" s="1193"/>
      <c r="BG582" s="1193"/>
    </row>
    <row r="583" spans="1:59" hidden="1" outlineLevel="1">
      <c r="A583" s="598" t="s">
        <v>527</v>
      </c>
      <c r="B583" s="1157" t="s">
        <v>514</v>
      </c>
      <c r="C583" s="598"/>
      <c r="D583" s="1120">
        <f>(S583/S576-1)*100</f>
        <v>68.450780444083662</v>
      </c>
      <c r="E583" s="1124" t="s">
        <v>190</v>
      </c>
      <c r="F583" s="1158">
        <f>'SegP&amp;L'!AK88</f>
        <v>4</v>
      </c>
      <c r="G583" s="1124" t="s">
        <v>190</v>
      </c>
      <c r="H583" s="1120">
        <f>D583-F583</f>
        <v>64.450780444083662</v>
      </c>
      <c r="I583" s="1124" t="s">
        <v>190</v>
      </c>
      <c r="J583" s="598">
        <f>Stores!AM105</f>
        <v>93</v>
      </c>
      <c r="K583" s="598" t="s">
        <v>315</v>
      </c>
      <c r="L583" s="1128">
        <f>AVERAGE(J583,J579)</f>
        <v>87</v>
      </c>
      <c r="M583" s="598"/>
      <c r="N583" s="1120">
        <f>(L583/L576-1)*100</f>
        <v>64.150943396226424</v>
      </c>
      <c r="O583" s="1124" t="s">
        <v>190</v>
      </c>
      <c r="P583" s="1159">
        <f>H583/N583*100</f>
        <v>100.46739304518924</v>
      </c>
      <c r="Q583" s="1125" t="s">
        <v>190</v>
      </c>
      <c r="R583" s="598"/>
      <c r="S583" s="1160">
        <f>'SegP&amp;L'!AI88</f>
        <v>99.61</v>
      </c>
      <c r="T583" s="598" t="s">
        <v>315</v>
      </c>
      <c r="U583" s="1161">
        <f>S583/L583</f>
        <v>1.1449425287356321</v>
      </c>
      <c r="V583" s="598"/>
      <c r="W583" s="1176">
        <f>(U583/U576-1)*100</f>
        <v>2.6194409601888902</v>
      </c>
      <c r="X583" s="1124" t="s">
        <v>190</v>
      </c>
      <c r="Y583" s="598"/>
      <c r="Z583" s="1129">
        <f>Stores!AP105</f>
        <v>2.4350000000000001</v>
      </c>
      <c r="AA583" s="598" t="s">
        <v>315</v>
      </c>
      <c r="AB583" s="1163">
        <f>AVERAGE(Z583,Z579)</f>
        <v>2.2850000000000001</v>
      </c>
      <c r="AC583" s="598"/>
      <c r="AD583" s="1120">
        <f>(AB583/AB576-1)*100</f>
        <v>60.238429172510521</v>
      </c>
      <c r="AE583" s="1124" t="s">
        <v>190</v>
      </c>
      <c r="AF583" s="1159">
        <f>+H583/AD583*100</f>
        <v>106.99279733790839</v>
      </c>
      <c r="AG583" s="1125" t="s">
        <v>190</v>
      </c>
      <c r="AH583" s="598"/>
      <c r="AI583" s="1160">
        <f>+S583</f>
        <v>99.61</v>
      </c>
      <c r="AJ583" s="598" t="s">
        <v>315</v>
      </c>
      <c r="AK583" s="1164">
        <f>AI583/AB583</f>
        <v>43.59299781181619</v>
      </c>
      <c r="AL583" s="598"/>
      <c r="AM583" s="1176">
        <f>(AK583/AK576-1)*100</f>
        <v>5.12508223775201</v>
      </c>
      <c r="AN583" s="1124" t="s">
        <v>190</v>
      </c>
      <c r="AP583" s="1193"/>
      <c r="AQ583" s="1193"/>
      <c r="AR583" s="1193"/>
      <c r="AS583" s="1193"/>
      <c r="AT583" s="1193"/>
      <c r="AU583" s="1193"/>
      <c r="AV583" s="1193"/>
      <c r="AW583" s="1193"/>
      <c r="AX583" s="1193"/>
      <c r="AY583" s="1193"/>
      <c r="AZ583" s="1193"/>
      <c r="BA583" s="1193"/>
      <c r="BB583" s="1193"/>
      <c r="BC583" s="1193"/>
      <c r="BD583" s="1193"/>
      <c r="BE583" s="1193"/>
      <c r="BF583" s="1193"/>
      <c r="BG583" s="1193"/>
    </row>
    <row r="584" spans="1:59" hidden="1" outlineLevel="1">
      <c r="A584" s="598" t="s">
        <v>528</v>
      </c>
      <c r="B584" s="1157" t="s">
        <v>515</v>
      </c>
      <c r="C584" s="598"/>
      <c r="D584" s="1120">
        <f>(S584/S577-1)*100</f>
        <v>65.358727700509277</v>
      </c>
      <c r="E584" s="598"/>
      <c r="F584" s="1158">
        <f>'SegP&amp;L'!AK89</f>
        <v>5</v>
      </c>
      <c r="G584" s="598"/>
      <c r="H584" s="1120">
        <f>D584-F584</f>
        <v>60.358727700509277</v>
      </c>
      <c r="I584" s="598"/>
      <c r="J584" s="598">
        <f>Stores!AM106</f>
        <v>99</v>
      </c>
      <c r="K584" s="1127"/>
      <c r="L584" s="1128">
        <f>AVERAGE(J584,J583)</f>
        <v>96</v>
      </c>
      <c r="M584" s="598"/>
      <c r="N584" s="1120">
        <f>(L584/L577-1)*100</f>
        <v>66.956521739130423</v>
      </c>
      <c r="O584" s="1124"/>
      <c r="P584" s="1159">
        <f>H584/N584*100</f>
        <v>90.146151760500885</v>
      </c>
      <c r="Q584" s="1125"/>
      <c r="R584" s="598"/>
      <c r="S584" s="1165">
        <f>'SegP&amp;L'!AI89</f>
        <v>111.045</v>
      </c>
      <c r="T584" s="598"/>
      <c r="U584" s="1166">
        <f>S584/L584</f>
        <v>1.15671875</v>
      </c>
      <c r="V584" s="598"/>
      <c r="W584" s="1176">
        <f>(U584/U577-1)*100</f>
        <v>-0.95701205438245562</v>
      </c>
      <c r="X584" s="1124"/>
      <c r="Y584" s="598"/>
      <c r="Z584" s="1129">
        <f>Stores!AP106</f>
        <v>2.5880000000000001</v>
      </c>
      <c r="AA584" s="1127"/>
      <c r="AB584" s="1163">
        <f>AVERAGE(Z584,Z583)</f>
        <v>2.5114999999999998</v>
      </c>
      <c r="AC584" s="598"/>
      <c r="AD584" s="1120">
        <f>(AB584/AB577-1)*100</f>
        <v>63.296488946683979</v>
      </c>
      <c r="AE584" s="1124"/>
      <c r="AF584" s="1159">
        <f>+H584/AD584*100</f>
        <v>95.358729536089683</v>
      </c>
      <c r="AG584" s="1125"/>
      <c r="AH584" s="598"/>
      <c r="AI584" s="1165">
        <f>+S584</f>
        <v>111.045</v>
      </c>
      <c r="AJ584" s="598"/>
      <c r="AK584" s="1167">
        <f>AI584/AB584</f>
        <v>44.214612781206455</v>
      </c>
      <c r="AL584" s="598"/>
      <c r="AM584" s="1176">
        <f>(AK584/AK577-1)*100</f>
        <v>1.2628800332006085</v>
      </c>
      <c r="AN584" s="1124"/>
      <c r="AP584" s="1193"/>
      <c r="AQ584" s="1193"/>
      <c r="AR584" s="1193"/>
      <c r="AS584" s="1193"/>
      <c r="AT584" s="1193"/>
      <c r="AU584" s="1193"/>
      <c r="AV584" s="1193"/>
      <c r="AW584" s="1193"/>
      <c r="AX584" s="1193"/>
      <c r="AY584" s="1193"/>
      <c r="AZ584" s="1193"/>
      <c r="BA584" s="1193"/>
      <c r="BB584" s="1193"/>
      <c r="BC584" s="1193"/>
      <c r="BD584" s="1193"/>
      <c r="BE584" s="1193"/>
      <c r="BF584" s="1193"/>
      <c r="BG584" s="1193"/>
    </row>
    <row r="585" spans="1:59" hidden="1" outlineLevel="1">
      <c r="A585" s="598" t="s">
        <v>529</v>
      </c>
      <c r="B585" s="1157" t="s">
        <v>516</v>
      </c>
      <c r="C585" s="598"/>
      <c r="D585" s="1120">
        <f>(S585/S578-1)*100</f>
        <v>62.492536150990418</v>
      </c>
      <c r="E585" s="598"/>
      <c r="F585" s="1158">
        <f>'SegP&amp;L'!AK90</f>
        <v>7</v>
      </c>
      <c r="G585" s="598"/>
      <c r="H585" s="1120">
        <f>D585-F585</f>
        <v>55.492536150990418</v>
      </c>
      <c r="I585" s="598"/>
      <c r="J585" s="598">
        <f>Stores!AM107</f>
        <v>109</v>
      </c>
      <c r="K585" s="1127"/>
      <c r="L585" s="1128">
        <f>AVERAGE(J585,J584)</f>
        <v>104</v>
      </c>
      <c r="M585" s="598"/>
      <c r="N585" s="1120">
        <f>(L585/L578-1)*100</f>
        <v>61.240310077519375</v>
      </c>
      <c r="O585" s="1124"/>
      <c r="P585" s="1159">
        <f>H585/N585*100</f>
        <v>90.614394474402076</v>
      </c>
      <c r="Q585" s="1125"/>
      <c r="R585" s="598"/>
      <c r="S585" s="1165">
        <f>'SegP&amp;L'!AI90</f>
        <v>125.181</v>
      </c>
      <c r="T585" s="598"/>
      <c r="U585" s="1166">
        <f>S585/L585</f>
        <v>1.2036634615384616</v>
      </c>
      <c r="V585" s="598"/>
      <c r="W585" s="1176">
        <f>(U585/U578-1)*100</f>
        <v>0.77662097825847987</v>
      </c>
      <c r="X585" s="1124"/>
      <c r="Y585" s="598"/>
      <c r="Z585" s="1129">
        <f>Stores!AP107</f>
        <v>2.798</v>
      </c>
      <c r="AA585" s="1127"/>
      <c r="AB585" s="1163">
        <f>AVERAGE(Z585,Z584)</f>
        <v>2.6930000000000001</v>
      </c>
      <c r="AC585" s="598"/>
      <c r="AD585" s="1120">
        <f>(AB585/AB578-1)*100</f>
        <v>56.478791400348641</v>
      </c>
      <c r="AE585" s="1124"/>
      <c r="AF585" s="1159">
        <f>+H585/AD585*100</f>
        <v>98.253759995735081</v>
      </c>
      <c r="AG585" s="1125"/>
      <c r="AH585" s="598"/>
      <c r="AI585" s="1165">
        <f>+S585</f>
        <v>125.181</v>
      </c>
      <c r="AJ585" s="598"/>
      <c r="AK585" s="1167">
        <f>AI585/AB585</f>
        <v>46.483847010768656</v>
      </c>
      <c r="AL585" s="598"/>
      <c r="AM585" s="1176">
        <f>(AK585/AK578-1)*100</f>
        <v>3.8431692223744873</v>
      </c>
      <c r="AN585" s="1124"/>
      <c r="AP585" s="1193"/>
      <c r="AQ585" s="1193"/>
      <c r="AR585" s="1193"/>
      <c r="AS585" s="1193"/>
      <c r="AT585" s="1193"/>
      <c r="AU585" s="1193"/>
      <c r="AV585" s="1193"/>
      <c r="AW585" s="1193"/>
      <c r="AX585" s="1193"/>
      <c r="AY585" s="1193"/>
      <c r="AZ585" s="1193"/>
      <c r="BA585" s="1193"/>
      <c r="BB585" s="1193"/>
      <c r="BC585" s="1193"/>
      <c r="BD585" s="1193"/>
      <c r="BE585" s="1193"/>
      <c r="BF585" s="1193"/>
      <c r="BG585" s="1193"/>
    </row>
    <row r="586" spans="1:59" hidden="1" outlineLevel="1">
      <c r="A586" s="598" t="s">
        <v>530</v>
      </c>
      <c r="B586" s="1157" t="s">
        <v>517</v>
      </c>
      <c r="C586" s="598"/>
      <c r="D586" s="1168">
        <f>(S586/S579-1)*100</f>
        <v>53.438087563792649</v>
      </c>
      <c r="E586" s="598"/>
      <c r="F586" s="1169">
        <f>'SegP&amp;L'!AK91</f>
        <v>11</v>
      </c>
      <c r="G586" s="598"/>
      <c r="H586" s="1168">
        <f>D586-F586</f>
        <v>42.438087563792649</v>
      </c>
      <c r="I586" s="598"/>
      <c r="J586" s="598">
        <f>yrSales!M$246</f>
        <v>112</v>
      </c>
      <c r="K586" s="1127"/>
      <c r="L586" s="1171">
        <f>AVERAGE(J586,J585)</f>
        <v>110.5</v>
      </c>
      <c r="M586" s="598"/>
      <c r="N586" s="1168">
        <f>(L586/L579-1)*100</f>
        <v>47.333333333333336</v>
      </c>
      <c r="O586" s="1124"/>
      <c r="P586" s="1171">
        <f>H586/N586*100</f>
        <v>89.657931472801366</v>
      </c>
      <c r="Q586" s="1125"/>
      <c r="R586" s="598"/>
      <c r="S586" s="1172">
        <f>'SegP&amp;L'!AI91</f>
        <v>171.375</v>
      </c>
      <c r="T586" s="598"/>
      <c r="U586" s="1173">
        <f>S586/L586</f>
        <v>1.5509049773755657</v>
      </c>
      <c r="V586" s="598"/>
      <c r="W586" s="1169">
        <f>(U586/U579-1)*100</f>
        <v>4.1434983464655906</v>
      </c>
      <c r="X586" s="1124"/>
      <c r="Y586" s="598"/>
      <c r="Z586" s="1129">
        <f>yrSales!M$256</f>
        <v>2.9180000000000001</v>
      </c>
      <c r="AA586" s="1127"/>
      <c r="AB586" s="1174">
        <f>AVERAGE(Z586,Z585)</f>
        <v>2.8580000000000001</v>
      </c>
      <c r="AC586" s="598"/>
      <c r="AD586" s="1168">
        <f>(AB586/AB579-1)*100</f>
        <v>43.907351460221577</v>
      </c>
      <c r="AE586" s="1124"/>
      <c r="AF586" s="1171">
        <f>+H586/AD586*100</f>
        <v>96.653717777169902</v>
      </c>
      <c r="AG586" s="1125"/>
      <c r="AH586" s="598"/>
      <c r="AI586" s="1172">
        <f>+S586</f>
        <v>171.375</v>
      </c>
      <c r="AJ586" s="598"/>
      <c r="AK586" s="1175">
        <f>AI586/AB586</f>
        <v>59.963261021693491</v>
      </c>
      <c r="AL586" s="598"/>
      <c r="AM586" s="1169">
        <f>(AK586/AK579-1)*100</f>
        <v>6.6228278172470789</v>
      </c>
      <c r="AN586" s="1124"/>
      <c r="AP586" s="1193"/>
      <c r="AQ586" s="1193"/>
      <c r="AR586" s="1193"/>
      <c r="AS586" s="1193"/>
      <c r="AT586" s="1193"/>
      <c r="AU586" s="1193"/>
      <c r="AV586" s="1193"/>
      <c r="AW586" s="1193"/>
      <c r="AX586" s="1193"/>
      <c r="AY586" s="1193"/>
      <c r="AZ586" s="1193"/>
      <c r="BA586" s="1193"/>
      <c r="BB586" s="1193"/>
      <c r="BC586" s="1193"/>
      <c r="BD586" s="1193"/>
      <c r="BE586" s="1193"/>
      <c r="BF586" s="1193"/>
      <c r="BG586" s="1193"/>
    </row>
    <row r="587" spans="1:59" hidden="1" outlineLevel="1">
      <c r="A587" s="598"/>
      <c r="B587" s="1157" t="s">
        <v>531</v>
      </c>
      <c r="C587" s="598"/>
      <c r="D587" s="1120">
        <f>(S587/S580-1)*100</f>
        <v>61.011697855657673</v>
      </c>
      <c r="E587" s="598"/>
      <c r="F587" s="1158">
        <f>'SegP&amp;L'!AK92</f>
        <v>7</v>
      </c>
      <c r="G587" s="598"/>
      <c r="H587" s="1120">
        <f>D587-F587</f>
        <v>54.011697855657673</v>
      </c>
      <c r="I587" s="598"/>
      <c r="J587" s="1229"/>
      <c r="K587" s="598"/>
      <c r="L587" s="1128">
        <f>AVERAGE(L583:L586)</f>
        <v>99.375</v>
      </c>
      <c r="M587" s="598"/>
      <c r="N587" s="1120">
        <f>(L587/L580-1)*100</f>
        <v>59.000000000000007</v>
      </c>
      <c r="O587" s="1124"/>
      <c r="P587" s="1159">
        <f>H587/N587*100</f>
        <v>91.545250602809602</v>
      </c>
      <c r="Q587" s="1125"/>
      <c r="R587" s="598"/>
      <c r="S587" s="1160">
        <f>yrSales!M$236</f>
        <v>507.21100000000001</v>
      </c>
      <c r="T587" s="598"/>
      <c r="U587" s="1161">
        <f>SUM(U583:U586)</f>
        <v>5.0562297176496589</v>
      </c>
      <c r="V587" s="598"/>
      <c r="W587" s="1176">
        <f>(U587/U580-1)*100</f>
        <v>0.31724119584899402</v>
      </c>
      <c r="X587" s="1124"/>
      <c r="Y587" s="598"/>
      <c r="Z587" s="598"/>
      <c r="AA587" s="598"/>
      <c r="AB587" s="1163">
        <f>AVERAGE(AB583:AB586)</f>
        <v>2.586875</v>
      </c>
      <c r="AC587" s="598"/>
      <c r="AD587" s="1120">
        <f>(AB587/AB580-1)*100</f>
        <v>55.111677409683701</v>
      </c>
      <c r="AE587" s="1124"/>
      <c r="AF587" s="1159">
        <f>+H587/AD587*100</f>
        <v>98.004089866746185</v>
      </c>
      <c r="AG587" s="1125"/>
      <c r="AH587" s="598"/>
      <c r="AI587" s="1160">
        <f>SUM(AI583:AI586)</f>
        <v>507.21100000000001</v>
      </c>
      <c r="AJ587" s="598"/>
      <c r="AK587" s="1164">
        <f>SUM(AK583:AK586)</f>
        <v>194.25471862548477</v>
      </c>
      <c r="AL587" s="598"/>
      <c r="AM587" s="1176">
        <f>(AK587/AK580-1)*100</f>
        <v>4.3633273845204323</v>
      </c>
      <c r="AN587" s="1124"/>
      <c r="AP587" s="1193"/>
      <c r="AQ587" s="1193"/>
      <c r="AR587" s="1193"/>
      <c r="AS587" s="1193"/>
      <c r="AT587" s="1193"/>
      <c r="AU587" s="1193"/>
      <c r="AV587" s="1193"/>
      <c r="AW587" s="1193"/>
      <c r="AX587" s="1193"/>
      <c r="AY587" s="1193"/>
      <c r="AZ587" s="1193"/>
      <c r="BA587" s="1193"/>
      <c r="BB587" s="1193"/>
      <c r="BC587" s="1193"/>
      <c r="BD587" s="1193"/>
      <c r="BE587" s="1193"/>
      <c r="BF587" s="1193"/>
      <c r="BG587" s="1193"/>
    </row>
    <row r="588" spans="1:59" hidden="1" outlineLevel="1">
      <c r="A588" s="598"/>
      <c r="B588" s="1157"/>
      <c r="C588" s="598"/>
      <c r="D588" s="598"/>
      <c r="E588" s="598"/>
      <c r="F588" s="598"/>
      <c r="G588" s="598"/>
      <c r="H588" s="598"/>
      <c r="I588" s="598"/>
      <c r="J588" s="1229"/>
      <c r="K588" s="598"/>
      <c r="L588" s="598"/>
      <c r="M588" s="598"/>
      <c r="N588" s="598"/>
      <c r="O588" s="1124"/>
      <c r="P588" s="598"/>
      <c r="Q588" s="598"/>
      <c r="R588" s="598"/>
      <c r="S588" s="598"/>
      <c r="T588" s="598"/>
      <c r="U588" s="598"/>
      <c r="V588" s="598"/>
      <c r="W588" s="598"/>
      <c r="X588" s="598"/>
      <c r="Y588" s="598"/>
      <c r="Z588" s="1129"/>
      <c r="AA588" s="598"/>
      <c r="AB588" s="598"/>
      <c r="AC588" s="598"/>
      <c r="AD588" s="598"/>
      <c r="AE588" s="1124"/>
      <c r="AF588" s="598"/>
      <c r="AG588" s="598"/>
      <c r="AH588" s="598"/>
      <c r="AI588" s="598"/>
      <c r="AJ588" s="598"/>
      <c r="AK588" s="598"/>
      <c r="AL588" s="598"/>
      <c r="AM588" s="598"/>
      <c r="AN588" s="598"/>
      <c r="AP588" s="1193"/>
      <c r="AQ588" s="1193"/>
      <c r="AR588" s="1193"/>
      <c r="AS588" s="1193"/>
      <c r="AT588" s="1193"/>
      <c r="AU588" s="1193"/>
      <c r="AV588" s="1193"/>
      <c r="AW588" s="1193"/>
      <c r="AX588" s="1193"/>
      <c r="AY588" s="1193"/>
      <c r="AZ588" s="1193"/>
      <c r="BA588" s="1193"/>
      <c r="BB588" s="1193"/>
      <c r="BC588" s="1193"/>
      <c r="BD588" s="1193"/>
      <c r="BE588" s="1193"/>
      <c r="BF588" s="1193"/>
      <c r="BG588" s="1193"/>
    </row>
    <row r="589" spans="1:59" hidden="1" outlineLevel="1" collapsed="1">
      <c r="A589" s="1154"/>
      <c r="B589" s="1155">
        <v>2002</v>
      </c>
      <c r="C589" s="598"/>
      <c r="D589" s="598"/>
      <c r="E589" s="1124"/>
      <c r="F589" s="598"/>
      <c r="G589" s="1124"/>
      <c r="H589" s="598"/>
      <c r="I589" s="1124"/>
      <c r="J589" s="1229"/>
      <c r="K589" s="598"/>
      <c r="L589" s="598"/>
      <c r="M589" s="598"/>
      <c r="N589" s="598"/>
      <c r="O589" s="1124"/>
      <c r="P589" s="1125"/>
      <c r="Q589" s="1125"/>
      <c r="R589" s="598"/>
      <c r="S589" s="598"/>
      <c r="T589" s="598"/>
      <c r="U589" s="598"/>
      <c r="V589" s="598"/>
      <c r="W589" s="598"/>
      <c r="X589" s="1124"/>
      <c r="Y589" s="598"/>
      <c r="Z589" s="1129"/>
      <c r="AA589" s="598"/>
      <c r="AB589" s="598"/>
      <c r="AC589" s="598"/>
      <c r="AD589" s="598"/>
      <c r="AE589" s="1124"/>
      <c r="AF589" s="1125"/>
      <c r="AG589" s="1125"/>
      <c r="AH589" s="598"/>
      <c r="AI589" s="598"/>
      <c r="AJ589" s="598"/>
      <c r="AK589" s="598"/>
      <c r="AL589" s="598"/>
      <c r="AM589" s="598"/>
      <c r="AN589" s="1124"/>
      <c r="AP589" s="1193"/>
      <c r="AQ589" s="1193"/>
      <c r="AR589" s="1193"/>
      <c r="AS589" s="1193"/>
      <c r="AT589" s="1193"/>
      <c r="AU589" s="1193"/>
      <c r="AV589" s="1193"/>
      <c r="AW589" s="1193"/>
      <c r="AX589" s="1193"/>
      <c r="AY589" s="1193"/>
      <c r="AZ589" s="1193"/>
      <c r="BA589" s="1193"/>
      <c r="BB589" s="1193"/>
      <c r="BC589" s="1193"/>
      <c r="BD589" s="1193"/>
      <c r="BE589" s="1193"/>
      <c r="BF589" s="1193"/>
      <c r="BG589" s="1193"/>
    </row>
    <row r="590" spans="1:59" hidden="1" outlineLevel="1">
      <c r="A590" s="598" t="s">
        <v>527</v>
      </c>
      <c r="B590" s="1157" t="s">
        <v>514</v>
      </c>
      <c r="C590" s="598"/>
      <c r="D590" s="1120">
        <f>(S590/S583-1)*100</f>
        <v>51.424555767493231</v>
      </c>
      <c r="E590" s="1124" t="s">
        <v>190</v>
      </c>
      <c r="F590" s="1158">
        <f>'SegP&amp;L'!AK95</f>
        <v>11</v>
      </c>
      <c r="G590" s="1124" t="s">
        <v>190</v>
      </c>
      <c r="H590" s="1120">
        <f>D590-F590</f>
        <v>40.424555767493231</v>
      </c>
      <c r="I590" s="1124" t="s">
        <v>190</v>
      </c>
      <c r="J590" s="598">
        <f>Stores!AM113</f>
        <v>125</v>
      </c>
      <c r="K590" s="598" t="s">
        <v>315</v>
      </c>
      <c r="L590" s="1128">
        <f>AVERAGE(J590,J586)</f>
        <v>118.5</v>
      </c>
      <c r="M590" s="598"/>
      <c r="N590" s="1120">
        <f>(L590/L583-1)*100</f>
        <v>36.206896551724135</v>
      </c>
      <c r="O590" s="1124" t="s">
        <v>190</v>
      </c>
      <c r="P590" s="1159">
        <f>H590/N590*100</f>
        <v>111.64877307212417</v>
      </c>
      <c r="Q590" s="1125" t="s">
        <v>190</v>
      </c>
      <c r="R590" s="598"/>
      <c r="S590" s="1160">
        <f>'SegP&amp;L'!AI95</f>
        <v>150.834</v>
      </c>
      <c r="T590" s="598" t="s">
        <v>315</v>
      </c>
      <c r="U590" s="1161">
        <f>S590/L590</f>
        <v>1.2728607594936709</v>
      </c>
      <c r="V590" s="598"/>
      <c r="W590" s="1176">
        <f>(U590/U583-1)*100</f>
        <v>11.17245866474188</v>
      </c>
      <c r="X590" s="1124" t="s">
        <v>190</v>
      </c>
      <c r="Y590" s="598"/>
      <c r="Z590" s="1129">
        <f>Stores!AP113</f>
        <v>3.2410000000000001</v>
      </c>
      <c r="AA590" s="598" t="s">
        <v>315</v>
      </c>
      <c r="AB590" s="1163">
        <f>AVERAGE(Z590,Z586)</f>
        <v>3.0795000000000003</v>
      </c>
      <c r="AC590" s="598"/>
      <c r="AD590" s="1120">
        <f>(AB590/AB583-1)*100</f>
        <v>34.770240700218835</v>
      </c>
      <c r="AE590" s="1124" t="s">
        <v>190</v>
      </c>
      <c r="AF590" s="1159">
        <f>+H590/AD590*100</f>
        <v>116.26193823627689</v>
      </c>
      <c r="AG590" s="1125" t="s">
        <v>190</v>
      </c>
      <c r="AH590" s="598"/>
      <c r="AI590" s="1160">
        <f>+S590</f>
        <v>150.834</v>
      </c>
      <c r="AJ590" s="598" t="s">
        <v>315</v>
      </c>
      <c r="AK590" s="1164">
        <f>AI590/AB590</f>
        <v>48.980029225523623</v>
      </c>
      <c r="AL590" s="598"/>
      <c r="AM590" s="1176">
        <f>(AK590/AK583-1)*100</f>
        <v>12.357561269271656</v>
      </c>
      <c r="AN590" s="1124" t="s">
        <v>190</v>
      </c>
      <c r="AP590" s="1193"/>
      <c r="AQ590" s="1193"/>
      <c r="AR590" s="1193"/>
      <c r="AS590" s="1193"/>
      <c r="AT590" s="1193"/>
      <c r="AU590" s="1193"/>
      <c r="AV590" s="1193"/>
      <c r="AW590" s="1193"/>
      <c r="AX590" s="1193"/>
      <c r="AY590" s="1193"/>
      <c r="AZ590" s="1193"/>
      <c r="BA590" s="1193"/>
      <c r="BB590" s="1193"/>
      <c r="BC590" s="1193"/>
      <c r="BD590" s="1193"/>
      <c r="BE590" s="1193"/>
      <c r="BF590" s="1193"/>
      <c r="BG590" s="1193"/>
    </row>
    <row r="591" spans="1:59" hidden="1" outlineLevel="1">
      <c r="A591" s="598" t="s">
        <v>528</v>
      </c>
      <c r="B591" s="1157" t="s">
        <v>515</v>
      </c>
      <c r="C591" s="598"/>
      <c r="D591" s="1120">
        <f>(S591/S584-1)*100</f>
        <v>41.186906209194476</v>
      </c>
      <c r="E591" s="598"/>
      <c r="F591" s="1158">
        <f>'SegP&amp;L'!AK96</f>
        <v>5</v>
      </c>
      <c r="G591" s="598"/>
      <c r="H591" s="1120">
        <f>D591-F591</f>
        <v>36.186906209194476</v>
      </c>
      <c r="I591" s="598"/>
      <c r="J591" s="598">
        <f>Stores!AM114</f>
        <v>132</v>
      </c>
      <c r="K591" s="1127"/>
      <c r="L591" s="1128">
        <f>AVERAGE(J591,J590)</f>
        <v>128.5</v>
      </c>
      <c r="M591" s="598"/>
      <c r="N591" s="1120">
        <f>(L591/L584-1)*100</f>
        <v>33.854166666666671</v>
      </c>
      <c r="O591" s="1124"/>
      <c r="P591" s="1159">
        <f>H591/N591*100</f>
        <v>106.89055372562059</v>
      </c>
      <c r="Q591" s="1125"/>
      <c r="R591" s="598"/>
      <c r="S591" s="1165">
        <f>'SegP&amp;L'!AI96</f>
        <v>156.78100000000001</v>
      </c>
      <c r="T591" s="598"/>
      <c r="U591" s="1166">
        <f>S591/L591</f>
        <v>1.2200856031128404</v>
      </c>
      <c r="V591" s="598"/>
      <c r="W591" s="1176">
        <f>(U591/U584-1)*100</f>
        <v>5.4781556115382823</v>
      </c>
      <c r="X591" s="1124"/>
      <c r="Y591" s="598"/>
      <c r="Z591" s="1129">
        <f>Stores!AP114</f>
        <v>3.3580000000000001</v>
      </c>
      <c r="AA591" s="1127"/>
      <c r="AB591" s="1163">
        <f>AVERAGE(Z591,Z590)</f>
        <v>3.2995000000000001</v>
      </c>
      <c r="AC591" s="598"/>
      <c r="AD591" s="1120">
        <f>(AB591/AB584-1)*100</f>
        <v>31.375671909217616</v>
      </c>
      <c r="AE591" s="1124"/>
      <c r="AF591" s="1159">
        <f>+H591/AD591*100</f>
        <v>115.33428292435516</v>
      </c>
      <c r="AG591" s="1125"/>
      <c r="AH591" s="598"/>
      <c r="AI591" s="1165">
        <f>+S591</f>
        <v>156.78100000000001</v>
      </c>
      <c r="AJ591" s="598"/>
      <c r="AK591" s="1167">
        <f>AI591/AB591</f>
        <v>47.516593423245943</v>
      </c>
      <c r="AL591" s="598"/>
      <c r="AM591" s="1176">
        <f>(AK591/AK584-1)*100</f>
        <v>7.4680754491261769</v>
      </c>
      <c r="AN591" s="1124"/>
      <c r="AP591" s="1193"/>
      <c r="AQ591" s="1193"/>
      <c r="AR591" s="1193"/>
      <c r="AS591" s="1193"/>
      <c r="AT591" s="1193"/>
      <c r="AU591" s="1193"/>
      <c r="AV591" s="1193"/>
      <c r="AW591" s="1193"/>
      <c r="AX591" s="1193"/>
      <c r="AY591" s="1193"/>
      <c r="AZ591" s="1193"/>
      <c r="BA591" s="1193"/>
      <c r="BB591" s="1193"/>
      <c r="BC591" s="1193"/>
      <c r="BD591" s="1193"/>
      <c r="BE591" s="1193"/>
      <c r="BF591" s="1193"/>
      <c r="BG591" s="1193"/>
    </row>
    <row r="592" spans="1:59" hidden="1" outlineLevel="1">
      <c r="A592" s="598" t="s">
        <v>529</v>
      </c>
      <c r="B592" s="1157" t="s">
        <v>516</v>
      </c>
      <c r="C592" s="598"/>
      <c r="D592" s="1120">
        <f>(S592/S585-1)*100</f>
        <v>40.819293662776303</v>
      </c>
      <c r="E592" s="598"/>
      <c r="F592" s="1158">
        <f>'SegP&amp;L'!AK97</f>
        <v>8</v>
      </c>
      <c r="G592" s="598"/>
      <c r="H592" s="1120">
        <f>D592-F592</f>
        <v>32.819293662776303</v>
      </c>
      <c r="I592" s="598"/>
      <c r="J592" s="598">
        <f>Stores!AM115</f>
        <v>139</v>
      </c>
      <c r="K592" s="1127"/>
      <c r="L592" s="1128">
        <f>AVERAGE(J592,J591)</f>
        <v>135.5</v>
      </c>
      <c r="M592" s="598"/>
      <c r="N592" s="1120">
        <f>(L592/L585-1)*100</f>
        <v>30.28846153846154</v>
      </c>
      <c r="O592" s="1124"/>
      <c r="P592" s="1159">
        <f>H592/N592*100</f>
        <v>108.35576320408684</v>
      </c>
      <c r="Q592" s="1125"/>
      <c r="R592" s="598"/>
      <c r="S592" s="1165">
        <f>'SegP&amp;L'!AI97</f>
        <v>176.279</v>
      </c>
      <c r="T592" s="598"/>
      <c r="U592" s="1166">
        <f>S592/L592</f>
        <v>1.3009520295202952</v>
      </c>
      <c r="V592" s="598"/>
      <c r="W592" s="1176">
        <f>(U592/U585-1)*100</f>
        <v>8.0827050991050484</v>
      </c>
      <c r="X592" s="1124"/>
      <c r="Y592" s="598"/>
      <c r="Z592" s="1129">
        <f>Stores!AP115</f>
        <v>3.5459999999999998</v>
      </c>
      <c r="AA592" s="1127"/>
      <c r="AB592" s="1163">
        <f>AVERAGE(Z592,Z591)</f>
        <v>3.452</v>
      </c>
      <c r="AC592" s="598"/>
      <c r="AD592" s="1120">
        <f>(AB592/AB585-1)*100</f>
        <v>28.184181210545844</v>
      </c>
      <c r="AE592" s="1124"/>
      <c r="AF592" s="1159">
        <f>+H592/AD592*100</f>
        <v>116.44579424750545</v>
      </c>
      <c r="AG592" s="1125"/>
      <c r="AH592" s="598"/>
      <c r="AI592" s="1165">
        <f>+S592</f>
        <v>176.279</v>
      </c>
      <c r="AJ592" s="598"/>
      <c r="AK592" s="1167">
        <f>AI592/AB592</f>
        <v>51.065758980301275</v>
      </c>
      <c r="AL592" s="598"/>
      <c r="AM592" s="1176">
        <f>(AK592/AK585-1)*100</f>
        <v>9.8569982137475698</v>
      </c>
      <c r="AN592" s="1124"/>
      <c r="AP592" s="1193"/>
      <c r="AQ592" s="1193"/>
      <c r="AR592" s="1193"/>
      <c r="AS592" s="1193"/>
      <c r="AT592" s="1193"/>
      <c r="AU592" s="1193"/>
      <c r="AV592" s="1193"/>
      <c r="AW592" s="1193"/>
      <c r="AX592" s="1193"/>
      <c r="AY592" s="1193"/>
      <c r="AZ592" s="1193"/>
      <c r="BA592" s="1193"/>
      <c r="BB592" s="1193"/>
      <c r="BC592" s="1193"/>
      <c r="BD592" s="1193"/>
      <c r="BE592" s="1193"/>
      <c r="BF592" s="1193"/>
      <c r="BG592" s="1193"/>
    </row>
    <row r="593" spans="1:59" hidden="1" outlineLevel="1">
      <c r="A593" s="598" t="s">
        <v>530</v>
      </c>
      <c r="B593" s="1157" t="s">
        <v>517</v>
      </c>
      <c r="C593" s="598"/>
      <c r="D593" s="1168">
        <f>(S593/S586-1)*100</f>
        <v>29.060831509846818</v>
      </c>
      <c r="E593" s="598"/>
      <c r="F593" s="1178">
        <f>'SegP&amp;L'!AK98</f>
        <v>2</v>
      </c>
      <c r="G593" s="598"/>
      <c r="H593" s="1168">
        <f>D593-F593</f>
        <v>27.060831509846818</v>
      </c>
      <c r="I593" s="598"/>
      <c r="J593" s="598">
        <f>yrSales!N$246</f>
        <v>142</v>
      </c>
      <c r="K593" s="1127"/>
      <c r="L593" s="1171">
        <f>AVERAGE(J593,J592)</f>
        <v>140.5</v>
      </c>
      <c r="M593" s="598"/>
      <c r="N593" s="1168">
        <f>(L593/L586-1)*100</f>
        <v>27.149321266968318</v>
      </c>
      <c r="O593" s="1124"/>
      <c r="P593" s="1171">
        <f>H593/N593*100</f>
        <v>99.674062727935805</v>
      </c>
      <c r="Q593" s="1125"/>
      <c r="R593" s="598"/>
      <c r="S593" s="1172">
        <f>'SegP&amp;L'!AI98</f>
        <v>221.178</v>
      </c>
      <c r="T593" s="598"/>
      <c r="U593" s="1173">
        <f>S593/L593</f>
        <v>1.574220640569395</v>
      </c>
      <c r="V593" s="598"/>
      <c r="W593" s="1169">
        <f>(U593/U586-1)*100</f>
        <v>1.5033585895948276</v>
      </c>
      <c r="X593" s="1124"/>
      <c r="Y593" s="598"/>
      <c r="Z593" s="1129">
        <f>yrSales!N$256</f>
        <v>3.6110000000000002</v>
      </c>
      <c r="AA593" s="1127"/>
      <c r="AB593" s="1174">
        <f>AVERAGE(Z593,Z592)</f>
        <v>3.5785</v>
      </c>
      <c r="AC593" s="598"/>
      <c r="AD593" s="1168">
        <f>(AB593/AB586-1)*100</f>
        <v>25.209937018894337</v>
      </c>
      <c r="AE593" s="1124"/>
      <c r="AF593" s="1171">
        <f>+H593/AD593*100</f>
        <v>107.34192429582538</v>
      </c>
      <c r="AG593" s="1125"/>
      <c r="AH593" s="598"/>
      <c r="AI593" s="1172">
        <f>+S593</f>
        <v>221.178</v>
      </c>
      <c r="AJ593" s="598"/>
      <c r="AK593" s="1175">
        <f>AI593/AB593</f>
        <v>61.80746122677099</v>
      </c>
      <c r="AL593" s="598"/>
      <c r="AM593" s="1169">
        <f>(AK593/AK586-1)*100</f>
        <v>3.0755502180081606</v>
      </c>
      <c r="AN593" s="1124"/>
      <c r="AP593" s="1193"/>
      <c r="AQ593" s="1193"/>
      <c r="AR593" s="1193"/>
      <c r="AS593" s="1193"/>
      <c r="AT593" s="1193"/>
      <c r="AU593" s="1193"/>
      <c r="AV593" s="1193"/>
      <c r="AW593" s="1193"/>
      <c r="AX593" s="1193"/>
      <c r="AY593" s="1193"/>
      <c r="AZ593" s="1193"/>
      <c r="BA593" s="1193"/>
      <c r="BB593" s="1193"/>
      <c r="BC593" s="1193"/>
      <c r="BD593" s="1193"/>
      <c r="BE593" s="1193"/>
      <c r="BF593" s="1193"/>
      <c r="BG593" s="1193"/>
    </row>
    <row r="594" spans="1:59" hidden="1" outlineLevel="1">
      <c r="A594" s="598"/>
      <c r="B594" s="1157" t="s">
        <v>531</v>
      </c>
      <c r="C594" s="598"/>
      <c r="D594" s="1120">
        <f>(S594/S587-1)*100</f>
        <v>39.009603498346834</v>
      </c>
      <c r="E594" s="598"/>
      <c r="F594" s="1158">
        <f>'SegP&amp;L'!AK99</f>
        <v>6</v>
      </c>
      <c r="G594" s="598"/>
      <c r="H594" s="1120">
        <f>D594-F594</f>
        <v>33.009603498346834</v>
      </c>
      <c r="I594" s="598"/>
      <c r="J594" s="598"/>
      <c r="K594" s="598"/>
      <c r="L594" s="1128">
        <f>AVERAGE(L590:L593)</f>
        <v>130.75</v>
      </c>
      <c r="M594" s="598"/>
      <c r="N594" s="1120">
        <f>(L594/L587-1)*100</f>
        <v>31.572327044025151</v>
      </c>
      <c r="O594" s="1124"/>
      <c r="P594" s="1159">
        <f>H594/N594*100</f>
        <v>104.55232980552087</v>
      </c>
      <c r="Q594" s="1125"/>
      <c r="R594" s="598"/>
      <c r="S594" s="1160">
        <f>SUM(S590:S593)</f>
        <v>705.072</v>
      </c>
      <c r="T594" s="598"/>
      <c r="U594" s="1161">
        <f>SUM(U590:U593)</f>
        <v>5.3681190326962014</v>
      </c>
      <c r="V594" s="598"/>
      <c r="W594" s="1176">
        <f>(U594/U587-1)*100</f>
        <v>6.1684166357758308</v>
      </c>
      <c r="X594" s="1124"/>
      <c r="Y594" s="598"/>
      <c r="Z594" s="598"/>
      <c r="AA594" s="598"/>
      <c r="AB594" s="1163">
        <f>AVERAGE(AB590:AB593)</f>
        <v>3.3523749999999999</v>
      </c>
      <c r="AC594" s="598"/>
      <c r="AD594" s="1120">
        <f>(AB594/AB587-1)*100</f>
        <v>29.591688813723117</v>
      </c>
      <c r="AE594" s="1124"/>
      <c r="AF594" s="1159">
        <f>+H594/AD594*100</f>
        <v>111.55025218783277</v>
      </c>
      <c r="AG594" s="1125"/>
      <c r="AH594" s="598"/>
      <c r="AI594" s="1160">
        <f>SUM(AI590:AI593)</f>
        <v>705.072</v>
      </c>
      <c r="AJ594" s="598"/>
      <c r="AK594" s="1164">
        <f>SUM(AK590:AK593)</f>
        <v>209.36984285584182</v>
      </c>
      <c r="AL594" s="598"/>
      <c r="AM594" s="1176">
        <f>(AK594/AK587-1)*100</f>
        <v>7.7810847207775646</v>
      </c>
      <c r="AN594" s="1124"/>
      <c r="AP594" s="1193"/>
      <c r="AQ594" s="1193"/>
      <c r="AR594" s="1193"/>
      <c r="AS594" s="1193"/>
      <c r="AT594" s="1193"/>
      <c r="AU594" s="1193"/>
      <c r="AV594" s="1193"/>
      <c r="AW594" s="1193"/>
      <c r="AX594" s="1193"/>
      <c r="AY594" s="1193"/>
      <c r="AZ594" s="1193"/>
      <c r="BA594" s="1193"/>
      <c r="BB594" s="1193"/>
      <c r="BC594" s="1193"/>
      <c r="BD594" s="1193"/>
      <c r="BE594" s="1193"/>
      <c r="BF594" s="1193"/>
      <c r="BG594" s="1193"/>
    </row>
    <row r="595" spans="1:59" hidden="1" outlineLevel="1">
      <c r="A595" s="598"/>
      <c r="B595" s="1157"/>
      <c r="C595" s="598"/>
      <c r="D595" s="598"/>
      <c r="E595" s="598"/>
      <c r="F595" s="598"/>
      <c r="G595" s="598"/>
      <c r="H595" s="598"/>
      <c r="I595" s="598"/>
      <c r="J595" s="598"/>
      <c r="K595" s="598"/>
      <c r="L595" s="598"/>
      <c r="M595" s="598"/>
      <c r="N595" s="598"/>
      <c r="O595" s="1124"/>
      <c r="P595" s="598"/>
      <c r="Q595" s="598"/>
      <c r="R595" s="598"/>
      <c r="S595" s="598"/>
      <c r="T595" s="598"/>
      <c r="U595" s="598"/>
      <c r="V595" s="598"/>
      <c r="W595" s="598"/>
      <c r="X595" s="598"/>
      <c r="Y595" s="598"/>
      <c r="Z595" s="598"/>
      <c r="AA595" s="598"/>
      <c r="AB595" s="598"/>
      <c r="AC595" s="598"/>
      <c r="AD595" s="598"/>
      <c r="AE595" s="1124"/>
      <c r="AF595" s="598"/>
      <c r="AG595" s="598"/>
      <c r="AH595" s="598"/>
      <c r="AI595" s="598"/>
      <c r="AJ595" s="598"/>
      <c r="AK595" s="598"/>
      <c r="AL595" s="598"/>
      <c r="AM595" s="598"/>
      <c r="AN595" s="598"/>
      <c r="AP595" s="1193"/>
      <c r="AQ595" s="1193"/>
      <c r="AR595" s="1193"/>
      <c r="AS595" s="1193"/>
      <c r="AT595" s="1193"/>
      <c r="AU595" s="1193"/>
      <c r="AV595" s="1193"/>
      <c r="AW595" s="1193"/>
      <c r="AX595" s="1193"/>
      <c r="AY595" s="1193"/>
      <c r="AZ595" s="1193"/>
      <c r="BA595" s="1193"/>
      <c r="BB595" s="1193"/>
      <c r="BC595" s="1193"/>
      <c r="BD595" s="1193"/>
      <c r="BE595" s="1193"/>
      <c r="BF595" s="1193"/>
      <c r="BG595" s="1193"/>
    </row>
    <row r="596" spans="1:59" hidden="1" outlineLevel="1">
      <c r="A596" s="1154"/>
      <c r="B596" s="1155">
        <v>2003</v>
      </c>
      <c r="C596" s="598"/>
      <c r="D596" s="598"/>
      <c r="E596" s="1124"/>
      <c r="F596" s="598"/>
      <c r="G596" s="1124"/>
      <c r="H596" s="598"/>
      <c r="I596" s="1124"/>
      <c r="J596" s="598"/>
      <c r="K596" s="598"/>
      <c r="L596" s="598"/>
      <c r="M596" s="598"/>
      <c r="N596" s="598"/>
      <c r="O596" s="1124"/>
      <c r="P596" s="1125"/>
      <c r="Q596" s="1125"/>
      <c r="R596" s="598"/>
      <c r="S596" s="598"/>
      <c r="T596" s="598"/>
      <c r="U596" s="598"/>
      <c r="V596" s="598"/>
      <c r="W596" s="598"/>
      <c r="X596" s="1124"/>
      <c r="Y596" s="598"/>
      <c r="Z596" s="598"/>
      <c r="AA596" s="598"/>
      <c r="AB596" s="598"/>
      <c r="AC596" s="598"/>
      <c r="AD596" s="598"/>
      <c r="AE596" s="1124"/>
      <c r="AF596" s="1125"/>
      <c r="AG596" s="1125"/>
      <c r="AH596" s="598"/>
      <c r="AI596" s="598"/>
      <c r="AJ596" s="598"/>
      <c r="AK596" s="598"/>
      <c r="AL596" s="598"/>
      <c r="AM596" s="598"/>
      <c r="AN596" s="1124"/>
      <c r="AP596" s="1193"/>
      <c r="AQ596" s="1193"/>
      <c r="AR596" s="1193"/>
      <c r="AS596" s="1193"/>
      <c r="AT596" s="1193"/>
      <c r="AU596" s="1193"/>
      <c r="AV596" s="1193"/>
      <c r="AW596" s="1193"/>
      <c r="AX596" s="1193"/>
      <c r="AY596" s="1193"/>
      <c r="AZ596" s="1193"/>
      <c r="BA596" s="1193"/>
      <c r="BB596" s="1193"/>
      <c r="BC596" s="1193"/>
      <c r="BD596" s="1193"/>
      <c r="BE596" s="1193"/>
      <c r="BF596" s="1193"/>
      <c r="BG596" s="1193"/>
    </row>
    <row r="597" spans="1:59" hidden="1" outlineLevel="1">
      <c r="A597" s="598" t="s">
        <v>527</v>
      </c>
      <c r="B597" s="1157" t="s">
        <v>514</v>
      </c>
      <c r="C597" s="598"/>
      <c r="D597" s="1120">
        <f>(S597/S590-1)*100</f>
        <v>17.388652425845642</v>
      </c>
      <c r="E597" s="1124" t="s">
        <v>190</v>
      </c>
      <c r="F597" s="1230">
        <f>'SegP&amp;L'!AK102</f>
        <v>-1</v>
      </c>
      <c r="G597" s="1124" t="s">
        <v>190</v>
      </c>
      <c r="H597" s="1120">
        <f>D597-F597</f>
        <v>18.388652425845642</v>
      </c>
      <c r="I597" s="1124" t="s">
        <v>190</v>
      </c>
      <c r="J597" s="598">
        <f>Stores!AM121</f>
        <v>146</v>
      </c>
      <c r="K597" s="598" t="s">
        <v>315</v>
      </c>
      <c r="L597" s="1128">
        <f>AVERAGE(J597,J593)</f>
        <v>144</v>
      </c>
      <c r="M597" s="598"/>
      <c r="N597" s="1120">
        <f>(L597/L590-1)*100</f>
        <v>21.518987341772156</v>
      </c>
      <c r="O597" s="1124" t="s">
        <v>190</v>
      </c>
      <c r="P597" s="1159">
        <f>H597/N597*100</f>
        <v>85.453149508341497</v>
      </c>
      <c r="Q597" s="1125" t="s">
        <v>190</v>
      </c>
      <c r="R597" s="598"/>
      <c r="S597" s="1160">
        <f>'SegP&amp;L'!AI102</f>
        <v>177.06200000000001</v>
      </c>
      <c r="T597" s="598" t="s">
        <v>315</v>
      </c>
      <c r="U597" s="1161">
        <f>S597/L597</f>
        <v>1.2295972222222222</v>
      </c>
      <c r="V597" s="598"/>
      <c r="W597" s="1176">
        <f>(U597/U590-1)*100</f>
        <v>-3.3989214412312063</v>
      </c>
      <c r="X597" s="1124" t="s">
        <v>190</v>
      </c>
      <c r="Y597" s="598"/>
      <c r="Z597" s="1129">
        <f>Stores!AP121</f>
        <v>3.714</v>
      </c>
      <c r="AA597" s="598" t="s">
        <v>315</v>
      </c>
      <c r="AB597" s="1163">
        <f>AVERAGE(Z597,Z593)</f>
        <v>3.6625000000000001</v>
      </c>
      <c r="AC597" s="598"/>
      <c r="AD597" s="1120">
        <f>(AB597/AB590-1)*100</f>
        <v>18.931644747523933</v>
      </c>
      <c r="AE597" s="1124" t="s">
        <v>190</v>
      </c>
      <c r="AF597" s="1159">
        <f>+H597/AD597*100</f>
        <v>97.131827007532934</v>
      </c>
      <c r="AG597" s="1125" t="s">
        <v>190</v>
      </c>
      <c r="AH597" s="598"/>
      <c r="AI597" s="1160">
        <f>+S597</f>
        <v>177.06200000000001</v>
      </c>
      <c r="AJ597" s="598" t="s">
        <v>315</v>
      </c>
      <c r="AK597" s="1164">
        <f>AI597/AB597</f>
        <v>48.344573378839591</v>
      </c>
      <c r="AL597" s="598"/>
      <c r="AM597" s="1176">
        <f>(AK597/AK590-1)*100</f>
        <v>-1.2973774347053602</v>
      </c>
      <c r="AN597" s="1124" t="s">
        <v>190</v>
      </c>
      <c r="AP597" s="1193"/>
      <c r="AQ597" s="1193"/>
      <c r="AR597" s="1193"/>
      <c r="AS597" s="1193"/>
      <c r="AT597" s="1193"/>
      <c r="AU597" s="1193"/>
      <c r="AV597" s="1193"/>
      <c r="AW597" s="1193"/>
      <c r="AX597" s="1193"/>
      <c r="AY597" s="1193"/>
      <c r="AZ597" s="1193"/>
      <c r="BA597" s="1193"/>
      <c r="BB597" s="1193"/>
      <c r="BC597" s="1193"/>
      <c r="BD597" s="1193"/>
      <c r="BE597" s="1193"/>
      <c r="BF597" s="1193"/>
      <c r="BG597" s="1193"/>
    </row>
    <row r="598" spans="1:59" hidden="1" outlineLevel="1">
      <c r="A598" s="598" t="s">
        <v>528</v>
      </c>
      <c r="B598" s="1157" t="s">
        <v>515</v>
      </c>
      <c r="C598" s="598"/>
      <c r="D598" s="1120">
        <f>(S598/S591-1)*100</f>
        <v>23.08570553829863</v>
      </c>
      <c r="E598" s="598"/>
      <c r="F598" s="1179">
        <f>'SegP&amp;L'!AK103</f>
        <v>4</v>
      </c>
      <c r="G598" s="598"/>
      <c r="H598" s="1120">
        <f>D598-F598</f>
        <v>19.08570553829863</v>
      </c>
      <c r="I598" s="598"/>
      <c r="J598" s="598">
        <f>Stores!AM122</f>
        <v>160</v>
      </c>
      <c r="K598" s="1127"/>
      <c r="L598" s="1128">
        <f>AVERAGE(J598,J597)</f>
        <v>153</v>
      </c>
      <c r="M598" s="598"/>
      <c r="N598" s="1120">
        <f>(L598/L591-1)*100</f>
        <v>19.066147859922179</v>
      </c>
      <c r="O598" s="1124"/>
      <c r="P598" s="1159">
        <f>H598/N598*100</f>
        <v>100.10257802740301</v>
      </c>
      <c r="Q598" s="1125"/>
      <c r="R598" s="598"/>
      <c r="S598" s="1165">
        <f>'SegP&amp;L'!AI103</f>
        <v>192.97499999999999</v>
      </c>
      <c r="T598" s="598"/>
      <c r="U598" s="1166">
        <f>S598/L598</f>
        <v>1.2612745098039215</v>
      </c>
      <c r="V598" s="598"/>
      <c r="W598" s="1176">
        <f>(U598/U591-1)*100</f>
        <v>3.3759030174599802</v>
      </c>
      <c r="X598" s="1124"/>
      <c r="Y598" s="598"/>
      <c r="Z598" s="1129">
        <f>Stores!AP122</f>
        <v>4.0270000000000001</v>
      </c>
      <c r="AA598" s="1127"/>
      <c r="AB598" s="1163">
        <f>AVERAGE(Z598,Z597)</f>
        <v>3.8704999999999998</v>
      </c>
      <c r="AC598" s="598"/>
      <c r="AD598" s="1120">
        <f>(AB598/AB591-1)*100</f>
        <v>17.305652371571444</v>
      </c>
      <c r="AE598" s="1124"/>
      <c r="AF598" s="1159">
        <f>+H598/AD598*100</f>
        <v>110.28596396430184</v>
      </c>
      <c r="AG598" s="1125"/>
      <c r="AH598" s="598"/>
      <c r="AI598" s="1165">
        <f>+S598</f>
        <v>192.97499999999999</v>
      </c>
      <c r="AJ598" s="598"/>
      <c r="AK598" s="1167">
        <f>AI598/AB598</f>
        <v>49.857899496189127</v>
      </c>
      <c r="AL598" s="598"/>
      <c r="AM598" s="1176">
        <f>(AK598/AK591-1)*100</f>
        <v>4.9273441218489644</v>
      </c>
      <c r="AN598" s="1124"/>
      <c r="AP598" s="1193"/>
      <c r="AQ598" s="1193"/>
      <c r="AR598" s="1193"/>
      <c r="AS598" s="1193"/>
      <c r="AT598" s="1193"/>
      <c r="AU598" s="1193"/>
      <c r="AV598" s="1193"/>
      <c r="AW598" s="1193"/>
      <c r="AX598" s="1193"/>
      <c r="AY598" s="1193"/>
      <c r="AZ598" s="1193"/>
      <c r="BA598" s="1193"/>
      <c r="BB598" s="1193"/>
      <c r="BC598" s="1193"/>
      <c r="BD598" s="1193"/>
      <c r="BE598" s="1193"/>
      <c r="BF598" s="1193"/>
      <c r="BG598" s="1193"/>
    </row>
    <row r="599" spans="1:59" hidden="1" outlineLevel="1">
      <c r="A599" s="598" t="s">
        <v>529</v>
      </c>
      <c r="B599" s="1157" t="s">
        <v>516</v>
      </c>
      <c r="C599" s="598"/>
      <c r="D599" s="1120">
        <f>(S599/S592-1)*100</f>
        <v>24.366487216287823</v>
      </c>
      <c r="E599" s="598"/>
      <c r="F599" s="1179">
        <f>'SegP&amp;L'!AK104</f>
        <v>2</v>
      </c>
      <c r="G599" s="598"/>
      <c r="H599" s="1120">
        <f>D599-F599</f>
        <v>22.366487216287823</v>
      </c>
      <c r="I599" s="598"/>
      <c r="J599" s="598">
        <f>Stores!AM123</f>
        <v>175</v>
      </c>
      <c r="K599" s="1127"/>
      <c r="L599" s="1128">
        <f>AVERAGE(J599,J598)</f>
        <v>167.5</v>
      </c>
      <c r="M599" s="598"/>
      <c r="N599" s="1120">
        <f>(L599/L592-1)*100</f>
        <v>23.616236162361616</v>
      </c>
      <c r="O599" s="1124"/>
      <c r="P599" s="1159">
        <f>H599/N599*100</f>
        <v>94.70809430646878</v>
      </c>
      <c r="Q599" s="1125"/>
      <c r="R599" s="598"/>
      <c r="S599" s="1165">
        <f>'SegP&amp;L'!AI104</f>
        <v>219.232</v>
      </c>
      <c r="T599" s="598"/>
      <c r="U599" s="1166">
        <f>S599/L599</f>
        <v>1.3088477611940299</v>
      </c>
      <c r="V599" s="598"/>
      <c r="W599" s="1176">
        <f>(U599/U592-1)*100</f>
        <v>0.60691950929552263</v>
      </c>
      <c r="X599" s="1124"/>
      <c r="Y599" s="598"/>
      <c r="Z599" s="1129">
        <f>Stores!AP123</f>
        <v>4.3849999999999998</v>
      </c>
      <c r="AA599" s="1127"/>
      <c r="AB599" s="1163">
        <f>AVERAGE(Z599,Z598)</f>
        <v>4.2059999999999995</v>
      </c>
      <c r="AC599" s="598"/>
      <c r="AD599" s="1120">
        <f>(AB599/AB592-1)*100</f>
        <v>21.842410196987249</v>
      </c>
      <c r="AE599" s="1124"/>
      <c r="AF599" s="1159">
        <f>+H599/AD599*100</f>
        <v>102.39935526608168</v>
      </c>
      <c r="AG599" s="1125"/>
      <c r="AH599" s="598"/>
      <c r="AI599" s="1165">
        <f>+S599</f>
        <v>219.232</v>
      </c>
      <c r="AJ599" s="598"/>
      <c r="AK599" s="1167">
        <f>AI599/AB599</f>
        <v>52.123632905373285</v>
      </c>
      <c r="AL599" s="598"/>
      <c r="AM599" s="1176">
        <f>(AK599/AK592-1)*100</f>
        <v>2.0715915051416012</v>
      </c>
      <c r="AN599" s="1124"/>
      <c r="AP599" s="1193"/>
      <c r="AQ599" s="1193"/>
      <c r="AR599" s="1193"/>
      <c r="AS599" s="1193"/>
      <c r="AT599" s="1193"/>
      <c r="AU599" s="1193"/>
      <c r="AV599" s="1193"/>
      <c r="AW599" s="1193"/>
      <c r="AX599" s="1193"/>
      <c r="AY599" s="1193"/>
      <c r="AZ599" s="1193"/>
      <c r="BA599" s="1193"/>
      <c r="BB599" s="1193"/>
      <c r="BC599" s="1193"/>
      <c r="BD599" s="1193"/>
      <c r="BE599" s="1193"/>
      <c r="BF599" s="1193"/>
      <c r="BG599" s="1193"/>
    </row>
    <row r="600" spans="1:59" hidden="1" outlineLevel="1">
      <c r="A600" s="598" t="s">
        <v>530</v>
      </c>
      <c r="B600" s="1157" t="s">
        <v>517</v>
      </c>
      <c r="C600" s="598"/>
      <c r="D600" s="1168">
        <f>(S600/S593-1)*100</f>
        <v>29.880458273426825</v>
      </c>
      <c r="E600" s="598"/>
      <c r="F600" s="1178">
        <f>'SegP&amp;L'!AK105</f>
        <v>-1</v>
      </c>
      <c r="G600" s="598"/>
      <c r="H600" s="1168">
        <f>D600-F600</f>
        <v>30.880458273426825</v>
      </c>
      <c r="I600" s="598"/>
      <c r="J600" s="598">
        <f>yrSales!O$246</f>
        <v>182</v>
      </c>
      <c r="K600" s="1127"/>
      <c r="L600" s="1171">
        <f>AVERAGE(J600,J599)</f>
        <v>178.5</v>
      </c>
      <c r="M600" s="598"/>
      <c r="N600" s="1168">
        <f>(L600/L593-1)*100</f>
        <v>27.046263345195733</v>
      </c>
      <c r="O600" s="1124"/>
      <c r="P600" s="1171">
        <f>H600/N600*100</f>
        <v>114.17643124780179</v>
      </c>
      <c r="Q600" s="1125"/>
      <c r="R600" s="598"/>
      <c r="S600" s="1172">
        <f>'SegP&amp;L'!AI105</f>
        <v>287.267</v>
      </c>
      <c r="T600" s="598"/>
      <c r="U600" s="1173">
        <f>S600/L600</f>
        <v>1.6093389355742296</v>
      </c>
      <c r="V600" s="598"/>
      <c r="W600" s="1169">
        <f>(U600/U593-1)*100</f>
        <v>2.2308369042939313</v>
      </c>
      <c r="X600" s="1124"/>
      <c r="Y600" s="598"/>
      <c r="Z600" s="1129">
        <f>yrSales!O$256</f>
        <v>4.5590000000000002</v>
      </c>
      <c r="AA600" s="1127"/>
      <c r="AB600" s="1174">
        <f>AVERAGE(Z600,Z599)</f>
        <v>4.4719999999999995</v>
      </c>
      <c r="AC600" s="598"/>
      <c r="AD600" s="1168">
        <f>(AB600/AB593-1)*100</f>
        <v>24.968562246751414</v>
      </c>
      <c r="AE600" s="1124"/>
      <c r="AF600" s="1171">
        <f>+H600/AD600*100</f>
        <v>123.67735862502292</v>
      </c>
      <c r="AG600" s="1125"/>
      <c r="AH600" s="598"/>
      <c r="AI600" s="1172">
        <f>+S600</f>
        <v>287.267</v>
      </c>
      <c r="AJ600" s="598"/>
      <c r="AK600" s="1175">
        <f>AI600/AB600</f>
        <v>64.236806797853319</v>
      </c>
      <c r="AL600" s="598"/>
      <c r="AM600" s="1169">
        <f>(AK600/AK593-1)*100</f>
        <v>3.9305053513993826</v>
      </c>
      <c r="AN600" s="1124"/>
      <c r="AP600" s="1193"/>
      <c r="AQ600" s="1193"/>
      <c r="AR600" s="1193"/>
      <c r="AS600" s="1193"/>
      <c r="AT600" s="1193"/>
      <c r="AU600" s="1193"/>
      <c r="AV600" s="1193"/>
      <c r="AW600" s="1193"/>
      <c r="AX600" s="1193"/>
      <c r="AY600" s="1193"/>
      <c r="AZ600" s="1193"/>
      <c r="BA600" s="1193"/>
      <c r="BB600" s="1193"/>
      <c r="BC600" s="1193"/>
      <c r="BD600" s="1193"/>
      <c r="BE600" s="1193"/>
      <c r="BF600" s="1193"/>
      <c r="BG600" s="1193"/>
    </row>
    <row r="601" spans="1:59" hidden="1" outlineLevel="1">
      <c r="A601" s="598"/>
      <c r="B601" s="1157" t="s">
        <v>531</v>
      </c>
      <c r="C601" s="598"/>
      <c r="D601" s="1120">
        <f>(S601/S594-1)*100</f>
        <v>24.318651144847635</v>
      </c>
      <c r="E601" s="598"/>
      <c r="F601" s="1179">
        <f>(S597/S601*F597)+(S598/S601*F598)+(S599/S601*F599)+(S600/S601*F600)</f>
        <v>0.85111735285259249</v>
      </c>
      <c r="G601" s="598"/>
      <c r="H601" s="1120">
        <f>D601-F601</f>
        <v>23.467533791995042</v>
      </c>
      <c r="I601" s="598"/>
      <c r="J601" s="598"/>
      <c r="K601" s="598"/>
      <c r="L601" s="1128">
        <f>AVERAGE(L597:L600)</f>
        <v>160.75</v>
      </c>
      <c r="M601" s="598"/>
      <c r="N601" s="1120">
        <f>(L601/L594-1)*100</f>
        <v>22.944550669216056</v>
      </c>
      <c r="O601" s="1124"/>
      <c r="P601" s="1159">
        <f>H601/N601*100</f>
        <v>102.27933477677841</v>
      </c>
      <c r="Q601" s="1125"/>
      <c r="R601" s="598"/>
      <c r="S601" s="1160">
        <f>SUM(S597:S600)</f>
        <v>876.53600000000006</v>
      </c>
      <c r="T601" s="598"/>
      <c r="U601" s="1161">
        <f>SUM(U597:U600)</f>
        <v>5.4090584287944035</v>
      </c>
      <c r="V601" s="598"/>
      <c r="W601" s="1176">
        <f>(U601/U594-1)*100</f>
        <v>0.76263949902839467</v>
      </c>
      <c r="X601" s="1124"/>
      <c r="Y601" s="598"/>
      <c r="Z601" s="598"/>
      <c r="AA601" s="598"/>
      <c r="AB601" s="1163">
        <f>AVERAGE(AB597:AB600)</f>
        <v>4.0527499999999996</v>
      </c>
      <c r="AC601" s="598"/>
      <c r="AD601" s="1120">
        <f>(AB601/AB594-1)*100</f>
        <v>20.891904992729039</v>
      </c>
      <c r="AE601" s="1124"/>
      <c r="AF601" s="1159">
        <f>+H601/AD601*100</f>
        <v>112.32835780251918</v>
      </c>
      <c r="AG601" s="1125"/>
      <c r="AH601" s="598"/>
      <c r="AI601" s="1160">
        <f>SUM(AI597:AI600)</f>
        <v>876.53600000000006</v>
      </c>
      <c r="AJ601" s="598"/>
      <c r="AK601" s="1164">
        <f>SUM(AK597:AK600)</f>
        <v>214.56291257825532</v>
      </c>
      <c r="AL601" s="598"/>
      <c r="AM601" s="1176">
        <f>(AK601/AK594-1)*100</f>
        <v>2.4803331996523958</v>
      </c>
      <c r="AN601" s="1124"/>
      <c r="AP601" s="1193"/>
      <c r="AQ601" s="1193"/>
      <c r="AR601" s="1193"/>
      <c r="AS601" s="1193"/>
      <c r="AT601" s="1193"/>
      <c r="AU601" s="1193"/>
      <c r="AV601" s="1193"/>
      <c r="AW601" s="1193"/>
      <c r="AX601" s="1193"/>
      <c r="AY601" s="1193"/>
      <c r="AZ601" s="1193"/>
      <c r="BA601" s="1193"/>
      <c r="BB601" s="1193"/>
      <c r="BC601" s="1193"/>
      <c r="BD601" s="1193"/>
      <c r="BE601" s="1193"/>
      <c r="BF601" s="1193"/>
      <c r="BG601" s="1193"/>
    </row>
    <row r="602" spans="1:59" hidden="1" outlineLevel="1">
      <c r="A602" s="598"/>
      <c r="B602" s="1157"/>
      <c r="C602" s="598"/>
      <c r="D602" s="598"/>
      <c r="E602" s="598"/>
      <c r="F602" s="598"/>
      <c r="G602" s="598"/>
      <c r="H602" s="598"/>
      <c r="I602" s="598"/>
      <c r="J602" s="598"/>
      <c r="K602" s="598"/>
      <c r="L602" s="598"/>
      <c r="M602" s="598"/>
      <c r="N602" s="598"/>
      <c r="O602" s="1124"/>
      <c r="P602" s="598"/>
      <c r="Q602" s="598"/>
      <c r="R602" s="598"/>
      <c r="S602" s="598"/>
      <c r="T602" s="598"/>
      <c r="U602" s="598"/>
      <c r="V602" s="598"/>
      <c r="W602" s="598"/>
      <c r="X602" s="598"/>
      <c r="Y602" s="598"/>
      <c r="Z602" s="598"/>
      <c r="AA602" s="598"/>
      <c r="AB602" s="598"/>
      <c r="AC602" s="598"/>
      <c r="AD602" s="598"/>
      <c r="AE602" s="1124"/>
      <c r="AF602" s="598"/>
      <c r="AG602" s="598"/>
      <c r="AH602" s="598"/>
      <c r="AI602" s="598"/>
      <c r="AJ602" s="598"/>
      <c r="AK602" s="598"/>
      <c r="AL602" s="598"/>
      <c r="AM602" s="598"/>
      <c r="AN602" s="598"/>
      <c r="AP602" s="1193"/>
      <c r="AQ602" s="1193"/>
      <c r="AR602" s="1193"/>
      <c r="AS602" s="1193"/>
      <c r="AT602" s="1193"/>
      <c r="AU602" s="1193"/>
      <c r="AV602" s="1193"/>
      <c r="AW602" s="1193"/>
      <c r="AX602" s="1193"/>
      <c r="AY602" s="1193"/>
      <c r="AZ602" s="1193"/>
      <c r="BA602" s="1193"/>
      <c r="BB602" s="1193"/>
      <c r="BC602" s="1193"/>
      <c r="BD602" s="1193"/>
      <c r="BE602" s="1193"/>
      <c r="BF602" s="1193"/>
      <c r="BG602" s="1193"/>
    </row>
    <row r="603" spans="1:59" hidden="1" outlineLevel="1" collapsed="1">
      <c r="A603" s="1154"/>
      <c r="B603" s="1155">
        <f>+B596+1</f>
        <v>2004</v>
      </c>
      <c r="C603" s="598"/>
      <c r="D603" s="598"/>
      <c r="E603" s="1124"/>
      <c r="F603" s="598"/>
      <c r="G603" s="1124"/>
      <c r="H603" s="598"/>
      <c r="I603" s="1124"/>
      <c r="J603" s="598"/>
      <c r="K603" s="598"/>
      <c r="L603" s="598"/>
      <c r="M603" s="598"/>
      <c r="N603" s="598"/>
      <c r="O603" s="1124"/>
      <c r="P603" s="1125"/>
      <c r="Q603" s="1125"/>
      <c r="R603" s="598"/>
      <c r="S603" s="598"/>
      <c r="T603" s="598"/>
      <c r="U603" s="598"/>
      <c r="V603" s="598"/>
      <c r="W603" s="598"/>
      <c r="X603" s="1124"/>
      <c r="Y603" s="598"/>
      <c r="Z603" s="598"/>
      <c r="AA603" s="598"/>
      <c r="AB603" s="598"/>
      <c r="AC603" s="598"/>
      <c r="AD603" s="598"/>
      <c r="AE603" s="1124"/>
      <c r="AF603" s="1125"/>
      <c r="AG603" s="1125"/>
      <c r="AH603" s="598"/>
      <c r="AI603" s="598"/>
      <c r="AJ603" s="598"/>
      <c r="AK603" s="598"/>
      <c r="AL603" s="598"/>
      <c r="AM603" s="598"/>
      <c r="AN603" s="1124"/>
      <c r="AP603" s="1193"/>
      <c r="AQ603" s="1193"/>
      <c r="AR603" s="1193"/>
      <c r="AS603" s="1193"/>
      <c r="AT603" s="1193"/>
      <c r="AU603" s="1193"/>
      <c r="AV603" s="1193"/>
      <c r="AW603" s="1193"/>
      <c r="AX603" s="1193"/>
      <c r="AY603" s="1193"/>
      <c r="AZ603" s="1193"/>
      <c r="BA603" s="1193"/>
      <c r="BB603" s="1193"/>
      <c r="BC603" s="1193"/>
      <c r="BD603" s="1193"/>
      <c r="BE603" s="1193"/>
      <c r="BF603" s="1193"/>
      <c r="BG603" s="1193"/>
    </row>
    <row r="604" spans="1:59" hidden="1" outlineLevel="1">
      <c r="A604" s="598" t="s">
        <v>527</v>
      </c>
      <c r="B604" s="1157" t="s">
        <v>514</v>
      </c>
      <c r="C604" s="598"/>
      <c r="D604" s="1120">
        <f>(S604/S597-1)*100</f>
        <v>27.882888479741542</v>
      </c>
      <c r="E604" s="1124" t="s">
        <v>190</v>
      </c>
      <c r="F604" s="1179">
        <f>'SegP&amp;L'!AK109</f>
        <v>4</v>
      </c>
      <c r="G604" s="1124" t="s">
        <v>190</v>
      </c>
      <c r="H604" s="1120">
        <f>D604-F604</f>
        <v>23.882888479741542</v>
      </c>
      <c r="I604" s="1124" t="s">
        <v>190</v>
      </c>
      <c r="J604" s="598">
        <f>Stores!AM129</f>
        <v>185</v>
      </c>
      <c r="K604" s="598"/>
      <c r="L604" s="1128">
        <f>AVERAGE(J604,J600)</f>
        <v>183.5</v>
      </c>
      <c r="M604" s="598"/>
      <c r="N604" s="1120">
        <f>(L604/L597-1)*100</f>
        <v>27.430555555555557</v>
      </c>
      <c r="O604" s="1124" t="s">
        <v>190</v>
      </c>
      <c r="P604" s="1159">
        <f>H604/N604*100</f>
        <v>87.066732685640048</v>
      </c>
      <c r="Q604" s="1125" t="s">
        <v>190</v>
      </c>
      <c r="R604" s="598"/>
      <c r="S604" s="1160">
        <f>'SegP&amp;L'!AI109</f>
        <v>226.43199999999999</v>
      </c>
      <c r="T604" s="598"/>
      <c r="U604" s="1161">
        <f>S604/L604</f>
        <v>1.2339618528610354</v>
      </c>
      <c r="V604" s="598"/>
      <c r="W604" s="1176">
        <f>(U604/U597-1)*100</f>
        <v>0.35496425658192443</v>
      </c>
      <c r="X604" s="1124" t="s">
        <v>190</v>
      </c>
      <c r="Y604" s="598"/>
      <c r="Z604" s="1129">
        <f>Stores!AP129</f>
        <v>4.5852866666666667</v>
      </c>
      <c r="AA604" s="598"/>
      <c r="AB604" s="1163">
        <f>AVERAGE(Z604,Z600)</f>
        <v>4.572143333333333</v>
      </c>
      <c r="AC604" s="598"/>
      <c r="AD604" s="1120">
        <f>(AB604/AB597-1)*100</f>
        <v>24.836678043230933</v>
      </c>
      <c r="AE604" s="1124" t="s">
        <v>190</v>
      </c>
      <c r="AF604" s="1159">
        <f>+H604/AD604*100</f>
        <v>96.159753885647604</v>
      </c>
      <c r="AG604" s="1125" t="s">
        <v>190</v>
      </c>
      <c r="AH604" s="598"/>
      <c r="AI604" s="1160">
        <f>+S604</f>
        <v>226.43199999999999</v>
      </c>
      <c r="AJ604" s="598"/>
      <c r="AK604" s="1164">
        <f>AI604/AB604</f>
        <v>49.524256676117623</v>
      </c>
      <c r="AL604" s="598"/>
      <c r="AM604" s="1176">
        <f>(AK604/AK597-1)*100</f>
        <v>2.4401565984123019</v>
      </c>
      <c r="AN604" s="1124" t="s">
        <v>190</v>
      </c>
      <c r="AP604" s="1193"/>
      <c r="AQ604" s="1193"/>
      <c r="AR604" s="1193"/>
      <c r="AS604" s="1193"/>
      <c r="AT604" s="1193"/>
      <c r="AU604" s="1193"/>
      <c r="AV604" s="1193"/>
      <c r="AW604" s="1193"/>
      <c r="AX604" s="1193"/>
      <c r="AY604" s="1193"/>
      <c r="AZ604" s="1193"/>
      <c r="BA604" s="1193"/>
      <c r="BB604" s="1193"/>
      <c r="BC604" s="1193"/>
      <c r="BD604" s="1193"/>
      <c r="BE604" s="1193"/>
      <c r="BF604" s="1193"/>
      <c r="BG604" s="1193"/>
    </row>
    <row r="605" spans="1:59" hidden="1" outlineLevel="1">
      <c r="A605" s="598" t="s">
        <v>528</v>
      </c>
      <c r="B605" s="1157" t="s">
        <v>515</v>
      </c>
      <c r="C605" s="598"/>
      <c r="D605" s="1120">
        <f>(S605/S598-1)*100</f>
        <v>15.081746340199519</v>
      </c>
      <c r="E605" s="598"/>
      <c r="F605" s="1179">
        <f>'SegP&amp;L'!AK110</f>
        <v>-1</v>
      </c>
      <c r="G605" s="598"/>
      <c r="H605" s="1120">
        <f>D605-F605</f>
        <v>16.081746340199519</v>
      </c>
      <c r="I605" s="598"/>
      <c r="J605" s="598">
        <f>Stores!AM130</f>
        <v>192</v>
      </c>
      <c r="K605" s="1127"/>
      <c r="L605" s="1128">
        <f>AVERAGE(J605,J604)</f>
        <v>188.5</v>
      </c>
      <c r="M605" s="598"/>
      <c r="N605" s="1120">
        <f>(L605/L598-1)*100</f>
        <v>23.202614379084974</v>
      </c>
      <c r="O605" s="1124"/>
      <c r="P605" s="1159">
        <f>H605/N605*100</f>
        <v>69.310061691564101</v>
      </c>
      <c r="Q605" s="1125"/>
      <c r="R605" s="598"/>
      <c r="S605" s="1165">
        <f>'SegP&amp;L'!AI110</f>
        <v>222.07900000000001</v>
      </c>
      <c r="T605" s="598"/>
      <c r="U605" s="1166">
        <f>S605/L605</f>
        <v>1.1781379310344828</v>
      </c>
      <c r="V605" s="598"/>
      <c r="W605" s="1176">
        <f>(U605/U598-1)*100</f>
        <v>-6.5914737928354006</v>
      </c>
      <c r="X605" s="1124"/>
      <c r="Y605" s="598"/>
      <c r="Z605" s="1129">
        <f>Stores!AP130</f>
        <v>4.7587839999999995</v>
      </c>
      <c r="AA605" s="1127"/>
      <c r="AB605" s="1163">
        <f>AVERAGE(Z605,Z604)</f>
        <v>4.6720353333333335</v>
      </c>
      <c r="AC605" s="598"/>
      <c r="AD605" s="1120">
        <f>(AB605/AB598-1)*100</f>
        <v>20.708831761615642</v>
      </c>
      <c r="AE605" s="1124"/>
      <c r="AF605" s="1159">
        <f>+H605/AD605*100</f>
        <v>77.656463316329877</v>
      </c>
      <c r="AG605" s="1125"/>
      <c r="AH605" s="598"/>
      <c r="AI605" s="1165">
        <f>+S605</f>
        <v>222.07900000000001</v>
      </c>
      <c r="AJ605" s="598"/>
      <c r="AK605" s="1167">
        <f>AI605/AB605</f>
        <v>47.533673047278612</v>
      </c>
      <c r="AL605" s="598"/>
      <c r="AM605" s="1176">
        <f>(AK605/AK598-1)*100</f>
        <v>-4.6617015004576494</v>
      </c>
      <c r="AN605" s="1124"/>
      <c r="AP605" s="1193"/>
      <c r="AQ605" s="1193"/>
      <c r="AR605" s="1193"/>
      <c r="AS605" s="1193"/>
      <c r="AT605" s="1193"/>
      <c r="AU605" s="1193"/>
      <c r="AV605" s="1193"/>
      <c r="AW605" s="1193"/>
      <c r="AX605" s="1193"/>
      <c r="AY605" s="1193"/>
      <c r="AZ605" s="1193"/>
      <c r="BA605" s="1193"/>
      <c r="BB605" s="1193"/>
      <c r="BC605" s="1193"/>
      <c r="BD605" s="1193"/>
      <c r="BE605" s="1193"/>
      <c r="BF605" s="1193"/>
      <c r="BG605" s="1193"/>
    </row>
    <row r="606" spans="1:59" hidden="1" outlineLevel="1">
      <c r="A606" s="598" t="s">
        <v>529</v>
      </c>
      <c r="B606" s="1157" t="s">
        <v>516</v>
      </c>
      <c r="C606" s="598"/>
      <c r="D606" s="1120">
        <f>(S606/S599-1)*100</f>
        <v>13.458801634797846</v>
      </c>
      <c r="E606" s="598"/>
      <c r="F606" s="1179">
        <f>'SegP&amp;L'!AK111</f>
        <v>-1</v>
      </c>
      <c r="G606" s="598"/>
      <c r="H606" s="1120">
        <f>D606-F606</f>
        <v>14.458801634797846</v>
      </c>
      <c r="I606" s="598"/>
      <c r="J606" s="598">
        <f>Stores!AM131</f>
        <v>206</v>
      </c>
      <c r="K606" s="1127"/>
      <c r="L606" s="1128">
        <f>AVERAGE(J606,J605)</f>
        <v>199</v>
      </c>
      <c r="M606" s="598"/>
      <c r="N606" s="1120">
        <f>(L606/L599-1)*100</f>
        <v>18.805970149253739</v>
      </c>
      <c r="O606" s="1124"/>
      <c r="P606" s="1159">
        <f>H606/N606*100</f>
        <v>76.884103931067884</v>
      </c>
      <c r="Q606" s="1125"/>
      <c r="R606" s="598"/>
      <c r="S606" s="1165">
        <f>'SegP&amp;L'!AI111</f>
        <v>248.738</v>
      </c>
      <c r="T606" s="598"/>
      <c r="U606" s="1166">
        <f>S606/L606</f>
        <v>1.2499396984924622</v>
      </c>
      <c r="V606" s="598"/>
      <c r="W606" s="1176">
        <f>(U606/U599-1)*100</f>
        <v>-4.5007574179465548</v>
      </c>
      <c r="X606" s="1124"/>
      <c r="Y606" s="598"/>
      <c r="Z606" s="1129">
        <f>Stores!AP131</f>
        <v>5.1057786666666667</v>
      </c>
      <c r="AA606" s="1127"/>
      <c r="AB606" s="1163">
        <f>AVERAGE(Z606,Z605)</f>
        <v>4.9322813333333331</v>
      </c>
      <c r="AC606" s="598"/>
      <c r="AD606" s="1120">
        <f>(AB606/AB599-1)*100</f>
        <v>17.267744491995572</v>
      </c>
      <c r="AE606" s="1124"/>
      <c r="AF606" s="1159">
        <f>+H606/AD606*100</f>
        <v>83.733006597938683</v>
      </c>
      <c r="AG606" s="1125"/>
      <c r="AH606" s="598"/>
      <c r="AI606" s="1165">
        <f>+S606</f>
        <v>248.738</v>
      </c>
      <c r="AJ606" s="598"/>
      <c r="AK606" s="1167">
        <f>AI606/AB606</f>
        <v>50.430618853587973</v>
      </c>
      <c r="AL606" s="598"/>
      <c r="AM606" s="1176">
        <f>(AK606/AK599-1)*100</f>
        <v>-3.2480737765513301</v>
      </c>
      <c r="AN606" s="1124"/>
      <c r="AP606" s="1193"/>
      <c r="AQ606" s="1193"/>
      <c r="AR606" s="1193"/>
      <c r="AS606" s="1193"/>
      <c r="AT606" s="1193"/>
      <c r="AU606" s="1193"/>
      <c r="AV606" s="1193"/>
      <c r="AW606" s="1193"/>
      <c r="AX606" s="1193"/>
      <c r="AY606" s="1193"/>
      <c r="AZ606" s="1193"/>
      <c r="BA606" s="1193"/>
      <c r="BB606" s="1193"/>
      <c r="BC606" s="1193"/>
      <c r="BD606" s="1193"/>
      <c r="BE606" s="1193"/>
      <c r="BF606" s="1193"/>
      <c r="BG606" s="1193"/>
    </row>
    <row r="607" spans="1:59" hidden="1" outlineLevel="1">
      <c r="A607" s="598" t="s">
        <v>530</v>
      </c>
      <c r="B607" s="1157" t="s">
        <v>517</v>
      </c>
      <c r="C607" s="598"/>
      <c r="D607" s="1168">
        <f>(S607/S600-1)*100</f>
        <v>9.8887098065562729</v>
      </c>
      <c r="E607" s="598"/>
      <c r="F607" s="1179">
        <f>'SegP&amp;L'!AK112</f>
        <v>3</v>
      </c>
      <c r="G607" s="598"/>
      <c r="H607" s="1168">
        <f>D607-F607</f>
        <v>6.8887098065562729</v>
      </c>
      <c r="I607" s="598"/>
      <c r="J607" s="598">
        <f>Stores!AM132</f>
        <v>216</v>
      </c>
      <c r="K607" s="1127"/>
      <c r="L607" s="1171">
        <f>AVERAGE(J607,J606)</f>
        <v>211</v>
      </c>
      <c r="M607" s="598"/>
      <c r="N607" s="1168">
        <f>(L607/L600-1)*100</f>
        <v>18.207282913165269</v>
      </c>
      <c r="O607" s="1124"/>
      <c r="P607" s="1171">
        <f>H607/N607*100</f>
        <v>37.834913860624447</v>
      </c>
      <c r="Q607" s="1125"/>
      <c r="R607" s="598"/>
      <c r="S607" s="1172">
        <f>'SegP&amp;L'!AI112</f>
        <v>315.67399999999998</v>
      </c>
      <c r="T607" s="598"/>
      <c r="U607" s="1173">
        <f>S607/L607</f>
        <v>1.4960853080568719</v>
      </c>
      <c r="V607" s="598"/>
      <c r="W607" s="1169">
        <f>(U607/U600-1)*100</f>
        <v>-7.0372763010886574</v>
      </c>
      <c r="X607" s="1124"/>
      <c r="Y607" s="598"/>
      <c r="Z607" s="1129">
        <f>Stores!AP132</f>
        <v>5.3536320000000002</v>
      </c>
      <c r="AA607" s="1127"/>
      <c r="AB607" s="1174">
        <f>AVERAGE(Z607,Z606)</f>
        <v>5.2297053333333334</v>
      </c>
      <c r="AC607" s="598"/>
      <c r="AD607" s="1168">
        <f>(AB607/AB600-1)*100</f>
        <v>16.943321407274901</v>
      </c>
      <c r="AE607" s="1124"/>
      <c r="AF607" s="1171">
        <f>+H607/AD607*100</f>
        <v>40.657375498988578</v>
      </c>
      <c r="AG607" s="1125"/>
      <c r="AH607" s="598"/>
      <c r="AI607" s="1172">
        <f>+S607</f>
        <v>315.67399999999998</v>
      </c>
      <c r="AJ607" s="598"/>
      <c r="AK607" s="1175">
        <f>AI607/AB607</f>
        <v>60.361718276542788</v>
      </c>
      <c r="AL607" s="598"/>
      <c r="AM607" s="1169">
        <f>(AK607/AK600-1)*100</f>
        <v>-6.0325049056455082</v>
      </c>
      <c r="AN607" s="1124"/>
      <c r="AP607" s="1193"/>
      <c r="AQ607" s="1193"/>
      <c r="AR607" s="1193"/>
      <c r="AS607" s="1193"/>
      <c r="AT607" s="1193"/>
      <c r="AU607" s="1193"/>
      <c r="AV607" s="1193"/>
      <c r="AW607" s="1193"/>
      <c r="AX607" s="1193"/>
      <c r="AY607" s="1193"/>
      <c r="AZ607" s="1193"/>
      <c r="BA607" s="1193"/>
      <c r="BB607" s="1193"/>
      <c r="BC607" s="1193"/>
      <c r="BD607" s="1193"/>
      <c r="BE607" s="1193"/>
      <c r="BF607" s="1193"/>
      <c r="BG607" s="1193"/>
    </row>
    <row r="608" spans="1:59" hidden="1" outlineLevel="1">
      <c r="A608" s="598"/>
      <c r="B608" s="1157" t="s">
        <v>531</v>
      </c>
      <c r="C608" s="598"/>
      <c r="D608" s="1120">
        <f>(S608/S601-1)*100</f>
        <v>15.559771646572408</v>
      </c>
      <c r="E608" s="598"/>
      <c r="F608" s="1179">
        <f>(S604/S608*F604)+(S605/S608*F605)+(S606/S608*F606)+(S607/S608*F607)</f>
        <v>1.3643021236559936</v>
      </c>
      <c r="G608" s="598"/>
      <c r="H608" s="1120">
        <f>D608-F608</f>
        <v>14.195469522916413</v>
      </c>
      <c r="I608" s="598"/>
      <c r="J608" s="598"/>
      <c r="K608" s="598"/>
      <c r="L608" s="1128">
        <f>AVERAGE(L604:L607)</f>
        <v>195.5</v>
      </c>
      <c r="M608" s="598"/>
      <c r="N608" s="1120">
        <f>(L608/L601-1)*100</f>
        <v>21.617418351477458</v>
      </c>
      <c r="O608" s="1124"/>
      <c r="P608" s="1159">
        <f>H608/N608*100</f>
        <v>65.666812253491017</v>
      </c>
      <c r="Q608" s="1125"/>
      <c r="R608" s="598"/>
      <c r="S608" s="1160">
        <f>SUM(S604:S607)</f>
        <v>1012.923</v>
      </c>
      <c r="T608" s="598"/>
      <c r="U608" s="1161">
        <f>SUM(U604:U607)</f>
        <v>5.1581247904448517</v>
      </c>
      <c r="V608" s="598"/>
      <c r="W608" s="1176">
        <f>(U608/U601-1)*100</f>
        <v>-4.6391371373202368</v>
      </c>
      <c r="X608" s="1124"/>
      <c r="Y608" s="598"/>
      <c r="Z608" s="598"/>
      <c r="AA608" s="598"/>
      <c r="AB608" s="1163">
        <f>AVERAGE(AB604:AB607)</f>
        <v>4.8515413333333335</v>
      </c>
      <c r="AC608" s="598"/>
      <c r="AD608" s="1120">
        <f>(AB608/AB601-1)*100</f>
        <v>19.709859560380828</v>
      </c>
      <c r="AE608" s="1124"/>
      <c r="AF608" s="1159">
        <f>+H608/AD608*100</f>
        <v>72.022174888810483</v>
      </c>
      <c r="AG608" s="1125"/>
      <c r="AH608" s="598"/>
      <c r="AI608" s="1160">
        <f>SUM(AI604:AI607)</f>
        <v>1012.923</v>
      </c>
      <c r="AJ608" s="598"/>
      <c r="AK608" s="1164">
        <f>SUM(AK604:AK607)</f>
        <v>207.85026685352699</v>
      </c>
      <c r="AL608" s="598"/>
      <c r="AM608" s="1176">
        <f>(AK608/AK601-1)*100</f>
        <v>-3.1285209750683718</v>
      </c>
      <c r="AN608" s="1124"/>
      <c r="AP608" s="1193"/>
      <c r="AQ608" s="1193"/>
      <c r="AR608" s="1193"/>
      <c r="AS608" s="1193"/>
      <c r="AT608" s="1193"/>
      <c r="AU608" s="1193"/>
      <c r="AV608" s="1193"/>
      <c r="AW608" s="1193"/>
      <c r="AX608" s="1193"/>
      <c r="AY608" s="1193"/>
      <c r="AZ608" s="1193"/>
      <c r="BA608" s="1193"/>
      <c r="BB608" s="1193"/>
      <c r="BC608" s="1193"/>
      <c r="BD608" s="1193"/>
      <c r="BE608" s="1193"/>
      <c r="BF608" s="1193"/>
      <c r="BG608" s="1193"/>
    </row>
    <row r="609" spans="1:59" hidden="1" outlineLevel="1">
      <c r="A609" s="598"/>
      <c r="B609" s="1157"/>
      <c r="C609" s="598"/>
      <c r="D609" s="598"/>
      <c r="E609" s="598"/>
      <c r="F609" s="598"/>
      <c r="G609" s="598"/>
      <c r="H609" s="598"/>
      <c r="I609" s="598"/>
      <c r="J609" s="598"/>
      <c r="K609" s="598"/>
      <c r="L609" s="598"/>
      <c r="M609" s="598"/>
      <c r="N609" s="598"/>
      <c r="O609" s="1124"/>
      <c r="P609" s="598"/>
      <c r="Q609" s="598"/>
      <c r="R609" s="598"/>
      <c r="S609" s="598"/>
      <c r="T609" s="598"/>
      <c r="U609" s="598"/>
      <c r="V609" s="598"/>
      <c r="W609" s="598"/>
      <c r="X609" s="598"/>
      <c r="Y609" s="598"/>
      <c r="Z609" s="598"/>
      <c r="AA609" s="598"/>
      <c r="AB609" s="598"/>
      <c r="AC609" s="598"/>
      <c r="AD609" s="598"/>
      <c r="AE609" s="1124"/>
      <c r="AF609" s="598"/>
      <c r="AG609" s="598"/>
      <c r="AH609" s="598"/>
      <c r="AI609" s="598"/>
      <c r="AJ609" s="598"/>
      <c r="AK609" s="598"/>
      <c r="AL609" s="598"/>
      <c r="AM609" s="598"/>
      <c r="AN609" s="598"/>
      <c r="AP609" s="1193"/>
      <c r="AQ609" s="1193"/>
      <c r="AR609" s="1193"/>
      <c r="AS609" s="1193"/>
      <c r="AT609" s="1193"/>
      <c r="AU609" s="1193"/>
      <c r="AV609" s="1193"/>
      <c r="AW609" s="1193"/>
      <c r="AX609" s="1193"/>
      <c r="AY609" s="1193"/>
      <c r="AZ609" s="1193"/>
      <c r="BA609" s="1193"/>
      <c r="BB609" s="1193"/>
      <c r="BC609" s="1193"/>
      <c r="BD609" s="1193"/>
      <c r="BE609" s="1193"/>
      <c r="BF609" s="1193"/>
      <c r="BG609" s="1193"/>
    </row>
    <row r="610" spans="1:59" hidden="1" outlineLevel="1" collapsed="1">
      <c r="A610" s="1154"/>
      <c r="B610" s="1118">
        <f>+B603+1</f>
        <v>2005</v>
      </c>
      <c r="C610" s="598"/>
      <c r="D610" s="598"/>
      <c r="E610" s="1124"/>
      <c r="F610" s="598"/>
      <c r="G610" s="1124"/>
      <c r="H610" s="598"/>
      <c r="I610" s="1124"/>
      <c r="J610" s="598"/>
      <c r="K610" s="598"/>
      <c r="L610" s="598"/>
      <c r="M610" s="598"/>
      <c r="N610" s="598"/>
      <c r="O610" s="1124"/>
      <c r="P610" s="1125"/>
      <c r="Q610" s="1125"/>
      <c r="R610" s="598"/>
      <c r="S610" s="598"/>
      <c r="T610" s="598"/>
      <c r="U610" s="598"/>
      <c r="V610" s="598"/>
      <c r="W610" s="598"/>
      <c r="X610" s="1124"/>
      <c r="Y610" s="598"/>
      <c r="Z610" s="598"/>
      <c r="AA610" s="598"/>
      <c r="AB610" s="598"/>
      <c r="AC610" s="598"/>
      <c r="AD610" s="598"/>
      <c r="AE610" s="1124"/>
      <c r="AF610" s="1125"/>
      <c r="AG610" s="1125"/>
      <c r="AH610" s="598"/>
      <c r="AI610" s="598"/>
      <c r="AJ610" s="598"/>
      <c r="AK610" s="598"/>
      <c r="AL610" s="598"/>
      <c r="AM610" s="598"/>
      <c r="AN610" s="1124"/>
      <c r="AP610" s="1193"/>
      <c r="AQ610" s="1193"/>
      <c r="AR610" s="1193"/>
      <c r="AS610" s="1193"/>
      <c r="AT610" s="1193"/>
      <c r="AU610" s="1193"/>
      <c r="AV610" s="1193"/>
      <c r="AW610" s="1193"/>
      <c r="AX610" s="1193"/>
      <c r="AY610" s="1193"/>
      <c r="AZ610" s="1193"/>
      <c r="BA610" s="1193"/>
      <c r="BB610" s="1193"/>
      <c r="BC610" s="1193"/>
      <c r="BD610" s="1193"/>
      <c r="BE610" s="1193"/>
      <c r="BF610" s="1193"/>
      <c r="BG610" s="1193"/>
    </row>
    <row r="611" spans="1:59" hidden="1" outlineLevel="1">
      <c r="A611" s="598" t="s">
        <v>527</v>
      </c>
      <c r="B611" s="1157" t="s">
        <v>514</v>
      </c>
      <c r="C611" s="598"/>
      <c r="D611" s="1120">
        <f>(S611/S604-1)*100</f>
        <v>14.21839669304692</v>
      </c>
      <c r="E611" s="1124" t="s">
        <v>190</v>
      </c>
      <c r="F611" s="1179">
        <f>'SegP&amp;L'!AK116</f>
        <v>0</v>
      </c>
      <c r="G611" s="1124" t="s">
        <v>190</v>
      </c>
      <c r="H611" s="1120">
        <f>D611-F611</f>
        <v>14.21839669304692</v>
      </c>
      <c r="I611" s="1124" t="s">
        <v>190</v>
      </c>
      <c r="J611" s="598">
        <f>Stores!AM137</f>
        <v>220</v>
      </c>
      <c r="K611" s="598"/>
      <c r="L611" s="1128">
        <f>AVERAGE(J611,J607)</f>
        <v>218</v>
      </c>
      <c r="M611" s="598"/>
      <c r="N611" s="1120">
        <f>(L611/L604-1)*100</f>
        <v>18.801089918256132</v>
      </c>
      <c r="O611" s="1124" t="s">
        <v>190</v>
      </c>
      <c r="P611" s="1159">
        <f>H611/N611*100</f>
        <v>75.625385309394474</v>
      </c>
      <c r="Q611" s="1125" t="s">
        <v>190</v>
      </c>
      <c r="R611" s="598"/>
      <c r="S611" s="1160">
        <f>'SegP&amp;L'!AI116</f>
        <v>258.62700000000001</v>
      </c>
      <c r="T611" s="598"/>
      <c r="U611" s="1161">
        <f>S611/L611</f>
        <v>1.1863623853211009</v>
      </c>
      <c r="V611" s="598"/>
      <c r="W611" s="1176">
        <f>(U611/U604-1)*100</f>
        <v>-3.8574504900270146</v>
      </c>
      <c r="X611" s="1124" t="s">
        <v>190</v>
      </c>
      <c r="Y611" s="598"/>
      <c r="Z611" s="1129">
        <f>Stores!AP137</f>
        <v>5.4544223107569723</v>
      </c>
      <c r="AA611" s="598"/>
      <c r="AB611" s="1163">
        <f>AVERAGE(Z611,Z607)</f>
        <v>5.4040271553784862</v>
      </c>
      <c r="AC611" s="598"/>
      <c r="AD611" s="1120">
        <f>(AB611/AB604-1)*100</f>
        <v>18.194613803558646</v>
      </c>
      <c r="AE611" s="1124" t="s">
        <v>190</v>
      </c>
      <c r="AF611" s="1159">
        <f>+H611/AD611*100</f>
        <v>78.146185714950292</v>
      </c>
      <c r="AG611" s="1125" t="s">
        <v>190</v>
      </c>
      <c r="AH611" s="598"/>
      <c r="AI611" s="1160">
        <f>+S611</f>
        <v>258.62700000000001</v>
      </c>
      <c r="AJ611" s="598"/>
      <c r="AK611" s="1164">
        <f>AI611/AB611</f>
        <v>47.858197704020668</v>
      </c>
      <c r="AL611" s="598"/>
      <c r="AM611" s="1176">
        <f>(AK611/AK604-1)*100</f>
        <v>-3.3641271649825444</v>
      </c>
      <c r="AN611" s="1124" t="s">
        <v>190</v>
      </c>
      <c r="AP611" s="1193"/>
      <c r="AQ611" s="1193"/>
      <c r="AR611" s="1193"/>
      <c r="AS611" s="1193"/>
      <c r="AT611" s="1193"/>
      <c r="AU611" s="1193"/>
      <c r="AV611" s="1193"/>
      <c r="AW611" s="1193"/>
      <c r="AX611" s="1193"/>
      <c r="AY611" s="1193"/>
      <c r="AZ611" s="1193"/>
      <c r="BA611" s="1193"/>
      <c r="BB611" s="1193"/>
      <c r="BC611" s="1193"/>
      <c r="BD611" s="1193"/>
      <c r="BE611" s="1193"/>
      <c r="BF611" s="1193"/>
      <c r="BG611" s="1193"/>
    </row>
    <row r="612" spans="1:59" hidden="1" outlineLevel="1">
      <c r="A612" s="598" t="s">
        <v>528</v>
      </c>
      <c r="B612" s="1157" t="s">
        <v>515</v>
      </c>
      <c r="C612" s="598"/>
      <c r="D612" s="1120">
        <f>(S612/S605-1)*100</f>
        <v>16.677398583386992</v>
      </c>
      <c r="E612" s="598"/>
      <c r="F612" s="1179">
        <f>'SegP&amp;L'!AK117</f>
        <v>0</v>
      </c>
      <c r="G612" s="598"/>
      <c r="H612" s="1120">
        <f>D612-F612</f>
        <v>16.677398583386992</v>
      </c>
      <c r="I612" s="598"/>
      <c r="J612" s="598">
        <f>Stores!AM138</f>
        <v>230</v>
      </c>
      <c r="K612" s="1127"/>
      <c r="L612" s="1128">
        <f>AVERAGE(J612,J611)</f>
        <v>225</v>
      </c>
      <c r="M612" s="598"/>
      <c r="N612" s="1120">
        <f>(L612/L605-1)*100</f>
        <v>19.363395225464195</v>
      </c>
      <c r="O612" s="1124"/>
      <c r="P612" s="1159">
        <f>H612/N612*100</f>
        <v>86.128483095025956</v>
      </c>
      <c r="Q612" s="1125"/>
      <c r="R612" s="598"/>
      <c r="S612" s="1165">
        <f>'SegP&amp;L'!AI117</f>
        <v>259.11599999999999</v>
      </c>
      <c r="T612" s="598"/>
      <c r="U612" s="1166">
        <f>S612/L612</f>
        <v>1.1516266666666666</v>
      </c>
      <c r="V612" s="598"/>
      <c r="W612" s="1176">
        <f>(U612/U605-1)*100</f>
        <v>-2.2502682979180233</v>
      </c>
      <c r="X612" s="1124"/>
      <c r="Y612" s="598"/>
      <c r="Z612" s="1129">
        <f>Stores!AP138</f>
        <v>5.7023505976095619</v>
      </c>
      <c r="AA612" s="1127"/>
      <c r="AB612" s="1163">
        <f>AVERAGE(Z612,Z611)</f>
        <v>5.5783864541832671</v>
      </c>
      <c r="AC612" s="598"/>
      <c r="AD612" s="1120">
        <f>(AB612/AB605-1)*100</f>
        <v>19.399492002627561</v>
      </c>
      <c r="AE612" s="1124"/>
      <c r="AF612" s="1159">
        <f>+H612/AD612*100</f>
        <v>85.968223194339956</v>
      </c>
      <c r="AG612" s="1125"/>
      <c r="AH612" s="598"/>
      <c r="AI612" s="1165">
        <f>+S612</f>
        <v>259.11599999999999</v>
      </c>
      <c r="AJ612" s="598"/>
      <c r="AK612" s="1167">
        <f>AI612/AB612</f>
        <v>46.449990893995391</v>
      </c>
      <c r="AL612" s="598"/>
      <c r="AM612" s="1176">
        <f>(AK612/AK605-1)*100</f>
        <v>-2.2798199335560598</v>
      </c>
      <c r="AN612" s="1124"/>
      <c r="AP612" s="1193"/>
      <c r="AQ612" s="1193"/>
      <c r="AR612" s="1193"/>
      <c r="AS612" s="1193"/>
      <c r="AT612" s="1193"/>
      <c r="AU612" s="1193"/>
      <c r="AV612" s="1193"/>
      <c r="AW612" s="1193"/>
      <c r="AX612" s="1193"/>
      <c r="AY612" s="1193"/>
      <c r="AZ612" s="1193"/>
      <c r="BA612" s="1193"/>
      <c r="BB612" s="1193"/>
      <c r="BC612" s="1193"/>
      <c r="BD612" s="1193"/>
      <c r="BE612" s="1193"/>
      <c r="BF612" s="1193"/>
      <c r="BG612" s="1193"/>
    </row>
    <row r="613" spans="1:59" hidden="1" outlineLevel="1">
      <c r="A613" s="598" t="s">
        <v>529</v>
      </c>
      <c r="B613" s="1157" t="s">
        <v>516</v>
      </c>
      <c r="C613" s="598"/>
      <c r="D613" s="1120">
        <f>(S613/S606-1)*100</f>
        <v>17.519237108925868</v>
      </c>
      <c r="E613" s="598"/>
      <c r="F613" s="1179">
        <f>'SegP&amp;L'!AK118</f>
        <v>1</v>
      </c>
      <c r="G613" s="598"/>
      <c r="H613" s="1120">
        <f>D613-F613</f>
        <v>16.519237108925868</v>
      </c>
      <c r="I613" s="598"/>
      <c r="J613" s="598">
        <f>Stores!AM139</f>
        <v>244</v>
      </c>
      <c r="K613" s="1127"/>
      <c r="L613" s="1128">
        <f>AVERAGE(J613,J612)</f>
        <v>237</v>
      </c>
      <c r="M613" s="598"/>
      <c r="N613" s="1120">
        <f>(L613/L606-1)*100</f>
        <v>19.095477386934668</v>
      </c>
      <c r="O613" s="1124"/>
      <c r="P613" s="1159">
        <f>H613/N613*100</f>
        <v>86.508636438848654</v>
      </c>
      <c r="Q613" s="1125"/>
      <c r="R613" s="598"/>
      <c r="S613" s="1165">
        <f>'SegP&amp;L'!AI118</f>
        <v>292.315</v>
      </c>
      <c r="T613" s="598"/>
      <c r="U613" s="1166">
        <f>S613/L613</f>
        <v>1.2333966244725738</v>
      </c>
      <c r="V613" s="598"/>
      <c r="W613" s="1176">
        <f>(U613/U606-1)*100</f>
        <v>-1.3235097692985365</v>
      </c>
      <c r="X613" s="1124"/>
      <c r="Y613" s="598"/>
      <c r="Z613" s="1129">
        <f>Stores!AP139</f>
        <v>6.0494501992031875</v>
      </c>
      <c r="AA613" s="1127"/>
      <c r="AB613" s="1163">
        <f>AVERAGE(Z613,Z612)</f>
        <v>5.8759003984063742</v>
      </c>
      <c r="AC613" s="598"/>
      <c r="AD613" s="1120">
        <f>(AB613/AB606-1)*100</f>
        <v>19.131493142856158</v>
      </c>
      <c r="AE613" s="1124"/>
      <c r="AF613" s="1159">
        <f>+H613/AD613*100</f>
        <v>86.345780674700094</v>
      </c>
      <c r="AG613" s="1125"/>
      <c r="AH613" s="598"/>
      <c r="AI613" s="1165">
        <f>+S613</f>
        <v>292.315</v>
      </c>
      <c r="AJ613" s="598"/>
      <c r="AK613" s="1167">
        <f>AI613/AB613</f>
        <v>49.7481203185949</v>
      </c>
      <c r="AL613" s="598"/>
      <c r="AM613" s="1176">
        <f>(AK613/AK606-1)*100</f>
        <v>-1.353341581975287</v>
      </c>
      <c r="AN613" s="1124"/>
      <c r="AP613" s="1193"/>
      <c r="AQ613" s="1193"/>
      <c r="AR613" s="1193"/>
      <c r="AS613" s="1193"/>
      <c r="AT613" s="1193"/>
      <c r="AU613" s="1193"/>
      <c r="AV613" s="1193"/>
      <c r="AW613" s="1193"/>
      <c r="AX613" s="1193"/>
      <c r="AY613" s="1193"/>
      <c r="AZ613" s="1193"/>
      <c r="BA613" s="1193"/>
      <c r="BB613" s="1193"/>
      <c r="BC613" s="1193"/>
      <c r="BD613" s="1193"/>
      <c r="BE613" s="1193"/>
      <c r="BF613" s="1193"/>
      <c r="BG613" s="1193"/>
    </row>
    <row r="614" spans="1:59" hidden="1" outlineLevel="1">
      <c r="A614" s="598" t="s">
        <v>530</v>
      </c>
      <c r="B614" s="1157" t="s">
        <v>517</v>
      </c>
      <c r="C614" s="598"/>
      <c r="D614" s="1168">
        <f>(S614/S607-1)*100</f>
        <v>19.362380177018078</v>
      </c>
      <c r="E614" s="598"/>
      <c r="F614" s="1178">
        <f>'SegP&amp;L'!AK119</f>
        <v>4</v>
      </c>
      <c r="G614" s="598"/>
      <c r="H614" s="1168">
        <f>D614-F614</f>
        <v>15.362380177018078</v>
      </c>
      <c r="I614" s="598"/>
      <c r="J614" s="598">
        <f>yrSales!Q$246</f>
        <v>251</v>
      </c>
      <c r="K614" s="1127"/>
      <c r="L614" s="1171">
        <f>AVERAGE(J614,J613)</f>
        <v>247.5</v>
      </c>
      <c r="M614" s="598"/>
      <c r="N614" s="1168">
        <f>(L614/L607-1)*100</f>
        <v>17.298578199052137</v>
      </c>
      <c r="O614" s="1124"/>
      <c r="P614" s="1171">
        <f>H614/N614*100</f>
        <v>88.807184037008597</v>
      </c>
      <c r="Q614" s="1125"/>
      <c r="R614" s="598"/>
      <c r="S614" s="1172">
        <f>'SegP&amp;L'!AI119</f>
        <v>376.79599999999999</v>
      </c>
      <c r="T614" s="598"/>
      <c r="U614" s="1173">
        <f>S614/L614</f>
        <v>1.5224080808080809</v>
      </c>
      <c r="V614" s="598"/>
      <c r="W614" s="1169">
        <f>(U614/U607-1)*100</f>
        <v>1.7594433024275435</v>
      </c>
      <c r="X614" s="1124"/>
      <c r="Y614" s="598"/>
      <c r="Z614" s="1129">
        <f>yrSales!Q$256</f>
        <v>6.2229999999999999</v>
      </c>
      <c r="AA614" s="1127"/>
      <c r="AB614" s="1174">
        <f>AVERAGE(Z614,Z613)</f>
        <v>6.1362250996015941</v>
      </c>
      <c r="AC614" s="598"/>
      <c r="AD614" s="1168">
        <f>(AB614/AB607-1)*100</f>
        <v>17.334050553293</v>
      </c>
      <c r="AE614" s="1124"/>
      <c r="AF614" s="1171">
        <f>+H614/AD614*100</f>
        <v>88.625449255423121</v>
      </c>
      <c r="AG614" s="1125"/>
      <c r="AH614" s="598"/>
      <c r="AI614" s="1172">
        <f>+S614</f>
        <v>376.79599999999999</v>
      </c>
      <c r="AJ614" s="598"/>
      <c r="AK614" s="1175">
        <f>AI614/AB614</f>
        <v>61.405178898092281</v>
      </c>
      <c r="AL614" s="598"/>
      <c r="AM614" s="1169">
        <f>(AK614/AK607-1)*100</f>
        <v>1.7286794533730054</v>
      </c>
      <c r="AN614" s="1124"/>
      <c r="AP614" s="1193"/>
      <c r="AQ614" s="1193"/>
      <c r="AR614" s="1193"/>
      <c r="AS614" s="1193"/>
      <c r="AT614" s="1193"/>
      <c r="AU614" s="1193"/>
      <c r="AV614" s="1193"/>
      <c r="AW614" s="1193"/>
      <c r="AX614" s="1193"/>
      <c r="AY614" s="1193"/>
      <c r="AZ614" s="1193"/>
      <c r="BA614" s="1193"/>
      <c r="BB614" s="1193"/>
      <c r="BC614" s="1193"/>
      <c r="BD614" s="1193"/>
      <c r="BE614" s="1193"/>
      <c r="BF614" s="1193"/>
      <c r="BG614" s="1193"/>
    </row>
    <row r="615" spans="1:59" hidden="1" outlineLevel="1">
      <c r="A615" s="598"/>
      <c r="B615" s="1157" t="s">
        <v>531</v>
      </c>
      <c r="C615" s="598"/>
      <c r="D615" s="1120">
        <f>(S615/S608-1)*100</f>
        <v>17.171196626002171</v>
      </c>
      <c r="E615" s="598"/>
      <c r="F615" s="1179">
        <f>(S611/S615*F611)+(S612/S615*F612)+(S613/S615*F613)+(S614/S615*F614)</f>
        <v>1.5161923876062262</v>
      </c>
      <c r="G615" s="598"/>
      <c r="H615" s="1120">
        <f>D615-F615</f>
        <v>15.655004238395945</v>
      </c>
      <c r="I615" s="598"/>
      <c r="J615" s="598"/>
      <c r="K615" s="598"/>
      <c r="L615" s="1128">
        <f>AVERAGE(L611:L614)</f>
        <v>231.875</v>
      </c>
      <c r="M615" s="598"/>
      <c r="N615" s="1120">
        <f>(L615/L608-1)*100</f>
        <v>18.606138107416868</v>
      </c>
      <c r="O615" s="1124"/>
      <c r="P615" s="1159">
        <f>H615/N615*100</f>
        <v>84.138923123200243</v>
      </c>
      <c r="Q615" s="1125"/>
      <c r="R615" s="598"/>
      <c r="S615" s="1160">
        <f>SUM(S611:S614)</f>
        <v>1186.854</v>
      </c>
      <c r="T615" s="598"/>
      <c r="U615" s="1161">
        <f>SUM(U611:U614)</f>
        <v>5.093793757268422</v>
      </c>
      <c r="V615" s="598"/>
      <c r="W615" s="1176">
        <f>(U615/U608-1)*100</f>
        <v>-1.247178689736228</v>
      </c>
      <c r="X615" s="1124"/>
      <c r="Y615" s="598"/>
      <c r="Z615" s="598"/>
      <c r="AA615" s="598"/>
      <c r="AB615" s="1163">
        <f>AVERAGE(AB611:AB614)</f>
        <v>5.7486347768924304</v>
      </c>
      <c r="AC615" s="598"/>
      <c r="AD615" s="1120">
        <f>(AB615/AB608-1)*100</f>
        <v>18.490895612812054</v>
      </c>
      <c r="AE615" s="1124"/>
      <c r="AF615" s="1159">
        <f>+H615/AD615*100</f>
        <v>84.663309805009305</v>
      </c>
      <c r="AG615" s="1125"/>
      <c r="AH615" s="598"/>
      <c r="AI615" s="1160">
        <f>SUM(AI611:AI614)</f>
        <v>1186.854</v>
      </c>
      <c r="AJ615" s="598"/>
      <c r="AK615" s="1164">
        <f>SUM(AK611:AK614)</f>
        <v>205.46148781470325</v>
      </c>
      <c r="AL615" s="598"/>
      <c r="AM615" s="1176">
        <f>(AK615/AK608-1)*100</f>
        <v>-1.1492787933282456</v>
      </c>
      <c r="AN615" s="1124"/>
      <c r="AP615" s="1193"/>
      <c r="AQ615" s="1193"/>
      <c r="AR615" s="1193"/>
      <c r="AS615" s="1193"/>
      <c r="AT615" s="1193"/>
      <c r="AU615" s="1193"/>
      <c r="AV615" s="1193"/>
      <c r="AW615" s="1193"/>
      <c r="AX615" s="1193"/>
      <c r="AY615" s="1193"/>
      <c r="AZ615" s="1193"/>
      <c r="BA615" s="1193"/>
      <c r="BB615" s="1193"/>
      <c r="BC615" s="1193"/>
      <c r="BD615" s="1193"/>
      <c r="BE615" s="1193"/>
      <c r="BF615" s="1193"/>
      <c r="BG615" s="1193"/>
    </row>
    <row r="616" spans="1:59" hidden="1" outlineLevel="1">
      <c r="A616" s="598"/>
      <c r="B616" s="1157"/>
      <c r="C616" s="598"/>
      <c r="D616" s="598"/>
      <c r="E616" s="598"/>
      <c r="F616" s="598"/>
      <c r="G616" s="598"/>
      <c r="H616" s="598"/>
      <c r="I616" s="598"/>
      <c r="J616" s="598"/>
      <c r="K616" s="598"/>
      <c r="L616" s="598"/>
      <c r="M616" s="598"/>
      <c r="N616" s="598"/>
      <c r="O616" s="598"/>
      <c r="P616" s="598"/>
      <c r="Q616" s="598"/>
      <c r="R616" s="598"/>
      <c r="S616" s="598"/>
      <c r="T616" s="598"/>
      <c r="U616" s="598"/>
      <c r="V616" s="598"/>
      <c r="W616" s="598"/>
      <c r="X616" s="598"/>
      <c r="Y616" s="598"/>
      <c r="Z616" s="598"/>
      <c r="AA616" s="598"/>
      <c r="AB616" s="598"/>
      <c r="AC616" s="598"/>
      <c r="AD616" s="598"/>
      <c r="AE616" s="598"/>
      <c r="AF616" s="598"/>
      <c r="AG616" s="598"/>
      <c r="AH616" s="598"/>
      <c r="AI616" s="598"/>
      <c r="AJ616" s="598"/>
      <c r="AK616" s="598"/>
      <c r="AL616" s="598"/>
      <c r="AM616" s="598"/>
      <c r="AN616" s="598"/>
      <c r="AP616" s="1193"/>
      <c r="AQ616" s="1193"/>
      <c r="AR616" s="1193"/>
      <c r="AS616" s="1193"/>
      <c r="AT616" s="1193"/>
      <c r="AU616" s="1193"/>
      <c r="AV616" s="1193"/>
      <c r="AW616" s="1193"/>
      <c r="AX616" s="1193"/>
      <c r="AY616" s="1193"/>
      <c r="AZ616" s="1193"/>
      <c r="BA616" s="1193"/>
      <c r="BB616" s="1193"/>
      <c r="BC616" s="1193"/>
      <c r="BD616" s="1193"/>
      <c r="BE616" s="1193"/>
      <c r="BF616" s="1193"/>
      <c r="BG616" s="1193"/>
    </row>
    <row r="617" spans="1:59" hidden="1" outlineLevel="1">
      <c r="A617" s="1154"/>
      <c r="B617" s="1118">
        <f>+B610+1</f>
        <v>2006</v>
      </c>
      <c r="C617" s="598"/>
      <c r="D617" s="598"/>
      <c r="E617" s="1124"/>
      <c r="F617" s="598"/>
      <c r="G617" s="1124"/>
      <c r="H617" s="598"/>
      <c r="I617" s="1124"/>
      <c r="J617" s="598"/>
      <c r="K617" s="598"/>
      <c r="L617" s="598"/>
      <c r="M617" s="598"/>
      <c r="N617" s="598"/>
      <c r="O617" s="1124"/>
      <c r="P617" s="1125"/>
      <c r="Q617" s="1125"/>
      <c r="R617" s="598"/>
      <c r="S617" s="598"/>
      <c r="T617" s="598"/>
      <c r="U617" s="598"/>
      <c r="V617" s="598"/>
      <c r="W617" s="598"/>
      <c r="X617" s="1124"/>
      <c r="Y617" s="598"/>
      <c r="Z617" s="598"/>
      <c r="AA617" s="598"/>
      <c r="AB617" s="598"/>
      <c r="AC617" s="598"/>
      <c r="AD617" s="598"/>
      <c r="AE617" s="1124"/>
      <c r="AF617" s="1125"/>
      <c r="AG617" s="1125"/>
      <c r="AH617" s="598"/>
      <c r="AI617" s="598"/>
      <c r="AJ617" s="598"/>
      <c r="AK617" s="598"/>
      <c r="AL617" s="598"/>
      <c r="AM617" s="598"/>
      <c r="AN617" s="1124"/>
      <c r="AP617" s="1193"/>
      <c r="AQ617" s="1193"/>
      <c r="AR617" s="1193"/>
      <c r="AS617" s="1193"/>
      <c r="AT617" s="1193"/>
      <c r="AU617" s="1193"/>
      <c r="AV617" s="1193"/>
      <c r="AW617" s="1193"/>
      <c r="AX617" s="1193"/>
      <c r="AY617" s="1193"/>
      <c r="AZ617" s="1193"/>
      <c r="BA617" s="1193"/>
      <c r="BB617" s="1193"/>
      <c r="BC617" s="1193"/>
      <c r="BD617" s="1193"/>
      <c r="BE617" s="1193"/>
      <c r="BF617" s="1193"/>
      <c r="BG617" s="1193"/>
    </row>
    <row r="618" spans="1:59" hidden="1" outlineLevel="1">
      <c r="A618" s="598" t="s">
        <v>527</v>
      </c>
      <c r="B618" s="1157" t="s">
        <v>514</v>
      </c>
      <c r="C618" s="598"/>
      <c r="D618" s="1120">
        <f>(S618/S611-1)*100</f>
        <v>18.2521546474266</v>
      </c>
      <c r="E618" s="1124" t="s">
        <v>190</v>
      </c>
      <c r="F618" s="1179">
        <f>'SegP&amp;L'!$AK$123</f>
        <v>3</v>
      </c>
      <c r="G618" s="1124" t="s">
        <v>190</v>
      </c>
      <c r="H618" s="1120">
        <f>D618-F618</f>
        <v>15.2521546474266</v>
      </c>
      <c r="I618" s="1124" t="s">
        <v>190</v>
      </c>
      <c r="J618" s="598">
        <f>Stores!AM145</f>
        <v>254</v>
      </c>
      <c r="K618" s="598"/>
      <c r="L618" s="1128">
        <f>AVERAGE(J618,J614)</f>
        <v>252.5</v>
      </c>
      <c r="M618" s="598"/>
      <c r="N618" s="1120">
        <f>(L618/L611-1)*100</f>
        <v>15.825688073394506</v>
      </c>
      <c r="O618" s="1124" t="s">
        <v>190</v>
      </c>
      <c r="P618" s="1159">
        <f>H618/N618*100</f>
        <v>96.375933714173811</v>
      </c>
      <c r="Q618" s="1125" t="s">
        <v>190</v>
      </c>
      <c r="R618" s="598"/>
      <c r="S618" s="1160">
        <f>'SegP&amp;L'!AI123</f>
        <v>305.83199999999999</v>
      </c>
      <c r="T618" s="598"/>
      <c r="U618" s="1161">
        <f>S618/L618</f>
        <v>1.2112158415841583</v>
      </c>
      <c r="V618" s="598"/>
      <c r="W618" s="1176">
        <f>(U618/U611-1)*100</f>
        <v>2.0949295569861137</v>
      </c>
      <c r="X618" s="1124" t="s">
        <v>190</v>
      </c>
      <c r="Y618" s="598"/>
      <c r="Z618" s="1129">
        <f>Stores!AP145</f>
        <v>6.3</v>
      </c>
      <c r="AA618" s="598"/>
      <c r="AB618" s="1163">
        <f>AVERAGE(Z618,Z614)</f>
        <v>6.2614999999999998</v>
      </c>
      <c r="AC618" s="598"/>
      <c r="AD618" s="1120">
        <f>(AB618/AB611-1)*100</f>
        <v>15.867293408547978</v>
      </c>
      <c r="AE618" s="1124" t="s">
        <v>190</v>
      </c>
      <c r="AF618" s="1159">
        <f>+H618/AD618*100</f>
        <v>96.123228169525163</v>
      </c>
      <c r="AG618" s="1125" t="s">
        <v>190</v>
      </c>
      <c r="AH618" s="598"/>
      <c r="AI618" s="1160">
        <f>+S618</f>
        <v>305.83199999999999</v>
      </c>
      <c r="AJ618" s="598"/>
      <c r="AK618" s="1164">
        <f>AI618/AB618</f>
        <v>48.843248422901858</v>
      </c>
      <c r="AL618" s="598"/>
      <c r="AM618" s="1176">
        <f>(AK618/AK611-1)*100</f>
        <v>2.0582695674693952</v>
      </c>
      <c r="AN618" s="1124" t="s">
        <v>190</v>
      </c>
      <c r="AP618" s="1193"/>
      <c r="AQ618" s="1193"/>
      <c r="AR618" s="1193"/>
      <c r="AS618" s="1193"/>
      <c r="AT618" s="1193"/>
      <c r="AU618" s="1193"/>
      <c r="AV618" s="1193"/>
      <c r="AW618" s="1193"/>
      <c r="AX618" s="1193"/>
      <c r="AY618" s="1193"/>
      <c r="AZ618" s="1193"/>
      <c r="BA618" s="1193"/>
      <c r="BB618" s="1193"/>
      <c r="BC618" s="1193"/>
      <c r="BD618" s="1193"/>
      <c r="BE618" s="1193"/>
      <c r="BF618" s="1193"/>
      <c r="BG618" s="1193"/>
    </row>
    <row r="619" spans="1:59" hidden="1" outlineLevel="1">
      <c r="A619" s="598" t="s">
        <v>528</v>
      </c>
      <c r="B619" s="1157" t="s">
        <v>515</v>
      </c>
      <c r="C619" s="598"/>
      <c r="D619" s="1120">
        <f>(S619/S612-1)*100</f>
        <v>16.298105867642288</v>
      </c>
      <c r="E619" s="598"/>
      <c r="F619" s="1179">
        <f>'SegP&amp;L'!$AK$124</f>
        <v>4</v>
      </c>
      <c r="G619" s="598"/>
      <c r="H619" s="1120">
        <f>D619-F619</f>
        <v>12.298105867642288</v>
      </c>
      <c r="I619" s="598"/>
      <c r="J619" s="598">
        <f>Stores!AM146</f>
        <v>260</v>
      </c>
      <c r="K619" s="1127"/>
      <c r="L619" s="1128">
        <f>AVERAGE(J619,J618)</f>
        <v>257</v>
      </c>
      <c r="M619" s="598"/>
      <c r="N619" s="1120">
        <f>(L619/L612-1)*100</f>
        <v>14.222222222222225</v>
      </c>
      <c r="O619" s="1124"/>
      <c r="P619" s="1159">
        <f>H619/N619*100</f>
        <v>86.471056881859823</v>
      </c>
      <c r="Q619" s="1125"/>
      <c r="R619" s="598"/>
      <c r="S619" s="1165">
        <f>'SegP&amp;L'!AI124</f>
        <v>301.34699999999998</v>
      </c>
      <c r="T619" s="598"/>
      <c r="U619" s="1166">
        <f>S619/L619</f>
        <v>1.1725564202334628</v>
      </c>
      <c r="V619" s="598"/>
      <c r="W619" s="1176">
        <f>(U619/U612-1)*100</f>
        <v>1.81740786077631</v>
      </c>
      <c r="X619" s="1124"/>
      <c r="Y619" s="598"/>
      <c r="Z619" s="1129">
        <f>Stores!AP146</f>
        <v>6.4</v>
      </c>
      <c r="AA619" s="1127"/>
      <c r="AB619" s="1163">
        <f>AVERAGE(Z619,Z618)</f>
        <v>6.35</v>
      </c>
      <c r="AC619" s="598"/>
      <c r="AD619" s="1120">
        <f>(AB619/AB612-1)*100</f>
        <v>13.832199546485246</v>
      </c>
      <c r="AE619" s="1124"/>
      <c r="AF619" s="1159">
        <f>+H619/AD619*100</f>
        <v>88.909257174266472</v>
      </c>
      <c r="AG619" s="1125"/>
      <c r="AH619" s="598"/>
      <c r="AI619" s="1165">
        <f>+S619</f>
        <v>301.34699999999998</v>
      </c>
      <c r="AJ619" s="598"/>
      <c r="AK619" s="1167">
        <f>AI619/AB619</f>
        <v>47.456220472440947</v>
      </c>
      <c r="AL619" s="598"/>
      <c r="AM619" s="1176">
        <f>(AK619/AK612-1)*100</f>
        <v>2.1662643179885643</v>
      </c>
      <c r="AN619" s="1124"/>
      <c r="AP619" s="1193"/>
      <c r="AQ619" s="1193"/>
      <c r="AR619" s="1193"/>
      <c r="AS619" s="1193"/>
      <c r="AT619" s="1193"/>
      <c r="AU619" s="1193"/>
      <c r="AV619" s="1193"/>
      <c r="AW619" s="1193"/>
      <c r="AX619" s="1193"/>
      <c r="AY619" s="1193"/>
      <c r="AZ619" s="1193"/>
      <c r="BA619" s="1193"/>
      <c r="BB619" s="1193"/>
      <c r="BC619" s="1193"/>
      <c r="BD619" s="1193"/>
      <c r="BE619" s="1193"/>
      <c r="BF619" s="1193"/>
      <c r="BG619" s="1193"/>
    </row>
    <row r="620" spans="1:59" hidden="1" outlineLevel="1">
      <c r="A620" s="598" t="s">
        <v>529</v>
      </c>
      <c r="B620" s="1157" t="s">
        <v>516</v>
      </c>
      <c r="C620" s="598"/>
      <c r="D620" s="1120">
        <f>(S620/S613-1)*100</f>
        <v>14.934916100781681</v>
      </c>
      <c r="E620" s="598"/>
      <c r="F620" s="1179">
        <f>'SegP&amp;L'!$AK$125</f>
        <v>5</v>
      </c>
      <c r="G620" s="598"/>
      <c r="H620" s="1120">
        <f>D620-F620</f>
        <v>9.9349161007816811</v>
      </c>
      <c r="I620" s="598"/>
      <c r="J620" s="598">
        <f>Stores!AM147</f>
        <v>270</v>
      </c>
      <c r="K620" s="1127"/>
      <c r="L620" s="1128">
        <f>AVERAGE(J620,J619)</f>
        <v>265</v>
      </c>
      <c r="M620" s="598"/>
      <c r="N620" s="1120">
        <f>(L620/L613-1)*100</f>
        <v>11.81434599156117</v>
      </c>
      <c r="O620" s="1124"/>
      <c r="P620" s="1159">
        <f>H620/N620*100</f>
        <v>84.091968424473592</v>
      </c>
      <c r="Q620" s="1125"/>
      <c r="R620" s="598"/>
      <c r="S620" s="1165">
        <f>'SegP&amp;L'!AI125</f>
        <v>335.97199999999998</v>
      </c>
      <c r="T620" s="598"/>
      <c r="U620" s="1166">
        <f>S620/L620</f>
        <v>1.2678188679245281</v>
      </c>
      <c r="V620" s="598"/>
      <c r="W620" s="1176">
        <f>(U620/U613-1)*100</f>
        <v>2.7908494939066442</v>
      </c>
      <c r="X620" s="1124"/>
      <c r="Y620" s="598"/>
      <c r="Z620" s="1129">
        <f>Stores!AP147</f>
        <v>6.7</v>
      </c>
      <c r="AA620" s="1127"/>
      <c r="AB620" s="1163">
        <f>AVERAGE(Z620,Z619)</f>
        <v>6.5500000000000007</v>
      </c>
      <c r="AC620" s="598"/>
      <c r="AD620" s="1120">
        <f>(AB620/AB613-1)*100</f>
        <v>11.472277538544585</v>
      </c>
      <c r="AE620" s="1124"/>
      <c r="AF620" s="1159">
        <f>+H620/AD620*100</f>
        <v>86.5993353752324</v>
      </c>
      <c r="AG620" s="1125"/>
      <c r="AH620" s="598"/>
      <c r="AI620" s="1165">
        <f>+S620</f>
        <v>335.97199999999998</v>
      </c>
      <c r="AJ620" s="598"/>
      <c r="AK620" s="1167">
        <f>AI620/AB620</f>
        <v>51.293435114503808</v>
      </c>
      <c r="AL620" s="598"/>
      <c r="AM620" s="1176">
        <f>(AK620/AK613-1)*100</f>
        <v>3.1062777568528599</v>
      </c>
      <c r="AN620" s="1124"/>
      <c r="AP620" s="1193"/>
      <c r="AQ620" s="1193"/>
      <c r="AR620" s="1193"/>
      <c r="AS620" s="1193"/>
      <c r="AT620" s="1193"/>
      <c r="AU620" s="1193"/>
      <c r="AV620" s="1193"/>
      <c r="AW620" s="1193"/>
      <c r="AX620" s="1193"/>
      <c r="AY620" s="1193"/>
      <c r="AZ620" s="1193"/>
      <c r="BA620" s="1193"/>
      <c r="BB620" s="1193"/>
      <c r="BC620" s="1193"/>
      <c r="BD620" s="1193"/>
      <c r="BE620" s="1193"/>
      <c r="BF620" s="1193"/>
      <c r="BG620" s="1193"/>
    </row>
    <row r="621" spans="1:59" hidden="1" outlineLevel="1">
      <c r="A621" s="598" t="s">
        <v>530</v>
      </c>
      <c r="B621" s="1157" t="s">
        <v>517</v>
      </c>
      <c r="C621" s="598"/>
      <c r="D621" s="1168">
        <f>(S621/S614-1)*100</f>
        <v>11.984203653966595</v>
      </c>
      <c r="E621" s="598"/>
      <c r="F621" s="1178">
        <f>'SegP&amp;L'!$AK$126</f>
        <v>5</v>
      </c>
      <c r="G621" s="598"/>
      <c r="H621" s="1168">
        <f>D621-F621</f>
        <v>6.9842036539665955</v>
      </c>
      <c r="I621" s="598"/>
      <c r="J621" s="598">
        <f>Stores!AM148</f>
        <v>270</v>
      </c>
      <c r="K621" s="1127"/>
      <c r="L621" s="1171">
        <f>AVERAGE(J621,J620)</f>
        <v>270</v>
      </c>
      <c r="M621" s="598"/>
      <c r="N621" s="1168">
        <f>(L621/L614-1)*100</f>
        <v>9.0909090909090828</v>
      </c>
      <c r="O621" s="1124"/>
      <c r="P621" s="1171">
        <f>H621/N621*100</f>
        <v>76.826240193632628</v>
      </c>
      <c r="Q621" s="1125"/>
      <c r="R621" s="598"/>
      <c r="S621" s="1172">
        <f>'SegP&amp;L'!AI126</f>
        <v>421.952</v>
      </c>
      <c r="T621" s="598"/>
      <c r="U621" s="1173">
        <f>S621/L621</f>
        <v>1.5627851851851853</v>
      </c>
      <c r="V621" s="598"/>
      <c r="W621" s="1169">
        <f>(U621/U614-1)*100</f>
        <v>2.6521866828027152</v>
      </c>
      <c r="X621" s="1124"/>
      <c r="Y621" s="598"/>
      <c r="Z621" s="1129">
        <f>Stores!AP148</f>
        <v>6.6</v>
      </c>
      <c r="AA621" s="1127"/>
      <c r="AB621" s="1174">
        <f>AVERAGE(Z621,Z620)</f>
        <v>6.65</v>
      </c>
      <c r="AC621" s="598"/>
      <c r="AD621" s="1168">
        <f>(AB621/AB614-1)*100</f>
        <v>8.3728170342343589</v>
      </c>
      <c r="AE621" s="1124"/>
      <c r="AF621" s="1171">
        <f>+H621/AD621*100</f>
        <v>83.415218861345352</v>
      </c>
      <c r="AG621" s="1125"/>
      <c r="AH621" s="598"/>
      <c r="AI621" s="1172">
        <f>+S621</f>
        <v>421.952</v>
      </c>
      <c r="AJ621" s="598"/>
      <c r="AK621" s="1175">
        <f>AI621/AB621</f>
        <v>63.451428571428565</v>
      </c>
      <c r="AL621" s="598"/>
      <c r="AM621" s="1169">
        <f>(AK621/AK614-1)*100</f>
        <v>3.3323731158445558</v>
      </c>
      <c r="AN621" s="1124"/>
      <c r="AP621" s="1193"/>
      <c r="AQ621" s="1193"/>
      <c r="AR621" s="1193"/>
      <c r="AS621" s="1193"/>
      <c r="AT621" s="1193"/>
      <c r="AU621" s="1193"/>
      <c r="AV621" s="1193"/>
      <c r="AW621" s="1193"/>
      <c r="AX621" s="1193"/>
      <c r="AY621" s="1193"/>
      <c r="AZ621" s="1193"/>
      <c r="BA621" s="1193"/>
      <c r="BB621" s="1193"/>
      <c r="BC621" s="1193"/>
      <c r="BD621" s="1193"/>
      <c r="BE621" s="1193"/>
      <c r="BF621" s="1193"/>
      <c r="BG621" s="1193"/>
    </row>
    <row r="622" spans="1:59" hidden="1" outlineLevel="1">
      <c r="A622" s="598"/>
      <c r="B622" s="1157" t="s">
        <v>531</v>
      </c>
      <c r="C622" s="598"/>
      <c r="D622" s="1120">
        <f>(S622/S615-1)*100</f>
        <v>15.018612230316442</v>
      </c>
      <c r="E622" s="598"/>
      <c r="F622" s="1179">
        <f>'SegP&amp;L'!$AK$127</f>
        <v>4</v>
      </c>
      <c r="G622" s="598"/>
      <c r="H622" s="1120">
        <f>D622-F622</f>
        <v>11.018612230316442</v>
      </c>
      <c r="I622" s="598"/>
      <c r="J622" s="598"/>
      <c r="K622" s="598"/>
      <c r="L622" s="1128">
        <f>AVERAGE(L618:L621)</f>
        <v>261.125</v>
      </c>
      <c r="M622" s="598"/>
      <c r="N622" s="1120">
        <f>(L622/L615-1)*100</f>
        <v>12.614555256064698</v>
      </c>
      <c r="O622" s="1124"/>
      <c r="P622" s="1159">
        <f>H622/N622*100</f>
        <v>87.348400372807646</v>
      </c>
      <c r="Q622" s="1125"/>
      <c r="R622" s="598"/>
      <c r="S622" s="1160">
        <f>SUM(S618:S621)</f>
        <v>1365.1030000000001</v>
      </c>
      <c r="T622" s="598"/>
      <c r="U622" s="1161">
        <f>SUM(U618:U621)</f>
        <v>5.2143763149273346</v>
      </c>
      <c r="V622" s="598"/>
      <c r="W622" s="1176">
        <f>(U622/U615-1)*100</f>
        <v>2.3672446000949865</v>
      </c>
      <c r="X622" s="1124"/>
      <c r="Y622" s="598"/>
      <c r="Z622" s="598"/>
      <c r="AA622" s="598"/>
      <c r="AB622" s="1163">
        <f>AVERAGE(AB618:AB621)</f>
        <v>6.4528750000000006</v>
      </c>
      <c r="AC622" s="598"/>
      <c r="AD622" s="1120">
        <f>(AB622/AB615-1)*100</f>
        <v>12.250564706917499</v>
      </c>
      <c r="AE622" s="1124"/>
      <c r="AF622" s="1159">
        <f>+H622/AD622*100</f>
        <v>89.94370866915699</v>
      </c>
      <c r="AG622" s="1125"/>
      <c r="AH622" s="598"/>
      <c r="AI622" s="1160">
        <f>SUM(AI618:AI621)</f>
        <v>1365.1030000000001</v>
      </c>
      <c r="AJ622" s="598"/>
      <c r="AK622" s="1164">
        <f>SUM(AK618:AK621)</f>
        <v>211.04433258127517</v>
      </c>
      <c r="AL622" s="598"/>
      <c r="AM622" s="1176">
        <f>(AK622/AK615-1)*100</f>
        <v>2.7172220088305998</v>
      </c>
      <c r="AN622" s="1124"/>
      <c r="AP622" s="1193"/>
      <c r="AQ622" s="1193"/>
      <c r="AR622" s="1193"/>
      <c r="AS622" s="1193"/>
      <c r="AT622" s="1193"/>
      <c r="AU622" s="1193"/>
      <c r="AV622" s="1193"/>
      <c r="AW622" s="1193"/>
      <c r="AX622" s="1193"/>
      <c r="AY622" s="1193"/>
      <c r="AZ622" s="1193"/>
      <c r="BA622" s="1193"/>
      <c r="BB622" s="1193"/>
      <c r="BC622" s="1193"/>
      <c r="BD622" s="1193"/>
      <c r="BE622" s="1193"/>
      <c r="BF622" s="1193"/>
      <c r="BG622" s="1193"/>
    </row>
    <row r="623" spans="1:59" hidden="1" outlineLevel="1">
      <c r="A623" s="598"/>
      <c r="B623" s="1157"/>
      <c r="C623" s="598"/>
      <c r="D623" s="598"/>
      <c r="E623" s="598"/>
      <c r="F623" s="598"/>
      <c r="G623" s="598"/>
      <c r="H623" s="598"/>
      <c r="I623" s="598"/>
      <c r="J623" s="598"/>
      <c r="K623" s="598"/>
      <c r="L623" s="598"/>
      <c r="M623" s="598"/>
      <c r="N623" s="598"/>
      <c r="O623" s="598"/>
      <c r="P623" s="598"/>
      <c r="Q623" s="598"/>
      <c r="R623" s="598"/>
      <c r="S623" s="598"/>
      <c r="T623" s="598"/>
      <c r="U623" s="598"/>
      <c r="V623" s="598"/>
      <c r="W623" s="598"/>
      <c r="X623" s="598"/>
      <c r="Y623" s="598"/>
      <c r="Z623" s="598"/>
      <c r="AA623" s="598"/>
      <c r="AB623" s="598"/>
      <c r="AC623" s="598"/>
      <c r="AD623" s="598"/>
      <c r="AE623" s="598"/>
      <c r="AF623" s="598"/>
      <c r="AG623" s="598"/>
      <c r="AH623" s="598"/>
      <c r="AI623" s="598"/>
      <c r="AJ623" s="598"/>
      <c r="AK623" s="598"/>
      <c r="AL623" s="598"/>
      <c r="AM623" s="598"/>
      <c r="AN623" s="598"/>
      <c r="AP623" s="1193"/>
      <c r="AQ623" s="1193"/>
      <c r="AR623" s="1193"/>
      <c r="AS623" s="1193"/>
      <c r="AT623" s="1193"/>
      <c r="AU623" s="1193"/>
      <c r="AV623" s="1193"/>
      <c r="AW623" s="1193"/>
      <c r="AX623" s="1193"/>
      <c r="AY623" s="1193"/>
      <c r="AZ623" s="1193"/>
      <c r="BA623" s="1193"/>
      <c r="BB623" s="1193"/>
      <c r="BC623" s="1193"/>
      <c r="BD623" s="1193"/>
      <c r="BE623" s="1193"/>
      <c r="BF623" s="1193"/>
      <c r="BG623" s="1193"/>
    </row>
    <row r="624" spans="1:59" hidden="1" outlineLevel="1">
      <c r="A624" s="1154"/>
      <c r="B624" s="1118">
        <f>+B617+1</f>
        <v>2007</v>
      </c>
      <c r="C624" s="598"/>
      <c r="D624" s="598"/>
      <c r="E624" s="1124"/>
      <c r="F624" s="598"/>
      <c r="G624" s="1124"/>
      <c r="H624" s="598"/>
      <c r="I624" s="1124"/>
      <c r="J624" s="598"/>
      <c r="K624" s="598"/>
      <c r="L624" s="598"/>
      <c r="M624" s="598"/>
      <c r="N624" s="598"/>
      <c r="O624" s="1124"/>
      <c r="P624" s="1125"/>
      <c r="Q624" s="1125"/>
      <c r="R624" s="598"/>
      <c r="S624" s="598"/>
      <c r="T624" s="598"/>
      <c r="U624" s="598"/>
      <c r="V624" s="598"/>
      <c r="W624" s="598"/>
      <c r="X624" s="1124"/>
      <c r="Y624" s="598"/>
      <c r="Z624" s="598"/>
      <c r="AA624" s="598"/>
      <c r="AB624" s="598"/>
      <c r="AC624" s="598"/>
      <c r="AD624" s="598"/>
      <c r="AE624" s="1124"/>
      <c r="AF624" s="1125"/>
      <c r="AG624" s="1125"/>
      <c r="AH624" s="598"/>
      <c r="AI624" s="598"/>
      <c r="AJ624" s="598"/>
      <c r="AK624" s="598"/>
      <c r="AL624" s="598"/>
      <c r="AM624" s="598"/>
      <c r="AN624" s="1124"/>
      <c r="AP624" s="1193"/>
      <c r="AQ624" s="1193"/>
      <c r="AR624" s="1193"/>
      <c r="AS624" s="1193"/>
      <c r="AT624" s="1193"/>
      <c r="AU624" s="1193"/>
      <c r="AV624" s="1193"/>
      <c r="AW624" s="1193"/>
      <c r="AX624" s="1193"/>
      <c r="AY624" s="1193"/>
      <c r="AZ624" s="1193"/>
      <c r="BA624" s="1193"/>
      <c r="BB624" s="1193"/>
      <c r="BC624" s="1193"/>
      <c r="BD624" s="1193"/>
      <c r="BE624" s="1193"/>
      <c r="BF624" s="1193"/>
      <c r="BG624" s="1193"/>
    </row>
    <row r="625" spans="1:59" hidden="1" outlineLevel="1">
      <c r="A625" s="598" t="s">
        <v>527</v>
      </c>
      <c r="B625" s="1157" t="s">
        <v>514</v>
      </c>
      <c r="C625" s="598"/>
      <c r="D625" s="1120">
        <f>(S625/S618-1)*100</f>
        <v>8.9343168798556185</v>
      </c>
      <c r="E625" s="1124" t="s">
        <v>190</v>
      </c>
      <c r="F625" s="1179">
        <f>'SegP&amp;L'!AK130</f>
        <v>3</v>
      </c>
      <c r="G625" s="1124" t="s">
        <v>190</v>
      </c>
      <c r="H625" s="1120">
        <f>D625-F625</f>
        <v>5.9343168798556185</v>
      </c>
      <c r="I625" s="1124" t="s">
        <v>190</v>
      </c>
      <c r="J625" s="598">
        <f>Stores!AM152</f>
        <v>271</v>
      </c>
      <c r="K625" s="598"/>
      <c r="L625" s="1128">
        <f>AVERAGE(J625,J621)</f>
        <v>270.5</v>
      </c>
      <c r="M625" s="598"/>
      <c r="N625" s="1120">
        <f>(L625/L618-1)*100</f>
        <v>7.128712871287135</v>
      </c>
      <c r="O625" s="1124" t="s">
        <v>190</v>
      </c>
      <c r="P625" s="1159">
        <f>H625/N625*100</f>
        <v>83.245278453530119</v>
      </c>
      <c r="Q625" s="1125" t="s">
        <v>190</v>
      </c>
      <c r="R625" s="598"/>
      <c r="S625" s="1160">
        <f>'SegP&amp;L'!AI130</f>
        <v>333.15600000000001</v>
      </c>
      <c r="T625" s="598"/>
      <c r="U625" s="1161">
        <f>S625/L625</f>
        <v>1.2316303142329021</v>
      </c>
      <c r="V625" s="598"/>
      <c r="W625" s="1176">
        <f>(U625/U618-1)*100</f>
        <v>1.6854529100315929</v>
      </c>
      <c r="X625" s="1124" t="s">
        <v>190</v>
      </c>
      <c r="Y625" s="598"/>
      <c r="Z625" s="1129">
        <f>Stores!AP152</f>
        <v>6.7</v>
      </c>
      <c r="AA625" s="598"/>
      <c r="AB625" s="1163">
        <f>AVERAGE(Z625,Z621)</f>
        <v>6.65</v>
      </c>
      <c r="AC625" s="598"/>
      <c r="AD625" s="1120">
        <f>(AB625/AB618-1)*100</f>
        <v>6.2045835662381199</v>
      </c>
      <c r="AE625" s="1124" t="s">
        <v>190</v>
      </c>
      <c r="AF625" s="1159">
        <f>+H625/AD625*100</f>
        <v>95.644080162718055</v>
      </c>
      <c r="AG625" s="1125" t="s">
        <v>190</v>
      </c>
      <c r="AH625" s="598"/>
      <c r="AI625" s="1160">
        <f>+S625</f>
        <v>333.15600000000001</v>
      </c>
      <c r="AJ625" s="598"/>
      <c r="AK625" s="1164">
        <f>AI625/AB625</f>
        <v>50.098646616541352</v>
      </c>
      <c r="AL625" s="598"/>
      <c r="AM625" s="1176">
        <f>(AK625/AK618-1)*100</f>
        <v>2.5702594200324613</v>
      </c>
      <c r="AN625" s="1124" t="s">
        <v>190</v>
      </c>
      <c r="AP625" s="1193"/>
      <c r="AQ625" s="1193"/>
      <c r="AR625" s="1193"/>
      <c r="AS625" s="1193"/>
      <c r="AT625" s="1193"/>
      <c r="AU625" s="1193"/>
      <c r="AV625" s="1193"/>
      <c r="AW625" s="1193"/>
      <c r="AX625" s="1193"/>
      <c r="AY625" s="1193"/>
      <c r="AZ625" s="1193"/>
      <c r="BA625" s="1193"/>
      <c r="BB625" s="1193"/>
      <c r="BC625" s="1193"/>
      <c r="BD625" s="1193"/>
      <c r="BE625" s="1193"/>
      <c r="BF625" s="1193"/>
      <c r="BG625" s="1193"/>
    </row>
    <row r="626" spans="1:59" hidden="1" outlineLevel="1">
      <c r="A626" s="598" t="s">
        <v>528</v>
      </c>
      <c r="B626" s="1157" t="s">
        <v>515</v>
      </c>
      <c r="C626" s="598"/>
      <c r="D626" s="1120">
        <f>(S626/S619-1)*100</f>
        <v>8.5957384676137458</v>
      </c>
      <c r="E626" s="598"/>
      <c r="F626" s="1179">
        <f>'SegP&amp;L'!AK131</f>
        <v>5</v>
      </c>
      <c r="G626" s="598"/>
      <c r="H626" s="1120">
        <f>D626-F626</f>
        <v>3.5957384676137458</v>
      </c>
      <c r="I626" s="598"/>
      <c r="J626" s="598">
        <f>Stores!AM153</f>
        <v>273</v>
      </c>
      <c r="K626" s="1127"/>
      <c r="L626" s="1128">
        <f>AVERAGE(J626,J625)</f>
        <v>272</v>
      </c>
      <c r="M626" s="598"/>
      <c r="N626" s="1120">
        <f>(L626/L619-1)*100</f>
        <v>5.8365758754863828</v>
      </c>
      <c r="O626" s="1124"/>
      <c r="P626" s="1159">
        <f>H626/N626*100</f>
        <v>61.606985745115495</v>
      </c>
      <c r="Q626" s="1125"/>
      <c r="R626" s="598"/>
      <c r="S626" s="1165">
        <f>'SegP&amp;L'!AI131</f>
        <v>327.25</v>
      </c>
      <c r="T626" s="598"/>
      <c r="U626" s="1166">
        <f>S626/L626</f>
        <v>1.203125</v>
      </c>
      <c r="V626" s="598"/>
      <c r="W626" s="1176">
        <f>(U626/U619-1)*100</f>
        <v>2.6070028903556475</v>
      </c>
      <c r="X626" s="1124"/>
      <c r="Y626" s="598"/>
      <c r="Z626" s="1129">
        <f>Stores!AP153</f>
        <v>6.7</v>
      </c>
      <c r="AA626" s="1127"/>
      <c r="AB626" s="1163">
        <f>AVERAGE(Z626,Z625)</f>
        <v>6.7</v>
      </c>
      <c r="AC626" s="598"/>
      <c r="AD626" s="1120">
        <f>(AB626/AB619-1)*100</f>
        <v>5.5118110236220597</v>
      </c>
      <c r="AE626" s="1124"/>
      <c r="AF626" s="1159">
        <f>+H626/AD626*100</f>
        <v>65.236969340992104</v>
      </c>
      <c r="AG626" s="1125"/>
      <c r="AH626" s="598"/>
      <c r="AI626" s="1165">
        <f>+S626</f>
        <v>327.25</v>
      </c>
      <c r="AJ626" s="598"/>
      <c r="AK626" s="1167">
        <f>AI626/AB626</f>
        <v>48.843283582089548</v>
      </c>
      <c r="AL626" s="598"/>
      <c r="AM626" s="1176">
        <f>(AK626/AK619-1)*100</f>
        <v>2.9228267566189903</v>
      </c>
      <c r="AN626" s="1124"/>
      <c r="AP626" s="1193"/>
      <c r="AQ626" s="1193"/>
      <c r="AR626" s="1193"/>
      <c r="AS626" s="1193"/>
      <c r="AT626" s="1193"/>
      <c r="AU626" s="1193"/>
      <c r="AV626" s="1193"/>
      <c r="AW626" s="1193"/>
      <c r="AX626" s="1193"/>
      <c r="AY626" s="1193"/>
      <c r="AZ626" s="1193"/>
      <c r="BA626" s="1193"/>
      <c r="BB626" s="1193"/>
      <c r="BC626" s="1193"/>
      <c r="BD626" s="1193"/>
      <c r="BE626" s="1193"/>
      <c r="BF626" s="1193"/>
      <c r="BG626" s="1193"/>
    </row>
    <row r="627" spans="1:59" hidden="1" outlineLevel="1">
      <c r="A627" s="598" t="s">
        <v>529</v>
      </c>
      <c r="B627" s="1157" t="s">
        <v>516</v>
      </c>
      <c r="C627" s="598"/>
      <c r="D627" s="1120">
        <f>(S627/S620-1)*100</f>
        <v>10.656542807138681</v>
      </c>
      <c r="E627" s="598"/>
      <c r="F627" s="1179">
        <f>'SegP&amp;L'!AK132</f>
        <v>4</v>
      </c>
      <c r="G627" s="598"/>
      <c r="H627" s="1120">
        <f>D627-F627</f>
        <v>6.6565428071386812</v>
      </c>
      <c r="I627" s="598"/>
      <c r="J627" s="598">
        <f>Stores!AM154</f>
        <v>287</v>
      </c>
      <c r="K627" s="1127"/>
      <c r="L627" s="1128">
        <f>AVERAGE(J627,J626)</f>
        <v>280</v>
      </c>
      <c r="M627" s="598"/>
      <c r="N627" s="1120">
        <f>(L627/L620-1)*100</f>
        <v>5.6603773584905648</v>
      </c>
      <c r="O627" s="1124"/>
      <c r="P627" s="1159">
        <f>H627/N627*100</f>
        <v>117.59892292611673</v>
      </c>
      <c r="Q627" s="1125"/>
      <c r="R627" s="598"/>
      <c r="S627" s="1165">
        <f>'SegP&amp;L'!AI132</f>
        <v>371.77499999999998</v>
      </c>
      <c r="T627" s="598"/>
      <c r="U627" s="1166">
        <f>S627/L627</f>
        <v>1.3277678571428571</v>
      </c>
      <c r="V627" s="598"/>
      <c r="W627" s="1176">
        <f>(U627/U620-1)*100</f>
        <v>4.7285137281848355</v>
      </c>
      <c r="X627" s="1124"/>
      <c r="Y627" s="598"/>
      <c r="Z627" s="1129">
        <f>Stores!AP154</f>
        <v>7.1</v>
      </c>
      <c r="AA627" s="1127"/>
      <c r="AB627" s="1163">
        <f>AVERAGE(Z627,Z626)</f>
        <v>6.9</v>
      </c>
      <c r="AC627" s="598"/>
      <c r="AD627" s="1120">
        <f>(AB627/AB620-1)*100</f>
        <v>5.3435114503816772</v>
      </c>
      <c r="AE627" s="1124"/>
      <c r="AF627" s="1159">
        <f>+H627/AD627*100</f>
        <v>124.5724439621668</v>
      </c>
      <c r="AG627" s="1125"/>
      <c r="AH627" s="598"/>
      <c r="AI627" s="1165">
        <f>+S627</f>
        <v>371.77499999999998</v>
      </c>
      <c r="AJ627" s="598"/>
      <c r="AK627" s="1167">
        <f>AI627/AB627</f>
        <v>53.880434782608688</v>
      </c>
      <c r="AL627" s="598"/>
      <c r="AM627" s="1176">
        <f>(AK627/AK620-1)*100</f>
        <v>5.0435297661968859</v>
      </c>
      <c r="AN627" s="1124"/>
      <c r="AP627" s="1193"/>
      <c r="AQ627" s="1193"/>
      <c r="AR627" s="1193"/>
      <c r="AS627" s="1193"/>
      <c r="AT627" s="1193"/>
      <c r="AU627" s="1193"/>
      <c r="AV627" s="1193"/>
      <c r="AW627" s="1193"/>
      <c r="AX627" s="1193"/>
      <c r="AY627" s="1193"/>
      <c r="AZ627" s="1193"/>
      <c r="BA627" s="1193"/>
      <c r="BB627" s="1193"/>
      <c r="BC627" s="1193"/>
      <c r="BD627" s="1193"/>
      <c r="BE627" s="1193"/>
      <c r="BF627" s="1193"/>
      <c r="BG627" s="1193"/>
    </row>
    <row r="628" spans="1:59" hidden="1" outlineLevel="1">
      <c r="A628" s="598" t="s">
        <v>530</v>
      </c>
      <c r="B628" s="1157" t="s">
        <v>517</v>
      </c>
      <c r="C628" s="598"/>
      <c r="D628" s="1168">
        <f>(S628/S621-1)*100</f>
        <v>6.220849764902181</v>
      </c>
      <c r="E628" s="598"/>
      <c r="F628" s="1178">
        <f>'SegP&amp;L'!AK133</f>
        <v>0</v>
      </c>
      <c r="G628" s="598"/>
      <c r="H628" s="1168">
        <f>D628-F628</f>
        <v>6.220849764902181</v>
      </c>
      <c r="I628" s="598"/>
      <c r="J628" s="598">
        <f>Stores!AM155</f>
        <v>289</v>
      </c>
      <c r="K628" s="1127"/>
      <c r="L628" s="1171">
        <f>AVERAGE(J628,J627)</f>
        <v>288</v>
      </c>
      <c r="M628" s="598"/>
      <c r="N628" s="1168">
        <f>(L628/L621-1)*100</f>
        <v>6.6666666666666652</v>
      </c>
      <c r="O628" s="1124"/>
      <c r="P628" s="1171">
        <f>H628/N628*100</f>
        <v>93.312746473532741</v>
      </c>
      <c r="Q628" s="1125"/>
      <c r="R628" s="598"/>
      <c r="S628" s="1172">
        <f>'SegP&amp;L'!AI133</f>
        <v>448.20100000000002</v>
      </c>
      <c r="T628" s="598"/>
      <c r="U628" s="1173">
        <f>S628/L628</f>
        <v>1.5562534722222223</v>
      </c>
      <c r="V628" s="598"/>
      <c r="W628" s="1169">
        <f>(U628/U621-1)*100</f>
        <v>-0.41795334540422058</v>
      </c>
      <c r="X628" s="1124"/>
      <c r="Y628" s="598"/>
      <c r="Z628" s="1129">
        <f>Stores!AP155</f>
        <v>7.13</v>
      </c>
      <c r="AA628" s="1127"/>
      <c r="AB628" s="1174">
        <f>AVERAGE(Z628,Z627)</f>
        <v>7.1150000000000002</v>
      </c>
      <c r="AC628" s="598"/>
      <c r="AD628" s="1168">
        <f>(AB628/AB621-1)*100</f>
        <v>6.9924812030075056</v>
      </c>
      <c r="AE628" s="1124"/>
      <c r="AF628" s="1171">
        <f>+H628/AD628*100</f>
        <v>88.964840723870068</v>
      </c>
      <c r="AG628" s="1125"/>
      <c r="AH628" s="598"/>
      <c r="AI628" s="1172">
        <f>+S628</f>
        <v>448.20100000000002</v>
      </c>
      <c r="AJ628" s="598"/>
      <c r="AK628" s="1175">
        <f>AI628/AB628</f>
        <v>62.993815881939568</v>
      </c>
      <c r="AL628" s="598"/>
      <c r="AM628" s="1169">
        <f>(AK628/AK621-1)*100</f>
        <v>-0.72120155494033167</v>
      </c>
      <c r="AN628" s="1124"/>
      <c r="AP628" s="1193"/>
      <c r="AQ628" s="1193"/>
      <c r="AR628" s="1193"/>
      <c r="AS628" s="1193"/>
      <c r="AT628" s="1193"/>
      <c r="AU628" s="1193"/>
      <c r="AV628" s="1193"/>
      <c r="AW628" s="1193"/>
      <c r="AX628" s="1193"/>
      <c r="AY628" s="1193"/>
      <c r="AZ628" s="1193"/>
      <c r="BA628" s="1193"/>
      <c r="BB628" s="1193"/>
      <c r="BC628" s="1193"/>
      <c r="BD628" s="1193"/>
      <c r="BE628" s="1193"/>
      <c r="BF628" s="1193"/>
      <c r="BG628" s="1193"/>
    </row>
    <row r="629" spans="1:59" hidden="1" outlineLevel="1">
      <c r="A629" s="598"/>
      <c r="B629" s="1157" t="s">
        <v>531</v>
      </c>
      <c r="C629" s="598"/>
      <c r="D629" s="1120">
        <f>(S629/S622-1)*100</f>
        <v>8.4447107654147757</v>
      </c>
      <c r="E629" s="598"/>
      <c r="F629" s="1179">
        <f>'SegP&amp;L'!AK134</f>
        <v>3</v>
      </c>
      <c r="G629" s="598"/>
      <c r="H629" s="1120">
        <f>D629-F629</f>
        <v>5.4447107654147757</v>
      </c>
      <c r="I629" s="598"/>
      <c r="J629" s="598"/>
      <c r="K629" s="598"/>
      <c r="L629" s="1128">
        <f>AVERAGE(L625:L628)</f>
        <v>277.625</v>
      </c>
      <c r="M629" s="598"/>
      <c r="N629" s="1120">
        <f>(L629/L622-1)*100</f>
        <v>6.3188128291048251</v>
      </c>
      <c r="O629" s="1124"/>
      <c r="P629" s="1159">
        <f>H629/N629*100</f>
        <v>86.166672643571857</v>
      </c>
      <c r="Q629" s="1125"/>
      <c r="R629" s="598"/>
      <c r="S629" s="1160">
        <f>SUM(S625:S628)</f>
        <v>1480.3820000000001</v>
      </c>
      <c r="T629" s="598"/>
      <c r="U629" s="1161">
        <f>SUM(U625:U628)</f>
        <v>5.3187766435979809</v>
      </c>
      <c r="V629" s="598"/>
      <c r="W629" s="1176">
        <f>(U629/U622-1)*100</f>
        <v>2.0021632955752766</v>
      </c>
      <c r="X629" s="1124"/>
      <c r="Y629" s="598"/>
      <c r="Z629" s="598"/>
      <c r="AA629" s="598"/>
      <c r="AB629" s="1163">
        <f>AVERAGE(AB625:AB628)</f>
        <v>6.8412500000000005</v>
      </c>
      <c r="AC629" s="598"/>
      <c r="AD629" s="1120">
        <f>(AB629/AB622-1)*100</f>
        <v>6.0186351045076858</v>
      </c>
      <c r="AE629" s="1124"/>
      <c r="AF629" s="1159">
        <f>+H629/AD629*100</f>
        <v>90.464211085615304</v>
      </c>
      <c r="AG629" s="1125"/>
      <c r="AH629" s="598"/>
      <c r="AI629" s="1160">
        <f>SUM(AI625:AI628)</f>
        <v>1480.3820000000001</v>
      </c>
      <c r="AJ629" s="598"/>
      <c r="AK629" s="1164">
        <f>SUM(AK625:AK628)</f>
        <v>215.81618086317917</v>
      </c>
      <c r="AL629" s="598"/>
      <c r="AM629" s="1176">
        <f>(AK629/AK622-1)*100</f>
        <v>2.261064404592017</v>
      </c>
      <c r="AN629" s="1124"/>
      <c r="AP629" s="1193"/>
      <c r="AQ629" s="1193"/>
      <c r="AR629" s="1193"/>
      <c r="AS629" s="1193"/>
      <c r="AT629" s="1193"/>
      <c r="AU629" s="1193"/>
      <c r="AV629" s="1193"/>
      <c r="AW629" s="1193"/>
      <c r="AX629" s="1193"/>
      <c r="AY629" s="1193"/>
      <c r="AZ629" s="1193"/>
      <c r="BA629" s="1193"/>
      <c r="BB629" s="1193"/>
      <c r="BC629" s="1193"/>
      <c r="BD629" s="1193"/>
      <c r="BE629" s="1193"/>
      <c r="BF629" s="1193"/>
      <c r="BG629" s="1193"/>
    </row>
    <row r="630" spans="1:59" hidden="1" outlineLevel="1">
      <c r="A630" s="598"/>
      <c r="B630" s="1157"/>
      <c r="C630" s="598"/>
      <c r="D630" s="598"/>
      <c r="E630" s="598"/>
      <c r="F630" s="598"/>
      <c r="G630" s="598"/>
      <c r="H630" s="598"/>
      <c r="I630" s="598"/>
      <c r="J630" s="598"/>
      <c r="K630" s="598"/>
      <c r="L630" s="598"/>
      <c r="M630" s="598"/>
      <c r="N630" s="598"/>
      <c r="O630" s="598"/>
      <c r="P630" s="598"/>
      <c r="Q630" s="598"/>
      <c r="R630" s="598"/>
      <c r="S630" s="598"/>
      <c r="T630" s="598"/>
      <c r="U630" s="598"/>
      <c r="V630" s="598"/>
      <c r="W630" s="598"/>
      <c r="X630" s="598"/>
      <c r="Y630" s="598"/>
      <c r="Z630" s="598"/>
      <c r="AA630" s="598"/>
      <c r="AB630" s="598"/>
      <c r="AC630" s="598"/>
      <c r="AD630" s="598"/>
      <c r="AE630" s="598"/>
      <c r="AF630" s="598"/>
      <c r="AG630" s="598"/>
      <c r="AH630" s="598"/>
      <c r="AI630" s="598"/>
      <c r="AJ630" s="598"/>
      <c r="AK630" s="598"/>
      <c r="AL630" s="598"/>
      <c r="AM630" s="598"/>
      <c r="AN630" s="598"/>
      <c r="AP630" s="1193"/>
      <c r="AQ630" s="1193"/>
      <c r="AR630" s="1193"/>
      <c r="AS630" s="1193"/>
      <c r="AT630" s="1193"/>
      <c r="AU630" s="1193"/>
      <c r="AV630" s="1193"/>
      <c r="AW630" s="1193"/>
      <c r="AX630" s="1193"/>
      <c r="AY630" s="1193"/>
      <c r="AZ630" s="1193"/>
      <c r="BA630" s="1193"/>
      <c r="BB630" s="1193"/>
      <c r="BC630" s="1193"/>
      <c r="BD630" s="1193"/>
      <c r="BE630" s="1193"/>
      <c r="BF630" s="1193"/>
      <c r="BG630" s="1193"/>
    </row>
    <row r="631" spans="1:59" hidden="1" outlineLevel="1">
      <c r="A631" s="1154"/>
      <c r="B631" s="1118">
        <f>+B624+1</f>
        <v>2008</v>
      </c>
      <c r="C631" s="598"/>
      <c r="D631" s="598"/>
      <c r="E631" s="1124"/>
      <c r="F631" s="598"/>
      <c r="G631" s="1124"/>
      <c r="H631" s="598"/>
      <c r="I631" s="1124"/>
      <c r="J631" s="598"/>
      <c r="K631" s="598"/>
      <c r="L631" s="598"/>
      <c r="M631" s="598"/>
      <c r="N631" s="598"/>
      <c r="O631" s="1124"/>
      <c r="P631" s="1125"/>
      <c r="Q631" s="1125"/>
      <c r="R631" s="598"/>
      <c r="S631" s="598"/>
      <c r="T631" s="598"/>
      <c r="U631" s="598"/>
      <c r="V631" s="598"/>
      <c r="W631" s="598"/>
      <c r="X631" s="1124"/>
      <c r="Y631" s="598"/>
      <c r="Z631" s="598"/>
      <c r="AA631" s="598"/>
      <c r="AB631" s="598"/>
      <c r="AC631" s="598"/>
      <c r="AD631" s="598"/>
      <c r="AE631" s="1124"/>
      <c r="AF631" s="1125"/>
      <c r="AG631" s="1125"/>
      <c r="AH631" s="598"/>
      <c r="AI631" s="598"/>
      <c r="AJ631" s="598"/>
      <c r="AK631" s="598"/>
      <c r="AL631" s="598"/>
      <c r="AM631" s="598"/>
      <c r="AN631" s="1124"/>
      <c r="AP631" s="1193"/>
      <c r="AQ631" s="1193"/>
      <c r="AR631" s="1193"/>
      <c r="AS631" s="1193"/>
      <c r="AT631" s="1193"/>
      <c r="AU631" s="1193"/>
      <c r="AV631" s="1193"/>
      <c r="AW631" s="1193"/>
      <c r="AX631" s="1193"/>
      <c r="AY631" s="1193"/>
      <c r="AZ631" s="1193"/>
      <c r="BA631" s="1193"/>
      <c r="BB631" s="1193"/>
      <c r="BC631" s="1193"/>
      <c r="BD631" s="1193"/>
      <c r="BE631" s="1193"/>
      <c r="BF631" s="1193"/>
      <c r="BG631" s="1193"/>
    </row>
    <row r="632" spans="1:59" hidden="1" outlineLevel="1">
      <c r="A632" s="598" t="s">
        <v>527</v>
      </c>
      <c r="B632" s="1157" t="s">
        <v>514</v>
      </c>
      <c r="C632" s="598"/>
      <c r="D632" s="1120">
        <f>(S632/S625-1)*100</f>
        <v>9.0867341425638237</v>
      </c>
      <c r="E632" s="1124" t="s">
        <v>190</v>
      </c>
      <c r="F632" s="1179">
        <f>'SegP&amp;L'!AK137</f>
        <v>2</v>
      </c>
      <c r="G632" s="1124" t="s">
        <v>190</v>
      </c>
      <c r="H632" s="1120">
        <f>D632-F632</f>
        <v>7.0867341425638237</v>
      </c>
      <c r="I632" s="1124" t="s">
        <v>190</v>
      </c>
      <c r="J632" s="598">
        <f>Stores!AM159</f>
        <v>294</v>
      </c>
      <c r="K632" s="598"/>
      <c r="L632" s="1128">
        <f>AVERAGE(J632,J628)</f>
        <v>291.5</v>
      </c>
      <c r="M632" s="598"/>
      <c r="N632" s="1120">
        <f>(L632/L625-1)*100</f>
        <v>7.7634011090573107</v>
      </c>
      <c r="O632" s="1124" t="s">
        <v>190</v>
      </c>
      <c r="P632" s="1159">
        <f>H632/N632*100</f>
        <v>91.2838850268339</v>
      </c>
      <c r="Q632" s="1125" t="s">
        <v>190</v>
      </c>
      <c r="R632" s="598"/>
      <c r="S632" s="1160">
        <f>'SegP&amp;L'!AI137</f>
        <v>363.42899999999997</v>
      </c>
      <c r="T632" s="598"/>
      <c r="U632" s="1161">
        <f>S632/L632</f>
        <v>1.2467547169811319</v>
      </c>
      <c r="V632" s="598"/>
      <c r="W632" s="1176">
        <f>(U632/U625-1)*100</f>
        <v>1.2279985782624792</v>
      </c>
      <c r="X632" s="1124" t="s">
        <v>190</v>
      </c>
      <c r="Y632" s="598"/>
      <c r="Z632" s="1129">
        <f>Stores!AP159</f>
        <v>7.3</v>
      </c>
      <c r="AA632" s="598"/>
      <c r="AB632" s="1163">
        <f>AVERAGE(Z632,Z628)</f>
        <v>7.2149999999999999</v>
      </c>
      <c r="AC632" s="598"/>
      <c r="AD632" s="1120">
        <f>(AB632/AB625-1)*100</f>
        <v>8.4962406015037573</v>
      </c>
      <c r="AE632" s="1124" t="s">
        <v>190</v>
      </c>
      <c r="AF632" s="1159">
        <f>+H632/AD632*100</f>
        <v>83.410233713361833</v>
      </c>
      <c r="AG632" s="1125" t="s">
        <v>190</v>
      </c>
      <c r="AH632" s="598"/>
      <c r="AI632" s="1160">
        <f>+S632</f>
        <v>363.42899999999997</v>
      </c>
      <c r="AJ632" s="598"/>
      <c r="AK632" s="1164">
        <f>AI632/AB632</f>
        <v>50.371309771309768</v>
      </c>
      <c r="AL632" s="598"/>
      <c r="AM632" s="1176">
        <f>(AK632/AK625-1)*100</f>
        <v>0.54425253611221081</v>
      </c>
      <c r="AN632" s="1124" t="s">
        <v>190</v>
      </c>
      <c r="AP632" s="1193"/>
      <c r="AQ632" s="1193"/>
      <c r="AR632" s="1193"/>
      <c r="AS632" s="1193"/>
      <c r="AT632" s="1193"/>
      <c r="AU632" s="1193"/>
      <c r="AV632" s="1193"/>
      <c r="AW632" s="1193"/>
      <c r="AX632" s="1193"/>
      <c r="AY632" s="1193"/>
      <c r="AZ632" s="1193"/>
      <c r="BA632" s="1193"/>
      <c r="BB632" s="1193"/>
      <c r="BC632" s="1193"/>
      <c r="BD632" s="1193"/>
      <c r="BE632" s="1193"/>
      <c r="BF632" s="1193"/>
      <c r="BG632" s="1193"/>
    </row>
    <row r="633" spans="1:59" hidden="1" outlineLevel="1">
      <c r="A633" s="598" t="s">
        <v>528</v>
      </c>
      <c r="B633" s="1157" t="s">
        <v>515</v>
      </c>
      <c r="C633" s="598"/>
      <c r="D633" s="1120">
        <f>(S633/S626-1)*100</f>
        <v>7.0841864018334588</v>
      </c>
      <c r="E633" s="598"/>
      <c r="F633" s="1179">
        <f>'SegP&amp;L'!AK138</f>
        <v>-1</v>
      </c>
      <c r="G633" s="598"/>
      <c r="H633" s="1120">
        <f>D633-F633</f>
        <v>8.0841864018334597</v>
      </c>
      <c r="I633" s="598"/>
      <c r="J633" s="598">
        <f>Stores!AM160</f>
        <v>297</v>
      </c>
      <c r="K633" s="1127"/>
      <c r="L633" s="1128">
        <f>AVERAGE(J633,J632)</f>
        <v>295.5</v>
      </c>
      <c r="M633" s="598"/>
      <c r="N633" s="1120">
        <f>(L633/L626-1)*100</f>
        <v>8.6397058823529438</v>
      </c>
      <c r="O633" s="1124"/>
      <c r="P633" s="1159">
        <f>H633/N633*100</f>
        <v>93.570157502072362</v>
      </c>
      <c r="Q633" s="1125"/>
      <c r="R633" s="598"/>
      <c r="S633" s="1165">
        <f>'SegP&amp;L'!AI138</f>
        <v>350.43299999999999</v>
      </c>
      <c r="T633" s="598"/>
      <c r="U633" s="1166">
        <f>S633/L633</f>
        <v>1.1858984771573604</v>
      </c>
      <c r="V633" s="598"/>
      <c r="W633" s="1176">
        <f>(U633/U626-1)*100</f>
        <v>-1.4318148856219959</v>
      </c>
      <c r="X633" s="1124"/>
      <c r="Y633" s="598"/>
      <c r="Z633" s="1129">
        <f>Stores!AP160</f>
        <v>7.3</v>
      </c>
      <c r="AA633" s="1127"/>
      <c r="AB633" s="1163">
        <f>AVERAGE(Z633,Z632)</f>
        <v>7.3</v>
      </c>
      <c r="AC633" s="598"/>
      <c r="AD633" s="1120">
        <f>(AB633/AB626-1)*100</f>
        <v>8.9552238805970177</v>
      </c>
      <c r="AE633" s="1124"/>
      <c r="AF633" s="1159">
        <f>+H633/AD633*100</f>
        <v>90.273414820473604</v>
      </c>
      <c r="AG633" s="1125"/>
      <c r="AH633" s="598"/>
      <c r="AI633" s="1165">
        <f>+S633</f>
        <v>350.43299999999999</v>
      </c>
      <c r="AJ633" s="598"/>
      <c r="AK633" s="1167">
        <f>AI633/AB633</f>
        <v>48.004520547945205</v>
      </c>
      <c r="AL633" s="598"/>
      <c r="AM633" s="1176">
        <f>(AK633/AK626-1)*100</f>
        <v>-1.7172535763994135</v>
      </c>
      <c r="AN633" s="1124"/>
      <c r="AP633" s="1193"/>
      <c r="AQ633" s="1193"/>
      <c r="AR633" s="1193"/>
      <c r="AS633" s="1193"/>
      <c r="AT633" s="1193"/>
      <c r="AU633" s="1193"/>
      <c r="AV633" s="1193"/>
      <c r="AW633" s="1193"/>
      <c r="AX633" s="1193"/>
      <c r="AY633" s="1193"/>
      <c r="AZ633" s="1193"/>
      <c r="BA633" s="1193"/>
      <c r="BB633" s="1193"/>
      <c r="BC633" s="1193"/>
      <c r="BD633" s="1193"/>
      <c r="BE633" s="1193"/>
      <c r="BF633" s="1193"/>
      <c r="BG633" s="1193"/>
    </row>
    <row r="634" spans="1:59" hidden="1" outlineLevel="1">
      <c r="A634" s="598" t="s">
        <v>529</v>
      </c>
      <c r="B634" s="1157" t="s">
        <v>516</v>
      </c>
      <c r="C634" s="598"/>
      <c r="D634" s="1120">
        <f>(S634/S627-1)*100</f>
        <v>2.982718041826371</v>
      </c>
      <c r="E634" s="598"/>
      <c r="F634" s="1179">
        <f>'SegP&amp;L'!AK139</f>
        <v>-5</v>
      </c>
      <c r="G634" s="598"/>
      <c r="H634" s="1120">
        <f>D634-F634</f>
        <v>7.982718041826371</v>
      </c>
      <c r="I634" s="598"/>
      <c r="J634" s="598">
        <f>Stores!AM161</f>
        <v>315</v>
      </c>
      <c r="K634" s="1127"/>
      <c r="L634" s="1128">
        <f>AVERAGE(J634,J633)</f>
        <v>306</v>
      </c>
      <c r="M634" s="598"/>
      <c r="N634" s="1120">
        <f>(L634/L627-1)*100</f>
        <v>9.285714285714274</v>
      </c>
      <c r="O634" s="1124"/>
      <c r="P634" s="1159">
        <f>H634/N634*100</f>
        <v>85.967732758130254</v>
      </c>
      <c r="Q634" s="1125"/>
      <c r="R634" s="598"/>
      <c r="S634" s="1165">
        <f>'SegP&amp;L'!AI139</f>
        <v>382.86399999999998</v>
      </c>
      <c r="T634" s="598"/>
      <c r="U634" s="1166">
        <f>S634/L634</f>
        <v>1.2511895424836601</v>
      </c>
      <c r="V634" s="598"/>
      <c r="W634" s="1176">
        <f>(U634/U627-1)*100</f>
        <v>-5.7674475434268402</v>
      </c>
      <c r="X634" s="1124"/>
      <c r="Y634" s="598"/>
      <c r="Z634" s="1129">
        <f>Stores!AP161</f>
        <v>7.8</v>
      </c>
      <c r="AA634" s="1127"/>
      <c r="AB634" s="1163">
        <f>AVERAGE(Z634,Z633)</f>
        <v>7.55</v>
      </c>
      <c r="AC634" s="598"/>
      <c r="AD634" s="1120">
        <f>(AB634/AB627-1)*100</f>
        <v>9.4202898550724612</v>
      </c>
      <c r="AE634" s="1124"/>
      <c r="AF634" s="1159">
        <f>+H634/AD634*100</f>
        <v>84.739622290156873</v>
      </c>
      <c r="AG634" s="1125"/>
      <c r="AH634" s="598"/>
      <c r="AI634" s="1165">
        <f>+S634</f>
        <v>382.86399999999998</v>
      </c>
      <c r="AJ634" s="598"/>
      <c r="AK634" s="1167">
        <f>AI634/AB634</f>
        <v>50.710463576158936</v>
      </c>
      <c r="AL634" s="598"/>
      <c r="AM634" s="1176">
        <f>(AK634/AK627-1)*100</f>
        <v>-5.8833437763441072</v>
      </c>
      <c r="AN634" s="1124"/>
      <c r="AP634" s="1193"/>
      <c r="AQ634" s="1193"/>
      <c r="AR634" s="1193"/>
      <c r="AS634" s="1193"/>
      <c r="AT634" s="1193"/>
      <c r="AU634" s="1193"/>
      <c r="AV634" s="1193"/>
      <c r="AW634" s="1193"/>
      <c r="AX634" s="1193"/>
      <c r="AY634" s="1193"/>
      <c r="AZ634" s="1193"/>
      <c r="BA634" s="1193"/>
      <c r="BB634" s="1193"/>
      <c r="BC634" s="1193"/>
      <c r="BD634" s="1193"/>
      <c r="BE634" s="1193"/>
      <c r="BF634" s="1193"/>
      <c r="BG634" s="1193"/>
    </row>
    <row r="635" spans="1:59" hidden="1" outlineLevel="1">
      <c r="A635" s="598" t="s">
        <v>530</v>
      </c>
      <c r="B635" s="1157" t="s">
        <v>517</v>
      </c>
      <c r="C635" s="598"/>
      <c r="D635" s="1168">
        <f>(S635/S628-1)*100</f>
        <v>7.442866035550999</v>
      </c>
      <c r="E635" s="598"/>
      <c r="F635" s="1178">
        <f>'SegP&amp;L'!AK140</f>
        <v>-7</v>
      </c>
      <c r="G635" s="598"/>
      <c r="H635" s="1168">
        <f>D635-F635</f>
        <v>14.442866035550999</v>
      </c>
      <c r="I635" s="598"/>
      <c r="J635" s="598">
        <f>Stores!AM162</f>
        <v>318</v>
      </c>
      <c r="K635" s="1127"/>
      <c r="L635" s="1171">
        <f>AVERAGE(J635,J634)</f>
        <v>316.5</v>
      </c>
      <c r="M635" s="598"/>
      <c r="N635" s="1168">
        <f>(L635/L628-1)*100</f>
        <v>9.895833333333325</v>
      </c>
      <c r="O635" s="1124"/>
      <c r="P635" s="1171">
        <f>H635/N635*100</f>
        <v>145.94896204346287</v>
      </c>
      <c r="Q635" s="1125"/>
      <c r="R635" s="598"/>
      <c r="S635" s="1172">
        <f>'SegP&amp;L'!AI140</f>
        <v>481.56</v>
      </c>
      <c r="T635" s="598"/>
      <c r="U635" s="1173">
        <f>S635/L635</f>
        <v>1.521516587677725</v>
      </c>
      <c r="V635" s="598"/>
      <c r="W635" s="1169">
        <f>(U635/U628-1)*100</f>
        <v>-2.2320839866076247</v>
      </c>
      <c r="X635" s="1124"/>
      <c r="Y635" s="598"/>
      <c r="Z635" s="1129">
        <f>Stores!AP162</f>
        <v>7.9</v>
      </c>
      <c r="AA635" s="1127"/>
      <c r="AB635" s="1174">
        <f>AVERAGE(Z635,Z634)</f>
        <v>7.85</v>
      </c>
      <c r="AC635" s="598"/>
      <c r="AD635" s="1168">
        <f>(AB635/AB628-1)*100</f>
        <v>10.330288123682351</v>
      </c>
      <c r="AE635" s="1124"/>
      <c r="AF635" s="1171">
        <f>+H635/AD635*100</f>
        <v>139.81087325570812</v>
      </c>
      <c r="AG635" s="1125"/>
      <c r="AH635" s="598"/>
      <c r="AI635" s="1172">
        <f>+S635</f>
        <v>481.56</v>
      </c>
      <c r="AJ635" s="598"/>
      <c r="AK635" s="1175">
        <f>AI635/AB635</f>
        <v>61.345222929936305</v>
      </c>
      <c r="AL635" s="598"/>
      <c r="AM635" s="1169">
        <f>(AK635/AK628-1)*100</f>
        <v>-2.6170711028094984</v>
      </c>
      <c r="AN635" s="1124"/>
      <c r="AP635" s="1193"/>
      <c r="AQ635" s="1193"/>
      <c r="AR635" s="1193"/>
      <c r="AS635" s="1193"/>
      <c r="AT635" s="1193"/>
      <c r="AU635" s="1193"/>
      <c r="AV635" s="1193"/>
      <c r="AW635" s="1193"/>
      <c r="AX635" s="1193"/>
      <c r="AY635" s="1193"/>
      <c r="AZ635" s="1193"/>
      <c r="BA635" s="1193"/>
      <c r="BB635" s="1193"/>
      <c r="BC635" s="1193"/>
      <c r="BD635" s="1193"/>
      <c r="BE635" s="1193"/>
      <c r="BF635" s="1193"/>
      <c r="BG635" s="1193"/>
    </row>
    <row r="636" spans="1:59" hidden="1" outlineLevel="1">
      <c r="A636" s="598"/>
      <c r="B636" s="1157" t="s">
        <v>531</v>
      </c>
      <c r="C636" s="598"/>
      <c r="D636" s="1120">
        <f>(S636/S629-1)*100</f>
        <v>6.6134281557057362</v>
      </c>
      <c r="E636" s="598"/>
      <c r="F636" s="1179">
        <f>'SegP&amp;L'!AK141</f>
        <v>-3</v>
      </c>
      <c r="G636" s="598"/>
      <c r="H636" s="1120">
        <f>D636-F636</f>
        <v>9.6134281557057371</v>
      </c>
      <c r="I636" s="598"/>
      <c r="J636" s="598"/>
      <c r="K636" s="598"/>
      <c r="L636" s="1128">
        <f>AVERAGE(L632:L635)</f>
        <v>302.375</v>
      </c>
      <c r="M636" s="598"/>
      <c r="N636" s="1120">
        <f>(L636/L629-1)*100</f>
        <v>8.9149031967582069</v>
      </c>
      <c r="O636" s="1124"/>
      <c r="P636" s="1159">
        <f>H636/N636*100</f>
        <v>107.83547441324477</v>
      </c>
      <c r="Q636" s="1125"/>
      <c r="R636" s="598"/>
      <c r="S636" s="1160">
        <f>SUM(S632:S635)</f>
        <v>1578.2859999999998</v>
      </c>
      <c r="T636" s="598"/>
      <c r="U636" s="1161">
        <f>SUM(U632:U635)</f>
        <v>5.2053593242998772</v>
      </c>
      <c r="V636" s="598"/>
      <c r="W636" s="1176">
        <f>(U636/U629-1)*100</f>
        <v>-2.132394851260011</v>
      </c>
      <c r="X636" s="1124"/>
      <c r="Y636" s="598"/>
      <c r="Z636" s="598"/>
      <c r="AA636" s="598"/>
      <c r="AB636" s="1163">
        <f>AVERAGE(AB632:AB635)</f>
        <v>7.4787499999999998</v>
      </c>
      <c r="AC636" s="598"/>
      <c r="AD636" s="1120">
        <f>(AB636/AB629-1)*100</f>
        <v>9.3184725013703442</v>
      </c>
      <c r="AE636" s="1124"/>
      <c r="AF636" s="1159">
        <f>+H636/AD636*100</f>
        <v>103.16527901211296</v>
      </c>
      <c r="AG636" s="1125"/>
      <c r="AH636" s="598"/>
      <c r="AI636" s="1160">
        <f>SUM(AI632:AI635)</f>
        <v>1578.2859999999998</v>
      </c>
      <c r="AJ636" s="598"/>
      <c r="AK636" s="1164">
        <f>SUM(AK632:AK635)</f>
        <v>210.43151682535023</v>
      </c>
      <c r="AL636" s="598"/>
      <c r="AM636" s="1176">
        <f>(AK636/AK629-1)*100</f>
        <v>-2.4950233185910387</v>
      </c>
      <c r="AN636" s="1124"/>
      <c r="AP636" s="1193"/>
      <c r="AQ636" s="1193"/>
      <c r="AR636" s="1193"/>
      <c r="AS636" s="1193"/>
      <c r="AT636" s="1193"/>
      <c r="AU636" s="1193"/>
      <c r="AV636" s="1193"/>
      <c r="AW636" s="1193"/>
      <c r="AX636" s="1193"/>
      <c r="AY636" s="1193"/>
      <c r="AZ636" s="1193"/>
      <c r="BA636" s="1193"/>
      <c r="BB636" s="1193"/>
      <c r="BC636" s="1193"/>
      <c r="BD636" s="1193"/>
      <c r="BE636" s="1193"/>
      <c r="BF636" s="1193"/>
      <c r="BG636" s="1193"/>
    </row>
    <row r="637" spans="1:59" hidden="1" outlineLevel="1">
      <c r="A637" s="598"/>
      <c r="B637" s="1157"/>
      <c r="C637" s="598"/>
      <c r="D637" s="1120"/>
      <c r="E637" s="598"/>
      <c r="F637" s="1179"/>
      <c r="G637" s="598"/>
      <c r="H637" s="1120"/>
      <c r="I637" s="598"/>
      <c r="J637" s="598"/>
      <c r="K637" s="598"/>
      <c r="L637" s="1128"/>
      <c r="M637" s="598"/>
      <c r="N637" s="1120"/>
      <c r="O637" s="1124"/>
      <c r="P637" s="1159"/>
      <c r="Q637" s="1125"/>
      <c r="R637" s="598"/>
      <c r="S637" s="1160"/>
      <c r="T637" s="598"/>
      <c r="U637" s="1161"/>
      <c r="V637" s="598"/>
      <c r="W637" s="1176"/>
      <c r="X637" s="1124"/>
      <c r="Y637" s="598"/>
      <c r="Z637" s="598"/>
      <c r="AA637" s="598"/>
      <c r="AB637" s="1163"/>
      <c r="AC637" s="598"/>
      <c r="AD637" s="1120"/>
      <c r="AE637" s="1124"/>
      <c r="AF637" s="1159"/>
      <c r="AG637" s="1125"/>
      <c r="AH637" s="598"/>
      <c r="AI637" s="1160"/>
      <c r="AJ637" s="598"/>
      <c r="AK637" s="1164"/>
      <c r="AL637" s="598"/>
      <c r="AM637" s="1176"/>
      <c r="AN637" s="1124"/>
      <c r="AP637" s="1193"/>
      <c r="AQ637" s="1193"/>
      <c r="AR637" s="1193"/>
      <c r="AS637" s="1193"/>
      <c r="AT637" s="1193"/>
      <c r="AU637" s="1193"/>
      <c r="AV637" s="1193"/>
      <c r="AW637" s="1193"/>
      <c r="AX637" s="1193"/>
      <c r="AY637" s="1193"/>
      <c r="AZ637" s="1193"/>
      <c r="BA637" s="1193"/>
      <c r="BB637" s="1193"/>
      <c r="BC637" s="1193"/>
      <c r="BD637" s="1193"/>
      <c r="BE637" s="1193"/>
      <c r="BF637" s="1193"/>
      <c r="BG637" s="1193"/>
    </row>
    <row r="638" spans="1:59" hidden="1" outlineLevel="1">
      <c r="A638" s="1154"/>
      <c r="B638" s="1118">
        <f>+B631+1</f>
        <v>2009</v>
      </c>
      <c r="C638" s="598"/>
      <c r="D638" s="598"/>
      <c r="E638" s="1124"/>
      <c r="F638" s="598"/>
      <c r="G638" s="1124"/>
      <c r="H638" s="598"/>
      <c r="I638" s="1124"/>
      <c r="J638" s="598"/>
      <c r="K638" s="598"/>
      <c r="L638" s="598"/>
      <c r="M638" s="598"/>
      <c r="N638" s="598"/>
      <c r="O638" s="1124"/>
      <c r="P638" s="1125"/>
      <c r="Q638" s="1125"/>
      <c r="R638" s="598"/>
      <c r="S638" s="598"/>
      <c r="T638" s="598"/>
      <c r="U638" s="598"/>
      <c r="V638" s="598"/>
      <c r="W638" s="598"/>
      <c r="X638" s="1124"/>
      <c r="Y638" s="598"/>
      <c r="Z638" s="598"/>
      <c r="AA638" s="598"/>
      <c r="AB638" s="598"/>
      <c r="AC638" s="598"/>
      <c r="AD638" s="598"/>
      <c r="AE638" s="1124"/>
      <c r="AF638" s="1125"/>
      <c r="AG638" s="1125"/>
      <c r="AH638" s="598"/>
      <c r="AI638" s="598"/>
      <c r="AJ638" s="598"/>
      <c r="AK638" s="598"/>
      <c r="AL638" s="598"/>
      <c r="AM638" s="598"/>
      <c r="AN638" s="1124"/>
      <c r="AP638" s="1193"/>
      <c r="AQ638" s="1193"/>
      <c r="AR638" s="1193"/>
      <c r="AS638" s="1193"/>
      <c r="AT638" s="1193"/>
      <c r="AU638" s="1193"/>
      <c r="AV638" s="1193"/>
      <c r="AW638" s="1193"/>
      <c r="AX638" s="1193"/>
      <c r="AY638" s="1193"/>
      <c r="AZ638" s="1193"/>
      <c r="BA638" s="1193"/>
      <c r="BB638" s="1193"/>
      <c r="BC638" s="1193"/>
      <c r="BD638" s="1193"/>
      <c r="BE638" s="1193"/>
      <c r="BF638" s="1193"/>
      <c r="BG638" s="1193"/>
    </row>
    <row r="639" spans="1:59" hidden="1" outlineLevel="1">
      <c r="A639" s="598" t="s">
        <v>527</v>
      </c>
      <c r="B639" s="1157" t="s">
        <v>514</v>
      </c>
      <c r="C639" s="598"/>
      <c r="D639" s="1120">
        <f>(S639/S632-1)*100</f>
        <v>7.8326165495874012</v>
      </c>
      <c r="E639" s="1124" t="s">
        <v>190</v>
      </c>
      <c r="F639" s="1179">
        <f>'SegP&amp;L'!AK144</f>
        <v>-1</v>
      </c>
      <c r="G639" s="1124" t="s">
        <v>190</v>
      </c>
      <c r="H639" s="1120">
        <f>D639-F639</f>
        <v>8.8326165495874012</v>
      </c>
      <c r="I639" s="1124" t="s">
        <v>190</v>
      </c>
      <c r="J639" s="598">
        <f>Stores!AM166</f>
        <v>322</v>
      </c>
      <c r="K639" s="598"/>
      <c r="L639" s="1128">
        <f>AVERAGE(J639,J635)</f>
        <v>320</v>
      </c>
      <c r="M639" s="598"/>
      <c r="N639" s="1120">
        <f>(L639/L632-1)*100</f>
        <v>9.7770154373927998</v>
      </c>
      <c r="O639" s="1124" t="s">
        <v>190</v>
      </c>
      <c r="P639" s="1159">
        <f>H639/N639*100</f>
        <v>90.34062190192023</v>
      </c>
      <c r="Q639" s="1125" t="s">
        <v>190</v>
      </c>
      <c r="R639" s="598"/>
      <c r="S639" s="1160">
        <f>'SegP&amp;L'!AI144</f>
        <v>391.89499999999998</v>
      </c>
      <c r="T639" s="598"/>
      <c r="U639" s="1161">
        <f>S639/L639</f>
        <v>1.2246718749999999</v>
      </c>
      <c r="V639" s="598"/>
      <c r="W639" s="1176">
        <f>(U639/U632-1)*100</f>
        <v>-1.7712258618602261</v>
      </c>
      <c r="X639" s="1124" t="s">
        <v>190</v>
      </c>
      <c r="Y639" s="598"/>
      <c r="Z639" s="1129">
        <f>Stores!AP166</f>
        <v>8</v>
      </c>
      <c r="AA639" s="598"/>
      <c r="AB639" s="1163">
        <f>AVERAGE(Z639,Z635)</f>
        <v>7.95</v>
      </c>
      <c r="AC639" s="598"/>
      <c r="AD639" s="1120">
        <f>(AB639/AB632-1)*100</f>
        <v>10.187110187110182</v>
      </c>
      <c r="AE639" s="1124" t="s">
        <v>190</v>
      </c>
      <c r="AF639" s="1159">
        <f>+H639/AD639*100</f>
        <v>86.703848170439642</v>
      </c>
      <c r="AG639" s="1125" t="s">
        <v>190</v>
      </c>
      <c r="AH639" s="598"/>
      <c r="AI639" s="1160">
        <f>+S639</f>
        <v>391.89499999999998</v>
      </c>
      <c r="AJ639" s="598"/>
      <c r="AK639" s="1164">
        <f>AI639/AB639</f>
        <v>49.294968553459114</v>
      </c>
      <c r="AL639" s="598"/>
      <c r="AM639" s="1176">
        <f>(AK639/AK632-1)*100</f>
        <v>-2.1368140370725652</v>
      </c>
      <c r="AN639" s="1124" t="s">
        <v>190</v>
      </c>
      <c r="AP639" s="1193"/>
      <c r="AQ639" s="1193"/>
      <c r="AR639" s="1193"/>
      <c r="AS639" s="1193"/>
      <c r="AT639" s="1193"/>
      <c r="AU639" s="1193"/>
      <c r="AV639" s="1193"/>
      <c r="AW639" s="1193"/>
      <c r="AX639" s="1193"/>
      <c r="AY639" s="1193"/>
      <c r="AZ639" s="1193"/>
      <c r="BA639" s="1193"/>
      <c r="BB639" s="1193"/>
      <c r="BC639" s="1193"/>
      <c r="BD639" s="1193"/>
      <c r="BE639" s="1193"/>
      <c r="BF639" s="1193"/>
      <c r="BG639" s="1193"/>
    </row>
    <row r="640" spans="1:59" hidden="1" outlineLevel="1">
      <c r="A640" s="598" t="s">
        <v>528</v>
      </c>
      <c r="B640" s="1157" t="s">
        <v>515</v>
      </c>
      <c r="C640" s="598"/>
      <c r="D640" s="1120">
        <f>(S640/S633-1)*100</f>
        <v>17.807683637100389</v>
      </c>
      <c r="E640" s="598"/>
      <c r="F640" s="1179">
        <f>'SegP&amp;L'!AK145</f>
        <v>9</v>
      </c>
      <c r="G640" s="598"/>
      <c r="H640" s="1120">
        <f>D640-F640</f>
        <v>8.8076836371003893</v>
      </c>
      <c r="I640" s="598"/>
      <c r="J640" s="598">
        <f>Stores!AM167</f>
        <v>323</v>
      </c>
      <c r="K640" s="1127"/>
      <c r="L640" s="1128">
        <f>AVERAGE(J640,J639)</f>
        <v>322.5</v>
      </c>
      <c r="M640" s="598"/>
      <c r="N640" s="1120">
        <f>(L640/L633-1)*100</f>
        <v>9.137055837563457</v>
      </c>
      <c r="O640" s="1124"/>
      <c r="P640" s="1159">
        <f>H640/N640*100</f>
        <v>96.395204250487538</v>
      </c>
      <c r="Q640" s="1180"/>
      <c r="R640" s="598"/>
      <c r="S640" s="1165">
        <f>'SegP&amp;L'!AI145</f>
        <v>412.83699999999999</v>
      </c>
      <c r="T640" s="598"/>
      <c r="U640" s="1166">
        <f>S640/L640</f>
        <v>1.2801147286821706</v>
      </c>
      <c r="V640" s="598"/>
      <c r="W640" s="1176">
        <f>(U640/U633-1)*100</f>
        <v>7.9447147744594382</v>
      </c>
      <c r="X640" s="1124"/>
      <c r="Y640" s="598"/>
      <c r="Z640" s="1129">
        <f>Stores!AP167</f>
        <v>8</v>
      </c>
      <c r="AA640" s="1127"/>
      <c r="AB640" s="1163">
        <f>AVERAGE(Z640,Z639)</f>
        <v>8</v>
      </c>
      <c r="AC640" s="598"/>
      <c r="AD640" s="1120">
        <f>(AB640/AB633-1)*100</f>
        <v>9.5890410958904049</v>
      </c>
      <c r="AE640" s="1124"/>
      <c r="AF640" s="1159">
        <f>+H640/AD640*100</f>
        <v>91.851557929761256</v>
      </c>
      <c r="AG640" s="1125"/>
      <c r="AH640" s="598"/>
      <c r="AI640" s="1165">
        <f>+S640</f>
        <v>412.83699999999999</v>
      </c>
      <c r="AJ640" s="598"/>
      <c r="AK640" s="1167">
        <f>AI640/AB640</f>
        <v>51.604624999999999</v>
      </c>
      <c r="AL640" s="598"/>
      <c r="AM640" s="1176">
        <f>(AK640/AK633-1)*100</f>
        <v>7.4995113188540907</v>
      </c>
      <c r="AN640" s="1124"/>
      <c r="AP640" s="1193"/>
      <c r="AQ640" s="1193"/>
      <c r="AR640" s="1193"/>
      <c r="AS640" s="1193"/>
      <c r="AT640" s="1193"/>
      <c r="AU640" s="1193"/>
      <c r="AV640" s="1193"/>
      <c r="AW640" s="1193"/>
      <c r="AX640" s="1193"/>
      <c r="AY640" s="1193"/>
      <c r="AZ640" s="1193"/>
      <c r="BA640" s="1193"/>
      <c r="BB640" s="1193"/>
      <c r="BC640" s="1193"/>
      <c r="BD640" s="1193"/>
      <c r="BE640" s="1193"/>
      <c r="BF640" s="1193"/>
      <c r="BG640" s="1193"/>
    </row>
    <row r="641" spans="1:59" hidden="1" outlineLevel="1">
      <c r="A641" s="598" t="s">
        <v>529</v>
      </c>
      <c r="B641" s="1157" t="s">
        <v>516</v>
      </c>
      <c r="C641" s="598"/>
      <c r="D641" s="1120">
        <f>(S641/S634-1)*100</f>
        <v>18.058631785699376</v>
      </c>
      <c r="E641" s="598"/>
      <c r="F641" s="1179">
        <f>'SegP&amp;L'!AK146</f>
        <v>13</v>
      </c>
      <c r="G641" s="598"/>
      <c r="H641" s="1120">
        <f>D641-F641</f>
        <v>5.0586317856993759</v>
      </c>
      <c r="I641" s="598"/>
      <c r="J641" s="598">
        <f>Stores!AM168</f>
        <v>324</v>
      </c>
      <c r="K641" s="1127"/>
      <c r="L641" s="1128">
        <f>AVERAGE(J641,J640)</f>
        <v>323.5</v>
      </c>
      <c r="M641" s="598"/>
      <c r="N641" s="1120">
        <f>(L641/L634-1)*100</f>
        <v>5.718954248366015</v>
      </c>
      <c r="O641" s="1124"/>
      <c r="P641" s="1159">
        <f>H641/N641*100</f>
        <v>88.45379008137192</v>
      </c>
      <c r="Q641" s="1180"/>
      <c r="R641" s="598"/>
      <c r="S641" s="1165">
        <f>'SegP&amp;L'!AI146</f>
        <v>452.00400000000002</v>
      </c>
      <c r="T641" s="598"/>
      <c r="U641" s="1166">
        <f>S641/L641</f>
        <v>1.3972302936630603</v>
      </c>
      <c r="V641" s="598"/>
      <c r="W641" s="1176">
        <f>(U641/U634-1)*100</f>
        <v>11.672152477353958</v>
      </c>
      <c r="X641" s="1124"/>
      <c r="Y641" s="598"/>
      <c r="Z641" s="1129">
        <f>Stores!AP168</f>
        <v>8</v>
      </c>
      <c r="AA641" s="1127"/>
      <c r="AB641" s="1163">
        <f>AVERAGE(Z641,Z640)</f>
        <v>8</v>
      </c>
      <c r="AC641" s="598"/>
      <c r="AD641" s="1120">
        <f>(AB641/AB634-1)*100</f>
        <v>5.9602649006622599</v>
      </c>
      <c r="AE641" s="1124"/>
      <c r="AF641" s="1159">
        <f>+H641/AD641*100</f>
        <v>84.872599960067191</v>
      </c>
      <c r="AG641" s="1125"/>
      <c r="AH641" s="598"/>
      <c r="AI641" s="1165">
        <f>+S641</f>
        <v>452.00400000000002</v>
      </c>
      <c r="AJ641" s="598"/>
      <c r="AK641" s="1167">
        <f>AI641/AB641</f>
        <v>56.500500000000002</v>
      </c>
      <c r="AL641" s="598"/>
      <c r="AM641" s="1176">
        <f>(AK641/AK634-1)*100</f>
        <v>11.417833747753781</v>
      </c>
      <c r="AN641" s="1124"/>
      <c r="AP641" s="1193"/>
      <c r="AQ641" s="1193"/>
      <c r="AR641" s="1193"/>
      <c r="AS641" s="1193"/>
      <c r="AT641" s="1193"/>
      <c r="AU641" s="1193"/>
      <c r="AV641" s="1193"/>
      <c r="AW641" s="1193"/>
      <c r="AX641" s="1193"/>
      <c r="AY641" s="1193"/>
      <c r="AZ641" s="1193"/>
      <c r="BA641" s="1193"/>
      <c r="BB641" s="1193"/>
      <c r="BC641" s="1193"/>
      <c r="BD641" s="1193"/>
      <c r="BE641" s="1193"/>
      <c r="BF641" s="1193"/>
      <c r="BG641" s="1193"/>
    </row>
    <row r="642" spans="1:59" hidden="1" outlineLevel="1">
      <c r="A642" s="598" t="s">
        <v>530</v>
      </c>
      <c r="B642" s="1157" t="s">
        <v>517</v>
      </c>
      <c r="C642" s="598"/>
      <c r="D642" s="1168">
        <f>(S642/S635-1)*100</f>
        <v>11.652338234072591</v>
      </c>
      <c r="E642" s="598"/>
      <c r="F642" s="1178">
        <f>'SegP&amp;L'!AK147</f>
        <v>16</v>
      </c>
      <c r="G642" s="598"/>
      <c r="H642" s="1168">
        <f>D642-F642</f>
        <v>-4.347661765927409</v>
      </c>
      <c r="I642" s="598"/>
      <c r="J642" s="598">
        <f>Stores!AM169</f>
        <v>323</v>
      </c>
      <c r="K642" s="1127"/>
      <c r="L642" s="1171">
        <f>AVERAGE(J642,J641)</f>
        <v>323.5</v>
      </c>
      <c r="M642" s="598"/>
      <c r="N642" s="1168">
        <f>(L642/L635-1)*100</f>
        <v>2.2116903633491392</v>
      </c>
      <c r="O642" s="1124"/>
      <c r="P642" s="1171">
        <f>H642/N642*100</f>
        <v>-196.57642127371713</v>
      </c>
      <c r="Q642" s="1180"/>
      <c r="R642" s="598"/>
      <c r="S642" s="1172">
        <f>'SegP&amp;L'!AI147</f>
        <v>537.673</v>
      </c>
      <c r="T642" s="598"/>
      <c r="U642" s="1173">
        <f>S642/L642</f>
        <v>1.6620494590417312</v>
      </c>
      <c r="V642" s="598"/>
      <c r="W642" s="1169">
        <f>(U642/U635-1)*100</f>
        <v>9.2363680095331802</v>
      </c>
      <c r="X642" s="1124"/>
      <c r="Y642" s="598"/>
      <c r="Z642" s="1129">
        <f>Stores!AP169</f>
        <v>8</v>
      </c>
      <c r="AA642" s="1127"/>
      <c r="AB642" s="1174">
        <f>AVERAGE(Z642,Z641)</f>
        <v>8</v>
      </c>
      <c r="AC642" s="598"/>
      <c r="AD642" s="1168">
        <f>(AB642/AB635-1)*100</f>
        <v>1.9108280254777066</v>
      </c>
      <c r="AE642" s="1124"/>
      <c r="AF642" s="1171">
        <f>+H642/AD642*100</f>
        <v>-227.52763241686779</v>
      </c>
      <c r="AG642" s="1125"/>
      <c r="AH642" s="598"/>
      <c r="AI642" s="1172">
        <f>+S642</f>
        <v>537.673</v>
      </c>
      <c r="AJ642" s="598"/>
      <c r="AK642" s="1175">
        <f>AI642/AB642</f>
        <v>67.209125</v>
      </c>
      <c r="AL642" s="598"/>
      <c r="AM642" s="1169">
        <f>(AK642/AK635-1)*100</f>
        <v>9.5588568921837425</v>
      </c>
      <c r="AN642" s="1124"/>
      <c r="AP642" s="1193"/>
      <c r="AQ642" s="1193"/>
      <c r="AR642" s="1193"/>
      <c r="AS642" s="1193"/>
      <c r="AT642" s="1193"/>
      <c r="AU642" s="1193"/>
      <c r="AV642" s="1193"/>
      <c r="AW642" s="1193"/>
      <c r="AX642" s="1193"/>
      <c r="AY642" s="1193"/>
      <c r="AZ642" s="1193"/>
      <c r="BA642" s="1193"/>
      <c r="BB642" s="1193"/>
      <c r="BC642" s="1193"/>
      <c r="BD642" s="1193"/>
      <c r="BE642" s="1193"/>
      <c r="BF642" s="1193"/>
      <c r="BG642" s="1193"/>
    </row>
    <row r="643" spans="1:59" hidden="1" outlineLevel="1">
      <c r="A643" s="598"/>
      <c r="B643" s="1157" t="s">
        <v>531</v>
      </c>
      <c r="C643" s="598"/>
      <c r="D643" s="1120">
        <f>(S643/S636-1)*100</f>
        <v>13.693525761490633</v>
      </c>
      <c r="E643" s="598"/>
      <c r="F643" s="1179">
        <f>'SegP&amp;L'!AK148</f>
        <v>9</v>
      </c>
      <c r="G643" s="598"/>
      <c r="H643" s="1120">
        <f>D643-F643</f>
        <v>4.6935257614906334</v>
      </c>
      <c r="I643" s="598"/>
      <c r="J643" s="598"/>
      <c r="K643" s="598"/>
      <c r="L643" s="1128">
        <f>AVERAGE(L639:L642)</f>
        <v>322.375</v>
      </c>
      <c r="M643" s="598"/>
      <c r="N643" s="1120">
        <f>(L643/L636-1)*100</f>
        <v>6.61430343116991</v>
      </c>
      <c r="O643" s="1124"/>
      <c r="P643" s="1159">
        <f>H643/N643*100</f>
        <v>70.960242606536468</v>
      </c>
      <c r="Q643" s="1125"/>
      <c r="R643" s="598"/>
      <c r="S643" s="1160">
        <f>SUM(S639:S642)</f>
        <v>1794.4089999999999</v>
      </c>
      <c r="T643" s="598"/>
      <c r="U643" s="1161">
        <f>SUM(U639:U642)</f>
        <v>5.5640663563869621</v>
      </c>
      <c r="V643" s="598"/>
      <c r="W643" s="1176">
        <f>(U643/U636-1)*100</f>
        <v>6.8911099069098647</v>
      </c>
      <c r="X643" s="1124"/>
      <c r="Y643" s="598"/>
      <c r="Z643" s="598"/>
      <c r="AA643" s="598"/>
      <c r="AB643" s="1163">
        <f>AVERAGE(AB639:AB642)</f>
        <v>7.9874999999999998</v>
      </c>
      <c r="AC643" s="598"/>
      <c r="AD643" s="1120">
        <f>(AB643/AB636-1)*100</f>
        <v>6.8026073875981918</v>
      </c>
      <c r="AE643" s="1124"/>
      <c r="AF643" s="1159">
        <f>+H643/AD643*100</f>
        <v>68.995981894345135</v>
      </c>
      <c r="AG643" s="1125"/>
      <c r="AH643" s="598"/>
      <c r="AI643" s="1160">
        <f>SUM(AI639:AI642)</f>
        <v>1794.4089999999999</v>
      </c>
      <c r="AJ643" s="598"/>
      <c r="AK643" s="1164">
        <f>SUM(AK639:AK642)</f>
        <v>224.6092185534591</v>
      </c>
      <c r="AL643" s="598"/>
      <c r="AM643" s="1176">
        <f>(AK643/AK636-1)*100</f>
        <v>6.7374421579044164</v>
      </c>
      <c r="AN643" s="1124"/>
      <c r="AP643" s="1193"/>
      <c r="AQ643" s="1193"/>
      <c r="AR643" s="1193"/>
      <c r="AS643" s="1193"/>
      <c r="AT643" s="1193"/>
      <c r="AU643" s="1193"/>
      <c r="AV643" s="1193"/>
      <c r="AW643" s="1193"/>
      <c r="AX643" s="1193"/>
      <c r="AY643" s="1193"/>
      <c r="AZ643" s="1193"/>
      <c r="BA643" s="1193"/>
      <c r="BB643" s="1193"/>
      <c r="BC643" s="1193"/>
      <c r="BD643" s="1193"/>
      <c r="BE643" s="1193"/>
      <c r="BF643" s="1193"/>
      <c r="BG643" s="1193"/>
    </row>
    <row r="644" spans="1:59" hidden="1" outlineLevel="1">
      <c r="A644" s="598"/>
      <c r="B644" s="1157"/>
      <c r="C644" s="598"/>
      <c r="D644" s="1120"/>
      <c r="E644" s="598"/>
      <c r="F644" s="1179"/>
      <c r="G644" s="598"/>
      <c r="H644" s="1120"/>
      <c r="I644" s="598"/>
      <c r="J644" s="598"/>
      <c r="K644" s="598"/>
      <c r="L644" s="1128"/>
      <c r="M644" s="598"/>
      <c r="N644" s="1120"/>
      <c r="O644" s="1124"/>
      <c r="P644" s="1159"/>
      <c r="Q644" s="1125"/>
      <c r="R644" s="598"/>
      <c r="S644" s="1160"/>
      <c r="T644" s="598"/>
      <c r="U644" s="1161"/>
      <c r="V644" s="598"/>
      <c r="W644" s="1176"/>
      <c r="X644" s="1124"/>
      <c r="Y644" s="598"/>
      <c r="Z644" s="598"/>
      <c r="AA644" s="598"/>
      <c r="AB644" s="1163"/>
      <c r="AC644" s="598"/>
      <c r="AD644" s="1120"/>
      <c r="AE644" s="1124"/>
      <c r="AF644" s="1159"/>
      <c r="AG644" s="1125"/>
      <c r="AH644" s="598"/>
      <c r="AI644" s="1160"/>
      <c r="AJ644" s="598"/>
      <c r="AK644" s="1164"/>
      <c r="AL644" s="598"/>
      <c r="AM644" s="1176"/>
      <c r="AN644" s="1124"/>
      <c r="AP644" s="1193"/>
      <c r="AQ644" s="1193"/>
      <c r="AR644" s="1193"/>
      <c r="AS644" s="1193"/>
      <c r="AT644" s="1193"/>
      <c r="AU644" s="1193"/>
      <c r="AV644" s="1193"/>
      <c r="AW644" s="1193"/>
      <c r="AX644" s="1193"/>
      <c r="AY644" s="1193"/>
      <c r="AZ644" s="1193"/>
      <c r="BA644" s="1193"/>
      <c r="BB644" s="1193"/>
      <c r="BC644" s="1193"/>
      <c r="BD644" s="1193"/>
      <c r="BE644" s="1193"/>
      <c r="BF644" s="1193"/>
      <c r="BG644" s="1193"/>
    </row>
    <row r="645" spans="1:59" hidden="1" outlineLevel="1">
      <c r="A645" s="1154"/>
      <c r="B645" s="1118">
        <f>+B638+1</f>
        <v>2010</v>
      </c>
      <c r="C645" s="598"/>
      <c r="D645" s="598"/>
      <c r="E645" s="1124"/>
      <c r="F645" s="598"/>
      <c r="G645" s="1124"/>
      <c r="H645" s="598"/>
      <c r="I645" s="1124"/>
      <c r="J645" s="598"/>
      <c r="K645" s="598"/>
      <c r="L645" s="598"/>
      <c r="M645" s="598"/>
      <c r="N645" s="598"/>
      <c r="O645" s="1124"/>
      <c r="P645" s="1125"/>
      <c r="Q645" s="1125"/>
      <c r="R645" s="598"/>
      <c r="S645" s="598"/>
      <c r="T645" s="598"/>
      <c r="U645" s="598"/>
      <c r="V645" s="598"/>
      <c r="W645" s="598"/>
      <c r="X645" s="1124"/>
      <c r="Y645" s="598"/>
      <c r="Z645" s="598"/>
      <c r="AA645" s="598"/>
      <c r="AB645" s="598"/>
      <c r="AC645" s="598"/>
      <c r="AD645" s="598"/>
      <c r="AE645" s="1124"/>
      <c r="AF645" s="1125"/>
      <c r="AG645" s="1125"/>
      <c r="AH645" s="598"/>
      <c r="AI645" s="598"/>
      <c r="AJ645" s="598"/>
      <c r="AK645" s="598"/>
      <c r="AL645" s="598"/>
      <c r="AM645" s="598"/>
      <c r="AN645" s="1124"/>
      <c r="AP645" s="1193"/>
      <c r="AQ645" s="1193"/>
      <c r="AR645" s="1193"/>
      <c r="AS645" s="1193"/>
      <c r="AT645" s="1193"/>
      <c r="AU645" s="1193"/>
      <c r="AV645" s="1193"/>
      <c r="AW645" s="1193"/>
      <c r="AX645" s="1193"/>
      <c r="AY645" s="1193"/>
      <c r="AZ645" s="1193"/>
      <c r="BA645" s="1193"/>
      <c r="BB645" s="1193"/>
      <c r="BC645" s="1193"/>
      <c r="BD645" s="1193"/>
      <c r="BE645" s="1193"/>
      <c r="BF645" s="1193"/>
      <c r="BG645" s="1193"/>
    </row>
    <row r="646" spans="1:59" hidden="1" outlineLevel="1">
      <c r="A646" s="598" t="s">
        <v>527</v>
      </c>
      <c r="B646" s="1157" t="s">
        <v>514</v>
      </c>
      <c r="C646" s="598"/>
      <c r="D646" s="1120">
        <f>(S646/S639-1)*100</f>
        <v>16.627923295780779</v>
      </c>
      <c r="E646" s="1124" t="s">
        <v>190</v>
      </c>
      <c r="F646" s="1179">
        <f>'SegP&amp;L'!AK151</f>
        <v>15</v>
      </c>
      <c r="G646" s="1124" t="s">
        <v>190</v>
      </c>
      <c r="H646" s="1120">
        <f>D646-F646</f>
        <v>1.6279232957807785</v>
      </c>
      <c r="I646" s="1124" t="s">
        <v>190</v>
      </c>
      <c r="J646" s="598">
        <f>Stores!AM173</f>
        <v>325</v>
      </c>
      <c r="K646" s="598"/>
      <c r="L646" s="1128">
        <f>AVERAGE(J646,J642)</f>
        <v>324</v>
      </c>
      <c r="M646" s="598"/>
      <c r="N646" s="1120">
        <f>(L646/L639-1)*100</f>
        <v>1.2499999999999956</v>
      </c>
      <c r="O646" s="1124" t="s">
        <v>190</v>
      </c>
      <c r="P646" s="1159">
        <f>H646/N646*100</f>
        <v>130.23386366246274</v>
      </c>
      <c r="Q646" s="1125" t="s">
        <v>190</v>
      </c>
      <c r="R646" s="598"/>
      <c r="S646" s="1160">
        <f>'SegP&amp;L'!AI151</f>
        <v>457.05900000000003</v>
      </c>
      <c r="T646" s="598"/>
      <c r="U646" s="1161">
        <f>S646/L646</f>
        <v>1.4106759259259261</v>
      </c>
      <c r="V646" s="598"/>
      <c r="W646" s="1176">
        <f>(U646/U639-1)*100</f>
        <v>15.188072390894591</v>
      </c>
      <c r="X646" s="1124" t="s">
        <v>190</v>
      </c>
      <c r="Y646" s="598"/>
      <c r="Z646" s="1129">
        <f>Stores!AP173</f>
        <v>8.1</v>
      </c>
      <c r="AA646" s="598"/>
      <c r="AB646" s="1163">
        <f>AVERAGE(Z646,Z642)</f>
        <v>8.0500000000000007</v>
      </c>
      <c r="AC646" s="598"/>
      <c r="AD646" s="1120">
        <f>(AB646/AB639-1)*100</f>
        <v>1.2578616352201255</v>
      </c>
      <c r="AE646" s="1124" t="s">
        <v>190</v>
      </c>
      <c r="AF646" s="1159">
        <f>+H646/AD646*100</f>
        <v>129.41990201457193</v>
      </c>
      <c r="AG646" s="1125" t="s">
        <v>190</v>
      </c>
      <c r="AH646" s="598"/>
      <c r="AI646" s="1160">
        <f>+S646</f>
        <v>457.05900000000003</v>
      </c>
      <c r="AJ646" s="598"/>
      <c r="AK646" s="1164">
        <f>AI646/AB646</f>
        <v>56.777515527950307</v>
      </c>
      <c r="AL646" s="598"/>
      <c r="AM646" s="1176">
        <f>(AK646/AK639-1)*100</f>
        <v>15.179129217572296</v>
      </c>
      <c r="AN646" s="1124" t="s">
        <v>190</v>
      </c>
      <c r="AP646" s="1193"/>
      <c r="AQ646" s="1193"/>
      <c r="AR646" s="1193"/>
      <c r="AS646" s="1193"/>
      <c r="AT646" s="1193"/>
      <c r="AU646" s="1193"/>
      <c r="AV646" s="1193"/>
      <c r="AW646" s="1193"/>
      <c r="AX646" s="1193"/>
      <c r="AY646" s="1193"/>
      <c r="AZ646" s="1193"/>
      <c r="BA646" s="1193"/>
      <c r="BB646" s="1193"/>
      <c r="BC646" s="1193"/>
      <c r="BD646" s="1193"/>
      <c r="BE646" s="1193"/>
      <c r="BF646" s="1193"/>
      <c r="BG646" s="1193"/>
    </row>
    <row r="647" spans="1:59" hidden="1" outlineLevel="1">
      <c r="A647" s="598" t="s">
        <v>528</v>
      </c>
      <c r="B647" s="1157" t="s">
        <v>515</v>
      </c>
      <c r="C647" s="598"/>
      <c r="D647" s="1120">
        <f>(S647/S640-1)*100</f>
        <v>10.37891468061245</v>
      </c>
      <c r="E647" s="598"/>
      <c r="F647" s="1179">
        <f>'SegP&amp;L'!AK152</f>
        <v>8</v>
      </c>
      <c r="G647" s="598"/>
      <c r="H647" s="1120">
        <f>D647-F647</f>
        <v>2.3789146806124499</v>
      </c>
      <c r="I647" s="598"/>
      <c r="J647" s="598">
        <f>Stores!AM174</f>
        <v>328</v>
      </c>
      <c r="K647" s="1127"/>
      <c r="L647" s="1128">
        <f>AVERAGE(J647,J646)</f>
        <v>326.5</v>
      </c>
      <c r="M647" s="598"/>
      <c r="N647" s="1120">
        <f>(L647/L640-1)*100</f>
        <v>1.2403100775193909</v>
      </c>
      <c r="O647" s="1124"/>
      <c r="P647" s="1159">
        <f>H647/N647*100</f>
        <v>191.79999612437706</v>
      </c>
      <c r="Q647" s="1125"/>
      <c r="R647" s="598"/>
      <c r="S647" s="1165">
        <f>'SegP&amp;L'!AI152</f>
        <v>455.685</v>
      </c>
      <c r="T647" s="598"/>
      <c r="U647" s="1166">
        <f>S647/L647</f>
        <v>1.395666156202144</v>
      </c>
      <c r="V647" s="598"/>
      <c r="W647" s="1176">
        <f>(U647/U640-1)*100</f>
        <v>9.0266462006049366</v>
      </c>
      <c r="X647" s="1124"/>
      <c r="Y647" s="598"/>
      <c r="Z647" s="1129">
        <f>Stores!AP174</f>
        <v>8.1</v>
      </c>
      <c r="AA647" s="1127"/>
      <c r="AB647" s="1163">
        <f>AVERAGE(Z647,Z646)</f>
        <v>8.1</v>
      </c>
      <c r="AC647" s="598"/>
      <c r="AD647" s="1120">
        <f>(AB647/AB640-1)*100</f>
        <v>1.2499999999999956</v>
      </c>
      <c r="AE647" s="1124"/>
      <c r="AF647" s="1159">
        <f>+H647/AD647*100</f>
        <v>190.31317444899668</v>
      </c>
      <c r="AG647" s="1125"/>
      <c r="AH647" s="598"/>
      <c r="AI647" s="1165">
        <f>+S647</f>
        <v>455.685</v>
      </c>
      <c r="AJ647" s="598"/>
      <c r="AK647" s="1167">
        <f>AI647/AB647</f>
        <v>56.257407407407413</v>
      </c>
      <c r="AL647" s="598"/>
      <c r="AM647" s="1176">
        <f>(AK647/AK640-1)*100</f>
        <v>9.0162120302345272</v>
      </c>
      <c r="AN647" s="1124"/>
      <c r="AP647" s="1193"/>
      <c r="AQ647" s="1193"/>
      <c r="AR647" s="1193"/>
      <c r="AS647" s="1193"/>
      <c r="AT647" s="1193"/>
      <c r="AU647" s="1193"/>
      <c r="AV647" s="1193"/>
      <c r="AW647" s="1193"/>
      <c r="AX647" s="1193"/>
      <c r="AY647" s="1193"/>
      <c r="AZ647" s="1193"/>
      <c r="BA647" s="1193"/>
      <c r="BB647" s="1193"/>
      <c r="BC647" s="1193"/>
      <c r="BD647" s="1193"/>
      <c r="BE647" s="1193"/>
      <c r="BF647" s="1193"/>
      <c r="BG647" s="1193"/>
    </row>
    <row r="648" spans="1:59" hidden="1" outlineLevel="1">
      <c r="A648" s="598" t="s">
        <v>529</v>
      </c>
      <c r="B648" s="1157" t="s">
        <v>516</v>
      </c>
      <c r="C648" s="598"/>
      <c r="D648" s="1120">
        <f>(S648/S641-1)*100</f>
        <v>6.1625560835744775</v>
      </c>
      <c r="E648" s="598"/>
      <c r="F648" s="1179">
        <f>'SegP&amp;L'!AK153</f>
        <v>3</v>
      </c>
      <c r="G648" s="598"/>
      <c r="H648" s="1120">
        <f>D648-F648</f>
        <v>3.1625560835744775</v>
      </c>
      <c r="I648" s="598"/>
      <c r="J648" s="598">
        <f>Stores!AM175</f>
        <v>336</v>
      </c>
      <c r="K648" s="1127"/>
      <c r="L648" s="1128">
        <f>AVERAGE(J648,J647)</f>
        <v>332</v>
      </c>
      <c r="M648" s="598"/>
      <c r="N648" s="1120">
        <f>(L648/L641-1)*100</f>
        <v>2.6275115919629055</v>
      </c>
      <c r="O648" s="1124"/>
      <c r="P648" s="1159">
        <f>H648/N648*100</f>
        <v>120.36316388662864</v>
      </c>
      <c r="Q648" s="1125"/>
      <c r="R648" s="598"/>
      <c r="S648" s="1165">
        <f>'SegP&amp;L'!AI153</f>
        <v>479.85899999999998</v>
      </c>
      <c r="T648" s="598"/>
      <c r="U648" s="1166">
        <f>S648/L648</f>
        <v>1.4453584337349397</v>
      </c>
      <c r="V648" s="598"/>
      <c r="W648" s="1176">
        <f>(U648/U641-1)*100</f>
        <v>3.4445388344468197</v>
      </c>
      <c r="X648" s="1124"/>
      <c r="Y648" s="598"/>
      <c r="Z648" s="1129">
        <f>Stores!AP175</f>
        <v>8.4</v>
      </c>
      <c r="AA648" s="1127"/>
      <c r="AB648" s="1163">
        <f>AVERAGE(Z648,Z647)</f>
        <v>8.25</v>
      </c>
      <c r="AC648" s="598"/>
      <c r="AD648" s="1120">
        <f>(AB648/AB641-1)*100</f>
        <v>3.125</v>
      </c>
      <c r="AE648" s="1124"/>
      <c r="AF648" s="1159">
        <f>+H648/AD648*100</f>
        <v>101.20179467438328</v>
      </c>
      <c r="AG648" s="1125"/>
      <c r="AH648" s="598"/>
      <c r="AI648" s="1165">
        <f>+S648</f>
        <v>479.85899999999998</v>
      </c>
      <c r="AJ648" s="598"/>
      <c r="AK648" s="1167">
        <f>AI648/AB648</f>
        <v>58.164727272727269</v>
      </c>
      <c r="AL648" s="598"/>
      <c r="AM648" s="1176">
        <f>(AK648/AK641-1)*100</f>
        <v>2.9455089295267634</v>
      </c>
      <c r="AN648" s="1124"/>
      <c r="AP648" s="1193"/>
      <c r="AQ648" s="1193"/>
      <c r="AR648" s="1193"/>
      <c r="AS648" s="1193"/>
      <c r="AT648" s="1193"/>
      <c r="AU648" s="1193"/>
      <c r="AV648" s="1193"/>
      <c r="AW648" s="1193"/>
      <c r="AX648" s="1193"/>
      <c r="AY648" s="1193"/>
      <c r="AZ648" s="1193"/>
      <c r="BA648" s="1193"/>
      <c r="BB648" s="1193"/>
      <c r="BC648" s="1193"/>
      <c r="BD648" s="1193"/>
      <c r="BE648" s="1193"/>
      <c r="BF648" s="1193"/>
      <c r="BG648" s="1193"/>
    </row>
    <row r="649" spans="1:59" hidden="1" outlineLevel="1">
      <c r="A649" s="598" t="s">
        <v>530</v>
      </c>
      <c r="B649" s="1157" t="s">
        <v>517</v>
      </c>
      <c r="C649" s="598"/>
      <c r="D649" s="1168">
        <f>(S649/S642-1)*100</f>
        <v>5.1575957877743495</v>
      </c>
      <c r="E649" s="598"/>
      <c r="F649" s="1178">
        <f>'SegP&amp;L'!AK154</f>
        <v>2</v>
      </c>
      <c r="G649" s="598"/>
      <c r="H649" s="1168">
        <f>D649-F649</f>
        <v>3.1575957877743495</v>
      </c>
      <c r="I649" s="598"/>
      <c r="J649" s="598">
        <f>Stores!AM176</f>
        <v>336</v>
      </c>
      <c r="K649" s="1127"/>
      <c r="L649" s="1171">
        <f>AVERAGE(J649,J648)</f>
        <v>336</v>
      </c>
      <c r="M649" s="598"/>
      <c r="N649" s="1168">
        <f>(L649/L642-1)*100</f>
        <v>3.863987635239563</v>
      </c>
      <c r="O649" s="1124"/>
      <c r="P649" s="1171">
        <f>H649/N649*100</f>
        <v>81.718578987600253</v>
      </c>
      <c r="Q649" s="1125"/>
      <c r="R649" s="598"/>
      <c r="S649" s="1172">
        <f>'SegP&amp;L'!AI154</f>
        <v>565.404</v>
      </c>
      <c r="T649" s="598"/>
      <c r="U649" s="1173">
        <f>S649/L649</f>
        <v>1.68275</v>
      </c>
      <c r="V649" s="598"/>
      <c r="W649" s="1169">
        <f>(U649/U642-1)*100</f>
        <v>1.2454828492410641</v>
      </c>
      <c r="X649" s="1124"/>
      <c r="Y649" s="598"/>
      <c r="Z649" s="1129">
        <f>Stores!AP176</f>
        <v>8.4</v>
      </c>
      <c r="AA649" s="1127"/>
      <c r="AB649" s="1174">
        <f>AVERAGE(Z649,Z648)</f>
        <v>8.4</v>
      </c>
      <c r="AC649" s="598"/>
      <c r="AD649" s="1168">
        <f>(AB649/AB642-1)*100</f>
        <v>5.0000000000000044</v>
      </c>
      <c r="AE649" s="1124"/>
      <c r="AF649" s="1171">
        <f>+H649/AD649*100</f>
        <v>63.151915755486932</v>
      </c>
      <c r="AG649" s="1125"/>
      <c r="AH649" s="598"/>
      <c r="AI649" s="1172">
        <f>+S649</f>
        <v>565.404</v>
      </c>
      <c r="AJ649" s="598"/>
      <c r="AK649" s="1175">
        <f>AI649/AB649</f>
        <v>67.31</v>
      </c>
      <c r="AL649" s="598"/>
      <c r="AM649" s="1169">
        <f>(AK649/AK642-1)*100</f>
        <v>0.15009122645177619</v>
      </c>
      <c r="AN649" s="1124"/>
      <c r="AP649" s="1193"/>
      <c r="AQ649" s="1193"/>
      <c r="AR649" s="1193"/>
      <c r="AS649" s="1193"/>
      <c r="AT649" s="1193"/>
      <c r="AU649" s="1193"/>
      <c r="AV649" s="1193"/>
      <c r="AW649" s="1193"/>
      <c r="AX649" s="1193"/>
      <c r="AY649" s="1193"/>
      <c r="AZ649" s="1193"/>
      <c r="BA649" s="1193"/>
      <c r="BB649" s="1193"/>
      <c r="BC649" s="1193"/>
      <c r="BD649" s="1193"/>
      <c r="BE649" s="1193"/>
      <c r="BF649" s="1193"/>
      <c r="BG649" s="1193"/>
    </row>
    <row r="650" spans="1:59" hidden="1" outlineLevel="1">
      <c r="A650" s="598"/>
      <c r="B650" s="1157" t="s">
        <v>531</v>
      </c>
      <c r="C650" s="598"/>
      <c r="D650" s="1120">
        <f>(S650/S643-1)*100</f>
        <v>9.1170964924941913</v>
      </c>
      <c r="E650" s="598"/>
      <c r="F650" s="1179">
        <f>'SegP&amp;L'!AK155</f>
        <v>6</v>
      </c>
      <c r="G650" s="598"/>
      <c r="H650" s="1120">
        <f>D650-F650</f>
        <v>3.1170964924941913</v>
      </c>
      <c r="I650" s="598"/>
      <c r="J650" s="598"/>
      <c r="K650" s="598"/>
      <c r="L650" s="1128">
        <f>AVERAGE(L646:L649)</f>
        <v>329.625</v>
      </c>
      <c r="M650" s="598"/>
      <c r="N650" s="1120">
        <f>(L650/L643-1)*100</f>
        <v>2.2489336952307148</v>
      </c>
      <c r="O650" s="1124"/>
      <c r="P650" s="1159">
        <f>H650/N650*100</f>
        <v>138.60330783004312</v>
      </c>
      <c r="Q650" s="1125"/>
      <c r="R650" s="598"/>
      <c r="S650" s="1160">
        <f>SUM(S646:S649)</f>
        <v>1958.0070000000001</v>
      </c>
      <c r="T650" s="598"/>
      <c r="U650" s="1161">
        <f>SUM(U646:U649)</f>
        <v>5.9344505158630092</v>
      </c>
      <c r="V650" s="598"/>
      <c r="W650" s="1176">
        <f>(U650/U643-1)*100</f>
        <v>6.6567171516724422</v>
      </c>
      <c r="X650" s="1124"/>
      <c r="Y650" s="598"/>
      <c r="Z650" s="598"/>
      <c r="AA650" s="598"/>
      <c r="AB650" s="1163">
        <f>AVERAGE(AB646:AB649)</f>
        <v>8.1999999999999993</v>
      </c>
      <c r="AC650" s="598"/>
      <c r="AD650" s="1120">
        <f>(AB650/AB643-1)*100</f>
        <v>2.6604068857589924</v>
      </c>
      <c r="AE650" s="1124"/>
      <c r="AF650" s="1159">
        <f>+H650/AD650*100</f>
        <v>117.16615639434076</v>
      </c>
      <c r="AG650" s="1125"/>
      <c r="AH650" s="598"/>
      <c r="AI650" s="1160">
        <f>SUM(AI646:AI649)</f>
        <v>1958.0070000000001</v>
      </c>
      <c r="AJ650" s="598"/>
      <c r="AK650" s="1164">
        <f>SUM(AK646:AK649)</f>
        <v>238.50965020808499</v>
      </c>
      <c r="AL650" s="598"/>
      <c r="AM650" s="1176">
        <f>(AK650/AK643-1)*100</f>
        <v>6.1887182298875576</v>
      </c>
      <c r="AN650" s="1124"/>
      <c r="AP650" s="1193"/>
      <c r="AQ650" s="1193"/>
      <c r="AR650" s="1193"/>
      <c r="AS650" s="1193"/>
      <c r="AT650" s="1193"/>
      <c r="AU650" s="1193"/>
      <c r="AV650" s="1193"/>
      <c r="AW650" s="1193"/>
      <c r="AX650" s="1193"/>
      <c r="AY650" s="1193"/>
      <c r="AZ650" s="1193"/>
      <c r="BA650" s="1193"/>
      <c r="BB650" s="1193"/>
      <c r="BC650" s="1193"/>
      <c r="BD650" s="1193"/>
      <c r="BE650" s="1193"/>
      <c r="BF650" s="1193"/>
      <c r="BG650" s="1193"/>
    </row>
    <row r="651" spans="1:59" hidden="1" outlineLevel="1">
      <c r="A651" s="598"/>
      <c r="B651" s="1157"/>
      <c r="C651" s="598"/>
      <c r="D651" s="598"/>
      <c r="E651" s="598"/>
      <c r="F651" s="598"/>
      <c r="G651" s="598"/>
      <c r="H651" s="598"/>
      <c r="I651" s="598"/>
      <c r="J651" s="598"/>
      <c r="K651" s="598"/>
      <c r="L651" s="598"/>
      <c r="M651" s="598"/>
      <c r="N651" s="598"/>
      <c r="O651" s="598"/>
      <c r="P651" s="598"/>
      <c r="Q651" s="598"/>
      <c r="R651" s="598"/>
      <c r="S651" s="598"/>
      <c r="T651" s="598"/>
      <c r="U651" s="598"/>
      <c r="V651" s="598"/>
      <c r="W651" s="598"/>
      <c r="X651" s="598"/>
      <c r="Y651" s="598"/>
      <c r="Z651" s="598"/>
      <c r="AA651" s="598"/>
      <c r="AB651" s="598"/>
      <c r="AC651" s="598"/>
      <c r="AD651" s="598"/>
      <c r="AE651" s="598"/>
      <c r="AF651" s="598"/>
      <c r="AG651" s="598"/>
      <c r="AH651" s="598"/>
      <c r="AI651" s="598"/>
      <c r="AJ651" s="598"/>
      <c r="AK651" s="598"/>
      <c r="AL651" s="598"/>
      <c r="AM651" s="598"/>
      <c r="AN651" s="598"/>
      <c r="AP651" s="1193"/>
      <c r="AQ651" s="1193"/>
      <c r="AR651" s="1193"/>
      <c r="AS651" s="1193"/>
      <c r="AT651" s="1193"/>
      <c r="AU651" s="1193"/>
      <c r="AV651" s="1193"/>
      <c r="AW651" s="1193"/>
      <c r="AX651" s="1193"/>
      <c r="AY651" s="1193"/>
      <c r="AZ651" s="1193"/>
      <c r="BA651" s="1193"/>
      <c r="BB651" s="1193"/>
      <c r="BC651" s="1193"/>
      <c r="BD651" s="1193"/>
      <c r="BE651" s="1193"/>
      <c r="BF651" s="1193"/>
      <c r="BG651" s="1193"/>
    </row>
    <row r="652" spans="1:59" hidden="1" outlineLevel="1">
      <c r="A652" s="1154"/>
      <c r="B652" s="1118">
        <f>+B645+1</f>
        <v>2011</v>
      </c>
      <c r="C652" s="598"/>
      <c r="D652" s="598"/>
      <c r="E652" s="1124"/>
      <c r="F652" s="598"/>
      <c r="G652" s="1124"/>
      <c r="H652" s="598"/>
      <c r="I652" s="1124"/>
      <c r="J652" s="598"/>
      <c r="K652" s="598"/>
      <c r="L652" s="598"/>
      <c r="M652" s="598"/>
      <c r="N652" s="598"/>
      <c r="O652" s="1124"/>
      <c r="P652" s="1125"/>
      <c r="Q652" s="1125"/>
      <c r="R652" s="598"/>
      <c r="S652" s="598"/>
      <c r="T652" s="598"/>
      <c r="U652" s="598"/>
      <c r="V652" s="598"/>
      <c r="W652" s="598"/>
      <c r="X652" s="1124"/>
      <c r="Y652" s="598"/>
      <c r="Z652" s="598"/>
      <c r="AA652" s="598"/>
      <c r="AB652" s="598"/>
      <c r="AC652" s="598"/>
      <c r="AD652" s="598"/>
      <c r="AE652" s="1124"/>
      <c r="AF652" s="1125"/>
      <c r="AG652" s="1125"/>
      <c r="AH652" s="598"/>
      <c r="AI652" s="598"/>
      <c r="AJ652" s="598"/>
      <c r="AK652" s="598"/>
      <c r="AL652" s="598"/>
      <c r="AM652" s="598"/>
      <c r="AN652" s="1124"/>
      <c r="AP652" s="1193"/>
      <c r="AQ652" s="1193"/>
      <c r="AR652" s="1193"/>
      <c r="AS652" s="1193"/>
      <c r="AT652" s="1193"/>
      <c r="AU652" s="1193"/>
      <c r="AV652" s="1193"/>
      <c r="AW652" s="1193"/>
      <c r="AX652" s="1193"/>
      <c r="AY652" s="1193"/>
      <c r="AZ652" s="1193"/>
      <c r="BA652" s="1193"/>
      <c r="BB652" s="1193"/>
      <c r="BC652" s="1193"/>
      <c r="BD652" s="1193"/>
      <c r="BE652" s="1193"/>
      <c r="BF652" s="1193"/>
      <c r="BG652" s="1193"/>
    </row>
    <row r="653" spans="1:59" hidden="1" outlineLevel="1">
      <c r="A653" s="598" t="s">
        <v>527</v>
      </c>
      <c r="B653" s="1157" t="s">
        <v>514</v>
      </c>
      <c r="C653" s="598"/>
      <c r="D653" s="1120">
        <f>(S653/S646-1)*100</f>
        <v>10.113355168588733</v>
      </c>
      <c r="E653" s="1124" t="s">
        <v>190</v>
      </c>
      <c r="F653" s="1179">
        <f>'SegP&amp;L'!AK158</f>
        <v>6</v>
      </c>
      <c r="G653" s="1124" t="s">
        <v>190</v>
      </c>
      <c r="H653" s="1120">
        <f>D653-F653</f>
        <v>4.1133551685887326</v>
      </c>
      <c r="I653" s="1124" t="s">
        <v>190</v>
      </c>
      <c r="J653" s="598">
        <f>Stores!AM180</f>
        <v>350</v>
      </c>
      <c r="K653" s="598"/>
      <c r="L653" s="1128">
        <f>AVERAGE(J653,J649)</f>
        <v>343</v>
      </c>
      <c r="M653" s="598"/>
      <c r="N653" s="1120">
        <f>(L653/L646-1)*100</f>
        <v>5.8641975308642014</v>
      </c>
      <c r="O653" s="1124" t="s">
        <v>190</v>
      </c>
      <c r="P653" s="1159">
        <f>H653/N653*100</f>
        <v>70.14353024330255</v>
      </c>
      <c r="Q653" s="1125" t="s">
        <v>190</v>
      </c>
      <c r="R653" s="598"/>
      <c r="S653" s="1160">
        <f>'SegP&amp;L'!AI158</f>
        <v>503.28300000000002</v>
      </c>
      <c r="T653" s="598"/>
      <c r="U653" s="1161">
        <f>S653/L653</f>
        <v>1.4672973760932946</v>
      </c>
      <c r="V653" s="598"/>
      <c r="W653" s="1176">
        <f>(U653/U646-1)*100</f>
        <v>4.0137815586669179</v>
      </c>
      <c r="X653" s="1124" t="s">
        <v>190</v>
      </c>
      <c r="Y653" s="598"/>
      <c r="Z653" s="1129">
        <f>Stores!AP180</f>
        <v>8.6999999999999993</v>
      </c>
      <c r="AA653" s="598"/>
      <c r="AB653" s="1163">
        <f>AVERAGE(Z653,Z649)</f>
        <v>8.5500000000000007</v>
      </c>
      <c r="AC653" s="598"/>
      <c r="AD653" s="1120">
        <f>(AB653/AB646-1)*100</f>
        <v>6.211180124223592</v>
      </c>
      <c r="AE653" s="1124" t="s">
        <v>190</v>
      </c>
      <c r="AF653" s="1159">
        <f>+H653/AD653*100</f>
        <v>66.225018214278705</v>
      </c>
      <c r="AG653" s="1125" t="s">
        <v>190</v>
      </c>
      <c r="AH653" s="598"/>
      <c r="AI653" s="1160">
        <f>+S653</f>
        <v>503.28300000000002</v>
      </c>
      <c r="AJ653" s="598"/>
      <c r="AK653" s="1164">
        <f>AI653/AB653</f>
        <v>58.863508771929823</v>
      </c>
      <c r="AL653" s="598"/>
      <c r="AM653" s="1176">
        <f>(AK653/AK646-1)*100</f>
        <v>3.6739776733496265</v>
      </c>
      <c r="AN653" s="1124" t="s">
        <v>190</v>
      </c>
      <c r="AP653" s="1193"/>
      <c r="AQ653" s="1193"/>
      <c r="AR653" s="1193"/>
      <c r="AS653" s="1193"/>
      <c r="AT653" s="1193"/>
      <c r="AU653" s="1193"/>
      <c r="AV653" s="1193"/>
      <c r="AW653" s="1193"/>
      <c r="AX653" s="1193"/>
      <c r="AY653" s="1193"/>
      <c r="AZ653" s="1193"/>
      <c r="BA653" s="1193"/>
      <c r="BB653" s="1193"/>
      <c r="BC653" s="1193"/>
      <c r="BD653" s="1193"/>
      <c r="BE653" s="1193"/>
      <c r="BF653" s="1193"/>
      <c r="BG653" s="1193"/>
    </row>
    <row r="654" spans="1:59" hidden="1" outlineLevel="1">
      <c r="A654" s="598" t="s">
        <v>528</v>
      </c>
      <c r="B654" s="1157" t="s">
        <v>515</v>
      </c>
      <c r="C654" s="598"/>
      <c r="D654" s="1120">
        <f>(S654/S647-1)*100</f>
        <v>13.084477215620428</v>
      </c>
      <c r="E654" s="598"/>
      <c r="F654" s="1179">
        <f>'SegP&amp;L'!AK159</f>
        <v>3</v>
      </c>
      <c r="G654" s="598"/>
      <c r="H654" s="1120">
        <f>D654-F654</f>
        <v>10.084477215620428</v>
      </c>
      <c r="I654" s="598"/>
      <c r="J654" s="598">
        <f>Stores!AM181</f>
        <v>366</v>
      </c>
      <c r="K654" s="1127"/>
      <c r="L654" s="1128">
        <f>AVERAGE(J654,J653)</f>
        <v>358</v>
      </c>
      <c r="M654" s="598"/>
      <c r="N654" s="1120">
        <f>(L654/L647-1)*100</f>
        <v>9.6477794793261786</v>
      </c>
      <c r="O654" s="1124"/>
      <c r="P654" s="1159">
        <f>H654/N654*100</f>
        <v>104.52640669524041</v>
      </c>
      <c r="Q654" s="1125"/>
      <c r="R654" s="598"/>
      <c r="S654" s="1165">
        <f>'SegP&amp;L'!AI159</f>
        <v>515.30899999999997</v>
      </c>
      <c r="T654" s="598"/>
      <c r="U654" s="1166">
        <f>S654/L654</f>
        <v>1.4394106145251395</v>
      </c>
      <c r="V654" s="598"/>
      <c r="W654" s="1176">
        <f>(U654/U647-1)*100</f>
        <v>3.134306734357728</v>
      </c>
      <c r="X654" s="1124"/>
      <c r="Y654" s="598"/>
      <c r="Z654" s="1129">
        <f>Stores!AP181</f>
        <v>9.1</v>
      </c>
      <c r="AA654" s="1127"/>
      <c r="AB654" s="1163">
        <f>AVERAGE(Z654,Z653)</f>
        <v>8.8999999999999986</v>
      </c>
      <c r="AC654" s="598"/>
      <c r="AD654" s="1120">
        <f>(AB654/AB647-1)*100</f>
        <v>9.8765432098765196</v>
      </c>
      <c r="AE654" s="1124"/>
      <c r="AF654" s="1159">
        <f>+H654/AD654*100</f>
        <v>102.10533180815709</v>
      </c>
      <c r="AG654" s="1125"/>
      <c r="AH654" s="598"/>
      <c r="AI654" s="1165">
        <f>+S654</f>
        <v>515.30899999999997</v>
      </c>
      <c r="AJ654" s="598"/>
      <c r="AK654" s="1167">
        <f>AI654/AB654</f>
        <v>57.899887640449442</v>
      </c>
      <c r="AL654" s="598"/>
      <c r="AM654" s="1176">
        <f>(AK654/AK647-1)*100</f>
        <v>2.9195803872500647</v>
      </c>
      <c r="AN654" s="1124"/>
      <c r="AP654" s="1193"/>
      <c r="AQ654" s="1193"/>
      <c r="AR654" s="1193"/>
      <c r="AS654" s="1193"/>
      <c r="AT654" s="1193"/>
      <c r="AU654" s="1193"/>
      <c r="AV654" s="1193"/>
      <c r="AW654" s="1193"/>
      <c r="AX654" s="1193"/>
      <c r="AY654" s="1193"/>
      <c r="AZ654" s="1193"/>
      <c r="BA654" s="1193"/>
      <c r="BB654" s="1193"/>
      <c r="BC654" s="1193"/>
      <c r="BD654" s="1193"/>
      <c r="BE654" s="1193"/>
      <c r="BF654" s="1193"/>
      <c r="BG654" s="1193"/>
    </row>
    <row r="655" spans="1:59" hidden="1" outlineLevel="1">
      <c r="A655" s="598" t="s">
        <v>529</v>
      </c>
      <c r="B655" s="1157" t="s">
        <v>516</v>
      </c>
      <c r="C655" s="598"/>
      <c r="D655" s="1120">
        <f>(S655/S648-1)*100</f>
        <v>14.839150667175161</v>
      </c>
      <c r="E655" s="598"/>
      <c r="F655" s="1179">
        <f>'SegP&amp;L'!AK160</f>
        <v>5</v>
      </c>
      <c r="G655" s="598"/>
      <c r="H655" s="1120">
        <f>D655-F655</f>
        <v>9.8391506671751614</v>
      </c>
      <c r="I655" s="598"/>
      <c r="J655" s="598">
        <f>Stores!AM182</f>
        <v>375</v>
      </c>
      <c r="K655" s="1127"/>
      <c r="L655" s="1128">
        <f>AVERAGE(J655,J654)</f>
        <v>370.5</v>
      </c>
      <c r="M655" s="598"/>
      <c r="N655" s="1120">
        <f>(L655/L648-1)*100</f>
        <v>11.596385542168687</v>
      </c>
      <c r="O655" s="1124"/>
      <c r="P655" s="1159">
        <f>H655/N655*100</f>
        <v>84.84670185719871</v>
      </c>
      <c r="Q655" s="1125"/>
      <c r="R655" s="598"/>
      <c r="S655" s="1165">
        <f>'SegP&amp;L'!AI160</f>
        <v>551.06600000000003</v>
      </c>
      <c r="T655" s="598"/>
      <c r="U655" s="1166">
        <f>S655/L655</f>
        <v>1.4873576248313092</v>
      </c>
      <c r="V655" s="598"/>
      <c r="W655" s="1176">
        <f>(U655/U648-1)*100</f>
        <v>2.9057976288857201</v>
      </c>
      <c r="X655" s="1124"/>
      <c r="Y655" s="598"/>
      <c r="Z655" s="1129">
        <f>Stores!AP182</f>
        <v>9.4</v>
      </c>
      <c r="AA655" s="1127"/>
      <c r="AB655" s="1163">
        <f>AVERAGE(Z655,Z654)</f>
        <v>9.25</v>
      </c>
      <c r="AC655" s="598"/>
      <c r="AD655" s="1120">
        <f>(AB655/AB648-1)*100</f>
        <v>12.12121212121211</v>
      </c>
      <c r="AE655" s="1124"/>
      <c r="AF655" s="1159">
        <f>+H655/AD655*100</f>
        <v>81.172993004195149</v>
      </c>
      <c r="AG655" s="1125"/>
      <c r="AH655" s="598"/>
      <c r="AI655" s="1165">
        <f>+S655</f>
        <v>551.06600000000003</v>
      </c>
      <c r="AJ655" s="598"/>
      <c r="AK655" s="1167">
        <f>AI655/AB655</f>
        <v>59.574702702702709</v>
      </c>
      <c r="AL655" s="598"/>
      <c r="AM655" s="1176">
        <f>(AK655/AK648-1)*100</f>
        <v>2.4241073518048717</v>
      </c>
      <c r="AN655" s="1124"/>
      <c r="AP655" s="1193"/>
      <c r="AQ655" s="1193"/>
      <c r="AR655" s="1193"/>
      <c r="AS655" s="1193"/>
      <c r="AT655" s="1193"/>
      <c r="AU655" s="1193"/>
      <c r="AV655" s="1193"/>
      <c r="AW655" s="1193"/>
      <c r="AX655" s="1193"/>
      <c r="AY655" s="1193"/>
      <c r="AZ655" s="1193"/>
      <c r="BA655" s="1193"/>
      <c r="BB655" s="1193"/>
      <c r="BC655" s="1193"/>
      <c r="BD655" s="1193"/>
      <c r="BE655" s="1193"/>
      <c r="BF655" s="1193"/>
      <c r="BG655" s="1193"/>
    </row>
    <row r="656" spans="1:59" hidden="1" outlineLevel="1">
      <c r="A656" s="598" t="s">
        <v>530</v>
      </c>
      <c r="B656" s="1157" t="s">
        <v>517</v>
      </c>
      <c r="C656" s="598"/>
      <c r="D656" s="1168">
        <f>(S656/S649-1)*100</f>
        <v>19.264808880022066</v>
      </c>
      <c r="E656" s="598"/>
      <c r="F656" s="1178">
        <f>'SegP&amp;L'!AK161</f>
        <v>10</v>
      </c>
      <c r="G656" s="598"/>
      <c r="H656" s="1168">
        <f>D656-F656</f>
        <v>9.2648088800220663</v>
      </c>
      <c r="I656" s="598"/>
      <c r="J656" s="598">
        <f>Stores!AM183</f>
        <v>374</v>
      </c>
      <c r="K656" s="1127"/>
      <c r="L656" s="1171">
        <f>AVERAGE(J656,J655)</f>
        <v>374.5</v>
      </c>
      <c r="M656" s="598"/>
      <c r="N656" s="1168">
        <f>(L656/L649-1)*100</f>
        <v>11.458333333333325</v>
      </c>
      <c r="O656" s="1124"/>
      <c r="P656" s="1171">
        <f>H656/N656*100</f>
        <v>80.856513862010814</v>
      </c>
      <c r="Q656" s="1125"/>
      <c r="R656" s="598"/>
      <c r="S656" s="1172">
        <f>'SegP&amp;L'!AI161</f>
        <v>674.32799999999997</v>
      </c>
      <c r="T656" s="598"/>
      <c r="U656" s="1173">
        <f>S656/L656</f>
        <v>1.8006088117489987</v>
      </c>
      <c r="V656" s="598"/>
      <c r="W656" s="1169">
        <f>(U656/U649-1)*100</f>
        <v>7.0039406774029755</v>
      </c>
      <c r="X656" s="1124"/>
      <c r="Y656" s="598"/>
      <c r="Z656" s="1129">
        <f>Stores!AP183</f>
        <v>9.3000000000000007</v>
      </c>
      <c r="AA656" s="1127"/>
      <c r="AB656" s="1174">
        <f>AVERAGE(Z656,Z655)</f>
        <v>9.3500000000000014</v>
      </c>
      <c r="AC656" s="598"/>
      <c r="AD656" s="1168">
        <f>(AB656/AB649-1)*100</f>
        <v>11.309523809523814</v>
      </c>
      <c r="AE656" s="1124"/>
      <c r="AF656" s="1171">
        <f>+H656/AD656*100</f>
        <v>81.920415360195094</v>
      </c>
      <c r="AG656" s="1125"/>
      <c r="AH656" s="598"/>
      <c r="AI656" s="1172">
        <f>+S656</f>
        <v>674.32799999999997</v>
      </c>
      <c r="AJ656" s="598"/>
      <c r="AK656" s="1175">
        <f>AI656/AB656</f>
        <v>72.120641711229936</v>
      </c>
      <c r="AL656" s="598"/>
      <c r="AM656" s="1169">
        <f>(AK656/AK649-1)*100</f>
        <v>7.1469940740304994</v>
      </c>
      <c r="AN656" s="1124"/>
      <c r="AP656" s="1193"/>
      <c r="AQ656" s="1193"/>
      <c r="AR656" s="1193"/>
      <c r="AS656" s="1193"/>
      <c r="AT656" s="1193"/>
      <c r="AU656" s="1193"/>
      <c r="AV656" s="1193"/>
      <c r="AW656" s="1193"/>
      <c r="AX656" s="1193"/>
      <c r="AY656" s="1193"/>
      <c r="AZ656" s="1193"/>
      <c r="BA656" s="1193"/>
      <c r="BB656" s="1193"/>
      <c r="BC656" s="1193"/>
      <c r="BD656" s="1193"/>
      <c r="BE656" s="1193"/>
      <c r="BF656" s="1193"/>
      <c r="BG656" s="1193"/>
    </row>
    <row r="657" spans="1:59" hidden="1" outlineLevel="1">
      <c r="A657" s="598"/>
      <c r="B657" s="1157" t="s">
        <v>531</v>
      </c>
      <c r="C657" s="598"/>
      <c r="D657" s="1120">
        <f>(S657/S650-1)*100</f>
        <v>14.605616833851954</v>
      </c>
      <c r="E657" s="598"/>
      <c r="F657" s="1179">
        <f>'SegP&amp;L'!AK162</f>
        <v>6</v>
      </c>
      <c r="G657" s="598"/>
      <c r="H657" s="1120">
        <f>D657-F657</f>
        <v>8.6056168338519541</v>
      </c>
      <c r="I657" s="598"/>
      <c r="J657" s="598"/>
      <c r="K657" s="598"/>
      <c r="L657" s="1128">
        <f>AVERAGE(L653:L656)</f>
        <v>361.5</v>
      </c>
      <c r="M657" s="598"/>
      <c r="N657" s="1120">
        <f>(L657/L650-1)*100</f>
        <v>9.6700796359499464</v>
      </c>
      <c r="O657" s="1124"/>
      <c r="P657" s="1159">
        <f>H657/N657*100</f>
        <v>88.99220231712782</v>
      </c>
      <c r="Q657" s="1125"/>
      <c r="R657" s="598"/>
      <c r="S657" s="1160">
        <f>SUM(S653:S656)</f>
        <v>2243.9859999999999</v>
      </c>
      <c r="T657" s="598"/>
      <c r="U657" s="1161">
        <f>SUM(U653:U656)</f>
        <v>6.1946744271987431</v>
      </c>
      <c r="V657" s="598"/>
      <c r="W657" s="1176">
        <f>(U657/U650-1)*100</f>
        <v>4.3849706159002411</v>
      </c>
      <c r="X657" s="1124"/>
      <c r="Y657" s="598"/>
      <c r="Z657" s="598"/>
      <c r="AA657" s="598"/>
      <c r="AB657" s="1163">
        <f>AVERAGE(AB653:AB656)</f>
        <v>9.0124999999999993</v>
      </c>
      <c r="AC657" s="598"/>
      <c r="AD657" s="1120">
        <f>(AB657/AB650-1)*100</f>
        <v>9.9085365853658569</v>
      </c>
      <c r="AE657" s="1124"/>
      <c r="AF657" s="1159">
        <f>+H657/AD657*100</f>
        <v>86.850532969336612</v>
      </c>
      <c r="AG657" s="1125"/>
      <c r="AH657" s="598"/>
      <c r="AI657" s="1160">
        <f>SUM(AI653:AI656)</f>
        <v>2243.9859999999999</v>
      </c>
      <c r="AJ657" s="598"/>
      <c r="AK657" s="1164">
        <f>SUM(AK653:AK656)</f>
        <v>248.4587408263119</v>
      </c>
      <c r="AL657" s="598"/>
      <c r="AM657" s="1176">
        <f>(AK657/AK650-1)*100</f>
        <v>4.1713576828220411</v>
      </c>
      <c r="AN657" s="1124"/>
      <c r="AP657" s="1193"/>
      <c r="AQ657" s="1193"/>
      <c r="AR657" s="1193"/>
      <c r="AS657" s="1193"/>
      <c r="AT657" s="1193"/>
      <c r="AU657" s="1193"/>
      <c r="AV657" s="1193"/>
      <c r="AW657" s="1193"/>
      <c r="AX657" s="1193"/>
      <c r="AY657" s="1193"/>
      <c r="AZ657" s="1193"/>
      <c r="BA657" s="1193"/>
      <c r="BB657" s="1193"/>
      <c r="BC657" s="1193"/>
      <c r="BD657" s="1193"/>
      <c r="BE657" s="1193"/>
      <c r="BF657" s="1193"/>
      <c r="BG657" s="1193"/>
    </row>
    <row r="658" spans="1:59" hidden="1" outlineLevel="1">
      <c r="A658" s="1125"/>
      <c r="B658" s="1210"/>
      <c r="C658" s="1125"/>
      <c r="D658" s="1125"/>
      <c r="E658" s="1125"/>
      <c r="F658" s="1125"/>
      <c r="G658" s="1125"/>
      <c r="H658" s="1125"/>
      <c r="I658" s="1125"/>
      <c r="J658" s="1125"/>
      <c r="K658" s="1125"/>
      <c r="L658" s="1125"/>
      <c r="M658" s="1125"/>
      <c r="N658" s="1125"/>
      <c r="O658" s="1125"/>
      <c r="P658" s="1125"/>
      <c r="Q658" s="1125"/>
      <c r="R658" s="1125"/>
      <c r="S658" s="1125"/>
      <c r="T658" s="1125"/>
      <c r="U658" s="1125"/>
      <c r="V658" s="1125"/>
      <c r="W658" s="1125"/>
      <c r="X658" s="1125"/>
      <c r="Y658" s="1125"/>
      <c r="Z658" s="1125"/>
      <c r="AA658" s="1125"/>
      <c r="AB658" s="1125"/>
      <c r="AC658" s="1125"/>
      <c r="AD658" s="1125"/>
      <c r="AE658" s="1125"/>
      <c r="AF658" s="1125"/>
      <c r="AG658" s="1125"/>
      <c r="AH658" s="1125"/>
      <c r="AI658" s="1125"/>
      <c r="AJ658" s="1125"/>
      <c r="AK658" s="1125"/>
      <c r="AL658" s="1125"/>
      <c r="AM658" s="1125"/>
      <c r="AN658" s="1125"/>
      <c r="AP658" s="1193"/>
      <c r="AQ658" s="1193"/>
      <c r="AR658" s="1193"/>
      <c r="AS658" s="1193"/>
      <c r="AT658" s="1193"/>
      <c r="AU658" s="1193"/>
      <c r="AV658" s="1193"/>
      <c r="AW658" s="1193"/>
      <c r="AX658" s="1193"/>
      <c r="AY658" s="1193"/>
      <c r="AZ658" s="1193"/>
      <c r="BA658" s="1193"/>
      <c r="BB658" s="1193"/>
      <c r="BC658" s="1193"/>
      <c r="BD658" s="1193"/>
      <c r="BE658" s="1193"/>
      <c r="BF658" s="1193"/>
      <c r="BG658" s="1193"/>
    </row>
    <row r="659" spans="1:59" collapsed="1">
      <c r="A659" s="1154"/>
      <c r="B659" s="1118">
        <f>+B652+1</f>
        <v>2012</v>
      </c>
      <c r="C659" s="598"/>
      <c r="D659" s="598"/>
      <c r="E659" s="1124"/>
      <c r="F659" s="598"/>
      <c r="G659" s="1124"/>
      <c r="H659" s="598"/>
      <c r="I659" s="1124"/>
      <c r="J659" s="598"/>
      <c r="K659" s="598"/>
      <c r="L659" s="598"/>
      <c r="M659" s="598"/>
      <c r="N659" s="598"/>
      <c r="O659" s="1124"/>
      <c r="P659" s="1125"/>
      <c r="Q659" s="1125"/>
      <c r="R659" s="598"/>
      <c r="S659" s="598"/>
      <c r="T659" s="598"/>
      <c r="U659" s="598"/>
      <c r="V659" s="598"/>
      <c r="W659" s="598"/>
      <c r="X659" s="1124"/>
      <c r="Y659" s="598"/>
      <c r="Z659" s="598"/>
      <c r="AA659" s="598"/>
      <c r="AB659" s="598"/>
      <c r="AC659" s="598"/>
      <c r="AD659" s="598"/>
      <c r="AE659" s="1124"/>
      <c r="AF659" s="1125"/>
      <c r="AG659" s="1125"/>
      <c r="AH659" s="598"/>
      <c r="AI659" s="598"/>
      <c r="AJ659" s="598"/>
      <c r="AK659" s="598"/>
      <c r="AL659" s="598"/>
      <c r="AM659" s="598"/>
      <c r="AN659" s="1124"/>
      <c r="AP659" s="1193"/>
      <c r="AQ659" s="1193"/>
      <c r="AR659" s="1193"/>
      <c r="AS659" s="1193"/>
      <c r="AT659" s="1193"/>
      <c r="AU659" s="1193"/>
      <c r="AV659" s="1193"/>
      <c r="AW659" s="1193"/>
      <c r="AX659" s="1193"/>
      <c r="AY659" s="1193"/>
      <c r="AZ659" s="1193"/>
      <c r="BA659" s="1193"/>
      <c r="BB659" s="1193"/>
      <c r="BC659" s="1193"/>
      <c r="BD659" s="1193"/>
      <c r="BE659" s="1193"/>
      <c r="BF659" s="1193"/>
      <c r="BG659" s="1193"/>
    </row>
    <row r="660" spans="1:59">
      <c r="A660" s="598" t="s">
        <v>527</v>
      </c>
      <c r="B660" s="1157" t="s">
        <v>514</v>
      </c>
      <c r="C660" s="598"/>
      <c r="D660" s="1120">
        <f>(S660/S653-1)*100</f>
        <v>18.367200958506437</v>
      </c>
      <c r="E660" s="1124" t="s">
        <v>190</v>
      </c>
      <c r="F660" s="1179">
        <f>'SegP&amp;L'!AK165</f>
        <v>9</v>
      </c>
      <c r="G660" s="1124" t="s">
        <v>190</v>
      </c>
      <c r="H660" s="1120">
        <f>D660-F660</f>
        <v>9.3672009585064373</v>
      </c>
      <c r="I660" s="1124" t="s">
        <v>190</v>
      </c>
      <c r="J660" s="598">
        <f>Stores!AM187</f>
        <v>383</v>
      </c>
      <c r="K660" s="598"/>
      <c r="L660" s="1128">
        <f>AVERAGE(J660,J656)</f>
        <v>378.5</v>
      </c>
      <c r="M660" s="598"/>
      <c r="N660" s="1120">
        <f>(L660/L653-1)*100</f>
        <v>10.349854227405242</v>
      </c>
      <c r="O660" s="1124" t="s">
        <v>190</v>
      </c>
      <c r="P660" s="1159">
        <f>H660/N660*100</f>
        <v>90.505631796273505</v>
      </c>
      <c r="Q660" s="1125" t="s">
        <v>190</v>
      </c>
      <c r="R660" s="598"/>
      <c r="S660" s="1160">
        <f>'SegP&amp;L'!AI165</f>
        <v>595.72199999999998</v>
      </c>
      <c r="T660" s="598"/>
      <c r="U660" s="1161">
        <f>S660/L660</f>
        <v>1.5739022457067371</v>
      </c>
      <c r="V660" s="598"/>
      <c r="W660" s="1176">
        <f>(U660/U653-1)*100</f>
        <v>7.265389507972797</v>
      </c>
      <c r="X660" s="1124" t="s">
        <v>190</v>
      </c>
      <c r="Y660" s="598"/>
      <c r="Z660" s="1129">
        <f>Stores!AP187</f>
        <v>9.6</v>
      </c>
      <c r="AA660" s="598"/>
      <c r="AB660" s="1163">
        <f>AVERAGE(Z660,Z656)</f>
        <v>9.4499999999999993</v>
      </c>
      <c r="AC660" s="598"/>
      <c r="AD660" s="1120">
        <f>(AB660/AB653-1)*100</f>
        <v>10.526315789473673</v>
      </c>
      <c r="AE660" s="1124" t="s">
        <v>190</v>
      </c>
      <c r="AF660" s="1159">
        <f>+H660/AD660*100</f>
        <v>88.988409105811257</v>
      </c>
      <c r="AG660" s="1125" t="s">
        <v>190</v>
      </c>
      <c r="AH660" s="598"/>
      <c r="AI660" s="1160">
        <f>+S660</f>
        <v>595.72199999999998</v>
      </c>
      <c r="AJ660" s="598"/>
      <c r="AK660" s="1164">
        <f>AI660/AB660</f>
        <v>63.039365079365083</v>
      </c>
      <c r="AL660" s="598"/>
      <c r="AM660" s="1176">
        <f>(AK660/AK653-1)*100</f>
        <v>7.0941342005534702</v>
      </c>
      <c r="AN660" s="1124" t="s">
        <v>190</v>
      </c>
      <c r="AP660" s="1193"/>
      <c r="AQ660" s="1193"/>
      <c r="AR660" s="1193"/>
      <c r="AS660" s="1193"/>
      <c r="AT660" s="1193"/>
      <c r="AU660" s="1193"/>
      <c r="AV660" s="1193"/>
      <c r="AW660" s="1193"/>
      <c r="AX660" s="1193"/>
      <c r="AY660" s="1193"/>
      <c r="AZ660" s="1193"/>
      <c r="BA660" s="1193"/>
      <c r="BB660" s="1193"/>
      <c r="BC660" s="1193"/>
      <c r="BD660" s="1193"/>
      <c r="BE660" s="1193"/>
      <c r="BF660" s="1193"/>
      <c r="BG660" s="1193"/>
    </row>
    <row r="661" spans="1:59">
      <c r="A661" s="598" t="s">
        <v>528</v>
      </c>
      <c r="B661" s="1157" t="s">
        <v>515</v>
      </c>
      <c r="C661" s="598"/>
      <c r="D661" s="1120">
        <f>(S661/S654-1)*100</f>
        <v>15.991376048157523</v>
      </c>
      <c r="E661" s="598"/>
      <c r="F661" s="1179">
        <f>'SegP&amp;L'!AK166</f>
        <v>9</v>
      </c>
      <c r="G661" s="598"/>
      <c r="H661" s="1120">
        <f>D661-F661</f>
        <v>6.9913760481575231</v>
      </c>
      <c r="I661" s="598"/>
      <c r="J661" s="598">
        <f>Stores!AM188</f>
        <v>393</v>
      </c>
      <c r="K661" s="1127"/>
      <c r="L661" s="1167">
        <f>AVERAGE(J661,J660)</f>
        <v>388</v>
      </c>
      <c r="M661" s="598"/>
      <c r="N661" s="1120">
        <f>(L661/L654-1)*100</f>
        <v>8.3798882681564315</v>
      </c>
      <c r="O661" s="1124"/>
      <c r="P661" s="1159">
        <f>H661/N661*100</f>
        <v>83.430420841346375</v>
      </c>
      <c r="Q661" s="1125"/>
      <c r="R661" s="598"/>
      <c r="S661" s="1165">
        <f>'SegP&amp;L'!AI166</f>
        <v>597.71400000000006</v>
      </c>
      <c r="T661" s="1127"/>
      <c r="U661" s="1166">
        <f>S661/L661</f>
        <v>1.5405000000000002</v>
      </c>
      <c r="V661" s="598"/>
      <c r="W661" s="1176">
        <f>(U661/U654-1)*100</f>
        <v>7.0229706836092864</v>
      </c>
      <c r="X661" s="1124"/>
      <c r="Y661" s="598"/>
      <c r="Z661" s="1129">
        <f>Stores!AP188</f>
        <v>9.8000000000000007</v>
      </c>
      <c r="AA661" s="1127"/>
      <c r="AB661" s="1163">
        <f>AVERAGE(Z661,Z660)</f>
        <v>9.6999999999999993</v>
      </c>
      <c r="AC661" s="598"/>
      <c r="AD661" s="1120">
        <f>(AB661/AB654-1)*100</f>
        <v>8.9887640449438209</v>
      </c>
      <c r="AE661" s="1124"/>
      <c r="AF661" s="1159">
        <f>+H661/AD661*100</f>
        <v>77.779058535752441</v>
      </c>
      <c r="AG661" s="1125"/>
      <c r="AH661" s="598"/>
      <c r="AI661" s="1165">
        <f>+S661</f>
        <v>597.71400000000006</v>
      </c>
      <c r="AJ661" s="598"/>
      <c r="AK661" s="1167">
        <f>AI661/AB661</f>
        <v>61.620000000000012</v>
      </c>
      <c r="AL661" s="598"/>
      <c r="AM661" s="1176">
        <f>(AK661/AK654-1)*100</f>
        <v>6.4250769926393891</v>
      </c>
      <c r="AN661" s="1124"/>
      <c r="AP661" s="1193"/>
      <c r="AQ661" s="1193"/>
      <c r="AR661" s="1193"/>
      <c r="AS661" s="1193"/>
      <c r="AT661" s="1193"/>
      <c r="AU661" s="1193"/>
      <c r="AV661" s="1193"/>
      <c r="AW661" s="1193"/>
      <c r="AX661" s="1193"/>
      <c r="AY661" s="1193"/>
      <c r="AZ661" s="1193"/>
      <c r="BA661" s="1193"/>
      <c r="BB661" s="1193"/>
      <c r="BC661" s="1193"/>
      <c r="BD661" s="1193"/>
      <c r="BE661" s="1193"/>
      <c r="BF661" s="1193"/>
      <c r="BG661" s="1193"/>
    </row>
    <row r="662" spans="1:59">
      <c r="A662" s="598" t="s">
        <v>529</v>
      </c>
      <c r="B662" s="1157" t="s">
        <v>516</v>
      </c>
      <c r="C662" s="598"/>
      <c r="D662" s="1120">
        <f>(S662/S655-1)*100</f>
        <v>15.687413122929005</v>
      </c>
      <c r="E662" s="598"/>
      <c r="F662" s="1179">
        <f>'SegP&amp;L'!AK167</f>
        <v>6</v>
      </c>
      <c r="G662" s="598"/>
      <c r="H662" s="1120">
        <f>D662-F662</f>
        <v>9.687413122929005</v>
      </c>
      <c r="I662" s="598"/>
      <c r="J662" s="598">
        <f>Stores!AM189</f>
        <v>414</v>
      </c>
      <c r="K662" s="1127"/>
      <c r="L662" s="1167">
        <f>AVERAGE(J662,J661)</f>
        <v>403.5</v>
      </c>
      <c r="M662" s="598"/>
      <c r="N662" s="1120">
        <f>(L662/L655-1)*100</f>
        <v>8.9068825910931118</v>
      </c>
      <c r="O662" s="1124"/>
      <c r="P662" s="1159">
        <f>H662/N662*100</f>
        <v>108.7632291528848</v>
      </c>
      <c r="Q662" s="1125"/>
      <c r="R662" s="598"/>
      <c r="S662" s="1165">
        <f>'SegP&amp;L'!AI167</f>
        <v>637.51400000000001</v>
      </c>
      <c r="T662" s="598"/>
      <c r="U662" s="1166">
        <f>S662/L662</f>
        <v>1.5799603469640644</v>
      </c>
      <c r="V662" s="598"/>
      <c r="W662" s="1176">
        <f>(U662/U655-1)*100</f>
        <v>6.2259890013511621</v>
      </c>
      <c r="X662" s="1124"/>
      <c r="Y662" s="598"/>
      <c r="Z662" s="1129">
        <f>Stores!AP189</f>
        <v>10.4</v>
      </c>
      <c r="AA662" s="1127"/>
      <c r="AB662" s="1163">
        <f>AVERAGE(Z662,Z661)</f>
        <v>10.100000000000001</v>
      </c>
      <c r="AC662" s="598"/>
      <c r="AD662" s="1120">
        <f>(AB662/AB655-1)*100</f>
        <v>9.1891891891892072</v>
      </c>
      <c r="AE662" s="1124"/>
      <c r="AF662" s="1159">
        <f>+H662/AD662*100</f>
        <v>105.4218486906978</v>
      </c>
      <c r="AG662" s="1125"/>
      <c r="AH662" s="598"/>
      <c r="AI662" s="1165">
        <f>+S662</f>
        <v>637.51400000000001</v>
      </c>
      <c r="AJ662" s="598"/>
      <c r="AK662" s="1167">
        <f>AI662/AB662</f>
        <v>63.120198019801975</v>
      </c>
      <c r="AL662" s="598"/>
      <c r="AM662" s="1176">
        <f>(AK662/AK655-1)*100</f>
        <v>5.9513437016923909</v>
      </c>
      <c r="AN662" s="1124"/>
      <c r="AP662" s="1193"/>
      <c r="AQ662" s="1193"/>
      <c r="AR662" s="1193"/>
      <c r="AS662" s="1193"/>
      <c r="AT662" s="1193"/>
      <c r="AU662" s="1193"/>
      <c r="AV662" s="1193"/>
      <c r="AW662" s="1193"/>
      <c r="AX662" s="1193"/>
      <c r="AY662" s="1193"/>
      <c r="AZ662" s="1193"/>
      <c r="BA662" s="1193"/>
      <c r="BB662" s="1193"/>
      <c r="BC662" s="1193"/>
      <c r="BD662" s="1193"/>
      <c r="BE662" s="1193"/>
      <c r="BF662" s="1193"/>
      <c r="BG662" s="1193"/>
    </row>
    <row r="663" spans="1:59">
      <c r="A663" s="598" t="s">
        <v>530</v>
      </c>
      <c r="B663" s="1157" t="s">
        <v>517</v>
      </c>
      <c r="C663" s="598"/>
      <c r="D663" s="1168">
        <f>(S663/S656-1)*100</f>
        <v>22.516193899704582</v>
      </c>
      <c r="E663" s="598"/>
      <c r="F663" s="1178">
        <f>'SegP&amp;L'!AK168</f>
        <v>5</v>
      </c>
      <c r="G663" s="598"/>
      <c r="H663" s="1168">
        <f>D663-F663</f>
        <v>17.516193899704582</v>
      </c>
      <c r="I663" s="598"/>
      <c r="J663" s="598">
        <f>Stores!AM190</f>
        <v>415</v>
      </c>
      <c r="K663" s="1127"/>
      <c r="L663" s="1171">
        <f>AVERAGE(J663,J662)</f>
        <v>414.5</v>
      </c>
      <c r="M663" s="598"/>
      <c r="N663" s="1168">
        <f>(L663/L656-1)*100</f>
        <v>10.680907877169554</v>
      </c>
      <c r="O663" s="1124"/>
      <c r="P663" s="1171">
        <f>H663/N663*100</f>
        <v>163.99536538598423</v>
      </c>
      <c r="Q663" s="1125"/>
      <c r="R663" s="598"/>
      <c r="S663" s="1172">
        <f>'SegP&amp;L'!AI168</f>
        <v>826.16099999999994</v>
      </c>
      <c r="T663" s="598"/>
      <c r="U663" s="1173">
        <f>S663/L663</f>
        <v>1.9931507840772014</v>
      </c>
      <c r="V663" s="598"/>
      <c r="W663" s="1169">
        <f>(U663/U656-1)*100</f>
        <v>10.693159506488215</v>
      </c>
      <c r="X663" s="1124"/>
      <c r="Y663" s="598"/>
      <c r="Z663" s="1129">
        <f>Stores!AP190</f>
        <v>10.4</v>
      </c>
      <c r="AA663" s="1127"/>
      <c r="AB663" s="1174">
        <f>AVERAGE(Z663,Z662)</f>
        <v>10.4</v>
      </c>
      <c r="AC663" s="598"/>
      <c r="AD663" s="1168">
        <f>(AB663/AB656-1)*100</f>
        <v>11.22994652406415</v>
      </c>
      <c r="AE663" s="1124"/>
      <c r="AF663" s="1171">
        <f>+H663/AD663*100</f>
        <v>155.97753615451253</v>
      </c>
      <c r="AG663" s="1125"/>
      <c r="AH663" s="598"/>
      <c r="AI663" s="1172">
        <f>+S663</f>
        <v>826.16099999999994</v>
      </c>
      <c r="AJ663" s="598"/>
      <c r="AK663" s="1175">
        <f>AI663/AB663</f>
        <v>79.438557692307683</v>
      </c>
      <c r="AL663" s="598"/>
      <c r="AM663" s="1169">
        <f>(AK663/AK656-1)*100</f>
        <v>10.146770477138279</v>
      </c>
      <c r="AN663" s="1124"/>
      <c r="AP663" s="1193"/>
      <c r="AQ663" s="1193"/>
      <c r="AR663" s="1193"/>
      <c r="AS663" s="1193"/>
      <c r="AT663" s="1193"/>
      <c r="AU663" s="1193"/>
      <c r="AV663" s="1193"/>
      <c r="AW663" s="1193"/>
      <c r="AX663" s="1193"/>
      <c r="AY663" s="1193"/>
      <c r="AZ663" s="1193"/>
      <c r="BA663" s="1193"/>
      <c r="BB663" s="1193"/>
      <c r="BC663" s="1193"/>
      <c r="BD663" s="1193"/>
      <c r="BE663" s="1193"/>
      <c r="BF663" s="1193"/>
      <c r="BG663" s="1193"/>
    </row>
    <row r="664" spans="1:59">
      <c r="A664" s="598"/>
      <c r="B664" s="1157" t="s">
        <v>531</v>
      </c>
      <c r="C664" s="598"/>
      <c r="D664" s="1120">
        <f>(S664/S657-1)*100</f>
        <v>18.410319850480363</v>
      </c>
      <c r="E664" s="598"/>
      <c r="F664" s="1179">
        <f>'SegP&amp;L'!AK169</f>
        <v>7</v>
      </c>
      <c r="G664" s="598"/>
      <c r="H664" s="1120">
        <f>D664-F664</f>
        <v>11.410319850480363</v>
      </c>
      <c r="I664" s="598"/>
      <c r="J664" s="598"/>
      <c r="K664" s="598"/>
      <c r="L664" s="1128">
        <f>AVERAGE(L660:L663)</f>
        <v>396.125</v>
      </c>
      <c r="M664" s="598"/>
      <c r="N664" s="1120">
        <f>(L664/L657-1)*100</f>
        <v>9.5781466113416425</v>
      </c>
      <c r="O664" s="1124"/>
      <c r="P664" s="1159">
        <f>H664/N664*100</f>
        <v>119.12868233786705</v>
      </c>
      <c r="Q664" s="1125"/>
      <c r="R664" s="598"/>
      <c r="S664" s="1160">
        <f>SUM(S660:S663)</f>
        <v>2657.1110000000003</v>
      </c>
      <c r="T664" s="598"/>
      <c r="U664" s="1161">
        <f>SUM(U660:U663)</f>
        <v>6.6875133767480026</v>
      </c>
      <c r="V664" s="598"/>
      <c r="W664" s="1176">
        <f>(U664/U657-1)*100</f>
        <v>7.9558490981441743</v>
      </c>
      <c r="X664" s="1124"/>
      <c r="Y664" s="598"/>
      <c r="Z664" s="598"/>
      <c r="AA664" s="598"/>
      <c r="AB664" s="1163">
        <f>AVERAGE(AB660:AB663)</f>
        <v>9.9124999999999996</v>
      </c>
      <c r="AC664" s="598"/>
      <c r="AD664" s="1120">
        <f>(AB664/AB657-1)*100</f>
        <v>9.9861303744798846</v>
      </c>
      <c r="AE664" s="1124"/>
      <c r="AF664" s="1159">
        <f>+H664/AD664*100</f>
        <v>114.2616751693937</v>
      </c>
      <c r="AG664" s="1125"/>
      <c r="AH664" s="598"/>
      <c r="AI664" s="1160">
        <f>SUM(AI660:AI663)</f>
        <v>2657.1110000000003</v>
      </c>
      <c r="AJ664" s="598"/>
      <c r="AK664" s="1164">
        <f>SUM(AK660:AK663)</f>
        <v>267.2181207914748</v>
      </c>
      <c r="AL664" s="598"/>
      <c r="AM664" s="1176">
        <f>(AK664/AK657-1)*100</f>
        <v>7.5502998617693606</v>
      </c>
      <c r="AN664" s="1124"/>
      <c r="AP664" s="1193"/>
      <c r="AQ664" s="1193"/>
      <c r="AR664" s="1193"/>
      <c r="AS664" s="1193"/>
      <c r="AT664" s="1193"/>
      <c r="AU664" s="1193"/>
      <c r="AV664" s="1193"/>
      <c r="AW664" s="1193"/>
      <c r="AX664" s="1193"/>
      <c r="AY664" s="1193"/>
      <c r="AZ664" s="1193"/>
      <c r="BA664" s="1193"/>
      <c r="BB664" s="1193"/>
      <c r="BC664" s="1193"/>
      <c r="BD664" s="1193"/>
      <c r="BE664" s="1193"/>
      <c r="BF664" s="1193"/>
      <c r="BG664" s="1193"/>
    </row>
    <row r="665" spans="1:59">
      <c r="A665" s="1125"/>
      <c r="B665" s="1210"/>
      <c r="C665" s="1125"/>
      <c r="D665" s="1125"/>
      <c r="E665" s="1125"/>
      <c r="F665" s="1125"/>
      <c r="G665" s="1125"/>
      <c r="H665" s="1125"/>
      <c r="I665" s="1125"/>
      <c r="J665" s="1125"/>
      <c r="K665" s="1125"/>
      <c r="L665" s="1125"/>
      <c r="M665" s="1125"/>
      <c r="N665" s="1125"/>
      <c r="O665" s="1125"/>
      <c r="P665" s="1125"/>
      <c r="Q665" s="1125"/>
      <c r="R665" s="1125"/>
      <c r="S665" s="1125"/>
      <c r="T665" s="1125"/>
      <c r="U665" s="1125"/>
      <c r="V665" s="1125"/>
      <c r="W665" s="1125"/>
      <c r="X665" s="1125"/>
      <c r="Y665" s="1125"/>
      <c r="Z665" s="1125"/>
      <c r="AA665" s="1125"/>
      <c r="AB665" s="1125"/>
      <c r="AC665" s="1125"/>
      <c r="AD665" s="1125"/>
      <c r="AE665" s="1125"/>
      <c r="AF665" s="1125"/>
      <c r="AG665" s="1125"/>
      <c r="AH665" s="1125"/>
      <c r="AI665" s="1125"/>
      <c r="AJ665" s="1125"/>
      <c r="AK665" s="1125"/>
      <c r="AL665" s="1125"/>
      <c r="AM665" s="1125"/>
      <c r="AN665" s="1125"/>
      <c r="AP665" s="1193"/>
      <c r="AQ665" s="1193"/>
      <c r="AR665" s="1193"/>
      <c r="AS665" s="1193"/>
      <c r="AT665" s="1193"/>
      <c r="AU665" s="1193"/>
      <c r="AV665" s="1193"/>
      <c r="AW665" s="1193"/>
      <c r="AX665" s="1193"/>
      <c r="AY665" s="1193"/>
      <c r="AZ665" s="1193"/>
      <c r="BA665" s="1193"/>
      <c r="BB665" s="1193"/>
      <c r="BC665" s="1193"/>
      <c r="BD665" s="1193"/>
      <c r="BE665" s="1193"/>
      <c r="BF665" s="1193"/>
      <c r="BG665" s="1193"/>
    </row>
    <row r="666" spans="1:59">
      <c r="A666" s="1154"/>
      <c r="B666" s="1118">
        <f>+B659+1</f>
        <v>2013</v>
      </c>
      <c r="C666" s="598"/>
      <c r="D666" s="598"/>
      <c r="E666" s="1124"/>
      <c r="F666" s="598"/>
      <c r="G666" s="1124"/>
      <c r="H666" s="598"/>
      <c r="I666" s="1124"/>
      <c r="J666" s="598"/>
      <c r="K666" s="598"/>
      <c r="L666" s="598"/>
      <c r="M666" s="598"/>
      <c r="N666" s="598"/>
      <c r="O666" s="1124"/>
      <c r="P666" s="1125"/>
      <c r="Q666" s="1125"/>
      <c r="R666" s="598"/>
      <c r="S666" s="598"/>
      <c r="T666" s="598"/>
      <c r="U666" s="598"/>
      <c r="V666" s="598"/>
      <c r="W666" s="598"/>
      <c r="X666" s="1124"/>
      <c r="Y666" s="598"/>
      <c r="Z666" s="598"/>
      <c r="AA666" s="598"/>
      <c r="AB666" s="598"/>
      <c r="AC666" s="598"/>
      <c r="AD666" s="598"/>
      <c r="AE666" s="1124"/>
      <c r="AF666" s="1125"/>
      <c r="AG666" s="1125"/>
      <c r="AH666" s="598"/>
      <c r="AI666" s="598"/>
      <c r="AJ666" s="598"/>
      <c r="AK666" s="598"/>
      <c r="AL666" s="598"/>
      <c r="AM666" s="598"/>
      <c r="AN666" s="1124"/>
      <c r="AP666" s="1193"/>
      <c r="AQ666" s="1193"/>
      <c r="AR666" s="1193"/>
      <c r="AS666" s="1193"/>
      <c r="AT666" s="1193"/>
      <c r="AU666" s="1193"/>
      <c r="AV666" s="1193"/>
      <c r="AW666" s="1193"/>
      <c r="AX666" s="1193"/>
      <c r="AY666" s="1193"/>
      <c r="AZ666" s="1193"/>
      <c r="BA666" s="1193"/>
      <c r="BB666" s="1193"/>
      <c r="BC666" s="1193"/>
      <c r="BD666" s="1193"/>
      <c r="BE666" s="1193"/>
      <c r="BF666" s="1193"/>
      <c r="BG666" s="1193"/>
    </row>
    <row r="667" spans="1:59">
      <c r="A667" s="598" t="s">
        <v>527</v>
      </c>
      <c r="B667" s="1157" t="s">
        <v>514</v>
      </c>
      <c r="C667" s="598"/>
      <c r="D667" s="1120">
        <f>(S667/S660-1)*100</f>
        <v>15.746942365734352</v>
      </c>
      <c r="E667" s="1124" t="s">
        <v>190</v>
      </c>
      <c r="F667" s="1179">
        <f>'SegP&amp;L'!AK172</f>
        <v>7</v>
      </c>
      <c r="G667" s="1124" t="s">
        <v>190</v>
      </c>
      <c r="H667" s="1120">
        <f>D667-F667</f>
        <v>8.7469423657343519</v>
      </c>
      <c r="I667" s="1124" t="s">
        <v>190</v>
      </c>
      <c r="J667" s="598">
        <f>Stores!AM194</f>
        <v>426</v>
      </c>
      <c r="K667" s="598"/>
      <c r="L667" s="1128">
        <f>AVERAGE(J667,J663)</f>
        <v>420.5</v>
      </c>
      <c r="M667" s="598"/>
      <c r="N667" s="1120">
        <f>(L667/L660-1)*100</f>
        <v>11.096433289299878</v>
      </c>
      <c r="O667" s="1124" t="s">
        <v>190</v>
      </c>
      <c r="P667" s="1159">
        <f>H667/N667*100</f>
        <v>78.826611557867849</v>
      </c>
      <c r="Q667" s="1125" t="s">
        <v>190</v>
      </c>
      <c r="R667" s="598"/>
      <c r="S667" s="1160">
        <f>'SegP&amp;L'!AI172</f>
        <v>689.53</v>
      </c>
      <c r="T667" s="598"/>
      <c r="U667" s="1161">
        <f>S667/L667</f>
        <v>1.6397859690844232</v>
      </c>
      <c r="V667" s="598"/>
      <c r="W667" s="1176">
        <f>(U667/U660-1)*100</f>
        <v>4.1860111425218838</v>
      </c>
      <c r="X667" s="1124" t="s">
        <v>190</v>
      </c>
      <c r="Y667" s="598"/>
      <c r="Z667" s="1129">
        <f>Stores!AP194</f>
        <v>10.7</v>
      </c>
      <c r="AA667" s="598"/>
      <c r="AB667" s="1163">
        <f>AVERAGE(Z667,Z663)</f>
        <v>10.55</v>
      </c>
      <c r="AC667" s="598"/>
      <c r="AD667" s="1120">
        <f>(AB667/AB660-1)*100</f>
        <v>11.64021164021165</v>
      </c>
      <c r="AE667" s="1124" t="s">
        <v>190</v>
      </c>
      <c r="AF667" s="1159">
        <f>+H667/AD667*100</f>
        <v>75.144186687445043</v>
      </c>
      <c r="AG667" s="1125" t="s">
        <v>190</v>
      </c>
      <c r="AH667" s="598"/>
      <c r="AI667" s="1160">
        <f>+S667</f>
        <v>689.53</v>
      </c>
      <c r="AJ667" s="598"/>
      <c r="AK667" s="1164">
        <f>AI667/AB667</f>
        <v>65.358293838862551</v>
      </c>
      <c r="AL667" s="598"/>
      <c r="AM667" s="1176">
        <f>(AK667/AK660-1)*100</f>
        <v>3.6785407920558733</v>
      </c>
      <c r="AN667" s="1124" t="s">
        <v>190</v>
      </c>
      <c r="AP667" s="1193"/>
      <c r="AQ667" s="1193"/>
      <c r="AR667" s="1193"/>
      <c r="AS667" s="1193"/>
      <c r="AT667" s="1193"/>
      <c r="AU667" s="1193"/>
      <c r="AV667" s="1193"/>
      <c r="AW667" s="1193"/>
      <c r="AX667" s="1193"/>
      <c r="AY667" s="1193"/>
      <c r="AZ667" s="1193"/>
      <c r="BA667" s="1193"/>
      <c r="BB667" s="1193"/>
      <c r="BC667" s="1193"/>
      <c r="BD667" s="1193"/>
      <c r="BE667" s="1193"/>
      <c r="BF667" s="1193"/>
      <c r="BG667" s="1193"/>
    </row>
    <row r="668" spans="1:59">
      <c r="A668" s="598" t="s">
        <v>528</v>
      </c>
      <c r="B668" s="1157" t="s">
        <v>515</v>
      </c>
      <c r="C668" s="598"/>
      <c r="D668" s="1120">
        <f>(S668/S661-1)*100</f>
        <v>15.460404139772521</v>
      </c>
      <c r="E668" s="598"/>
      <c r="F668" s="1179">
        <f>'SegP&amp;L'!AK173</f>
        <v>8</v>
      </c>
      <c r="G668" s="598"/>
      <c r="H668" s="1120">
        <f>D668-F668</f>
        <v>7.4604041397725211</v>
      </c>
      <c r="I668" s="598"/>
      <c r="J668" s="598">
        <f>Stores!AM195</f>
        <v>430</v>
      </c>
      <c r="K668" s="1127"/>
      <c r="L668" s="1167">
        <f>AVERAGE(J668,J667)</f>
        <v>428</v>
      </c>
      <c r="M668" s="598"/>
      <c r="N668" s="1120">
        <f>(L668/L661-1)*100</f>
        <v>10.309278350515472</v>
      </c>
      <c r="O668" s="1124"/>
      <c r="P668" s="1159">
        <f>H668/N668*100</f>
        <v>72.36592015579339</v>
      </c>
      <c r="Q668" s="1125"/>
      <c r="R668" s="598"/>
      <c r="S668" s="1165">
        <f>'SegP&amp;L'!AI173</f>
        <v>690.12300000000005</v>
      </c>
      <c r="T668" s="1127"/>
      <c r="U668" s="1166">
        <f>S668/L668</f>
        <v>1.6124369158878507</v>
      </c>
      <c r="V668" s="598"/>
      <c r="W668" s="1176">
        <f>(U668/U661-1)*100</f>
        <v>4.6697121640928652</v>
      </c>
      <c r="X668" s="1124"/>
      <c r="Y668" s="598"/>
      <c r="Z668" s="1129">
        <f>Stores!AP195</f>
        <v>10.8</v>
      </c>
      <c r="AA668" s="1127"/>
      <c r="AB668" s="1163">
        <f>AVERAGE(Z668,Z667)</f>
        <v>10.75</v>
      </c>
      <c r="AC668" s="598"/>
      <c r="AD668" s="1120">
        <f>(AB668/AB661-1)*100</f>
        <v>10.824742268041243</v>
      </c>
      <c r="AE668" s="1124"/>
      <c r="AF668" s="1159">
        <f>+H668/AD668*100</f>
        <v>68.91992395789849</v>
      </c>
      <c r="AG668" s="1125"/>
      <c r="AH668" s="598"/>
      <c r="AI668" s="1165">
        <f>+S668</f>
        <v>690.12300000000005</v>
      </c>
      <c r="AJ668" s="598"/>
      <c r="AK668" s="1167">
        <f>AI668/AB668</f>
        <v>64.197488372093034</v>
      </c>
      <c r="AL668" s="598"/>
      <c r="AM668" s="1176">
        <f>(AK668/AK661-1)*100</f>
        <v>4.1828762935621988</v>
      </c>
      <c r="AN668" s="1124"/>
      <c r="AP668" s="1193"/>
      <c r="AQ668" s="1193"/>
      <c r="AR668" s="1193"/>
      <c r="AS668" s="1193"/>
      <c r="AT668" s="1193"/>
      <c r="AU668" s="1193"/>
      <c r="AV668" s="1193"/>
      <c r="AW668" s="1193"/>
      <c r="AX668" s="1193"/>
      <c r="AY668" s="1193"/>
      <c r="AZ668" s="1193"/>
      <c r="BA668" s="1193"/>
      <c r="BB668" s="1193"/>
      <c r="BC668" s="1193"/>
      <c r="BD668" s="1193"/>
      <c r="BE668" s="1193"/>
      <c r="BF668" s="1193"/>
      <c r="BG668" s="1193"/>
    </row>
    <row r="669" spans="1:59">
      <c r="A669" s="598" t="s">
        <v>529</v>
      </c>
      <c r="B669" s="1157" t="s">
        <v>516</v>
      </c>
      <c r="C669" s="598"/>
      <c r="D669" s="1120">
        <f>(S669/S662-1)*100</f>
        <v>16.003256399075163</v>
      </c>
      <c r="E669" s="598"/>
      <c r="F669" s="1179">
        <f>'SegP&amp;L'!AK174</f>
        <v>10</v>
      </c>
      <c r="G669" s="598"/>
      <c r="H669" s="1120">
        <f>D669-F669</f>
        <v>6.0032563990751626</v>
      </c>
      <c r="I669" s="598"/>
      <c r="J669" s="598">
        <f>Stores!AM196</f>
        <v>448</v>
      </c>
      <c r="K669" s="1127"/>
      <c r="L669" s="1167">
        <f>AVERAGE(J669,J668)</f>
        <v>439</v>
      </c>
      <c r="M669" s="598"/>
      <c r="N669" s="1120">
        <f>(L669/L662-1)*100</f>
        <v>8.7980173482032242</v>
      </c>
      <c r="O669" s="1124"/>
      <c r="P669" s="1159">
        <f>H669/N669*100</f>
        <v>68.23419597258669</v>
      </c>
      <c r="Q669" s="1125"/>
      <c r="R669" s="598"/>
      <c r="S669" s="1165">
        <f>'SegP&amp;L'!AI174</f>
        <v>739.53700000000003</v>
      </c>
      <c r="T669" s="598"/>
      <c r="U669" s="1166">
        <f>S669/L669</f>
        <v>1.6845945330296128</v>
      </c>
      <c r="V669" s="598"/>
      <c r="W669" s="1176">
        <f>(U669/U662-1)*100</f>
        <v>6.6225830456192014</v>
      </c>
      <c r="X669" s="1124"/>
      <c r="Y669" s="598"/>
      <c r="Z669" s="1129">
        <f>Stores!AP196</f>
        <v>11.2</v>
      </c>
      <c r="AA669" s="1127"/>
      <c r="AB669" s="1163">
        <f>AVERAGE(Z669,Z668)</f>
        <v>11</v>
      </c>
      <c r="AC669" s="598"/>
      <c r="AD669" s="1120">
        <f>(AB669/AB662-1)*100</f>
        <v>8.9108910891088975</v>
      </c>
      <c r="AE669" s="1124"/>
      <c r="AF669" s="1159">
        <f>+H669/AD669*100</f>
        <v>67.369877367399141</v>
      </c>
      <c r="AG669" s="1125"/>
      <c r="AH669" s="598"/>
      <c r="AI669" s="1165">
        <f>+S669</f>
        <v>739.53700000000003</v>
      </c>
      <c r="AJ669" s="598"/>
      <c r="AK669" s="1167">
        <f>AI669/AB669</f>
        <v>67.230636363636364</v>
      </c>
      <c r="AL669" s="598"/>
      <c r="AM669" s="1176">
        <f>(AK669/AK662-1)*100</f>
        <v>6.5120808755144699</v>
      </c>
      <c r="AN669" s="1124"/>
      <c r="AP669" s="1193"/>
      <c r="AQ669" s="1193"/>
      <c r="AR669" s="1193"/>
      <c r="AS669" s="1193"/>
      <c r="AT669" s="1193"/>
      <c r="AU669" s="1193"/>
      <c r="AV669" s="1193"/>
      <c r="AW669" s="1193"/>
      <c r="AX669" s="1193"/>
      <c r="AY669" s="1193"/>
      <c r="AZ669" s="1193"/>
      <c r="BA669" s="1193"/>
      <c r="BB669" s="1193"/>
      <c r="BC669" s="1193"/>
      <c r="BD669" s="1193"/>
      <c r="BE669" s="1193"/>
      <c r="BF669" s="1193"/>
      <c r="BG669" s="1193"/>
    </row>
    <row r="670" spans="1:59">
      <c r="A670" s="598" t="s">
        <v>530</v>
      </c>
      <c r="B670" s="1157" t="s">
        <v>517</v>
      </c>
      <c r="C670" s="598"/>
      <c r="D670" s="1168">
        <f>F670+H670</f>
        <v>-0.16164053075994644</v>
      </c>
      <c r="E670" s="598"/>
      <c r="F670" s="1178">
        <f>'SegP&amp;L'!AK175</f>
        <v>4</v>
      </c>
      <c r="G670" s="598"/>
      <c r="H670" s="1168">
        <f>+N670*P670/100</f>
        <v>-4.1616405307599464</v>
      </c>
      <c r="I670" s="598"/>
      <c r="J670" s="598">
        <f>Stores!AM197</f>
        <v>450</v>
      </c>
      <c r="K670" s="1127"/>
      <c r="L670" s="1171">
        <f>AVERAGE(J670,J669)</f>
        <v>449</v>
      </c>
      <c r="M670" s="598"/>
      <c r="N670" s="1168">
        <f>(L670/L663-1)*100</f>
        <v>8.3232810615198929</v>
      </c>
      <c r="O670" s="1124"/>
      <c r="P670" s="1171">
        <v>-50</v>
      </c>
      <c r="Q670" s="1125"/>
      <c r="R670" s="598"/>
      <c r="S670" s="1172">
        <f>S663*(1+D670/100)</f>
        <v>824.82558897466834</v>
      </c>
      <c r="T670" s="598"/>
      <c r="U670" s="1173">
        <f>S670/L670</f>
        <v>1.8370280378054975</v>
      </c>
      <c r="V670" s="598"/>
      <c r="W670" s="1169">
        <f>(U670/U663-1)*100</f>
        <v>-7.8329621380846204</v>
      </c>
      <c r="X670" s="1124"/>
      <c r="Y670" s="598"/>
      <c r="Z670" s="1129">
        <f>Stores!AP197</f>
        <v>11.3</v>
      </c>
      <c r="AA670" s="1127"/>
      <c r="AB670" s="1174">
        <f>AVERAGE(Z670,Z669)</f>
        <v>11.25</v>
      </c>
      <c r="AC670" s="598"/>
      <c r="AD670" s="1168">
        <f>(AB670/AB663-1)*100</f>
        <v>8.1730769230769162</v>
      </c>
      <c r="AE670" s="1124"/>
      <c r="AF670" s="1171">
        <f>+H670/AD670*100</f>
        <v>-50.9188959057688</v>
      </c>
      <c r="AG670" s="1125"/>
      <c r="AH670" s="598"/>
      <c r="AI670" s="1172">
        <f>+S670</f>
        <v>824.82558897466834</v>
      </c>
      <c r="AJ670" s="598"/>
      <c r="AK670" s="1175">
        <f>AI670/AB670</f>
        <v>73.317830131081635</v>
      </c>
      <c r="AL670" s="598"/>
      <c r="AM670" s="1169">
        <f>(AK670/AK663-1)*100</f>
        <v>-7.7049832462136152</v>
      </c>
      <c r="AN670" s="1124"/>
      <c r="AP670" s="1193"/>
      <c r="AQ670" s="1193"/>
      <c r="AR670" s="1193"/>
      <c r="AS670" s="1193"/>
      <c r="AT670" s="1193"/>
      <c r="AU670" s="1193"/>
      <c r="AV670" s="1193"/>
      <c r="AW670" s="1193"/>
      <c r="AX670" s="1193"/>
      <c r="AY670" s="1193"/>
      <c r="AZ670" s="1193"/>
      <c r="BA670" s="1193"/>
      <c r="BB670" s="1193"/>
      <c r="BC670" s="1193"/>
      <c r="BD670" s="1193"/>
      <c r="BE670" s="1193"/>
      <c r="BF670" s="1193"/>
      <c r="BG670" s="1193"/>
    </row>
    <row r="671" spans="1:59">
      <c r="A671" s="598"/>
      <c r="B671" s="1157" t="s">
        <v>531</v>
      </c>
      <c r="C671" s="598"/>
      <c r="D671" s="1120">
        <f>(S671/S664-1)*100</f>
        <v>10.797613986569177</v>
      </c>
      <c r="E671" s="598"/>
      <c r="F671" s="1179">
        <f>'SegP&amp;L'!AK176</f>
        <v>7</v>
      </c>
      <c r="G671" s="598"/>
      <c r="H671" s="1120">
        <f>D671-F671</f>
        <v>3.7976139865691767</v>
      </c>
      <c r="I671" s="598"/>
      <c r="J671" s="598"/>
      <c r="K671" s="598"/>
      <c r="L671" s="1128">
        <f>AVERAGE(L667:L670)</f>
        <v>434.125</v>
      </c>
      <c r="M671" s="598"/>
      <c r="N671" s="1120">
        <f>(L671/L664-1)*100</f>
        <v>9.5929315241401127</v>
      </c>
      <c r="O671" s="1124"/>
      <c r="P671" s="1159">
        <f>H671/N671*100</f>
        <v>39.587627379729327</v>
      </c>
      <c r="Q671" s="1125"/>
      <c r="R671" s="598"/>
      <c r="S671" s="1160">
        <f>SUM(S667:S670)</f>
        <v>2944.0155889746684</v>
      </c>
      <c r="T671" s="598"/>
      <c r="U671" s="1161">
        <f>SUM(U667:U670)</f>
        <v>6.7738454558073844</v>
      </c>
      <c r="V671" s="598"/>
      <c r="W671" s="1176">
        <f>(U671/U664-1)*100</f>
        <v>1.2909443943626586</v>
      </c>
      <c r="X671" s="1124"/>
      <c r="Y671" s="598"/>
      <c r="Z671" s="598"/>
      <c r="AA671" s="598"/>
      <c r="AB671" s="1163">
        <f>AVERAGE(AB667:AB670)</f>
        <v>10.887499999999999</v>
      </c>
      <c r="AC671" s="598"/>
      <c r="AD671" s="1120">
        <f>(AB671/AB664-1)*100</f>
        <v>9.8360655737704796</v>
      </c>
      <c r="AE671" s="1124"/>
      <c r="AF671" s="1159">
        <f>+H671/AD671*100</f>
        <v>38.609075530120016</v>
      </c>
      <c r="AG671" s="1125"/>
      <c r="AH671" s="598"/>
      <c r="AI671" s="1160">
        <f>SUM(AI667:AI670)</f>
        <v>2944.0155889746684</v>
      </c>
      <c r="AJ671" s="598"/>
      <c r="AK671" s="1164">
        <f>SUM(AK667:AK670)</f>
        <v>270.10424870567357</v>
      </c>
      <c r="AL671" s="598"/>
      <c r="AM671" s="1176">
        <f>(AK671/AK664-1)*100</f>
        <v>1.0800644453491159</v>
      </c>
      <c r="AN671" s="1124"/>
      <c r="AP671" s="1193"/>
      <c r="AQ671" s="1193"/>
      <c r="AR671" s="1193"/>
      <c r="AS671" s="1193"/>
      <c r="AT671" s="1193"/>
      <c r="AU671" s="1193"/>
      <c r="AV671" s="1193"/>
      <c r="AW671" s="1193"/>
      <c r="AX671" s="1193"/>
      <c r="AY671" s="1193"/>
      <c r="AZ671" s="1193"/>
      <c r="BA671" s="1193"/>
      <c r="BB671" s="1193"/>
      <c r="BC671" s="1193"/>
      <c r="BD671" s="1193"/>
      <c r="BE671" s="1193"/>
      <c r="BF671" s="1193"/>
      <c r="BG671" s="1193"/>
    </row>
    <row r="672" spans="1:59">
      <c r="A672" s="1125"/>
      <c r="B672" s="1210"/>
      <c r="C672" s="1125"/>
      <c r="D672" s="1125"/>
      <c r="E672" s="1125"/>
      <c r="F672" s="1125"/>
      <c r="G672" s="1125"/>
      <c r="H672" s="1125"/>
      <c r="I672" s="1125"/>
      <c r="J672" s="1125"/>
      <c r="K672" s="1125"/>
      <c r="L672" s="1125"/>
      <c r="M672" s="1125"/>
      <c r="N672" s="1125"/>
      <c r="O672" s="1125"/>
      <c r="P672" s="1125"/>
      <c r="Q672" s="1125"/>
      <c r="R672" s="1125"/>
      <c r="S672" s="1125"/>
      <c r="T672" s="1125"/>
      <c r="U672" s="1125"/>
      <c r="V672" s="1125"/>
      <c r="W672" s="1125"/>
      <c r="X672" s="1125"/>
      <c r="Y672" s="1125"/>
      <c r="Z672" s="1125"/>
      <c r="AA672" s="1125"/>
      <c r="AB672" s="1125"/>
      <c r="AC672" s="1125"/>
      <c r="AD672" s="1125"/>
      <c r="AE672" s="1125"/>
      <c r="AF672" s="1125"/>
      <c r="AG672" s="1125"/>
      <c r="AH672" s="1125"/>
      <c r="AI672" s="1125"/>
      <c r="AJ672" s="1125"/>
      <c r="AK672" s="1125"/>
      <c r="AL672" s="1125"/>
      <c r="AM672" s="1125"/>
      <c r="AN672" s="1125"/>
      <c r="AP672" s="1193"/>
      <c r="AQ672" s="1193"/>
      <c r="AR672" s="1193"/>
      <c r="AS672" s="1193"/>
      <c r="AT672" s="1193"/>
      <c r="AU672" s="1193"/>
      <c r="AV672" s="1193"/>
      <c r="AW672" s="1193"/>
      <c r="AX672" s="1193"/>
      <c r="AY672" s="1193"/>
      <c r="AZ672" s="1193"/>
      <c r="BA672" s="1193"/>
      <c r="BB672" s="1193"/>
      <c r="BC672" s="1193"/>
      <c r="BD672" s="1193"/>
      <c r="BE672" s="1193"/>
      <c r="BF672" s="1193"/>
      <c r="BG672" s="1193"/>
    </row>
    <row r="673" spans="1:59">
      <c r="A673" s="1154"/>
      <c r="B673" s="1118">
        <f>+B666+1</f>
        <v>2014</v>
      </c>
      <c r="C673" s="598"/>
      <c r="D673" s="598"/>
      <c r="E673" s="1124"/>
      <c r="F673" s="598"/>
      <c r="G673" s="1124"/>
      <c r="H673" s="598"/>
      <c r="I673" s="1124"/>
      <c r="J673" s="598"/>
      <c r="K673" s="598"/>
      <c r="L673" s="598"/>
      <c r="M673" s="598"/>
      <c r="N673" s="598"/>
      <c r="O673" s="1124"/>
      <c r="P673" s="1125"/>
      <c r="Q673" s="1125"/>
      <c r="R673" s="598"/>
      <c r="S673" s="1165"/>
      <c r="T673" s="598"/>
      <c r="U673" s="598"/>
      <c r="V673" s="598"/>
      <c r="W673" s="598"/>
      <c r="X673" s="1124"/>
      <c r="Y673" s="598"/>
      <c r="Z673" s="598"/>
      <c r="AA673" s="598"/>
      <c r="AB673" s="598"/>
      <c r="AC673" s="598"/>
      <c r="AD673" s="598"/>
      <c r="AE673" s="1124"/>
      <c r="AF673" s="1125"/>
      <c r="AG673" s="1125"/>
      <c r="AH673" s="598"/>
      <c r="AI673" s="598"/>
      <c r="AJ673" s="598"/>
      <c r="AK673" s="598"/>
      <c r="AL673" s="598"/>
      <c r="AM673" s="598"/>
      <c r="AN673" s="1124"/>
      <c r="AP673" s="1193"/>
      <c r="AQ673" s="1193"/>
      <c r="AR673" s="1193"/>
      <c r="AS673" s="1193"/>
      <c r="AT673" s="1193"/>
      <c r="AU673" s="1193"/>
      <c r="AV673" s="1193"/>
      <c r="AW673" s="1193"/>
      <c r="AX673" s="1193"/>
      <c r="AY673" s="1193"/>
      <c r="AZ673" s="1193"/>
      <c r="BA673" s="1193"/>
      <c r="BB673" s="1193"/>
      <c r="BC673" s="1193"/>
      <c r="BD673" s="1193"/>
      <c r="BE673" s="1193"/>
      <c r="BF673" s="1193"/>
      <c r="BG673" s="1193"/>
    </row>
    <row r="674" spans="1:59">
      <c r="A674" s="598" t="s">
        <v>527</v>
      </c>
      <c r="B674" s="1157" t="s">
        <v>514</v>
      </c>
      <c r="C674" s="598"/>
      <c r="D674" s="1120">
        <f>(S674/S667-1)*100</f>
        <v>9.8069699650486619</v>
      </c>
      <c r="E674" s="1124" t="s">
        <v>190</v>
      </c>
      <c r="F674" s="1179">
        <f>'SegP&amp;L'!AK179</f>
        <v>3</v>
      </c>
      <c r="G674" s="1124" t="s">
        <v>190</v>
      </c>
      <c r="H674" s="1120">
        <f>D674-F674</f>
        <v>6.8069699650486619</v>
      </c>
      <c r="I674" s="1124" t="s">
        <v>190</v>
      </c>
      <c r="J674" s="598">
        <f>Stores!AM201</f>
        <v>458</v>
      </c>
      <c r="K674" s="598"/>
      <c r="L674" s="1128">
        <f>AVERAGE(J674,J670)</f>
        <v>454</v>
      </c>
      <c r="M674" s="598"/>
      <c r="N674" s="1120">
        <f>(L674/L667-1)*100</f>
        <v>7.9667063020214091</v>
      </c>
      <c r="O674" s="1124" t="s">
        <v>190</v>
      </c>
      <c r="P674" s="1159">
        <f>H674/N674*100</f>
        <v>85.442712546357029</v>
      </c>
      <c r="Q674" s="1125" t="s">
        <v>190</v>
      </c>
      <c r="R674" s="598"/>
      <c r="S674" s="1160">
        <f>'SegP&amp;L'!AI179</f>
        <v>757.15200000000004</v>
      </c>
      <c r="T674" s="598"/>
      <c r="U674" s="1161">
        <f>S674/L674</f>
        <v>1.6677356828193834</v>
      </c>
      <c r="V674" s="598"/>
      <c r="W674" s="1176">
        <f>(U674/U667-1)*100</f>
        <v>1.7044732826056563</v>
      </c>
      <c r="X674" s="1124" t="s">
        <v>190</v>
      </c>
      <c r="Y674" s="598"/>
      <c r="Z674" s="1129">
        <f>Stores!AP201</f>
        <v>11.4</v>
      </c>
      <c r="AA674" s="598"/>
      <c r="AB674" s="1163">
        <f>AVERAGE(Z674,Z670)</f>
        <v>11.350000000000001</v>
      </c>
      <c r="AC674" s="598"/>
      <c r="AD674" s="1120">
        <f>(AB674/AB667-1)*100</f>
        <v>7.5829383886256041</v>
      </c>
      <c r="AE674" s="1124" t="s">
        <v>190</v>
      </c>
      <c r="AF674" s="1159">
        <f>+H674/AD674*100</f>
        <v>89.766916414079091</v>
      </c>
      <c r="AG674" s="1125" t="s">
        <v>190</v>
      </c>
      <c r="AH674" s="598"/>
      <c r="AI674" s="1160">
        <f>+S674</f>
        <v>757.15200000000004</v>
      </c>
      <c r="AJ674" s="598"/>
      <c r="AK674" s="1164">
        <f>AI674/AB674</f>
        <v>66.709427312775333</v>
      </c>
      <c r="AL674" s="598"/>
      <c r="AM674" s="1176">
        <f>(AK674/AK667-1)*100</f>
        <v>2.0672716415210068</v>
      </c>
      <c r="AN674" s="1124" t="s">
        <v>190</v>
      </c>
      <c r="AP674" s="1193"/>
      <c r="AQ674" s="1193"/>
      <c r="AR674" s="1193"/>
      <c r="AS674" s="1193"/>
      <c r="AT674" s="1193"/>
      <c r="AU674" s="1193"/>
      <c r="AV674" s="1193"/>
      <c r="AW674" s="1193"/>
      <c r="AX674" s="1193"/>
      <c r="AY674" s="1193"/>
      <c r="AZ674" s="1193"/>
      <c r="BA674" s="1193"/>
      <c r="BB674" s="1193"/>
      <c r="BC674" s="1193"/>
      <c r="BD674" s="1193"/>
      <c r="BE674" s="1193"/>
      <c r="BF674" s="1193"/>
      <c r="BG674" s="1193"/>
    </row>
    <row r="675" spans="1:59">
      <c r="A675" s="598" t="s">
        <v>528</v>
      </c>
      <c r="B675" s="1157" t="s">
        <v>515</v>
      </c>
      <c r="C675" s="598"/>
      <c r="D675" s="1120">
        <f>(S675/S668-1)*100</f>
        <v>12.019306703297804</v>
      </c>
      <c r="E675" s="1124" t="s">
        <v>190</v>
      </c>
      <c r="F675" s="1179">
        <f>'SegP&amp;L'!AK180</f>
        <v>5</v>
      </c>
      <c r="G675" s="1124"/>
      <c r="H675" s="1120">
        <f>D675-F675</f>
        <v>7.0193067032978043</v>
      </c>
      <c r="I675" s="1124" t="s">
        <v>190</v>
      </c>
      <c r="J675" s="598">
        <f>Stores!AM202</f>
        <v>464</v>
      </c>
      <c r="K675" s="598"/>
      <c r="L675" s="1128">
        <f>AVERAGE(J675,J671)</f>
        <v>464</v>
      </c>
      <c r="M675" s="598"/>
      <c r="N675" s="1120">
        <f>(L675/L668-1)*100</f>
        <v>8.411214953271017</v>
      </c>
      <c r="O675" s="1124" t="s">
        <v>190</v>
      </c>
      <c r="P675" s="1159">
        <f>H675/N675*100</f>
        <v>83.451757472540663</v>
      </c>
      <c r="Q675" s="1125"/>
      <c r="R675" s="598"/>
      <c r="S675" s="1165">
        <f>'SegP&amp;L'!AI180</f>
        <v>773.07100000000003</v>
      </c>
      <c r="T675" s="598"/>
      <c r="U675" s="1166">
        <f>S675/L675</f>
        <v>1.6661012931034482</v>
      </c>
      <c r="V675" s="598"/>
      <c r="W675" s="1176">
        <f>(U675/U668-1)*100</f>
        <v>3.328153597007466</v>
      </c>
      <c r="X675" s="1124"/>
      <c r="Y675" s="598"/>
      <c r="Z675" s="1129">
        <f>Stores!AP202</f>
        <v>11.6</v>
      </c>
      <c r="AA675" s="1127"/>
      <c r="AB675" s="1163">
        <f>AVERAGE(Z675,Z674)</f>
        <v>11.5</v>
      </c>
      <c r="AC675" s="598"/>
      <c r="AD675" s="1120">
        <f>(AB675/AB668-1)*100</f>
        <v>6.9767441860465018</v>
      </c>
      <c r="AE675" s="1124"/>
      <c r="AF675" s="1159">
        <f>+H675/AD675*100</f>
        <v>100.61006274726867</v>
      </c>
      <c r="AG675" s="1125"/>
      <c r="AH675" s="598"/>
      <c r="AI675" s="1165">
        <f>+S675</f>
        <v>773.07100000000003</v>
      </c>
      <c r="AJ675" s="598"/>
      <c r="AK675" s="1167">
        <f>AI675/AB675</f>
        <v>67.223565217391311</v>
      </c>
      <c r="AL675" s="598"/>
      <c r="AM675" s="1176">
        <f>(AK675/AK668-1)*100</f>
        <v>4.7136997443870898</v>
      </c>
      <c r="AN675" s="1124"/>
      <c r="AP675" s="1193"/>
      <c r="AQ675" s="1193"/>
      <c r="AR675" s="1193"/>
      <c r="AS675" s="1193"/>
      <c r="AT675" s="1193"/>
      <c r="AU675" s="1193"/>
      <c r="AV675" s="1193"/>
      <c r="AW675" s="1193"/>
      <c r="AX675" s="1193"/>
      <c r="AY675" s="1193"/>
      <c r="AZ675" s="1193"/>
      <c r="BA675" s="1193"/>
      <c r="BB675" s="1193"/>
      <c r="BC675" s="1193"/>
      <c r="BD675" s="1193"/>
      <c r="BE675" s="1193"/>
      <c r="BF675" s="1193"/>
      <c r="BG675" s="1193"/>
    </row>
    <row r="676" spans="1:59">
      <c r="A676" s="598" t="s">
        <v>528</v>
      </c>
      <c r="B676" s="1157" t="s">
        <v>516</v>
      </c>
      <c r="C676" s="598"/>
      <c r="D676" s="1120">
        <f>(S676/S669-1)*100</f>
        <v>15.078082638191193</v>
      </c>
      <c r="E676" s="1124" t="s">
        <v>190</v>
      </c>
      <c r="F676" s="1179">
        <f>'SegP&amp;L'!AK181</f>
        <v>7</v>
      </c>
      <c r="G676" s="1124"/>
      <c r="H676" s="1120">
        <f>D676-F676</f>
        <v>8.0780826381911925</v>
      </c>
      <c r="I676" s="1124" t="s">
        <v>190</v>
      </c>
      <c r="J676" s="598">
        <f>Stores!AM203</f>
        <v>485</v>
      </c>
      <c r="K676" s="598"/>
      <c r="L676" s="1128">
        <f>AVERAGE(J676,J672)</f>
        <v>485</v>
      </c>
      <c r="M676" s="598"/>
      <c r="N676" s="1120">
        <f>(L676/L669-1)*100</f>
        <v>10.478359908883817</v>
      </c>
      <c r="O676" s="1124" t="s">
        <v>190</v>
      </c>
      <c r="P676" s="1159">
        <f>H676/N676*100</f>
        <v>77.093006047085581</v>
      </c>
      <c r="Q676" s="1125"/>
      <c r="R676" s="598"/>
      <c r="S676" s="1165">
        <f>'SegP&amp;L'!AI181</f>
        <v>851.04499999999996</v>
      </c>
      <c r="T676" s="598"/>
      <c r="U676" s="1166">
        <f>S676/L676</f>
        <v>1.7547319587628865</v>
      </c>
      <c r="V676" s="598"/>
      <c r="W676" s="1176">
        <f>(U676/U669-1)*100</f>
        <v>4.1634603673524229</v>
      </c>
      <c r="X676" s="1124"/>
      <c r="Y676" s="598"/>
      <c r="Z676" s="1129">
        <f>Stores!AP203</f>
        <v>12.1</v>
      </c>
      <c r="AA676" s="1127"/>
      <c r="AB676" s="1163">
        <f>AVERAGE(Z676,Z675)</f>
        <v>11.85</v>
      </c>
      <c r="AC676" s="598"/>
      <c r="AD676" s="1120">
        <f>(AB676/AB669-1)*100</f>
        <v>7.727272727272716</v>
      </c>
      <c r="AE676" s="1124"/>
      <c r="AF676" s="1159">
        <f>+H676/AD676*100</f>
        <v>104.53989296482735</v>
      </c>
      <c r="AG676" s="1125"/>
      <c r="AH676" s="598"/>
      <c r="AI676" s="1165">
        <f>+S676</f>
        <v>851.04499999999996</v>
      </c>
      <c r="AJ676" s="598"/>
      <c r="AK676" s="1167">
        <f>AI676/AB676</f>
        <v>71.818143459915603</v>
      </c>
      <c r="AL676" s="598"/>
      <c r="AM676" s="1176">
        <f>(AK676/AK669-1)*100</f>
        <v>6.8235366261690356</v>
      </c>
      <c r="AN676" s="1124"/>
      <c r="AP676" s="1193"/>
      <c r="AQ676" s="1193"/>
      <c r="AR676" s="1193"/>
      <c r="AS676" s="1193"/>
      <c r="AT676" s="1193"/>
      <c r="AU676" s="1193"/>
      <c r="AV676" s="1193"/>
      <c r="AW676" s="1193"/>
      <c r="AX676" s="1193"/>
      <c r="AY676" s="1193"/>
      <c r="AZ676" s="1193"/>
      <c r="BA676" s="1193"/>
      <c r="BB676" s="1193"/>
      <c r="BC676" s="1193"/>
      <c r="BD676" s="1193"/>
      <c r="BE676" s="1193"/>
      <c r="BF676" s="1193"/>
      <c r="BG676" s="1193"/>
    </row>
    <row r="677" spans="1:59" ht="15">
      <c r="A677" s="598" t="s">
        <v>530</v>
      </c>
      <c r="B677" s="1157" t="s">
        <v>517</v>
      </c>
      <c r="C677" s="598"/>
      <c r="D677" s="1168">
        <f>(S677/S670-1)*100</f>
        <v>25.238597566318344</v>
      </c>
      <c r="E677" s="598" t="s">
        <v>190</v>
      </c>
      <c r="F677" s="1178">
        <f>'SegP&amp;L'!AK182</f>
        <v>11</v>
      </c>
      <c r="G677" s="598"/>
      <c r="H677" s="1168">
        <f>D677-F677</f>
        <v>14.238597566318344</v>
      </c>
      <c r="I677" s="598" t="s">
        <v>190</v>
      </c>
      <c r="J677" s="598">
        <f>Stores!AM204</f>
        <v>487</v>
      </c>
      <c r="K677" s="598"/>
      <c r="L677" s="1171">
        <f>AVERAGE(J677,J673)</f>
        <v>487</v>
      </c>
      <c r="M677" s="598"/>
      <c r="N677" s="1168">
        <f>(L677/L670-1)*100</f>
        <v>8.4632516703786251</v>
      </c>
      <c r="O677" s="1124" t="s">
        <v>190</v>
      </c>
      <c r="P677" s="1171">
        <f>H677/N677*100</f>
        <v>168.24027124412979</v>
      </c>
      <c r="Q677" s="1125"/>
      <c r="R677" s="598"/>
      <c r="S677" s="1185">
        <f>'SegP&amp;L'!AI182</f>
        <v>1033</v>
      </c>
      <c r="T677" s="598"/>
      <c r="U677" s="1173">
        <f>S677/L677</f>
        <v>2.1211498973305956</v>
      </c>
      <c r="V677" s="598"/>
      <c r="W677" s="1169">
        <f>(U677/U670-1)*100</f>
        <v>15.466386667919796</v>
      </c>
      <c r="X677" s="1124"/>
      <c r="Y677" s="598"/>
      <c r="Z677" s="1129">
        <f>Stores!AP204</f>
        <v>12.1</v>
      </c>
      <c r="AA677" s="598"/>
      <c r="AB677" s="1214">
        <f>AVERAGE(Z677,Z676)</f>
        <v>12.1</v>
      </c>
      <c r="AC677" s="598"/>
      <c r="AD677" s="1168">
        <f>(AB677/AB670-1)*100</f>
        <v>7.5555555555555598</v>
      </c>
      <c r="AE677" s="1124"/>
      <c r="AF677" s="1171">
        <f>+H677/AD677*100</f>
        <v>188.45202661303679</v>
      </c>
      <c r="AG677" s="1125"/>
      <c r="AH677" s="598"/>
      <c r="AI677" s="1172">
        <f>+S677</f>
        <v>1033</v>
      </c>
      <c r="AJ677" s="598"/>
      <c r="AK677" s="1175">
        <f>AI677/AB677</f>
        <v>85.371900826446279</v>
      </c>
      <c r="AL677" s="598"/>
      <c r="AM677" s="1169">
        <f>(AK677/AK670-1)*100</f>
        <v>16.440844844717461</v>
      </c>
      <c r="AN677" s="1124"/>
      <c r="AP677" s="1193"/>
      <c r="AQ677" s="1193"/>
      <c r="AR677" s="1193"/>
      <c r="AS677" s="1193"/>
      <c r="AT677" s="1193"/>
      <c r="AU677" s="1193"/>
      <c r="AV677" s="1193"/>
      <c r="AW677" s="1193"/>
      <c r="AX677" s="1193"/>
      <c r="AY677" s="1193"/>
      <c r="AZ677" s="1193"/>
      <c r="BA677" s="1193"/>
      <c r="BB677" s="1193"/>
      <c r="BC677" s="1193"/>
      <c r="BD677" s="1193"/>
      <c r="BE677" s="1193"/>
      <c r="BF677" s="1193"/>
      <c r="BG677" s="1193"/>
    </row>
    <row r="678" spans="1:59">
      <c r="A678" s="598"/>
      <c r="B678" s="1157" t="s">
        <v>531</v>
      </c>
      <c r="C678" s="598"/>
      <c r="D678" s="1120">
        <f>(S678/S671-1)*100</f>
        <v>15.973163076528053</v>
      </c>
      <c r="E678" s="598"/>
      <c r="F678" s="1179">
        <f>'SegP&amp;L'!AK183</f>
        <v>7</v>
      </c>
      <c r="G678" s="598"/>
      <c r="H678" s="1120">
        <f>D678-F678</f>
        <v>8.9731630765280528</v>
      </c>
      <c r="I678" s="598"/>
      <c r="J678" s="598"/>
      <c r="K678" s="598"/>
      <c r="L678" s="1128">
        <f>AVERAGE(L674:L677)</f>
        <v>472.5</v>
      </c>
      <c r="M678" s="598"/>
      <c r="N678" s="1120">
        <f>(L678/L671-1)*100</f>
        <v>8.8396199251367769</v>
      </c>
      <c r="O678" s="1124"/>
      <c r="P678" s="1159">
        <f>H678/N678*100</f>
        <v>101.51073408723745</v>
      </c>
      <c r="Q678" s="1125"/>
      <c r="R678" s="598"/>
      <c r="S678" s="1160">
        <f>SUM(S674:S677)</f>
        <v>3414.268</v>
      </c>
      <c r="T678" s="598"/>
      <c r="U678" s="1161">
        <f>SUM(U674:U677)</f>
        <v>7.2097188320163133</v>
      </c>
      <c r="V678" s="598"/>
      <c r="W678" s="1176">
        <f>(U678/U671-1)*100</f>
        <v>6.434651913046574</v>
      </c>
      <c r="X678" s="1124"/>
      <c r="Y678" s="598"/>
      <c r="Z678" s="598"/>
      <c r="AA678" s="598"/>
      <c r="AB678" s="1163">
        <f>AVERAGE(AB674:AB677)</f>
        <v>11.700000000000001</v>
      </c>
      <c r="AC678" s="598"/>
      <c r="AD678" s="1120">
        <f>(AB678/AB671-1)*100</f>
        <v>7.4626865671642006</v>
      </c>
      <c r="AE678" s="1124"/>
      <c r="AF678" s="1159">
        <f>+H678/AD678*100</f>
        <v>120.24038522547555</v>
      </c>
      <c r="AG678" s="1125"/>
      <c r="AH678" s="598"/>
      <c r="AI678" s="1160">
        <f>SUM(AI674:AI677)</f>
        <v>3414.268</v>
      </c>
      <c r="AJ678" s="598"/>
      <c r="AK678" s="1164">
        <f>SUM(AK674:AK677)</f>
        <v>291.1230368165285</v>
      </c>
      <c r="AL678" s="598"/>
      <c r="AM678" s="1176">
        <f>(AK678/AK671-1)*100</f>
        <v>7.7817317615609394</v>
      </c>
      <c r="AN678" s="1124"/>
      <c r="AP678" s="1193"/>
      <c r="AQ678" s="1193"/>
      <c r="AR678" s="1193"/>
      <c r="AS678" s="1193"/>
      <c r="AT678" s="1193"/>
      <c r="AU678" s="1193"/>
      <c r="AV678" s="1193"/>
      <c r="AW678" s="1193"/>
      <c r="AX678" s="1193"/>
      <c r="AY678" s="1193"/>
      <c r="AZ678" s="1193"/>
      <c r="BA678" s="1193"/>
      <c r="BB678" s="1193"/>
      <c r="BC678" s="1193"/>
      <c r="BD678" s="1193"/>
      <c r="BE678" s="1193"/>
      <c r="BF678" s="1193"/>
      <c r="BG678" s="1193"/>
    </row>
    <row r="679" spans="1:59">
      <c r="A679" s="1125"/>
      <c r="B679" s="1210"/>
      <c r="C679" s="1125"/>
      <c r="D679" s="1125"/>
      <c r="E679" s="1125"/>
      <c r="F679" s="1125"/>
      <c r="G679" s="1125"/>
      <c r="H679" s="1125"/>
      <c r="I679" s="1125"/>
      <c r="J679" s="1125"/>
      <c r="K679" s="1125"/>
      <c r="L679" s="1125"/>
      <c r="M679" s="1125"/>
      <c r="N679" s="1125"/>
      <c r="O679" s="1125"/>
      <c r="P679" s="1125"/>
      <c r="Q679" s="1125"/>
      <c r="R679" s="1125"/>
      <c r="S679" s="1125"/>
      <c r="T679" s="1125"/>
      <c r="U679" s="1125"/>
      <c r="V679" s="1125"/>
      <c r="W679" s="1125"/>
      <c r="X679" s="1125"/>
      <c r="Y679" s="1125"/>
      <c r="Z679" s="1125"/>
      <c r="AA679" s="1125"/>
      <c r="AB679" s="1125"/>
      <c r="AC679" s="1125"/>
      <c r="AD679" s="1125"/>
      <c r="AE679" s="1125"/>
      <c r="AF679" s="1125"/>
      <c r="AG679" s="1125"/>
      <c r="AH679" s="1125"/>
      <c r="AI679" s="1125"/>
      <c r="AJ679" s="1125"/>
      <c r="AK679" s="1125"/>
      <c r="AL679" s="1125"/>
      <c r="AM679" s="1125"/>
      <c r="AN679" s="1125"/>
      <c r="AP679" s="1193"/>
      <c r="AQ679" s="1193"/>
      <c r="AR679" s="1193"/>
      <c r="AS679" s="1193"/>
      <c r="AT679" s="1193"/>
      <c r="AU679" s="1193"/>
      <c r="AV679" s="1193"/>
      <c r="AW679" s="1193"/>
      <c r="AX679" s="1193"/>
      <c r="AY679" s="1193"/>
      <c r="AZ679" s="1193"/>
      <c r="BA679" s="1193"/>
      <c r="BB679" s="1193"/>
      <c r="BC679" s="1193"/>
      <c r="BD679" s="1193"/>
      <c r="BE679" s="1193"/>
      <c r="BF679" s="1193"/>
      <c r="BG679" s="1193"/>
    </row>
    <row r="680" spans="1:59">
      <c r="A680" s="1154"/>
      <c r="B680" s="1118">
        <f>+B673+1</f>
        <v>2015</v>
      </c>
      <c r="C680" s="598"/>
      <c r="D680" s="598"/>
      <c r="E680" s="1124"/>
      <c r="F680" s="598"/>
      <c r="G680" s="1124"/>
      <c r="H680" s="598"/>
      <c r="I680" s="1124"/>
      <c r="J680" s="598"/>
      <c r="K680" s="598"/>
      <c r="L680" s="598"/>
      <c r="M680" s="598"/>
      <c r="N680" s="1231"/>
      <c r="O680" s="1124"/>
      <c r="P680" s="1125"/>
      <c r="Q680" s="1125"/>
      <c r="R680" s="598"/>
      <c r="S680" s="1165"/>
      <c r="T680" s="598"/>
      <c r="U680" s="598"/>
      <c r="V680" s="598"/>
      <c r="W680" s="598"/>
      <c r="X680" s="1124"/>
      <c r="Y680" s="598"/>
      <c r="Z680" s="598"/>
      <c r="AA680" s="598"/>
      <c r="AB680" s="598"/>
      <c r="AC680" s="598"/>
      <c r="AD680" s="598"/>
      <c r="AE680" s="1124"/>
      <c r="AF680" s="1125"/>
      <c r="AG680" s="1125"/>
      <c r="AH680" s="598"/>
      <c r="AI680" s="598"/>
      <c r="AJ680" s="598"/>
      <c r="AK680" s="598"/>
      <c r="AL680" s="598"/>
      <c r="AM680" s="598"/>
      <c r="AN680" s="1124"/>
      <c r="AP680" s="1193"/>
      <c r="AQ680" s="1193"/>
      <c r="AR680" s="1193"/>
      <c r="AS680" s="1193"/>
      <c r="AT680" s="1193"/>
      <c r="AU680" s="1193"/>
      <c r="AV680" s="1193"/>
      <c r="AW680" s="1193"/>
      <c r="AX680" s="1193"/>
      <c r="AY680" s="1193"/>
      <c r="AZ680" s="1193"/>
      <c r="BA680" s="1193"/>
      <c r="BB680" s="1193"/>
      <c r="BC680" s="1193"/>
      <c r="BD680" s="1193"/>
      <c r="BE680" s="1193"/>
      <c r="BF680" s="1193"/>
      <c r="BG680" s="1193"/>
    </row>
    <row r="681" spans="1:59">
      <c r="A681" s="598" t="s">
        <v>527</v>
      </c>
      <c r="B681" s="1157" t="s">
        <v>514</v>
      </c>
      <c r="C681" s="598"/>
      <c r="D681" s="1120">
        <f>(S681/S674-1)*100</f>
        <v>16.250501880732003</v>
      </c>
      <c r="E681" s="1124" t="s">
        <v>190</v>
      </c>
      <c r="F681" s="1179">
        <f>'SegP&amp;L'!AK186</f>
        <v>9</v>
      </c>
      <c r="G681" s="1124" t="s">
        <v>190</v>
      </c>
      <c r="H681" s="1120">
        <f>D681-F681</f>
        <v>7.2505018807320027</v>
      </c>
      <c r="I681" s="598"/>
      <c r="J681" s="1206">
        <f>Stores!AM208</f>
        <v>498</v>
      </c>
      <c r="K681" s="1127"/>
      <c r="L681" s="1167">
        <f>AVERAGE(J681,J677)</f>
        <v>492.5</v>
      </c>
      <c r="M681" s="598"/>
      <c r="N681" s="1120">
        <f>(L681/L674-1)*100</f>
        <v>8.4801762114537382</v>
      </c>
      <c r="O681" s="1124"/>
      <c r="P681" s="1159">
        <f>H681/N681*100</f>
        <v>85.499424775385236</v>
      </c>
      <c r="Q681" s="1125"/>
      <c r="R681" s="598"/>
      <c r="S681" s="1160">
        <f>'SegP&amp;L'!AI186</f>
        <v>880.19299999999998</v>
      </c>
      <c r="T681" s="598"/>
      <c r="U681" s="1161">
        <f>S681/L681</f>
        <v>1.7871939086294415</v>
      </c>
      <c r="V681" s="598"/>
      <c r="W681" s="1176">
        <f>(U681/U674-1)*100</f>
        <v>7.1628991956392385</v>
      </c>
      <c r="X681" s="1124" t="s">
        <v>190</v>
      </c>
      <c r="Y681" s="598"/>
      <c r="Z681" s="1129">
        <f>Stores!AP208</f>
        <v>12.4</v>
      </c>
      <c r="AA681" s="598"/>
      <c r="AB681" s="1163">
        <f>AVERAGE(Z681,Z677)</f>
        <v>12.25</v>
      </c>
      <c r="AC681" s="598"/>
      <c r="AD681" s="1120">
        <f>(AB681/AB674-1)*100</f>
        <v>7.9295154185021977</v>
      </c>
      <c r="AE681" s="1124" t="s">
        <v>190</v>
      </c>
      <c r="AF681" s="1159">
        <f>+H681/AD681*100</f>
        <v>91.436884829231417</v>
      </c>
      <c r="AG681" s="1125" t="s">
        <v>190</v>
      </c>
      <c r="AH681" s="598"/>
      <c r="AI681" s="1160">
        <f>+S681</f>
        <v>880.19299999999998</v>
      </c>
      <c r="AJ681" s="598"/>
      <c r="AK681" s="1164">
        <f>AI681/AB681</f>
        <v>71.852489795918359</v>
      </c>
      <c r="AL681" s="598"/>
      <c r="AM681" s="1176">
        <f>(AK681/AK674-1)*100</f>
        <v>7.7096486813312826</v>
      </c>
      <c r="AN681" s="1124" t="s">
        <v>190</v>
      </c>
      <c r="AP681" s="1193"/>
      <c r="AQ681" s="1193"/>
      <c r="AR681" s="1193"/>
      <c r="AS681" s="1193"/>
      <c r="AT681" s="1193"/>
      <c r="AU681" s="1193"/>
      <c r="AV681" s="1193"/>
      <c r="AW681" s="1193"/>
      <c r="AX681" s="1193"/>
      <c r="AY681" s="1193"/>
      <c r="AZ681" s="1193"/>
      <c r="BA681" s="1193"/>
      <c r="BB681" s="1193"/>
      <c r="BC681" s="1193"/>
      <c r="BD681" s="1193"/>
      <c r="BE681" s="1193"/>
      <c r="BF681" s="1193"/>
      <c r="BG681" s="1193"/>
    </row>
    <row r="682" spans="1:59">
      <c r="A682" s="598" t="s">
        <v>528</v>
      </c>
      <c r="B682" s="1157" t="s">
        <v>515</v>
      </c>
      <c r="C682" s="598"/>
      <c r="D682" s="1120">
        <f>(S682/S675-1)*100</f>
        <v>15.820927185213263</v>
      </c>
      <c r="E682" s="598" t="s">
        <v>190</v>
      </c>
      <c r="F682" s="1179">
        <f>'SegP&amp;L'!AK187</f>
        <v>9</v>
      </c>
      <c r="G682" s="598"/>
      <c r="H682" s="1120">
        <f>D682-F682</f>
        <v>6.8209271852132627</v>
      </c>
      <c r="I682" s="598"/>
      <c r="J682" s="598">
        <f>Stores!AM209</f>
        <v>503</v>
      </c>
      <c r="K682" s="1127"/>
      <c r="L682" s="1167">
        <f>AVERAGE(J682,J681)</f>
        <v>500.5</v>
      </c>
      <c r="M682" s="598"/>
      <c r="N682" s="1120">
        <f>(L682/L675-1)*100</f>
        <v>7.8663793103448176</v>
      </c>
      <c r="O682" s="1124"/>
      <c r="P682" s="1159">
        <f>H682/N682*100</f>
        <v>86.709868875039945</v>
      </c>
      <c r="Q682" s="1125"/>
      <c r="R682" s="598"/>
      <c r="S682" s="1165">
        <f>'SegP&amp;L'!AI187</f>
        <v>895.37800000000004</v>
      </c>
      <c r="T682" s="598"/>
      <c r="U682" s="1166">
        <f>S682/L682</f>
        <v>1.7889670329670331</v>
      </c>
      <c r="V682" s="598"/>
      <c r="W682" s="1176">
        <f>(U682/U675-1)*100</f>
        <v>7.3744459818960273</v>
      </c>
      <c r="X682" s="1124"/>
      <c r="Y682" s="598"/>
      <c r="Z682" s="1129">
        <f>Stores!AP209</f>
        <v>12.4</v>
      </c>
      <c r="AA682" s="1127"/>
      <c r="AB682" s="1163">
        <f>AVERAGE(Z682,Z681)</f>
        <v>12.4</v>
      </c>
      <c r="AC682" s="598"/>
      <c r="AD682" s="1120">
        <f>(AB682/AB675-1)*100</f>
        <v>7.8260869565217384</v>
      </c>
      <c r="AE682" s="1124"/>
      <c r="AF682" s="1159">
        <f>+H682/AD682*100</f>
        <v>87.156291811058367</v>
      </c>
      <c r="AG682" s="1125"/>
      <c r="AH682" s="598"/>
      <c r="AI682" s="1165">
        <f>+S682</f>
        <v>895.37800000000004</v>
      </c>
      <c r="AJ682" s="598"/>
      <c r="AK682" s="1167">
        <f>AI682/AB682</f>
        <v>72.207903225806447</v>
      </c>
      <c r="AL682" s="598"/>
      <c r="AM682" s="1176">
        <f>(AK682/AK675-1)*100</f>
        <v>7.4145695669316281</v>
      </c>
      <c r="AN682" s="1124"/>
      <c r="AP682" s="1193"/>
      <c r="AQ682" s="1193"/>
      <c r="AR682" s="1193"/>
      <c r="AS682" s="1193"/>
      <c r="AT682" s="1193"/>
      <c r="AU682" s="1193"/>
      <c r="AV682" s="1193"/>
      <c r="AW682" s="1193"/>
      <c r="AX682" s="1193"/>
      <c r="AY682" s="1193"/>
      <c r="AZ682" s="1193"/>
      <c r="BA682" s="1193"/>
      <c r="BB682" s="1193"/>
      <c r="BC682" s="1193"/>
      <c r="BD682" s="1193"/>
      <c r="BE682" s="1193"/>
      <c r="BF682" s="1193"/>
      <c r="BG682" s="1193"/>
    </row>
    <row r="683" spans="1:59">
      <c r="A683" s="598" t="s">
        <v>529</v>
      </c>
      <c r="B683" s="1157" t="s">
        <v>516</v>
      </c>
      <c r="C683" s="598"/>
      <c r="D683" s="1120">
        <f>(S683/S676-1)*100</f>
        <v>12.784165349658384</v>
      </c>
      <c r="E683" s="598"/>
      <c r="F683" s="1179">
        <f>'SegP&amp;L'!AK188</f>
        <v>6</v>
      </c>
      <c r="G683" s="598"/>
      <c r="H683" s="1120">
        <f>D683-F683</f>
        <v>6.7841653496583838</v>
      </c>
      <c r="I683" s="598"/>
      <c r="J683" s="598">
        <f>Stores!AM210</f>
        <v>522</v>
      </c>
      <c r="K683" s="1127"/>
      <c r="L683" s="1167">
        <f>AVERAGE(J683,J682)</f>
        <v>512.5</v>
      </c>
      <c r="M683" s="598"/>
      <c r="N683" s="1120">
        <f>(L683/L676-1)*100</f>
        <v>5.6701030927835072</v>
      </c>
      <c r="O683" s="1124"/>
      <c r="P683" s="1159">
        <f>H683/N683*100</f>
        <v>119.64800707579326</v>
      </c>
      <c r="Q683" s="1125"/>
      <c r="R683" s="598"/>
      <c r="S683" s="1165">
        <f>'SegP&amp;L'!AI188</f>
        <v>959.84400000000005</v>
      </c>
      <c r="T683" s="598"/>
      <c r="U683" s="1166">
        <f>S683/L683</f>
        <v>1.8728663414634148</v>
      </c>
      <c r="V683" s="598"/>
      <c r="W683" s="1176">
        <f>(U683/U676-1)*100</f>
        <v>6.7323320869937753</v>
      </c>
      <c r="X683" s="1124"/>
      <c r="Y683" s="598"/>
      <c r="Z683" s="1129">
        <f>Stores!AP210</f>
        <v>12.9</v>
      </c>
      <c r="AA683" s="1127"/>
      <c r="AB683" s="1163">
        <f>AVERAGE(Z683,Z682)</f>
        <v>12.65</v>
      </c>
      <c r="AC683" s="598"/>
      <c r="AD683" s="1120">
        <f>(AB683/AB676-1)*100</f>
        <v>6.7510548523206815</v>
      </c>
      <c r="AE683" s="1124"/>
      <c r="AF683" s="1159">
        <f>+H683/AD683*100</f>
        <v>100.49044924181472</v>
      </c>
      <c r="AG683" s="1125"/>
      <c r="AH683" s="598"/>
      <c r="AI683" s="1165">
        <f>+S683</f>
        <v>959.84400000000005</v>
      </c>
      <c r="AJ683" s="598"/>
      <c r="AK683" s="1167">
        <f>AI683/AB683</f>
        <v>75.876996047430836</v>
      </c>
      <c r="AL683" s="598"/>
      <c r="AM683" s="1176">
        <f>(AK683/AK676-1)*100</f>
        <v>5.6515699125258445</v>
      </c>
      <c r="AN683" s="1124"/>
      <c r="AP683" s="1193"/>
      <c r="AQ683" s="1193"/>
      <c r="AR683" s="1193"/>
      <c r="AS683" s="1193"/>
      <c r="AT683" s="1193"/>
      <c r="AU683" s="1193"/>
      <c r="AV683" s="1193"/>
      <c r="AW683" s="1193"/>
      <c r="AX683" s="1193"/>
      <c r="AY683" s="1193"/>
      <c r="AZ683" s="1193"/>
      <c r="BA683" s="1193"/>
      <c r="BB683" s="1193"/>
      <c r="BC683" s="1193"/>
      <c r="BD683" s="1193"/>
      <c r="BE683" s="1193"/>
      <c r="BF683" s="1193"/>
      <c r="BG683" s="1193"/>
    </row>
    <row r="684" spans="1:59" ht="15">
      <c r="A684" s="598" t="s">
        <v>530</v>
      </c>
      <c r="B684" s="1157" t="s">
        <v>517</v>
      </c>
      <c r="C684" s="598"/>
      <c r="D684" s="1168">
        <f>(S684/S677-1)*100</f>
        <v>14.211616650532433</v>
      </c>
      <c r="E684" s="598"/>
      <c r="F684" s="1178">
        <f>'SegP&amp;L'!AK189</f>
        <v>7</v>
      </c>
      <c r="G684" s="598"/>
      <c r="H684" s="1168">
        <f>D684-F684</f>
        <v>7.2116166505324326</v>
      </c>
      <c r="I684" s="598"/>
      <c r="J684" s="598">
        <f>Stores!AM211</f>
        <v>526</v>
      </c>
      <c r="K684" s="1127"/>
      <c r="L684" s="1171">
        <f>AVERAGE(J684,J683)</f>
        <v>524</v>
      </c>
      <c r="M684" s="598"/>
      <c r="N684" s="1168">
        <f>(L684/L677-1)*100</f>
        <v>7.5975359342915771</v>
      </c>
      <c r="O684" s="1124"/>
      <c r="P684" s="1171">
        <f>H684/N684*100</f>
        <v>94.920467805656656</v>
      </c>
      <c r="Q684" s="1125"/>
      <c r="R684" s="598"/>
      <c r="S684" s="1185">
        <f>'SegP&amp;L'!AI189</f>
        <v>1179.806</v>
      </c>
      <c r="T684" s="598"/>
      <c r="U684" s="1173">
        <f>S684/L684</f>
        <v>2.2515381679389312</v>
      </c>
      <c r="V684" s="598"/>
      <c r="W684" s="1169">
        <f>(U684/U677-1)*100</f>
        <v>6.1470559328421492</v>
      </c>
      <c r="X684" s="1124"/>
      <c r="Y684" s="598"/>
      <c r="Z684" s="1129">
        <f>Stores!AP211</f>
        <v>13</v>
      </c>
      <c r="AA684" s="1127"/>
      <c r="AB684" s="1174">
        <f>AVERAGE(Z684,Z683)</f>
        <v>12.95</v>
      </c>
      <c r="AC684" s="598"/>
      <c r="AD684" s="1168">
        <f>(AB684/AB677-1)*100</f>
        <v>7.0247933884297398</v>
      </c>
      <c r="AE684" s="1124"/>
      <c r="AF684" s="1171">
        <f>+H684/AD684*100</f>
        <v>102.65948408405011</v>
      </c>
      <c r="AG684" s="1125"/>
      <c r="AH684" s="598"/>
      <c r="AI684" s="1172">
        <f>+S684</f>
        <v>1179.806</v>
      </c>
      <c r="AJ684" s="598"/>
      <c r="AK684" s="1175">
        <f>AI684/AB684</f>
        <v>91.104710424710433</v>
      </c>
      <c r="AL684" s="598"/>
      <c r="AM684" s="1169">
        <f>(AK684/AK677-1)*100</f>
        <v>6.7151012719260716</v>
      </c>
      <c r="AN684" s="1124"/>
      <c r="AP684" s="1193"/>
      <c r="AQ684" s="1193"/>
      <c r="AR684" s="1193"/>
      <c r="AS684" s="1193"/>
      <c r="AT684" s="1193"/>
      <c r="AU684" s="1193"/>
      <c r="AV684" s="1193"/>
      <c r="AW684" s="1193"/>
      <c r="AX684" s="1193"/>
      <c r="AY684" s="1193"/>
      <c r="AZ684" s="1193"/>
      <c r="BA684" s="1193"/>
      <c r="BB684" s="1193"/>
      <c r="BC684" s="1193"/>
      <c r="BD684" s="1193"/>
      <c r="BE684" s="1193"/>
      <c r="BF684" s="1193"/>
      <c r="BG684" s="1193"/>
    </row>
    <row r="685" spans="1:59">
      <c r="A685" s="598"/>
      <c r="B685" s="1157" t="s">
        <v>531</v>
      </c>
      <c r="C685" s="598"/>
      <c r="D685" s="1120">
        <f>(S685/S678-1)*100</f>
        <v>14.672339722599403</v>
      </c>
      <c r="E685" s="598"/>
      <c r="F685" s="1179">
        <f>'SegP&amp;L'!AK190</f>
        <v>8</v>
      </c>
      <c r="G685" s="598"/>
      <c r="H685" s="1120">
        <f>D685-F685</f>
        <v>6.6723397225994034</v>
      </c>
      <c r="I685" s="598"/>
      <c r="J685" s="598"/>
      <c r="K685" s="598"/>
      <c r="L685" s="1128">
        <f>AVERAGE(L681:L684)</f>
        <v>507.375</v>
      </c>
      <c r="M685" s="598"/>
      <c r="N685" s="1120">
        <f>(L685/L678-1)*100</f>
        <v>7.3809523809523769</v>
      </c>
      <c r="O685" s="1124"/>
      <c r="P685" s="1159">
        <f>H685/N685*100</f>
        <v>90.39944140295971</v>
      </c>
      <c r="Q685" s="1125"/>
      <c r="R685" s="598"/>
      <c r="S685" s="1160">
        <f>SUM(S681:S684)</f>
        <v>3915.221</v>
      </c>
      <c r="T685" s="598"/>
      <c r="U685" s="1161">
        <f>SUM(U681:U684)</f>
        <v>7.7005654509988206</v>
      </c>
      <c r="V685" s="598"/>
      <c r="W685" s="1176">
        <f>(U685/U678-1)*100</f>
        <v>6.8081242891580906</v>
      </c>
      <c r="X685" s="1124"/>
      <c r="Y685" s="598"/>
      <c r="Z685" s="598"/>
      <c r="AA685" s="598"/>
      <c r="AB685" s="1163">
        <f>AVERAGE(AB681:AB684)</f>
        <v>12.5625</v>
      </c>
      <c r="AC685" s="598"/>
      <c r="AD685" s="1120">
        <f>(AB685/AB678-1)*100</f>
        <v>7.3717948717948678</v>
      </c>
      <c r="AE685" s="1124"/>
      <c r="AF685" s="1159">
        <f>+H685/AD685*100</f>
        <v>90.5117388456963</v>
      </c>
      <c r="AG685" s="1125"/>
      <c r="AH685" s="598"/>
      <c r="AI685" s="1160">
        <f>SUM(AI681:AI684)</f>
        <v>3915.221</v>
      </c>
      <c r="AJ685" s="598"/>
      <c r="AK685" s="1164">
        <f>SUM(AK681:AK684)</f>
        <v>311.04209949386609</v>
      </c>
      <c r="AL685" s="598"/>
      <c r="AM685" s="1176">
        <f>(AK685/AK678-1)*100</f>
        <v>6.8421458140706992</v>
      </c>
      <c r="AN685" s="1124"/>
      <c r="AP685" s="1193"/>
      <c r="AQ685" s="1193"/>
      <c r="AR685" s="1193"/>
      <c r="AS685" s="1193"/>
      <c r="AT685" s="1193"/>
      <c r="AU685" s="1193"/>
      <c r="AV685" s="1193"/>
      <c r="AW685" s="1193"/>
      <c r="AX685" s="1193"/>
      <c r="AY685" s="1193"/>
      <c r="AZ685" s="1193"/>
      <c r="BA685" s="1193"/>
      <c r="BB685" s="1193"/>
      <c r="BC685" s="1193"/>
      <c r="BD685" s="1193"/>
      <c r="BE685" s="1193"/>
      <c r="BF685" s="1193"/>
      <c r="BG685" s="1193"/>
    </row>
    <row r="686" spans="1:59" ht="6.75" customHeight="1">
      <c r="A686" s="1125"/>
      <c r="B686" s="1210"/>
      <c r="C686" s="1125"/>
      <c r="D686" s="1125"/>
      <c r="E686" s="1125"/>
      <c r="F686" s="1125"/>
      <c r="G686" s="1125"/>
      <c r="H686" s="1125"/>
      <c r="I686" s="1125"/>
      <c r="J686" s="1125"/>
      <c r="K686" s="1125"/>
      <c r="L686" s="1125"/>
      <c r="M686" s="1125"/>
      <c r="N686" s="1232"/>
      <c r="O686" s="1125"/>
      <c r="P686" s="1125"/>
      <c r="Q686" s="1125"/>
      <c r="R686" s="1125"/>
      <c r="S686" s="1233"/>
      <c r="T686" s="1125"/>
      <c r="U686" s="1125"/>
      <c r="V686" s="1125"/>
      <c r="W686" s="1125"/>
      <c r="X686" s="1125"/>
      <c r="Y686" s="1125"/>
      <c r="Z686" s="1125"/>
      <c r="AA686" s="1125"/>
      <c r="AB686" s="1125"/>
      <c r="AC686" s="1125"/>
      <c r="AD686" s="1125"/>
      <c r="AE686" s="1125"/>
      <c r="AF686" s="1125"/>
      <c r="AG686" s="1125"/>
      <c r="AH686" s="1125"/>
      <c r="AI686" s="1125"/>
      <c r="AJ686" s="1125"/>
      <c r="AK686" s="1125"/>
      <c r="AL686" s="1125"/>
      <c r="AM686" s="1125"/>
      <c r="AN686" s="1125"/>
      <c r="AP686" s="1193"/>
      <c r="AQ686" s="1193"/>
      <c r="AR686" s="1193"/>
      <c r="AS686" s="1193"/>
      <c r="AT686" s="1193"/>
      <c r="AU686" s="1193"/>
      <c r="AV686" s="1193"/>
      <c r="AW686" s="1193"/>
      <c r="AX686" s="1193"/>
      <c r="AY686" s="1193"/>
      <c r="AZ686" s="1193"/>
      <c r="BA686" s="1193"/>
      <c r="BB686" s="1193"/>
      <c r="BC686" s="1193"/>
      <c r="BD686" s="1193"/>
      <c r="BE686" s="1193"/>
      <c r="BF686" s="1193"/>
      <c r="BG686" s="1193"/>
    </row>
    <row r="687" spans="1:59">
      <c r="A687" s="1154"/>
      <c r="B687" s="1155">
        <f>+B680+1</f>
        <v>2016</v>
      </c>
      <c r="C687" s="598"/>
      <c r="D687" s="598"/>
      <c r="E687" s="1124"/>
      <c r="F687" s="598"/>
      <c r="G687" s="1124"/>
      <c r="H687" s="598"/>
      <c r="I687" s="1124"/>
      <c r="J687" s="598"/>
      <c r="K687" s="598"/>
      <c r="L687" s="598"/>
      <c r="M687" s="598"/>
      <c r="N687" s="598"/>
      <c r="O687" s="1124"/>
      <c r="P687" s="1125"/>
      <c r="Q687" s="1125"/>
      <c r="R687" s="598"/>
      <c r="S687" s="1165"/>
      <c r="T687" s="598"/>
      <c r="U687" s="598"/>
      <c r="V687" s="598"/>
      <c r="W687" s="598"/>
      <c r="X687" s="1124"/>
      <c r="Y687" s="598"/>
      <c r="Z687" s="598"/>
      <c r="AA687" s="598"/>
      <c r="AB687" s="598"/>
      <c r="AC687" s="598"/>
      <c r="AD687" s="598"/>
      <c r="AE687" s="1124"/>
      <c r="AF687" s="1125"/>
      <c r="AG687" s="1125"/>
      <c r="AH687" s="598"/>
      <c r="AI687" s="598"/>
      <c r="AJ687" s="598"/>
      <c r="AK687" s="598"/>
      <c r="AL687" s="598"/>
      <c r="AM687" s="598"/>
      <c r="AN687" s="1124"/>
      <c r="AP687" s="1193"/>
      <c r="AQ687" s="1193"/>
      <c r="AR687" s="1193"/>
      <c r="AS687" s="1193"/>
      <c r="AT687" s="1193"/>
      <c r="AU687" s="1193"/>
      <c r="AV687" s="1193"/>
      <c r="AW687" s="1193"/>
      <c r="AX687" s="1193"/>
      <c r="AY687" s="1193"/>
      <c r="AZ687" s="1193"/>
      <c r="BA687" s="1193"/>
      <c r="BB687" s="1193"/>
      <c r="BC687" s="1193"/>
      <c r="BD687" s="1193"/>
      <c r="BE687" s="1193"/>
      <c r="BF687" s="1193"/>
      <c r="BG687" s="1193"/>
    </row>
    <row r="688" spans="1:59">
      <c r="A688" s="598" t="s">
        <v>527</v>
      </c>
      <c r="B688" s="1157" t="s">
        <v>514</v>
      </c>
      <c r="C688" s="598"/>
      <c r="D688" s="1120">
        <f>(S688/S681-1)*100</f>
        <v>14.797095636979618</v>
      </c>
      <c r="E688" s="1124" t="s">
        <v>190</v>
      </c>
      <c r="F688" s="1179">
        <f>'SegP&amp;L'!$AK193</f>
        <v>9</v>
      </c>
      <c r="G688" s="1124" t="s">
        <v>190</v>
      </c>
      <c r="H688" s="1120">
        <f>D688-F688</f>
        <v>5.797095636979618</v>
      </c>
      <c r="I688" s="598"/>
      <c r="J688" s="1206">
        <f>Stores!AM215</f>
        <v>534</v>
      </c>
      <c r="K688" s="1127"/>
      <c r="L688" s="1167">
        <f>AVERAGE(J688,J684)</f>
        <v>530</v>
      </c>
      <c r="M688" s="598"/>
      <c r="N688" s="1120">
        <f>(L688/L681-1)*100</f>
        <v>7.6142131979695327</v>
      </c>
      <c r="O688" s="1124"/>
      <c r="P688" s="1159">
        <f>H688/N688*100</f>
        <v>76.135189365665752</v>
      </c>
      <c r="Q688" s="1125"/>
      <c r="R688" s="598"/>
      <c r="S688" s="1160">
        <f>'SegP&amp;L'!$AI193</f>
        <v>1010.436</v>
      </c>
      <c r="T688" s="598"/>
      <c r="U688" s="1161">
        <f>S688/L688</f>
        <v>1.9064830188679247</v>
      </c>
      <c r="V688" s="598"/>
      <c r="W688" s="1176">
        <f>(U688/U681-1)*100</f>
        <v>6.6746596249291912</v>
      </c>
      <c r="X688" s="1124" t="s">
        <v>190</v>
      </c>
      <c r="Y688" s="598"/>
      <c r="Z688" s="1129">
        <f>Stores!AP215</f>
        <v>13.2</v>
      </c>
      <c r="AA688" s="598"/>
      <c r="AB688" s="1163">
        <f>AVERAGE(Z688,Z684)</f>
        <v>13.1</v>
      </c>
      <c r="AC688" s="598"/>
      <c r="AD688" s="1120">
        <f>(AB688/AB681-1)*100</f>
        <v>6.938775510204076</v>
      </c>
      <c r="AE688" s="1124" t="s">
        <v>190</v>
      </c>
      <c r="AF688" s="1159">
        <f>+H688/AD688*100</f>
        <v>83.546378297647507</v>
      </c>
      <c r="AG688" s="1125" t="s">
        <v>190</v>
      </c>
      <c r="AH688" s="598"/>
      <c r="AI688" s="1160">
        <f>+S688</f>
        <v>1010.436</v>
      </c>
      <c r="AJ688" s="598"/>
      <c r="AK688" s="1164">
        <f>AI688/AB688</f>
        <v>77.13251908396947</v>
      </c>
      <c r="AL688" s="598"/>
      <c r="AM688" s="1176">
        <f>(AK688/AK681-1)*100</f>
        <v>7.3484291261832535</v>
      </c>
      <c r="AN688" s="1124" t="s">
        <v>190</v>
      </c>
      <c r="AP688" s="1193"/>
      <c r="AQ688" s="1193"/>
      <c r="AR688" s="1193"/>
      <c r="AS688" s="1193"/>
      <c r="AT688" s="1193"/>
      <c r="AU688" s="1193"/>
      <c r="AV688" s="1193"/>
      <c r="AW688" s="1193"/>
      <c r="AX688" s="1193"/>
      <c r="AY688" s="1193"/>
      <c r="AZ688" s="1193"/>
      <c r="BA688" s="1193"/>
      <c r="BB688" s="1193"/>
      <c r="BC688" s="1193"/>
      <c r="BD688" s="1193"/>
      <c r="BE688" s="1193"/>
      <c r="BF688" s="1193"/>
      <c r="BG688" s="1193"/>
    </row>
    <row r="689" spans="1:59">
      <c r="A689" s="598" t="s">
        <v>528</v>
      </c>
      <c r="B689" s="1157" t="s">
        <v>515</v>
      </c>
      <c r="C689" s="598"/>
      <c r="D689" s="1120">
        <f>(S689/S682-1)*100</f>
        <v>10.195135462341032</v>
      </c>
      <c r="E689" s="598" t="s">
        <v>190</v>
      </c>
      <c r="F689" s="1179">
        <f>'SegP&amp;L'!$AK194</f>
        <v>5</v>
      </c>
      <c r="G689" s="598"/>
      <c r="H689" s="1120">
        <f>D689-F689</f>
        <v>5.1951354623410317</v>
      </c>
      <c r="I689" s="598"/>
      <c r="J689" s="598">
        <f>Stores!AM216</f>
        <v>538</v>
      </c>
      <c r="K689" s="1127"/>
      <c r="L689" s="1167">
        <f>AVERAGE(J689,J688)</f>
        <v>536</v>
      </c>
      <c r="M689" s="598"/>
      <c r="N689" s="1120">
        <f>(L689/L682-1)*100</f>
        <v>7.0929070929070859</v>
      </c>
      <c r="O689" s="1124"/>
      <c r="P689" s="1159">
        <f>H689/N689*100</f>
        <v>73.244092926808136</v>
      </c>
      <c r="Q689" s="1125"/>
      <c r="R689" s="598"/>
      <c r="S689" s="1165">
        <f>'SegP&amp;L'!$AI194</f>
        <v>986.66300000000001</v>
      </c>
      <c r="T689" s="598"/>
      <c r="U689" s="1166">
        <f>S689/L689</f>
        <v>1.8407891791044777</v>
      </c>
      <c r="V689" s="598"/>
      <c r="W689" s="1176">
        <f>(U689/U682-1)*100</f>
        <v>2.8967636173538924</v>
      </c>
      <c r="X689" s="1124"/>
      <c r="Y689" s="598"/>
      <c r="Z689" s="1129">
        <f>Stores!AP216</f>
        <v>13.3</v>
      </c>
      <c r="AA689" s="1127"/>
      <c r="AB689" s="1163">
        <f>AVERAGE(Z689,Z688)</f>
        <v>13.25</v>
      </c>
      <c r="AC689" s="598"/>
      <c r="AD689" s="1120">
        <f>(AB689/AB682-1)*100</f>
        <v>6.8548387096774244</v>
      </c>
      <c r="AE689" s="1124"/>
      <c r="AF689" s="1159">
        <f>+H689/AD689*100</f>
        <v>75.787858509445584</v>
      </c>
      <c r="AG689" s="1125"/>
      <c r="AH689" s="598"/>
      <c r="AI689" s="1165">
        <f>+S689</f>
        <v>986.66300000000001</v>
      </c>
      <c r="AJ689" s="598"/>
      <c r="AK689" s="1167">
        <f>AI689/AB689</f>
        <v>74.465132075471701</v>
      </c>
      <c r="AL689" s="598"/>
      <c r="AM689" s="1176">
        <f>(AK689/AK682-1)*100</f>
        <v>3.1260135647569021</v>
      </c>
      <c r="AN689" s="1124"/>
      <c r="AP689" s="1193"/>
      <c r="AQ689" s="1193"/>
      <c r="AR689" s="1193"/>
      <c r="AS689" s="1193"/>
      <c r="AT689" s="1193"/>
      <c r="AU689" s="1193"/>
      <c r="AV689" s="1193"/>
      <c r="AW689" s="1193"/>
      <c r="AX689" s="1193"/>
      <c r="AY689" s="1193"/>
      <c r="AZ689" s="1193"/>
      <c r="BA689" s="1193"/>
      <c r="BB689" s="1193"/>
      <c r="BC689" s="1193"/>
      <c r="BD689" s="1193"/>
      <c r="BE689" s="1193"/>
      <c r="BF689" s="1193"/>
      <c r="BG689" s="1193"/>
    </row>
    <row r="690" spans="1:59">
      <c r="A690" s="598" t="s">
        <v>529</v>
      </c>
      <c r="B690" s="1157" t="s">
        <v>516</v>
      </c>
      <c r="C690" s="598"/>
      <c r="D690" s="1120">
        <f>(S690/S683-1)*100</f>
        <v>12.348777509678666</v>
      </c>
      <c r="E690" s="598"/>
      <c r="F690" s="1179">
        <f>'SegP&amp;L'!$AK195</f>
        <v>6</v>
      </c>
      <c r="G690" s="598"/>
      <c r="H690" s="1120">
        <f>D690-F690</f>
        <v>6.3487775096786656</v>
      </c>
      <c r="I690" s="598"/>
      <c r="J690" s="598">
        <f>Stores!AM217</f>
        <v>568</v>
      </c>
      <c r="K690" s="1127"/>
      <c r="L690" s="1167">
        <f>AVERAGE(J690,J689)</f>
        <v>553</v>
      </c>
      <c r="M690" s="598"/>
      <c r="N690" s="1120">
        <f>(L690/L683-1)*100</f>
        <v>7.9024390243902509</v>
      </c>
      <c r="O690" s="1124"/>
      <c r="P690" s="1159">
        <f>H690/N690*100</f>
        <v>80.339468486674406</v>
      </c>
      <c r="Q690" s="1125"/>
      <c r="R690" s="598"/>
      <c r="S690" s="1233">
        <f>'SegP&amp;L'!$AI195</f>
        <v>1078.373</v>
      </c>
      <c r="T690" s="598"/>
      <c r="U690" s="1166">
        <f>S690/L690</f>
        <v>1.9500415913200724</v>
      </c>
      <c r="V690" s="598"/>
      <c r="W690" s="1176">
        <f>(U690/U683-1)*100</f>
        <v>4.1207024841054318</v>
      </c>
      <c r="X690" s="1124"/>
      <c r="Y690" s="598"/>
      <c r="Z690" s="1129">
        <f>Stores!AP217</f>
        <v>13.9</v>
      </c>
      <c r="AA690" s="1127"/>
      <c r="AB690" s="1163">
        <f>AVERAGE(Z690,Z689)</f>
        <v>13.600000000000001</v>
      </c>
      <c r="AC690" s="598"/>
      <c r="AD690" s="1120">
        <f>(AB690/AB683-1)*100</f>
        <v>7.5098814229249022</v>
      </c>
      <c r="AE690" s="1124"/>
      <c r="AF690" s="1159">
        <f>+H690/AD690*100</f>
        <v>84.538984734142218</v>
      </c>
      <c r="AG690" s="1125"/>
      <c r="AH690" s="598"/>
      <c r="AI690" s="1165">
        <f>+S690</f>
        <v>1078.373</v>
      </c>
      <c r="AJ690" s="598"/>
      <c r="AK690" s="1167">
        <f>AI690/AB690</f>
        <v>79.292132352941167</v>
      </c>
      <c r="AL690" s="598"/>
      <c r="AM690" s="1176">
        <f>(AK690/AK683-1)*100</f>
        <v>4.5008849630466585</v>
      </c>
      <c r="AN690" s="1124"/>
      <c r="AP690" s="1193"/>
      <c r="AQ690" s="1193"/>
      <c r="AR690" s="1193"/>
      <c r="AS690" s="1193"/>
      <c r="AT690" s="1193"/>
      <c r="AU690" s="1193"/>
      <c r="AV690" s="1193"/>
      <c r="AW690" s="1193"/>
      <c r="AX690" s="1193"/>
      <c r="AY690" s="1193"/>
      <c r="AZ690" s="1193"/>
      <c r="BA690" s="1193"/>
      <c r="BB690" s="1193"/>
      <c r="BC690" s="1193"/>
      <c r="BD690" s="1193"/>
      <c r="BE690" s="1193"/>
      <c r="BF690" s="1193"/>
      <c r="BG690" s="1193"/>
    </row>
    <row r="691" spans="1:59">
      <c r="A691" s="598" t="s">
        <v>530</v>
      </c>
      <c r="B691" s="1157" t="s">
        <v>517</v>
      </c>
      <c r="C691" s="598"/>
      <c r="D691" s="1168">
        <f>(S691/S684-1)*100</f>
        <v>12.65708090991231</v>
      </c>
      <c r="E691" s="598"/>
      <c r="F691" s="1178">
        <f>'SegP&amp;L'!$AK196</f>
        <v>5</v>
      </c>
      <c r="G691" s="598"/>
      <c r="H691" s="1168">
        <f>D691-F691</f>
        <v>7.6570809099123096</v>
      </c>
      <c r="I691" s="598"/>
      <c r="J691" s="598">
        <f>Stores!AM218</f>
        <v>579</v>
      </c>
      <c r="K691" s="1127"/>
      <c r="L691" s="1171">
        <f>AVERAGE(J691,J690)</f>
        <v>573.5</v>
      </c>
      <c r="M691" s="598"/>
      <c r="N691" s="1168">
        <f>(L691/L684-1)*100</f>
        <v>9.4465648854961781</v>
      </c>
      <c r="O691" s="1124"/>
      <c r="P691" s="1171">
        <f>H691/N691*100</f>
        <v>81.05677569280914</v>
      </c>
      <c r="Q691" s="1125"/>
      <c r="R691" s="598"/>
      <c r="S691" s="1172">
        <f>'SegP&amp;L'!$AI196</f>
        <v>1329.135</v>
      </c>
      <c r="T691" s="598"/>
      <c r="U691" s="1173">
        <f>S691/L691</f>
        <v>2.3175850043591977</v>
      </c>
      <c r="V691" s="598"/>
      <c r="W691" s="1169">
        <f>(U691/U684-1)*100</f>
        <v>2.9334095846452302</v>
      </c>
      <c r="X691" s="1124"/>
      <c r="Y691" s="598"/>
      <c r="Z691" s="1129">
        <f>Stores!AP218</f>
        <v>14.2</v>
      </c>
      <c r="AA691" s="1127"/>
      <c r="AB691" s="1174">
        <f>AVERAGE(Z691,Z690)</f>
        <v>14.05</v>
      </c>
      <c r="AC691" s="598"/>
      <c r="AD691" s="1168">
        <f>(AB691/AB684-1)*100</f>
        <v>8.4942084942085003</v>
      </c>
      <c r="AE691" s="1124"/>
      <c r="AF691" s="1171">
        <f>+H691/AD691*100</f>
        <v>90.144725257603938</v>
      </c>
      <c r="AG691" s="1125"/>
      <c r="AH691" s="598"/>
      <c r="AI691" s="1172">
        <f>+S691</f>
        <v>1329.135</v>
      </c>
      <c r="AJ691" s="598"/>
      <c r="AK691" s="1175">
        <f>AI691/AB691</f>
        <v>94.600355871886109</v>
      </c>
      <c r="AL691" s="598"/>
      <c r="AM691" s="1169">
        <f>(AK691/AK684-1)*100</f>
        <v>3.8369535788871145</v>
      </c>
      <c r="AN691" s="1124"/>
      <c r="AP691" s="1193"/>
      <c r="AQ691" s="1193"/>
      <c r="AR691" s="1193"/>
      <c r="AS691" s="1193"/>
      <c r="AT691" s="1193"/>
      <c r="AU691" s="1193"/>
      <c r="AV691" s="1193"/>
      <c r="AW691" s="1193"/>
      <c r="AX691" s="1193"/>
      <c r="AY691" s="1193"/>
      <c r="AZ691" s="1193"/>
      <c r="BA691" s="1193"/>
      <c r="BB691" s="1193"/>
      <c r="BC691" s="1193"/>
      <c r="BD691" s="1193"/>
      <c r="BE691" s="1193"/>
      <c r="BF691" s="1193"/>
      <c r="BG691" s="1193"/>
    </row>
    <row r="692" spans="1:59">
      <c r="A692" s="598"/>
      <c r="B692" s="1157" t="s">
        <v>531</v>
      </c>
      <c r="C692" s="598"/>
      <c r="D692" s="1120">
        <f>(S692/S685-1)*100</f>
        <v>12.499575375183159</v>
      </c>
      <c r="E692" s="598"/>
      <c r="F692" s="1179">
        <f>'SegP&amp;L'!$AK197</f>
        <v>6</v>
      </c>
      <c r="G692" s="598"/>
      <c r="H692" s="1120">
        <f>D692-F692</f>
        <v>6.4995753751831593</v>
      </c>
      <c r="I692" s="598"/>
      <c r="J692" s="598"/>
      <c r="K692" s="598"/>
      <c r="L692" s="1128">
        <f>AVERAGE(L688:L691)</f>
        <v>548.125</v>
      </c>
      <c r="M692" s="598"/>
      <c r="N692" s="1120">
        <f>(L692/L685-1)*100</f>
        <v>8.0315348608031467</v>
      </c>
      <c r="O692" s="1124"/>
      <c r="P692" s="1159">
        <f>H692/N692*100</f>
        <v>80.925694625363391</v>
      </c>
      <c r="Q692" s="1125"/>
      <c r="R692" s="598"/>
      <c r="S692" s="1160">
        <f>SUM(S688:S691)</f>
        <v>4404.607</v>
      </c>
      <c r="T692" s="598"/>
      <c r="U692" s="1161">
        <f>SUM(U688:U691)</f>
        <v>8.0148987936516729</v>
      </c>
      <c r="V692" s="598"/>
      <c r="W692" s="1176">
        <f>(U692/U685-1)*100</f>
        <v>4.0819514443849236</v>
      </c>
      <c r="X692" s="1124"/>
      <c r="Y692" s="598"/>
      <c r="Z692" s="598"/>
      <c r="AA692" s="598"/>
      <c r="AB692" s="1163">
        <f>AVERAGE(AB688:AB691)</f>
        <v>13.5</v>
      </c>
      <c r="AC692" s="598"/>
      <c r="AD692" s="1120">
        <f>(AB692/AB685-1)*100</f>
        <v>7.4626865671641784</v>
      </c>
      <c r="AE692" s="1124"/>
      <c r="AF692" s="1159">
        <f>+H692/AD692*100</f>
        <v>87.094310027454341</v>
      </c>
      <c r="AG692" s="1125"/>
      <c r="AH692" s="598"/>
      <c r="AI692" s="1160">
        <f>SUM(AI688:AI691)</f>
        <v>4404.607</v>
      </c>
      <c r="AJ692" s="598"/>
      <c r="AK692" s="1164">
        <f>SUM(AK688:AK691)</f>
        <v>325.49013938426845</v>
      </c>
      <c r="AL692" s="598"/>
      <c r="AM692" s="1176">
        <f>(AK692/AK685-1)*100</f>
        <v>4.645043199590182</v>
      </c>
      <c r="AN692" s="1124"/>
      <c r="AP692" s="1193"/>
      <c r="AQ692" s="1193"/>
      <c r="AR692" s="1193"/>
      <c r="AS692" s="1193"/>
      <c r="AT692" s="1193"/>
      <c r="AU692" s="1193"/>
      <c r="AV692" s="1193"/>
      <c r="AW692" s="1193"/>
      <c r="AX692" s="1193"/>
      <c r="AY692" s="1193"/>
      <c r="AZ692" s="1193"/>
      <c r="BA692" s="1193"/>
      <c r="BB692" s="1193"/>
      <c r="BC692" s="1193"/>
      <c r="BD692" s="1193"/>
      <c r="BE692" s="1193"/>
      <c r="BF692" s="1193"/>
      <c r="BG692" s="1193"/>
    </row>
    <row r="693" spans="1:59">
      <c r="A693" s="1125"/>
      <c r="B693" s="1210"/>
      <c r="C693" s="1125"/>
      <c r="D693" s="1125"/>
      <c r="E693" s="1125"/>
      <c r="F693" s="1125"/>
      <c r="G693" s="1125"/>
      <c r="H693" s="1125"/>
      <c r="I693" s="1125"/>
      <c r="J693" s="1125"/>
      <c r="K693" s="1125"/>
      <c r="L693" s="1125"/>
      <c r="M693" s="1125"/>
      <c r="N693" s="1125"/>
      <c r="O693" s="1125"/>
      <c r="P693" s="1125"/>
      <c r="Q693" s="1125"/>
      <c r="R693" s="1125"/>
      <c r="S693" s="1233"/>
      <c r="T693" s="1125"/>
      <c r="U693" s="1125"/>
      <c r="V693" s="1125"/>
      <c r="W693" s="1125"/>
      <c r="X693" s="1125"/>
      <c r="Y693" s="1125"/>
      <c r="Z693" s="1125"/>
      <c r="AA693" s="1125"/>
      <c r="AB693" s="1125"/>
      <c r="AC693" s="1125"/>
      <c r="AD693" s="1125"/>
      <c r="AE693" s="1125"/>
      <c r="AF693" s="1125"/>
      <c r="AG693" s="1125"/>
      <c r="AH693" s="1125"/>
      <c r="AI693" s="1125"/>
      <c r="AJ693" s="1125"/>
      <c r="AK693" s="1125"/>
      <c r="AL693" s="1125"/>
      <c r="AM693" s="1125"/>
      <c r="AN693" s="1125"/>
      <c r="AP693" s="1193"/>
      <c r="AQ693" s="1193"/>
      <c r="AR693" s="1193"/>
      <c r="AS693" s="1193"/>
      <c r="AT693" s="1193"/>
      <c r="AU693" s="1193"/>
      <c r="AV693" s="1193"/>
      <c r="AW693" s="1193"/>
      <c r="AX693" s="1193"/>
      <c r="AY693" s="1193"/>
      <c r="AZ693" s="1193"/>
      <c r="BA693" s="1193"/>
      <c r="BB693" s="1193"/>
      <c r="BC693" s="1193"/>
      <c r="BD693" s="1193"/>
      <c r="BE693" s="1193"/>
      <c r="BF693" s="1193"/>
      <c r="BG693" s="1193"/>
    </row>
    <row r="694" spans="1:59">
      <c r="A694" s="1154"/>
      <c r="B694" s="1155">
        <f>+B687+1</f>
        <v>2017</v>
      </c>
      <c r="C694" s="598"/>
      <c r="D694" s="598"/>
      <c r="E694" s="1124"/>
      <c r="F694" s="598"/>
      <c r="G694" s="1124"/>
      <c r="H694" s="598"/>
      <c r="I694" s="1124"/>
      <c r="J694" s="598"/>
      <c r="K694" s="598"/>
      <c r="L694" s="598"/>
      <c r="M694" s="598"/>
      <c r="N694" s="598"/>
      <c r="O694" s="1124"/>
      <c r="P694" s="1125"/>
      <c r="Q694" s="1125"/>
      <c r="R694" s="598"/>
      <c r="S694" s="1165"/>
      <c r="T694" s="598"/>
      <c r="U694" s="598"/>
      <c r="V694" s="598"/>
      <c r="W694" s="598"/>
      <c r="X694" s="1124"/>
      <c r="Y694" s="598"/>
      <c r="Z694" s="598"/>
      <c r="AA694" s="598"/>
      <c r="AB694" s="598"/>
      <c r="AC694" s="598"/>
      <c r="AD694" s="598"/>
      <c r="AE694" s="1124"/>
      <c r="AF694" s="1125"/>
      <c r="AG694" s="1125"/>
      <c r="AH694" s="598"/>
      <c r="AI694" s="598"/>
      <c r="AJ694" s="598"/>
      <c r="AK694" s="598"/>
      <c r="AL694" s="598"/>
      <c r="AM694" s="598"/>
      <c r="AN694" s="1124"/>
      <c r="AP694" s="1193"/>
      <c r="AQ694" s="1193"/>
      <c r="AR694" s="1193"/>
      <c r="AS694" s="1193"/>
      <c r="AT694" s="1193"/>
      <c r="AU694" s="1193"/>
      <c r="AV694" s="1193"/>
      <c r="AW694" s="1193"/>
      <c r="AX694" s="1193"/>
      <c r="AY694" s="1193"/>
      <c r="AZ694" s="1193"/>
      <c r="BA694" s="1193"/>
      <c r="BB694" s="1193"/>
      <c r="BC694" s="1193"/>
      <c r="BD694" s="1193"/>
      <c r="BE694" s="1193"/>
      <c r="BF694" s="1193"/>
      <c r="BG694" s="1193"/>
    </row>
    <row r="695" spans="1:59">
      <c r="A695" s="598" t="s">
        <v>527</v>
      </c>
      <c r="B695" s="1157" t="s">
        <v>514</v>
      </c>
      <c r="C695" s="598"/>
      <c r="D695" s="1120">
        <f>(S695/S688-1)*100</f>
        <v>10.968829297451798</v>
      </c>
      <c r="E695" s="1124" t="s">
        <v>190</v>
      </c>
      <c r="F695" s="1179">
        <f>'SegP&amp;L'!$AK200</f>
        <v>3</v>
      </c>
      <c r="G695" s="1124" t="s">
        <v>190</v>
      </c>
      <c r="H695" s="1120">
        <f>D695-F695</f>
        <v>7.9688292974517978</v>
      </c>
      <c r="I695" s="598"/>
      <c r="J695" s="1206">
        <f>Stores!AM222</f>
        <v>596</v>
      </c>
      <c r="K695" s="1127"/>
      <c r="L695" s="1167">
        <f>AVERAGE(J695,J691)</f>
        <v>587.5</v>
      </c>
      <c r="M695" s="598"/>
      <c r="N695" s="1120">
        <f>(L695/L688-1)*100</f>
        <v>10.849056603773576</v>
      </c>
      <c r="O695" s="1124"/>
      <c r="P695" s="1159">
        <f>H695/N695*100</f>
        <v>73.451817872164455</v>
      </c>
      <c r="Q695" s="1125"/>
      <c r="R695" s="598"/>
      <c r="S695" s="1160">
        <f>'SegP&amp;L'!$AI200</f>
        <v>1121.269</v>
      </c>
      <c r="T695" s="598"/>
      <c r="U695" s="1161">
        <f>S695/L695</f>
        <v>1.9085429787234043</v>
      </c>
      <c r="V695" s="598"/>
      <c r="W695" s="1176">
        <f>(U695/U688-1)*100</f>
        <v>0.1080502598288513</v>
      </c>
      <c r="X695" s="1124" t="s">
        <v>190</v>
      </c>
      <c r="Y695" s="598"/>
      <c r="Z695" s="1129">
        <f>Stores!AP222</f>
        <v>14.5</v>
      </c>
      <c r="AA695" s="598"/>
      <c r="AB695" s="1163">
        <f>AVERAGE(Z695,Z691)</f>
        <v>14.35</v>
      </c>
      <c r="AC695" s="598"/>
      <c r="AD695" s="1120">
        <f>(AB695/AB688-1)*100</f>
        <v>9.5419847328244387</v>
      </c>
      <c r="AE695" s="1124" t="s">
        <v>190</v>
      </c>
      <c r="AF695" s="1159">
        <f>+H695/AD695*100</f>
        <v>83.513331037294748</v>
      </c>
      <c r="AG695" s="1125" t="s">
        <v>190</v>
      </c>
      <c r="AH695" s="598"/>
      <c r="AI695" s="1160">
        <f>+S695</f>
        <v>1121.269</v>
      </c>
      <c r="AJ695" s="598"/>
      <c r="AK695" s="1164">
        <f>AI695/AB695</f>
        <v>78.137212543554014</v>
      </c>
      <c r="AL695" s="598"/>
      <c r="AM695" s="1176">
        <f>(AK695/AK688-1)*100</f>
        <v>1.3025549684054782</v>
      </c>
      <c r="AN695" s="1124" t="s">
        <v>190</v>
      </c>
      <c r="AP695" s="1193"/>
      <c r="AQ695" s="1193"/>
      <c r="AR695" s="1193"/>
      <c r="AS695" s="1193"/>
      <c r="AT695" s="1193"/>
      <c r="AU695" s="1193"/>
      <c r="AV695" s="1193"/>
      <c r="AW695" s="1193"/>
      <c r="AX695" s="1193"/>
      <c r="AY695" s="1193"/>
      <c r="AZ695" s="1193"/>
      <c r="BA695" s="1193"/>
      <c r="BB695" s="1193"/>
      <c r="BC695" s="1193"/>
      <c r="BD695" s="1193"/>
      <c r="BE695" s="1193"/>
      <c r="BF695" s="1193"/>
      <c r="BG695" s="1193"/>
    </row>
    <row r="696" spans="1:59" ht="15">
      <c r="A696" s="598" t="s">
        <v>528</v>
      </c>
      <c r="B696" s="1157" t="s">
        <v>515</v>
      </c>
      <c r="C696" s="598"/>
      <c r="D696" s="1120">
        <f>(S696/S689-1)*100</f>
        <v>17.20293555144967</v>
      </c>
      <c r="E696" s="598" t="s">
        <v>190</v>
      </c>
      <c r="F696" s="1179">
        <f>'SegP&amp;L'!$AK201</f>
        <v>7</v>
      </c>
      <c r="G696" s="598"/>
      <c r="H696" s="1120">
        <f>D696-F696</f>
        <v>10.20293555144967</v>
      </c>
      <c r="I696" s="598"/>
      <c r="J696" s="598">
        <f>Stores!AM223</f>
        <v>619</v>
      </c>
      <c r="K696" s="1127"/>
      <c r="L696" s="1167">
        <f>AVERAGE(J696,J695)</f>
        <v>607.5</v>
      </c>
      <c r="M696" s="598"/>
      <c r="N696" s="1120">
        <f>(L696/L689-1)*100</f>
        <v>13.339552238805963</v>
      </c>
      <c r="O696" s="1124"/>
      <c r="P696" s="1159">
        <f>H696/N696*100</f>
        <v>76.486342036042316</v>
      </c>
      <c r="Q696" s="1125"/>
      <c r="R696" s="598"/>
      <c r="S696" s="2049">
        <f>'SegP&amp;L'!$AI201</f>
        <v>1156.3979999999999</v>
      </c>
      <c r="T696" s="598"/>
      <c r="U696" s="1166">
        <f>S696/L696</f>
        <v>1.9035358024691356</v>
      </c>
      <c r="V696" s="598"/>
      <c r="W696" s="1176">
        <f>(U696/U689-1)*100</f>
        <v>3.4086805853119628</v>
      </c>
      <c r="X696" s="1124"/>
      <c r="Y696" s="598"/>
      <c r="Z696" s="1129">
        <f>Stores!AP223</f>
        <v>14.9</v>
      </c>
      <c r="AA696" s="1127"/>
      <c r="AB696" s="1163">
        <f>AVERAGE(Z696,Z695)</f>
        <v>14.7</v>
      </c>
      <c r="AC696" s="598"/>
      <c r="AD696" s="1120">
        <f>(AB696/AB689-1)*100</f>
        <v>10.943396226415093</v>
      </c>
      <c r="AE696" s="1124"/>
      <c r="AF696" s="1159">
        <f>+H696/AD696*100</f>
        <v>93.233721418419407</v>
      </c>
      <c r="AG696" s="1125"/>
      <c r="AH696" s="598"/>
      <c r="AI696" s="1165">
        <f>+S696</f>
        <v>1156.3979999999999</v>
      </c>
      <c r="AJ696" s="598"/>
      <c r="AK696" s="1167">
        <f>AI696/AB696</f>
        <v>78.666530612244898</v>
      </c>
      <c r="AL696" s="598"/>
      <c r="AM696" s="1176">
        <f>(AK696/AK689-1)*100</f>
        <v>5.642101772565189</v>
      </c>
      <c r="AN696" s="1124"/>
      <c r="AP696" s="1193"/>
      <c r="AQ696" s="1193"/>
      <c r="AR696" s="1193"/>
      <c r="AS696" s="1193"/>
      <c r="AT696" s="1193"/>
      <c r="AU696" s="1193"/>
      <c r="AV696" s="1193"/>
      <c r="AW696" s="1193"/>
      <c r="AX696" s="1193"/>
      <c r="AY696" s="1193"/>
      <c r="AZ696" s="1193"/>
      <c r="BA696" s="1193"/>
      <c r="BB696" s="1193"/>
      <c r="BC696" s="1193"/>
      <c r="BD696" s="1193"/>
      <c r="BE696" s="1193"/>
      <c r="BF696" s="1193"/>
      <c r="BG696" s="1193"/>
    </row>
    <row r="697" spans="1:59" ht="15">
      <c r="A697" s="598" t="s">
        <v>529</v>
      </c>
      <c r="B697" s="1157" t="s">
        <v>516</v>
      </c>
      <c r="C697" s="598"/>
      <c r="D697" s="1120">
        <f>(S697/S690-1)*100</f>
        <v>13.946473066369425</v>
      </c>
      <c r="E697" s="598"/>
      <c r="F697" s="1179">
        <f>'SegP&amp;L'!$AK202</f>
        <v>3</v>
      </c>
      <c r="G697" s="598"/>
      <c r="H697" s="1120">
        <f>D697-F697</f>
        <v>10.946473066369425</v>
      </c>
      <c r="I697" s="598"/>
      <c r="J697" s="598">
        <f>Stores!AM224</f>
        <v>663</v>
      </c>
      <c r="K697" s="1127"/>
      <c r="L697" s="1167">
        <f>AVERAGE(J697,J696)</f>
        <v>641</v>
      </c>
      <c r="M697" s="598"/>
      <c r="N697" s="1120">
        <f>(L697/L690-1)*100</f>
        <v>15.913200723327314</v>
      </c>
      <c r="O697" s="1124"/>
      <c r="P697" s="1159">
        <f>H697/N697*100</f>
        <v>68.788631882980553</v>
      </c>
      <c r="Q697" s="1125"/>
      <c r="R697" s="598"/>
      <c r="S697" s="2049">
        <f>'SegP&amp;L'!$AI202</f>
        <v>1228.768</v>
      </c>
      <c r="T697" s="598"/>
      <c r="U697" s="1166">
        <f>S697/L697</f>
        <v>1.9169547581903277</v>
      </c>
      <c r="V697" s="598"/>
      <c r="W697" s="1176">
        <f>(U697/U690-1)*100</f>
        <v>-1.6967244840837781</v>
      </c>
      <c r="X697" s="1124"/>
      <c r="Y697" s="598"/>
      <c r="Z697" s="1129">
        <f>Stores!AP224</f>
        <v>15.8</v>
      </c>
      <c r="AA697" s="1127"/>
      <c r="AB697" s="1163">
        <f>AVERAGE(Z697,Z696)</f>
        <v>15.350000000000001</v>
      </c>
      <c r="AC697" s="598"/>
      <c r="AD697" s="1120">
        <f>(AB697/AB690-1)*100</f>
        <v>12.867647058823529</v>
      </c>
      <c r="AE697" s="1124"/>
      <c r="AF697" s="1159">
        <f>+H697/AD697*100</f>
        <v>85.06973354435668</v>
      </c>
      <c r="AG697" s="1125"/>
      <c r="AH697" s="598"/>
      <c r="AI697" s="1165">
        <f>+S697</f>
        <v>1228.768</v>
      </c>
      <c r="AJ697" s="598"/>
      <c r="AK697" s="1167">
        <f>AI697/AB697</f>
        <v>80.050032573289897</v>
      </c>
      <c r="AL697" s="598"/>
      <c r="AM697" s="1176">
        <f>(AK697/AK690-1)*100</f>
        <v>0.95583281450322133</v>
      </c>
      <c r="AN697" s="1124"/>
      <c r="AP697" s="1193"/>
      <c r="AQ697" s="1193"/>
      <c r="AR697" s="1193"/>
      <c r="AS697" s="1193"/>
      <c r="AT697" s="1193"/>
      <c r="AU697" s="1193"/>
      <c r="AV697" s="1193"/>
      <c r="AW697" s="1193"/>
      <c r="AX697" s="1193"/>
      <c r="AY697" s="1193"/>
      <c r="AZ697" s="1193"/>
      <c r="BA697" s="1193"/>
      <c r="BB697" s="1193"/>
      <c r="BC697" s="1193"/>
      <c r="BD697" s="1193"/>
      <c r="BE697" s="1193"/>
      <c r="BF697" s="1193"/>
      <c r="BG697" s="1193"/>
    </row>
    <row r="698" spans="1:59">
      <c r="A698" s="598" t="s">
        <v>530</v>
      </c>
      <c r="B698" s="1157" t="s">
        <v>517</v>
      </c>
      <c r="C698" s="598"/>
      <c r="D698" s="1168">
        <f>(S698/S691-1)*100</f>
        <v>21.123362186685334</v>
      </c>
      <c r="E698" s="598"/>
      <c r="F698" s="1178">
        <f>'SegP&amp;L'!$AK203</f>
        <v>3</v>
      </c>
      <c r="G698" s="598"/>
      <c r="H698" s="1168">
        <f>D698-F698</f>
        <v>18.123362186685334</v>
      </c>
      <c r="I698" s="598"/>
      <c r="J698" s="598">
        <f>Stores!AM225</f>
        <v>671</v>
      </c>
      <c r="K698" s="1127"/>
      <c r="L698" s="1171">
        <f>AVERAGE(J698,J697)</f>
        <v>667</v>
      </c>
      <c r="M698" s="598"/>
      <c r="N698" s="1168">
        <f>(L698/L691-1)*100</f>
        <v>16.303400174367908</v>
      </c>
      <c r="O698" s="1124"/>
      <c r="P698" s="1171">
        <f>H698/N698*100</f>
        <v>111.16308250335875</v>
      </c>
      <c r="Q698" s="1125"/>
      <c r="R698" s="598"/>
      <c r="S698" s="1172">
        <f>'SegP&amp;L'!$AI203</f>
        <v>1609.893</v>
      </c>
      <c r="T698" s="598"/>
      <c r="U698" s="1173">
        <f>S698/L698</f>
        <v>2.4136326836581707</v>
      </c>
      <c r="V698" s="598"/>
      <c r="W698" s="1169">
        <f>(U698/U691-1)*100</f>
        <v>4.1443001710105509</v>
      </c>
      <c r="X698" s="1124"/>
      <c r="Y698" s="598"/>
      <c r="Z698" s="1129">
        <f>Stores!AP225</f>
        <v>15.9</v>
      </c>
      <c r="AA698" s="1127"/>
      <c r="AB698" s="1174">
        <f>AVERAGE(Z698,Z697)</f>
        <v>15.850000000000001</v>
      </c>
      <c r="AC698" s="598"/>
      <c r="AD698" s="1168">
        <f>(AB698/AB691-1)*100</f>
        <v>12.811387900355875</v>
      </c>
      <c r="AE698" s="1124"/>
      <c r="AF698" s="1171">
        <f>+H698/AD698*100</f>
        <v>141.46291040162714</v>
      </c>
      <c r="AG698" s="1125"/>
      <c r="AH698" s="598"/>
      <c r="AI698" s="1172">
        <f>+S698</f>
        <v>1609.893</v>
      </c>
      <c r="AJ698" s="598"/>
      <c r="AK698" s="1175">
        <f>AI698/AB698</f>
        <v>101.57053627760251</v>
      </c>
      <c r="AL698" s="598"/>
      <c r="AM698" s="1169">
        <f>(AK698/AK691-1)*100</f>
        <v>7.3680276796800559</v>
      </c>
      <c r="AN698" s="1124"/>
      <c r="AP698" s="1193"/>
      <c r="AQ698" s="1193"/>
      <c r="AR698" s="1193"/>
      <c r="AS698" s="1193"/>
      <c r="AT698" s="1193"/>
      <c r="AU698" s="1193"/>
      <c r="AV698" s="1193"/>
      <c r="AW698" s="1193"/>
      <c r="AX698" s="1193"/>
      <c r="AY698" s="1193"/>
      <c r="AZ698" s="1193"/>
      <c r="BA698" s="1193"/>
      <c r="BB698" s="1193"/>
      <c r="BC698" s="1193"/>
      <c r="BD698" s="1193"/>
      <c r="BE698" s="1193"/>
      <c r="BF698" s="1193"/>
      <c r="BG698" s="1193"/>
    </row>
    <row r="699" spans="1:59">
      <c r="A699" s="598"/>
      <c r="B699" s="1157" t="s">
        <v>531</v>
      </c>
      <c r="C699" s="598"/>
      <c r="D699" s="1120">
        <f>(S699/S692-1)*100</f>
        <v>16.158558527469079</v>
      </c>
      <c r="E699" s="598"/>
      <c r="F699" s="1179">
        <f>'SegP&amp;L'!$AK204</f>
        <v>4</v>
      </c>
      <c r="G699" s="598"/>
      <c r="H699" s="1120">
        <f>D699-F699</f>
        <v>12.158558527469079</v>
      </c>
      <c r="I699" s="598"/>
      <c r="J699" s="598"/>
      <c r="K699" s="598"/>
      <c r="L699" s="1128">
        <f>AVERAGE(L695:L698)</f>
        <v>625.75</v>
      </c>
      <c r="M699" s="598"/>
      <c r="N699" s="1120">
        <f>(L699/L692-1)*100</f>
        <v>14.161915621436716</v>
      </c>
      <c r="O699" s="1124"/>
      <c r="P699" s="1159">
        <f>H699/N699*100</f>
        <v>85.853911663368621</v>
      </c>
      <c r="Q699" s="1125"/>
      <c r="R699" s="598"/>
      <c r="S699" s="1160">
        <f>SUM(S695:S698)</f>
        <v>5116.3279999999995</v>
      </c>
      <c r="T699" s="598"/>
      <c r="U699" s="1161">
        <f>SUM(U695:U698)</f>
        <v>8.1426662230410383</v>
      </c>
      <c r="V699" s="598"/>
      <c r="W699" s="1176">
        <f>(U699/U692-1)*100</f>
        <v>1.594124051704382</v>
      </c>
      <c r="X699" s="1124"/>
      <c r="Y699" s="598"/>
      <c r="Z699" s="598"/>
      <c r="AA699" s="598"/>
      <c r="AB699" s="1163">
        <f>AVERAGE(AB695:AB698)</f>
        <v>15.0625</v>
      </c>
      <c r="AC699" s="598"/>
      <c r="AD699" s="1120">
        <f>(AB699/AB692-1)*100</f>
        <v>11.574074074074069</v>
      </c>
      <c r="AE699" s="1124"/>
      <c r="AF699" s="1159">
        <f>+H699/AD699*100</f>
        <v>105.0499456773329</v>
      </c>
      <c r="AG699" s="1125"/>
      <c r="AH699" s="598"/>
      <c r="AI699" s="1160">
        <f>SUM(AI695:AI698)</f>
        <v>5116.3279999999995</v>
      </c>
      <c r="AJ699" s="598"/>
      <c r="AK699" s="1164">
        <f>SUM(AK695:AK698)</f>
        <v>338.42431200669131</v>
      </c>
      <c r="AL699" s="598"/>
      <c r="AM699" s="1176">
        <f>(AK699/AK692-1)*100</f>
        <v>3.9737525219321501</v>
      </c>
      <c r="AN699" s="1124"/>
      <c r="AP699" s="1193"/>
      <c r="AQ699" s="1193"/>
      <c r="AR699" s="1193"/>
      <c r="AS699" s="1193"/>
      <c r="AT699" s="1193"/>
      <c r="AU699" s="1193"/>
      <c r="AV699" s="1193"/>
      <c r="AW699" s="1193"/>
      <c r="AX699" s="1193"/>
      <c r="AY699" s="1193"/>
      <c r="AZ699" s="1193"/>
      <c r="BA699" s="1193"/>
      <c r="BB699" s="1193"/>
      <c r="BC699" s="1193"/>
      <c r="BD699" s="1193"/>
      <c r="BE699" s="1193"/>
      <c r="BF699" s="1193"/>
      <c r="BG699" s="1193"/>
    </row>
    <row r="700" spans="1:59">
      <c r="A700" s="1125"/>
      <c r="B700" s="1210"/>
      <c r="C700" s="1125"/>
      <c r="D700" s="1125"/>
      <c r="E700" s="1125"/>
      <c r="F700" s="1125"/>
      <c r="G700" s="1125"/>
      <c r="H700" s="1125"/>
      <c r="I700" s="1125"/>
      <c r="J700" s="1125"/>
      <c r="K700" s="1125"/>
      <c r="L700" s="1125"/>
      <c r="M700" s="1125"/>
      <c r="N700" s="1125"/>
      <c r="O700" s="1125"/>
      <c r="P700" s="1125"/>
      <c r="Q700" s="1125"/>
      <c r="R700" s="1125"/>
      <c r="S700" s="1233"/>
      <c r="T700" s="1125"/>
      <c r="U700" s="1125"/>
      <c r="V700" s="1125"/>
      <c r="W700" s="1125"/>
      <c r="X700" s="1125"/>
      <c r="Y700" s="1125"/>
      <c r="Z700" s="1125"/>
      <c r="AA700" s="1125"/>
      <c r="AB700" s="1125"/>
      <c r="AC700" s="1125"/>
      <c r="AD700" s="1125"/>
      <c r="AE700" s="1125"/>
      <c r="AF700" s="1125"/>
      <c r="AG700" s="1125"/>
      <c r="AH700" s="1125"/>
      <c r="AI700" s="1125"/>
      <c r="AJ700" s="1125"/>
      <c r="AK700" s="1125"/>
      <c r="AL700" s="1125"/>
      <c r="AM700" s="1125"/>
      <c r="AN700" s="1125"/>
      <c r="AP700" s="1193"/>
      <c r="AQ700" s="1193"/>
      <c r="AR700" s="1193"/>
      <c r="AS700" s="1193"/>
      <c r="AT700" s="1193"/>
      <c r="AU700" s="1193"/>
      <c r="AV700" s="1193"/>
      <c r="AW700" s="1193"/>
      <c r="AX700" s="1193"/>
      <c r="AY700" s="1193"/>
      <c r="AZ700" s="1193"/>
      <c r="BA700" s="1193"/>
      <c r="BB700" s="1193"/>
      <c r="BC700" s="1193"/>
      <c r="BD700" s="1193"/>
      <c r="BE700" s="1193"/>
      <c r="BF700" s="1193"/>
      <c r="BG700" s="1193"/>
    </row>
    <row r="701" spans="1:59">
      <c r="A701" s="1154"/>
      <c r="B701" s="1186">
        <f>+B694+1</f>
        <v>2018</v>
      </c>
      <c r="C701" s="598"/>
      <c r="D701" s="598"/>
      <c r="E701" s="1124"/>
      <c r="F701" s="598"/>
      <c r="G701" s="1124"/>
      <c r="H701" s="598"/>
      <c r="I701" s="1124"/>
      <c r="J701" s="598"/>
      <c r="K701" s="598"/>
      <c r="L701" s="598"/>
      <c r="M701" s="598"/>
      <c r="N701" s="598"/>
      <c r="O701" s="1124"/>
      <c r="P701" s="1125"/>
      <c r="Q701" s="1125"/>
      <c r="R701" s="598"/>
      <c r="S701" s="1165"/>
      <c r="T701" s="598"/>
      <c r="U701" s="598"/>
      <c r="V701" s="598"/>
      <c r="W701" s="598"/>
      <c r="X701" s="1124"/>
      <c r="Y701" s="598"/>
      <c r="Z701" s="598"/>
      <c r="AA701" s="598"/>
      <c r="AB701" s="598"/>
      <c r="AC701" s="598"/>
      <c r="AD701" s="598"/>
      <c r="AE701" s="1124"/>
      <c r="AF701" s="1125"/>
      <c r="AG701" s="1125"/>
      <c r="AH701" s="598"/>
      <c r="AI701" s="598"/>
      <c r="AJ701" s="598"/>
      <c r="AK701" s="598"/>
      <c r="AL701" s="598"/>
      <c r="AM701" s="598"/>
      <c r="AN701" s="1124"/>
      <c r="AP701" s="1193"/>
      <c r="AQ701" s="1193"/>
      <c r="AR701" s="1193"/>
      <c r="AS701" s="1193"/>
      <c r="AT701" s="1193"/>
      <c r="AU701" s="1193"/>
      <c r="AV701" s="1193"/>
      <c r="AW701" s="1193"/>
      <c r="AX701" s="1193"/>
      <c r="AY701" s="1193"/>
      <c r="AZ701" s="1193"/>
      <c r="BA701" s="1193"/>
      <c r="BB701" s="1193"/>
      <c r="BC701" s="1193"/>
      <c r="BD701" s="1193"/>
      <c r="BE701" s="1193"/>
      <c r="BF701" s="1193"/>
      <c r="BG701" s="1193"/>
    </row>
    <row r="702" spans="1:59" ht="15">
      <c r="A702" s="598" t="s">
        <v>527</v>
      </c>
      <c r="B702" s="1157" t="s">
        <v>514</v>
      </c>
      <c r="C702" s="598"/>
      <c r="D702" s="1189">
        <f>F702+H702</f>
        <v>15</v>
      </c>
      <c r="E702" s="1124" t="s">
        <v>190</v>
      </c>
      <c r="F702" s="1190">
        <v>3</v>
      </c>
      <c r="G702" s="1124" t="s">
        <v>190</v>
      </c>
      <c r="H702" s="2082">
        <f>11+1</f>
        <v>12</v>
      </c>
      <c r="I702" s="598"/>
      <c r="J702" s="1206">
        <f>Stores!AM229</f>
        <v>701</v>
      </c>
      <c r="K702" s="1127"/>
      <c r="L702" s="1167">
        <f>AVERAGE(J702,J698)</f>
        <v>686</v>
      </c>
      <c r="M702" s="598"/>
      <c r="N702" s="1120">
        <f>(L702/L695-1)*100</f>
        <v>16.76595744680851</v>
      </c>
      <c r="O702" s="1124"/>
      <c r="P702" s="1252">
        <v>65</v>
      </c>
      <c r="Q702" s="1125"/>
      <c r="R702" s="598"/>
      <c r="S702" s="2064">
        <f>S695*(1+D702/100)</f>
        <v>1289.4593499999999</v>
      </c>
      <c r="T702" s="598"/>
      <c r="U702" s="1161">
        <f>S702/L702</f>
        <v>1.879678352769679</v>
      </c>
      <c r="V702" s="598"/>
      <c r="W702" s="1176">
        <f>(U702/U695-1)*100</f>
        <v>-1.5123906705539536</v>
      </c>
      <c r="X702" s="1124" t="s">
        <v>190</v>
      </c>
      <c r="Y702" s="598"/>
      <c r="Z702" s="1129">
        <f>Stores!AP229</f>
        <v>17.325095057034222</v>
      </c>
      <c r="AA702" s="598"/>
      <c r="AB702" s="1163">
        <f>AVERAGE(Z702,Z698)</f>
        <v>16.612547528517112</v>
      </c>
      <c r="AC702" s="598"/>
      <c r="AD702" s="1120">
        <f>(AB702/AB695-1)*100</f>
        <v>15.766881731826565</v>
      </c>
      <c r="AE702" s="1124" t="s">
        <v>190</v>
      </c>
      <c r="AF702" s="1159">
        <f>+H702/AD702*100</f>
        <v>76.108898411898096</v>
      </c>
      <c r="AG702" s="1125" t="s">
        <v>190</v>
      </c>
      <c r="AH702" s="598"/>
      <c r="AI702" s="1160">
        <f>+S702</f>
        <v>1289.4593499999999</v>
      </c>
      <c r="AJ702" s="598"/>
      <c r="AK702" s="1164">
        <f>AI702/AB702</f>
        <v>77.619603362248498</v>
      </c>
      <c r="AL702" s="598"/>
      <c r="AM702" s="1176">
        <f>(AK702/AK695-1)*100</f>
        <v>-0.66243619967502054</v>
      </c>
      <c r="AN702" s="1124" t="s">
        <v>190</v>
      </c>
      <c r="AP702" s="1193"/>
      <c r="AQ702" s="1193"/>
      <c r="AR702" s="1193"/>
      <c r="AS702" s="1193"/>
      <c r="AT702" s="1193"/>
      <c r="AU702" s="1193"/>
      <c r="AV702" s="1193"/>
      <c r="AW702" s="1193"/>
      <c r="AX702" s="1193"/>
      <c r="AY702" s="1193"/>
      <c r="AZ702" s="1193"/>
      <c r="BA702" s="1193"/>
      <c r="BB702" s="1193"/>
      <c r="BC702" s="1193"/>
      <c r="BD702" s="1193"/>
      <c r="BE702" s="1193"/>
      <c r="BF702" s="1193"/>
      <c r="BG702" s="1193"/>
    </row>
    <row r="703" spans="1:59" ht="15">
      <c r="A703" s="598" t="s">
        <v>528</v>
      </c>
      <c r="B703" s="1157" t="s">
        <v>515</v>
      </c>
      <c r="C703" s="598"/>
      <c r="D703" s="1189">
        <f>F703+H703</f>
        <v>12</v>
      </c>
      <c r="E703" s="598" t="s">
        <v>190</v>
      </c>
      <c r="F703" s="1190">
        <v>2</v>
      </c>
      <c r="G703" s="598"/>
      <c r="H703" s="2082">
        <f>10</f>
        <v>10</v>
      </c>
      <c r="I703" s="598"/>
      <c r="J703" s="598">
        <f>Stores!AM230</f>
        <v>731</v>
      </c>
      <c r="K703" s="1127"/>
      <c r="L703" s="1167">
        <f>AVERAGE(J703,J702)</f>
        <v>716</v>
      </c>
      <c r="M703" s="598"/>
      <c r="N703" s="1120">
        <f>(L703/L696-1)*100</f>
        <v>17.86008230452676</v>
      </c>
      <c r="O703" s="1124"/>
      <c r="P703" s="1252">
        <v>80</v>
      </c>
      <c r="Q703" s="1125"/>
      <c r="R703" s="598"/>
      <c r="S703" s="1191">
        <f>S696*(1+D703/100)</f>
        <v>1295.1657600000001</v>
      </c>
      <c r="T703" s="598"/>
      <c r="U703" s="1166">
        <f>S703/L703</f>
        <v>1.8088907262569833</v>
      </c>
      <c r="V703" s="598"/>
      <c r="W703" s="1176">
        <f>(U703/U696-1)*100</f>
        <v>-4.9720670391061317</v>
      </c>
      <c r="X703" s="1124"/>
      <c r="Y703" s="598"/>
      <c r="Z703" s="1129">
        <f>Stores!AP230</f>
        <v>18.066539923954373</v>
      </c>
      <c r="AA703" s="1127"/>
      <c r="AB703" s="1163">
        <f>AVERAGE(Z703,Z702)</f>
        <v>17.695817490494299</v>
      </c>
      <c r="AC703" s="598"/>
      <c r="AD703" s="1120">
        <f>(AB703/AB696-1)*100</f>
        <v>20.379710819689123</v>
      </c>
      <c r="AE703" s="1124"/>
      <c r="AF703" s="1159">
        <f>+H703/AD703*100</f>
        <v>49.068409696661938</v>
      </c>
      <c r="AG703" s="1125"/>
      <c r="AH703" s="598"/>
      <c r="AI703" s="1165">
        <f>+S703</f>
        <v>1295.1657600000001</v>
      </c>
      <c r="AJ703" s="598"/>
      <c r="AK703" s="1167">
        <f>AI703/AB703</f>
        <v>73.190501693167164</v>
      </c>
      <c r="AL703" s="598"/>
      <c r="AM703" s="1176">
        <f>(AK703/AK696-1)*100</f>
        <v>-6.9610657498925699</v>
      </c>
      <c r="AN703" s="1124"/>
      <c r="AP703" s="1193"/>
      <c r="AQ703" s="1193"/>
      <c r="AR703" s="1193"/>
      <c r="AS703" s="1193"/>
      <c r="AT703" s="1193"/>
      <c r="AU703" s="1193"/>
      <c r="AV703" s="1193"/>
      <c r="AW703" s="1193"/>
      <c r="AX703" s="1193"/>
      <c r="AY703" s="1193"/>
      <c r="AZ703" s="1193"/>
      <c r="BA703" s="1193"/>
      <c r="BB703" s="1193"/>
      <c r="BC703" s="1193"/>
      <c r="BD703" s="1193"/>
      <c r="BE703" s="1193"/>
      <c r="BF703" s="1193"/>
      <c r="BG703" s="1193"/>
    </row>
    <row r="704" spans="1:59" ht="15">
      <c r="A704" s="598" t="s">
        <v>529</v>
      </c>
      <c r="B704" s="1157" t="s">
        <v>516</v>
      </c>
      <c r="C704" s="598"/>
      <c r="D704" s="1189">
        <f>F704+H704</f>
        <v>13.93</v>
      </c>
      <c r="E704" s="598"/>
      <c r="F704" s="1190">
        <v>3</v>
      </c>
      <c r="G704" s="598"/>
      <c r="H704" s="2082">
        <f>11-0.07</f>
        <v>10.93</v>
      </c>
      <c r="I704" s="598"/>
      <c r="J704" s="598">
        <f>Stores!AM231</f>
        <v>766</v>
      </c>
      <c r="K704" s="1127"/>
      <c r="L704" s="1167">
        <f>AVERAGE(J704,J703)</f>
        <v>748.5</v>
      </c>
      <c r="M704" s="598"/>
      <c r="N704" s="1120">
        <f>(L704/L697-1)*100</f>
        <v>16.770670826833079</v>
      </c>
      <c r="O704" s="1124"/>
      <c r="P704" s="1159">
        <f>H704/N704*100</f>
        <v>65.173302325581375</v>
      </c>
      <c r="Q704" s="1125"/>
      <c r="R704" s="598"/>
      <c r="S704" s="1191">
        <f>S697*(1+D704/100)</f>
        <v>1399.9353824</v>
      </c>
      <c r="T704" s="598"/>
      <c r="U704" s="1166">
        <f>S704/L704</f>
        <v>1.8703211521710086</v>
      </c>
      <c r="V704" s="598"/>
      <c r="W704" s="1176">
        <f>(U704/U697-1)*100</f>
        <v>-2.4326920507682148</v>
      </c>
      <c r="X704" s="1124"/>
      <c r="Y704" s="598"/>
      <c r="Z704" s="1129">
        <f>Stores!AP231</f>
        <v>18.931558935361217</v>
      </c>
      <c r="AA704" s="1127"/>
      <c r="AB704" s="1163">
        <f>AVERAGE(Z704,Z703)</f>
        <v>18.499049429657795</v>
      </c>
      <c r="AC704" s="598"/>
      <c r="AD704" s="1120">
        <f>(AB704/AB697-1)*100</f>
        <v>20.514979997770631</v>
      </c>
      <c r="AE704" s="1124"/>
      <c r="AF704" s="1159">
        <f>+H704/AD704*100</f>
        <v>53.278141149480852</v>
      </c>
      <c r="AG704" s="1125"/>
      <c r="AH704" s="598"/>
      <c r="AI704" s="1165">
        <f>+S704</f>
        <v>1399.9353824</v>
      </c>
      <c r="AJ704" s="598"/>
      <c r="AK704" s="1167">
        <f>AI704/AB704</f>
        <v>75.676071233996197</v>
      </c>
      <c r="AL704" s="598"/>
      <c r="AM704" s="1176">
        <f>(AK704/AK697-1)*100</f>
        <v>-5.4640344278300113</v>
      </c>
      <c r="AN704" s="1124"/>
      <c r="AP704" s="1193"/>
      <c r="AQ704" s="1193"/>
      <c r="AR704" s="1193"/>
      <c r="AS704" s="1193"/>
      <c r="AT704" s="1193"/>
      <c r="AU704" s="1193"/>
      <c r="AV704" s="1193"/>
      <c r="AW704" s="1193"/>
      <c r="AX704" s="1193"/>
      <c r="AY704" s="1193"/>
      <c r="AZ704" s="1193"/>
      <c r="BA704" s="1193"/>
      <c r="BB704" s="1193"/>
      <c r="BC704" s="1193"/>
      <c r="BD704" s="1193"/>
      <c r="BE704" s="1193"/>
      <c r="BF704" s="1193"/>
      <c r="BG704" s="1193"/>
    </row>
    <row r="705" spans="1:59" ht="15">
      <c r="A705" s="598" t="s">
        <v>530</v>
      </c>
      <c r="B705" s="1157" t="s">
        <v>517</v>
      </c>
      <c r="C705" s="598"/>
      <c r="D705" s="1168">
        <f>F705+H705</f>
        <v>7.8</v>
      </c>
      <c r="E705" s="598"/>
      <c r="F705" s="1219">
        <v>3</v>
      </c>
      <c r="G705" s="598"/>
      <c r="H705" s="2083">
        <f>11-6.2</f>
        <v>4.8</v>
      </c>
      <c r="I705" s="598"/>
      <c r="J705" s="598">
        <f>Stores!AM232</f>
        <v>771</v>
      </c>
      <c r="K705" s="1127"/>
      <c r="L705" s="1171">
        <f>AVERAGE(J705,J704)</f>
        <v>768.5</v>
      </c>
      <c r="M705" s="598"/>
      <c r="N705" s="1168">
        <f>(L705/L698-1)*100</f>
        <v>15.217391304347828</v>
      </c>
      <c r="O705" s="1124"/>
      <c r="P705" s="1171">
        <f>H705/N705*100</f>
        <v>31.542857142857137</v>
      </c>
      <c r="Q705" s="1125"/>
      <c r="R705" s="598"/>
      <c r="S705" s="1188">
        <f>S698*(1+D705/100)</f>
        <v>1735.4646540000001</v>
      </c>
      <c r="T705" s="598"/>
      <c r="U705" s="1173">
        <f>S705/L705</f>
        <v>2.258249387117762</v>
      </c>
      <c r="V705" s="598"/>
      <c r="W705" s="1169">
        <f>(U705/U698-1)*100</f>
        <v>-6.4377358490565921</v>
      </c>
      <c r="X705" s="1124"/>
      <c r="Y705" s="598"/>
      <c r="Z705" s="1129">
        <f>Stores!AP232</f>
        <v>19.055133079847909</v>
      </c>
      <c r="AA705" s="1127"/>
      <c r="AB705" s="1174">
        <f>AVERAGE(Z705,Z704)</f>
        <v>18.993346007604565</v>
      </c>
      <c r="AC705" s="598"/>
      <c r="AD705" s="1168">
        <f>(AB705/AB698-1)*100</f>
        <v>19.831836010123418</v>
      </c>
      <c r="AE705" s="1124"/>
      <c r="AF705" s="1171">
        <f>+H705/AD705*100</f>
        <v>24.203507923067626</v>
      </c>
      <c r="AG705" s="1125"/>
      <c r="AH705" s="598"/>
      <c r="AI705" s="1172">
        <f>+S705</f>
        <v>1735.4646540000001</v>
      </c>
      <c r="AJ705" s="598"/>
      <c r="AK705" s="1175">
        <f>AI705/AB705</f>
        <v>91.37224443261097</v>
      </c>
      <c r="AL705" s="598"/>
      <c r="AM705" s="1169">
        <f>(AK705/AK698-1)*100</f>
        <v>-10.040600570542013</v>
      </c>
      <c r="AN705" s="1124"/>
      <c r="AP705" s="1193"/>
      <c r="AQ705" s="1193"/>
      <c r="AR705" s="1193"/>
      <c r="AS705" s="1193"/>
      <c r="AT705" s="1193"/>
      <c r="AU705" s="1193"/>
      <c r="AV705" s="1193"/>
      <c r="AW705" s="1193"/>
      <c r="AX705" s="1193"/>
      <c r="AY705" s="1193"/>
      <c r="AZ705" s="1193"/>
      <c r="BA705" s="1193"/>
      <c r="BB705" s="1193"/>
      <c r="BC705" s="1193"/>
      <c r="BD705" s="1193"/>
      <c r="BE705" s="1193"/>
      <c r="BF705" s="1193"/>
      <c r="BG705" s="1193"/>
    </row>
    <row r="706" spans="1:59">
      <c r="A706" s="598"/>
      <c r="B706" s="1157" t="s">
        <v>531</v>
      </c>
      <c r="C706" s="598"/>
      <c r="D706" s="1120">
        <f>(S706/S699-1)*100</f>
        <v>11.799422288797757</v>
      </c>
      <c r="E706" s="598"/>
      <c r="F706" s="1179">
        <f>(S702/S706*F702)+(S703/S706*F703)+(S704/S706*F704)+(S705/S706*F705)</f>
        <v>2.7735734150023559</v>
      </c>
      <c r="G706" s="598"/>
      <c r="H706" s="1120">
        <f>D706-F706</f>
        <v>9.0258488737954004</v>
      </c>
      <c r="I706" s="598"/>
      <c r="J706" s="598"/>
      <c r="K706" s="598"/>
      <c r="L706" s="1128">
        <f>AVERAGE(L702:L705)</f>
        <v>729.75</v>
      </c>
      <c r="M706" s="598"/>
      <c r="N706" s="1120">
        <f>(L706/L699-1)*100</f>
        <v>16.62005593288054</v>
      </c>
      <c r="O706" s="1124"/>
      <c r="P706" s="1159">
        <f>H706/N706*100</f>
        <v>54.306970507475704</v>
      </c>
      <c r="Q706" s="1125"/>
      <c r="R706" s="598"/>
      <c r="S706" s="1160">
        <f>SUM(S702:S705)</f>
        <v>5720.0251464000003</v>
      </c>
      <c r="T706" s="598"/>
      <c r="U706" s="1161">
        <f>SUM(U702:U705)</f>
        <v>7.8171396183154327</v>
      </c>
      <c r="V706" s="598"/>
      <c r="W706" s="1176">
        <f>(U706/U699-1)*100</f>
        <v>-3.9977888790832861</v>
      </c>
      <c r="X706" s="1124"/>
      <c r="Y706" s="598"/>
      <c r="Z706" s="598"/>
      <c r="AA706" s="598"/>
      <c r="AB706" s="1163">
        <f>AVERAGE(AB702:AB705)</f>
        <v>17.950190114068441</v>
      </c>
      <c r="AC706" s="598"/>
      <c r="AD706" s="1120">
        <f>(AB706/AB699-1)*100</f>
        <v>19.171386649417045</v>
      </c>
      <c r="AE706" s="1124"/>
      <c r="AF706" s="1159">
        <f>+H706/AD706*100</f>
        <v>47.079791560460002</v>
      </c>
      <c r="AG706" s="1125"/>
      <c r="AH706" s="598"/>
      <c r="AI706" s="1160">
        <f>SUM(AI702:AI705)</f>
        <v>5720.0251464000003</v>
      </c>
      <c r="AJ706" s="598"/>
      <c r="AK706" s="1164">
        <f>SUM(AK702:AK705)</f>
        <v>317.8584207220228</v>
      </c>
      <c r="AL706" s="598"/>
      <c r="AM706" s="1176">
        <f>(AK706/AK699-1)*100</f>
        <v>-6.0769544489055143</v>
      </c>
      <c r="AN706" s="1124"/>
      <c r="AP706" s="1193"/>
      <c r="AQ706" s="1193"/>
      <c r="AR706" s="1193"/>
      <c r="AS706" s="1193"/>
      <c r="AT706" s="1193"/>
      <c r="AU706" s="1193"/>
      <c r="AV706" s="1193"/>
      <c r="AW706" s="1193"/>
      <c r="AX706" s="1193"/>
      <c r="AY706" s="1193"/>
      <c r="AZ706" s="1193"/>
      <c r="BA706" s="1193"/>
      <c r="BB706" s="1193"/>
      <c r="BC706" s="1193"/>
      <c r="BD706" s="1193"/>
      <c r="BE706" s="1193"/>
      <c r="BF706" s="1193"/>
      <c r="BG706" s="1193"/>
    </row>
    <row r="707" spans="1:59">
      <c r="A707" s="598"/>
      <c r="B707" s="1157"/>
      <c r="C707" s="598"/>
      <c r="D707" s="1120"/>
      <c r="E707" s="598"/>
      <c r="F707" s="1179"/>
      <c r="G707" s="598"/>
      <c r="H707" s="1120"/>
      <c r="I707" s="598"/>
      <c r="J707" s="598"/>
      <c r="K707" s="598"/>
      <c r="L707" s="1128"/>
      <c r="M707" s="598"/>
      <c r="N707" s="1120"/>
      <c r="O707" s="1124"/>
      <c r="P707" s="1159"/>
      <c r="Q707" s="1125"/>
      <c r="R707" s="598"/>
      <c r="S707" s="1160"/>
      <c r="T707" s="598"/>
      <c r="U707" s="1161"/>
      <c r="V707" s="598"/>
      <c r="W707" s="1176"/>
      <c r="X707" s="1124"/>
      <c r="Y707" s="598"/>
      <c r="Z707" s="598"/>
      <c r="AA707" s="598"/>
      <c r="AB707" s="1163"/>
      <c r="AC707" s="598"/>
      <c r="AD707" s="1120"/>
      <c r="AE707" s="1124"/>
      <c r="AF707" s="1159"/>
      <c r="AG707" s="1125"/>
      <c r="AH707" s="598"/>
      <c r="AI707" s="1160"/>
      <c r="AJ707" s="598"/>
      <c r="AK707" s="1164"/>
      <c r="AL707" s="598"/>
      <c r="AM707" s="1176"/>
      <c r="AN707" s="1124"/>
      <c r="AP707" s="1193"/>
      <c r="AQ707" s="1193"/>
      <c r="AR707" s="1193"/>
      <c r="AS707" s="1193"/>
      <c r="AT707" s="1193"/>
      <c r="AU707" s="1193"/>
      <c r="AV707" s="1193"/>
      <c r="AW707" s="1193"/>
      <c r="AX707" s="1193"/>
      <c r="AY707" s="1193"/>
      <c r="AZ707" s="1193"/>
      <c r="BA707" s="1193"/>
      <c r="BB707" s="1193"/>
      <c r="BC707" s="1193"/>
      <c r="BD707" s="1193"/>
      <c r="BE707" s="1193"/>
      <c r="BF707" s="1193"/>
      <c r="BG707" s="1193"/>
    </row>
    <row r="708" spans="1:59">
      <c r="A708" s="1125"/>
      <c r="B708" s="1210"/>
      <c r="C708" s="1125"/>
      <c r="D708" s="1125"/>
      <c r="E708" s="1125"/>
      <c r="F708" s="2057"/>
      <c r="G708" s="1125"/>
      <c r="H708" s="1125"/>
      <c r="I708" s="1125"/>
      <c r="J708" s="1125"/>
      <c r="K708" s="1125"/>
      <c r="L708" s="1125"/>
      <c r="M708" s="1125"/>
      <c r="N708" s="1125"/>
      <c r="O708" s="1125"/>
      <c r="P708" s="1125"/>
      <c r="Q708" s="1125"/>
      <c r="R708" s="1125"/>
      <c r="S708" s="1182"/>
      <c r="T708" s="1149"/>
      <c r="U708" s="1935"/>
      <c r="V708" s="1125"/>
      <c r="W708" s="1125"/>
      <c r="X708" s="1125"/>
      <c r="Y708" s="1125"/>
      <c r="Z708" s="1125"/>
      <c r="AA708" s="1125"/>
      <c r="AB708" s="1125"/>
      <c r="AC708" s="1125"/>
      <c r="AD708" s="1125"/>
      <c r="AE708" s="1125"/>
      <c r="AF708" s="1125"/>
      <c r="AG708" s="1125"/>
      <c r="AH708" s="1125"/>
      <c r="AI708" s="1125"/>
      <c r="AJ708" s="1125"/>
      <c r="AK708" s="1125"/>
      <c r="AL708" s="1125"/>
      <c r="AM708" s="1125"/>
      <c r="AN708" s="1125"/>
      <c r="AP708" s="1193"/>
      <c r="AQ708" s="1193"/>
      <c r="AR708" s="1193"/>
      <c r="AS708" s="1193"/>
      <c r="AT708" s="1193"/>
      <c r="AU708" s="1193"/>
      <c r="AV708" s="1193"/>
      <c r="AW708" s="1193"/>
      <c r="AX708" s="1193"/>
      <c r="AY708" s="1193"/>
      <c r="AZ708" s="1193"/>
      <c r="BA708" s="1193"/>
      <c r="BB708" s="1193"/>
      <c r="BC708" s="1193"/>
      <c r="BD708" s="1193"/>
      <c r="BE708" s="1193"/>
      <c r="BF708" s="1193"/>
      <c r="BG708" s="1193"/>
    </row>
    <row r="709" spans="1:59" hidden="1" outlineLevel="1">
      <c r="A709" s="1122" t="s">
        <v>376</v>
      </c>
      <c r="B709" s="1147"/>
      <c r="C709" s="1122"/>
      <c r="D709" s="1122"/>
      <c r="E709" s="1148"/>
      <c r="F709" s="1122"/>
      <c r="G709" s="1122"/>
      <c r="H709" s="1122"/>
      <c r="I709" s="1148"/>
      <c r="J709" s="1149"/>
      <c r="K709" s="1149"/>
      <c r="L709" s="1149"/>
      <c r="M709" s="1150"/>
      <c r="N709" s="1149"/>
      <c r="O709" s="1148"/>
      <c r="P709" s="1149"/>
      <c r="Q709" s="1149"/>
      <c r="R709" s="1150"/>
      <c r="S709" s="1937"/>
      <c r="T709" s="1133"/>
      <c r="U709" s="1133"/>
      <c r="V709" s="1150"/>
      <c r="W709" s="1149"/>
      <c r="X709" s="1151"/>
      <c r="Y709" s="1149"/>
      <c r="Z709" s="1149"/>
      <c r="AA709" s="1149"/>
      <c r="AB709" s="1149"/>
      <c r="AC709" s="1150"/>
      <c r="AD709" s="1149"/>
      <c r="AE709" s="1150"/>
      <c r="AF709" s="1149"/>
      <c r="AG709" s="1149"/>
      <c r="AH709" s="1150"/>
      <c r="AI709" s="1149"/>
      <c r="AJ709" s="1149"/>
      <c r="AK709" s="1150"/>
      <c r="AL709" s="1150"/>
      <c r="AM709" s="1149"/>
      <c r="AN709" s="1151"/>
      <c r="AP709" s="1193"/>
      <c r="AQ709" s="1193"/>
      <c r="AR709" s="1193"/>
      <c r="AS709" s="1193"/>
      <c r="AT709" s="1193"/>
      <c r="AU709" s="1193"/>
      <c r="AV709" s="1193"/>
      <c r="AW709" s="1193"/>
      <c r="AX709" s="1193"/>
      <c r="AY709" s="1193"/>
      <c r="AZ709" s="1193"/>
      <c r="BA709" s="1193"/>
      <c r="BB709" s="1193"/>
      <c r="BC709" s="1193"/>
      <c r="BD709" s="1193"/>
      <c r="BE709" s="1193"/>
      <c r="BF709" s="1193"/>
      <c r="BG709" s="1193"/>
    </row>
    <row r="710" spans="1:59" hidden="1" outlineLevel="1">
      <c r="A710" s="1133" t="str">
        <f>$A$9</f>
        <v>Analysis of Space Productivity, 1999A-2017E</v>
      </c>
      <c r="B710" s="1152"/>
      <c r="C710" s="1133"/>
      <c r="D710" s="1133"/>
      <c r="E710" s="1153"/>
      <c r="F710" s="1133"/>
      <c r="G710" s="1133"/>
      <c r="H710" s="1133"/>
      <c r="I710" s="1153"/>
      <c r="J710" s="1133"/>
      <c r="K710" s="1133"/>
      <c r="L710" s="1133"/>
      <c r="M710" s="1153"/>
      <c r="N710" s="1133"/>
      <c r="O710" s="1153"/>
      <c r="P710" s="1133"/>
      <c r="Q710" s="1133"/>
      <c r="R710" s="1153"/>
      <c r="S710" s="1133"/>
      <c r="T710" s="1133"/>
      <c r="U710" s="1153"/>
      <c r="V710" s="1153"/>
      <c r="W710" s="1133"/>
      <c r="X710" s="1134"/>
      <c r="Y710" s="1133"/>
      <c r="Z710" s="1133"/>
      <c r="AA710" s="1133"/>
      <c r="AB710" s="1133"/>
      <c r="AC710" s="1153"/>
      <c r="AD710" s="1133"/>
      <c r="AE710" s="1153"/>
      <c r="AF710" s="1133"/>
      <c r="AG710" s="1133"/>
      <c r="AH710" s="1153"/>
      <c r="AI710" s="1133"/>
      <c r="AJ710" s="1133"/>
      <c r="AK710" s="1153"/>
      <c r="AL710" s="1153"/>
      <c r="AM710" s="1133"/>
      <c r="AN710" s="1151"/>
      <c r="AP710" s="1193"/>
      <c r="AQ710" s="1193"/>
      <c r="AR710" s="1193"/>
      <c r="AS710" s="1193"/>
      <c r="AT710" s="1193"/>
      <c r="AU710" s="1193"/>
      <c r="AV710" s="1193"/>
      <c r="AW710" s="1193"/>
      <c r="AX710" s="1193"/>
      <c r="AY710" s="1193"/>
      <c r="AZ710" s="1193"/>
      <c r="BA710" s="1193"/>
      <c r="BB710" s="1193"/>
      <c r="BC710" s="1193"/>
      <c r="BD710" s="1193"/>
      <c r="BE710" s="1193"/>
      <c r="BF710" s="1193"/>
      <c r="BG710" s="1193"/>
    </row>
    <row r="711" spans="1:59" hidden="1" outlineLevel="1">
      <c r="A711" s="598"/>
      <c r="B711" s="1157"/>
      <c r="C711" s="598"/>
      <c r="D711" s="598"/>
      <c r="E711" s="598"/>
      <c r="F711" s="598"/>
      <c r="G711" s="598"/>
      <c r="H711" s="598"/>
      <c r="I711" s="598"/>
      <c r="J711" s="598"/>
      <c r="K711" s="598"/>
      <c r="L711" s="598"/>
      <c r="M711" s="598"/>
      <c r="N711" s="598"/>
      <c r="O711" s="598"/>
      <c r="P711" s="598"/>
      <c r="Q711" s="598"/>
      <c r="R711" s="598"/>
      <c r="S711" s="598"/>
      <c r="T711" s="598"/>
      <c r="U711" s="598"/>
      <c r="V711" s="598"/>
      <c r="W711" s="598"/>
      <c r="X711" s="1124"/>
      <c r="Y711" s="598"/>
      <c r="Z711" s="598"/>
      <c r="AA711" s="598"/>
      <c r="AB711" s="598"/>
      <c r="AC711" s="598"/>
      <c r="AD711" s="598"/>
      <c r="AE711" s="598"/>
      <c r="AF711" s="598"/>
      <c r="AG711" s="598"/>
      <c r="AH711" s="598"/>
      <c r="AI711" s="598"/>
      <c r="AJ711" s="598"/>
      <c r="AK711" s="598"/>
      <c r="AL711" s="598"/>
      <c r="AM711" s="598"/>
      <c r="AN711" s="1124"/>
      <c r="AP711" s="1193"/>
      <c r="AQ711" s="1193"/>
      <c r="AR711" s="1193"/>
      <c r="AS711" s="1193"/>
      <c r="AT711" s="1193"/>
      <c r="AU711" s="1193"/>
      <c r="AV711" s="1193"/>
      <c r="AW711" s="1193"/>
      <c r="AX711" s="1193"/>
      <c r="AY711" s="1193"/>
      <c r="AZ711" s="1193"/>
      <c r="BA711" s="1193"/>
      <c r="BB711" s="1193"/>
      <c r="BC711" s="1193"/>
      <c r="BD711" s="1193"/>
      <c r="BE711" s="1193"/>
      <c r="BF711" s="1193"/>
      <c r="BG711" s="1193"/>
    </row>
    <row r="712" spans="1:59" hidden="1" outlineLevel="1">
      <c r="A712" s="598"/>
      <c r="B712" s="1157"/>
      <c r="C712" s="598"/>
      <c r="D712" s="598"/>
      <c r="E712" s="598"/>
      <c r="F712" s="598"/>
      <c r="G712" s="598"/>
      <c r="H712" s="598"/>
      <c r="I712" s="598"/>
      <c r="J712" s="1130" t="s">
        <v>343</v>
      </c>
      <c r="K712" s="1131"/>
      <c r="L712" s="1131"/>
      <c r="M712" s="1131"/>
      <c r="N712" s="1131"/>
      <c r="O712" s="1131"/>
      <c r="P712" s="1131"/>
      <c r="Q712" s="1131"/>
      <c r="R712" s="1131"/>
      <c r="S712" s="1131"/>
      <c r="T712" s="1131"/>
      <c r="U712" s="1131"/>
      <c r="V712" s="1131"/>
      <c r="W712" s="1131"/>
      <c r="X712" s="1132"/>
      <c r="Y712" s="598"/>
      <c r="Z712" s="1130" t="s">
        <v>344</v>
      </c>
      <c r="AA712" s="1131"/>
      <c r="AB712" s="1131"/>
      <c r="AC712" s="1131"/>
      <c r="AD712" s="1131"/>
      <c r="AE712" s="1131"/>
      <c r="AF712" s="1131"/>
      <c r="AG712" s="1131"/>
      <c r="AH712" s="1131"/>
      <c r="AI712" s="1131"/>
      <c r="AJ712" s="1131"/>
      <c r="AK712" s="1131"/>
      <c r="AL712" s="1131"/>
      <c r="AM712" s="1131"/>
      <c r="AN712" s="1132"/>
      <c r="AP712" s="1193"/>
      <c r="AQ712" s="1193"/>
      <c r="AR712" s="1193"/>
      <c r="AS712" s="1193"/>
      <c r="AT712" s="1193"/>
      <c r="AU712" s="1193"/>
      <c r="AV712" s="1193"/>
      <c r="AW712" s="1193"/>
      <c r="AX712" s="1193"/>
      <c r="AY712" s="1193"/>
      <c r="AZ712" s="1193"/>
      <c r="BA712" s="1193"/>
      <c r="BB712" s="1193"/>
      <c r="BC712" s="1193"/>
      <c r="BD712" s="1193"/>
      <c r="BE712" s="1193"/>
      <c r="BF712" s="1193"/>
      <c r="BG712" s="1193"/>
    </row>
    <row r="713" spans="1:59" hidden="1" outlineLevel="1">
      <c r="A713" s="598"/>
      <c r="B713" s="1157"/>
      <c r="C713" s="598"/>
      <c r="D713" s="1133"/>
      <c r="E713" s="1134" t="s">
        <v>556</v>
      </c>
      <c r="F713" s="1133"/>
      <c r="G713" s="598"/>
      <c r="H713" s="1121"/>
      <c r="I713" s="598"/>
      <c r="J713" s="598"/>
      <c r="K713" s="598"/>
      <c r="L713" s="598"/>
      <c r="M713" s="598"/>
      <c r="N713" s="598"/>
      <c r="O713" s="598"/>
      <c r="P713" s="1135" t="s">
        <v>36</v>
      </c>
      <c r="Q713" s="1135"/>
      <c r="R713" s="598"/>
      <c r="S713" s="1136"/>
      <c r="T713" s="1136"/>
      <c r="U713" s="1133"/>
      <c r="V713" s="1136"/>
      <c r="W713" s="1136"/>
      <c r="X713" s="1124"/>
      <c r="Y713" s="598"/>
      <c r="Z713" s="598"/>
      <c r="AA713" s="598"/>
      <c r="AB713" s="598"/>
      <c r="AC713" s="598"/>
      <c r="AD713" s="598"/>
      <c r="AE713" s="598"/>
      <c r="AF713" s="1135" t="s">
        <v>36</v>
      </c>
      <c r="AG713" s="1135"/>
      <c r="AH713" s="598"/>
      <c r="AI713" s="1136"/>
      <c r="AJ713" s="1136"/>
      <c r="AK713" s="1134" t="s">
        <v>341</v>
      </c>
      <c r="AL713" s="1136"/>
      <c r="AM713" s="1136"/>
      <c r="AN713" s="1124"/>
      <c r="AP713" s="1193"/>
      <c r="AQ713" s="1193"/>
      <c r="AR713" s="1193"/>
      <c r="AS713" s="1193"/>
      <c r="AT713" s="1193"/>
      <c r="AU713" s="1193"/>
      <c r="AV713" s="1193"/>
      <c r="AW713" s="1193"/>
      <c r="AX713" s="1193"/>
      <c r="AY713" s="1193"/>
      <c r="AZ713" s="1193"/>
      <c r="BA713" s="1193"/>
      <c r="BB713" s="1193"/>
      <c r="BC713" s="1193"/>
      <c r="BD713" s="1193"/>
      <c r="BE713" s="1193"/>
      <c r="BF713" s="1193"/>
      <c r="BG713" s="1193"/>
    </row>
    <row r="714" spans="1:59" hidden="1" outlineLevel="1">
      <c r="A714" s="598"/>
      <c r="B714" s="1157"/>
      <c r="C714" s="598"/>
      <c r="D714" s="1121"/>
      <c r="E714" s="1121"/>
      <c r="F714" s="1121"/>
      <c r="G714" s="1121"/>
      <c r="H714" s="1134"/>
      <c r="I714" s="598"/>
      <c r="J714" s="1134"/>
      <c r="K714" s="1134" t="s">
        <v>31</v>
      </c>
      <c r="L714" s="1134"/>
      <c r="M714" s="1121"/>
      <c r="N714" s="1121" t="s">
        <v>34</v>
      </c>
      <c r="O714" s="598"/>
      <c r="P714" s="1135" t="s">
        <v>37</v>
      </c>
      <c r="Q714" s="1135"/>
      <c r="R714" s="598"/>
      <c r="S714" s="598"/>
      <c r="T714" s="598"/>
      <c r="U714" s="1121"/>
      <c r="V714" s="598"/>
      <c r="W714" s="1121" t="s">
        <v>43</v>
      </c>
      <c r="X714" s="1124"/>
      <c r="Y714" s="598"/>
      <c r="Z714" s="1134"/>
      <c r="AA714" s="1134" t="s">
        <v>433</v>
      </c>
      <c r="AB714" s="1134"/>
      <c r="AC714" s="1121"/>
      <c r="AD714" s="1121" t="s">
        <v>34</v>
      </c>
      <c r="AE714" s="598"/>
      <c r="AF714" s="1135" t="s">
        <v>37</v>
      </c>
      <c r="AG714" s="1135"/>
      <c r="AH714" s="598"/>
      <c r="AI714" s="598"/>
      <c r="AJ714" s="598"/>
      <c r="AK714" s="1121" t="s">
        <v>41</v>
      </c>
      <c r="AL714" s="598"/>
      <c r="AM714" s="1121" t="s">
        <v>43</v>
      </c>
      <c r="AN714" s="1124"/>
      <c r="AP714" s="1193"/>
      <c r="AQ714" s="1193"/>
      <c r="AR714" s="1193"/>
      <c r="AS714" s="1193"/>
      <c r="AT714" s="1193"/>
      <c r="AU714" s="1193"/>
      <c r="AV714" s="1193"/>
      <c r="AW714" s="1193"/>
      <c r="AX714" s="1193"/>
      <c r="AY714" s="1193"/>
      <c r="AZ714" s="1193"/>
      <c r="BA714" s="1193"/>
      <c r="BB714" s="1193"/>
      <c r="BC714" s="1193"/>
      <c r="BD714" s="1193"/>
      <c r="BE714" s="1193"/>
      <c r="BF714" s="1193"/>
      <c r="BG714" s="1193"/>
    </row>
    <row r="715" spans="1:59" hidden="1" outlineLevel="1">
      <c r="A715" s="598"/>
      <c r="B715" s="1157"/>
      <c r="C715" s="598"/>
      <c r="D715" s="1134" t="s">
        <v>610</v>
      </c>
      <c r="E715" s="1121"/>
      <c r="F715" s="1134"/>
      <c r="G715" s="1121"/>
      <c r="H715" s="1121"/>
      <c r="I715" s="598"/>
      <c r="J715" s="1134" t="s">
        <v>610</v>
      </c>
      <c r="K715" s="1121"/>
      <c r="L715" s="1134" t="s">
        <v>594</v>
      </c>
      <c r="M715" s="1121"/>
      <c r="N715" s="1134" t="s">
        <v>190</v>
      </c>
      <c r="O715" s="598"/>
      <c r="P715" s="1139" t="s">
        <v>38</v>
      </c>
      <c r="Q715" s="1139"/>
      <c r="R715" s="598"/>
      <c r="S715" s="1134"/>
      <c r="T715" s="598"/>
      <c r="U715" s="1134"/>
      <c r="V715" s="598"/>
      <c r="W715" s="1134" t="s">
        <v>597</v>
      </c>
      <c r="X715" s="1124"/>
      <c r="Y715" s="598"/>
      <c r="Z715" s="1134" t="s">
        <v>610</v>
      </c>
      <c r="AA715" s="1121"/>
      <c r="AB715" s="1134" t="s">
        <v>594</v>
      </c>
      <c r="AC715" s="1121"/>
      <c r="AD715" s="1134" t="s">
        <v>190</v>
      </c>
      <c r="AE715" s="598"/>
      <c r="AF715" s="1139" t="s">
        <v>339</v>
      </c>
      <c r="AG715" s="1139"/>
      <c r="AH715" s="598"/>
      <c r="AI715" s="1134" t="s">
        <v>610</v>
      </c>
      <c r="AJ715" s="598"/>
      <c r="AK715" s="1134" t="s">
        <v>334</v>
      </c>
      <c r="AL715" s="598"/>
      <c r="AM715" s="1134" t="s">
        <v>597</v>
      </c>
      <c r="AN715" s="1124"/>
      <c r="AP715" s="1193"/>
      <c r="AQ715" s="1193"/>
      <c r="AR715" s="1193"/>
      <c r="AS715" s="1193"/>
      <c r="AT715" s="1193"/>
      <c r="AU715" s="1193"/>
      <c r="AV715" s="1193"/>
      <c r="AW715" s="1193"/>
      <c r="AX715" s="1193"/>
      <c r="AY715" s="1193"/>
      <c r="AZ715" s="1193"/>
      <c r="BA715" s="1193"/>
      <c r="BB715" s="1193"/>
      <c r="BC715" s="1193"/>
      <c r="BD715" s="1193"/>
      <c r="BE715" s="1193"/>
      <c r="BF715" s="1193"/>
      <c r="BG715" s="1193"/>
    </row>
    <row r="716" spans="1:59" hidden="1" outlineLevel="1">
      <c r="A716" s="598"/>
      <c r="B716" s="1157"/>
      <c r="C716" s="598"/>
      <c r="D716" s="1141" t="s">
        <v>29</v>
      </c>
      <c r="E716" s="1121"/>
      <c r="F716" s="1141"/>
      <c r="G716" s="1121"/>
      <c r="H716" s="1141"/>
      <c r="I716" s="598"/>
      <c r="J716" s="1141" t="s">
        <v>32</v>
      </c>
      <c r="K716" s="1121"/>
      <c r="L716" s="1141" t="s">
        <v>33</v>
      </c>
      <c r="M716" s="1121"/>
      <c r="N716" s="1141" t="s">
        <v>35</v>
      </c>
      <c r="O716" s="598"/>
      <c r="P716" s="1142" t="s">
        <v>39</v>
      </c>
      <c r="Q716" s="1142"/>
      <c r="R716" s="598"/>
      <c r="S716" s="1141"/>
      <c r="T716" s="598"/>
      <c r="U716" s="1141"/>
      <c r="V716" s="598"/>
      <c r="W716" s="1141" t="s">
        <v>44</v>
      </c>
      <c r="X716" s="1124"/>
      <c r="Y716" s="598"/>
      <c r="Z716" s="1141" t="s">
        <v>331</v>
      </c>
      <c r="AA716" s="1121"/>
      <c r="AB716" s="1141" t="s">
        <v>332</v>
      </c>
      <c r="AC716" s="1121"/>
      <c r="AD716" s="1141" t="s">
        <v>333</v>
      </c>
      <c r="AE716" s="598"/>
      <c r="AF716" s="1142" t="s">
        <v>335</v>
      </c>
      <c r="AG716" s="1142"/>
      <c r="AH716" s="598"/>
      <c r="AI716" s="1141" t="s">
        <v>336</v>
      </c>
      <c r="AJ716" s="598"/>
      <c r="AK716" s="1141" t="s">
        <v>337</v>
      </c>
      <c r="AL716" s="598"/>
      <c r="AM716" s="1141" t="s">
        <v>338</v>
      </c>
      <c r="AN716" s="1124"/>
      <c r="AP716" s="1193"/>
      <c r="AQ716" s="1193"/>
      <c r="AR716" s="1193"/>
      <c r="AS716" s="1193"/>
      <c r="AT716" s="1193"/>
      <c r="AU716" s="1193"/>
      <c r="AV716" s="1193"/>
      <c r="AW716" s="1193"/>
      <c r="AX716" s="1193"/>
      <c r="AY716" s="1193"/>
      <c r="AZ716" s="1193"/>
      <c r="BA716" s="1193"/>
      <c r="BB716" s="1193"/>
      <c r="BC716" s="1193"/>
      <c r="BD716" s="1193"/>
      <c r="BE716" s="1193"/>
      <c r="BF716" s="1193"/>
      <c r="BG716" s="1193"/>
    </row>
    <row r="717" spans="1:59" hidden="1" outlineLevel="1">
      <c r="A717" s="598"/>
      <c r="B717" s="1157"/>
      <c r="C717" s="598"/>
      <c r="D717" s="598"/>
      <c r="E717" s="598"/>
      <c r="F717" s="598"/>
      <c r="G717" s="598"/>
      <c r="H717" s="598"/>
      <c r="I717" s="598"/>
      <c r="J717" s="598"/>
      <c r="K717" s="598"/>
      <c r="L717" s="598"/>
      <c r="M717" s="598"/>
      <c r="N717" s="598"/>
      <c r="O717" s="598"/>
      <c r="P717" s="1125"/>
      <c r="Q717" s="1125"/>
      <c r="R717" s="598"/>
      <c r="S717" s="598"/>
      <c r="T717" s="598"/>
      <c r="U717" s="598"/>
      <c r="V717" s="598"/>
      <c r="W717" s="598"/>
      <c r="X717" s="1124"/>
      <c r="Y717" s="598"/>
      <c r="Z717" s="598"/>
      <c r="AA717" s="598"/>
      <c r="AB717" s="598"/>
      <c r="AC717" s="598"/>
      <c r="AD717" s="598"/>
      <c r="AE717" s="598"/>
      <c r="AF717" s="1125"/>
      <c r="AG717" s="1125"/>
      <c r="AH717" s="598"/>
      <c r="AI717" s="598"/>
      <c r="AJ717" s="598"/>
      <c r="AK717" s="598"/>
      <c r="AL717" s="598"/>
      <c r="AM717" s="598"/>
      <c r="AN717" s="1124"/>
      <c r="AP717" s="1193"/>
      <c r="AQ717" s="1193"/>
      <c r="AR717" s="1193"/>
      <c r="AS717" s="1193"/>
      <c r="AT717" s="1193"/>
      <c r="AU717" s="1193"/>
      <c r="AV717" s="1193"/>
      <c r="AW717" s="1193"/>
      <c r="AX717" s="1193"/>
      <c r="AY717" s="1193"/>
      <c r="AZ717" s="1193"/>
      <c r="BA717" s="1193"/>
      <c r="BB717" s="1193"/>
      <c r="BC717" s="1193"/>
      <c r="BD717" s="1193"/>
      <c r="BE717" s="1193"/>
      <c r="BF717" s="1193"/>
      <c r="BG717" s="1193"/>
    </row>
    <row r="718" spans="1:59" hidden="1" outlineLevel="2">
      <c r="A718" s="1154"/>
      <c r="B718" s="1155">
        <v>1998</v>
      </c>
      <c r="C718" s="598"/>
      <c r="D718" s="598"/>
      <c r="E718" s="598"/>
      <c r="F718" s="598"/>
      <c r="G718" s="598"/>
      <c r="H718" s="598"/>
      <c r="I718" s="1124"/>
      <c r="J718" s="1127"/>
      <c r="K718" s="598"/>
      <c r="L718" s="598"/>
      <c r="M718" s="598"/>
      <c r="N718" s="598"/>
      <c r="O718" s="1124"/>
      <c r="P718" s="1125"/>
      <c r="Q718" s="1125"/>
      <c r="R718" s="598"/>
      <c r="S718" s="598"/>
      <c r="T718" s="598"/>
      <c r="U718" s="598"/>
      <c r="V718" s="598"/>
      <c r="W718" s="598"/>
      <c r="X718" s="1124"/>
      <c r="Y718" s="598"/>
      <c r="Z718" s="1127"/>
      <c r="AA718" s="598"/>
      <c r="AB718" s="598"/>
      <c r="AC718" s="598"/>
      <c r="AD718" s="598"/>
      <c r="AE718" s="1124"/>
      <c r="AF718" s="1125"/>
      <c r="AG718" s="1125"/>
      <c r="AH718" s="598"/>
      <c r="AI718" s="598"/>
      <c r="AJ718" s="598"/>
      <c r="AK718" s="598"/>
      <c r="AL718" s="598"/>
      <c r="AM718" s="598"/>
      <c r="AN718" s="1124"/>
      <c r="AP718" s="1193"/>
      <c r="AQ718" s="1193"/>
      <c r="AR718" s="1193"/>
      <c r="AS718" s="1193"/>
      <c r="AT718" s="1193"/>
      <c r="AU718" s="1193"/>
      <c r="AV718" s="1193"/>
      <c r="AW718" s="1193"/>
      <c r="AX718" s="1193"/>
      <c r="AY718" s="1193"/>
      <c r="AZ718" s="1193"/>
      <c r="BA718" s="1193"/>
      <c r="BB718" s="1193"/>
      <c r="BC718" s="1193"/>
      <c r="BD718" s="1193"/>
      <c r="BE718" s="1193"/>
      <c r="BF718" s="1193"/>
      <c r="BG718" s="1193"/>
    </row>
    <row r="719" spans="1:59" hidden="1" outlineLevel="2">
      <c r="A719" s="598" t="s">
        <v>527</v>
      </c>
      <c r="B719" s="1157" t="s">
        <v>514</v>
      </c>
      <c r="C719" s="598"/>
      <c r="D719" s="1120"/>
      <c r="E719" s="1124" t="s">
        <v>190</v>
      </c>
      <c r="F719" s="1158"/>
      <c r="G719" s="1124"/>
      <c r="H719" s="1120"/>
      <c r="I719" s="1124"/>
      <c r="J719" s="1170">
        <f>Stores!AT81</f>
        <v>0</v>
      </c>
      <c r="K719" s="598"/>
      <c r="L719" s="1128">
        <f>AVERAGE(J719,J715)</f>
        <v>0</v>
      </c>
      <c r="M719" s="598"/>
      <c r="N719" s="1120"/>
      <c r="O719" s="1124" t="s">
        <v>190</v>
      </c>
      <c r="P719" s="1159"/>
      <c r="Q719" s="1125" t="s">
        <v>190</v>
      </c>
      <c r="R719" s="598"/>
      <c r="S719" s="1160"/>
      <c r="T719" s="598"/>
      <c r="U719" s="1161"/>
      <c r="V719" s="598"/>
      <c r="W719" s="1176"/>
      <c r="X719" s="1124" t="s">
        <v>190</v>
      </c>
      <c r="Y719" s="598"/>
      <c r="Z719" s="1163">
        <f>Stores!AW81</f>
        <v>0</v>
      </c>
      <c r="AA719" s="598"/>
      <c r="AB719" s="1163"/>
      <c r="AC719" s="598"/>
      <c r="AD719" s="1120"/>
      <c r="AE719" s="1124"/>
      <c r="AF719" s="1159"/>
      <c r="AG719" s="1125" t="s">
        <v>190</v>
      </c>
      <c r="AH719" s="598"/>
      <c r="AI719" s="1160"/>
      <c r="AJ719" s="598"/>
      <c r="AK719" s="1164"/>
      <c r="AL719" s="598"/>
      <c r="AM719" s="1120"/>
      <c r="AN719" s="1124" t="s">
        <v>190</v>
      </c>
      <c r="AP719" s="1193"/>
      <c r="AQ719" s="1193"/>
      <c r="AR719" s="1193"/>
      <c r="AS719" s="1193"/>
      <c r="AT719" s="1193"/>
      <c r="AU719" s="1193"/>
      <c r="AV719" s="1193"/>
      <c r="AW719" s="1193"/>
      <c r="AX719" s="1193"/>
      <c r="AY719" s="1193"/>
      <c r="AZ719" s="1193"/>
      <c r="BA719" s="1193"/>
      <c r="BB719" s="1193"/>
      <c r="BC719" s="1193"/>
      <c r="BD719" s="1193"/>
      <c r="BE719" s="1193"/>
      <c r="BF719" s="1193"/>
      <c r="BG719" s="1193"/>
    </row>
    <row r="720" spans="1:59" hidden="1" outlineLevel="2">
      <c r="A720" s="598" t="s">
        <v>528</v>
      </c>
      <c r="B720" s="1157" t="s">
        <v>515</v>
      </c>
      <c r="C720" s="598"/>
      <c r="D720" s="1120"/>
      <c r="E720" s="598"/>
      <c r="F720" s="1158"/>
      <c r="G720" s="598"/>
      <c r="H720" s="1120"/>
      <c r="I720" s="1124"/>
      <c r="J720" s="1170">
        <f>Stores!AT82</f>
        <v>0</v>
      </c>
      <c r="K720" s="598"/>
      <c r="L720" s="1128">
        <f>AVERAGE(J720,J719)</f>
        <v>0</v>
      </c>
      <c r="M720" s="598"/>
      <c r="N720" s="1120"/>
      <c r="O720" s="1124"/>
      <c r="P720" s="1159"/>
      <c r="Q720" s="1125"/>
      <c r="R720" s="598"/>
      <c r="S720" s="1165"/>
      <c r="T720" s="598"/>
      <c r="U720" s="1166"/>
      <c r="V720" s="598"/>
      <c r="W720" s="1176"/>
      <c r="X720" s="1124"/>
      <c r="Y720" s="598"/>
      <c r="Z720" s="1163">
        <f>Stores!AW82</f>
        <v>0</v>
      </c>
      <c r="AA720" s="598"/>
      <c r="AB720" s="1163"/>
      <c r="AC720" s="598"/>
      <c r="AD720" s="1120"/>
      <c r="AE720" s="1124"/>
      <c r="AF720" s="1159"/>
      <c r="AG720" s="1125"/>
      <c r="AH720" s="598"/>
      <c r="AI720" s="1165"/>
      <c r="AJ720" s="598"/>
      <c r="AK720" s="1167"/>
      <c r="AL720" s="598"/>
      <c r="AM720" s="1120"/>
      <c r="AN720" s="1124"/>
      <c r="AP720" s="1193"/>
      <c r="AQ720" s="1193"/>
      <c r="AR720" s="1193"/>
      <c r="AS720" s="1193"/>
      <c r="AT720" s="1193"/>
      <c r="AU720" s="1193"/>
      <c r="AV720" s="1193"/>
      <c r="AW720" s="1193"/>
      <c r="AX720" s="1193"/>
      <c r="AY720" s="1193"/>
      <c r="AZ720" s="1193"/>
      <c r="BA720" s="1193"/>
      <c r="BB720" s="1193"/>
      <c r="BC720" s="1193"/>
      <c r="BD720" s="1193"/>
      <c r="BE720" s="1193"/>
      <c r="BF720" s="1193"/>
      <c r="BG720" s="1193"/>
    </row>
    <row r="721" spans="1:59" hidden="1" outlineLevel="2">
      <c r="A721" s="598" t="s">
        <v>529</v>
      </c>
      <c r="B721" s="1157" t="s">
        <v>516</v>
      </c>
      <c r="C721" s="598"/>
      <c r="D721" s="1120"/>
      <c r="E721" s="598"/>
      <c r="F721" s="1158"/>
      <c r="G721" s="598"/>
      <c r="H721" s="1120"/>
      <c r="I721" s="1124"/>
      <c r="J721" s="1170">
        <f>Stores!AT83</f>
        <v>5</v>
      </c>
      <c r="K721" s="598"/>
      <c r="L721" s="1128">
        <f>AVERAGE(J721,J720)</f>
        <v>2.5</v>
      </c>
      <c r="M721" s="598"/>
      <c r="N721" s="1120"/>
      <c r="O721" s="1124"/>
      <c r="P721" s="1159"/>
      <c r="Q721" s="1125"/>
      <c r="R721" s="598"/>
      <c r="S721" s="1165"/>
      <c r="T721" s="598"/>
      <c r="U721" s="1166"/>
      <c r="V721" s="598"/>
      <c r="W721" s="1176"/>
      <c r="X721" s="1124"/>
      <c r="Y721" s="598"/>
      <c r="Z721" s="1163">
        <f>Stores!AW83</f>
        <v>3.2000000000000001E-2</v>
      </c>
      <c r="AA721" s="598"/>
      <c r="AB721" s="1163"/>
      <c r="AC721" s="598"/>
      <c r="AD721" s="1120"/>
      <c r="AE721" s="1124"/>
      <c r="AF721" s="1159"/>
      <c r="AG721" s="1125"/>
      <c r="AH721" s="598"/>
      <c r="AI721" s="1165"/>
      <c r="AJ721" s="598"/>
      <c r="AK721" s="1167"/>
      <c r="AL721" s="598"/>
      <c r="AM721" s="1176"/>
      <c r="AN721" s="1124"/>
      <c r="AP721" s="1193"/>
      <c r="AQ721" s="1193"/>
      <c r="AR721" s="1193"/>
      <c r="AS721" s="1193"/>
      <c r="AT721" s="1193"/>
      <c r="AU721" s="1193"/>
      <c r="AV721" s="1193"/>
      <c r="AW721" s="1193"/>
      <c r="AX721" s="1193"/>
      <c r="AY721" s="1193"/>
      <c r="AZ721" s="1193"/>
      <c r="BA721" s="1193"/>
      <c r="BB721" s="1193"/>
      <c r="BC721" s="1193"/>
      <c r="BD721" s="1193"/>
      <c r="BE721" s="1193"/>
      <c r="BF721" s="1193"/>
      <c r="BG721" s="1193"/>
    </row>
    <row r="722" spans="1:59" hidden="1" outlineLevel="2">
      <c r="A722" s="598" t="s">
        <v>530</v>
      </c>
      <c r="B722" s="1157" t="s">
        <v>517</v>
      </c>
      <c r="C722" s="598"/>
      <c r="D722" s="1168"/>
      <c r="E722" s="598"/>
      <c r="F722" s="1169"/>
      <c r="G722" s="598"/>
      <c r="H722" s="1168"/>
      <c r="I722" s="1124"/>
      <c r="J722" s="1170">
        <f>yrSales!J$287</f>
        <v>6</v>
      </c>
      <c r="K722" s="598"/>
      <c r="L722" s="1171">
        <f>AVERAGE(J722,J721)</f>
        <v>5.5</v>
      </c>
      <c r="M722" s="598"/>
      <c r="N722" s="1168"/>
      <c r="O722" s="1124"/>
      <c r="P722" s="1171"/>
      <c r="Q722" s="1125"/>
      <c r="R722" s="598"/>
      <c r="S722" s="1172"/>
      <c r="T722" s="598"/>
      <c r="U722" s="1173"/>
      <c r="V722" s="598"/>
      <c r="W722" s="1169"/>
      <c r="X722" s="1124"/>
      <c r="Y722" s="598"/>
      <c r="Z722" s="1129">
        <f>yrSales!J$297</f>
        <v>0.17</v>
      </c>
      <c r="AA722" s="598"/>
      <c r="AB722" s="1174"/>
      <c r="AC722" s="598"/>
      <c r="AD722" s="1168"/>
      <c r="AE722" s="1124"/>
      <c r="AF722" s="1171"/>
      <c r="AG722" s="1125"/>
      <c r="AH722" s="598"/>
      <c r="AI722" s="1172"/>
      <c r="AJ722" s="598"/>
      <c r="AK722" s="1175"/>
      <c r="AL722" s="598"/>
      <c r="AM722" s="1169"/>
      <c r="AN722" s="1124"/>
      <c r="AP722" s="1193"/>
      <c r="AQ722" s="1193"/>
      <c r="AR722" s="1193"/>
      <c r="AS722" s="1193"/>
      <c r="AT722" s="1193"/>
      <c r="AU722" s="1193"/>
      <c r="AV722" s="1193"/>
      <c r="AW722" s="1193"/>
      <c r="AX722" s="1193"/>
      <c r="AY722" s="1193"/>
      <c r="AZ722" s="1193"/>
      <c r="BA722" s="1193"/>
      <c r="BB722" s="1193"/>
      <c r="BC722" s="1193"/>
      <c r="BD722" s="1193"/>
      <c r="BE722" s="1193"/>
      <c r="BF722" s="1193"/>
      <c r="BG722" s="1193"/>
    </row>
    <row r="723" spans="1:59" hidden="1" outlineLevel="2">
      <c r="A723" s="598"/>
      <c r="B723" s="1157" t="s">
        <v>531</v>
      </c>
      <c r="C723" s="598"/>
      <c r="D723" s="1120"/>
      <c r="E723" s="598"/>
      <c r="F723" s="1158"/>
      <c r="G723" s="598"/>
      <c r="H723" s="1120"/>
      <c r="I723" s="1124"/>
      <c r="J723" s="598"/>
      <c r="K723" s="598"/>
      <c r="L723" s="1128">
        <f>AVERAGE(L719:L722)</f>
        <v>2</v>
      </c>
      <c r="M723" s="598"/>
      <c r="N723" s="1120"/>
      <c r="O723" s="1124"/>
      <c r="P723" s="1159"/>
      <c r="Q723" s="1125"/>
      <c r="R723" s="598"/>
      <c r="S723" s="1160"/>
      <c r="T723" s="598"/>
      <c r="U723" s="1161"/>
      <c r="V723" s="598"/>
      <c r="W723" s="1176"/>
      <c r="X723" s="1124"/>
      <c r="Y723" s="598"/>
      <c r="Z723" s="1127"/>
      <c r="AA723" s="598"/>
      <c r="AB723" s="1163"/>
      <c r="AC723" s="598"/>
      <c r="AD723" s="1120"/>
      <c r="AE723" s="1124"/>
      <c r="AF723" s="1159"/>
      <c r="AG723" s="1125"/>
      <c r="AH723" s="598"/>
      <c r="AI723" s="1160">
        <f>+S723</f>
        <v>0</v>
      </c>
      <c r="AJ723" s="598"/>
      <c r="AK723" s="1164"/>
      <c r="AL723" s="598"/>
      <c r="AM723" s="1176"/>
      <c r="AN723" s="1124"/>
      <c r="AP723" s="1193"/>
      <c r="AQ723" s="1193"/>
      <c r="AR723" s="1193"/>
      <c r="AS723" s="1193"/>
      <c r="AT723" s="1193"/>
      <c r="AU723" s="1193"/>
      <c r="AV723" s="1193"/>
      <c r="AW723" s="1193"/>
      <c r="AX723" s="1193"/>
      <c r="AY723" s="1193"/>
      <c r="AZ723" s="1193"/>
      <c r="BA723" s="1193"/>
      <c r="BB723" s="1193"/>
      <c r="BC723" s="1193"/>
      <c r="BD723" s="1193"/>
      <c r="BE723" s="1193"/>
      <c r="BF723" s="1193"/>
      <c r="BG723" s="1193"/>
    </row>
    <row r="724" spans="1:59" hidden="1" outlineLevel="2">
      <c r="A724" s="598"/>
      <c r="B724" s="1157"/>
      <c r="C724" s="598"/>
      <c r="D724" s="598"/>
      <c r="E724" s="598"/>
      <c r="F724" s="598"/>
      <c r="G724" s="598"/>
      <c r="H724" s="598"/>
      <c r="I724" s="1124"/>
      <c r="J724" s="598"/>
      <c r="K724" s="598"/>
      <c r="L724" s="598"/>
      <c r="M724" s="598"/>
      <c r="N724" s="598"/>
      <c r="O724" s="1124"/>
      <c r="P724" s="1125"/>
      <c r="Q724" s="1125"/>
      <c r="R724" s="598"/>
      <c r="S724" s="598"/>
      <c r="T724" s="598"/>
      <c r="U724" s="598"/>
      <c r="V724" s="598"/>
      <c r="W724" s="598"/>
      <c r="X724" s="1124"/>
      <c r="Y724" s="598"/>
      <c r="Z724" s="598"/>
      <c r="AA724" s="598"/>
      <c r="AB724" s="598"/>
      <c r="AC724" s="598"/>
      <c r="AD724" s="598"/>
      <c r="AE724" s="1124"/>
      <c r="AF724" s="1125"/>
      <c r="AG724" s="1125"/>
      <c r="AH724" s="598"/>
      <c r="AI724" s="598"/>
      <c r="AJ724" s="598"/>
      <c r="AK724" s="598"/>
      <c r="AL724" s="598"/>
      <c r="AM724" s="598"/>
      <c r="AN724" s="1124"/>
      <c r="AP724" s="1193"/>
      <c r="AQ724" s="1193"/>
      <c r="AR724" s="1193"/>
      <c r="AS724" s="1193"/>
      <c r="AT724" s="1193"/>
      <c r="AU724" s="1193"/>
      <c r="AV724" s="1193"/>
      <c r="AW724" s="1193"/>
      <c r="AX724" s="1193"/>
      <c r="AY724" s="1193"/>
      <c r="AZ724" s="1193"/>
      <c r="BA724" s="1193"/>
      <c r="BB724" s="1193"/>
      <c r="BC724" s="1193"/>
      <c r="BD724" s="1193"/>
      <c r="BE724" s="1193"/>
      <c r="BF724" s="1193"/>
      <c r="BG724" s="1193"/>
    </row>
    <row r="725" spans="1:59" hidden="1" outlineLevel="2">
      <c r="A725" s="1154"/>
      <c r="B725" s="1155">
        <f>B718+1</f>
        <v>1999</v>
      </c>
      <c r="C725" s="598"/>
      <c r="D725" s="598"/>
      <c r="E725" s="598"/>
      <c r="F725" s="598"/>
      <c r="G725" s="598"/>
      <c r="H725" s="598"/>
      <c r="I725" s="1124"/>
      <c r="J725" s="598"/>
      <c r="K725" s="598"/>
      <c r="L725" s="598"/>
      <c r="M725" s="598"/>
      <c r="N725" s="598"/>
      <c r="O725" s="1124"/>
      <c r="P725" s="1125"/>
      <c r="Q725" s="1125"/>
      <c r="R725" s="598"/>
      <c r="S725" s="598"/>
      <c r="T725" s="598"/>
      <c r="U725" s="598"/>
      <c r="V725" s="598"/>
      <c r="W725" s="598"/>
      <c r="X725" s="1124"/>
      <c r="Y725" s="598"/>
      <c r="Z725" s="598"/>
      <c r="AA725" s="598"/>
      <c r="AB725" s="598"/>
      <c r="AC725" s="598"/>
      <c r="AD725" s="598"/>
      <c r="AE725" s="1124"/>
      <c r="AF725" s="1125"/>
      <c r="AG725" s="1125"/>
      <c r="AH725" s="598"/>
      <c r="AI725" s="598"/>
      <c r="AJ725" s="598"/>
      <c r="AK725" s="598"/>
      <c r="AL725" s="598"/>
      <c r="AM725" s="598"/>
      <c r="AN725" s="1124"/>
      <c r="AP725" s="1193"/>
      <c r="AQ725" s="1193"/>
      <c r="AR725" s="1193"/>
      <c r="AS725" s="1193"/>
      <c r="AT725" s="1193"/>
      <c r="AU725" s="1193"/>
      <c r="AV725" s="1193"/>
      <c r="AW725" s="1193"/>
      <c r="AX725" s="1193"/>
      <c r="AY725" s="1193"/>
      <c r="AZ725" s="1193"/>
      <c r="BA725" s="1193"/>
      <c r="BB725" s="1193"/>
      <c r="BC725" s="1193"/>
      <c r="BD725" s="1193"/>
      <c r="BE725" s="1193"/>
      <c r="BF725" s="1193"/>
      <c r="BG725" s="1193"/>
    </row>
    <row r="726" spans="1:59" hidden="1" outlineLevel="2">
      <c r="A726" s="598" t="s">
        <v>527</v>
      </c>
      <c r="B726" s="1157" t="s">
        <v>514</v>
      </c>
      <c r="C726" s="598"/>
      <c r="D726" s="1120"/>
      <c r="E726" s="1124" t="s">
        <v>190</v>
      </c>
      <c r="F726" s="1205"/>
      <c r="G726" s="1124"/>
      <c r="H726" s="1120"/>
      <c r="I726" s="1124"/>
      <c r="J726" s="1170">
        <f>Stores!AT89</f>
        <v>10</v>
      </c>
      <c r="K726" s="598"/>
      <c r="L726" s="1128">
        <f>AVERAGE(J726,J722)</f>
        <v>8</v>
      </c>
      <c r="M726" s="598"/>
      <c r="N726" s="1120"/>
      <c r="O726" s="1124" t="s">
        <v>190</v>
      </c>
      <c r="P726" s="1159"/>
      <c r="Q726" s="1125" t="s">
        <v>190</v>
      </c>
      <c r="R726" s="598"/>
      <c r="S726" s="1160"/>
      <c r="T726" s="598"/>
      <c r="U726" s="1161"/>
      <c r="V726" s="598"/>
      <c r="W726" s="1176"/>
      <c r="X726" s="1124" t="s">
        <v>190</v>
      </c>
      <c r="Y726" s="598"/>
      <c r="Z726" s="1163">
        <f>Stores!AW89</f>
        <v>0.27600000000000002</v>
      </c>
      <c r="AA726" s="598"/>
      <c r="AB726" s="1163">
        <f>AVERAGE(Z726,Z722)</f>
        <v>0.22300000000000003</v>
      </c>
      <c r="AC726" s="598"/>
      <c r="AD726" s="1120"/>
      <c r="AE726" s="1124" t="s">
        <v>190</v>
      </c>
      <c r="AF726" s="1159"/>
      <c r="AG726" s="1125" t="s">
        <v>190</v>
      </c>
      <c r="AH726" s="598"/>
      <c r="AI726" s="1160">
        <f>+S726</f>
        <v>0</v>
      </c>
      <c r="AJ726" s="598"/>
      <c r="AK726" s="1164">
        <f>AI726/AB726</f>
        <v>0</v>
      </c>
      <c r="AL726" s="598"/>
      <c r="AM726" s="1120"/>
      <c r="AN726" s="1124" t="s">
        <v>190</v>
      </c>
      <c r="AP726" s="1193"/>
      <c r="AQ726" s="1193"/>
      <c r="AR726" s="1193"/>
      <c r="AS726" s="1193"/>
      <c r="AT726" s="1193"/>
      <c r="AU726" s="1193"/>
      <c r="AV726" s="1193"/>
      <c r="AW726" s="1193"/>
      <c r="AX726" s="1193"/>
      <c r="AY726" s="1193"/>
      <c r="AZ726" s="1193"/>
      <c r="BA726" s="1193"/>
      <c r="BB726" s="1193"/>
      <c r="BC726" s="1193"/>
      <c r="BD726" s="1193"/>
      <c r="BE726" s="1193"/>
      <c r="BF726" s="1193"/>
      <c r="BG726" s="1193"/>
    </row>
    <row r="727" spans="1:59" hidden="1" outlineLevel="2">
      <c r="A727" s="598" t="s">
        <v>528</v>
      </c>
      <c r="B727" s="1157" t="s">
        <v>515</v>
      </c>
      <c r="C727" s="598"/>
      <c r="D727" s="1120"/>
      <c r="E727" s="1124"/>
      <c r="F727" s="1205"/>
      <c r="G727" s="1124"/>
      <c r="H727" s="1120"/>
      <c r="I727" s="1124"/>
      <c r="J727" s="1170">
        <f>Stores!AT90</f>
        <v>11</v>
      </c>
      <c r="K727" s="598"/>
      <c r="L727" s="1128">
        <f>AVERAGE(J727,J726)</f>
        <v>10.5</v>
      </c>
      <c r="M727" s="598"/>
      <c r="N727" s="1120"/>
      <c r="O727" s="1124"/>
      <c r="P727" s="1159"/>
      <c r="Q727" s="1125"/>
      <c r="R727" s="598"/>
      <c r="S727" s="1165"/>
      <c r="T727" s="598"/>
      <c r="U727" s="1166"/>
      <c r="V727" s="598"/>
      <c r="W727" s="1176"/>
      <c r="X727" s="1124"/>
      <c r="Y727" s="598"/>
      <c r="Z727" s="1163">
        <f>Stores!AW90</f>
        <v>0.30299999999999999</v>
      </c>
      <c r="AA727" s="598"/>
      <c r="AB727" s="1163">
        <f>AVERAGE(Z727,Z726)</f>
        <v>0.28949999999999998</v>
      </c>
      <c r="AC727" s="598"/>
      <c r="AD727" s="1120"/>
      <c r="AE727" s="1124"/>
      <c r="AF727" s="1159"/>
      <c r="AG727" s="1125"/>
      <c r="AH727" s="598"/>
      <c r="AI727" s="1165">
        <f>+S727</f>
        <v>0</v>
      </c>
      <c r="AJ727" s="598"/>
      <c r="AK727" s="1167">
        <f>AI727/AB727</f>
        <v>0</v>
      </c>
      <c r="AL727" s="598"/>
      <c r="AM727" s="1120"/>
      <c r="AN727" s="1124"/>
      <c r="AP727" s="1193"/>
      <c r="AQ727" s="1193"/>
      <c r="AR727" s="1193"/>
      <c r="AS727" s="1193"/>
      <c r="AT727" s="1193"/>
      <c r="AU727" s="1193"/>
      <c r="AV727" s="1193"/>
      <c r="AW727" s="1193"/>
      <c r="AX727" s="1193"/>
      <c r="AY727" s="1193"/>
      <c r="AZ727" s="1193"/>
      <c r="BA727" s="1193"/>
      <c r="BB727" s="1193"/>
      <c r="BC727" s="1193"/>
      <c r="BD727" s="1193"/>
      <c r="BE727" s="1193"/>
      <c r="BF727" s="1193"/>
      <c r="BG727" s="1193"/>
    </row>
    <row r="728" spans="1:59" hidden="1" outlineLevel="2">
      <c r="A728" s="598" t="s">
        <v>529</v>
      </c>
      <c r="B728" s="1157" t="s">
        <v>516</v>
      </c>
      <c r="C728" s="598"/>
      <c r="D728" s="1120" t="e">
        <f>(S728/S721-1)*100</f>
        <v>#DIV/0!</v>
      </c>
      <c r="E728" s="1124"/>
      <c r="F728" s="1205"/>
      <c r="G728" s="1124"/>
      <c r="H728" s="1120"/>
      <c r="I728" s="1124"/>
      <c r="J728" s="1170">
        <f>Stores!AT91</f>
        <v>11</v>
      </c>
      <c r="K728" s="598"/>
      <c r="L728" s="1128">
        <f>AVERAGE(J728,J727)</f>
        <v>11</v>
      </c>
      <c r="M728" s="598"/>
      <c r="N728" s="1120">
        <f>(L728/L721-1)*100</f>
        <v>340.00000000000006</v>
      </c>
      <c r="O728" s="1124"/>
      <c r="P728" s="1159"/>
      <c r="Q728" s="1125"/>
      <c r="R728" s="598"/>
      <c r="S728" s="1165"/>
      <c r="T728" s="598"/>
      <c r="U728" s="1166"/>
      <c r="V728" s="598"/>
      <c r="W728" s="1176"/>
      <c r="X728" s="1124"/>
      <c r="Y728" s="598"/>
      <c r="Z728" s="1163">
        <f>Stores!AW91</f>
        <v>0.30299999999999999</v>
      </c>
      <c r="AA728" s="598"/>
      <c r="AB728" s="1163">
        <f>AVERAGE(Z728,Z727)</f>
        <v>0.30299999999999999</v>
      </c>
      <c r="AC728" s="598"/>
      <c r="AD728" s="1120"/>
      <c r="AE728" s="1124"/>
      <c r="AF728" s="1159"/>
      <c r="AG728" s="1125"/>
      <c r="AH728" s="598"/>
      <c r="AI728" s="1165">
        <f>+S728</f>
        <v>0</v>
      </c>
      <c r="AJ728" s="598"/>
      <c r="AK728" s="1167">
        <f>AI728/AB728</f>
        <v>0</v>
      </c>
      <c r="AL728" s="598"/>
      <c r="AM728" s="1176"/>
      <c r="AN728" s="1124"/>
      <c r="AP728" s="1193"/>
      <c r="AQ728" s="1193"/>
      <c r="AR728" s="1193"/>
      <c r="AS728" s="1193"/>
      <c r="AT728" s="1193"/>
      <c r="AU728" s="1193"/>
      <c r="AV728" s="1193"/>
      <c r="AW728" s="1193"/>
      <c r="AX728" s="1193"/>
      <c r="AY728" s="1193"/>
      <c r="AZ728" s="1193"/>
      <c r="BA728" s="1193"/>
      <c r="BB728" s="1193"/>
      <c r="BC728" s="1193"/>
      <c r="BD728" s="1193"/>
      <c r="BE728" s="1193"/>
      <c r="BF728" s="1193"/>
      <c r="BG728" s="1193"/>
    </row>
    <row r="729" spans="1:59" hidden="1" outlineLevel="2">
      <c r="A729" s="598" t="s">
        <v>530</v>
      </c>
      <c r="B729" s="1157" t="s">
        <v>517</v>
      </c>
      <c r="C729" s="598"/>
      <c r="D729" s="1168" t="e">
        <f>(S729/S722-1)*100</f>
        <v>#DIV/0!</v>
      </c>
      <c r="E729" s="1124"/>
      <c r="F729" s="1178"/>
      <c r="G729" s="1124"/>
      <c r="H729" s="1168"/>
      <c r="I729" s="1124"/>
      <c r="J729" s="1170">
        <f>yrSales!K$287</f>
        <v>15</v>
      </c>
      <c r="K729" s="598"/>
      <c r="L729" s="1171">
        <f>AVERAGE(J729,J728)</f>
        <v>13</v>
      </c>
      <c r="M729" s="598"/>
      <c r="N729" s="1168">
        <f>(L729/L722-1)*100</f>
        <v>136.36363636363637</v>
      </c>
      <c r="O729" s="1124"/>
      <c r="P729" s="1171"/>
      <c r="Q729" s="1125"/>
      <c r="R729" s="598"/>
      <c r="S729" s="1172"/>
      <c r="T729" s="598"/>
      <c r="U729" s="1173"/>
      <c r="V729" s="598"/>
      <c r="W729" s="1169"/>
      <c r="X729" s="1124"/>
      <c r="Y729" s="598"/>
      <c r="Z729" s="1129">
        <f>yrSales!K$297</f>
        <v>0.40600000000000003</v>
      </c>
      <c r="AA729" s="598"/>
      <c r="AB729" s="1174">
        <f>AVERAGE(Z729,Z728)</f>
        <v>0.35450000000000004</v>
      </c>
      <c r="AC729" s="598"/>
      <c r="AD729" s="1168"/>
      <c r="AE729" s="1124"/>
      <c r="AF729" s="1171"/>
      <c r="AG729" s="1125"/>
      <c r="AH729" s="598"/>
      <c r="AI729" s="1172">
        <f>+S729</f>
        <v>0</v>
      </c>
      <c r="AJ729" s="598"/>
      <c r="AK729" s="1175">
        <f>AI729/AB729</f>
        <v>0</v>
      </c>
      <c r="AL729" s="598"/>
      <c r="AM729" s="1169"/>
      <c r="AN729" s="1124"/>
      <c r="AP729" s="1193"/>
      <c r="AQ729" s="1193"/>
      <c r="AR729" s="1193"/>
      <c r="AS729" s="1193"/>
      <c r="AT729" s="1193"/>
      <c r="AU729" s="1193"/>
      <c r="AV729" s="1193"/>
      <c r="AW729" s="1193"/>
      <c r="AX729" s="1193"/>
      <c r="AY729" s="1193"/>
      <c r="AZ729" s="1193"/>
      <c r="BA729" s="1193"/>
      <c r="BB729" s="1193"/>
      <c r="BC729" s="1193"/>
      <c r="BD729" s="1193"/>
      <c r="BE729" s="1193"/>
      <c r="BF729" s="1193"/>
      <c r="BG729" s="1193"/>
    </row>
    <row r="730" spans="1:59" hidden="1" outlineLevel="2">
      <c r="A730" s="598"/>
      <c r="B730" s="1157" t="s">
        <v>531</v>
      </c>
      <c r="C730" s="598"/>
      <c r="D730" s="1120" t="e">
        <f>(S730/S723-1)*100</f>
        <v>#DIV/0!</v>
      </c>
      <c r="E730" s="1124"/>
      <c r="F730" s="1205"/>
      <c r="G730" s="1124"/>
      <c r="H730" s="1120"/>
      <c r="I730" s="1124"/>
      <c r="J730" s="598"/>
      <c r="K730" s="598"/>
      <c r="L730" s="1128">
        <f>AVERAGE(L726:L729)</f>
        <v>10.625</v>
      </c>
      <c r="M730" s="598"/>
      <c r="N730" s="1120">
        <f>(L730/L723-1)*100</f>
        <v>431.25</v>
      </c>
      <c r="O730" s="1124"/>
      <c r="P730" s="1159">
        <f>H730/N730*100</f>
        <v>0</v>
      </c>
      <c r="Q730" s="1125"/>
      <c r="R730" s="598"/>
      <c r="S730" s="1160"/>
      <c r="T730" s="598"/>
      <c r="U730" s="1161"/>
      <c r="V730" s="598"/>
      <c r="W730" s="1176" t="e">
        <f>(U730/U723-1)*100</f>
        <v>#DIV/0!</v>
      </c>
      <c r="X730" s="1124"/>
      <c r="Y730" s="598"/>
      <c r="Z730" s="598"/>
      <c r="AA730" s="598"/>
      <c r="AB730" s="1163">
        <f>AVERAGE(AB726:AB729)</f>
        <v>0.29249999999999998</v>
      </c>
      <c r="AC730" s="598"/>
      <c r="AD730" s="1120"/>
      <c r="AE730" s="1124"/>
      <c r="AF730" s="1159"/>
      <c r="AG730" s="1125"/>
      <c r="AH730" s="598"/>
      <c r="AI730" s="1160">
        <f>+S730</f>
        <v>0</v>
      </c>
      <c r="AJ730" s="598"/>
      <c r="AK730" s="1164">
        <f>AI730/AB730</f>
        <v>0</v>
      </c>
      <c r="AL730" s="598"/>
      <c r="AM730" s="1176"/>
      <c r="AN730" s="1124"/>
      <c r="AP730" s="1193"/>
      <c r="AQ730" s="1193"/>
      <c r="AR730" s="1193"/>
      <c r="AS730" s="1193"/>
      <c r="AT730" s="1193"/>
      <c r="AU730" s="1193"/>
      <c r="AV730" s="1193"/>
      <c r="AW730" s="1193"/>
      <c r="AX730" s="1193"/>
      <c r="AY730" s="1193"/>
      <c r="AZ730" s="1193"/>
      <c r="BA730" s="1193"/>
      <c r="BB730" s="1193"/>
      <c r="BC730" s="1193"/>
      <c r="BD730" s="1193"/>
      <c r="BE730" s="1193"/>
      <c r="BF730" s="1193"/>
      <c r="BG730" s="1193"/>
    </row>
    <row r="731" spans="1:59" hidden="1" outlineLevel="2">
      <c r="A731" s="598"/>
      <c r="B731" s="1157"/>
      <c r="C731" s="598"/>
      <c r="D731" s="598"/>
      <c r="E731" s="1124"/>
      <c r="F731" s="598"/>
      <c r="G731" s="1124"/>
      <c r="H731" s="598"/>
      <c r="I731" s="1124"/>
      <c r="J731" s="598"/>
      <c r="K731" s="598"/>
      <c r="L731" s="598"/>
      <c r="M731" s="598"/>
      <c r="N731" s="598"/>
      <c r="O731" s="1124"/>
      <c r="P731" s="1125"/>
      <c r="Q731" s="1125"/>
      <c r="R731" s="598"/>
      <c r="S731" s="598"/>
      <c r="T731" s="598"/>
      <c r="U731" s="598"/>
      <c r="V731" s="598"/>
      <c r="W731" s="598"/>
      <c r="X731" s="1124"/>
      <c r="Y731" s="598"/>
      <c r="Z731" s="598"/>
      <c r="AA731" s="598"/>
      <c r="AB731" s="598"/>
      <c r="AC731" s="598"/>
      <c r="AD731" s="598"/>
      <c r="AE731" s="1124"/>
      <c r="AF731" s="1125"/>
      <c r="AG731" s="1125"/>
      <c r="AH731" s="598"/>
      <c r="AI731" s="598"/>
      <c r="AJ731" s="598"/>
      <c r="AK731" s="598"/>
      <c r="AL731" s="598"/>
      <c r="AM731" s="598"/>
      <c r="AN731" s="1124"/>
      <c r="AP731" s="1193"/>
      <c r="AQ731" s="1193"/>
      <c r="AR731" s="1193"/>
      <c r="AS731" s="1193"/>
      <c r="AT731" s="1193"/>
      <c r="AU731" s="1193"/>
      <c r="AV731" s="1193"/>
      <c r="AW731" s="1193"/>
      <c r="AX731" s="1193"/>
      <c r="AY731" s="1193"/>
      <c r="AZ731" s="1193"/>
      <c r="BA731" s="1193"/>
      <c r="BB731" s="1193"/>
      <c r="BC731" s="1193"/>
      <c r="BD731" s="1193"/>
      <c r="BE731" s="1193"/>
      <c r="BF731" s="1193"/>
      <c r="BG731" s="1193"/>
    </row>
    <row r="732" spans="1:59" hidden="1" outlineLevel="2" collapsed="1">
      <c r="A732" s="1154"/>
      <c r="B732" s="1155">
        <f>B725+1</f>
        <v>2000</v>
      </c>
      <c r="C732" s="598"/>
      <c r="D732" s="598"/>
      <c r="E732" s="1124"/>
      <c r="F732" s="598"/>
      <c r="G732" s="1124"/>
      <c r="H732" s="598"/>
      <c r="I732" s="1124"/>
      <c r="J732" s="598"/>
      <c r="K732" s="598"/>
      <c r="L732" s="598"/>
      <c r="M732" s="598"/>
      <c r="N732" s="598"/>
      <c r="O732" s="1124"/>
      <c r="P732" s="1125"/>
      <c r="Q732" s="1125"/>
      <c r="R732" s="598"/>
      <c r="S732" s="598"/>
      <c r="T732" s="598"/>
      <c r="U732" s="598"/>
      <c r="V732" s="598"/>
      <c r="W732" s="598"/>
      <c r="X732" s="1124"/>
      <c r="Y732" s="598"/>
      <c r="Z732" s="598"/>
      <c r="AA732" s="598"/>
      <c r="AB732" s="598"/>
      <c r="AC732" s="598"/>
      <c r="AD732" s="598"/>
      <c r="AE732" s="1124"/>
      <c r="AF732" s="1125"/>
      <c r="AG732" s="1125"/>
      <c r="AH732" s="598"/>
      <c r="AI732" s="598"/>
      <c r="AJ732" s="598"/>
      <c r="AK732" s="598"/>
      <c r="AL732" s="598"/>
      <c r="AM732" s="598"/>
      <c r="AN732" s="1124"/>
      <c r="AP732" s="1193"/>
      <c r="AQ732" s="1193"/>
      <c r="AR732" s="1193"/>
      <c r="AS732" s="1193"/>
      <c r="AT732" s="1193"/>
      <c r="AU732" s="1193"/>
      <c r="AV732" s="1193"/>
      <c r="AW732" s="1193"/>
      <c r="AX732" s="1193"/>
      <c r="AY732" s="1193"/>
      <c r="AZ732" s="1193"/>
      <c r="BA732" s="1193"/>
      <c r="BB732" s="1193"/>
      <c r="BC732" s="1193"/>
      <c r="BD732" s="1193"/>
      <c r="BE732" s="1193"/>
      <c r="BF732" s="1193"/>
      <c r="BG732" s="1193"/>
    </row>
    <row r="733" spans="1:59" hidden="1" outlineLevel="2">
      <c r="A733" s="598" t="s">
        <v>527</v>
      </c>
      <c r="B733" s="1157" t="s">
        <v>514</v>
      </c>
      <c r="C733" s="598"/>
      <c r="D733" s="1120" t="e">
        <f>(S733/S726-1)*100</f>
        <v>#DIV/0!</v>
      </c>
      <c r="E733" s="1124" t="s">
        <v>190</v>
      </c>
      <c r="F733" s="1205"/>
      <c r="G733" s="1124"/>
      <c r="H733" s="1120"/>
      <c r="I733" s="1124"/>
      <c r="J733" s="1170">
        <f>Stores!AT97</f>
        <v>18</v>
      </c>
      <c r="K733" s="598" t="s">
        <v>315</v>
      </c>
      <c r="L733" s="1128">
        <f>AVERAGE(J733,J729)</f>
        <v>16.5</v>
      </c>
      <c r="M733" s="598"/>
      <c r="N733" s="1120">
        <f>(L733/L726-1)*100</f>
        <v>106.25</v>
      </c>
      <c r="O733" s="1124" t="s">
        <v>190</v>
      </c>
      <c r="P733" s="1159">
        <f>H733/N733*100</f>
        <v>0</v>
      </c>
      <c r="Q733" s="1125" t="s">
        <v>190</v>
      </c>
      <c r="R733" s="598"/>
      <c r="S733" s="1160"/>
      <c r="T733" s="598"/>
      <c r="U733" s="1161"/>
      <c r="V733" s="598"/>
      <c r="W733" s="1176" t="e">
        <f>(U733/U726-1)*100</f>
        <v>#DIV/0!</v>
      </c>
      <c r="X733" s="1124" t="s">
        <v>190</v>
      </c>
      <c r="Y733" s="598"/>
      <c r="Z733" s="1163">
        <f>Stores!AW97</f>
        <v>0.47899999999999998</v>
      </c>
      <c r="AA733" s="598" t="s">
        <v>315</v>
      </c>
      <c r="AB733" s="1163">
        <f>AVERAGE(Z733,Z729)</f>
        <v>0.4425</v>
      </c>
      <c r="AC733" s="598"/>
      <c r="AD733" s="1120">
        <f>(AB733/AB726-1)*100</f>
        <v>98.430493273542581</v>
      </c>
      <c r="AE733" s="1124" t="s">
        <v>190</v>
      </c>
      <c r="AF733" s="1159">
        <f>+H733/AD733*100</f>
        <v>0</v>
      </c>
      <c r="AG733" s="1125" t="s">
        <v>190</v>
      </c>
      <c r="AH733" s="598"/>
      <c r="AI733" s="1160">
        <f>+S733</f>
        <v>0</v>
      </c>
      <c r="AJ733" s="598" t="s">
        <v>315</v>
      </c>
      <c r="AK733" s="1164">
        <f>AI733/AB733</f>
        <v>0</v>
      </c>
      <c r="AL733" s="598"/>
      <c r="AM733" s="1176" t="e">
        <f>(AK733/AK726-1)*100</f>
        <v>#DIV/0!</v>
      </c>
      <c r="AN733" s="1124" t="s">
        <v>190</v>
      </c>
      <c r="AP733" s="1193"/>
      <c r="AQ733" s="1193"/>
      <c r="AR733" s="1193"/>
      <c r="AS733" s="1193"/>
      <c r="AT733" s="1193"/>
      <c r="AU733" s="1193"/>
      <c r="AV733" s="1193"/>
      <c r="AW733" s="1193"/>
      <c r="AX733" s="1193"/>
      <c r="AY733" s="1193"/>
      <c r="AZ733" s="1193"/>
      <c r="BA733" s="1193"/>
      <c r="BB733" s="1193"/>
      <c r="BC733" s="1193"/>
      <c r="BD733" s="1193"/>
      <c r="BE733" s="1193"/>
      <c r="BF733" s="1193"/>
      <c r="BG733" s="1193"/>
    </row>
    <row r="734" spans="1:59" hidden="1" outlineLevel="2">
      <c r="A734" s="598" t="s">
        <v>528</v>
      </c>
      <c r="B734" s="1157" t="s">
        <v>515</v>
      </c>
      <c r="C734" s="598"/>
      <c r="D734" s="1120" t="e">
        <f>(S734/S727-1)*100</f>
        <v>#DIV/0!</v>
      </c>
      <c r="E734" s="598"/>
      <c r="F734" s="1205"/>
      <c r="G734" s="598"/>
      <c r="H734" s="1120"/>
      <c r="I734" s="598"/>
      <c r="J734" s="1170">
        <f>Stores!AT98</f>
        <v>19</v>
      </c>
      <c r="K734" s="1127"/>
      <c r="L734" s="1128">
        <f>AVERAGE(J734,J733)</f>
        <v>18.5</v>
      </c>
      <c r="M734" s="598"/>
      <c r="N734" s="1120">
        <f>(L734/L727-1)*100</f>
        <v>76.19047619047619</v>
      </c>
      <c r="O734" s="1124"/>
      <c r="P734" s="1159">
        <f>H734/N734*100</f>
        <v>0</v>
      </c>
      <c r="Q734" s="1125"/>
      <c r="R734" s="598"/>
      <c r="S734" s="1165"/>
      <c r="T734" s="598"/>
      <c r="U734" s="1166"/>
      <c r="V734" s="598"/>
      <c r="W734" s="1176" t="e">
        <f>(U734/U727-1)*100</f>
        <v>#DIV/0!</v>
      </c>
      <c r="X734" s="1124"/>
      <c r="Y734" s="598"/>
      <c r="Z734" s="1163">
        <f>Stores!AW98</f>
        <v>0.505</v>
      </c>
      <c r="AA734" s="1127"/>
      <c r="AB734" s="1163">
        <f>AVERAGE(Z734,Z733)</f>
        <v>0.49199999999999999</v>
      </c>
      <c r="AC734" s="598"/>
      <c r="AD734" s="1120">
        <f>(AB734/AB727-1)*100</f>
        <v>69.948186528497416</v>
      </c>
      <c r="AE734" s="1124"/>
      <c r="AF734" s="1159">
        <f>+H734/AD734*100</f>
        <v>0</v>
      </c>
      <c r="AG734" s="1125"/>
      <c r="AH734" s="598"/>
      <c r="AI734" s="1165">
        <f>+S734</f>
        <v>0</v>
      </c>
      <c r="AJ734" s="598"/>
      <c r="AK734" s="1167">
        <f>AI734/AB734</f>
        <v>0</v>
      </c>
      <c r="AL734" s="598"/>
      <c r="AM734" s="1176" t="e">
        <f>(AK734/AK727-1)*100</f>
        <v>#DIV/0!</v>
      </c>
      <c r="AN734" s="1124"/>
      <c r="AP734" s="1193"/>
      <c r="AQ734" s="1193"/>
      <c r="AR734" s="1193"/>
      <c r="AS734" s="1193"/>
      <c r="AT734" s="1193"/>
      <c r="AU734" s="1193"/>
      <c r="AV734" s="1193"/>
      <c r="AW734" s="1193"/>
      <c r="AX734" s="1193"/>
      <c r="AY734" s="1193"/>
      <c r="AZ734" s="1193"/>
      <c r="BA734" s="1193"/>
      <c r="BB734" s="1193"/>
      <c r="BC734" s="1193"/>
      <c r="BD734" s="1193"/>
      <c r="BE734" s="1193"/>
      <c r="BF734" s="1193"/>
      <c r="BG734" s="1193"/>
    </row>
    <row r="735" spans="1:59" hidden="1" outlineLevel="2">
      <c r="A735" s="598" t="s">
        <v>529</v>
      </c>
      <c r="B735" s="1157" t="s">
        <v>516</v>
      </c>
      <c r="C735" s="598"/>
      <c r="D735" s="1120" t="e">
        <f>(S735/S728-1)*100</f>
        <v>#DIV/0!</v>
      </c>
      <c r="E735" s="598"/>
      <c r="F735" s="1205"/>
      <c r="G735" s="598"/>
      <c r="H735" s="1120"/>
      <c r="I735" s="598"/>
      <c r="J735" s="1170">
        <f>Stores!AT99</f>
        <v>22</v>
      </c>
      <c r="K735" s="1127"/>
      <c r="L735" s="1128">
        <f>AVERAGE(J735,J734)</f>
        <v>20.5</v>
      </c>
      <c r="M735" s="598"/>
      <c r="N735" s="1120">
        <f>(L735/L728-1)*100</f>
        <v>86.36363636363636</v>
      </c>
      <c r="O735" s="1124"/>
      <c r="P735" s="1159">
        <f>H735/N735*100</f>
        <v>0</v>
      </c>
      <c r="Q735" s="1125"/>
      <c r="R735" s="598"/>
      <c r="S735" s="1165"/>
      <c r="T735" s="598"/>
      <c r="U735" s="1166"/>
      <c r="V735" s="598"/>
      <c r="W735" s="1176" t="e">
        <f>(U735/U728-1)*100</f>
        <v>#DIV/0!</v>
      </c>
      <c r="X735" s="1124"/>
      <c r="Y735" s="598"/>
      <c r="Z735" s="1163">
        <f>Stores!AW99</f>
        <v>0.58099999999999996</v>
      </c>
      <c r="AA735" s="1127"/>
      <c r="AB735" s="1163">
        <f>AVERAGE(Z735,Z734)</f>
        <v>0.54299999999999993</v>
      </c>
      <c r="AC735" s="598"/>
      <c r="AD735" s="1120">
        <f>(AB735/AB728-1)*100</f>
        <v>79.207920792079193</v>
      </c>
      <c r="AE735" s="1124"/>
      <c r="AF735" s="1159">
        <f>+H735/AD735*100</f>
        <v>0</v>
      </c>
      <c r="AG735" s="1125"/>
      <c r="AH735" s="598"/>
      <c r="AI735" s="1165">
        <f>+S735</f>
        <v>0</v>
      </c>
      <c r="AJ735" s="598"/>
      <c r="AK735" s="1167">
        <f>AI735/AB735</f>
        <v>0</v>
      </c>
      <c r="AL735" s="598"/>
      <c r="AM735" s="1176" t="e">
        <f>(AK735/AK728-1)*100</f>
        <v>#DIV/0!</v>
      </c>
      <c r="AN735" s="1124"/>
      <c r="AP735" s="1193"/>
      <c r="AQ735" s="1193"/>
      <c r="AR735" s="1193"/>
      <c r="AS735" s="1193"/>
      <c r="AT735" s="1193"/>
      <c r="AU735" s="1193"/>
      <c r="AV735" s="1193"/>
      <c r="AW735" s="1193"/>
      <c r="AX735" s="1193"/>
      <c r="AY735" s="1193"/>
      <c r="AZ735" s="1193"/>
      <c r="BA735" s="1193"/>
      <c r="BB735" s="1193"/>
      <c r="BC735" s="1193"/>
      <c r="BD735" s="1193"/>
      <c r="BE735" s="1193"/>
      <c r="BF735" s="1193"/>
      <c r="BG735" s="1193"/>
    </row>
    <row r="736" spans="1:59" hidden="1" outlineLevel="2">
      <c r="A736" s="598" t="s">
        <v>530</v>
      </c>
      <c r="B736" s="1157" t="s">
        <v>517</v>
      </c>
      <c r="C736" s="598"/>
      <c r="D736" s="1168" t="e">
        <f>(S736/S729-1)*100</f>
        <v>#DIV/0!</v>
      </c>
      <c r="E736" s="598"/>
      <c r="F736" s="1178"/>
      <c r="G736" s="598"/>
      <c r="H736" s="1168"/>
      <c r="I736" s="598"/>
      <c r="J736" s="1170">
        <f>yrSales!L$287</f>
        <v>25</v>
      </c>
      <c r="K736" s="1127"/>
      <c r="L736" s="1171">
        <f>AVERAGE(J736,J735)</f>
        <v>23.5</v>
      </c>
      <c r="M736" s="598"/>
      <c r="N736" s="1168">
        <f>(L736/L729-1)*100</f>
        <v>80.769230769230774</v>
      </c>
      <c r="O736" s="1124"/>
      <c r="P736" s="1171">
        <f>H736/N736*100</f>
        <v>0</v>
      </c>
      <c r="Q736" s="1125"/>
      <c r="R736" s="598"/>
      <c r="S736" s="1172"/>
      <c r="T736" s="598"/>
      <c r="U736" s="1173"/>
      <c r="V736" s="598"/>
      <c r="W736" s="1169" t="e">
        <f>(U736/U729-1)*100</f>
        <v>#DIV/0!</v>
      </c>
      <c r="X736" s="1124"/>
      <c r="Y736" s="598"/>
      <c r="Z736" s="1129">
        <f>yrSales!L$297</f>
        <v>0.66700000000000004</v>
      </c>
      <c r="AA736" s="1127"/>
      <c r="AB736" s="1174">
        <f>AVERAGE(Z736,Z735)</f>
        <v>0.624</v>
      </c>
      <c r="AC736" s="598"/>
      <c r="AD736" s="1168">
        <f>(AB736/AB729-1)*100</f>
        <v>76.022566995768656</v>
      </c>
      <c r="AE736" s="1124"/>
      <c r="AF736" s="1171">
        <f>+H736/AD736*100</f>
        <v>0</v>
      </c>
      <c r="AG736" s="1125"/>
      <c r="AH736" s="598"/>
      <c r="AI736" s="1172">
        <f>+S736</f>
        <v>0</v>
      </c>
      <c r="AJ736" s="598"/>
      <c r="AK736" s="1175">
        <f>AI736/AB736</f>
        <v>0</v>
      </c>
      <c r="AL736" s="598"/>
      <c r="AM736" s="1169" t="e">
        <f>(AK736/AK729-1)*100</f>
        <v>#DIV/0!</v>
      </c>
      <c r="AN736" s="1124"/>
      <c r="AP736" s="1193"/>
      <c r="AQ736" s="1193"/>
      <c r="AR736" s="1193"/>
      <c r="AS736" s="1193"/>
      <c r="AT736" s="1193"/>
      <c r="AU736" s="1193"/>
      <c r="AV736" s="1193"/>
      <c r="AW736" s="1193"/>
      <c r="AX736" s="1193"/>
      <c r="AY736" s="1193"/>
      <c r="AZ736" s="1193"/>
      <c r="BA736" s="1193"/>
      <c r="BB736" s="1193"/>
      <c r="BC736" s="1193"/>
      <c r="BD736" s="1193"/>
      <c r="BE736" s="1193"/>
      <c r="BF736" s="1193"/>
      <c r="BG736" s="1193"/>
    </row>
    <row r="737" spans="1:59" hidden="1" outlineLevel="2">
      <c r="A737" s="598"/>
      <c r="B737" s="1157" t="s">
        <v>531</v>
      </c>
      <c r="C737" s="598"/>
      <c r="D737" s="1120" t="e">
        <f>(S737/S730-1)*100</f>
        <v>#DIV/0!</v>
      </c>
      <c r="E737" s="598"/>
      <c r="F737" s="1205"/>
      <c r="G737" s="598"/>
      <c r="H737" s="1120"/>
      <c r="I737" s="598"/>
      <c r="J737" s="598"/>
      <c r="K737" s="598"/>
      <c r="L737" s="1128">
        <f>AVERAGE(L733:L736)</f>
        <v>19.75</v>
      </c>
      <c r="M737" s="598"/>
      <c r="N737" s="1120">
        <f>(L737/L730-1)*100</f>
        <v>85.882352941176478</v>
      </c>
      <c r="O737" s="1124"/>
      <c r="P737" s="1159">
        <f>H737/N737*100</f>
        <v>0</v>
      </c>
      <c r="Q737" s="1125"/>
      <c r="R737" s="598"/>
      <c r="S737" s="1160"/>
      <c r="T737" s="598"/>
      <c r="U737" s="1161"/>
      <c r="V737" s="598"/>
      <c r="W737" s="1176" t="e">
        <f>(U737/U730-1)*100</f>
        <v>#DIV/0!</v>
      </c>
      <c r="X737" s="1124"/>
      <c r="Y737" s="598"/>
      <c r="Z737" s="598"/>
      <c r="AA737" s="598"/>
      <c r="AB737" s="1163">
        <f>AVERAGE(AB733:AB736)</f>
        <v>0.52537500000000004</v>
      </c>
      <c r="AC737" s="598"/>
      <c r="AD737" s="1120">
        <f>(AB737/AB730-1)*100</f>
        <v>79.615384615384642</v>
      </c>
      <c r="AE737" s="1124"/>
      <c r="AF737" s="1159">
        <f>+H737/AD737*100</f>
        <v>0</v>
      </c>
      <c r="AG737" s="1125"/>
      <c r="AH737" s="598"/>
      <c r="AI737" s="1160">
        <f>SUM(AI733:AI736)</f>
        <v>0</v>
      </c>
      <c r="AJ737" s="598"/>
      <c r="AK737" s="1164">
        <f>SUM(AK733:AK736)</f>
        <v>0</v>
      </c>
      <c r="AL737" s="598"/>
      <c r="AM737" s="1176" t="e">
        <f>(AK737/AK730-1)*100</f>
        <v>#DIV/0!</v>
      </c>
      <c r="AN737" s="1124"/>
      <c r="AP737" s="1193"/>
      <c r="AQ737" s="1193"/>
      <c r="AR737" s="1193"/>
      <c r="AS737" s="1193"/>
      <c r="AT737" s="1193"/>
      <c r="AU737" s="1193"/>
      <c r="AV737" s="1193"/>
      <c r="AW737" s="1193"/>
      <c r="AX737" s="1193"/>
      <c r="AY737" s="1193"/>
      <c r="AZ737" s="1193"/>
      <c r="BA737" s="1193"/>
      <c r="BB737" s="1193"/>
      <c r="BC737" s="1193"/>
      <c r="BD737" s="1193"/>
      <c r="BE737" s="1193"/>
      <c r="BF737" s="1193"/>
      <c r="BG737" s="1193"/>
    </row>
    <row r="738" spans="1:59" hidden="1" outlineLevel="2">
      <c r="A738" s="598"/>
      <c r="B738" s="1157"/>
      <c r="C738" s="598"/>
      <c r="D738" s="598"/>
      <c r="E738" s="598"/>
      <c r="F738" s="598"/>
      <c r="G738" s="598"/>
      <c r="H738" s="598"/>
      <c r="I738" s="598"/>
      <c r="J738" s="598"/>
      <c r="K738" s="598"/>
      <c r="L738" s="598"/>
      <c r="M738" s="598"/>
      <c r="N738" s="598"/>
      <c r="O738" s="1124"/>
      <c r="P738" s="1125"/>
      <c r="Q738" s="1125"/>
      <c r="R738" s="598"/>
      <c r="S738" s="598"/>
      <c r="T738" s="598"/>
      <c r="U738" s="598"/>
      <c r="V738" s="598"/>
      <c r="W738" s="598"/>
      <c r="X738" s="1124"/>
      <c r="Y738" s="598"/>
      <c r="Z738" s="598"/>
      <c r="AA738" s="598"/>
      <c r="AB738" s="598"/>
      <c r="AC738" s="598"/>
      <c r="AD738" s="598"/>
      <c r="AE738" s="1124"/>
      <c r="AF738" s="1125"/>
      <c r="AG738" s="1125"/>
      <c r="AH738" s="598"/>
      <c r="AI738" s="598"/>
      <c r="AJ738" s="598"/>
      <c r="AK738" s="598"/>
      <c r="AL738" s="598"/>
      <c r="AM738" s="598"/>
      <c r="AN738" s="598"/>
      <c r="AP738" s="1193"/>
      <c r="AQ738" s="1193"/>
      <c r="AR738" s="1193"/>
      <c r="AS738" s="1193"/>
      <c r="AT738" s="1193"/>
      <c r="AU738" s="1193"/>
      <c r="AV738" s="1193"/>
      <c r="AW738" s="1193"/>
      <c r="AX738" s="1193"/>
      <c r="AY738" s="1193"/>
      <c r="AZ738" s="1193"/>
      <c r="BA738" s="1193"/>
      <c r="BB738" s="1193"/>
      <c r="BC738" s="1193"/>
      <c r="BD738" s="1193"/>
      <c r="BE738" s="1193"/>
      <c r="BF738" s="1193"/>
      <c r="BG738" s="1193"/>
    </row>
    <row r="739" spans="1:59" hidden="1" outlineLevel="2" collapsed="1">
      <c r="A739" s="1154"/>
      <c r="B739" s="1155">
        <f>B732+1</f>
        <v>2001</v>
      </c>
      <c r="C739" s="598"/>
      <c r="D739" s="598"/>
      <c r="E739" s="1124"/>
      <c r="F739" s="598"/>
      <c r="G739" s="1124"/>
      <c r="H739" s="598"/>
      <c r="I739" s="1124"/>
      <c r="J739" s="598"/>
      <c r="K739" s="598"/>
      <c r="L739" s="598"/>
      <c r="M739" s="598"/>
      <c r="N739" s="598"/>
      <c r="O739" s="1124"/>
      <c r="P739" s="1125"/>
      <c r="Q739" s="1125"/>
      <c r="R739" s="598"/>
      <c r="S739" s="598"/>
      <c r="T739" s="598"/>
      <c r="U739" s="598"/>
      <c r="V739" s="598"/>
      <c r="W739" s="598"/>
      <c r="X739" s="1124"/>
      <c r="Y739" s="598"/>
      <c r="Z739" s="598"/>
      <c r="AA739" s="598"/>
      <c r="AB739" s="598"/>
      <c r="AC739" s="598"/>
      <c r="AD739" s="598"/>
      <c r="AE739" s="1124"/>
      <c r="AF739" s="1125"/>
      <c r="AG739" s="1125"/>
      <c r="AH739" s="598"/>
      <c r="AI739" s="598"/>
      <c r="AJ739" s="598"/>
      <c r="AK739" s="598"/>
      <c r="AL739" s="598"/>
      <c r="AM739" s="598"/>
      <c r="AN739" s="1124"/>
      <c r="AP739" s="1193"/>
      <c r="AQ739" s="1193"/>
      <c r="AR739" s="1193"/>
      <c r="AS739" s="1193"/>
      <c r="AT739" s="1193"/>
      <c r="AU739" s="1193"/>
      <c r="AV739" s="1193"/>
      <c r="AW739" s="1193"/>
      <c r="AX739" s="1193"/>
      <c r="AY739" s="1193"/>
      <c r="AZ739" s="1193"/>
      <c r="BA739" s="1193"/>
      <c r="BB739" s="1193"/>
      <c r="BC739" s="1193"/>
      <c r="BD739" s="1193"/>
      <c r="BE739" s="1193"/>
      <c r="BF739" s="1193"/>
      <c r="BG739" s="1193"/>
    </row>
    <row r="740" spans="1:59" hidden="1" outlineLevel="2">
      <c r="A740" s="598" t="s">
        <v>527</v>
      </c>
      <c r="B740" s="1157" t="s">
        <v>514</v>
      </c>
      <c r="C740" s="598"/>
      <c r="D740" s="1120" t="e">
        <f>(S740/S733-1)*100</f>
        <v>#DIV/0!</v>
      </c>
      <c r="E740" s="1124" t="s">
        <v>190</v>
      </c>
      <c r="F740" s="1205"/>
      <c r="G740" s="1124"/>
      <c r="H740" s="1120"/>
      <c r="I740" s="1124"/>
      <c r="J740" s="1170">
        <f>Stores!AT105</f>
        <v>28</v>
      </c>
      <c r="K740" s="598" t="s">
        <v>315</v>
      </c>
      <c r="L740" s="1128">
        <f>AVERAGE(J740,J736)</f>
        <v>26.5</v>
      </c>
      <c r="M740" s="598"/>
      <c r="N740" s="1120">
        <f>(L740/L733-1)*100</f>
        <v>60.606060606060595</v>
      </c>
      <c r="O740" s="1124" t="s">
        <v>190</v>
      </c>
      <c r="P740" s="1159">
        <f>H740/N740*100</f>
        <v>0</v>
      </c>
      <c r="Q740" s="1125" t="s">
        <v>190</v>
      </c>
      <c r="R740" s="598"/>
      <c r="S740" s="1160"/>
      <c r="T740" s="598"/>
      <c r="U740" s="1161"/>
      <c r="V740" s="598"/>
      <c r="W740" s="1176" t="e">
        <f>(U740/U733-1)*100</f>
        <v>#DIV/0!</v>
      </c>
      <c r="X740" s="1124" t="s">
        <v>190</v>
      </c>
      <c r="Y740" s="598"/>
      <c r="Z740" s="1163">
        <f>Stores!AW105</f>
        <v>0.749</v>
      </c>
      <c r="AA740" s="598" t="s">
        <v>315</v>
      </c>
      <c r="AB740" s="1163">
        <f>AVERAGE(Z740,Z736)</f>
        <v>0.70799999999999996</v>
      </c>
      <c r="AC740" s="598"/>
      <c r="AD740" s="1120">
        <f>(AB740/AB733-1)*100</f>
        <v>59.999999999999986</v>
      </c>
      <c r="AE740" s="1124" t="s">
        <v>190</v>
      </c>
      <c r="AF740" s="1159">
        <f>+H740/AD740*100</f>
        <v>0</v>
      </c>
      <c r="AG740" s="1125" t="s">
        <v>190</v>
      </c>
      <c r="AH740" s="598"/>
      <c r="AI740" s="1160">
        <f>+S740</f>
        <v>0</v>
      </c>
      <c r="AJ740" s="598" t="s">
        <v>315</v>
      </c>
      <c r="AK740" s="1164">
        <f>AI740/AB740</f>
        <v>0</v>
      </c>
      <c r="AL740" s="598"/>
      <c r="AM740" s="1176" t="e">
        <f>(AK740/AK733-1)*100</f>
        <v>#DIV/0!</v>
      </c>
      <c r="AN740" s="1124" t="s">
        <v>190</v>
      </c>
      <c r="AP740" s="1193"/>
      <c r="AQ740" s="1193"/>
      <c r="AR740" s="1193"/>
      <c r="AS740" s="1193"/>
      <c r="AT740" s="1193"/>
      <c r="AU740" s="1193"/>
      <c r="AV740" s="1193"/>
      <c r="AW740" s="1193"/>
      <c r="AX740" s="1193"/>
      <c r="AY740" s="1193"/>
      <c r="AZ740" s="1193"/>
      <c r="BA740" s="1193"/>
      <c r="BB740" s="1193"/>
      <c r="BC740" s="1193"/>
      <c r="BD740" s="1193"/>
      <c r="BE740" s="1193"/>
      <c r="BF740" s="1193"/>
      <c r="BG740" s="1193"/>
    </row>
    <row r="741" spans="1:59" hidden="1" outlineLevel="2">
      <c r="A741" s="598" t="s">
        <v>528</v>
      </c>
      <c r="B741" s="1157" t="s">
        <v>515</v>
      </c>
      <c r="C741" s="598"/>
      <c r="D741" s="1120" t="e">
        <f>(S741/S734-1)*100</f>
        <v>#DIV/0!</v>
      </c>
      <c r="E741" s="598"/>
      <c r="F741" s="1205"/>
      <c r="G741" s="598"/>
      <c r="H741" s="1120"/>
      <c r="I741" s="598"/>
      <c r="J741" s="1170">
        <f>Stores!AT106</f>
        <v>31</v>
      </c>
      <c r="K741" s="1127"/>
      <c r="L741" s="1128">
        <f>AVERAGE(J741,J740)</f>
        <v>29.5</v>
      </c>
      <c r="M741" s="598"/>
      <c r="N741" s="1120">
        <f>(L741/L734-1)*100</f>
        <v>59.459459459459453</v>
      </c>
      <c r="O741" s="1124"/>
      <c r="P741" s="1159">
        <f>H741/N741*100</f>
        <v>0</v>
      </c>
      <c r="Q741" s="1125"/>
      <c r="R741" s="598"/>
      <c r="S741" s="1165"/>
      <c r="T741" s="598"/>
      <c r="U741" s="1166"/>
      <c r="V741" s="598"/>
      <c r="W741" s="1176" t="e">
        <f>(U741/U734-1)*100</f>
        <v>#DIV/0!</v>
      </c>
      <c r="X741" s="1124"/>
      <c r="Y741" s="598"/>
      <c r="Z741" s="1163">
        <f>Stores!AW106</f>
        <v>0.82599999999999996</v>
      </c>
      <c r="AA741" s="1127"/>
      <c r="AB741" s="1163">
        <f>AVERAGE(Z741,Z740)</f>
        <v>0.78749999999999998</v>
      </c>
      <c r="AC741" s="598"/>
      <c r="AD741" s="1120">
        <f>(AB741/AB734-1)*100</f>
        <v>60.060975609756099</v>
      </c>
      <c r="AE741" s="1124"/>
      <c r="AF741" s="1159">
        <f>+H741/AD741*100</f>
        <v>0</v>
      </c>
      <c r="AG741" s="1125"/>
      <c r="AH741" s="598"/>
      <c r="AI741" s="1165">
        <f>+S741</f>
        <v>0</v>
      </c>
      <c r="AJ741" s="598"/>
      <c r="AK741" s="1167">
        <f>AI741/AB741</f>
        <v>0</v>
      </c>
      <c r="AL741" s="598"/>
      <c r="AM741" s="1176" t="e">
        <f>(AK741/AK734-1)*100</f>
        <v>#DIV/0!</v>
      </c>
      <c r="AN741" s="1124"/>
      <c r="AP741" s="1193"/>
      <c r="AQ741" s="1193"/>
      <c r="AR741" s="1193"/>
      <c r="AS741" s="1193"/>
      <c r="AT741" s="1193"/>
      <c r="AU741" s="1193"/>
      <c r="AV741" s="1193"/>
      <c r="AW741" s="1193"/>
      <c r="AX741" s="1193"/>
      <c r="AY741" s="1193"/>
      <c r="AZ741" s="1193"/>
      <c r="BA741" s="1193"/>
      <c r="BB741" s="1193"/>
      <c r="BC741" s="1193"/>
      <c r="BD741" s="1193"/>
      <c r="BE741" s="1193"/>
      <c r="BF741" s="1193"/>
      <c r="BG741" s="1193"/>
    </row>
    <row r="742" spans="1:59" hidden="1" outlineLevel="2">
      <c r="A742" s="598" t="s">
        <v>529</v>
      </c>
      <c r="B742" s="1157" t="s">
        <v>516</v>
      </c>
      <c r="C742" s="598"/>
      <c r="D742" s="1120" t="e">
        <f>(S742/S735-1)*100</f>
        <v>#DIV/0!</v>
      </c>
      <c r="E742" s="598"/>
      <c r="F742" s="1205"/>
      <c r="G742" s="598"/>
      <c r="H742" s="1120"/>
      <c r="I742" s="598"/>
      <c r="J742" s="1170">
        <f>Stores!AT107</f>
        <v>40</v>
      </c>
      <c r="K742" s="1127"/>
      <c r="L742" s="1128">
        <f>AVERAGE(J742,J741)</f>
        <v>35.5</v>
      </c>
      <c r="M742" s="598"/>
      <c r="N742" s="1120">
        <f>(L742/L735-1)*100</f>
        <v>73.170731707317074</v>
      </c>
      <c r="O742" s="1124"/>
      <c r="P742" s="1159">
        <f>H742/N742*100</f>
        <v>0</v>
      </c>
      <c r="Q742" s="1125"/>
      <c r="R742" s="598"/>
      <c r="S742" s="1165"/>
      <c r="T742" s="598"/>
      <c r="U742" s="1166"/>
      <c r="V742" s="598"/>
      <c r="W742" s="1176" t="e">
        <f>(U742/U735-1)*100</f>
        <v>#DIV/0!</v>
      </c>
      <c r="X742" s="1124"/>
      <c r="Y742" s="598"/>
      <c r="Z742" s="1163">
        <f>Stores!AW107</f>
        <v>1.0469999999999999</v>
      </c>
      <c r="AA742" s="1127"/>
      <c r="AB742" s="1163">
        <f>AVERAGE(Z742,Z741)</f>
        <v>0.93649999999999989</v>
      </c>
      <c r="AC742" s="598"/>
      <c r="AD742" s="1120">
        <f>(AB742/AB735-1)*100</f>
        <v>72.467771639042368</v>
      </c>
      <c r="AE742" s="1124"/>
      <c r="AF742" s="1159">
        <f>+H742/AD742*100</f>
        <v>0</v>
      </c>
      <c r="AG742" s="1125"/>
      <c r="AH742" s="598"/>
      <c r="AI742" s="1165">
        <f>+S742</f>
        <v>0</v>
      </c>
      <c r="AJ742" s="598"/>
      <c r="AK742" s="1167">
        <f>AI742/AB742</f>
        <v>0</v>
      </c>
      <c r="AL742" s="598"/>
      <c r="AM742" s="1176" t="e">
        <f>(AK742/AK735-1)*100</f>
        <v>#DIV/0!</v>
      </c>
      <c r="AN742" s="1124"/>
      <c r="AP742" s="1193"/>
      <c r="AQ742" s="1193"/>
      <c r="AR742" s="1193"/>
      <c r="AS742" s="1193"/>
      <c r="AT742" s="1193"/>
      <c r="AU742" s="1193"/>
      <c r="AV742" s="1193"/>
      <c r="AW742" s="1193"/>
      <c r="AX742" s="1193"/>
      <c r="AY742" s="1193"/>
      <c r="AZ742" s="1193"/>
      <c r="BA742" s="1193"/>
      <c r="BB742" s="1193"/>
      <c r="BC742" s="1193"/>
      <c r="BD742" s="1193"/>
      <c r="BE742" s="1193"/>
      <c r="BF742" s="1193"/>
      <c r="BG742" s="1193"/>
    </row>
    <row r="743" spans="1:59" hidden="1" outlineLevel="2">
      <c r="A743" s="598" t="s">
        <v>530</v>
      </c>
      <c r="B743" s="1157" t="s">
        <v>517</v>
      </c>
      <c r="C743" s="598"/>
      <c r="D743" s="1168" t="e">
        <f>(S743/S736-1)*100</f>
        <v>#DIV/0!</v>
      </c>
      <c r="E743" s="598"/>
      <c r="F743" s="1178"/>
      <c r="G743" s="598"/>
      <c r="H743" s="1168"/>
      <c r="I743" s="598"/>
      <c r="J743" s="1170">
        <f>yrSales!M$287</f>
        <v>45</v>
      </c>
      <c r="K743" s="1127"/>
      <c r="L743" s="1171">
        <f>AVERAGE(J743,J742)</f>
        <v>42.5</v>
      </c>
      <c r="M743" s="598"/>
      <c r="N743" s="1168">
        <f>(L743/L736-1)*100</f>
        <v>80.851063829787236</v>
      </c>
      <c r="O743" s="1124"/>
      <c r="P743" s="1171">
        <f>H743/N743*100</f>
        <v>0</v>
      </c>
      <c r="Q743" s="1125"/>
      <c r="R743" s="598"/>
      <c r="S743" s="1172"/>
      <c r="T743" s="598"/>
      <c r="U743" s="1173"/>
      <c r="V743" s="598"/>
      <c r="W743" s="1169" t="e">
        <f>(U743/U736-1)*100</f>
        <v>#DIV/0!</v>
      </c>
      <c r="X743" s="1124"/>
      <c r="Y743" s="598"/>
      <c r="Z743" s="1129">
        <f>yrSales!M$297</f>
        <v>1.18</v>
      </c>
      <c r="AA743" s="1127"/>
      <c r="AB743" s="1174">
        <f>AVERAGE(Z743,Z742)</f>
        <v>1.1134999999999999</v>
      </c>
      <c r="AC743" s="598"/>
      <c r="AD743" s="1168">
        <f>(AB743/AB736-1)*100</f>
        <v>78.445512820512818</v>
      </c>
      <c r="AE743" s="1124"/>
      <c r="AF743" s="1171">
        <f>+H743/AD743*100</f>
        <v>0</v>
      </c>
      <c r="AG743" s="1125"/>
      <c r="AH743" s="598"/>
      <c r="AI743" s="1172">
        <f>+S743</f>
        <v>0</v>
      </c>
      <c r="AJ743" s="598"/>
      <c r="AK743" s="1175">
        <f>AI743/AB743</f>
        <v>0</v>
      </c>
      <c r="AL743" s="598"/>
      <c r="AM743" s="1169" t="e">
        <f>(AK743/AK736-1)*100</f>
        <v>#DIV/0!</v>
      </c>
      <c r="AN743" s="1124"/>
      <c r="AP743" s="1193"/>
      <c r="AQ743" s="1193"/>
      <c r="AR743" s="1193"/>
      <c r="AS743" s="1193"/>
      <c r="AT743" s="1193"/>
      <c r="AU743" s="1193"/>
      <c r="AV743" s="1193"/>
      <c r="AW743" s="1193"/>
      <c r="AX743" s="1193"/>
      <c r="AY743" s="1193"/>
      <c r="AZ743" s="1193"/>
      <c r="BA743" s="1193"/>
      <c r="BB743" s="1193"/>
      <c r="BC743" s="1193"/>
      <c r="BD743" s="1193"/>
      <c r="BE743" s="1193"/>
      <c r="BF743" s="1193"/>
      <c r="BG743" s="1193"/>
    </row>
    <row r="744" spans="1:59" hidden="1" outlineLevel="2">
      <c r="A744" s="598"/>
      <c r="B744" s="1157" t="s">
        <v>531</v>
      </c>
      <c r="C744" s="598"/>
      <c r="D744" s="1120" t="e">
        <f>(S744/S737-1)*100</f>
        <v>#DIV/0!</v>
      </c>
      <c r="E744" s="598"/>
      <c r="F744" s="1205"/>
      <c r="G744" s="598"/>
      <c r="H744" s="1120"/>
      <c r="I744" s="598"/>
      <c r="J744" s="598"/>
      <c r="K744" s="598"/>
      <c r="L744" s="1128">
        <f>AVERAGE(L740:L743)</f>
        <v>33.5</v>
      </c>
      <c r="M744" s="598"/>
      <c r="N744" s="1120">
        <f>(L744/L737-1)*100</f>
        <v>69.620253164556956</v>
      </c>
      <c r="O744" s="1124"/>
      <c r="P744" s="1159">
        <f>H744/N744*100</f>
        <v>0</v>
      </c>
      <c r="Q744" s="1125"/>
      <c r="R744" s="598"/>
      <c r="S744" s="1160"/>
      <c r="T744" s="598"/>
      <c r="U744" s="1161"/>
      <c r="V744" s="598"/>
      <c r="W744" s="1176" t="e">
        <f>(U744/U737-1)*100</f>
        <v>#DIV/0!</v>
      </c>
      <c r="X744" s="1124"/>
      <c r="Y744" s="598"/>
      <c r="Z744" s="598"/>
      <c r="AA744" s="598"/>
      <c r="AB744" s="1163">
        <f>AVERAGE(AB740:AB743)</f>
        <v>0.88637499999999991</v>
      </c>
      <c r="AC744" s="598"/>
      <c r="AD744" s="1120">
        <f>(AB744/AB737-1)*100</f>
        <v>68.712824173209583</v>
      </c>
      <c r="AE744" s="1124"/>
      <c r="AF744" s="1159">
        <f>+H744/AD744*100</f>
        <v>0</v>
      </c>
      <c r="AG744" s="1125"/>
      <c r="AH744" s="598"/>
      <c r="AI744" s="1160">
        <f>SUM(AI740:AI743)</f>
        <v>0</v>
      </c>
      <c r="AJ744" s="598"/>
      <c r="AK744" s="1164">
        <f>SUM(AK740:AK743)</f>
        <v>0</v>
      </c>
      <c r="AL744" s="598"/>
      <c r="AM744" s="1176" t="e">
        <f>(AK744/AK737-1)*100</f>
        <v>#DIV/0!</v>
      </c>
      <c r="AN744" s="1124"/>
      <c r="AP744" s="1193"/>
      <c r="AQ744" s="1193"/>
      <c r="AR744" s="1193"/>
      <c r="AS744" s="1193"/>
      <c r="AT744" s="1193"/>
      <c r="AU744" s="1193"/>
      <c r="AV744" s="1193"/>
      <c r="AW744" s="1193"/>
      <c r="AX744" s="1193"/>
      <c r="AY744" s="1193"/>
      <c r="AZ744" s="1193"/>
      <c r="BA744" s="1193"/>
      <c r="BB744" s="1193"/>
      <c r="BC744" s="1193"/>
      <c r="BD744" s="1193"/>
      <c r="BE744" s="1193"/>
      <c r="BF744" s="1193"/>
      <c r="BG744" s="1193"/>
    </row>
    <row r="745" spans="1:59" hidden="1" outlineLevel="2">
      <c r="A745" s="598"/>
      <c r="B745" s="1157"/>
      <c r="C745" s="598"/>
      <c r="D745" s="598"/>
      <c r="E745" s="598"/>
      <c r="F745" s="598"/>
      <c r="G745" s="598"/>
      <c r="H745" s="598"/>
      <c r="I745" s="598"/>
      <c r="J745" s="598"/>
      <c r="K745" s="598"/>
      <c r="L745" s="598"/>
      <c r="M745" s="598"/>
      <c r="N745" s="598"/>
      <c r="O745" s="1124"/>
      <c r="P745" s="598"/>
      <c r="Q745" s="598"/>
      <c r="R745" s="598"/>
      <c r="S745" s="598"/>
      <c r="T745" s="598"/>
      <c r="U745" s="598"/>
      <c r="V745" s="598"/>
      <c r="W745" s="598"/>
      <c r="X745" s="598"/>
      <c r="Y745" s="598"/>
      <c r="Z745" s="598"/>
      <c r="AA745" s="598"/>
      <c r="AB745" s="598"/>
      <c r="AC745" s="598"/>
      <c r="AD745" s="598"/>
      <c r="AE745" s="1124"/>
      <c r="AF745" s="598"/>
      <c r="AG745" s="598"/>
      <c r="AH745" s="598"/>
      <c r="AI745" s="598"/>
      <c r="AJ745" s="598"/>
      <c r="AK745" s="598"/>
      <c r="AL745" s="598"/>
      <c r="AM745" s="598"/>
      <c r="AN745" s="598"/>
      <c r="AP745" s="1193"/>
      <c r="AQ745" s="1193"/>
      <c r="AR745" s="1193"/>
      <c r="AS745" s="1193"/>
      <c r="AT745" s="1193"/>
      <c r="AU745" s="1193"/>
      <c r="AV745" s="1193"/>
      <c r="AW745" s="1193"/>
      <c r="AX745" s="1193"/>
      <c r="AY745" s="1193"/>
      <c r="AZ745" s="1193"/>
      <c r="BA745" s="1193"/>
      <c r="BB745" s="1193"/>
      <c r="BC745" s="1193"/>
      <c r="BD745" s="1193"/>
      <c r="BE745" s="1193"/>
      <c r="BF745" s="1193"/>
      <c r="BG745" s="1193"/>
    </row>
    <row r="746" spans="1:59" hidden="1" outlineLevel="2" collapsed="1">
      <c r="A746" s="1154"/>
      <c r="B746" s="1155">
        <f>+B739+1</f>
        <v>2002</v>
      </c>
      <c r="C746" s="598"/>
      <c r="D746" s="598"/>
      <c r="E746" s="1124"/>
      <c r="F746" s="598"/>
      <c r="G746" s="1124"/>
      <c r="H746" s="598"/>
      <c r="I746" s="1124"/>
      <c r="J746" s="598"/>
      <c r="K746" s="598"/>
      <c r="L746" s="598"/>
      <c r="M746" s="598"/>
      <c r="N746" s="598"/>
      <c r="O746" s="1124"/>
      <c r="P746" s="1125"/>
      <c r="Q746" s="1125"/>
      <c r="R746" s="598"/>
      <c r="S746" s="598"/>
      <c r="T746" s="598"/>
      <c r="U746" s="598"/>
      <c r="V746" s="598"/>
      <c r="W746" s="598"/>
      <c r="X746" s="1124"/>
      <c r="Y746" s="598"/>
      <c r="Z746" s="598"/>
      <c r="AA746" s="598"/>
      <c r="AB746" s="598"/>
      <c r="AC746" s="598"/>
      <c r="AD746" s="598"/>
      <c r="AE746" s="1124"/>
      <c r="AF746" s="1125"/>
      <c r="AG746" s="1125"/>
      <c r="AH746" s="598"/>
      <c r="AI746" s="598"/>
      <c r="AJ746" s="598"/>
      <c r="AK746" s="598"/>
      <c r="AL746" s="598"/>
      <c r="AM746" s="598"/>
      <c r="AN746" s="1124"/>
      <c r="AP746" s="1193"/>
      <c r="AQ746" s="1193"/>
      <c r="AR746" s="1193"/>
      <c r="AS746" s="1193"/>
      <c r="AT746" s="1193"/>
      <c r="AU746" s="1193"/>
      <c r="AV746" s="1193"/>
      <c r="AW746" s="1193"/>
      <c r="AX746" s="1193"/>
      <c r="AY746" s="1193"/>
      <c r="AZ746" s="1193"/>
      <c r="BA746" s="1193"/>
      <c r="BB746" s="1193"/>
      <c r="BC746" s="1193"/>
      <c r="BD746" s="1193"/>
      <c r="BE746" s="1193"/>
      <c r="BF746" s="1193"/>
      <c r="BG746" s="1193"/>
    </row>
    <row r="747" spans="1:59" hidden="1" outlineLevel="2">
      <c r="A747" s="598" t="s">
        <v>527</v>
      </c>
      <c r="B747" s="1157" t="s">
        <v>514</v>
      </c>
      <c r="C747" s="598"/>
      <c r="D747" s="1120" t="e">
        <f>(S747/S740-1)*100</f>
        <v>#DIV/0!</v>
      </c>
      <c r="E747" s="1124" t="s">
        <v>190</v>
      </c>
      <c r="F747" s="1205"/>
      <c r="G747" s="1124"/>
      <c r="H747" s="1120"/>
      <c r="I747" s="1124"/>
      <c r="J747" s="1170">
        <f>Stores!AT113</f>
        <v>52</v>
      </c>
      <c r="K747" s="598" t="s">
        <v>315</v>
      </c>
      <c r="L747" s="1128">
        <f>AVERAGE(J747,J743)</f>
        <v>48.5</v>
      </c>
      <c r="M747" s="598"/>
      <c r="N747" s="1120">
        <f>(L747/L740-1)*100</f>
        <v>83.018867924528308</v>
      </c>
      <c r="O747" s="1124" t="s">
        <v>190</v>
      </c>
      <c r="P747" s="1159">
        <f>H747/N747*100</f>
        <v>0</v>
      </c>
      <c r="Q747" s="1125" t="s">
        <v>190</v>
      </c>
      <c r="R747" s="598"/>
      <c r="S747" s="1160"/>
      <c r="T747" s="598"/>
      <c r="U747" s="1161"/>
      <c r="V747" s="598"/>
      <c r="W747" s="1176" t="e">
        <f>(U747/U740-1)*100</f>
        <v>#DIV/0!</v>
      </c>
      <c r="X747" s="1124" t="s">
        <v>190</v>
      </c>
      <c r="Y747" s="598"/>
      <c r="Z747" s="1163">
        <f>Stores!AW113</f>
        <v>1.351</v>
      </c>
      <c r="AA747" s="598" t="s">
        <v>315</v>
      </c>
      <c r="AB747" s="1163">
        <f>AVERAGE(Z747,Z743)</f>
        <v>1.2654999999999998</v>
      </c>
      <c r="AC747" s="598"/>
      <c r="AD747" s="1120">
        <f>(AB747/AB740-1)*100</f>
        <v>78.742937853107335</v>
      </c>
      <c r="AE747" s="1124" t="s">
        <v>190</v>
      </c>
      <c r="AF747" s="1159">
        <f>+H747/AD747*100</f>
        <v>0</v>
      </c>
      <c r="AG747" s="1125" t="s">
        <v>190</v>
      </c>
      <c r="AH747" s="598"/>
      <c r="AI747" s="1160">
        <f>+S747</f>
        <v>0</v>
      </c>
      <c r="AJ747" s="598" t="s">
        <v>315</v>
      </c>
      <c r="AK747" s="1164">
        <f>AI747/AB747</f>
        <v>0</v>
      </c>
      <c r="AL747" s="598"/>
      <c r="AM747" s="1176" t="e">
        <f>(AK747/AK740-1)*100</f>
        <v>#DIV/0!</v>
      </c>
      <c r="AN747" s="1124" t="s">
        <v>190</v>
      </c>
      <c r="AP747" s="1193"/>
      <c r="AQ747" s="1193"/>
      <c r="AR747" s="1193"/>
      <c r="AS747" s="1193"/>
      <c r="AT747" s="1193"/>
      <c r="AU747" s="1193"/>
      <c r="AV747" s="1193"/>
      <c r="AW747" s="1193"/>
      <c r="AX747" s="1193"/>
      <c r="AY747" s="1193"/>
      <c r="AZ747" s="1193"/>
      <c r="BA747" s="1193"/>
      <c r="BB747" s="1193"/>
      <c r="BC747" s="1193"/>
      <c r="BD747" s="1193"/>
      <c r="BE747" s="1193"/>
      <c r="BF747" s="1193"/>
      <c r="BG747" s="1193"/>
    </row>
    <row r="748" spans="1:59" hidden="1" outlineLevel="2">
      <c r="A748" s="598" t="s">
        <v>528</v>
      </c>
      <c r="B748" s="1157" t="s">
        <v>515</v>
      </c>
      <c r="C748" s="598"/>
      <c r="D748" s="1120" t="e">
        <f>(S748/S741-1)*100</f>
        <v>#DIV/0!</v>
      </c>
      <c r="E748" s="598"/>
      <c r="F748" s="1205"/>
      <c r="G748" s="598"/>
      <c r="H748" s="1120"/>
      <c r="I748" s="598"/>
      <c r="J748" s="1170">
        <f>Stores!AT114</f>
        <v>55</v>
      </c>
      <c r="K748" s="1127"/>
      <c r="L748" s="1128">
        <f>AVERAGE(J748,J747)</f>
        <v>53.5</v>
      </c>
      <c r="M748" s="598"/>
      <c r="N748" s="1120">
        <f>(L748/L741-1)*100</f>
        <v>81.355932203389841</v>
      </c>
      <c r="O748" s="1124"/>
      <c r="P748" s="1159">
        <f>H748/N748*100</f>
        <v>0</v>
      </c>
      <c r="Q748" s="1125"/>
      <c r="R748" s="598"/>
      <c r="S748" s="1165"/>
      <c r="T748" s="598"/>
      <c r="U748" s="1166"/>
      <c r="V748" s="598"/>
      <c r="W748" s="1176" t="e">
        <f>(U748/U741-1)*100</f>
        <v>#DIV/0!</v>
      </c>
      <c r="X748" s="1124"/>
      <c r="Y748" s="598"/>
      <c r="Z748" s="1163">
        <f>Stores!AW114</f>
        <v>1.45</v>
      </c>
      <c r="AA748" s="1127"/>
      <c r="AB748" s="1163">
        <f>AVERAGE(Z748,Z747)</f>
        <v>1.4005000000000001</v>
      </c>
      <c r="AC748" s="598"/>
      <c r="AD748" s="1120">
        <f>(AB748/AB741-1)*100</f>
        <v>77.841269841269863</v>
      </c>
      <c r="AE748" s="1124"/>
      <c r="AF748" s="1159">
        <f>+H748/AD748*100</f>
        <v>0</v>
      </c>
      <c r="AG748" s="1125"/>
      <c r="AH748" s="598"/>
      <c r="AI748" s="1165">
        <f>+S748</f>
        <v>0</v>
      </c>
      <c r="AJ748" s="598"/>
      <c r="AK748" s="1167">
        <f>AI748/AB748</f>
        <v>0</v>
      </c>
      <c r="AL748" s="598"/>
      <c r="AM748" s="1176" t="e">
        <f>(AK748/AK741-1)*100</f>
        <v>#DIV/0!</v>
      </c>
      <c r="AN748" s="1124"/>
      <c r="AP748" s="1193"/>
      <c r="AQ748" s="1193"/>
      <c r="AR748" s="1193"/>
      <c r="AS748" s="1193"/>
      <c r="AT748" s="1193"/>
      <c r="AU748" s="1193"/>
      <c r="AV748" s="1193"/>
      <c r="AW748" s="1193"/>
      <c r="AX748" s="1193"/>
      <c r="AY748" s="1193"/>
      <c r="AZ748" s="1193"/>
      <c r="BA748" s="1193"/>
      <c r="BB748" s="1193"/>
      <c r="BC748" s="1193"/>
      <c r="BD748" s="1193"/>
      <c r="BE748" s="1193"/>
      <c r="BF748" s="1193"/>
      <c r="BG748" s="1193"/>
    </row>
    <row r="749" spans="1:59" hidden="1" outlineLevel="2">
      <c r="A749" s="598" t="s">
        <v>529</v>
      </c>
      <c r="B749" s="1157" t="s">
        <v>516</v>
      </c>
      <c r="C749" s="598"/>
      <c r="D749" s="1120" t="e">
        <f>(S749/S742-1)*100</f>
        <v>#DIV/0!</v>
      </c>
      <c r="E749" s="598"/>
      <c r="F749" s="1205"/>
      <c r="G749" s="598"/>
      <c r="H749" s="1120"/>
      <c r="I749" s="598"/>
      <c r="J749" s="1170">
        <f>Stores!AT115</f>
        <v>68</v>
      </c>
      <c r="K749" s="1127"/>
      <c r="L749" s="1128">
        <f>AVERAGE(J749,J748)</f>
        <v>61.5</v>
      </c>
      <c r="M749" s="598"/>
      <c r="N749" s="1120">
        <f>(L749/L742-1)*100</f>
        <v>73.239436619718305</v>
      </c>
      <c r="O749" s="1124"/>
      <c r="P749" s="1159">
        <f>H749/N749*100</f>
        <v>0</v>
      </c>
      <c r="Q749" s="1125"/>
      <c r="R749" s="598"/>
      <c r="S749" s="1165"/>
      <c r="T749" s="598"/>
      <c r="U749" s="1166"/>
      <c r="V749" s="598"/>
      <c r="W749" s="1176" t="e">
        <f>(U749/U742-1)*100</f>
        <v>#DIV/0!</v>
      </c>
      <c r="X749" s="1124"/>
      <c r="Y749" s="598"/>
      <c r="Z749" s="1163">
        <f>Stores!AW115</f>
        <v>1.756</v>
      </c>
      <c r="AA749" s="1127"/>
      <c r="AB749" s="1163">
        <f>AVERAGE(Z749,Z748)</f>
        <v>1.603</v>
      </c>
      <c r="AC749" s="598"/>
      <c r="AD749" s="1120">
        <f>(AB749/AB742-1)*100</f>
        <v>71.169247197010165</v>
      </c>
      <c r="AE749" s="1124"/>
      <c r="AF749" s="1159">
        <f>+H749/AD749*100</f>
        <v>0</v>
      </c>
      <c r="AG749" s="1125"/>
      <c r="AH749" s="598"/>
      <c r="AI749" s="1165">
        <f>+S749</f>
        <v>0</v>
      </c>
      <c r="AJ749" s="598"/>
      <c r="AK749" s="1167">
        <f>AI749/AB749</f>
        <v>0</v>
      </c>
      <c r="AL749" s="598"/>
      <c r="AM749" s="1176" t="e">
        <f>(AK749/AK742-1)*100</f>
        <v>#DIV/0!</v>
      </c>
      <c r="AN749" s="1124"/>
      <c r="AP749" s="1193"/>
      <c r="AQ749" s="1193"/>
      <c r="AR749" s="1193"/>
      <c r="AS749" s="1193"/>
      <c r="AT749" s="1193"/>
      <c r="AU749" s="1193"/>
      <c r="AV749" s="1193"/>
      <c r="AW749" s="1193"/>
      <c r="AX749" s="1193"/>
      <c r="AY749" s="1193"/>
      <c r="AZ749" s="1193"/>
      <c r="BA749" s="1193"/>
      <c r="BB749" s="1193"/>
      <c r="BC749" s="1193"/>
      <c r="BD749" s="1193"/>
      <c r="BE749" s="1193"/>
      <c r="BF749" s="1193"/>
      <c r="BG749" s="1193"/>
    </row>
    <row r="750" spans="1:59" hidden="1" outlineLevel="2">
      <c r="A750" s="598" t="s">
        <v>530</v>
      </c>
      <c r="B750" s="1157" t="s">
        <v>517</v>
      </c>
      <c r="C750" s="598"/>
      <c r="D750" s="1168" t="e">
        <f>(S750/S743-1)*100</f>
        <v>#DIV/0!</v>
      </c>
      <c r="E750" s="598"/>
      <c r="F750" s="1178"/>
      <c r="G750" s="598"/>
      <c r="H750" s="1168"/>
      <c r="I750" s="598"/>
      <c r="J750" s="1170">
        <f>yrSales!N$287</f>
        <v>75</v>
      </c>
      <c r="K750" s="1127"/>
      <c r="L750" s="1171">
        <f>AVERAGE(J750,J749)</f>
        <v>71.5</v>
      </c>
      <c r="M750" s="598"/>
      <c r="N750" s="1168">
        <f>(L750/L743-1)*100</f>
        <v>68.235294117647058</v>
      </c>
      <c r="O750" s="1124"/>
      <c r="P750" s="1171">
        <f>H750/N750*100</f>
        <v>0</v>
      </c>
      <c r="Q750" s="1125"/>
      <c r="R750" s="598"/>
      <c r="S750" s="1172"/>
      <c r="T750" s="598"/>
      <c r="U750" s="1173"/>
      <c r="V750" s="598"/>
      <c r="W750" s="1169" t="e">
        <f>(U750/U743-1)*100</f>
        <v>#DIV/0!</v>
      </c>
      <c r="X750" s="1124"/>
      <c r="Y750" s="598"/>
      <c r="Z750" s="1129">
        <f>yrSales!N$297</f>
        <v>1.9419999999999999</v>
      </c>
      <c r="AA750" s="1127"/>
      <c r="AB750" s="1174">
        <f>AVERAGE(Z750,Z749)</f>
        <v>1.849</v>
      </c>
      <c r="AC750" s="598"/>
      <c r="AD750" s="1168">
        <f>(AB750/AB743-1)*100</f>
        <v>66.052986079928161</v>
      </c>
      <c r="AE750" s="1124"/>
      <c r="AF750" s="1171">
        <f>+H750/AD750*100</f>
        <v>0</v>
      </c>
      <c r="AG750" s="1125"/>
      <c r="AH750" s="598"/>
      <c r="AI750" s="1172">
        <f>+S750</f>
        <v>0</v>
      </c>
      <c r="AJ750" s="598"/>
      <c r="AK750" s="1175">
        <f>AI750/AB750</f>
        <v>0</v>
      </c>
      <c r="AL750" s="598"/>
      <c r="AM750" s="1169" t="e">
        <f>(AK750/AK743-1)*100</f>
        <v>#DIV/0!</v>
      </c>
      <c r="AN750" s="1124"/>
      <c r="AP750" s="1193"/>
      <c r="AQ750" s="1193"/>
      <c r="AR750" s="1193"/>
      <c r="AS750" s="1193"/>
      <c r="AT750" s="1193"/>
      <c r="AU750" s="1193"/>
      <c r="AV750" s="1193"/>
      <c r="AW750" s="1193"/>
      <c r="AX750" s="1193"/>
      <c r="AY750" s="1193"/>
      <c r="AZ750" s="1193"/>
      <c r="BA750" s="1193"/>
      <c r="BB750" s="1193"/>
      <c r="BC750" s="1193"/>
      <c r="BD750" s="1193"/>
      <c r="BE750" s="1193"/>
      <c r="BF750" s="1193"/>
      <c r="BG750" s="1193"/>
    </row>
    <row r="751" spans="1:59" hidden="1" outlineLevel="2">
      <c r="A751" s="598"/>
      <c r="B751" s="1157" t="s">
        <v>531</v>
      </c>
      <c r="C751" s="598"/>
      <c r="D751" s="1120" t="e">
        <f>(S751/S744-1)*100</f>
        <v>#DIV/0!</v>
      </c>
      <c r="E751" s="598"/>
      <c r="F751" s="1205"/>
      <c r="G751" s="598"/>
      <c r="H751" s="1120"/>
      <c r="I751" s="598"/>
      <c r="J751" s="598"/>
      <c r="K751" s="598"/>
      <c r="L751" s="1128">
        <f>AVERAGE(L747:L750)</f>
        <v>58.75</v>
      </c>
      <c r="M751" s="598"/>
      <c r="N751" s="1120">
        <f>(L751/L744-1)*100</f>
        <v>75.373134328358219</v>
      </c>
      <c r="O751" s="1124"/>
      <c r="P751" s="1159">
        <f>H751/N751*100</f>
        <v>0</v>
      </c>
      <c r="Q751" s="1125"/>
      <c r="R751" s="598"/>
      <c r="S751" s="1160"/>
      <c r="T751" s="598"/>
      <c r="U751" s="1161"/>
      <c r="V751" s="598"/>
      <c r="W751" s="1176" t="e">
        <f>(U751/U744-1)*100</f>
        <v>#DIV/0!</v>
      </c>
      <c r="X751" s="1124"/>
      <c r="Y751" s="598"/>
      <c r="Z751" s="598"/>
      <c r="AA751" s="598"/>
      <c r="AB751" s="1163">
        <f>AVERAGE(AB747:AB750)</f>
        <v>1.5295000000000001</v>
      </c>
      <c r="AC751" s="598"/>
      <c r="AD751" s="1120">
        <f>(AB751/AB744-1)*100</f>
        <v>72.556762092793718</v>
      </c>
      <c r="AE751" s="1124"/>
      <c r="AF751" s="1159">
        <f>+H751/AD751*100</f>
        <v>0</v>
      </c>
      <c r="AG751" s="1125"/>
      <c r="AH751" s="598"/>
      <c r="AI751" s="1160">
        <f>SUM(AI747:AI750)</f>
        <v>0</v>
      </c>
      <c r="AJ751" s="598"/>
      <c r="AK751" s="1164">
        <f>SUM(AK747:AK750)</f>
        <v>0</v>
      </c>
      <c r="AL751" s="598"/>
      <c r="AM751" s="1176" t="e">
        <f>(AK751/AK744-1)*100</f>
        <v>#DIV/0!</v>
      </c>
      <c r="AN751" s="1124"/>
      <c r="AP751" s="1193"/>
      <c r="AQ751" s="1193"/>
      <c r="AR751" s="1193"/>
      <c r="AS751" s="1193"/>
      <c r="AT751" s="1193"/>
      <c r="AU751" s="1193"/>
      <c r="AV751" s="1193"/>
      <c r="AW751" s="1193"/>
      <c r="AX751" s="1193"/>
      <c r="AY751" s="1193"/>
      <c r="AZ751" s="1193"/>
      <c r="BA751" s="1193"/>
      <c r="BB751" s="1193"/>
      <c r="BC751" s="1193"/>
      <c r="BD751" s="1193"/>
      <c r="BE751" s="1193"/>
      <c r="BF751" s="1193"/>
      <c r="BG751" s="1193"/>
    </row>
    <row r="752" spans="1:59" hidden="1" outlineLevel="2">
      <c r="A752" s="598"/>
      <c r="B752" s="1157"/>
      <c r="C752" s="598"/>
      <c r="D752" s="598"/>
      <c r="E752" s="598"/>
      <c r="F752" s="598"/>
      <c r="G752" s="598"/>
      <c r="H752" s="598"/>
      <c r="I752" s="598"/>
      <c r="J752" s="598"/>
      <c r="K752" s="598"/>
      <c r="L752" s="598"/>
      <c r="M752" s="598"/>
      <c r="N752" s="598"/>
      <c r="O752" s="1124"/>
      <c r="P752" s="598"/>
      <c r="Q752" s="598"/>
      <c r="R752" s="598"/>
      <c r="S752" s="598"/>
      <c r="T752" s="598"/>
      <c r="U752" s="598"/>
      <c r="V752" s="598"/>
      <c r="W752" s="598"/>
      <c r="X752" s="598"/>
      <c r="Y752" s="598"/>
      <c r="Z752" s="598"/>
      <c r="AA752" s="598"/>
      <c r="AB752" s="598"/>
      <c r="AC752" s="598"/>
      <c r="AD752" s="598"/>
      <c r="AE752" s="1124"/>
      <c r="AF752" s="598"/>
      <c r="AG752" s="598"/>
      <c r="AH752" s="598"/>
      <c r="AI752" s="598"/>
      <c r="AJ752" s="598"/>
      <c r="AK752" s="598"/>
      <c r="AL752" s="598"/>
      <c r="AM752" s="598"/>
      <c r="AN752" s="598"/>
      <c r="AP752" s="1193"/>
      <c r="AQ752" s="1193"/>
      <c r="AR752" s="1193"/>
      <c r="AS752" s="1193"/>
      <c r="AT752" s="1193"/>
      <c r="AU752" s="1193"/>
      <c r="AV752" s="1193"/>
      <c r="AW752" s="1193"/>
      <c r="AX752" s="1193"/>
      <c r="AY752" s="1193"/>
      <c r="AZ752" s="1193"/>
      <c r="BA752" s="1193"/>
      <c r="BB752" s="1193"/>
      <c r="BC752" s="1193"/>
      <c r="BD752" s="1193"/>
      <c r="BE752" s="1193"/>
      <c r="BF752" s="1193"/>
      <c r="BG752" s="1193"/>
    </row>
    <row r="753" spans="1:59" hidden="1" outlineLevel="2">
      <c r="A753" s="1154"/>
      <c r="B753" s="1155">
        <v>2003</v>
      </c>
      <c r="C753" s="598"/>
      <c r="D753" s="598"/>
      <c r="E753" s="1124"/>
      <c r="F753" s="598"/>
      <c r="G753" s="1124"/>
      <c r="H753" s="598"/>
      <c r="I753" s="1124"/>
      <c r="J753" s="598"/>
      <c r="K753" s="598"/>
      <c r="L753" s="598"/>
      <c r="M753" s="598"/>
      <c r="N753" s="598"/>
      <c r="O753" s="1124"/>
      <c r="P753" s="1125"/>
      <c r="Q753" s="1125"/>
      <c r="R753" s="598"/>
      <c r="S753" s="598"/>
      <c r="T753" s="598"/>
      <c r="U753" s="598"/>
      <c r="V753" s="598"/>
      <c r="W753" s="598"/>
      <c r="X753" s="1124"/>
      <c r="Y753" s="598"/>
      <c r="Z753" s="598"/>
      <c r="AA753" s="598"/>
      <c r="AB753" s="598"/>
      <c r="AC753" s="598"/>
      <c r="AD753" s="598"/>
      <c r="AE753" s="1124"/>
      <c r="AF753" s="1125"/>
      <c r="AG753" s="1125"/>
      <c r="AH753" s="598"/>
      <c r="AI753" s="598"/>
      <c r="AJ753" s="598"/>
      <c r="AK753" s="598"/>
      <c r="AL753" s="598"/>
      <c r="AM753" s="598"/>
      <c r="AN753" s="1124"/>
      <c r="AP753" s="1193"/>
      <c r="AQ753" s="1193"/>
      <c r="AR753" s="1193"/>
      <c r="AS753" s="1193"/>
      <c r="AT753" s="1193"/>
      <c r="AU753" s="1193"/>
      <c r="AV753" s="1193"/>
      <c r="AW753" s="1193"/>
      <c r="AX753" s="1193"/>
      <c r="AY753" s="1193"/>
      <c r="AZ753" s="1193"/>
      <c r="BA753" s="1193"/>
      <c r="BB753" s="1193"/>
      <c r="BC753" s="1193"/>
      <c r="BD753" s="1193"/>
      <c r="BE753" s="1193"/>
      <c r="BF753" s="1193"/>
      <c r="BG753" s="1193"/>
    </row>
    <row r="754" spans="1:59" hidden="1" outlineLevel="2">
      <c r="A754" s="598" t="s">
        <v>527</v>
      </c>
      <c r="B754" s="1157" t="s">
        <v>514</v>
      </c>
      <c r="C754" s="598"/>
      <c r="D754" s="1120" t="e">
        <f>(S754/S747-1)*100</f>
        <v>#DIV/0!</v>
      </c>
      <c r="E754" s="1124" t="s">
        <v>190</v>
      </c>
      <c r="F754" s="1205"/>
      <c r="G754" s="1124"/>
      <c r="H754" s="1120"/>
      <c r="I754" s="1124"/>
      <c r="J754" s="1170">
        <f>Stores!AT$121</f>
        <v>83</v>
      </c>
      <c r="K754" s="598" t="s">
        <v>315</v>
      </c>
      <c r="L754" s="1128">
        <f>AVERAGE(J754,J750)</f>
        <v>79</v>
      </c>
      <c r="M754" s="598"/>
      <c r="N754" s="1120">
        <f>(L754/L747-1)*100</f>
        <v>62.886597938144327</v>
      </c>
      <c r="O754" s="1124" t="s">
        <v>190</v>
      </c>
      <c r="P754" s="1159">
        <f>H754/N754*100</f>
        <v>0</v>
      </c>
      <c r="Q754" s="1125" t="s">
        <v>190</v>
      </c>
      <c r="R754" s="598"/>
      <c r="S754" s="1160"/>
      <c r="T754" s="598"/>
      <c r="U754" s="1161"/>
      <c r="V754" s="598"/>
      <c r="W754" s="1176" t="e">
        <f>(U754/U747-1)*100</f>
        <v>#DIV/0!</v>
      </c>
      <c r="X754" s="1124" t="s">
        <v>190</v>
      </c>
      <c r="Y754" s="598"/>
      <c r="Z754" s="1163">
        <f>Stores!AW$121</f>
        <v>2.1539999999999999</v>
      </c>
      <c r="AA754" s="598" t="s">
        <v>315</v>
      </c>
      <c r="AB754" s="1163">
        <f>AVERAGE(Z754,Z750)</f>
        <v>2.048</v>
      </c>
      <c r="AC754" s="598"/>
      <c r="AD754" s="1120">
        <f>(AB754/AB747-1)*100</f>
        <v>61.833267483208232</v>
      </c>
      <c r="AE754" s="1124" t="s">
        <v>190</v>
      </c>
      <c r="AF754" s="1159">
        <f>+H754/AD754*100</f>
        <v>0</v>
      </c>
      <c r="AG754" s="1125" t="s">
        <v>190</v>
      </c>
      <c r="AH754" s="598"/>
      <c r="AI754" s="1160">
        <f>+S754</f>
        <v>0</v>
      </c>
      <c r="AJ754" s="598" t="s">
        <v>315</v>
      </c>
      <c r="AK754" s="1164">
        <f>AI754/AB754</f>
        <v>0</v>
      </c>
      <c r="AL754" s="598"/>
      <c r="AM754" s="1176" t="e">
        <f>(AK754/AK747-1)*100</f>
        <v>#DIV/0!</v>
      </c>
      <c r="AN754" s="1124" t="s">
        <v>190</v>
      </c>
      <c r="AP754" s="1193"/>
      <c r="AQ754" s="1193"/>
      <c r="AR754" s="1193"/>
      <c r="AS754" s="1193"/>
      <c r="AT754" s="1193"/>
      <c r="AU754" s="1193"/>
      <c r="AV754" s="1193"/>
      <c r="AW754" s="1193"/>
      <c r="AX754" s="1193"/>
      <c r="AY754" s="1193"/>
      <c r="AZ754" s="1193"/>
      <c r="BA754" s="1193"/>
      <c r="BB754" s="1193"/>
      <c r="BC754" s="1193"/>
      <c r="BD754" s="1193"/>
      <c r="BE754" s="1193"/>
      <c r="BF754" s="1193"/>
      <c r="BG754" s="1193"/>
    </row>
    <row r="755" spans="1:59" hidden="1" outlineLevel="2">
      <c r="A755" s="598" t="s">
        <v>528</v>
      </c>
      <c r="B755" s="1157" t="s">
        <v>515</v>
      </c>
      <c r="C755" s="598"/>
      <c r="D755" s="1120" t="e">
        <f>(S755/S748-1)*100</f>
        <v>#DIV/0!</v>
      </c>
      <c r="E755" s="598"/>
      <c r="F755" s="1179"/>
      <c r="G755" s="598"/>
      <c r="H755" s="1120"/>
      <c r="I755" s="598"/>
      <c r="J755" s="1170">
        <f>Stores!AT$122</f>
        <v>84</v>
      </c>
      <c r="K755" s="1127"/>
      <c r="L755" s="1128">
        <f>AVERAGE(J755,J754)</f>
        <v>83.5</v>
      </c>
      <c r="M755" s="598"/>
      <c r="N755" s="1120">
        <f>(L755/L748-1)*100</f>
        <v>56.074766355140191</v>
      </c>
      <c r="O755" s="1124"/>
      <c r="P755" s="1159">
        <f>H755/N755*100</f>
        <v>0</v>
      </c>
      <c r="Q755" s="1125"/>
      <c r="R755" s="598"/>
      <c r="S755" s="1165"/>
      <c r="T755" s="598"/>
      <c r="U755" s="1166"/>
      <c r="V755" s="598"/>
      <c r="W755" s="1176" t="e">
        <f>(U755/U748-1)*100</f>
        <v>#DIV/0!</v>
      </c>
      <c r="X755" s="1124"/>
      <c r="Y755" s="598"/>
      <c r="Z755" s="1163">
        <f>Stores!AW$122</f>
        <v>2.1749999999999998</v>
      </c>
      <c r="AA755" s="1127"/>
      <c r="AB755" s="1163">
        <f>AVERAGE(Z755,Z754)</f>
        <v>2.1644999999999999</v>
      </c>
      <c r="AC755" s="598"/>
      <c r="AD755" s="1120">
        <f>(AB755/AB748-1)*100</f>
        <v>54.551945733666528</v>
      </c>
      <c r="AE755" s="1124"/>
      <c r="AF755" s="1159">
        <f>+H755/AD755*100</f>
        <v>0</v>
      </c>
      <c r="AG755" s="1125"/>
      <c r="AH755" s="598"/>
      <c r="AI755" s="1165">
        <f>+S755</f>
        <v>0</v>
      </c>
      <c r="AJ755" s="598"/>
      <c r="AK755" s="1167">
        <f>AI755/AB755</f>
        <v>0</v>
      </c>
      <c r="AL755" s="598"/>
      <c r="AM755" s="1176" t="e">
        <f>(AK755/AK748-1)*100</f>
        <v>#DIV/0!</v>
      </c>
      <c r="AN755" s="1124"/>
      <c r="AP755" s="1193"/>
      <c r="AQ755" s="1193"/>
      <c r="AR755" s="1193"/>
      <c r="AS755" s="1193"/>
      <c r="AT755" s="1193"/>
      <c r="AU755" s="1193"/>
      <c r="AV755" s="1193"/>
      <c r="AW755" s="1193"/>
      <c r="AX755" s="1193"/>
      <c r="AY755" s="1193"/>
      <c r="AZ755" s="1193"/>
      <c r="BA755" s="1193"/>
      <c r="BB755" s="1193"/>
      <c r="BC755" s="1193"/>
      <c r="BD755" s="1193"/>
      <c r="BE755" s="1193"/>
      <c r="BF755" s="1193"/>
      <c r="BG755" s="1193"/>
    </row>
    <row r="756" spans="1:59" hidden="1" outlineLevel="2">
      <c r="A756" s="598" t="s">
        <v>529</v>
      </c>
      <c r="B756" s="1157" t="s">
        <v>516</v>
      </c>
      <c r="C756" s="598"/>
      <c r="D756" s="1120" t="e">
        <f>(S756/S749-1)*100</f>
        <v>#DIV/0!</v>
      </c>
      <c r="E756" s="598"/>
      <c r="F756" s="1179"/>
      <c r="G756" s="598"/>
      <c r="H756" s="1120"/>
      <c r="I756" s="598"/>
      <c r="J756" s="1170">
        <f>Stores!AT$123</f>
        <v>95</v>
      </c>
      <c r="K756" s="1127"/>
      <c r="L756" s="1128">
        <f>AVERAGE(J756,J755)</f>
        <v>89.5</v>
      </c>
      <c r="M756" s="598"/>
      <c r="N756" s="1120">
        <f>(L756/L749-1)*100</f>
        <v>45.528455284552848</v>
      </c>
      <c r="O756" s="1124"/>
      <c r="P756" s="1159">
        <f>H756/N756*100</f>
        <v>0</v>
      </c>
      <c r="Q756" s="1125"/>
      <c r="R756" s="598"/>
      <c r="S756" s="1165"/>
      <c r="T756" s="598"/>
      <c r="U756" s="1166"/>
      <c r="V756" s="598"/>
      <c r="W756" s="1176" t="e">
        <f>(U756/U749-1)*100</f>
        <v>#DIV/0!</v>
      </c>
      <c r="X756" s="1124"/>
      <c r="Y756" s="598"/>
      <c r="Z756" s="1163">
        <f>Stores!AW$123</f>
        <v>2.4460000000000002</v>
      </c>
      <c r="AA756" s="1127"/>
      <c r="AB756" s="1163">
        <f>AVERAGE(Z756,Z755)</f>
        <v>2.3105000000000002</v>
      </c>
      <c r="AC756" s="598"/>
      <c r="AD756" s="1120">
        <f>(AB756/AB749-1)*100</f>
        <v>44.135995009357472</v>
      </c>
      <c r="AE756" s="1124"/>
      <c r="AF756" s="1159">
        <f>+H756/AD756*100</f>
        <v>0</v>
      </c>
      <c r="AG756" s="1125"/>
      <c r="AH756" s="598"/>
      <c r="AI756" s="1165">
        <f>+S756</f>
        <v>0</v>
      </c>
      <c r="AJ756" s="598"/>
      <c r="AK756" s="1167">
        <f>AI756/AB756</f>
        <v>0</v>
      </c>
      <c r="AL756" s="598"/>
      <c r="AM756" s="1176" t="e">
        <f>(AK756/AK749-1)*100</f>
        <v>#DIV/0!</v>
      </c>
      <c r="AN756" s="1124"/>
      <c r="AP756" s="1193"/>
      <c r="AQ756" s="1193"/>
      <c r="AR756" s="1193"/>
      <c r="AS756" s="1193"/>
      <c r="AT756" s="1193"/>
      <c r="AU756" s="1193"/>
      <c r="AV756" s="1193"/>
      <c r="AW756" s="1193"/>
      <c r="AX756" s="1193"/>
      <c r="AY756" s="1193"/>
      <c r="AZ756" s="1193"/>
      <c r="BA756" s="1193"/>
      <c r="BB756" s="1193"/>
      <c r="BC756" s="1193"/>
      <c r="BD756" s="1193"/>
      <c r="BE756" s="1193"/>
      <c r="BF756" s="1193"/>
      <c r="BG756" s="1193"/>
    </row>
    <row r="757" spans="1:59" hidden="1" outlineLevel="2">
      <c r="A757" s="598" t="s">
        <v>530</v>
      </c>
      <c r="B757" s="1157" t="s">
        <v>517</v>
      </c>
      <c r="C757" s="598"/>
      <c r="D757" s="1168" t="e">
        <f>(S757/S750-1)*100</f>
        <v>#DIV/0!</v>
      </c>
      <c r="E757" s="598"/>
      <c r="F757" s="1178"/>
      <c r="G757" s="598"/>
      <c r="H757" s="1168"/>
      <c r="I757" s="598"/>
      <c r="J757" s="598">
        <f>yrSales!O$287</f>
        <v>99</v>
      </c>
      <c r="K757" s="1127"/>
      <c r="L757" s="1171">
        <f>AVERAGE(J757,J756)</f>
        <v>97</v>
      </c>
      <c r="M757" s="598"/>
      <c r="N757" s="1168">
        <f>(L757/L750-1)*100</f>
        <v>35.664335664335667</v>
      </c>
      <c r="O757" s="1124"/>
      <c r="P757" s="1171">
        <f>H757/N757*100</f>
        <v>0</v>
      </c>
      <c r="Q757" s="1125"/>
      <c r="R757" s="598"/>
      <c r="S757" s="1172"/>
      <c r="T757" s="598"/>
      <c r="U757" s="1173"/>
      <c r="V757" s="598"/>
      <c r="W757" s="1169" t="e">
        <f>(U757/U750-1)*100</f>
        <v>#DIV/0!</v>
      </c>
      <c r="X757" s="1124"/>
      <c r="Y757" s="598"/>
      <c r="Z757" s="1129">
        <f>yrSales!O$297</f>
        <v>2.5390000000000001</v>
      </c>
      <c r="AA757" s="1127"/>
      <c r="AB757" s="1174">
        <f>AVERAGE(Z757,Z756)</f>
        <v>2.4925000000000002</v>
      </c>
      <c r="AC757" s="598"/>
      <c r="AD757" s="1168">
        <f>(AB757/AB750-1)*100</f>
        <v>34.802595997836683</v>
      </c>
      <c r="AE757" s="1124"/>
      <c r="AF757" s="1171">
        <f>+H757/AD757*100</f>
        <v>0</v>
      </c>
      <c r="AG757" s="1125"/>
      <c r="AH757" s="598"/>
      <c r="AI757" s="1172">
        <f>+S757</f>
        <v>0</v>
      </c>
      <c r="AJ757" s="598"/>
      <c r="AK757" s="1175">
        <f>AI757/AB757</f>
        <v>0</v>
      </c>
      <c r="AL757" s="598"/>
      <c r="AM757" s="1169" t="e">
        <f>(AK757/AK750-1)*100</f>
        <v>#DIV/0!</v>
      </c>
      <c r="AN757" s="1124"/>
      <c r="AP757" s="1193"/>
      <c r="AQ757" s="1193"/>
      <c r="AR757" s="1193"/>
      <c r="AS757" s="1193"/>
      <c r="AT757" s="1193"/>
      <c r="AU757" s="1193"/>
      <c r="AV757" s="1193"/>
      <c r="AW757" s="1193"/>
      <c r="AX757" s="1193"/>
      <c r="AY757" s="1193"/>
      <c r="AZ757" s="1193"/>
      <c r="BA757" s="1193"/>
      <c r="BB757" s="1193"/>
      <c r="BC757" s="1193"/>
      <c r="BD757" s="1193"/>
      <c r="BE757" s="1193"/>
      <c r="BF757" s="1193"/>
      <c r="BG757" s="1193"/>
    </row>
    <row r="758" spans="1:59" hidden="1" outlineLevel="2">
      <c r="A758" s="598"/>
      <c r="B758" s="1157" t="s">
        <v>531</v>
      </c>
      <c r="C758" s="598"/>
      <c r="D758" s="1120" t="e">
        <f>(S758/S751-1)*100</f>
        <v>#DIV/0!</v>
      </c>
      <c r="E758" s="598"/>
      <c r="F758" s="1179"/>
      <c r="G758" s="598"/>
      <c r="H758" s="1120"/>
      <c r="I758" s="598"/>
      <c r="J758" s="598"/>
      <c r="K758" s="598"/>
      <c r="L758" s="1128">
        <f>AVERAGE(L754:L757)</f>
        <v>87.25</v>
      </c>
      <c r="M758" s="598"/>
      <c r="N758" s="1120">
        <f>(L758/L751-1)*100</f>
        <v>48.510638297872347</v>
      </c>
      <c r="O758" s="1124"/>
      <c r="P758" s="1159">
        <f>H758/N758*100</f>
        <v>0</v>
      </c>
      <c r="Q758" s="1125"/>
      <c r="R758" s="598"/>
      <c r="S758" s="1160"/>
      <c r="T758" s="598"/>
      <c r="U758" s="1161"/>
      <c r="V758" s="598"/>
      <c r="W758" s="1176" t="e">
        <f>(U758/U751-1)*100</f>
        <v>#DIV/0!</v>
      </c>
      <c r="X758" s="1124"/>
      <c r="Y758" s="598"/>
      <c r="Z758" s="598"/>
      <c r="AA758" s="598"/>
      <c r="AB758" s="1163">
        <f>AVERAGE(AB754:AB757)</f>
        <v>2.2538750000000003</v>
      </c>
      <c r="AC758" s="598"/>
      <c r="AD758" s="1120">
        <f>(AB758/AB751-1)*100</f>
        <v>47.360248447204988</v>
      </c>
      <c r="AE758" s="1124"/>
      <c r="AF758" s="1159">
        <f>+H758/AD758*100</f>
        <v>0</v>
      </c>
      <c r="AG758" s="1125"/>
      <c r="AH758" s="598"/>
      <c r="AI758" s="1160">
        <f>SUM(AI754:AI757)</f>
        <v>0</v>
      </c>
      <c r="AJ758" s="598"/>
      <c r="AK758" s="1164">
        <f>SUM(AK754:AK757)</f>
        <v>0</v>
      </c>
      <c r="AL758" s="598"/>
      <c r="AM758" s="1176" t="e">
        <f>(AK758/AK751-1)*100</f>
        <v>#DIV/0!</v>
      </c>
      <c r="AN758" s="1124"/>
      <c r="AP758" s="1193"/>
      <c r="AQ758" s="1193"/>
      <c r="AR758" s="1193"/>
      <c r="AS758" s="1193"/>
      <c r="AT758" s="1193"/>
      <c r="AU758" s="1193"/>
      <c r="AV758" s="1193"/>
      <c r="AW758" s="1193"/>
      <c r="AX758" s="1193"/>
      <c r="AY758" s="1193"/>
      <c r="AZ758" s="1193"/>
      <c r="BA758" s="1193"/>
      <c r="BB758" s="1193"/>
      <c r="BC758" s="1193"/>
      <c r="BD758" s="1193"/>
      <c r="BE758" s="1193"/>
      <c r="BF758" s="1193"/>
      <c r="BG758" s="1193"/>
    </row>
    <row r="759" spans="1:59" hidden="1" outlineLevel="2">
      <c r="A759" s="598"/>
      <c r="B759" s="1157"/>
      <c r="C759" s="598"/>
      <c r="D759" s="598"/>
      <c r="E759" s="598"/>
      <c r="F759" s="598"/>
      <c r="G759" s="598"/>
      <c r="H759" s="598"/>
      <c r="I759" s="598"/>
      <c r="J759" s="598"/>
      <c r="K759" s="598"/>
      <c r="L759" s="598"/>
      <c r="M759" s="598"/>
      <c r="N759" s="598"/>
      <c r="O759" s="1124"/>
      <c r="P759" s="598"/>
      <c r="Q759" s="598"/>
      <c r="R759" s="598"/>
      <c r="S759" s="598"/>
      <c r="T759" s="598"/>
      <c r="U759" s="598"/>
      <c r="V759" s="598"/>
      <c r="W759" s="598"/>
      <c r="X759" s="598"/>
      <c r="Y759" s="598"/>
      <c r="Z759" s="598"/>
      <c r="AA759" s="598"/>
      <c r="AB759" s="598"/>
      <c r="AC759" s="598"/>
      <c r="AD759" s="598"/>
      <c r="AE759" s="1124"/>
      <c r="AF759" s="598"/>
      <c r="AG759" s="598"/>
      <c r="AH759" s="598"/>
      <c r="AI759" s="598"/>
      <c r="AJ759" s="598"/>
      <c r="AK759" s="598"/>
      <c r="AL759" s="598"/>
      <c r="AM759" s="598"/>
      <c r="AN759" s="598"/>
      <c r="AP759" s="1193"/>
      <c r="AQ759" s="1193"/>
      <c r="AR759" s="1193"/>
      <c r="AS759" s="1193"/>
      <c r="AT759" s="1193"/>
      <c r="AU759" s="1193"/>
      <c r="AV759" s="1193"/>
      <c r="AW759" s="1193"/>
      <c r="AX759" s="1193"/>
      <c r="AY759" s="1193"/>
      <c r="AZ759" s="1193"/>
      <c r="BA759" s="1193"/>
      <c r="BB759" s="1193"/>
      <c r="BC759" s="1193"/>
      <c r="BD759" s="1193"/>
      <c r="BE759" s="1193"/>
      <c r="BF759" s="1193"/>
      <c r="BG759" s="1193"/>
    </row>
    <row r="760" spans="1:59" hidden="1" outlineLevel="1" collapsed="1">
      <c r="A760" s="1154"/>
      <c r="B760" s="1155">
        <f>+B753+1</f>
        <v>2004</v>
      </c>
      <c r="C760" s="598"/>
      <c r="D760" s="598"/>
      <c r="E760" s="1124"/>
      <c r="F760" s="598"/>
      <c r="G760" s="1124"/>
      <c r="H760" s="598"/>
      <c r="I760" s="1124"/>
      <c r="J760" s="598"/>
      <c r="K760" s="598"/>
      <c r="L760" s="598"/>
      <c r="M760" s="598"/>
      <c r="N760" s="598"/>
      <c r="O760" s="1124"/>
      <c r="P760" s="1125"/>
      <c r="Q760" s="1125"/>
      <c r="R760" s="598"/>
      <c r="S760" s="1160"/>
      <c r="T760" s="598"/>
      <c r="U760" s="598"/>
      <c r="V760" s="598"/>
      <c r="W760" s="598"/>
      <c r="X760" s="1124"/>
      <c r="Y760" s="598"/>
      <c r="Z760" s="598"/>
      <c r="AA760" s="598"/>
      <c r="AB760" s="598"/>
      <c r="AC760" s="598"/>
      <c r="AD760" s="598"/>
      <c r="AE760" s="1124"/>
      <c r="AF760" s="1125"/>
      <c r="AG760" s="1125"/>
      <c r="AH760" s="598"/>
      <c r="AI760" s="598"/>
      <c r="AJ760" s="598"/>
      <c r="AK760" s="598"/>
      <c r="AL760" s="598"/>
      <c r="AM760" s="598"/>
      <c r="AN760" s="1124"/>
      <c r="AP760" s="1193"/>
      <c r="AQ760" s="1193"/>
      <c r="AR760" s="1193"/>
      <c r="AS760" s="1193"/>
      <c r="AT760" s="1193"/>
      <c r="AU760" s="1193"/>
      <c r="AV760" s="1193"/>
      <c r="AW760" s="1193"/>
      <c r="AX760" s="1193"/>
      <c r="AY760" s="1193"/>
      <c r="AZ760" s="1193"/>
      <c r="BA760" s="1193"/>
      <c r="BB760" s="1193"/>
      <c r="BC760" s="1193"/>
      <c r="BD760" s="1193"/>
      <c r="BE760" s="1193"/>
      <c r="BF760" s="1193"/>
      <c r="BG760" s="1193"/>
    </row>
    <row r="761" spans="1:59" hidden="1" outlineLevel="1">
      <c r="A761" s="598" t="s">
        <v>527</v>
      </c>
      <c r="B761" s="1157" t="s">
        <v>514</v>
      </c>
      <c r="C761" s="598"/>
      <c r="D761" s="1120" t="e">
        <f>(S761/S754-1)*100</f>
        <v>#DIV/0!</v>
      </c>
      <c r="E761" s="1124" t="s">
        <v>190</v>
      </c>
      <c r="F761" s="1179"/>
      <c r="G761" s="1124"/>
      <c r="H761" s="1120"/>
      <c r="I761" s="1124"/>
      <c r="J761" s="1170">
        <f>Stores!AT129</f>
        <v>102</v>
      </c>
      <c r="K761" s="598"/>
      <c r="L761" s="1128">
        <f>AVERAGE(J761,J757)</f>
        <v>100.5</v>
      </c>
      <c r="M761" s="598"/>
      <c r="N761" s="1120">
        <f>(L761/L754-1)*100</f>
        <v>27.21518987341771</v>
      </c>
      <c r="O761" s="1124" t="s">
        <v>190</v>
      </c>
      <c r="P761" s="1159">
        <f>H761/N761*100</f>
        <v>0</v>
      </c>
      <c r="Q761" s="1125" t="s">
        <v>190</v>
      </c>
      <c r="R761" s="598"/>
      <c r="S761" s="1160"/>
      <c r="T761" s="598"/>
      <c r="U761" s="1161"/>
      <c r="V761" s="598"/>
      <c r="W761" s="1176" t="e">
        <f>(U761/U754-1)*100</f>
        <v>#DIV/0!</v>
      </c>
      <c r="X761" s="1124" t="s">
        <v>190</v>
      </c>
      <c r="Y761" s="598"/>
      <c r="Z761" s="1163">
        <f>Stores!AW$129</f>
        <v>2.624609393939394</v>
      </c>
      <c r="AA761" s="598"/>
      <c r="AB761" s="1163">
        <f>AVERAGE(Z761,Z757)</f>
        <v>2.5818046969696971</v>
      </c>
      <c r="AC761" s="598"/>
      <c r="AD761" s="1120">
        <f>(AB761/AB754-1)*100</f>
        <v>26.064682469223488</v>
      </c>
      <c r="AE761" s="1124" t="s">
        <v>190</v>
      </c>
      <c r="AF761" s="1159">
        <f>+H761/AD761*100</f>
        <v>0</v>
      </c>
      <c r="AG761" s="1125" t="s">
        <v>190</v>
      </c>
      <c r="AH761" s="598"/>
      <c r="AI761" s="1160">
        <f>+S761</f>
        <v>0</v>
      </c>
      <c r="AJ761" s="598"/>
      <c r="AK761" s="1164">
        <f>AI761/AB761</f>
        <v>0</v>
      </c>
      <c r="AL761" s="598"/>
      <c r="AM761" s="1176" t="e">
        <f>(AK761/AK754-1)*100</f>
        <v>#DIV/0!</v>
      </c>
      <c r="AN761" s="1124" t="s">
        <v>190</v>
      </c>
      <c r="AP761" s="1193"/>
      <c r="AQ761" s="1193"/>
      <c r="AR761" s="1193"/>
      <c r="AS761" s="1193"/>
      <c r="AT761" s="1193"/>
      <c r="AU761" s="1193"/>
      <c r="AV761" s="1193"/>
      <c r="AW761" s="1193"/>
      <c r="AX761" s="1193"/>
      <c r="AY761" s="1193"/>
      <c r="AZ761" s="1193"/>
      <c r="BA761" s="1193"/>
      <c r="BB761" s="1193"/>
      <c r="BC761" s="1193"/>
      <c r="BD761" s="1193"/>
      <c r="BE761" s="1193"/>
      <c r="BF761" s="1193"/>
      <c r="BG761" s="1193"/>
    </row>
    <row r="762" spans="1:59" hidden="1" outlineLevel="1">
      <c r="A762" s="598" t="s">
        <v>528</v>
      </c>
      <c r="B762" s="1157" t="s">
        <v>515</v>
      </c>
      <c r="C762" s="598"/>
      <c r="D762" s="1120" t="e">
        <f>(S762/S755-1)*100</f>
        <v>#DIV/0!</v>
      </c>
      <c r="E762" s="598"/>
      <c r="F762" s="1179"/>
      <c r="G762" s="598"/>
      <c r="H762" s="1120"/>
      <c r="I762" s="598"/>
      <c r="J762" s="1170">
        <f>Stores!AT130</f>
        <v>108</v>
      </c>
      <c r="K762" s="1127"/>
      <c r="L762" s="1128">
        <f>AVERAGE(J762,J761)</f>
        <v>105</v>
      </c>
      <c r="M762" s="598"/>
      <c r="N762" s="1120">
        <f>(L762/L755-1)*100</f>
        <v>25.748502994011968</v>
      </c>
      <c r="O762" s="1124"/>
      <c r="P762" s="1159">
        <f>H762/N762*100</f>
        <v>0</v>
      </c>
      <c r="Q762" s="1125"/>
      <c r="R762" s="598"/>
      <c r="S762" s="1165"/>
      <c r="T762" s="598"/>
      <c r="U762" s="1166"/>
      <c r="V762" s="598"/>
      <c r="W762" s="1176" t="e">
        <f>(U762/U755-1)*100</f>
        <v>#DIV/0!</v>
      </c>
      <c r="X762" s="1124"/>
      <c r="Y762" s="598"/>
      <c r="Z762" s="1163">
        <f>Stores!AW$130</f>
        <v>2.7789981818181819</v>
      </c>
      <c r="AA762" s="1127"/>
      <c r="AB762" s="1163">
        <f>AVERAGE(Z762,Z761)</f>
        <v>2.7018037878787879</v>
      </c>
      <c r="AC762" s="598"/>
      <c r="AD762" s="1120">
        <f>(AB762/AB755-1)*100</f>
        <v>24.823459823459835</v>
      </c>
      <c r="AE762" s="1124"/>
      <c r="AF762" s="1159">
        <f>+H762/AD762*100</f>
        <v>0</v>
      </c>
      <c r="AG762" s="1125"/>
      <c r="AH762" s="598"/>
      <c r="AI762" s="1165">
        <f>+S762</f>
        <v>0</v>
      </c>
      <c r="AJ762" s="598"/>
      <c r="AK762" s="1167">
        <f>AI762/AB762</f>
        <v>0</v>
      </c>
      <c r="AL762" s="598"/>
      <c r="AM762" s="1176" t="e">
        <f>(AK762/AK755-1)*100</f>
        <v>#DIV/0!</v>
      </c>
      <c r="AN762" s="1124"/>
      <c r="AP762" s="1193"/>
      <c r="AQ762" s="1193"/>
      <c r="AR762" s="1193"/>
      <c r="AS762" s="1193"/>
      <c r="AT762" s="1193"/>
      <c r="AU762" s="1193"/>
      <c r="AV762" s="1193"/>
      <c r="AW762" s="1193"/>
      <c r="AX762" s="1193"/>
      <c r="AY762" s="1193"/>
      <c r="AZ762" s="1193"/>
      <c r="BA762" s="1193"/>
      <c r="BB762" s="1193"/>
      <c r="BC762" s="1193"/>
      <c r="BD762" s="1193"/>
      <c r="BE762" s="1193"/>
      <c r="BF762" s="1193"/>
      <c r="BG762" s="1193"/>
    </row>
    <row r="763" spans="1:59" hidden="1" outlineLevel="1">
      <c r="A763" s="598" t="s">
        <v>529</v>
      </c>
      <c r="B763" s="1157" t="s">
        <v>516</v>
      </c>
      <c r="C763" s="598"/>
      <c r="D763" s="1120" t="e">
        <f>(S763/S756-1)*100</f>
        <v>#DIV/0!</v>
      </c>
      <c r="E763" s="598"/>
      <c r="F763" s="1179"/>
      <c r="G763" s="598"/>
      <c r="H763" s="1120"/>
      <c r="I763" s="598"/>
      <c r="J763" s="1170">
        <f>Stores!AT131</f>
        <v>121</v>
      </c>
      <c r="K763" s="1127"/>
      <c r="L763" s="1128">
        <f>AVERAGE(J763,J762)</f>
        <v>114.5</v>
      </c>
      <c r="M763" s="598"/>
      <c r="N763" s="1120">
        <f>(L763/L756-1)*100</f>
        <v>27.932960893854752</v>
      </c>
      <c r="O763" s="1124"/>
      <c r="P763" s="1159">
        <f>H763/N763*100</f>
        <v>0</v>
      </c>
      <c r="Q763" s="1125"/>
      <c r="R763" s="598"/>
      <c r="S763" s="1165"/>
      <c r="T763" s="598"/>
      <c r="U763" s="1166"/>
      <c r="V763" s="598"/>
      <c r="W763" s="1176" t="e">
        <f>(U763/U756-1)*100</f>
        <v>#DIV/0!</v>
      </c>
      <c r="X763" s="1124"/>
      <c r="Y763" s="598"/>
      <c r="Z763" s="1163">
        <f>Stores!AW$131</f>
        <v>3.1135072222222226</v>
      </c>
      <c r="AA763" s="1127"/>
      <c r="AB763" s="1163">
        <f>AVERAGE(Z763,Z762)</f>
        <v>2.9462527020202023</v>
      </c>
      <c r="AC763" s="598"/>
      <c r="AD763" s="1120">
        <f>(AB763/AB756-1)*100</f>
        <v>27.515806190010906</v>
      </c>
      <c r="AE763" s="1124"/>
      <c r="AF763" s="1159">
        <f>+H763/AD763*100</f>
        <v>0</v>
      </c>
      <c r="AG763" s="1125"/>
      <c r="AH763" s="598"/>
      <c r="AI763" s="1165">
        <f>+S763</f>
        <v>0</v>
      </c>
      <c r="AJ763" s="598"/>
      <c r="AK763" s="1167">
        <f>AI763/AB763</f>
        <v>0</v>
      </c>
      <c r="AL763" s="598"/>
      <c r="AM763" s="1176" t="e">
        <f>(AK763/AK756-1)*100</f>
        <v>#DIV/0!</v>
      </c>
      <c r="AN763" s="1124"/>
      <c r="AP763" s="1193"/>
      <c r="AQ763" s="1193"/>
      <c r="AR763" s="1193"/>
      <c r="AS763" s="1193"/>
      <c r="AT763" s="1193"/>
      <c r="AU763" s="1193"/>
      <c r="AV763" s="1193"/>
      <c r="AW763" s="1193"/>
      <c r="AX763" s="1193"/>
      <c r="AY763" s="1193"/>
      <c r="AZ763" s="1193"/>
      <c r="BA763" s="1193"/>
      <c r="BB763" s="1193"/>
      <c r="BC763" s="1193"/>
      <c r="BD763" s="1193"/>
      <c r="BE763" s="1193"/>
      <c r="BF763" s="1193"/>
      <c r="BG763" s="1193"/>
    </row>
    <row r="764" spans="1:59" hidden="1" outlineLevel="1">
      <c r="A764" s="598" t="s">
        <v>530</v>
      </c>
      <c r="B764" s="1157" t="s">
        <v>517</v>
      </c>
      <c r="C764" s="598"/>
      <c r="D764" s="1168" t="e">
        <f>(S764/S757-1)*100</f>
        <v>#DIV/0!</v>
      </c>
      <c r="E764" s="598"/>
      <c r="F764" s="1178"/>
      <c r="G764" s="598"/>
      <c r="H764" s="1168"/>
      <c r="I764" s="598"/>
      <c r="J764" s="1170">
        <f>Stores!AT132</f>
        <v>130</v>
      </c>
      <c r="K764" s="1127"/>
      <c r="L764" s="1171">
        <f>AVERAGE(J764,J763)</f>
        <v>125.5</v>
      </c>
      <c r="M764" s="598"/>
      <c r="N764" s="1168">
        <f>(L764/L757-1)*100</f>
        <v>29.381443298969078</v>
      </c>
      <c r="O764" s="1124"/>
      <c r="P764" s="1171">
        <f>H764/N764*100</f>
        <v>0</v>
      </c>
      <c r="Q764" s="1125"/>
      <c r="R764" s="598"/>
      <c r="S764" s="1172"/>
      <c r="T764" s="598"/>
      <c r="U764" s="1173"/>
      <c r="V764" s="598"/>
      <c r="W764" s="1169" t="e">
        <f>(U764/U757-1)*100</f>
        <v>#DIV/0!</v>
      </c>
      <c r="X764" s="1124"/>
      <c r="Y764" s="598"/>
      <c r="Z764" s="1163">
        <f>Stores!AW$131</f>
        <v>3.1135072222222226</v>
      </c>
      <c r="AA764" s="1127"/>
      <c r="AB764" s="1174">
        <f>AVERAGE(Z764,Z763)</f>
        <v>3.1135072222222226</v>
      </c>
      <c r="AC764" s="598"/>
      <c r="AD764" s="1168">
        <f>(AB764/AB757-1)*100</f>
        <v>24.915033990861481</v>
      </c>
      <c r="AE764" s="1124"/>
      <c r="AF764" s="1171">
        <f>+H764/AD764*100</f>
        <v>0</v>
      </c>
      <c r="AG764" s="1125"/>
      <c r="AH764" s="598"/>
      <c r="AI764" s="1172">
        <f>+S764</f>
        <v>0</v>
      </c>
      <c r="AJ764" s="598"/>
      <c r="AK764" s="1175">
        <f>AI764/AB764</f>
        <v>0</v>
      </c>
      <c r="AL764" s="598"/>
      <c r="AM764" s="1169" t="e">
        <f>(AK764/AK757-1)*100</f>
        <v>#DIV/0!</v>
      </c>
      <c r="AN764" s="1124"/>
      <c r="AP764" s="1193"/>
      <c r="AQ764" s="1193"/>
      <c r="AR764" s="1193"/>
      <c r="AS764" s="1193"/>
      <c r="AT764" s="1193"/>
      <c r="AU764" s="1193"/>
      <c r="AV764" s="1193"/>
      <c r="AW764" s="1193"/>
      <c r="AX764" s="1193"/>
      <c r="AY764" s="1193"/>
      <c r="AZ764" s="1193"/>
      <c r="BA764" s="1193"/>
      <c r="BB764" s="1193"/>
      <c r="BC764" s="1193"/>
      <c r="BD764" s="1193"/>
      <c r="BE764" s="1193"/>
      <c r="BF764" s="1193"/>
      <c r="BG764" s="1193"/>
    </row>
    <row r="765" spans="1:59" hidden="1" outlineLevel="1">
      <c r="A765" s="598"/>
      <c r="B765" s="1157" t="s">
        <v>531</v>
      </c>
      <c r="C765" s="598"/>
      <c r="D765" s="1120" t="e">
        <f>(S765/S758-1)*100</f>
        <v>#DIV/0!</v>
      </c>
      <c r="E765" s="598"/>
      <c r="F765" s="1179"/>
      <c r="G765" s="598"/>
      <c r="H765" s="1120"/>
      <c r="I765" s="598"/>
      <c r="J765" s="598"/>
      <c r="K765" s="598"/>
      <c r="L765" s="1128">
        <f>AVERAGE(L761:L764)</f>
        <v>111.375</v>
      </c>
      <c r="M765" s="598"/>
      <c r="N765" s="1120">
        <f>(L765/L758-1)*100</f>
        <v>27.650429799426934</v>
      </c>
      <c r="O765" s="1124"/>
      <c r="P765" s="1159">
        <f>H765/N765*100</f>
        <v>0</v>
      </c>
      <c r="Q765" s="1125"/>
      <c r="R765" s="598"/>
      <c r="S765" s="1160"/>
      <c r="T765" s="598"/>
      <c r="U765" s="1161"/>
      <c r="V765" s="598"/>
      <c r="W765" s="1176" t="e">
        <f>(U765/U758-1)*100</f>
        <v>#DIV/0!</v>
      </c>
      <c r="X765" s="1124"/>
      <c r="Y765" s="598"/>
      <c r="Z765" s="598"/>
      <c r="AA765" s="598"/>
      <c r="AB765" s="1163">
        <f>AVERAGE(AB761:AB764)</f>
        <v>2.8358421022727276</v>
      </c>
      <c r="AC765" s="598"/>
      <c r="AD765" s="1120">
        <f>(AB765/AB758-1)*100</f>
        <v>25.820735500980629</v>
      </c>
      <c r="AE765" s="1124"/>
      <c r="AF765" s="1159">
        <f>+H765/AD765*100</f>
        <v>0</v>
      </c>
      <c r="AG765" s="1125"/>
      <c r="AH765" s="598"/>
      <c r="AI765" s="1160">
        <f>SUM(AI761:AI764)</f>
        <v>0</v>
      </c>
      <c r="AJ765" s="598"/>
      <c r="AK765" s="1164">
        <f>SUM(AK761:AK764)</f>
        <v>0</v>
      </c>
      <c r="AL765" s="598"/>
      <c r="AM765" s="1176" t="e">
        <f>(AK765/AK758-1)*100</f>
        <v>#DIV/0!</v>
      </c>
      <c r="AN765" s="1124"/>
      <c r="AP765" s="1193"/>
      <c r="AQ765" s="1193"/>
      <c r="AR765" s="1193"/>
      <c r="AS765" s="1193"/>
      <c r="AT765" s="1193"/>
      <c r="AU765" s="1193"/>
      <c r="AV765" s="1193"/>
      <c r="AW765" s="1193"/>
      <c r="AX765" s="1193"/>
      <c r="AY765" s="1193"/>
      <c r="AZ765" s="1193"/>
      <c r="BA765" s="1193"/>
      <c r="BB765" s="1193"/>
      <c r="BC765" s="1193"/>
      <c r="BD765" s="1193"/>
      <c r="BE765" s="1193"/>
      <c r="BF765" s="1193"/>
      <c r="BG765" s="1193"/>
    </row>
    <row r="766" spans="1:59" hidden="1" outlineLevel="1">
      <c r="A766" s="598"/>
      <c r="B766" s="1157"/>
      <c r="C766" s="598"/>
      <c r="D766" s="598"/>
      <c r="E766" s="598"/>
      <c r="F766" s="598"/>
      <c r="G766" s="598"/>
      <c r="H766" s="598"/>
      <c r="I766" s="598"/>
      <c r="J766" s="598"/>
      <c r="K766" s="598"/>
      <c r="L766" s="598"/>
      <c r="M766" s="598"/>
      <c r="N766" s="598"/>
      <c r="O766" s="1124"/>
      <c r="P766" s="598"/>
      <c r="Q766" s="598"/>
      <c r="R766" s="598"/>
      <c r="S766" s="598"/>
      <c r="T766" s="598"/>
      <c r="U766" s="598"/>
      <c r="V766" s="598"/>
      <c r="W766" s="598"/>
      <c r="X766" s="598"/>
      <c r="Y766" s="598"/>
      <c r="Z766" s="598"/>
      <c r="AA766" s="598"/>
      <c r="AB766" s="598"/>
      <c r="AC766" s="598"/>
      <c r="AD766" s="598"/>
      <c r="AE766" s="1124"/>
      <c r="AF766" s="598"/>
      <c r="AG766" s="598"/>
      <c r="AH766" s="598"/>
      <c r="AI766" s="598"/>
      <c r="AJ766" s="598"/>
      <c r="AK766" s="598"/>
      <c r="AL766" s="598"/>
      <c r="AM766" s="598"/>
      <c r="AN766" s="598"/>
      <c r="AP766" s="1193"/>
      <c r="AQ766" s="1193"/>
      <c r="AR766" s="1193"/>
      <c r="AS766" s="1193"/>
      <c r="AT766" s="1193"/>
      <c r="AU766" s="1193"/>
      <c r="AV766" s="1193"/>
      <c r="AW766" s="1193"/>
      <c r="AX766" s="1193"/>
      <c r="AY766" s="1193"/>
      <c r="AZ766" s="1193"/>
      <c r="BA766" s="1193"/>
      <c r="BB766" s="1193"/>
      <c r="BC766" s="1193"/>
      <c r="BD766" s="1193"/>
      <c r="BE766" s="1193"/>
      <c r="BF766" s="1193"/>
      <c r="BG766" s="1193"/>
    </row>
    <row r="767" spans="1:59" hidden="1" outlineLevel="1">
      <c r="A767" s="1154"/>
      <c r="B767" s="1118">
        <f>+B760+1</f>
        <v>2005</v>
      </c>
      <c r="C767" s="598"/>
      <c r="D767" s="598"/>
      <c r="E767" s="1124"/>
      <c r="F767" s="598"/>
      <c r="G767" s="1124"/>
      <c r="H767" s="598"/>
      <c r="I767" s="1124"/>
      <c r="J767" s="598"/>
      <c r="K767" s="598"/>
      <c r="L767" s="598"/>
      <c r="M767" s="598"/>
      <c r="N767" s="598"/>
      <c r="O767" s="1124"/>
      <c r="P767" s="1125"/>
      <c r="Q767" s="1125"/>
      <c r="R767" s="598"/>
      <c r="S767" s="598"/>
      <c r="T767" s="598"/>
      <c r="U767" s="598"/>
      <c r="V767" s="598"/>
      <c r="W767" s="598"/>
      <c r="X767" s="1124"/>
      <c r="Y767" s="598"/>
      <c r="Z767" s="598"/>
      <c r="AA767" s="598"/>
      <c r="AB767" s="598"/>
      <c r="AC767" s="598"/>
      <c r="AD767" s="598"/>
      <c r="AE767" s="1124"/>
      <c r="AF767" s="1125"/>
      <c r="AG767" s="1125"/>
      <c r="AH767" s="598"/>
      <c r="AI767" s="598"/>
      <c r="AJ767" s="598"/>
      <c r="AK767" s="598"/>
      <c r="AL767" s="598"/>
      <c r="AM767" s="598"/>
      <c r="AN767" s="1124"/>
      <c r="AP767" s="1193"/>
      <c r="AQ767" s="1193"/>
      <c r="AR767" s="1193"/>
      <c r="AS767" s="1193"/>
      <c r="AT767" s="1193"/>
      <c r="AU767" s="1193"/>
      <c r="AV767" s="1193"/>
      <c r="AW767" s="1193"/>
      <c r="AX767" s="1193"/>
      <c r="AY767" s="1193"/>
      <c r="AZ767" s="1193"/>
      <c r="BA767" s="1193"/>
      <c r="BB767" s="1193"/>
      <c r="BC767" s="1193"/>
      <c r="BD767" s="1193"/>
      <c r="BE767" s="1193"/>
      <c r="BF767" s="1193"/>
      <c r="BG767" s="1193"/>
    </row>
    <row r="768" spans="1:59" hidden="1" outlineLevel="1">
      <c r="A768" s="598" t="s">
        <v>527</v>
      </c>
      <c r="B768" s="1157" t="s">
        <v>514</v>
      </c>
      <c r="C768" s="598"/>
      <c r="D768" s="1120" t="e">
        <f>(S768/S761-1)*100</f>
        <v>#DIV/0!</v>
      </c>
      <c r="E768" s="1124" t="s">
        <v>190</v>
      </c>
      <c r="F768" s="1179"/>
      <c r="G768" s="1124"/>
      <c r="H768" s="1120"/>
      <c r="I768" s="1124"/>
      <c r="J768" s="1170">
        <f>Stores!AT137</f>
        <v>137</v>
      </c>
      <c r="K768" s="598"/>
      <c r="L768" s="1128">
        <f>AVERAGE(J768,J764)</f>
        <v>133.5</v>
      </c>
      <c r="M768" s="598"/>
      <c r="N768" s="1120">
        <f>(L768/L761-1)*100</f>
        <v>32.835820895522396</v>
      </c>
      <c r="O768" s="1124" t="s">
        <v>190</v>
      </c>
      <c r="P768" s="1159">
        <f>H768/N768*100</f>
        <v>0</v>
      </c>
      <c r="Q768" s="1125" t="s">
        <v>190</v>
      </c>
      <c r="R768" s="598"/>
      <c r="S768" s="1160"/>
      <c r="T768" s="598"/>
      <c r="U768" s="1161"/>
      <c r="V768" s="598"/>
      <c r="W768" s="1176" t="e">
        <f>(U768/U761-1)*100</f>
        <v>#DIV/0!</v>
      </c>
      <c r="X768" s="1124" t="s">
        <v>190</v>
      </c>
      <c r="Y768" s="598"/>
      <c r="Z768" s="1163">
        <f>Stores!AW137</f>
        <v>3.5252106565656569</v>
      </c>
      <c r="AA768" s="598"/>
      <c r="AB768" s="1163">
        <f>AVERAGE(Z768,Z764)</f>
        <v>3.3193589393939398</v>
      </c>
      <c r="AC768" s="598"/>
      <c r="AD768" s="1120">
        <f>(AB768/AB761-1)*100</f>
        <v>28.56739099165484</v>
      </c>
      <c r="AE768" s="1124" t="s">
        <v>190</v>
      </c>
      <c r="AF768" s="1159">
        <f>+H768/AD768*100</f>
        <v>0</v>
      </c>
      <c r="AG768" s="1125" t="s">
        <v>190</v>
      </c>
      <c r="AH768" s="598"/>
      <c r="AI768" s="1160">
        <f>+S768</f>
        <v>0</v>
      </c>
      <c r="AJ768" s="598"/>
      <c r="AK768" s="1164">
        <f>AI768/AB768</f>
        <v>0</v>
      </c>
      <c r="AL768" s="598"/>
      <c r="AM768" s="1176" t="e">
        <f>(AK768/AK761-1)*100</f>
        <v>#DIV/0!</v>
      </c>
      <c r="AN768" s="1124" t="s">
        <v>190</v>
      </c>
      <c r="AP768" s="1193"/>
      <c r="AQ768" s="1193"/>
      <c r="AR768" s="1193"/>
      <c r="AS768" s="1193"/>
      <c r="AT768" s="1193"/>
      <c r="AU768" s="1193"/>
      <c r="AV768" s="1193"/>
      <c r="AW768" s="1193"/>
      <c r="AX768" s="1193"/>
      <c r="AY768" s="1193"/>
      <c r="AZ768" s="1193"/>
      <c r="BA768" s="1193"/>
      <c r="BB768" s="1193"/>
      <c r="BC768" s="1193"/>
      <c r="BD768" s="1193"/>
      <c r="BE768" s="1193"/>
      <c r="BF768" s="1193"/>
      <c r="BG768" s="1193"/>
    </row>
    <row r="769" spans="1:59" hidden="1" outlineLevel="1">
      <c r="A769" s="598" t="s">
        <v>528</v>
      </c>
      <c r="B769" s="1157" t="s">
        <v>515</v>
      </c>
      <c r="C769" s="598"/>
      <c r="D769" s="1120" t="e">
        <f>(S769/S762-1)*100</f>
        <v>#DIV/0!</v>
      </c>
      <c r="E769" s="598"/>
      <c r="F769" s="1179"/>
      <c r="G769" s="598"/>
      <c r="H769" s="1120"/>
      <c r="I769" s="598"/>
      <c r="J769" s="1170">
        <f>Stores!AT138</f>
        <v>143</v>
      </c>
      <c r="K769" s="1127"/>
      <c r="L769" s="1128">
        <f>AVERAGE(J769,J768)</f>
        <v>140</v>
      </c>
      <c r="M769" s="598"/>
      <c r="N769" s="1120">
        <f>(L769/L762-1)*100</f>
        <v>33.333333333333329</v>
      </c>
      <c r="O769" s="1124"/>
      <c r="P769" s="1159">
        <f>H769/N769*100</f>
        <v>0</v>
      </c>
      <c r="Q769" s="1125"/>
      <c r="R769" s="598"/>
      <c r="S769" s="1165"/>
      <c r="T769" s="598"/>
      <c r="U769" s="1166"/>
      <c r="V769" s="598"/>
      <c r="W769" s="1176" t="e">
        <f>(U769/U762-1)*100</f>
        <v>#DIV/0!</v>
      </c>
      <c r="X769" s="1124"/>
      <c r="Y769" s="598"/>
      <c r="Z769" s="1163">
        <f>Stores!AW138</f>
        <v>3.6795994444444444</v>
      </c>
      <c r="AA769" s="1127"/>
      <c r="AB769" s="1163">
        <f>AVERAGE(Z769,Z768)</f>
        <v>3.6024050505050509</v>
      </c>
      <c r="AC769" s="598"/>
      <c r="AD769" s="1120">
        <f>(AB769/AB762-1)*100</f>
        <v>33.33333333333335</v>
      </c>
      <c r="AE769" s="1124"/>
      <c r="AF769" s="1159">
        <f>+H769/AD769*100</f>
        <v>0</v>
      </c>
      <c r="AG769" s="1125"/>
      <c r="AH769" s="598"/>
      <c r="AI769" s="1165">
        <f>+S769</f>
        <v>0</v>
      </c>
      <c r="AJ769" s="598"/>
      <c r="AK769" s="1167">
        <f>AI769/AB769</f>
        <v>0</v>
      </c>
      <c r="AL769" s="598"/>
      <c r="AM769" s="1176" t="e">
        <f>(AK769/AK762-1)*100</f>
        <v>#DIV/0!</v>
      </c>
      <c r="AN769" s="1124"/>
      <c r="AP769" s="1193"/>
      <c r="AQ769" s="1193"/>
      <c r="AR769" s="1193"/>
      <c r="AS769" s="1193"/>
      <c r="AT769" s="1193"/>
      <c r="AU769" s="1193"/>
      <c r="AV769" s="1193"/>
      <c r="AW769" s="1193"/>
      <c r="AX769" s="1193"/>
      <c r="AY769" s="1193"/>
      <c r="AZ769" s="1193"/>
      <c r="BA769" s="1193"/>
      <c r="BB769" s="1193"/>
      <c r="BC769" s="1193"/>
      <c r="BD769" s="1193"/>
      <c r="BE769" s="1193"/>
      <c r="BF769" s="1193"/>
      <c r="BG769" s="1193"/>
    </row>
    <row r="770" spans="1:59" hidden="1" outlineLevel="1">
      <c r="A770" s="598" t="s">
        <v>529</v>
      </c>
      <c r="B770" s="1157" t="s">
        <v>516</v>
      </c>
      <c r="C770" s="598"/>
      <c r="D770" s="1120" t="e">
        <f>(S770/S763-1)*100</f>
        <v>#DIV/0!</v>
      </c>
      <c r="E770" s="598"/>
      <c r="F770" s="1179"/>
      <c r="G770" s="598"/>
      <c r="H770" s="1120"/>
      <c r="I770" s="598"/>
      <c r="J770" s="1170">
        <f>Stores!AT139</f>
        <v>152</v>
      </c>
      <c r="K770" s="1127"/>
      <c r="L770" s="1128">
        <f>AVERAGE(J770,J769)</f>
        <v>147.5</v>
      </c>
      <c r="M770" s="598"/>
      <c r="N770" s="1120">
        <f>(L770/L763-1)*100</f>
        <v>28.820960698689959</v>
      </c>
      <c r="O770" s="1124"/>
      <c r="P770" s="1159">
        <f>H770/N770*100</f>
        <v>0</v>
      </c>
      <c r="Q770" s="1125"/>
      <c r="R770" s="598"/>
      <c r="S770" s="1165"/>
      <c r="T770" s="598"/>
      <c r="U770" s="1166"/>
      <c r="V770" s="598"/>
      <c r="W770" s="1176" t="e">
        <f>(U770/U763-1)*100</f>
        <v>#DIV/0!</v>
      </c>
      <c r="X770" s="1124"/>
      <c r="Y770" s="598"/>
      <c r="Z770" s="1163">
        <f>Stores!AW139</f>
        <v>3.9111826262626264</v>
      </c>
      <c r="AA770" s="1127"/>
      <c r="AB770" s="1163">
        <f>AVERAGE(Z770,Z769)</f>
        <v>3.7953910353535356</v>
      </c>
      <c r="AC770" s="598"/>
      <c r="AD770" s="1120">
        <f>(AB770/AB763-1)*100</f>
        <v>28.820960698689959</v>
      </c>
      <c r="AE770" s="1124"/>
      <c r="AF770" s="1159">
        <f>+H770/AD770*100</f>
        <v>0</v>
      </c>
      <c r="AG770" s="1125"/>
      <c r="AH770" s="598"/>
      <c r="AI770" s="1165">
        <f>+S770</f>
        <v>0</v>
      </c>
      <c r="AJ770" s="598"/>
      <c r="AK770" s="1167">
        <f>AI770/AB770</f>
        <v>0</v>
      </c>
      <c r="AL770" s="598"/>
      <c r="AM770" s="1176" t="e">
        <f>(AK770/AK763-1)*100</f>
        <v>#DIV/0!</v>
      </c>
      <c r="AN770" s="1124"/>
      <c r="AP770" s="1193"/>
      <c r="AQ770" s="1193"/>
      <c r="AR770" s="1193"/>
      <c r="AS770" s="1193"/>
      <c r="AT770" s="1193"/>
      <c r="AU770" s="1193"/>
      <c r="AV770" s="1193"/>
      <c r="AW770" s="1193"/>
      <c r="AX770" s="1193"/>
      <c r="AY770" s="1193"/>
      <c r="AZ770" s="1193"/>
      <c r="BA770" s="1193"/>
      <c r="BB770" s="1193"/>
      <c r="BC770" s="1193"/>
      <c r="BD770" s="1193"/>
      <c r="BE770" s="1193"/>
      <c r="BF770" s="1193"/>
      <c r="BG770" s="1193"/>
    </row>
    <row r="771" spans="1:59" hidden="1" outlineLevel="1">
      <c r="A771" s="598" t="s">
        <v>530</v>
      </c>
      <c r="B771" s="1157" t="s">
        <v>517</v>
      </c>
      <c r="C771" s="598"/>
      <c r="D771" s="1168" t="e">
        <f>(S771/S764-1)*100</f>
        <v>#DIV/0!</v>
      </c>
      <c r="E771" s="598"/>
      <c r="F771" s="1178"/>
      <c r="G771" s="598"/>
      <c r="H771" s="1168"/>
      <c r="I771" s="598"/>
      <c r="J771" s="1234">
        <f>yrSales!Q$287-34</f>
        <v>118</v>
      </c>
      <c r="K771" s="1127"/>
      <c r="L771" s="1171">
        <f>AVERAGE(J771,J770)</f>
        <v>135</v>
      </c>
      <c r="M771" s="598"/>
      <c r="N771" s="1168">
        <f>(L771/L764-1)*100</f>
        <v>7.5697211155378419</v>
      </c>
      <c r="O771" s="1124"/>
      <c r="P771" s="1171">
        <f>H771/N771*100</f>
        <v>0</v>
      </c>
      <c r="Q771" s="1125"/>
      <c r="R771" s="598"/>
      <c r="S771" s="1172"/>
      <c r="T771" s="598"/>
      <c r="U771" s="1173"/>
      <c r="V771" s="598"/>
      <c r="W771" s="1169" t="e">
        <f>(U771/U764-1)*100</f>
        <v>#DIV/0!</v>
      </c>
      <c r="X771" s="1124"/>
      <c r="Y771" s="598"/>
      <c r="Z771" s="1129">
        <f>yrSales!Q$297</f>
        <v>3.91</v>
      </c>
      <c r="AA771" s="1127"/>
      <c r="AB771" s="1174">
        <f>AVERAGE(Z771,Z770)</f>
        <v>3.910591313131313</v>
      </c>
      <c r="AC771" s="598"/>
      <c r="AD771" s="1168">
        <f>(AB771/AB764-1)*100</f>
        <v>25.600842844365811</v>
      </c>
      <c r="AE771" s="1124"/>
      <c r="AF771" s="1171">
        <f>+H771/AD771*100</f>
        <v>0</v>
      </c>
      <c r="AG771" s="1125"/>
      <c r="AH771" s="598"/>
      <c r="AI771" s="1172">
        <f>+S771</f>
        <v>0</v>
      </c>
      <c r="AJ771" s="598"/>
      <c r="AK771" s="1175">
        <f>AI771/AB771</f>
        <v>0</v>
      </c>
      <c r="AL771" s="598"/>
      <c r="AM771" s="1169" t="e">
        <f>(AK771/AK764-1)*100</f>
        <v>#DIV/0!</v>
      </c>
      <c r="AN771" s="1124"/>
      <c r="AP771" s="1193"/>
      <c r="AQ771" s="1193"/>
      <c r="AR771" s="1193"/>
      <c r="AS771" s="1193"/>
      <c r="AT771" s="1193"/>
      <c r="AU771" s="1193"/>
      <c r="AV771" s="1193"/>
      <c r="AW771" s="1193"/>
      <c r="AX771" s="1193"/>
      <c r="AY771" s="1193"/>
      <c r="AZ771" s="1193"/>
      <c r="BA771" s="1193"/>
      <c r="BB771" s="1193"/>
      <c r="BC771" s="1193"/>
      <c r="BD771" s="1193"/>
      <c r="BE771" s="1193"/>
      <c r="BF771" s="1193"/>
      <c r="BG771" s="1193"/>
    </row>
    <row r="772" spans="1:59" hidden="1" outlineLevel="1">
      <c r="A772" s="598"/>
      <c r="B772" s="1157" t="s">
        <v>531</v>
      </c>
      <c r="C772" s="598"/>
      <c r="D772" s="1120" t="e">
        <f>(S772/S765-1)*100</f>
        <v>#DIV/0!</v>
      </c>
      <c r="E772" s="598"/>
      <c r="F772" s="1179"/>
      <c r="G772" s="598"/>
      <c r="H772" s="1120"/>
      <c r="I772" s="598"/>
      <c r="J772" s="598"/>
      <c r="K772" s="598"/>
      <c r="L772" s="1128">
        <f>AVERAGE(L768:L771)</f>
        <v>139</v>
      </c>
      <c r="M772" s="598"/>
      <c r="N772" s="1120">
        <f>(L772/L765-1)*100</f>
        <v>24.803591470258148</v>
      </c>
      <c r="O772" s="1124"/>
      <c r="P772" s="1159">
        <f>H772/N772*100</f>
        <v>0</v>
      </c>
      <c r="Q772" s="1125"/>
      <c r="R772" s="598"/>
      <c r="S772" s="1160"/>
      <c r="T772" s="598"/>
      <c r="U772" s="1161"/>
      <c r="V772" s="598"/>
      <c r="W772" s="1176" t="e">
        <f>(U772/U765-1)*100</f>
        <v>#DIV/0!</v>
      </c>
      <c r="X772" s="1124"/>
      <c r="Y772" s="598"/>
      <c r="Z772" s="598"/>
      <c r="AA772" s="598"/>
      <c r="AB772" s="1163">
        <f>AVERAGE(AB768:AB771)</f>
        <v>3.65693658459596</v>
      </c>
      <c r="AC772" s="598"/>
      <c r="AD772" s="1120">
        <f>(AB772/AB765-1)*100</f>
        <v>28.954167852476111</v>
      </c>
      <c r="AE772" s="1124"/>
      <c r="AF772" s="1159">
        <f>+H772/AD772*100</f>
        <v>0</v>
      </c>
      <c r="AG772" s="1125"/>
      <c r="AH772" s="598"/>
      <c r="AI772" s="1160">
        <f>SUM(AI768:AI771)</f>
        <v>0</v>
      </c>
      <c r="AJ772" s="598"/>
      <c r="AK772" s="1164">
        <f>SUM(AK768:AK771)</f>
        <v>0</v>
      </c>
      <c r="AL772" s="598"/>
      <c r="AM772" s="1176" t="e">
        <f>(AK772/AK765-1)*100</f>
        <v>#DIV/0!</v>
      </c>
      <c r="AN772" s="1124"/>
      <c r="AP772" s="1193"/>
      <c r="AQ772" s="1193"/>
      <c r="AR772" s="1193"/>
      <c r="AS772" s="1193"/>
      <c r="AT772" s="1193"/>
      <c r="AU772" s="1193"/>
      <c r="AV772" s="1193"/>
      <c r="AW772" s="1193"/>
      <c r="AX772" s="1193"/>
      <c r="AY772" s="1193"/>
      <c r="AZ772" s="1193"/>
      <c r="BA772" s="1193"/>
      <c r="BB772" s="1193"/>
      <c r="BC772" s="1193"/>
      <c r="BD772" s="1193"/>
      <c r="BE772" s="1193"/>
      <c r="BF772" s="1193"/>
      <c r="BG772" s="1193"/>
    </row>
    <row r="773" spans="1:59" hidden="1" outlineLevel="1">
      <c r="A773" s="598"/>
      <c r="B773" s="1157"/>
      <c r="C773" s="598"/>
      <c r="D773" s="598"/>
      <c r="E773" s="598"/>
      <c r="F773" s="598"/>
      <c r="G773" s="598"/>
      <c r="H773" s="598"/>
      <c r="I773" s="598"/>
      <c r="J773" s="598"/>
      <c r="K773" s="598"/>
      <c r="L773" s="598"/>
      <c r="M773" s="598"/>
      <c r="N773" s="598"/>
      <c r="O773" s="598"/>
      <c r="P773" s="598"/>
      <c r="Q773" s="598"/>
      <c r="R773" s="598"/>
      <c r="S773" s="598"/>
      <c r="T773" s="598"/>
      <c r="U773" s="598"/>
      <c r="V773" s="598"/>
      <c r="W773" s="598"/>
      <c r="X773" s="598"/>
      <c r="Y773" s="598"/>
      <c r="Z773" s="598"/>
      <c r="AA773" s="598"/>
      <c r="AB773" s="598"/>
      <c r="AC773" s="598"/>
      <c r="AD773" s="598"/>
      <c r="AE773" s="598"/>
      <c r="AF773" s="598"/>
      <c r="AG773" s="598"/>
      <c r="AH773" s="598"/>
      <c r="AI773" s="598"/>
      <c r="AJ773" s="598"/>
      <c r="AK773" s="598"/>
      <c r="AL773" s="598"/>
      <c r="AM773" s="598"/>
      <c r="AN773" s="598"/>
      <c r="AP773" s="1193"/>
      <c r="AQ773" s="1193"/>
      <c r="AR773" s="1193"/>
      <c r="AS773" s="1193"/>
      <c r="AT773" s="1193"/>
      <c r="AU773" s="1193"/>
      <c r="AV773" s="1193"/>
      <c r="AW773" s="1193"/>
      <c r="AX773" s="1193"/>
      <c r="AY773" s="1193"/>
      <c r="AZ773" s="1193"/>
      <c r="BA773" s="1193"/>
      <c r="BB773" s="1193"/>
      <c r="BC773" s="1193"/>
      <c r="BD773" s="1193"/>
      <c r="BE773" s="1193"/>
      <c r="BF773" s="1193"/>
      <c r="BG773" s="1193"/>
    </row>
    <row r="774" spans="1:59" hidden="1" outlineLevel="1">
      <c r="A774" s="1154"/>
      <c r="B774" s="1118">
        <f>+B767+1</f>
        <v>2006</v>
      </c>
      <c r="C774" s="598"/>
      <c r="D774" s="598"/>
      <c r="E774" s="1124"/>
      <c r="F774" s="598"/>
      <c r="G774" s="1124"/>
      <c r="H774" s="598"/>
      <c r="I774" s="1124"/>
      <c r="J774" s="598"/>
      <c r="K774" s="598"/>
      <c r="L774" s="598"/>
      <c r="M774" s="598"/>
      <c r="N774" s="598"/>
      <c r="O774" s="1124"/>
      <c r="P774" s="1125"/>
      <c r="Q774" s="1125"/>
      <c r="R774" s="598"/>
      <c r="S774" s="598"/>
      <c r="T774" s="598"/>
      <c r="U774" s="598"/>
      <c r="V774" s="598"/>
      <c r="W774" s="598"/>
      <c r="X774" s="1124"/>
      <c r="Y774" s="598"/>
      <c r="Z774" s="598"/>
      <c r="AA774" s="598"/>
      <c r="AB774" s="598"/>
      <c r="AC774" s="598"/>
      <c r="AD774" s="598"/>
      <c r="AE774" s="1124"/>
      <c r="AF774" s="1125"/>
      <c r="AG774" s="1125"/>
      <c r="AH774" s="598"/>
      <c r="AI774" s="598"/>
      <c r="AJ774" s="598"/>
      <c r="AK774" s="598"/>
      <c r="AL774" s="598"/>
      <c r="AM774" s="598"/>
      <c r="AN774" s="1124"/>
      <c r="AP774" s="1193"/>
      <c r="AQ774" s="1193"/>
      <c r="AR774" s="1193"/>
      <c r="AS774" s="1193"/>
      <c r="AT774" s="1193"/>
      <c r="AU774" s="1193"/>
      <c r="AV774" s="1193"/>
      <c r="AW774" s="1193"/>
      <c r="AX774" s="1193"/>
      <c r="AY774" s="1193"/>
      <c r="AZ774" s="1193"/>
      <c r="BA774" s="1193"/>
      <c r="BB774" s="1193"/>
      <c r="BC774" s="1193"/>
      <c r="BD774" s="1193"/>
      <c r="BE774" s="1193"/>
      <c r="BF774" s="1193"/>
      <c r="BG774" s="1193"/>
    </row>
    <row r="775" spans="1:59" hidden="1" outlineLevel="1">
      <c r="A775" s="598" t="s">
        <v>527</v>
      </c>
      <c r="B775" s="1157" t="s">
        <v>514</v>
      </c>
      <c r="C775" s="598"/>
      <c r="D775" s="1120" t="e">
        <f>(S775/S768-1)*100</f>
        <v>#DIV/0!</v>
      </c>
      <c r="E775" s="1124" t="s">
        <v>190</v>
      </c>
      <c r="F775" s="1179"/>
      <c r="G775" s="1124"/>
      <c r="H775" s="1120"/>
      <c r="I775" s="1124"/>
      <c r="J775" s="1235">
        <f>Stores!AT145-34</f>
        <v>122</v>
      </c>
      <c r="K775" s="598"/>
      <c r="L775" s="1128">
        <f>AVERAGE(J775,J771)</f>
        <v>120</v>
      </c>
      <c r="M775" s="598"/>
      <c r="N775" s="1120">
        <f>(L775/L768-1)*100</f>
        <v>-10.1123595505618</v>
      </c>
      <c r="O775" s="1124" t="s">
        <v>190</v>
      </c>
      <c r="P775" s="1159">
        <f>H775/N775*100</f>
        <v>0</v>
      </c>
      <c r="Q775" s="1125" t="s">
        <v>190</v>
      </c>
      <c r="R775" s="598"/>
      <c r="S775" s="1160"/>
      <c r="T775" s="598"/>
      <c r="U775" s="1161"/>
      <c r="V775" s="598"/>
      <c r="W775" s="1176" t="e">
        <f>(U775/U768-1)*100</f>
        <v>#DIV/0!</v>
      </c>
      <c r="X775" s="1124" t="s">
        <v>190</v>
      </c>
      <c r="Y775" s="598"/>
      <c r="Z775" s="1163">
        <f>Stores!AW145</f>
        <v>4</v>
      </c>
      <c r="AA775" s="598"/>
      <c r="AB775" s="1163">
        <f>AVERAGE(Z775,Z771)</f>
        <v>3.9550000000000001</v>
      </c>
      <c r="AC775" s="598"/>
      <c r="AD775" s="1120">
        <f>(AB775/AB768-1)*100</f>
        <v>19.149512668314127</v>
      </c>
      <c r="AE775" s="1124" t="s">
        <v>190</v>
      </c>
      <c r="AF775" s="1159">
        <f>+H775/AD775*100</f>
        <v>0</v>
      </c>
      <c r="AG775" s="1125" t="s">
        <v>190</v>
      </c>
      <c r="AH775" s="598"/>
      <c r="AI775" s="1160">
        <f>+S775</f>
        <v>0</v>
      </c>
      <c r="AJ775" s="598"/>
      <c r="AK775" s="1164">
        <f>AI775/AB775</f>
        <v>0</v>
      </c>
      <c r="AL775" s="598"/>
      <c r="AM775" s="1176" t="e">
        <f>(AK775/AK768-1)*100</f>
        <v>#DIV/0!</v>
      </c>
      <c r="AN775" s="1124" t="s">
        <v>190</v>
      </c>
      <c r="AP775" s="1193"/>
      <c r="AQ775" s="1193"/>
      <c r="AR775" s="1193"/>
      <c r="AS775" s="1193"/>
      <c r="AT775" s="1193"/>
      <c r="AU775" s="1193"/>
      <c r="AV775" s="1193"/>
      <c r="AW775" s="1193"/>
      <c r="AX775" s="1193"/>
      <c r="AY775" s="1193"/>
      <c r="AZ775" s="1193"/>
      <c r="BA775" s="1193"/>
      <c r="BB775" s="1193"/>
      <c r="BC775" s="1193"/>
      <c r="BD775" s="1193"/>
      <c r="BE775" s="1193"/>
      <c r="BF775" s="1193"/>
      <c r="BG775" s="1193"/>
    </row>
    <row r="776" spans="1:59" hidden="1" outlineLevel="1">
      <c r="A776" s="598" t="s">
        <v>528</v>
      </c>
      <c r="B776" s="1157" t="s">
        <v>515</v>
      </c>
      <c r="C776" s="598"/>
      <c r="D776" s="1120" t="e">
        <f>(S776/S769-1)*100</f>
        <v>#DIV/0!</v>
      </c>
      <c r="E776" s="598"/>
      <c r="F776" s="1179"/>
      <c r="G776" s="598"/>
      <c r="H776" s="1120"/>
      <c r="I776" s="598"/>
      <c r="J776" s="1236">
        <f>Stores!AT146-34</f>
        <v>122</v>
      </c>
      <c r="K776" s="1127"/>
      <c r="L776" s="1128">
        <f>AVERAGE(J776,J775)</f>
        <v>122</v>
      </c>
      <c r="M776" s="598"/>
      <c r="N776" s="1120">
        <f>(L776/L769-1)*100</f>
        <v>-12.857142857142856</v>
      </c>
      <c r="O776" s="1124"/>
      <c r="P776" s="1159">
        <f>H776/N776*100</f>
        <v>0</v>
      </c>
      <c r="Q776" s="1125"/>
      <c r="R776" s="598"/>
      <c r="S776" s="1233"/>
      <c r="T776" s="598"/>
      <c r="U776" s="1166"/>
      <c r="V776" s="598"/>
      <c r="W776" s="1176" t="e">
        <f>(U776/U769-1)*100</f>
        <v>#DIV/0!</v>
      </c>
      <c r="X776" s="1124"/>
      <c r="Y776" s="598"/>
      <c r="Z776" s="1163">
        <f>Stores!AW146</f>
        <v>4</v>
      </c>
      <c r="AA776" s="1127"/>
      <c r="AB776" s="1163">
        <f>AVERAGE(Z776,Z775)</f>
        <v>4</v>
      </c>
      <c r="AC776" s="598"/>
      <c r="AD776" s="1120">
        <f>(AB776/AB769-1)*100</f>
        <v>11.036930714918004</v>
      </c>
      <c r="AE776" s="1124"/>
      <c r="AF776" s="1159">
        <f>+H776/AD776*100</f>
        <v>0</v>
      </c>
      <c r="AG776" s="1125"/>
      <c r="AH776" s="598"/>
      <c r="AI776" s="1165">
        <f>+S776</f>
        <v>0</v>
      </c>
      <c r="AJ776" s="598"/>
      <c r="AK776" s="1167">
        <f>AI776/AB776</f>
        <v>0</v>
      </c>
      <c r="AL776" s="598"/>
      <c r="AM776" s="1176" t="e">
        <f>(AK776/AK769-1)*100</f>
        <v>#DIV/0!</v>
      </c>
      <c r="AN776" s="1124"/>
      <c r="AP776" s="1193"/>
      <c r="AQ776" s="1193"/>
      <c r="AR776" s="1193"/>
      <c r="AS776" s="1193"/>
      <c r="AT776" s="1193"/>
      <c r="AU776" s="1193"/>
      <c r="AV776" s="1193"/>
      <c r="AW776" s="1193"/>
      <c r="AX776" s="1193"/>
      <c r="AY776" s="1193"/>
      <c r="AZ776" s="1193"/>
      <c r="BA776" s="1193"/>
      <c r="BB776" s="1193"/>
      <c r="BC776" s="1193"/>
      <c r="BD776" s="1193"/>
      <c r="BE776" s="1193"/>
      <c r="BF776" s="1193"/>
      <c r="BG776" s="1193"/>
    </row>
    <row r="777" spans="1:59" hidden="1" outlineLevel="1">
      <c r="A777" s="598" t="s">
        <v>529</v>
      </c>
      <c r="B777" s="1157" t="s">
        <v>516</v>
      </c>
      <c r="C777" s="598"/>
      <c r="D777" s="1120" t="e">
        <f>(S777/S770-1)*100</f>
        <v>#DIV/0!</v>
      </c>
      <c r="E777" s="598"/>
      <c r="F777" s="1179"/>
      <c r="G777" s="598"/>
      <c r="H777" s="1120"/>
      <c r="I777" s="598"/>
      <c r="J777" s="1237">
        <f>Stores!AT147-34</f>
        <v>128</v>
      </c>
      <c r="K777" s="1127"/>
      <c r="L777" s="1128">
        <f>AVERAGE(J777,J776)</f>
        <v>125</v>
      </c>
      <c r="M777" s="598"/>
      <c r="N777" s="1120">
        <f>(L777/L770-1)*100</f>
        <v>-15.254237288135597</v>
      </c>
      <c r="O777" s="1124"/>
      <c r="P777" s="1159">
        <f>H777/N777*100</f>
        <v>0</v>
      </c>
      <c r="Q777" s="1125"/>
      <c r="R777" s="598"/>
      <c r="S777" s="1165"/>
      <c r="T777" s="598"/>
      <c r="U777" s="1166"/>
      <c r="V777" s="598"/>
      <c r="W777" s="1176" t="e">
        <f>(U777/U770-1)*100</f>
        <v>#DIV/0!</v>
      </c>
      <c r="X777" s="1124"/>
      <c r="Y777" s="598"/>
      <c r="Z777" s="1163">
        <f>Stores!AW147</f>
        <v>4.2</v>
      </c>
      <c r="AA777" s="1127"/>
      <c r="AB777" s="1163">
        <f>AVERAGE(Z777,Z776)</f>
        <v>4.0999999999999996</v>
      </c>
      <c r="AC777" s="598"/>
      <c r="AD777" s="1120">
        <f>(AB777/AB770-1)*100</f>
        <v>8.025759712479541</v>
      </c>
      <c r="AE777" s="1124"/>
      <c r="AF777" s="1159">
        <f>+H777/AD777*100</f>
        <v>0</v>
      </c>
      <c r="AG777" s="1125"/>
      <c r="AH777" s="598"/>
      <c r="AI777" s="1165">
        <f>+S777</f>
        <v>0</v>
      </c>
      <c r="AJ777" s="598"/>
      <c r="AK777" s="1167">
        <f>AI777/AB777</f>
        <v>0</v>
      </c>
      <c r="AL777" s="598"/>
      <c r="AM777" s="1176" t="e">
        <f>(AK777/AK770-1)*100</f>
        <v>#DIV/0!</v>
      </c>
      <c r="AN777" s="1124"/>
      <c r="AP777" s="1193"/>
      <c r="AQ777" s="1193"/>
      <c r="AR777" s="1193"/>
      <c r="AS777" s="1193"/>
      <c r="AT777" s="1193"/>
      <c r="AU777" s="1193"/>
      <c r="AV777" s="1193"/>
      <c r="AW777" s="1193"/>
      <c r="AX777" s="1193"/>
      <c r="AY777" s="1193"/>
      <c r="AZ777" s="1193"/>
      <c r="BA777" s="1193"/>
      <c r="BB777" s="1193"/>
      <c r="BC777" s="1193"/>
      <c r="BD777" s="1193"/>
      <c r="BE777" s="1193"/>
      <c r="BF777" s="1193"/>
      <c r="BG777" s="1193"/>
    </row>
    <row r="778" spans="1:59" hidden="1" outlineLevel="1">
      <c r="A778" s="598" t="s">
        <v>530</v>
      </c>
      <c r="B778" s="1157" t="s">
        <v>517</v>
      </c>
      <c r="C778" s="598"/>
      <c r="D778" s="1168" t="e">
        <f>(S778/S771-1)*100</f>
        <v>#DIV/0!</v>
      </c>
      <c r="E778" s="598"/>
      <c r="F778" s="1178"/>
      <c r="G778" s="598"/>
      <c r="H778" s="1168"/>
      <c r="I778" s="598"/>
      <c r="J778" s="1170">
        <f>Stores!AT148</f>
        <v>129</v>
      </c>
      <c r="K778" s="1127"/>
      <c r="L778" s="1171">
        <f>AVERAGE(J778,J777)</f>
        <v>128.5</v>
      </c>
      <c r="M778" s="598"/>
      <c r="N778" s="1168">
        <f>(L778/L771-1)*100</f>
        <v>-4.8148148148148167</v>
      </c>
      <c r="O778" s="1124"/>
      <c r="P778" s="1238" t="s">
        <v>740</v>
      </c>
      <c r="Q778" s="1125"/>
      <c r="R778" s="598"/>
      <c r="S778" s="1172"/>
      <c r="T778" s="598"/>
      <c r="U778" s="1173"/>
      <c r="V778" s="598"/>
      <c r="W778" s="1169" t="e">
        <f>(U778/U771-1)*100</f>
        <v>#DIV/0!</v>
      </c>
      <c r="X778" s="1124"/>
      <c r="Y778" s="598"/>
      <c r="Z778" s="1163">
        <f>Stores!AW148</f>
        <v>3.3</v>
      </c>
      <c r="AA778" s="1127"/>
      <c r="AB778" s="1174">
        <f>AVERAGE(Z778,Z777)</f>
        <v>3.75</v>
      </c>
      <c r="AC778" s="598"/>
      <c r="AD778" s="1168">
        <f>(AB778/AB771-1)*100</f>
        <v>-4.1065736680809923</v>
      </c>
      <c r="AE778" s="1124"/>
      <c r="AF778" s="1171">
        <f>+H778/AD778*100</f>
        <v>0</v>
      </c>
      <c r="AG778" s="1125"/>
      <c r="AH778" s="598"/>
      <c r="AI778" s="1172">
        <f>+S778</f>
        <v>0</v>
      </c>
      <c r="AJ778" s="598"/>
      <c r="AK778" s="1175">
        <f>AI778/AB778</f>
        <v>0</v>
      </c>
      <c r="AL778" s="598"/>
      <c r="AM778" s="1169" t="e">
        <f>(AK778/AK771-1)*100</f>
        <v>#DIV/0!</v>
      </c>
      <c r="AN778" s="1124"/>
      <c r="AP778" s="1193"/>
      <c r="AQ778" s="1193"/>
      <c r="AR778" s="1193"/>
      <c r="AS778" s="1193"/>
      <c r="AT778" s="1193"/>
      <c r="AU778" s="1193"/>
      <c r="AV778" s="1193"/>
      <c r="AW778" s="1193"/>
      <c r="AX778" s="1193"/>
      <c r="AY778" s="1193"/>
      <c r="AZ778" s="1193"/>
      <c r="BA778" s="1193"/>
      <c r="BB778" s="1193"/>
      <c r="BC778" s="1193"/>
      <c r="BD778" s="1193"/>
      <c r="BE778" s="1193"/>
      <c r="BF778" s="1193"/>
      <c r="BG778" s="1193"/>
    </row>
    <row r="779" spans="1:59" hidden="1" outlineLevel="1">
      <c r="A779" s="598"/>
      <c r="B779" s="1157" t="s">
        <v>531</v>
      </c>
      <c r="C779" s="598"/>
      <c r="D779" s="1120" t="e">
        <f>(S779/S772-1)*100</f>
        <v>#DIV/0!</v>
      </c>
      <c r="E779" s="598"/>
      <c r="F779" s="1179"/>
      <c r="G779" s="598"/>
      <c r="H779" s="1120"/>
      <c r="I779" s="598"/>
      <c r="J779" s="598"/>
      <c r="K779" s="598"/>
      <c r="L779" s="1128">
        <f>AVERAGE(L775:L778)</f>
        <v>123.875</v>
      </c>
      <c r="M779" s="598"/>
      <c r="N779" s="1120">
        <f>(L779/L772-1)*100</f>
        <v>-10.881294964028775</v>
      </c>
      <c r="O779" s="1124"/>
      <c r="P779" s="1159">
        <f>H779/N779*100</f>
        <v>0</v>
      </c>
      <c r="Q779" s="1125"/>
      <c r="R779" s="598"/>
      <c r="S779" s="1160"/>
      <c r="T779" s="598"/>
      <c r="U779" s="1161"/>
      <c r="V779" s="598"/>
      <c r="W779" s="1176" t="e">
        <f>(U779/U772-1)*100</f>
        <v>#DIV/0!</v>
      </c>
      <c r="X779" s="1124"/>
      <c r="Y779" s="598"/>
      <c r="Z779" s="598"/>
      <c r="AA779" s="598"/>
      <c r="AB779" s="1163">
        <f>AVERAGE(AB775:AB778)</f>
        <v>3.9512499999999999</v>
      </c>
      <c r="AC779" s="598"/>
      <c r="AD779" s="1120">
        <f>(AB779/AB772-1)*100</f>
        <v>8.0480863858501284</v>
      </c>
      <c r="AE779" s="1124"/>
      <c r="AF779" s="1159">
        <f>+H779/AD779*100</f>
        <v>0</v>
      </c>
      <c r="AG779" s="1125"/>
      <c r="AH779" s="598"/>
      <c r="AI779" s="1160">
        <f>SUM(AI775:AI778)</f>
        <v>0</v>
      </c>
      <c r="AJ779" s="598"/>
      <c r="AK779" s="1164">
        <f>SUM(AK775:AK778)</f>
        <v>0</v>
      </c>
      <c r="AL779" s="598"/>
      <c r="AM779" s="1176" t="e">
        <f>(AK779/AK772-1)*100</f>
        <v>#DIV/0!</v>
      </c>
      <c r="AN779" s="1124"/>
      <c r="AP779" s="1193"/>
      <c r="AQ779" s="1193"/>
      <c r="AR779" s="1193"/>
      <c r="AS779" s="1193"/>
      <c r="AT779" s="1193"/>
      <c r="AU779" s="1193"/>
      <c r="AV779" s="1193"/>
      <c r="AW779" s="1193"/>
      <c r="AX779" s="1193"/>
      <c r="AY779" s="1193"/>
      <c r="AZ779" s="1193"/>
      <c r="BA779" s="1193"/>
      <c r="BB779" s="1193"/>
      <c r="BC779" s="1193"/>
      <c r="BD779" s="1193"/>
      <c r="BE779" s="1193"/>
      <c r="BF779" s="1193"/>
      <c r="BG779" s="1193"/>
    </row>
    <row r="780" spans="1:59" hidden="1" outlineLevel="1">
      <c r="A780" s="598"/>
      <c r="B780" s="1157"/>
      <c r="C780" s="598"/>
      <c r="D780" s="598"/>
      <c r="E780" s="598"/>
      <c r="F780" s="598"/>
      <c r="G780" s="598"/>
      <c r="H780" s="598"/>
      <c r="I780" s="598"/>
      <c r="J780" s="598"/>
      <c r="K780" s="598"/>
      <c r="L780" s="598"/>
      <c r="M780" s="598"/>
      <c r="N780" s="598"/>
      <c r="O780" s="598"/>
      <c r="P780" s="598"/>
      <c r="Q780" s="598"/>
      <c r="R780" s="598"/>
      <c r="S780" s="598"/>
      <c r="T780" s="598"/>
      <c r="U780" s="598"/>
      <c r="V780" s="598"/>
      <c r="W780" s="598"/>
      <c r="X780" s="598"/>
      <c r="Y780" s="598"/>
      <c r="Z780" s="598"/>
      <c r="AA780" s="598"/>
      <c r="AB780" s="598"/>
      <c r="AC780" s="598"/>
      <c r="AD780" s="598"/>
      <c r="AE780" s="598"/>
      <c r="AF780" s="598"/>
      <c r="AG780" s="598"/>
      <c r="AH780" s="598"/>
      <c r="AI780" s="598"/>
      <c r="AJ780" s="598"/>
      <c r="AK780" s="598"/>
      <c r="AL780" s="598"/>
      <c r="AM780" s="598"/>
      <c r="AN780" s="598"/>
      <c r="AP780" s="1193"/>
      <c r="AQ780" s="1193"/>
      <c r="AR780" s="1193"/>
      <c r="AS780" s="1193"/>
      <c r="AT780" s="1193"/>
      <c r="AU780" s="1193"/>
      <c r="AV780" s="1193"/>
      <c r="AW780" s="1193"/>
      <c r="AX780" s="1193"/>
      <c r="AY780" s="1193"/>
      <c r="AZ780" s="1193"/>
      <c r="BA780" s="1193"/>
      <c r="BB780" s="1193"/>
      <c r="BC780" s="1193"/>
      <c r="BD780" s="1193"/>
      <c r="BE780" s="1193"/>
      <c r="BF780" s="1193"/>
      <c r="BG780" s="1193"/>
    </row>
    <row r="781" spans="1:59" hidden="1" outlineLevel="1">
      <c r="A781" s="1154"/>
      <c r="B781" s="1118">
        <f>+B774+1</f>
        <v>2007</v>
      </c>
      <c r="C781" s="598"/>
      <c r="D781" s="598"/>
      <c r="E781" s="1124"/>
      <c r="F781" s="598"/>
      <c r="G781" s="1124"/>
      <c r="H781" s="598"/>
      <c r="I781" s="1124"/>
      <c r="J781" s="598"/>
      <c r="K781" s="598"/>
      <c r="L781" s="598"/>
      <c r="M781" s="598"/>
      <c r="N781" s="598"/>
      <c r="O781" s="1124"/>
      <c r="P781" s="1125"/>
      <c r="Q781" s="1125"/>
      <c r="R781" s="598"/>
      <c r="S781" s="598"/>
      <c r="T781" s="598"/>
      <c r="U781" s="598"/>
      <c r="V781" s="598"/>
      <c r="W781" s="598"/>
      <c r="X781" s="1124"/>
      <c r="Y781" s="598"/>
      <c r="Z781" s="598"/>
      <c r="AA781" s="598"/>
      <c r="AB781" s="598"/>
      <c r="AC781" s="598"/>
      <c r="AD781" s="598"/>
      <c r="AE781" s="1124"/>
      <c r="AF781" s="1125"/>
      <c r="AG781" s="1125"/>
      <c r="AH781" s="598"/>
      <c r="AI781" s="598"/>
      <c r="AJ781" s="598"/>
      <c r="AK781" s="598"/>
      <c r="AL781" s="598"/>
      <c r="AM781" s="598"/>
      <c r="AN781" s="1124"/>
      <c r="AP781" s="1193"/>
      <c r="AQ781" s="1193"/>
      <c r="AR781" s="1193"/>
      <c r="AS781" s="1193"/>
      <c r="AT781" s="1193"/>
      <c r="AU781" s="1193"/>
      <c r="AV781" s="1193"/>
      <c r="AW781" s="1193"/>
      <c r="AX781" s="1193"/>
      <c r="AY781" s="1193"/>
      <c r="AZ781" s="1193"/>
      <c r="BA781" s="1193"/>
      <c r="BB781" s="1193"/>
      <c r="BC781" s="1193"/>
      <c r="BD781" s="1193"/>
      <c r="BE781" s="1193"/>
      <c r="BF781" s="1193"/>
      <c r="BG781" s="1193"/>
    </row>
    <row r="782" spans="1:59" hidden="1" outlineLevel="1">
      <c r="A782" s="598" t="s">
        <v>527</v>
      </c>
      <c r="B782" s="1157" t="s">
        <v>514</v>
      </c>
      <c r="C782" s="598"/>
      <c r="D782" s="1120" t="e">
        <f>(S782/S775-1)*100</f>
        <v>#DIV/0!</v>
      </c>
      <c r="E782" s="1124" t="s">
        <v>190</v>
      </c>
      <c r="F782" s="1179"/>
      <c r="G782" s="1124"/>
      <c r="H782" s="1120"/>
      <c r="I782" s="1124"/>
      <c r="J782" s="1170">
        <f>Stores!AT152</f>
        <v>127</v>
      </c>
      <c r="K782" s="598"/>
      <c r="L782" s="1128">
        <f>AVERAGE(J782,J778)</f>
        <v>128</v>
      </c>
      <c r="M782" s="598"/>
      <c r="N782" s="1120">
        <f>(L782/L775-1)*100</f>
        <v>6.6666666666666652</v>
      </c>
      <c r="O782" s="1124" t="s">
        <v>190</v>
      </c>
      <c r="P782" s="1159">
        <f>H782/N782*100</f>
        <v>0</v>
      </c>
      <c r="Q782" s="1125" t="s">
        <v>190</v>
      </c>
      <c r="R782" s="598"/>
      <c r="S782" s="1160"/>
      <c r="T782" s="598"/>
      <c r="U782" s="1161"/>
      <c r="V782" s="598"/>
      <c r="W782" s="1176" t="e">
        <f>(U782/U775-1)*100</f>
        <v>#DIV/0!</v>
      </c>
      <c r="X782" s="1124" t="s">
        <v>190</v>
      </c>
      <c r="Y782" s="598"/>
      <c r="Z782" s="1163">
        <f>Stores!AW152</f>
        <v>3.3</v>
      </c>
      <c r="AA782" s="598"/>
      <c r="AB782" s="1163">
        <f>AVERAGE(Z782,Z778)</f>
        <v>3.3</v>
      </c>
      <c r="AC782" s="598"/>
      <c r="AD782" s="1120">
        <f>(AB782/AB775-1)*100</f>
        <v>-16.561314791403291</v>
      </c>
      <c r="AE782" s="1124" t="s">
        <v>190</v>
      </c>
      <c r="AF782" s="1159">
        <f>+H782/AD782*100</f>
        <v>0</v>
      </c>
      <c r="AG782" s="1125" t="s">
        <v>190</v>
      </c>
      <c r="AH782" s="598"/>
      <c r="AI782" s="1160">
        <f>+S782</f>
        <v>0</v>
      </c>
      <c r="AJ782" s="598"/>
      <c r="AK782" s="1164">
        <f>AI782/AB782</f>
        <v>0</v>
      </c>
      <c r="AL782" s="598"/>
      <c r="AM782" s="1176" t="e">
        <f>(AK782/AK775-1)*100</f>
        <v>#DIV/0!</v>
      </c>
      <c r="AN782" s="1124" t="s">
        <v>190</v>
      </c>
      <c r="AP782" s="1193"/>
      <c r="AQ782" s="1193"/>
      <c r="AR782" s="1193"/>
      <c r="AS782" s="1193"/>
      <c r="AT782" s="1193"/>
      <c r="AU782" s="1193"/>
      <c r="AV782" s="1193"/>
      <c r="AW782" s="1193"/>
      <c r="AX782" s="1193"/>
      <c r="AY782" s="1193"/>
      <c r="AZ782" s="1193"/>
      <c r="BA782" s="1193"/>
      <c r="BB782" s="1193"/>
      <c r="BC782" s="1193"/>
      <c r="BD782" s="1193"/>
      <c r="BE782" s="1193"/>
      <c r="BF782" s="1193"/>
      <c r="BG782" s="1193"/>
    </row>
    <row r="783" spans="1:59" hidden="1" outlineLevel="1">
      <c r="A783" s="598" t="s">
        <v>528</v>
      </c>
      <c r="B783" s="1157" t="s">
        <v>515</v>
      </c>
      <c r="C783" s="598"/>
      <c r="D783" s="1120" t="e">
        <f>(S783/S776-1)*100</f>
        <v>#DIV/0!</v>
      </c>
      <c r="E783" s="598"/>
      <c r="F783" s="1179"/>
      <c r="G783" s="598"/>
      <c r="H783" s="1120"/>
      <c r="I783" s="598"/>
      <c r="J783" s="1170">
        <f>Stores!AT153</f>
        <v>128</v>
      </c>
      <c r="K783" s="1127"/>
      <c r="L783" s="1128">
        <f>AVERAGE(J783,J782)</f>
        <v>127.5</v>
      </c>
      <c r="M783" s="598"/>
      <c r="N783" s="1120">
        <f>(L783/L776-1)*100</f>
        <v>4.508196721311486</v>
      </c>
      <c r="O783" s="1124"/>
      <c r="P783" s="1159">
        <f>H783/N783*100</f>
        <v>0</v>
      </c>
      <c r="Q783" s="1125"/>
      <c r="R783" s="598"/>
      <c r="S783" s="1165"/>
      <c r="T783" s="598"/>
      <c r="U783" s="1166"/>
      <c r="V783" s="598"/>
      <c r="W783" s="1176" t="e">
        <f>(U783/U776-1)*100</f>
        <v>#DIV/0!</v>
      </c>
      <c r="X783" s="1124"/>
      <c r="Y783" s="598"/>
      <c r="Z783" s="1163">
        <f>Stores!AW153</f>
        <v>3.3</v>
      </c>
      <c r="AA783" s="1127"/>
      <c r="AB783" s="1163">
        <f>AVERAGE(Z783,Z782)</f>
        <v>3.3</v>
      </c>
      <c r="AC783" s="598"/>
      <c r="AD783" s="1120">
        <f>(AB783/AB776-1)*100</f>
        <v>-17.500000000000004</v>
      </c>
      <c r="AE783" s="1124"/>
      <c r="AF783" s="1159">
        <f>+H783/AD783*100</f>
        <v>0</v>
      </c>
      <c r="AG783" s="1125"/>
      <c r="AH783" s="598"/>
      <c r="AI783" s="1165">
        <f>+S783</f>
        <v>0</v>
      </c>
      <c r="AJ783" s="598"/>
      <c r="AK783" s="1167">
        <f>AI783/AB783</f>
        <v>0</v>
      </c>
      <c r="AL783" s="598"/>
      <c r="AM783" s="1176" t="e">
        <f>(AK783/AK776-1)*100</f>
        <v>#DIV/0!</v>
      </c>
      <c r="AN783" s="1124"/>
      <c r="AP783" s="1193"/>
      <c r="AQ783" s="1193"/>
      <c r="AR783" s="1193"/>
      <c r="AS783" s="1193"/>
      <c r="AT783" s="1193"/>
      <c r="AU783" s="1193"/>
      <c r="AV783" s="1193"/>
      <c r="AW783" s="1193"/>
      <c r="AX783" s="1193"/>
      <c r="AY783" s="1193"/>
      <c r="AZ783" s="1193"/>
      <c r="BA783" s="1193"/>
      <c r="BB783" s="1193"/>
      <c r="BC783" s="1193"/>
      <c r="BD783" s="1193"/>
      <c r="BE783" s="1193"/>
      <c r="BF783" s="1193"/>
      <c r="BG783" s="1193"/>
    </row>
    <row r="784" spans="1:59" hidden="1" outlineLevel="1">
      <c r="A784" s="598" t="s">
        <v>529</v>
      </c>
      <c r="B784" s="1157" t="s">
        <v>516</v>
      </c>
      <c r="C784" s="598"/>
      <c r="D784" s="1120" t="e">
        <f>(S784/S777-1)*100</f>
        <v>#DIV/0!</v>
      </c>
      <c r="E784" s="598"/>
      <c r="F784" s="1179"/>
      <c r="G784" s="598"/>
      <c r="H784" s="1120"/>
      <c r="I784" s="598"/>
      <c r="J784" s="1170">
        <f>Stores!AT154</f>
        <v>130</v>
      </c>
      <c r="K784" s="1127"/>
      <c r="L784" s="1128">
        <f>AVERAGE(J784,J783)</f>
        <v>129</v>
      </c>
      <c r="M784" s="598"/>
      <c r="N784" s="1120">
        <f>(L784/L777-1)*100</f>
        <v>3.2000000000000028</v>
      </c>
      <c r="O784" s="1124"/>
      <c r="P784" s="1159">
        <f>H784/N784*100</f>
        <v>0</v>
      </c>
      <c r="Q784" s="1125"/>
      <c r="R784" s="598"/>
      <c r="S784" s="1165"/>
      <c r="T784" s="598"/>
      <c r="U784" s="1166"/>
      <c r="V784" s="598"/>
      <c r="W784" s="1176" t="e">
        <f>(U784/U777-1)*100</f>
        <v>#DIV/0!</v>
      </c>
      <c r="X784" s="1124"/>
      <c r="Y784" s="598"/>
      <c r="Z784" s="1163">
        <f>Stores!AW154</f>
        <v>3.3</v>
      </c>
      <c r="AA784" s="1127"/>
      <c r="AB784" s="1163">
        <f>AVERAGE(Z784,Z783)</f>
        <v>3.3</v>
      </c>
      <c r="AC784" s="598"/>
      <c r="AD784" s="1120">
        <f>(AB784/AB777-1)*100</f>
        <v>-19.512195121951216</v>
      </c>
      <c r="AE784" s="1124"/>
      <c r="AF784" s="1159">
        <f>+H784/AD784*100</f>
        <v>0</v>
      </c>
      <c r="AG784" s="1125"/>
      <c r="AH784" s="598"/>
      <c r="AI784" s="1165">
        <f>+S784</f>
        <v>0</v>
      </c>
      <c r="AJ784" s="598"/>
      <c r="AK784" s="1167">
        <f>AI784/AB784</f>
        <v>0</v>
      </c>
      <c r="AL784" s="598"/>
      <c r="AM784" s="1176" t="e">
        <f>(AK784/AK777-1)*100</f>
        <v>#DIV/0!</v>
      </c>
      <c r="AN784" s="1124"/>
      <c r="AP784" s="1193"/>
      <c r="AQ784" s="1193"/>
      <c r="AR784" s="1193"/>
      <c r="AS784" s="1193"/>
      <c r="AT784" s="1193"/>
      <c r="AU784" s="1193"/>
      <c r="AV784" s="1193"/>
      <c r="AW784" s="1193"/>
      <c r="AX784" s="1193"/>
      <c r="AY784" s="1193"/>
      <c r="AZ784" s="1193"/>
      <c r="BA784" s="1193"/>
      <c r="BB784" s="1193"/>
      <c r="BC784" s="1193"/>
      <c r="BD784" s="1193"/>
      <c r="BE784" s="1193"/>
      <c r="BF784" s="1193"/>
      <c r="BG784" s="1193"/>
    </row>
    <row r="785" spans="1:59" hidden="1" outlineLevel="1">
      <c r="A785" s="598" t="s">
        <v>530</v>
      </c>
      <c r="B785" s="1157" t="s">
        <v>517</v>
      </c>
      <c r="C785" s="598"/>
      <c r="D785" s="1168" t="e">
        <f>(S785/S778-1)*100</f>
        <v>#DIV/0!</v>
      </c>
      <c r="E785" s="598"/>
      <c r="F785" s="1178"/>
      <c r="G785" s="598"/>
      <c r="H785" s="1168"/>
      <c r="I785" s="598"/>
      <c r="J785" s="1170">
        <f>Stores!AT155</f>
        <v>129</v>
      </c>
      <c r="K785" s="1127"/>
      <c r="L785" s="1171">
        <f>AVERAGE(J785,J784)</f>
        <v>129.5</v>
      </c>
      <c r="M785" s="598"/>
      <c r="N785" s="1168">
        <f>(L785/L778-1)*100</f>
        <v>0.77821011673151474</v>
      </c>
      <c r="O785" s="1124"/>
      <c r="P785" s="1171">
        <f>H785/N785*100</f>
        <v>0</v>
      </c>
      <c r="Q785" s="1125"/>
      <c r="R785" s="598"/>
      <c r="S785" s="1172"/>
      <c r="T785" s="598"/>
      <c r="U785" s="1173"/>
      <c r="V785" s="598"/>
      <c r="W785" s="1169" t="e">
        <f>(U785/U778-1)*100</f>
        <v>#DIV/0!</v>
      </c>
      <c r="X785" s="1124"/>
      <c r="Y785" s="598"/>
      <c r="Z785" s="1163">
        <f>Stores!AW155</f>
        <v>3.3119999999999998</v>
      </c>
      <c r="AA785" s="1127"/>
      <c r="AB785" s="1174">
        <f>AVERAGE(Z785,Z784)</f>
        <v>3.306</v>
      </c>
      <c r="AC785" s="598"/>
      <c r="AD785" s="1168">
        <f>(AB785/AB778-1)*100</f>
        <v>-11.839999999999995</v>
      </c>
      <c r="AE785" s="1124"/>
      <c r="AF785" s="1171">
        <f>+H785/AD785*100</f>
        <v>0</v>
      </c>
      <c r="AG785" s="1125"/>
      <c r="AH785" s="598"/>
      <c r="AI785" s="1172">
        <f>+S785</f>
        <v>0</v>
      </c>
      <c r="AJ785" s="598"/>
      <c r="AK785" s="1175">
        <f>AI785/AB785</f>
        <v>0</v>
      </c>
      <c r="AL785" s="598"/>
      <c r="AM785" s="1169" t="e">
        <f>(AK785/AK778-1)*100</f>
        <v>#DIV/0!</v>
      </c>
      <c r="AN785" s="1124"/>
      <c r="AP785" s="1193"/>
      <c r="AQ785" s="1193"/>
      <c r="AR785" s="1193"/>
      <c r="AS785" s="1193"/>
      <c r="AT785" s="1193"/>
      <c r="AU785" s="1193"/>
      <c r="AV785" s="1193"/>
      <c r="AW785" s="1193"/>
      <c r="AX785" s="1193"/>
      <c r="AY785" s="1193"/>
      <c r="AZ785" s="1193"/>
      <c r="BA785" s="1193"/>
      <c r="BB785" s="1193"/>
      <c r="BC785" s="1193"/>
      <c r="BD785" s="1193"/>
      <c r="BE785" s="1193"/>
      <c r="BF785" s="1193"/>
      <c r="BG785" s="1193"/>
    </row>
    <row r="786" spans="1:59" hidden="1" outlineLevel="1">
      <c r="A786" s="598"/>
      <c r="B786" s="1157" t="s">
        <v>531</v>
      </c>
      <c r="C786" s="598"/>
      <c r="D786" s="1120" t="e">
        <f>(S786/S779-1)*100</f>
        <v>#DIV/0!</v>
      </c>
      <c r="E786" s="598"/>
      <c r="F786" s="1179"/>
      <c r="G786" s="598"/>
      <c r="H786" s="1120"/>
      <c r="I786" s="598"/>
      <c r="J786" s="598"/>
      <c r="K786" s="598"/>
      <c r="L786" s="1128">
        <f>AVERAGE(L782:L785)</f>
        <v>128.5</v>
      </c>
      <c r="M786" s="598"/>
      <c r="N786" s="1120">
        <f>(L786/L779-1)*100</f>
        <v>3.7336024217961672</v>
      </c>
      <c r="O786" s="1124"/>
      <c r="P786" s="1159">
        <f>H786/N786*100</f>
        <v>0</v>
      </c>
      <c r="Q786" s="1125"/>
      <c r="R786" s="598"/>
      <c r="S786" s="1160"/>
      <c r="T786" s="598"/>
      <c r="U786" s="1161"/>
      <c r="V786" s="598"/>
      <c r="W786" s="1176" t="e">
        <f>(U786/U779-1)*100</f>
        <v>#DIV/0!</v>
      </c>
      <c r="X786" s="1124"/>
      <c r="Y786" s="598"/>
      <c r="Z786" s="598"/>
      <c r="AA786" s="598"/>
      <c r="AB786" s="1163">
        <f>AVERAGE(AB782:AB785)</f>
        <v>3.3014999999999999</v>
      </c>
      <c r="AC786" s="598"/>
      <c r="AD786" s="1120">
        <f>(AB786/AB779-1)*100</f>
        <v>-16.444163239481181</v>
      </c>
      <c r="AE786" s="1124"/>
      <c r="AF786" s="1159">
        <f>+H786/AD786*100</f>
        <v>0</v>
      </c>
      <c r="AG786" s="1125"/>
      <c r="AH786" s="598"/>
      <c r="AI786" s="1160">
        <f>SUM(AI782:AI785)</f>
        <v>0</v>
      </c>
      <c r="AJ786" s="598"/>
      <c r="AK786" s="1164">
        <f>SUM(AK782:AK785)</f>
        <v>0</v>
      </c>
      <c r="AL786" s="598"/>
      <c r="AM786" s="1176" t="e">
        <f>(AK786/AK779-1)*100</f>
        <v>#DIV/0!</v>
      </c>
      <c r="AN786" s="1124"/>
      <c r="AP786" s="1193"/>
      <c r="AQ786" s="1193"/>
      <c r="AR786" s="1193"/>
      <c r="AS786" s="1193"/>
      <c r="AT786" s="1193"/>
      <c r="AU786" s="1193"/>
      <c r="AV786" s="1193"/>
      <c r="AW786" s="1193"/>
      <c r="AX786" s="1193"/>
      <c r="AY786" s="1193"/>
      <c r="AZ786" s="1193"/>
      <c r="BA786" s="1193"/>
      <c r="BB786" s="1193"/>
      <c r="BC786" s="1193"/>
      <c r="BD786" s="1193"/>
      <c r="BE786" s="1193"/>
      <c r="BF786" s="1193"/>
      <c r="BG786" s="1193"/>
    </row>
    <row r="787" spans="1:59" hidden="1" outlineLevel="1">
      <c r="A787" s="598"/>
      <c r="B787" s="1157"/>
      <c r="C787" s="598"/>
      <c r="D787" s="1120"/>
      <c r="E787" s="598"/>
      <c r="F787" s="1179"/>
      <c r="G787" s="598"/>
      <c r="H787" s="1120"/>
      <c r="I787" s="598"/>
      <c r="J787" s="598"/>
      <c r="K787" s="598"/>
      <c r="L787" s="1128"/>
      <c r="M787" s="598"/>
      <c r="N787" s="1120"/>
      <c r="O787" s="1124"/>
      <c r="P787" s="1159"/>
      <c r="Q787" s="1125"/>
      <c r="R787" s="598"/>
      <c r="S787" s="1160"/>
      <c r="T787" s="598"/>
      <c r="U787" s="1161"/>
      <c r="V787" s="598"/>
      <c r="W787" s="1176"/>
      <c r="X787" s="1124"/>
      <c r="Y787" s="598"/>
      <c r="Z787" s="598"/>
      <c r="AA787" s="598"/>
      <c r="AB787" s="1163"/>
      <c r="AC787" s="598"/>
      <c r="AD787" s="1120"/>
      <c r="AE787" s="1124"/>
      <c r="AF787" s="1159"/>
      <c r="AG787" s="1125"/>
      <c r="AH787" s="598"/>
      <c r="AI787" s="1160"/>
      <c r="AJ787" s="598"/>
      <c r="AK787" s="1164"/>
      <c r="AL787" s="598"/>
      <c r="AM787" s="1176"/>
      <c r="AN787" s="1124"/>
      <c r="AP787" s="1193"/>
      <c r="AQ787" s="1193"/>
      <c r="AR787" s="1193"/>
      <c r="AS787" s="1193"/>
      <c r="AT787" s="1193"/>
      <c r="AU787" s="1193"/>
      <c r="AV787" s="1193"/>
      <c r="AW787" s="1193"/>
      <c r="AX787" s="1193"/>
      <c r="AY787" s="1193"/>
      <c r="AZ787" s="1193"/>
      <c r="BA787" s="1193"/>
      <c r="BB787" s="1193"/>
      <c r="BC787" s="1193"/>
      <c r="BD787" s="1193"/>
      <c r="BE787" s="1193"/>
      <c r="BF787" s="1193"/>
      <c r="BG787" s="1193"/>
    </row>
    <row r="788" spans="1:59" hidden="1" outlineLevel="1">
      <c r="A788" s="1154"/>
      <c r="B788" s="1118">
        <f>+B781+1</f>
        <v>2008</v>
      </c>
      <c r="C788" s="598"/>
      <c r="D788" s="598"/>
      <c r="E788" s="1124"/>
      <c r="F788" s="598"/>
      <c r="G788" s="1124"/>
      <c r="H788" s="598"/>
      <c r="I788" s="1124"/>
      <c r="J788" s="598"/>
      <c r="K788" s="598"/>
      <c r="L788" s="598"/>
      <c r="M788" s="598"/>
      <c r="N788" s="598"/>
      <c r="O788" s="1124"/>
      <c r="P788" s="1125"/>
      <c r="Q788" s="1125"/>
      <c r="R788" s="598"/>
      <c r="S788" s="598"/>
      <c r="T788" s="598"/>
      <c r="U788" s="598"/>
      <c r="V788" s="598"/>
      <c r="W788" s="598"/>
      <c r="X788" s="1124"/>
      <c r="Y788" s="598"/>
      <c r="Z788" s="598"/>
      <c r="AA788" s="598"/>
      <c r="AB788" s="598"/>
      <c r="AC788" s="598"/>
      <c r="AD788" s="598"/>
      <c r="AE788" s="1124"/>
      <c r="AF788" s="1125"/>
      <c r="AG788" s="1125"/>
      <c r="AH788" s="598"/>
      <c r="AI788" s="598"/>
      <c r="AJ788" s="598"/>
      <c r="AK788" s="598"/>
      <c r="AL788" s="598"/>
      <c r="AM788" s="598"/>
      <c r="AN788" s="1124"/>
      <c r="AP788" s="1193"/>
      <c r="AQ788" s="1193"/>
      <c r="AR788" s="1193"/>
      <c r="AS788" s="1193"/>
      <c r="AT788" s="1193"/>
      <c r="AU788" s="1193"/>
      <c r="AV788" s="1193"/>
      <c r="AW788" s="1193"/>
      <c r="AX788" s="1193"/>
      <c r="AY788" s="1193"/>
      <c r="AZ788" s="1193"/>
      <c r="BA788" s="1193"/>
      <c r="BB788" s="1193"/>
      <c r="BC788" s="1193"/>
      <c r="BD788" s="1193"/>
      <c r="BE788" s="1193"/>
      <c r="BF788" s="1193"/>
      <c r="BG788" s="1193"/>
    </row>
    <row r="789" spans="1:59" hidden="1" outlineLevel="1">
      <c r="A789" s="598" t="s">
        <v>527</v>
      </c>
      <c r="B789" s="1157" t="s">
        <v>514</v>
      </c>
      <c r="C789" s="598"/>
      <c r="D789" s="1120" t="e">
        <f>(S789/S782-1)*100</f>
        <v>#DIV/0!</v>
      </c>
      <c r="E789" s="1124" t="s">
        <v>190</v>
      </c>
      <c r="F789" s="1179"/>
      <c r="G789" s="1124"/>
      <c r="H789" s="1120"/>
      <c r="I789" s="1124"/>
      <c r="J789" s="1170">
        <f>Stores!AT159</f>
        <v>130</v>
      </c>
      <c r="K789" s="598"/>
      <c r="L789" s="1128">
        <f>AVERAGE(J789,J785)</f>
        <v>129.5</v>
      </c>
      <c r="M789" s="598"/>
      <c r="N789" s="1120">
        <f>(L789/L782-1)*100</f>
        <v>1.171875</v>
      </c>
      <c r="O789" s="1124" t="s">
        <v>190</v>
      </c>
      <c r="P789" s="1159">
        <f>H789/N789*100</f>
        <v>0</v>
      </c>
      <c r="Q789" s="1125" t="s">
        <v>190</v>
      </c>
      <c r="R789" s="598"/>
      <c r="S789" s="1160"/>
      <c r="T789" s="598"/>
      <c r="U789" s="1161"/>
      <c r="V789" s="598"/>
      <c r="W789" s="1176" t="e">
        <f>(U789/U782-1)*100</f>
        <v>#DIV/0!</v>
      </c>
      <c r="X789" s="1124" t="s">
        <v>190</v>
      </c>
      <c r="Y789" s="598"/>
      <c r="Z789" s="1163">
        <f>Stores!AW159</f>
        <v>3.3</v>
      </c>
      <c r="AA789" s="598"/>
      <c r="AB789" s="1163">
        <f>AVERAGE(Z789,Z785)</f>
        <v>3.306</v>
      </c>
      <c r="AC789" s="598"/>
      <c r="AD789" s="1120">
        <f>(AB789/AB782-1)*100</f>
        <v>0.18181818181819409</v>
      </c>
      <c r="AE789" s="1124" t="s">
        <v>190</v>
      </c>
      <c r="AF789" s="1159">
        <f>+H789/AD789*100</f>
        <v>0</v>
      </c>
      <c r="AG789" s="1125" t="s">
        <v>190</v>
      </c>
      <c r="AH789" s="598"/>
      <c r="AI789" s="1160">
        <f>+S789</f>
        <v>0</v>
      </c>
      <c r="AJ789" s="598"/>
      <c r="AK789" s="1164">
        <f>AI789/AB789</f>
        <v>0</v>
      </c>
      <c r="AL789" s="598"/>
      <c r="AM789" s="1176" t="e">
        <f>(AK789/AK782-1)*100</f>
        <v>#DIV/0!</v>
      </c>
      <c r="AN789" s="1124" t="s">
        <v>190</v>
      </c>
      <c r="AP789" s="1193"/>
      <c r="AQ789" s="1193"/>
      <c r="AR789" s="1193"/>
      <c r="AS789" s="1193"/>
      <c r="AT789" s="1193"/>
      <c r="AU789" s="1193"/>
      <c r="AV789" s="1193"/>
      <c r="AW789" s="1193"/>
      <c r="AX789" s="1193"/>
      <c r="AY789" s="1193"/>
      <c r="AZ789" s="1193"/>
      <c r="BA789" s="1193"/>
      <c r="BB789" s="1193"/>
      <c r="BC789" s="1193"/>
      <c r="BD789" s="1193"/>
      <c r="BE789" s="1193"/>
      <c r="BF789" s="1193"/>
      <c r="BG789" s="1193"/>
    </row>
    <row r="790" spans="1:59" hidden="1" outlineLevel="1">
      <c r="A790" s="598" t="s">
        <v>528</v>
      </c>
      <c r="B790" s="1157" t="s">
        <v>515</v>
      </c>
      <c r="C790" s="598"/>
      <c r="D790" s="1120" t="e">
        <f>(S790/S783-1)*100</f>
        <v>#DIV/0!</v>
      </c>
      <c r="E790" s="598"/>
      <c r="F790" s="1179"/>
      <c r="G790" s="598"/>
      <c r="H790" s="1120"/>
      <c r="I790" s="598"/>
      <c r="J790" s="1170">
        <f>Stores!AT160</f>
        <v>132</v>
      </c>
      <c r="K790" s="1127"/>
      <c r="L790" s="1128">
        <f>AVERAGE(J790,J789)</f>
        <v>131</v>
      </c>
      <c r="M790" s="598"/>
      <c r="N790" s="1120">
        <f>(L790/L783-1)*100</f>
        <v>2.7450980392156765</v>
      </c>
      <c r="O790" s="1124"/>
      <c r="P790" s="1159">
        <f>H790/N790*100</f>
        <v>0</v>
      </c>
      <c r="Q790" s="1125"/>
      <c r="R790" s="598"/>
      <c r="S790" s="1165"/>
      <c r="T790" s="598"/>
      <c r="U790" s="1166"/>
      <c r="V790" s="598"/>
      <c r="W790" s="1176" t="e">
        <f>(U790/U783-1)*100</f>
        <v>#DIV/0!</v>
      </c>
      <c r="X790" s="1124"/>
      <c r="Y790" s="598"/>
      <c r="Z790" s="1163">
        <f>Stores!AW160</f>
        <v>3.4</v>
      </c>
      <c r="AA790" s="1127"/>
      <c r="AB790" s="1163">
        <f>AVERAGE(Z790,Z789)</f>
        <v>3.3499999999999996</v>
      </c>
      <c r="AC790" s="598"/>
      <c r="AD790" s="1120">
        <f>(AB790/AB783-1)*100</f>
        <v>1.5151515151515138</v>
      </c>
      <c r="AE790" s="1124"/>
      <c r="AF790" s="1159">
        <f>+H790/AD790*100</f>
        <v>0</v>
      </c>
      <c r="AG790" s="1125"/>
      <c r="AH790" s="598"/>
      <c r="AI790" s="1165">
        <f>+S790</f>
        <v>0</v>
      </c>
      <c r="AJ790" s="598"/>
      <c r="AK790" s="1167">
        <f>AI790/AB790</f>
        <v>0</v>
      </c>
      <c r="AL790" s="598"/>
      <c r="AM790" s="1176" t="e">
        <f>(AK790/AK783-1)*100</f>
        <v>#DIV/0!</v>
      </c>
      <c r="AN790" s="1124"/>
      <c r="AP790" s="1193"/>
      <c r="AQ790" s="1193"/>
      <c r="AR790" s="1193"/>
      <c r="AS790" s="1193"/>
      <c r="AT790" s="1193"/>
      <c r="AU790" s="1193"/>
      <c r="AV790" s="1193"/>
      <c r="AW790" s="1193"/>
      <c r="AX790" s="1193"/>
      <c r="AY790" s="1193"/>
      <c r="AZ790" s="1193"/>
      <c r="BA790" s="1193"/>
      <c r="BB790" s="1193"/>
      <c r="BC790" s="1193"/>
      <c r="BD790" s="1193"/>
      <c r="BE790" s="1193"/>
      <c r="BF790" s="1193"/>
      <c r="BG790" s="1193"/>
    </row>
    <row r="791" spans="1:59" hidden="1" outlineLevel="1">
      <c r="A791" s="598" t="s">
        <v>529</v>
      </c>
      <c r="B791" s="1157" t="s">
        <v>516</v>
      </c>
      <c r="C791" s="598"/>
      <c r="D791" s="1120" t="e">
        <f>(S791/S784-1)*100</f>
        <v>#DIV/0!</v>
      </c>
      <c r="E791" s="598"/>
      <c r="F791" s="1179"/>
      <c r="G791" s="598"/>
      <c r="H791" s="1120"/>
      <c r="I791" s="598"/>
      <c r="J791" s="1170">
        <f>Stores!AT161</f>
        <v>135</v>
      </c>
      <c r="K791" s="1127"/>
      <c r="L791" s="1128">
        <f>AVERAGE(J791,J790)</f>
        <v>133.5</v>
      </c>
      <c r="M791" s="598"/>
      <c r="N791" s="1120">
        <f>(L791/L784-1)*100</f>
        <v>3.488372093023262</v>
      </c>
      <c r="O791" s="1124"/>
      <c r="P791" s="1159">
        <f>H791/N791*100</f>
        <v>0</v>
      </c>
      <c r="Q791" s="1125"/>
      <c r="R791" s="598"/>
      <c r="S791" s="1165"/>
      <c r="T791" s="598"/>
      <c r="U791" s="1166"/>
      <c r="V791" s="598"/>
      <c r="W791" s="1176" t="e">
        <f>(U791/U784-1)*100</f>
        <v>#DIV/0!</v>
      </c>
      <c r="X791" s="1124"/>
      <c r="Y791" s="598"/>
      <c r="Z791" s="1163">
        <f>Stores!AW161</f>
        <v>3.4</v>
      </c>
      <c r="AA791" s="1127"/>
      <c r="AB791" s="1163">
        <f>AVERAGE(Z791,Z790)</f>
        <v>3.4</v>
      </c>
      <c r="AC791" s="598"/>
      <c r="AD791" s="1120">
        <f>(AB791/AB784-1)*100</f>
        <v>3.0303030303030276</v>
      </c>
      <c r="AE791" s="1124"/>
      <c r="AF791" s="1159">
        <f>+H791/AD791*100</f>
        <v>0</v>
      </c>
      <c r="AG791" s="1125"/>
      <c r="AH791" s="598"/>
      <c r="AI791" s="1165">
        <f>+S791</f>
        <v>0</v>
      </c>
      <c r="AJ791" s="598"/>
      <c r="AK791" s="1167">
        <f>AI791/AB791</f>
        <v>0</v>
      </c>
      <c r="AL791" s="598"/>
      <c r="AM791" s="1176" t="e">
        <f>(AK791/AK784-1)*100</f>
        <v>#DIV/0!</v>
      </c>
      <c r="AN791" s="1124"/>
      <c r="AP791" s="1193"/>
      <c r="AQ791" s="1193"/>
      <c r="AR791" s="1193"/>
      <c r="AS791" s="1193"/>
      <c r="AT791" s="1193"/>
      <c r="AU791" s="1193"/>
      <c r="AV791" s="1193"/>
      <c r="AW791" s="1193"/>
      <c r="AX791" s="1193"/>
      <c r="AY791" s="1193"/>
      <c r="AZ791" s="1193"/>
      <c r="BA791" s="1193"/>
      <c r="BB791" s="1193"/>
      <c r="BC791" s="1193"/>
      <c r="BD791" s="1193"/>
      <c r="BE791" s="1193"/>
      <c r="BF791" s="1193"/>
      <c r="BG791" s="1193"/>
    </row>
    <row r="792" spans="1:59" hidden="1" outlineLevel="1">
      <c r="A792" s="598" t="s">
        <v>530</v>
      </c>
      <c r="B792" s="1157" t="s">
        <v>517</v>
      </c>
      <c r="C792" s="598"/>
      <c r="D792" s="1168" t="e">
        <f>(S792/S785-1)*100</f>
        <v>#DIV/0!</v>
      </c>
      <c r="E792" s="598"/>
      <c r="F792" s="1178"/>
      <c r="G792" s="598"/>
      <c r="H792" s="1168"/>
      <c r="I792" s="598"/>
      <c r="J792" s="1170">
        <f>Stores!AT162</f>
        <v>135</v>
      </c>
      <c r="K792" s="1127"/>
      <c r="L792" s="1171">
        <f>AVERAGE(J792,J791)</f>
        <v>135</v>
      </c>
      <c r="M792" s="598"/>
      <c r="N792" s="1168">
        <f>(L792/L785-1)*100</f>
        <v>4.2471042471042386</v>
      </c>
      <c r="O792" s="1124"/>
      <c r="P792" s="1171">
        <f>H792/N792*100</f>
        <v>0</v>
      </c>
      <c r="Q792" s="1125"/>
      <c r="R792" s="598"/>
      <c r="S792" s="1172"/>
      <c r="T792" s="598"/>
      <c r="U792" s="1173"/>
      <c r="V792" s="598"/>
      <c r="W792" s="1169" t="e">
        <f>(U792/U785-1)*100</f>
        <v>#DIV/0!</v>
      </c>
      <c r="X792" s="1124"/>
      <c r="Y792" s="598"/>
      <c r="Z792" s="1163">
        <f>Stores!AW162</f>
        <v>3.4</v>
      </c>
      <c r="AA792" s="1127"/>
      <c r="AB792" s="1174">
        <f>AVERAGE(Z792,Z791)</f>
        <v>3.4</v>
      </c>
      <c r="AC792" s="598"/>
      <c r="AD792" s="1168">
        <f>(AB792/AB785-1)*100</f>
        <v>2.8433151845129956</v>
      </c>
      <c r="AE792" s="1124"/>
      <c r="AF792" s="1171">
        <f>+H792/AD792*100</f>
        <v>0</v>
      </c>
      <c r="AG792" s="1125"/>
      <c r="AH792" s="598"/>
      <c r="AI792" s="1172">
        <f>+S792</f>
        <v>0</v>
      </c>
      <c r="AJ792" s="598"/>
      <c r="AK792" s="1175">
        <f>AI792/AB792</f>
        <v>0</v>
      </c>
      <c r="AL792" s="598"/>
      <c r="AM792" s="1169" t="e">
        <f>(AK792/AK785-1)*100</f>
        <v>#DIV/0!</v>
      </c>
      <c r="AN792" s="1124"/>
      <c r="AP792" s="1193"/>
      <c r="AQ792" s="1193"/>
      <c r="AR792" s="1193"/>
      <c r="AS792" s="1193"/>
      <c r="AT792" s="1193"/>
      <c r="AU792" s="1193"/>
      <c r="AV792" s="1193"/>
      <c r="AW792" s="1193"/>
      <c r="AX792" s="1193"/>
      <c r="AY792" s="1193"/>
      <c r="AZ792" s="1193"/>
      <c r="BA792" s="1193"/>
      <c r="BB792" s="1193"/>
      <c r="BC792" s="1193"/>
      <c r="BD792" s="1193"/>
      <c r="BE792" s="1193"/>
      <c r="BF792" s="1193"/>
      <c r="BG792" s="1193"/>
    </row>
    <row r="793" spans="1:59" hidden="1" outlineLevel="1">
      <c r="A793" s="598"/>
      <c r="B793" s="1157" t="s">
        <v>531</v>
      </c>
      <c r="C793" s="598"/>
      <c r="D793" s="1120" t="e">
        <f>(S793/S786-1)*100</f>
        <v>#DIV/0!</v>
      </c>
      <c r="E793" s="598"/>
      <c r="F793" s="1179"/>
      <c r="G793" s="598"/>
      <c r="H793" s="1120"/>
      <c r="I793" s="598"/>
      <c r="J793" s="598"/>
      <c r="K793" s="598"/>
      <c r="L793" s="1128">
        <f>AVERAGE(L789:L792)</f>
        <v>132.25</v>
      </c>
      <c r="M793" s="598"/>
      <c r="N793" s="1120">
        <f>(L793/L786-1)*100</f>
        <v>2.9182879377431803</v>
      </c>
      <c r="O793" s="1124"/>
      <c r="P793" s="1159">
        <f>H793/N793*100</f>
        <v>0</v>
      </c>
      <c r="Q793" s="1125"/>
      <c r="R793" s="598"/>
      <c r="S793" s="1160"/>
      <c r="T793" s="598"/>
      <c r="U793" s="1161"/>
      <c r="V793" s="598"/>
      <c r="W793" s="1176" t="e">
        <f>(U793/U786-1)*100</f>
        <v>#DIV/0!</v>
      </c>
      <c r="X793" s="1124"/>
      <c r="Y793" s="598"/>
      <c r="Z793" s="598"/>
      <c r="AA793" s="598"/>
      <c r="AB793" s="1163">
        <f>AVERAGE(AB789:AB792)</f>
        <v>3.3639999999999999</v>
      </c>
      <c r="AC793" s="598"/>
      <c r="AD793" s="1120">
        <f>(AB793/AB786-1)*100</f>
        <v>1.8930789035286999</v>
      </c>
      <c r="AE793" s="1124"/>
      <c r="AF793" s="1159">
        <f>+H793/AD793*100</f>
        <v>0</v>
      </c>
      <c r="AG793" s="1125"/>
      <c r="AH793" s="598"/>
      <c r="AI793" s="1160">
        <f>SUM(AI789:AI792)</f>
        <v>0</v>
      </c>
      <c r="AJ793" s="598"/>
      <c r="AK793" s="1164">
        <f>SUM(AK789:AK792)</f>
        <v>0</v>
      </c>
      <c r="AL793" s="598"/>
      <c r="AM793" s="1176" t="e">
        <f>(AK793/AK786-1)*100</f>
        <v>#DIV/0!</v>
      </c>
      <c r="AN793" s="1124"/>
      <c r="AP793" s="1193"/>
      <c r="AQ793" s="1193"/>
      <c r="AR793" s="1193"/>
      <c r="AS793" s="1193"/>
      <c r="AT793" s="1193"/>
      <c r="AU793" s="1193"/>
      <c r="AV793" s="1193"/>
      <c r="AW793" s="1193"/>
      <c r="AX793" s="1193"/>
      <c r="AY793" s="1193"/>
      <c r="AZ793" s="1193"/>
      <c r="BA793" s="1193"/>
      <c r="BB793" s="1193"/>
      <c r="BC793" s="1193"/>
      <c r="BD793" s="1193"/>
      <c r="BE793" s="1193"/>
      <c r="BF793" s="1193"/>
      <c r="BG793" s="1193"/>
    </row>
    <row r="794" spans="1:59" hidden="1" outlineLevel="1">
      <c r="A794" s="598"/>
      <c r="B794" s="1157"/>
      <c r="C794" s="598"/>
      <c r="D794" s="1120"/>
      <c r="E794" s="598"/>
      <c r="F794" s="1179"/>
      <c r="G794" s="598"/>
      <c r="H794" s="1120"/>
      <c r="I794" s="598"/>
      <c r="J794" s="598"/>
      <c r="K794" s="598"/>
      <c r="L794" s="1128"/>
      <c r="M794" s="598"/>
      <c r="N794" s="1120"/>
      <c r="O794" s="1124"/>
      <c r="P794" s="1159"/>
      <c r="Q794" s="1125"/>
      <c r="R794" s="598"/>
      <c r="S794" s="1160"/>
      <c r="T794" s="598"/>
      <c r="U794" s="1161"/>
      <c r="V794" s="598"/>
      <c r="W794" s="1176"/>
      <c r="X794" s="1124"/>
      <c r="Y794" s="598"/>
      <c r="Z794" s="598"/>
      <c r="AA794" s="598"/>
      <c r="AB794" s="1163"/>
      <c r="AC794" s="598"/>
      <c r="AD794" s="1120"/>
      <c r="AE794" s="1124"/>
      <c r="AF794" s="1159"/>
      <c r="AG794" s="1125"/>
      <c r="AH794" s="598"/>
      <c r="AI794" s="1160"/>
      <c r="AJ794" s="598"/>
      <c r="AK794" s="1164"/>
      <c r="AL794" s="598"/>
      <c r="AM794" s="1176"/>
      <c r="AN794" s="1124"/>
      <c r="AP794" s="1193"/>
      <c r="AQ794" s="1193"/>
      <c r="AR794" s="1193"/>
      <c r="AS794" s="1193"/>
      <c r="AT794" s="1193"/>
      <c r="AU794" s="1193"/>
      <c r="AV794" s="1193"/>
      <c r="AW794" s="1193"/>
      <c r="AX794" s="1193"/>
      <c r="AY794" s="1193"/>
      <c r="AZ794" s="1193"/>
      <c r="BA794" s="1193"/>
      <c r="BB794" s="1193"/>
      <c r="BC794" s="1193"/>
      <c r="BD794" s="1193"/>
      <c r="BE794" s="1193"/>
      <c r="BF794" s="1193"/>
      <c r="BG794" s="1193"/>
    </row>
    <row r="795" spans="1:59" hidden="1" outlineLevel="1">
      <c r="A795" s="1154"/>
      <c r="B795" s="1118">
        <f>+B788+1</f>
        <v>2009</v>
      </c>
      <c r="C795" s="598"/>
      <c r="D795" s="598"/>
      <c r="E795" s="1124"/>
      <c r="F795" s="598"/>
      <c r="G795" s="1124"/>
      <c r="H795" s="598"/>
      <c r="I795" s="1124"/>
      <c r="J795" s="598"/>
      <c r="K795" s="598"/>
      <c r="L795" s="598"/>
      <c r="M795" s="598"/>
      <c r="N795" s="598"/>
      <c r="O795" s="1124"/>
      <c r="P795" s="1125"/>
      <c r="Q795" s="1125"/>
      <c r="R795" s="598"/>
      <c r="S795" s="598"/>
      <c r="T795" s="598"/>
      <c r="U795" s="598"/>
      <c r="V795" s="598"/>
      <c r="W795" s="598"/>
      <c r="X795" s="1124"/>
      <c r="Y795" s="598"/>
      <c r="Z795" s="598"/>
      <c r="AA795" s="598"/>
      <c r="AB795" s="598"/>
      <c r="AC795" s="598"/>
      <c r="AD795" s="598"/>
      <c r="AE795" s="1124"/>
      <c r="AF795" s="1125"/>
      <c r="AG795" s="1125"/>
      <c r="AH795" s="598"/>
      <c r="AI795" s="598"/>
      <c r="AJ795" s="598"/>
      <c r="AK795" s="598"/>
      <c r="AL795" s="598"/>
      <c r="AM795" s="598"/>
      <c r="AN795" s="1124"/>
      <c r="AP795" s="1193"/>
      <c r="AQ795" s="1193"/>
      <c r="AR795" s="1193"/>
      <c r="AS795" s="1193"/>
      <c r="AT795" s="1193"/>
      <c r="AU795" s="1193"/>
      <c r="AV795" s="1193"/>
      <c r="AW795" s="1193"/>
      <c r="AX795" s="1193"/>
      <c r="AY795" s="1193"/>
      <c r="AZ795" s="1193"/>
      <c r="BA795" s="1193"/>
      <c r="BB795" s="1193"/>
      <c r="BC795" s="1193"/>
      <c r="BD795" s="1193"/>
      <c r="BE795" s="1193"/>
      <c r="BF795" s="1193"/>
      <c r="BG795" s="1193"/>
    </row>
    <row r="796" spans="1:59" hidden="1" outlineLevel="1">
      <c r="A796" s="598" t="s">
        <v>527</v>
      </c>
      <c r="B796" s="1157" t="s">
        <v>514</v>
      </c>
      <c r="C796" s="598"/>
      <c r="D796" s="1120" t="e">
        <f>(S796/S789-1)*100</f>
        <v>#DIV/0!</v>
      </c>
      <c r="E796" s="1124" t="s">
        <v>190</v>
      </c>
      <c r="F796" s="1179"/>
      <c r="G796" s="1124"/>
      <c r="H796" s="1120"/>
      <c r="I796" s="1124"/>
      <c r="J796" s="1170">
        <f>Stores!AT166</f>
        <v>140</v>
      </c>
      <c r="K796" s="598"/>
      <c r="L796" s="1128">
        <f>AVERAGE(J796,J792)</f>
        <v>137.5</v>
      </c>
      <c r="M796" s="598"/>
      <c r="N796" s="1120">
        <f>(L796/L789-1)*100</f>
        <v>6.1776061776061875</v>
      </c>
      <c r="O796" s="1124" t="s">
        <v>190</v>
      </c>
      <c r="P796" s="1159">
        <f>H796/N796*100</f>
        <v>0</v>
      </c>
      <c r="Q796" s="1125" t="s">
        <v>190</v>
      </c>
      <c r="R796" s="598"/>
      <c r="S796" s="1160"/>
      <c r="T796" s="598"/>
      <c r="U796" s="1161"/>
      <c r="V796" s="598"/>
      <c r="W796" s="1176" t="e">
        <f>(U796/U789-1)*100</f>
        <v>#DIV/0!</v>
      </c>
      <c r="X796" s="1124" t="s">
        <v>190</v>
      </c>
      <c r="Y796" s="598"/>
      <c r="Z796" s="1163">
        <f>Stores!AW166</f>
        <v>3.6</v>
      </c>
      <c r="AA796" s="598"/>
      <c r="AB796" s="1163">
        <f>AVERAGE(Z796,Z792)</f>
        <v>3.5</v>
      </c>
      <c r="AC796" s="598"/>
      <c r="AD796" s="1120">
        <f>(AB796/AB789-1)*100</f>
        <v>5.8681185722927909</v>
      </c>
      <c r="AE796" s="1124" t="s">
        <v>190</v>
      </c>
      <c r="AF796" s="1159">
        <f>+H796/AD796*100</f>
        <v>0</v>
      </c>
      <c r="AG796" s="1125" t="s">
        <v>190</v>
      </c>
      <c r="AH796" s="598"/>
      <c r="AI796" s="1160">
        <f>+S796</f>
        <v>0</v>
      </c>
      <c r="AJ796" s="598"/>
      <c r="AK796" s="1164">
        <f>AI796/AB796</f>
        <v>0</v>
      </c>
      <c r="AL796" s="598"/>
      <c r="AM796" s="1176" t="e">
        <f>(AK796/AK789-1)*100</f>
        <v>#DIV/0!</v>
      </c>
      <c r="AN796" s="1124" t="s">
        <v>190</v>
      </c>
      <c r="AP796" s="1193"/>
      <c r="AQ796" s="1193"/>
      <c r="AR796" s="1193"/>
      <c r="AS796" s="1193"/>
      <c r="AT796" s="1193"/>
      <c r="AU796" s="1193"/>
      <c r="AV796" s="1193"/>
      <c r="AW796" s="1193"/>
      <c r="AX796" s="1193"/>
      <c r="AY796" s="1193"/>
      <c r="AZ796" s="1193"/>
      <c r="BA796" s="1193"/>
      <c r="BB796" s="1193"/>
      <c r="BC796" s="1193"/>
      <c r="BD796" s="1193"/>
      <c r="BE796" s="1193"/>
      <c r="BF796" s="1193"/>
      <c r="BG796" s="1193"/>
    </row>
    <row r="797" spans="1:59" hidden="1" outlineLevel="1">
      <c r="A797" s="598" t="s">
        <v>528</v>
      </c>
      <c r="B797" s="1157" t="s">
        <v>515</v>
      </c>
      <c r="C797" s="598"/>
      <c r="D797" s="1120" t="e">
        <f>(S797/S790-1)*100</f>
        <v>#DIV/0!</v>
      </c>
      <c r="E797" s="598"/>
      <c r="F797" s="1179"/>
      <c r="G797" s="598"/>
      <c r="H797" s="1120"/>
      <c r="I797" s="598"/>
      <c r="J797" s="1170">
        <f>Stores!AT167</f>
        <v>141</v>
      </c>
      <c r="K797" s="1127"/>
      <c r="L797" s="1128">
        <f>AVERAGE(J797,J796)</f>
        <v>140.5</v>
      </c>
      <c r="M797" s="598"/>
      <c r="N797" s="1120">
        <f>(L797/L790-1)*100</f>
        <v>7.2519083969465603</v>
      </c>
      <c r="O797" s="1124"/>
      <c r="P797" s="1159">
        <f>H797/N797*100</f>
        <v>0</v>
      </c>
      <c r="Q797" s="1180"/>
      <c r="R797" s="598"/>
      <c r="S797" s="1165"/>
      <c r="T797" s="598"/>
      <c r="U797" s="1166"/>
      <c r="V797" s="598"/>
      <c r="W797" s="1176" t="e">
        <f>(U797/U790-1)*100</f>
        <v>#DIV/0!</v>
      </c>
      <c r="X797" s="1124"/>
      <c r="Y797" s="598"/>
      <c r="Z797" s="1163">
        <f>Stores!AW167</f>
        <v>3.6</v>
      </c>
      <c r="AA797" s="1127"/>
      <c r="AB797" s="1163">
        <f>AVERAGE(Z797,Z796)</f>
        <v>3.6</v>
      </c>
      <c r="AC797" s="598"/>
      <c r="AD797" s="1120">
        <f>(AB797/AB790-1)*100</f>
        <v>7.4626865671642006</v>
      </c>
      <c r="AE797" s="1124"/>
      <c r="AF797" s="1159">
        <f>+H797/AD797*100</f>
        <v>0</v>
      </c>
      <c r="AG797" s="1125"/>
      <c r="AH797" s="598"/>
      <c r="AI797" s="1165">
        <f>+S797</f>
        <v>0</v>
      </c>
      <c r="AJ797" s="598"/>
      <c r="AK797" s="1167">
        <f>AI797/AB797</f>
        <v>0</v>
      </c>
      <c r="AL797" s="598"/>
      <c r="AM797" s="1176" t="e">
        <f>(AK797/AK790-1)*100</f>
        <v>#DIV/0!</v>
      </c>
      <c r="AN797" s="1124"/>
      <c r="AP797" s="1193"/>
      <c r="AQ797" s="1193"/>
      <c r="AR797" s="1193"/>
      <c r="AS797" s="1193"/>
      <c r="AT797" s="1193"/>
      <c r="AU797" s="1193"/>
      <c r="AV797" s="1193"/>
      <c r="AW797" s="1193"/>
      <c r="AX797" s="1193"/>
      <c r="AY797" s="1193"/>
      <c r="AZ797" s="1193"/>
      <c r="BA797" s="1193"/>
      <c r="BB797" s="1193"/>
      <c r="BC797" s="1193"/>
      <c r="BD797" s="1193"/>
      <c r="BE797" s="1193"/>
      <c r="BF797" s="1193"/>
      <c r="BG797" s="1193"/>
    </row>
    <row r="798" spans="1:59" hidden="1" outlineLevel="1">
      <c r="A798" s="598" t="s">
        <v>529</v>
      </c>
      <c r="B798" s="1157" t="s">
        <v>516</v>
      </c>
      <c r="C798" s="598"/>
      <c r="D798" s="1120" t="e">
        <f>(S798/S791-1)*100</f>
        <v>#DIV/0!</v>
      </c>
      <c r="E798" s="598"/>
      <c r="F798" s="1179"/>
      <c r="G798" s="598"/>
      <c r="H798" s="1120"/>
      <c r="I798" s="598"/>
      <c r="J798" s="1170">
        <f>Stores!AT168</f>
        <v>148</v>
      </c>
      <c r="K798" s="1127"/>
      <c r="L798" s="1128">
        <f>AVERAGE(J798,J797)</f>
        <v>144.5</v>
      </c>
      <c r="M798" s="598"/>
      <c r="N798" s="1120">
        <f>(L798/L791-1)*100</f>
        <v>8.2397003745318322</v>
      </c>
      <c r="O798" s="1124"/>
      <c r="P798" s="1159">
        <f>H798/N798*100</f>
        <v>0</v>
      </c>
      <c r="Q798" s="1180"/>
      <c r="R798" s="598"/>
      <c r="S798" s="1165"/>
      <c r="T798" s="598"/>
      <c r="U798" s="1166"/>
      <c r="V798" s="598"/>
      <c r="W798" s="1176" t="e">
        <f>(U798/U791-1)*100</f>
        <v>#DIV/0!</v>
      </c>
      <c r="X798" s="1124"/>
      <c r="Y798" s="598"/>
      <c r="Z798" s="1163">
        <f>Stores!AW168</f>
        <v>3.8</v>
      </c>
      <c r="AA798" s="1127"/>
      <c r="AB798" s="1163">
        <f>AVERAGE(Z798,Z797)</f>
        <v>3.7</v>
      </c>
      <c r="AC798" s="598"/>
      <c r="AD798" s="1120">
        <f>(AB798/AB791-1)*100</f>
        <v>8.8235294117647189</v>
      </c>
      <c r="AE798" s="1124"/>
      <c r="AF798" s="1159">
        <f>+H798/AD798*100</f>
        <v>0</v>
      </c>
      <c r="AG798" s="1125"/>
      <c r="AH798" s="598"/>
      <c r="AI798" s="1165">
        <f>+S798</f>
        <v>0</v>
      </c>
      <c r="AJ798" s="598"/>
      <c r="AK798" s="1167">
        <f>AI798/AB798</f>
        <v>0</v>
      </c>
      <c r="AL798" s="598"/>
      <c r="AM798" s="1176" t="e">
        <f>(AK798/AK791-1)*100</f>
        <v>#DIV/0!</v>
      </c>
      <c r="AN798" s="1124"/>
      <c r="AP798" s="1193"/>
      <c r="AQ798" s="1193"/>
      <c r="AR798" s="1193"/>
      <c r="AS798" s="1193"/>
      <c r="AT798" s="1193"/>
      <c r="AU798" s="1193"/>
      <c r="AV798" s="1193"/>
      <c r="AW798" s="1193"/>
      <c r="AX798" s="1193"/>
      <c r="AY798" s="1193"/>
      <c r="AZ798" s="1193"/>
      <c r="BA798" s="1193"/>
      <c r="BB798" s="1193"/>
      <c r="BC798" s="1193"/>
      <c r="BD798" s="1193"/>
      <c r="BE798" s="1193"/>
      <c r="BF798" s="1193"/>
      <c r="BG798" s="1193"/>
    </row>
    <row r="799" spans="1:59" hidden="1" outlineLevel="1">
      <c r="A799" s="598" t="s">
        <v>530</v>
      </c>
      <c r="B799" s="1157" t="s">
        <v>517</v>
      </c>
      <c r="C799" s="598"/>
      <c r="D799" s="1168" t="e">
        <f>(S799/S792-1)*100</f>
        <v>#DIV/0!</v>
      </c>
      <c r="E799" s="598"/>
      <c r="F799" s="1178"/>
      <c r="G799" s="598"/>
      <c r="H799" s="1168"/>
      <c r="I799" s="598"/>
      <c r="J799" s="1170">
        <f>Stores!AT169</f>
        <v>150</v>
      </c>
      <c r="K799" s="1127"/>
      <c r="L799" s="1171">
        <f>AVERAGE(J799,J798)</f>
        <v>149</v>
      </c>
      <c r="M799" s="598"/>
      <c r="N799" s="1168">
        <f>(L799/L792-1)*100</f>
        <v>10.370370370370363</v>
      </c>
      <c r="O799" s="1124"/>
      <c r="P799" s="1171">
        <f>H799/N799*100</f>
        <v>0</v>
      </c>
      <c r="Q799" s="1180"/>
      <c r="R799" s="598"/>
      <c r="S799" s="1172"/>
      <c r="T799" s="598"/>
      <c r="U799" s="1173"/>
      <c r="V799" s="598"/>
      <c r="W799" s="1169" t="e">
        <f>(U799/U792-1)*100</f>
        <v>#DIV/0!</v>
      </c>
      <c r="X799" s="1124"/>
      <c r="Y799" s="598"/>
      <c r="Z799" s="1163">
        <f>Stores!AW169</f>
        <v>3.8</v>
      </c>
      <c r="AA799" s="1127"/>
      <c r="AB799" s="1174">
        <f>AVERAGE(Z799,Z798)</f>
        <v>3.8</v>
      </c>
      <c r="AC799" s="598"/>
      <c r="AD799" s="1168">
        <f>(AB799/AB792-1)*100</f>
        <v>11.764705882352944</v>
      </c>
      <c r="AE799" s="1124"/>
      <c r="AF799" s="1171">
        <f>+H799/AD799*100</f>
        <v>0</v>
      </c>
      <c r="AG799" s="1125"/>
      <c r="AH799" s="598"/>
      <c r="AI799" s="1172">
        <f>+S799</f>
        <v>0</v>
      </c>
      <c r="AJ799" s="598"/>
      <c r="AK799" s="1175">
        <f>AI799/AB799</f>
        <v>0</v>
      </c>
      <c r="AL799" s="598"/>
      <c r="AM799" s="1169" t="e">
        <f>(AK799/AK792-1)*100</f>
        <v>#DIV/0!</v>
      </c>
      <c r="AN799" s="1124"/>
      <c r="AP799" s="1193"/>
      <c r="AQ799" s="1193"/>
      <c r="AR799" s="1193"/>
      <c r="AS799" s="1193"/>
      <c r="AT799" s="1193"/>
      <c r="AU799" s="1193"/>
      <c r="AV799" s="1193"/>
      <c r="AW799" s="1193"/>
      <c r="AX799" s="1193"/>
      <c r="AY799" s="1193"/>
      <c r="AZ799" s="1193"/>
      <c r="BA799" s="1193"/>
      <c r="BB799" s="1193"/>
      <c r="BC799" s="1193"/>
      <c r="BD799" s="1193"/>
      <c r="BE799" s="1193"/>
      <c r="BF799" s="1193"/>
      <c r="BG799" s="1193"/>
    </row>
    <row r="800" spans="1:59" hidden="1" outlineLevel="1">
      <c r="A800" s="598"/>
      <c r="B800" s="1157" t="s">
        <v>531</v>
      </c>
      <c r="C800" s="598"/>
      <c r="D800" s="1120" t="e">
        <f>(S800/S793-1)*100</f>
        <v>#DIV/0!</v>
      </c>
      <c r="E800" s="598"/>
      <c r="F800" s="1179"/>
      <c r="G800" s="598"/>
      <c r="H800" s="1120"/>
      <c r="I800" s="598"/>
      <c r="J800" s="598"/>
      <c r="K800" s="598"/>
      <c r="L800" s="1128">
        <f>AVERAGE(L796:L799)</f>
        <v>142.875</v>
      </c>
      <c r="M800" s="598"/>
      <c r="N800" s="1120">
        <f>(L800/L793-1)*100</f>
        <v>8.0340264650283544</v>
      </c>
      <c r="O800" s="1124"/>
      <c r="P800" s="1159">
        <f>H800/N800*100</f>
        <v>0</v>
      </c>
      <c r="Q800" s="1125"/>
      <c r="R800" s="598"/>
      <c r="S800" s="1160"/>
      <c r="T800" s="598"/>
      <c r="U800" s="1161"/>
      <c r="V800" s="598"/>
      <c r="W800" s="1176" t="e">
        <f>(U800/U793-1)*100</f>
        <v>#DIV/0!</v>
      </c>
      <c r="X800" s="1124"/>
      <c r="Y800" s="598"/>
      <c r="Z800" s="598"/>
      <c r="AA800" s="598"/>
      <c r="AB800" s="1163">
        <f>AVERAGE(AB796:AB799)</f>
        <v>3.6500000000000004</v>
      </c>
      <c r="AC800" s="598"/>
      <c r="AD800" s="1120">
        <f>(AB800/AB793-1)*100</f>
        <v>8.5017835909631643</v>
      </c>
      <c r="AE800" s="1124"/>
      <c r="AF800" s="1159">
        <f>+H800/AD800*100</f>
        <v>0</v>
      </c>
      <c r="AG800" s="1125"/>
      <c r="AH800" s="598"/>
      <c r="AI800" s="1160">
        <f>SUM(AI796:AI799)</f>
        <v>0</v>
      </c>
      <c r="AJ800" s="598"/>
      <c r="AK800" s="1164">
        <f>SUM(AK796:AK799)</f>
        <v>0</v>
      </c>
      <c r="AL800" s="598"/>
      <c r="AM800" s="1176" t="e">
        <f>(AK800/AK793-1)*100</f>
        <v>#DIV/0!</v>
      </c>
      <c r="AN800" s="1124"/>
      <c r="AP800" s="1193"/>
      <c r="AQ800" s="1193"/>
      <c r="AR800" s="1193"/>
      <c r="AS800" s="1193"/>
      <c r="AT800" s="1193"/>
      <c r="AU800" s="1193"/>
      <c r="AV800" s="1193"/>
      <c r="AW800" s="1193"/>
      <c r="AX800" s="1193"/>
      <c r="AY800" s="1193"/>
      <c r="AZ800" s="1193"/>
      <c r="BA800" s="1193"/>
      <c r="BB800" s="1193"/>
      <c r="BC800" s="1193"/>
      <c r="BD800" s="1193"/>
      <c r="BE800" s="1193"/>
      <c r="BF800" s="1193"/>
      <c r="BG800" s="1193"/>
    </row>
    <row r="801" spans="1:59" hidden="1" outlineLevel="1">
      <c r="A801" s="598"/>
      <c r="B801" s="1157"/>
      <c r="C801" s="598"/>
      <c r="D801" s="1120"/>
      <c r="E801" s="598"/>
      <c r="F801" s="1179"/>
      <c r="G801" s="598"/>
      <c r="H801" s="1120"/>
      <c r="I801" s="598"/>
      <c r="J801" s="598"/>
      <c r="K801" s="598"/>
      <c r="L801" s="1128"/>
      <c r="M801" s="598"/>
      <c r="N801" s="1120"/>
      <c r="O801" s="1124"/>
      <c r="P801" s="1159"/>
      <c r="Q801" s="1125"/>
      <c r="R801" s="598"/>
      <c r="S801" s="1160"/>
      <c r="T801" s="598"/>
      <c r="U801" s="1161"/>
      <c r="V801" s="598"/>
      <c r="W801" s="1176"/>
      <c r="X801" s="1124"/>
      <c r="Y801" s="598"/>
      <c r="Z801" s="598"/>
      <c r="AA801" s="598"/>
      <c r="AB801" s="1163"/>
      <c r="AC801" s="598"/>
      <c r="AD801" s="1120"/>
      <c r="AE801" s="1124"/>
      <c r="AF801" s="1159"/>
      <c r="AG801" s="1125"/>
      <c r="AH801" s="598"/>
      <c r="AI801" s="1160"/>
      <c r="AJ801" s="598"/>
      <c r="AK801" s="1164"/>
      <c r="AL801" s="598"/>
      <c r="AM801" s="1176"/>
      <c r="AN801" s="1124"/>
      <c r="AP801" s="1193"/>
      <c r="AQ801" s="1193"/>
      <c r="AR801" s="1193"/>
      <c r="AS801" s="1193"/>
      <c r="AT801" s="1193"/>
      <c r="AU801" s="1193"/>
      <c r="AV801" s="1193"/>
      <c r="AW801" s="1193"/>
      <c r="AX801" s="1193"/>
      <c r="AY801" s="1193"/>
      <c r="AZ801" s="1193"/>
      <c r="BA801" s="1193"/>
      <c r="BB801" s="1193"/>
      <c r="BC801" s="1193"/>
      <c r="BD801" s="1193"/>
      <c r="BE801" s="1193"/>
      <c r="BF801" s="1193"/>
      <c r="BG801" s="1193"/>
    </row>
    <row r="802" spans="1:59" hidden="1" outlineLevel="1">
      <c r="A802" s="1154"/>
      <c r="B802" s="1118">
        <f>+B795+1</f>
        <v>2010</v>
      </c>
      <c r="C802" s="598"/>
      <c r="D802" s="598"/>
      <c r="E802" s="1124"/>
      <c r="F802" s="598"/>
      <c r="G802" s="1124"/>
      <c r="H802" s="598"/>
      <c r="I802" s="1124"/>
      <c r="J802" s="598"/>
      <c r="K802" s="598"/>
      <c r="L802" s="598"/>
      <c r="M802" s="598"/>
      <c r="N802" s="598"/>
      <c r="O802" s="1124"/>
      <c r="P802" s="1125"/>
      <c r="Q802" s="1125"/>
      <c r="R802" s="598"/>
      <c r="S802" s="598"/>
      <c r="T802" s="598"/>
      <c r="U802" s="598"/>
      <c r="V802" s="598"/>
      <c r="W802" s="598"/>
      <c r="X802" s="1124"/>
      <c r="Y802" s="598"/>
      <c r="Z802" s="598"/>
      <c r="AA802" s="598"/>
      <c r="AB802" s="598"/>
      <c r="AC802" s="598"/>
      <c r="AD802" s="598"/>
      <c r="AE802" s="1124"/>
      <c r="AF802" s="1125"/>
      <c r="AG802" s="1125"/>
      <c r="AH802" s="598"/>
      <c r="AI802" s="598"/>
      <c r="AJ802" s="598"/>
      <c r="AK802" s="598"/>
      <c r="AL802" s="598"/>
      <c r="AM802" s="598"/>
      <c r="AN802" s="1124"/>
      <c r="AP802" s="1193"/>
      <c r="AQ802" s="1193"/>
      <c r="AR802" s="1193"/>
      <c r="AS802" s="1193"/>
      <c r="AT802" s="1193"/>
      <c r="AU802" s="1193"/>
      <c r="AV802" s="1193"/>
      <c r="AW802" s="1193"/>
      <c r="AX802" s="1193"/>
      <c r="AY802" s="1193"/>
      <c r="AZ802" s="1193"/>
      <c r="BA802" s="1193"/>
      <c r="BB802" s="1193"/>
      <c r="BC802" s="1193"/>
      <c r="BD802" s="1193"/>
      <c r="BE802" s="1193"/>
      <c r="BF802" s="1193"/>
      <c r="BG802" s="1193"/>
    </row>
    <row r="803" spans="1:59" hidden="1" outlineLevel="1">
      <c r="A803" s="598" t="s">
        <v>527</v>
      </c>
      <c r="B803" s="1157" t="s">
        <v>514</v>
      </c>
      <c r="C803" s="598"/>
      <c r="D803" s="1120" t="e">
        <f>(S803/S796-1)*100</f>
        <v>#DIV/0!</v>
      </c>
      <c r="E803" s="1124" t="s">
        <v>190</v>
      </c>
      <c r="F803" s="1179"/>
      <c r="G803" s="1124"/>
      <c r="H803" s="1120"/>
      <c r="I803" s="1124"/>
      <c r="J803" s="1170">
        <f>Stores!AT173</f>
        <v>152</v>
      </c>
      <c r="K803" s="598"/>
      <c r="L803" s="1128">
        <f>AVERAGE(J803,J799)</f>
        <v>151</v>
      </c>
      <c r="M803" s="598"/>
      <c r="N803" s="1120">
        <f>(L803/L796-1)*100</f>
        <v>9.8181818181818148</v>
      </c>
      <c r="O803" s="1124" t="s">
        <v>190</v>
      </c>
      <c r="P803" s="1159">
        <f>H803/N803*100</f>
        <v>0</v>
      </c>
      <c r="Q803" s="1125" t="s">
        <v>190</v>
      </c>
      <c r="R803" s="598"/>
      <c r="S803" s="1160"/>
      <c r="T803" s="598"/>
      <c r="U803" s="1161"/>
      <c r="V803" s="598"/>
      <c r="W803" s="1176" t="e">
        <f>(U803/U796-1)*100</f>
        <v>#DIV/0!</v>
      </c>
      <c r="X803" s="1124" t="s">
        <v>190</v>
      </c>
      <c r="Y803" s="598"/>
      <c r="Z803" s="1163">
        <f>Stores!AW173</f>
        <v>3.9</v>
      </c>
      <c r="AA803" s="598"/>
      <c r="AB803" s="1163">
        <f>AVERAGE(Z803,Z799)</f>
        <v>3.8499999999999996</v>
      </c>
      <c r="AC803" s="598"/>
      <c r="AD803" s="1120">
        <f>(AB803/AB796-1)*100</f>
        <v>9.9999999999999858</v>
      </c>
      <c r="AE803" s="1124" t="s">
        <v>190</v>
      </c>
      <c r="AF803" s="1159">
        <f>+H803/AD803*100</f>
        <v>0</v>
      </c>
      <c r="AG803" s="1125" t="s">
        <v>190</v>
      </c>
      <c r="AH803" s="598"/>
      <c r="AI803" s="1160">
        <f>+S803</f>
        <v>0</v>
      </c>
      <c r="AJ803" s="598"/>
      <c r="AK803" s="1164">
        <f>AI803/AB803</f>
        <v>0</v>
      </c>
      <c r="AL803" s="598"/>
      <c r="AM803" s="1176" t="e">
        <f>(AK803/AK796-1)*100</f>
        <v>#DIV/0!</v>
      </c>
      <c r="AN803" s="1124" t="s">
        <v>190</v>
      </c>
      <c r="AP803" s="1193"/>
      <c r="AQ803" s="1193"/>
      <c r="AR803" s="1193"/>
      <c r="AS803" s="1193"/>
      <c r="AT803" s="1193"/>
      <c r="AU803" s="1193"/>
      <c r="AV803" s="1193"/>
      <c r="AW803" s="1193"/>
      <c r="AX803" s="1193"/>
      <c r="AY803" s="1193"/>
      <c r="AZ803" s="1193"/>
      <c r="BA803" s="1193"/>
      <c r="BB803" s="1193"/>
      <c r="BC803" s="1193"/>
      <c r="BD803" s="1193"/>
      <c r="BE803" s="1193"/>
      <c r="BF803" s="1193"/>
      <c r="BG803" s="1193"/>
    </row>
    <row r="804" spans="1:59" hidden="1" outlineLevel="1">
      <c r="A804" s="598" t="s">
        <v>528</v>
      </c>
      <c r="B804" s="1157" t="s">
        <v>515</v>
      </c>
      <c r="C804" s="598"/>
      <c r="D804" s="1120" t="e">
        <f>(S804/S797-1)*100</f>
        <v>#DIV/0!</v>
      </c>
      <c r="E804" s="598"/>
      <c r="F804" s="1179"/>
      <c r="G804" s="598"/>
      <c r="H804" s="1120"/>
      <c r="I804" s="598"/>
      <c r="J804" s="1170">
        <f>Stores!AT174</f>
        <v>154</v>
      </c>
      <c r="K804" s="1127"/>
      <c r="L804" s="1128">
        <f>AVERAGE(J804,J803)</f>
        <v>153</v>
      </c>
      <c r="M804" s="598"/>
      <c r="N804" s="1120">
        <f>(L804/L797-1)*100</f>
        <v>8.8967971530249166</v>
      </c>
      <c r="O804" s="1124"/>
      <c r="P804" s="1159">
        <f>H804/N804*100</f>
        <v>0</v>
      </c>
      <c r="Q804" s="1125"/>
      <c r="R804" s="598"/>
      <c r="S804" s="1165"/>
      <c r="T804" s="598"/>
      <c r="U804" s="1166"/>
      <c r="V804" s="598"/>
      <c r="W804" s="1176" t="e">
        <f>(U804/U797-1)*100</f>
        <v>#DIV/0!</v>
      </c>
      <c r="X804" s="1124"/>
      <c r="Y804" s="598"/>
      <c r="Z804" s="1163">
        <f>Stores!AW174</f>
        <v>3.9</v>
      </c>
      <c r="AA804" s="1127"/>
      <c r="AB804" s="1163">
        <f>AVERAGE(Z804,Z803)</f>
        <v>3.9</v>
      </c>
      <c r="AC804" s="598"/>
      <c r="AD804" s="1120">
        <f>(AB804/AB797-1)*100</f>
        <v>8.333333333333325</v>
      </c>
      <c r="AE804" s="1124"/>
      <c r="AF804" s="1159">
        <f>+H804/AD804*100</f>
        <v>0</v>
      </c>
      <c r="AG804" s="1125"/>
      <c r="AH804" s="598"/>
      <c r="AI804" s="1165">
        <f>+S804</f>
        <v>0</v>
      </c>
      <c r="AJ804" s="598"/>
      <c r="AK804" s="1167">
        <f>AI804/AB804</f>
        <v>0</v>
      </c>
      <c r="AL804" s="598"/>
      <c r="AM804" s="1176" t="e">
        <f>(AK804/AK797-1)*100</f>
        <v>#DIV/0!</v>
      </c>
      <c r="AN804" s="1124"/>
      <c r="AP804" s="1193"/>
      <c r="AQ804" s="1193"/>
      <c r="AR804" s="1193"/>
      <c r="AS804" s="1193"/>
      <c r="AT804" s="1193"/>
      <c r="AU804" s="1193"/>
      <c r="AV804" s="1193"/>
      <c r="AW804" s="1193"/>
      <c r="AX804" s="1193"/>
      <c r="AY804" s="1193"/>
      <c r="AZ804" s="1193"/>
      <c r="BA804" s="1193"/>
      <c r="BB804" s="1193"/>
      <c r="BC804" s="1193"/>
      <c r="BD804" s="1193"/>
      <c r="BE804" s="1193"/>
      <c r="BF804" s="1193"/>
      <c r="BG804" s="1193"/>
    </row>
    <row r="805" spans="1:59" hidden="1" outlineLevel="1">
      <c r="A805" s="598" t="s">
        <v>529</v>
      </c>
      <c r="B805" s="1157" t="s">
        <v>516</v>
      </c>
      <c r="C805" s="598"/>
      <c r="D805" s="1120" t="e">
        <f>(S805/S798-1)*100</f>
        <v>#DIV/0!</v>
      </c>
      <c r="E805" s="598"/>
      <c r="F805" s="1179"/>
      <c r="G805" s="598"/>
      <c r="H805" s="1120"/>
      <c r="I805" s="598"/>
      <c r="J805" s="1170">
        <f>Stores!AT175</f>
        <v>161</v>
      </c>
      <c r="K805" s="1127"/>
      <c r="L805" s="1128">
        <f>AVERAGE(J805,J804)</f>
        <v>157.5</v>
      </c>
      <c r="M805" s="598"/>
      <c r="N805" s="1120">
        <f>(L805/L798-1)*100</f>
        <v>8.9965397923875479</v>
      </c>
      <c r="O805" s="1124"/>
      <c r="P805" s="1159">
        <f>H805/N805*100</f>
        <v>0</v>
      </c>
      <c r="Q805" s="1125"/>
      <c r="R805" s="598"/>
      <c r="S805" s="1165"/>
      <c r="T805" s="598"/>
      <c r="U805" s="1166"/>
      <c r="V805" s="598"/>
      <c r="W805" s="1176" t="e">
        <f>(U805/U798-1)*100</f>
        <v>#DIV/0!</v>
      </c>
      <c r="X805" s="1124"/>
      <c r="Y805" s="598"/>
      <c r="Z805" s="1163">
        <f>Stores!AW175</f>
        <v>4.0999999999999996</v>
      </c>
      <c r="AA805" s="1127"/>
      <c r="AB805" s="1163">
        <f>AVERAGE(Z805,Z804)</f>
        <v>4</v>
      </c>
      <c r="AC805" s="598"/>
      <c r="AD805" s="1120">
        <f>(AB805/AB798-1)*100</f>
        <v>8.108108108108091</v>
      </c>
      <c r="AE805" s="1124"/>
      <c r="AF805" s="1159">
        <f>+H805/AD805*100</f>
        <v>0</v>
      </c>
      <c r="AG805" s="1125"/>
      <c r="AH805" s="598"/>
      <c r="AI805" s="1165">
        <f>+S805</f>
        <v>0</v>
      </c>
      <c r="AJ805" s="598"/>
      <c r="AK805" s="1167">
        <f>AI805/AB805</f>
        <v>0</v>
      </c>
      <c r="AL805" s="598"/>
      <c r="AM805" s="1176" t="e">
        <f>(AK805/AK798-1)*100</f>
        <v>#DIV/0!</v>
      </c>
      <c r="AN805" s="1124"/>
      <c r="AP805" s="1193"/>
      <c r="AQ805" s="1193"/>
      <c r="AR805" s="1193"/>
      <c r="AS805" s="1193"/>
      <c r="AT805" s="1193"/>
      <c r="AU805" s="1193"/>
      <c r="AV805" s="1193"/>
      <c r="AW805" s="1193"/>
      <c r="AX805" s="1193"/>
      <c r="AY805" s="1193"/>
      <c r="AZ805" s="1193"/>
      <c r="BA805" s="1193"/>
      <c r="BB805" s="1193"/>
      <c r="BC805" s="1193"/>
      <c r="BD805" s="1193"/>
      <c r="BE805" s="1193"/>
      <c r="BF805" s="1193"/>
      <c r="BG805" s="1193"/>
    </row>
    <row r="806" spans="1:59" hidden="1" outlineLevel="1">
      <c r="A806" s="598" t="s">
        <v>530</v>
      </c>
      <c r="B806" s="1157" t="s">
        <v>517</v>
      </c>
      <c r="C806" s="598"/>
      <c r="D806" s="1168" t="e">
        <f>(S806/S799-1)*100</f>
        <v>#DIV/0!</v>
      </c>
      <c r="E806" s="598"/>
      <c r="F806" s="1178"/>
      <c r="G806" s="598"/>
      <c r="H806" s="1168"/>
      <c r="I806" s="598"/>
      <c r="J806" s="1170">
        <f>Stores!AT176</f>
        <v>142</v>
      </c>
      <c r="K806" s="1127"/>
      <c r="L806" s="1171">
        <f>AVERAGE(J806,J805)</f>
        <v>151.5</v>
      </c>
      <c r="M806" s="598"/>
      <c r="N806" s="1168">
        <f>(L806/L799-1)*100</f>
        <v>1.6778523489932917</v>
      </c>
      <c r="O806" s="1124"/>
      <c r="P806" s="1171">
        <f>H806/N806*100</f>
        <v>0</v>
      </c>
      <c r="Q806" s="1125"/>
      <c r="R806" s="598"/>
      <c r="S806" s="1172"/>
      <c r="T806" s="598"/>
      <c r="U806" s="1173"/>
      <c r="V806" s="598"/>
      <c r="W806" s="1169" t="e">
        <f>(U806/U799-1)*100</f>
        <v>#DIV/0!</v>
      </c>
      <c r="X806" s="1124"/>
      <c r="Y806" s="598"/>
      <c r="Z806" s="1163">
        <f>Stores!AW176</f>
        <v>3.6</v>
      </c>
      <c r="AA806" s="1127"/>
      <c r="AB806" s="1174">
        <f>AVERAGE(Z806,Z805)</f>
        <v>3.8499999999999996</v>
      </c>
      <c r="AC806" s="598"/>
      <c r="AD806" s="1168">
        <f>(AB806/AB799-1)*100</f>
        <v>1.3157894736842035</v>
      </c>
      <c r="AE806" s="1124"/>
      <c r="AF806" s="1171">
        <f>+H806/AD806*100</f>
        <v>0</v>
      </c>
      <c r="AG806" s="1125"/>
      <c r="AH806" s="598"/>
      <c r="AI806" s="1172">
        <f>+S806</f>
        <v>0</v>
      </c>
      <c r="AJ806" s="598"/>
      <c r="AK806" s="1175">
        <f>AI806/AB806</f>
        <v>0</v>
      </c>
      <c r="AL806" s="598"/>
      <c r="AM806" s="1169" t="e">
        <f>(AK806/AK799-1)*100</f>
        <v>#DIV/0!</v>
      </c>
      <c r="AN806" s="1124"/>
      <c r="AP806" s="1193"/>
      <c r="AQ806" s="1193"/>
      <c r="AR806" s="1193"/>
      <c r="AS806" s="1193"/>
      <c r="AT806" s="1193"/>
      <c r="AU806" s="1193"/>
      <c r="AV806" s="1193"/>
      <c r="AW806" s="1193"/>
      <c r="AX806" s="1193"/>
      <c r="AY806" s="1193"/>
      <c r="AZ806" s="1193"/>
      <c r="BA806" s="1193"/>
      <c r="BB806" s="1193"/>
      <c r="BC806" s="1193"/>
      <c r="BD806" s="1193"/>
      <c r="BE806" s="1193"/>
      <c r="BF806" s="1193"/>
      <c r="BG806" s="1193"/>
    </row>
    <row r="807" spans="1:59" hidden="1" outlineLevel="1">
      <c r="A807" s="598"/>
      <c r="B807" s="1157" t="s">
        <v>531</v>
      </c>
      <c r="C807" s="598"/>
      <c r="D807" s="1120" t="e">
        <f>(S807/S800-1)*100</f>
        <v>#DIV/0!</v>
      </c>
      <c r="E807" s="598"/>
      <c r="F807" s="1179"/>
      <c r="G807" s="598"/>
      <c r="H807" s="1120"/>
      <c r="I807" s="598"/>
      <c r="J807" s="598"/>
      <c r="K807" s="598"/>
      <c r="L807" s="1128">
        <f>AVERAGE(L803:L806)</f>
        <v>153.25</v>
      </c>
      <c r="M807" s="598"/>
      <c r="N807" s="1120">
        <f>(L807/L800-1)*100</f>
        <v>7.2615923009623717</v>
      </c>
      <c r="O807" s="1124"/>
      <c r="P807" s="1159">
        <f>H807/N807*100</f>
        <v>0</v>
      </c>
      <c r="Q807" s="1125"/>
      <c r="R807" s="598"/>
      <c r="S807" s="1160"/>
      <c r="T807" s="598"/>
      <c r="U807" s="1161"/>
      <c r="V807" s="598"/>
      <c r="W807" s="1176" t="e">
        <f>(U807/U800-1)*100</f>
        <v>#DIV/0!</v>
      </c>
      <c r="X807" s="1124"/>
      <c r="Y807" s="598"/>
      <c r="Z807" s="598"/>
      <c r="AA807" s="598"/>
      <c r="AB807" s="1163">
        <f>AVERAGE(AB803:AB806)</f>
        <v>3.9</v>
      </c>
      <c r="AC807" s="598"/>
      <c r="AD807" s="1120">
        <f>(AB807/AB800-1)*100</f>
        <v>6.8493150684931337</v>
      </c>
      <c r="AE807" s="1124"/>
      <c r="AF807" s="1159">
        <f>+H807/AD807*100</f>
        <v>0</v>
      </c>
      <c r="AG807" s="1125"/>
      <c r="AH807" s="598"/>
      <c r="AI807" s="1160">
        <f>SUM(AI803:AI806)</f>
        <v>0</v>
      </c>
      <c r="AJ807" s="598"/>
      <c r="AK807" s="1164">
        <f>SUM(AK803:AK806)</f>
        <v>0</v>
      </c>
      <c r="AL807" s="598"/>
      <c r="AM807" s="1176" t="e">
        <f>(AK807/AK800-1)*100</f>
        <v>#DIV/0!</v>
      </c>
      <c r="AN807" s="1124"/>
      <c r="AP807" s="1193"/>
      <c r="AQ807" s="1193"/>
      <c r="AR807" s="1193"/>
      <c r="AS807" s="1193"/>
      <c r="AT807" s="1193"/>
      <c r="AU807" s="1193"/>
      <c r="AV807" s="1193"/>
      <c r="AW807" s="1193"/>
      <c r="AX807" s="1193"/>
      <c r="AY807" s="1193"/>
      <c r="AZ807" s="1193"/>
      <c r="BA807" s="1193"/>
      <c r="BB807" s="1193"/>
      <c r="BC807" s="1193"/>
      <c r="BD807" s="1193"/>
      <c r="BE807" s="1193"/>
      <c r="BF807" s="1193"/>
      <c r="BG807" s="1193"/>
    </row>
    <row r="808" spans="1:59" hidden="1" outlineLevel="1">
      <c r="A808" s="1125"/>
      <c r="B808" s="1210"/>
      <c r="C808" s="1125"/>
      <c r="D808" s="1125"/>
      <c r="E808" s="1125"/>
      <c r="F808" s="1125"/>
      <c r="G808" s="1125"/>
      <c r="H808" s="1125"/>
      <c r="I808" s="1125"/>
      <c r="J808" s="1125"/>
      <c r="K808" s="1125"/>
      <c r="L808" s="1125"/>
      <c r="M808" s="1125"/>
      <c r="N808" s="1125"/>
      <c r="O808" s="1125"/>
      <c r="P808" s="1125"/>
      <c r="Q808" s="1125"/>
      <c r="R808" s="1125"/>
      <c r="S808" s="1125"/>
      <c r="T808" s="1125"/>
      <c r="U808" s="1125"/>
      <c r="V808" s="1125"/>
      <c r="W808" s="1125"/>
      <c r="X808" s="1125"/>
      <c r="Y808" s="1125"/>
      <c r="Z808" s="1125"/>
      <c r="AA808" s="1125"/>
      <c r="AB808" s="1125"/>
      <c r="AC808" s="1125"/>
      <c r="AD808" s="1125"/>
      <c r="AE808" s="1125"/>
      <c r="AF808" s="1125"/>
      <c r="AG808" s="1125"/>
      <c r="AH808" s="1125"/>
      <c r="AI808" s="1125"/>
      <c r="AJ808" s="1125"/>
      <c r="AK808" s="1125"/>
      <c r="AL808" s="1125"/>
      <c r="AM808" s="1125"/>
      <c r="AN808" s="1125"/>
      <c r="AP808" s="1193"/>
      <c r="AQ808" s="1193"/>
      <c r="AR808" s="1193"/>
      <c r="AS808" s="1193"/>
      <c r="AT808" s="1193"/>
      <c r="AU808" s="1193"/>
      <c r="AV808" s="1193"/>
      <c r="AW808" s="1193"/>
      <c r="AX808" s="1193"/>
      <c r="AY808" s="1193"/>
      <c r="AZ808" s="1193"/>
      <c r="BA808" s="1193"/>
      <c r="BB808" s="1193"/>
      <c r="BC808" s="1193"/>
      <c r="BD808" s="1193"/>
      <c r="BE808" s="1193"/>
      <c r="BF808" s="1193"/>
      <c r="BG808" s="1193"/>
    </row>
    <row r="809" spans="1:59" hidden="1" outlineLevel="1">
      <c r="A809" s="1154"/>
      <c r="B809" s="1186">
        <f>+B802+1</f>
        <v>2011</v>
      </c>
      <c r="C809" s="598"/>
      <c r="D809" s="598"/>
      <c r="E809" s="1124"/>
      <c r="F809" s="598"/>
      <c r="G809" s="1124"/>
      <c r="H809" s="598"/>
      <c r="I809" s="1124"/>
      <c r="J809" s="598"/>
      <c r="K809" s="598"/>
      <c r="L809" s="598"/>
      <c r="M809" s="598"/>
      <c r="N809" s="598"/>
      <c r="O809" s="1124"/>
      <c r="P809" s="1125"/>
      <c r="Q809" s="1125"/>
      <c r="R809" s="598"/>
      <c r="S809" s="598"/>
      <c r="T809" s="598"/>
      <c r="U809" s="598"/>
      <c r="V809" s="598"/>
      <c r="W809" s="598"/>
      <c r="X809" s="1124"/>
      <c r="Y809" s="598"/>
      <c r="Z809" s="598"/>
      <c r="AA809" s="598"/>
      <c r="AB809" s="598"/>
      <c r="AC809" s="598"/>
      <c r="AD809" s="598"/>
      <c r="AE809" s="1124"/>
      <c r="AF809" s="1125"/>
      <c r="AG809" s="1125"/>
      <c r="AH809" s="598"/>
      <c r="AI809" s="598"/>
      <c r="AJ809" s="598"/>
      <c r="AK809" s="598"/>
      <c r="AL809" s="598"/>
      <c r="AM809" s="598"/>
      <c r="AN809" s="1124"/>
      <c r="AP809" s="1193"/>
      <c r="AQ809" s="1193"/>
      <c r="AR809" s="1193"/>
      <c r="AS809" s="1193"/>
      <c r="AT809" s="1193"/>
      <c r="AU809" s="1193"/>
      <c r="AV809" s="1193"/>
      <c r="AW809" s="1193"/>
      <c r="AX809" s="1193"/>
      <c r="AY809" s="1193"/>
      <c r="AZ809" s="1193"/>
      <c r="BA809" s="1193"/>
      <c r="BB809" s="1193"/>
      <c r="BC809" s="1193"/>
      <c r="BD809" s="1193"/>
      <c r="BE809" s="1193"/>
      <c r="BF809" s="1193"/>
      <c r="BG809" s="1193"/>
    </row>
    <row r="810" spans="1:59" hidden="1" outlineLevel="1">
      <c r="A810" s="598" t="s">
        <v>527</v>
      </c>
      <c r="B810" s="1157" t="s">
        <v>514</v>
      </c>
      <c r="C810" s="598"/>
      <c r="D810" s="1120" t="e">
        <f>(S810/S803-1)*100</f>
        <v>#DIV/0!</v>
      </c>
      <c r="E810" s="1124" t="s">
        <v>190</v>
      </c>
      <c r="F810" s="1179"/>
      <c r="G810" s="1124"/>
      <c r="H810" s="1120"/>
      <c r="I810" s="1124"/>
      <c r="J810" s="1170">
        <f>Stores!AT180</f>
        <v>0</v>
      </c>
      <c r="K810" s="598"/>
      <c r="L810" s="1128">
        <f>AVERAGE(J810,J806)</f>
        <v>71</v>
      </c>
      <c r="M810" s="598"/>
      <c r="N810" s="1120">
        <f>(L810/L803-1)*100</f>
        <v>-52.980132450331126</v>
      </c>
      <c r="O810" s="1124" t="s">
        <v>190</v>
      </c>
      <c r="P810" s="1159">
        <f>H810/N810*100</f>
        <v>0</v>
      </c>
      <c r="Q810" s="1125" t="s">
        <v>190</v>
      </c>
      <c r="R810" s="598"/>
      <c r="S810" s="1160"/>
      <c r="T810" s="598"/>
      <c r="U810" s="1161"/>
      <c r="V810" s="598"/>
      <c r="W810" s="1176" t="e">
        <f>(U810/U803-1)*100</f>
        <v>#DIV/0!</v>
      </c>
      <c r="X810" s="1124" t="s">
        <v>190</v>
      </c>
      <c r="Y810" s="598"/>
      <c r="Z810" s="1163">
        <f>Stores!AW180</f>
        <v>0</v>
      </c>
      <c r="AA810" s="598"/>
      <c r="AB810" s="1163">
        <f>AVERAGE(Z810,Z806)</f>
        <v>1.8</v>
      </c>
      <c r="AC810" s="598"/>
      <c r="AD810" s="1120">
        <f>(AB810/AB803-1)*100</f>
        <v>-53.246753246753244</v>
      </c>
      <c r="AE810" s="1124" t="s">
        <v>190</v>
      </c>
      <c r="AF810" s="1159">
        <f>+H810/AD810*100</f>
        <v>0</v>
      </c>
      <c r="AG810" s="1125" t="s">
        <v>190</v>
      </c>
      <c r="AH810" s="598"/>
      <c r="AI810" s="1160">
        <f>+S810</f>
        <v>0</v>
      </c>
      <c r="AJ810" s="598"/>
      <c r="AK810" s="1164">
        <f>AI810/AB810</f>
        <v>0</v>
      </c>
      <c r="AL810" s="598"/>
      <c r="AM810" s="1176" t="e">
        <f>(AK810/AK803-1)*100</f>
        <v>#DIV/0!</v>
      </c>
      <c r="AN810" s="1124" t="s">
        <v>190</v>
      </c>
      <c r="AP810" s="1193"/>
      <c r="AQ810" s="1193"/>
      <c r="AR810" s="1193"/>
      <c r="AS810" s="1193"/>
      <c r="AT810" s="1193"/>
      <c r="AU810" s="1193"/>
      <c r="AV810" s="1193"/>
      <c r="AW810" s="1193"/>
      <c r="AX810" s="1193"/>
      <c r="AY810" s="1193"/>
      <c r="AZ810" s="1193"/>
      <c r="BA810" s="1193"/>
      <c r="BB810" s="1193"/>
      <c r="BC810" s="1193"/>
      <c r="BD810" s="1193"/>
      <c r="BE810" s="1193"/>
      <c r="BF810" s="1193"/>
      <c r="BG810" s="1193"/>
    </row>
    <row r="811" spans="1:59" hidden="1" outlineLevel="1">
      <c r="A811" s="598" t="s">
        <v>528</v>
      </c>
      <c r="B811" s="1157" t="s">
        <v>515</v>
      </c>
      <c r="C811" s="598"/>
      <c r="D811" s="1120">
        <f>F811+H811</f>
        <v>0</v>
      </c>
      <c r="E811" s="598"/>
      <c r="F811" s="1179"/>
      <c r="G811" s="598"/>
      <c r="H811" s="1120"/>
      <c r="I811" s="598"/>
      <c r="J811" s="1170">
        <f>Stores!AT181</f>
        <v>0</v>
      </c>
      <c r="K811" s="1127"/>
      <c r="L811" s="1128">
        <f>AVERAGE(J811,J810)</f>
        <v>0</v>
      </c>
      <c r="M811" s="598"/>
      <c r="N811" s="1120">
        <f>(L811/L804-1)*100</f>
        <v>-100</v>
      </c>
      <c r="O811" s="1124"/>
      <c r="P811" s="1239">
        <v>0</v>
      </c>
      <c r="Q811" s="1125"/>
      <c r="R811" s="598"/>
      <c r="S811" s="1240"/>
      <c r="T811" s="598"/>
      <c r="U811" s="1166"/>
      <c r="V811" s="598"/>
      <c r="W811" s="1176" t="e">
        <f>(U811/U804-1)*100</f>
        <v>#DIV/0!</v>
      </c>
      <c r="X811" s="1124"/>
      <c r="Y811" s="598"/>
      <c r="Z811" s="1163">
        <f>Stores!AW181</f>
        <v>0</v>
      </c>
      <c r="AA811" s="1127"/>
      <c r="AB811" s="1163">
        <f>AVERAGE(Z811,Z810)</f>
        <v>0</v>
      </c>
      <c r="AC811" s="598"/>
      <c r="AD811" s="1120">
        <f>(AB811/AB804-1)*100</f>
        <v>-100</v>
      </c>
      <c r="AE811" s="1124"/>
      <c r="AF811" s="1159">
        <f>+H811/AD811*100</f>
        <v>0</v>
      </c>
      <c r="AG811" s="1125"/>
      <c r="AH811" s="598"/>
      <c r="AI811" s="1165">
        <f>+S811</f>
        <v>0</v>
      </c>
      <c r="AJ811" s="598"/>
      <c r="AK811" s="1167"/>
      <c r="AL811" s="598"/>
      <c r="AM811" s="1176"/>
      <c r="AN811" s="1124"/>
      <c r="AP811" s="1193"/>
      <c r="AQ811" s="1193"/>
      <c r="AR811" s="1193"/>
      <c r="AS811" s="1193"/>
      <c r="AT811" s="1193"/>
      <c r="AU811" s="1193"/>
      <c r="AV811" s="1193"/>
      <c r="AW811" s="1193"/>
      <c r="AX811" s="1193"/>
      <c r="AY811" s="1193"/>
      <c r="AZ811" s="1193"/>
      <c r="BA811" s="1193"/>
      <c r="BB811" s="1193"/>
      <c r="BC811" s="1193"/>
      <c r="BD811" s="1193"/>
      <c r="BE811" s="1193"/>
      <c r="BF811" s="1193"/>
      <c r="BG811" s="1193"/>
    </row>
    <row r="812" spans="1:59" hidden="1" outlineLevel="1">
      <c r="A812" s="598" t="s">
        <v>529</v>
      </c>
      <c r="B812" s="1157" t="s">
        <v>516</v>
      </c>
      <c r="C812" s="598"/>
      <c r="D812" s="1120">
        <f>F812+H812</f>
        <v>0</v>
      </c>
      <c r="E812" s="598"/>
      <c r="F812" s="1179"/>
      <c r="G812" s="598"/>
      <c r="H812" s="1120"/>
      <c r="I812" s="598"/>
      <c r="J812" s="1170">
        <f>Stores!AT182</f>
        <v>0</v>
      </c>
      <c r="K812" s="1127"/>
      <c r="L812" s="1128">
        <f>AVERAGE(J812,J811)</f>
        <v>0</v>
      </c>
      <c r="M812" s="598"/>
      <c r="N812" s="1120">
        <f>(L812/L805-1)*100</f>
        <v>-100</v>
      </c>
      <c r="O812" s="1124"/>
      <c r="P812" s="1239">
        <v>0</v>
      </c>
      <c r="Q812" s="1125"/>
      <c r="R812" s="598"/>
      <c r="S812" s="1240"/>
      <c r="T812" s="598"/>
      <c r="U812" s="1166"/>
      <c r="V812" s="598"/>
      <c r="W812" s="1176" t="e">
        <f>(U812/U805-1)*100</f>
        <v>#DIV/0!</v>
      </c>
      <c r="X812" s="1124"/>
      <c r="Y812" s="598"/>
      <c r="Z812" s="1163">
        <f>Stores!AW182</f>
        <v>0</v>
      </c>
      <c r="AA812" s="1127"/>
      <c r="AB812" s="1163">
        <f>AVERAGE(Z812,Z811)</f>
        <v>0</v>
      </c>
      <c r="AC812" s="598"/>
      <c r="AD812" s="1120">
        <f>(AB812/AB805-1)*100</f>
        <v>-100</v>
      </c>
      <c r="AE812" s="1124"/>
      <c r="AF812" s="1159">
        <f>+H812/AD812*100</f>
        <v>0</v>
      </c>
      <c r="AG812" s="1125"/>
      <c r="AH812" s="598"/>
      <c r="AI812" s="1165">
        <f>+S812</f>
        <v>0</v>
      </c>
      <c r="AJ812" s="598"/>
      <c r="AK812" s="1167"/>
      <c r="AL812" s="598"/>
      <c r="AM812" s="1176"/>
      <c r="AN812" s="1124"/>
      <c r="AP812" s="1193"/>
      <c r="AQ812" s="1193"/>
      <c r="AR812" s="1193"/>
      <c r="AS812" s="1193"/>
      <c r="AT812" s="1193"/>
      <c r="AU812" s="1193"/>
      <c r="AV812" s="1193"/>
      <c r="AW812" s="1193"/>
      <c r="AX812" s="1193"/>
      <c r="AY812" s="1193"/>
      <c r="AZ812" s="1193"/>
      <c r="BA812" s="1193"/>
      <c r="BB812" s="1193"/>
      <c r="BC812" s="1193"/>
      <c r="BD812" s="1193"/>
      <c r="BE812" s="1193"/>
      <c r="BF812" s="1193"/>
      <c r="BG812" s="1193"/>
    </row>
    <row r="813" spans="1:59" hidden="1" outlineLevel="1">
      <c r="A813" s="598" t="s">
        <v>530</v>
      </c>
      <c r="B813" s="1157" t="s">
        <v>517</v>
      </c>
      <c r="C813" s="598"/>
      <c r="D813" s="1168">
        <f>F813+H813</f>
        <v>0</v>
      </c>
      <c r="E813" s="598"/>
      <c r="F813" s="1178"/>
      <c r="G813" s="598"/>
      <c r="H813" s="1168"/>
      <c r="I813" s="598"/>
      <c r="J813" s="1170">
        <f>Stores!AT183</f>
        <v>0</v>
      </c>
      <c r="K813" s="1127"/>
      <c r="L813" s="1171">
        <f>AVERAGE(J813,J812)</f>
        <v>0</v>
      </c>
      <c r="M813" s="598"/>
      <c r="N813" s="1168">
        <f>(L813/L806-1)*100</f>
        <v>-100</v>
      </c>
      <c r="O813" s="1124"/>
      <c r="P813" s="1241">
        <v>0</v>
      </c>
      <c r="Q813" s="1125"/>
      <c r="R813" s="598"/>
      <c r="S813" s="1242"/>
      <c r="T813" s="598"/>
      <c r="U813" s="1173"/>
      <c r="V813" s="598"/>
      <c r="W813" s="1169" t="e">
        <f>(U813/U806-1)*100</f>
        <v>#DIV/0!</v>
      </c>
      <c r="X813" s="1124"/>
      <c r="Y813" s="598"/>
      <c r="Z813" s="1163">
        <f>Stores!AW183</f>
        <v>0</v>
      </c>
      <c r="AA813" s="1127"/>
      <c r="AB813" s="1174">
        <f>AVERAGE(Z813,Z812)</f>
        <v>0</v>
      </c>
      <c r="AC813" s="598"/>
      <c r="AD813" s="1168">
        <f>(AB813/AB806-1)*100</f>
        <v>-100</v>
      </c>
      <c r="AE813" s="1124"/>
      <c r="AF813" s="1171">
        <f>+H813/AD813*100</f>
        <v>0</v>
      </c>
      <c r="AG813" s="1125"/>
      <c r="AH813" s="598"/>
      <c r="AI813" s="1172">
        <f>+S813</f>
        <v>0</v>
      </c>
      <c r="AJ813" s="598"/>
      <c r="AK813" s="1175"/>
      <c r="AL813" s="598"/>
      <c r="AM813" s="1169"/>
      <c r="AN813" s="1124"/>
      <c r="AP813" s="1193"/>
      <c r="AQ813" s="1193"/>
      <c r="AR813" s="1193"/>
      <c r="AS813" s="1193"/>
      <c r="AT813" s="1193"/>
      <c r="AU813" s="1193"/>
      <c r="AV813" s="1193"/>
      <c r="AW813" s="1193"/>
      <c r="AX813" s="1193"/>
      <c r="AY813" s="1193"/>
      <c r="AZ813" s="1193"/>
      <c r="BA813" s="1193"/>
      <c r="BB813" s="1193"/>
      <c r="BC813" s="1193"/>
      <c r="BD813" s="1193"/>
      <c r="BE813" s="1193"/>
      <c r="BF813" s="1193"/>
      <c r="BG813" s="1193"/>
    </row>
    <row r="814" spans="1:59" hidden="1" outlineLevel="1">
      <c r="A814" s="598"/>
      <c r="B814" s="1157" t="s">
        <v>531</v>
      </c>
      <c r="C814" s="598"/>
      <c r="D814" s="1120" t="e">
        <f>(S814/S807-1)*100</f>
        <v>#DIV/0!</v>
      </c>
      <c r="E814" s="598"/>
      <c r="F814" s="1179"/>
      <c r="G814" s="598"/>
      <c r="H814" s="1120"/>
      <c r="I814" s="598"/>
      <c r="J814" s="598"/>
      <c r="K814" s="598"/>
      <c r="L814" s="1128">
        <f>AVERAGE(L810:L813)</f>
        <v>17.75</v>
      </c>
      <c r="M814" s="598"/>
      <c r="N814" s="1120">
        <f>(L814/L807-1)*100</f>
        <v>-88.417618270799352</v>
      </c>
      <c r="O814" s="1124"/>
      <c r="P814" s="1159">
        <f>H814/N814*100</f>
        <v>0</v>
      </c>
      <c r="Q814" s="1125"/>
      <c r="R814" s="598"/>
      <c r="S814" s="1160"/>
      <c r="T814" s="598"/>
      <c r="U814" s="1161"/>
      <c r="V814" s="598"/>
      <c r="W814" s="1176" t="e">
        <f>(U814/U807-1)*100</f>
        <v>#DIV/0!</v>
      </c>
      <c r="X814" s="1124"/>
      <c r="Y814" s="598"/>
      <c r="Z814" s="598"/>
      <c r="AA814" s="598"/>
      <c r="AB814" s="1163">
        <f>AVERAGE(AB810:AB813)</f>
        <v>0.45</v>
      </c>
      <c r="AC814" s="598"/>
      <c r="AD814" s="1120">
        <f>(AB814/AB807-1)*100</f>
        <v>-88.461538461538453</v>
      </c>
      <c r="AE814" s="1124"/>
      <c r="AF814" s="1159">
        <f>+H814/AD814*100</f>
        <v>0</v>
      </c>
      <c r="AG814" s="1125"/>
      <c r="AH814" s="598"/>
      <c r="AI814" s="1160">
        <f>SUM(AI810:AI813)</f>
        <v>0</v>
      </c>
      <c r="AJ814" s="598"/>
      <c r="AK814" s="1164"/>
      <c r="AL814" s="598"/>
      <c r="AM814" s="1176"/>
      <c r="AN814" s="1124"/>
      <c r="AP814" s="1193"/>
      <c r="AQ814" s="1193"/>
      <c r="AR814" s="1193"/>
      <c r="AS814" s="1193"/>
      <c r="AT814" s="1193"/>
      <c r="AU814" s="1193"/>
      <c r="AV814" s="1193"/>
      <c r="AW814" s="1193"/>
      <c r="AX814" s="1193"/>
      <c r="AY814" s="1193"/>
      <c r="AZ814" s="1193"/>
      <c r="BA814" s="1193"/>
      <c r="BB814" s="1193"/>
      <c r="BC814" s="1193"/>
      <c r="BD814" s="1193"/>
      <c r="BE814" s="1193"/>
      <c r="BF814" s="1193"/>
      <c r="BG814" s="1193"/>
    </row>
    <row r="815" spans="1:59" hidden="1" outlineLevel="1">
      <c r="A815" s="1125"/>
      <c r="B815" s="1210"/>
      <c r="C815" s="1125"/>
      <c r="D815" s="1125"/>
      <c r="E815" s="1125"/>
      <c r="F815" s="1125"/>
      <c r="G815" s="1125"/>
      <c r="H815" s="1125"/>
      <c r="I815" s="1125"/>
      <c r="J815" s="1125"/>
      <c r="K815" s="1125"/>
      <c r="L815" s="1125"/>
      <c r="M815" s="1125"/>
      <c r="N815" s="1125"/>
      <c r="O815" s="1125"/>
      <c r="P815" s="1125"/>
      <c r="Q815" s="1125"/>
      <c r="R815" s="1125"/>
      <c r="S815" s="1125"/>
      <c r="T815" s="1125"/>
      <c r="U815" s="1125"/>
      <c r="V815" s="1125"/>
      <c r="W815" s="1125"/>
      <c r="X815" s="1125"/>
      <c r="Y815" s="1125"/>
      <c r="Z815" s="1125"/>
      <c r="AA815" s="1125"/>
      <c r="AB815" s="1125"/>
      <c r="AC815" s="1125"/>
      <c r="AD815" s="1125"/>
      <c r="AE815" s="1125"/>
      <c r="AF815" s="1125"/>
      <c r="AG815" s="1125"/>
      <c r="AH815" s="1125"/>
      <c r="AI815" s="1125"/>
      <c r="AJ815" s="1125"/>
      <c r="AK815" s="1125"/>
      <c r="AL815" s="1125"/>
      <c r="AM815" s="1125"/>
      <c r="AN815" s="1125"/>
      <c r="AP815" s="1193"/>
      <c r="AQ815" s="1193"/>
      <c r="AR815" s="1193"/>
      <c r="AS815" s="1193"/>
      <c r="AT815" s="1193"/>
      <c r="AU815" s="1193"/>
      <c r="AV815" s="1193"/>
      <c r="AW815" s="1193"/>
      <c r="AX815" s="1193"/>
      <c r="AY815" s="1193"/>
      <c r="AZ815" s="1193"/>
      <c r="BA815" s="1193"/>
      <c r="BB815" s="1193"/>
      <c r="BC815" s="1193"/>
      <c r="BD815" s="1193"/>
      <c r="BE815" s="1193"/>
      <c r="BF815" s="1193"/>
      <c r="BG815" s="1193"/>
    </row>
    <row r="816" spans="1:59" hidden="1" outlineLevel="1">
      <c r="A816" s="1122" t="s">
        <v>352</v>
      </c>
      <c r="B816" s="1147"/>
      <c r="C816" s="1122"/>
      <c r="D816" s="1122"/>
      <c r="E816" s="1148"/>
      <c r="F816" s="1122"/>
      <c r="G816" s="1122"/>
      <c r="H816" s="1122"/>
      <c r="I816" s="1148"/>
      <c r="J816" s="1243"/>
      <c r="K816" s="1149"/>
      <c r="L816" s="1149"/>
      <c r="M816" s="1150"/>
      <c r="N816" s="1149"/>
      <c r="O816" s="1148"/>
      <c r="P816" s="1149"/>
      <c r="Q816" s="1149"/>
      <c r="R816" s="1150"/>
      <c r="S816" s="1149"/>
      <c r="T816" s="1149"/>
      <c r="U816" s="1150"/>
      <c r="V816" s="1150"/>
      <c r="W816" s="1149"/>
      <c r="X816" s="1151"/>
      <c r="Y816" s="1149"/>
      <c r="Z816" s="1149"/>
      <c r="AA816" s="1149"/>
      <c r="AB816" s="1149"/>
      <c r="AC816" s="1150"/>
      <c r="AD816" s="1149"/>
      <c r="AE816" s="1150"/>
      <c r="AF816" s="1149"/>
      <c r="AG816" s="1149"/>
      <c r="AH816" s="1150"/>
      <c r="AI816" s="1149"/>
      <c r="AJ816" s="1149"/>
      <c r="AK816" s="1150"/>
      <c r="AL816" s="1150"/>
      <c r="AM816" s="1149"/>
      <c r="AN816" s="1151"/>
      <c r="AP816" s="1193"/>
      <c r="AQ816" s="1193"/>
      <c r="AR816" s="1193"/>
      <c r="AS816" s="1193"/>
      <c r="AT816" s="1193"/>
      <c r="AU816" s="1193"/>
      <c r="AV816" s="1193"/>
      <c r="AW816" s="1193"/>
      <c r="AX816" s="1193"/>
      <c r="AY816" s="1193"/>
      <c r="AZ816" s="1193"/>
      <c r="BA816" s="1193"/>
      <c r="BB816" s="1193"/>
      <c r="BC816" s="1193"/>
      <c r="BD816" s="1193"/>
      <c r="BE816" s="1193"/>
      <c r="BF816" s="1193"/>
      <c r="BG816" s="1193"/>
    </row>
    <row r="817" spans="1:59" hidden="1" outlineLevel="1">
      <c r="A817" s="1133" t="str">
        <f>$A$9</f>
        <v>Analysis of Space Productivity, 1999A-2017E</v>
      </c>
      <c r="B817" s="1152"/>
      <c r="C817" s="1133"/>
      <c r="D817" s="1133"/>
      <c r="E817" s="1153"/>
      <c r="F817" s="1133"/>
      <c r="G817" s="1133"/>
      <c r="H817" s="1133"/>
      <c r="I817" s="1153"/>
      <c r="J817" s="1133"/>
      <c r="K817" s="1133"/>
      <c r="L817" s="1133"/>
      <c r="M817" s="1153"/>
      <c r="N817" s="1133"/>
      <c r="O817" s="1153"/>
      <c r="P817" s="1133"/>
      <c r="Q817" s="1133"/>
      <c r="R817" s="1153"/>
      <c r="S817" s="1133"/>
      <c r="T817" s="1133"/>
      <c r="U817" s="1153"/>
      <c r="V817" s="1153"/>
      <c r="W817" s="1133"/>
      <c r="X817" s="1134"/>
      <c r="Y817" s="1133"/>
      <c r="Z817" s="1133"/>
      <c r="AA817" s="1133"/>
      <c r="AB817" s="1133"/>
      <c r="AC817" s="1153"/>
      <c r="AD817" s="1133"/>
      <c r="AE817" s="1153"/>
      <c r="AF817" s="1133"/>
      <c r="AG817" s="1133"/>
      <c r="AH817" s="1153"/>
      <c r="AI817" s="1133"/>
      <c r="AJ817" s="1133"/>
      <c r="AK817" s="1153"/>
      <c r="AL817" s="1153"/>
      <c r="AM817" s="1133"/>
      <c r="AN817" s="1151"/>
      <c r="AP817" s="1193"/>
      <c r="AQ817" s="1193"/>
      <c r="AR817" s="1193"/>
      <c r="AS817" s="1193"/>
      <c r="AT817" s="1193"/>
      <c r="AU817" s="1193"/>
      <c r="AV817" s="1193"/>
      <c r="AW817" s="1193"/>
      <c r="AX817" s="1193"/>
      <c r="AY817" s="1193"/>
      <c r="AZ817" s="1193"/>
      <c r="BA817" s="1193"/>
      <c r="BB817" s="1193"/>
      <c r="BC817" s="1193"/>
      <c r="BD817" s="1193"/>
      <c r="BE817" s="1193"/>
      <c r="BF817" s="1193"/>
      <c r="BG817" s="1193"/>
    </row>
    <row r="818" spans="1:59" hidden="1" outlineLevel="1">
      <c r="A818" s="598"/>
      <c r="B818" s="1157"/>
      <c r="C818" s="598"/>
      <c r="D818" s="598"/>
      <c r="E818" s="598"/>
      <c r="F818" s="598"/>
      <c r="G818" s="598"/>
      <c r="H818" s="598"/>
      <c r="I818" s="598"/>
      <c r="J818" s="598"/>
      <c r="K818" s="598"/>
      <c r="L818" s="598"/>
      <c r="M818" s="598"/>
      <c r="N818" s="598"/>
      <c r="O818" s="598"/>
      <c r="P818" s="598"/>
      <c r="Q818" s="598"/>
      <c r="R818" s="598"/>
      <c r="S818" s="598"/>
      <c r="T818" s="598"/>
      <c r="U818" s="598"/>
      <c r="V818" s="598"/>
      <c r="W818" s="598"/>
      <c r="X818" s="1124"/>
      <c r="Y818" s="598"/>
      <c r="Z818" s="598"/>
      <c r="AA818" s="598"/>
      <c r="AB818" s="598"/>
      <c r="AC818" s="598"/>
      <c r="AD818" s="598"/>
      <c r="AE818" s="598"/>
      <c r="AF818" s="598"/>
      <c r="AG818" s="598"/>
      <c r="AH818" s="598"/>
      <c r="AI818" s="598"/>
      <c r="AJ818" s="598"/>
      <c r="AK818" s="598"/>
      <c r="AL818" s="598"/>
      <c r="AM818" s="598"/>
      <c r="AN818" s="1124"/>
      <c r="AP818" s="1193"/>
      <c r="AQ818" s="1193"/>
      <c r="AR818" s="1193"/>
      <c r="AS818" s="1193"/>
      <c r="AT818" s="1193"/>
      <c r="AU818" s="1193"/>
      <c r="AV818" s="1193"/>
      <c r="AW818" s="1193"/>
      <c r="AX818" s="1193"/>
      <c r="AY818" s="1193"/>
      <c r="AZ818" s="1193"/>
      <c r="BA818" s="1193"/>
      <c r="BB818" s="1193"/>
      <c r="BC818" s="1193"/>
      <c r="BD818" s="1193"/>
      <c r="BE818" s="1193"/>
      <c r="BF818" s="1193"/>
      <c r="BG818" s="1193"/>
    </row>
    <row r="819" spans="1:59" hidden="1" outlineLevel="1">
      <c r="A819" s="598"/>
      <c r="B819" s="1157"/>
      <c r="C819" s="598"/>
      <c r="D819" s="598"/>
      <c r="E819" s="598"/>
      <c r="F819" s="598"/>
      <c r="G819" s="598"/>
      <c r="H819" s="598"/>
      <c r="I819" s="598"/>
      <c r="J819" s="1130" t="s">
        <v>343</v>
      </c>
      <c r="K819" s="1131"/>
      <c r="L819" s="1131"/>
      <c r="M819" s="1131"/>
      <c r="N819" s="1131"/>
      <c r="O819" s="1131"/>
      <c r="P819" s="1131"/>
      <c r="Q819" s="1131"/>
      <c r="R819" s="1131"/>
      <c r="S819" s="1131"/>
      <c r="T819" s="1131"/>
      <c r="U819" s="1131"/>
      <c r="V819" s="1131"/>
      <c r="W819" s="1131"/>
      <c r="X819" s="1132"/>
      <c r="Y819" s="598"/>
      <c r="Z819" s="1130" t="s">
        <v>344</v>
      </c>
      <c r="AA819" s="1131"/>
      <c r="AB819" s="1131"/>
      <c r="AC819" s="1131"/>
      <c r="AD819" s="1131"/>
      <c r="AE819" s="1131"/>
      <c r="AF819" s="1131"/>
      <c r="AG819" s="1131"/>
      <c r="AH819" s="1131"/>
      <c r="AI819" s="1131"/>
      <c r="AJ819" s="1131"/>
      <c r="AK819" s="1131"/>
      <c r="AL819" s="1131"/>
      <c r="AM819" s="1131"/>
      <c r="AN819" s="1132"/>
      <c r="AP819" s="1193"/>
      <c r="AQ819" s="1193"/>
      <c r="AR819" s="1193"/>
      <c r="AS819" s="1193"/>
      <c r="AT819" s="1193"/>
      <c r="AU819" s="1193"/>
      <c r="AV819" s="1193"/>
      <c r="AW819" s="1193"/>
      <c r="AX819" s="1193"/>
      <c r="AY819" s="1193"/>
      <c r="AZ819" s="1193"/>
      <c r="BA819" s="1193"/>
      <c r="BB819" s="1193"/>
      <c r="BC819" s="1193"/>
      <c r="BD819" s="1193"/>
      <c r="BE819" s="1193"/>
      <c r="BF819" s="1193"/>
      <c r="BG819" s="1193"/>
    </row>
    <row r="820" spans="1:59" hidden="1" outlineLevel="1">
      <c r="A820" s="598"/>
      <c r="B820" s="1157"/>
      <c r="C820" s="598"/>
      <c r="D820" s="1133"/>
      <c r="E820" s="1134" t="s">
        <v>556</v>
      </c>
      <c r="F820" s="1133"/>
      <c r="G820" s="598"/>
      <c r="H820" s="1121"/>
      <c r="I820" s="598"/>
      <c r="J820" s="598"/>
      <c r="K820" s="598"/>
      <c r="L820" s="598"/>
      <c r="M820" s="598"/>
      <c r="N820" s="598"/>
      <c r="O820" s="598"/>
      <c r="P820" s="1135" t="s">
        <v>36</v>
      </c>
      <c r="Q820" s="1135"/>
      <c r="R820" s="598"/>
      <c r="S820" s="1136"/>
      <c r="T820" s="1136"/>
      <c r="U820" s="1133"/>
      <c r="V820" s="1136"/>
      <c r="W820" s="1136"/>
      <c r="X820" s="1124"/>
      <c r="Y820" s="598"/>
      <c r="Z820" s="598"/>
      <c r="AA820" s="598"/>
      <c r="AB820" s="598"/>
      <c r="AC820" s="598"/>
      <c r="AD820" s="598"/>
      <c r="AE820" s="598"/>
      <c r="AF820" s="1135" t="s">
        <v>36</v>
      </c>
      <c r="AG820" s="1135"/>
      <c r="AH820" s="598"/>
      <c r="AI820" s="1136"/>
      <c r="AJ820" s="1136"/>
      <c r="AK820" s="1134" t="s">
        <v>341</v>
      </c>
      <c r="AL820" s="1136"/>
      <c r="AM820" s="1136"/>
      <c r="AN820" s="1124"/>
      <c r="AP820" s="1193"/>
      <c r="AQ820" s="1193"/>
      <c r="AR820" s="1193"/>
      <c r="AS820" s="1193"/>
      <c r="AT820" s="1193"/>
      <c r="AU820" s="1193"/>
      <c r="AV820" s="1193"/>
      <c r="AW820" s="1193"/>
      <c r="AX820" s="1193"/>
      <c r="AY820" s="1193"/>
      <c r="AZ820" s="1193"/>
      <c r="BA820" s="1193"/>
      <c r="BB820" s="1193"/>
      <c r="BC820" s="1193"/>
      <c r="BD820" s="1193"/>
      <c r="BE820" s="1193"/>
      <c r="BF820" s="1193"/>
      <c r="BG820" s="1193"/>
    </row>
    <row r="821" spans="1:59" hidden="1" outlineLevel="1">
      <c r="A821" s="598"/>
      <c r="B821" s="1157"/>
      <c r="C821" s="598"/>
      <c r="D821" s="1121"/>
      <c r="E821" s="1121"/>
      <c r="F821" s="1121"/>
      <c r="G821" s="1121"/>
      <c r="H821" s="1134"/>
      <c r="I821" s="598"/>
      <c r="J821" s="1134"/>
      <c r="K821" s="1134" t="s">
        <v>31</v>
      </c>
      <c r="L821" s="1134"/>
      <c r="M821" s="1121"/>
      <c r="N821" s="1121" t="s">
        <v>34</v>
      </c>
      <c r="O821" s="598"/>
      <c r="P821" s="1135" t="s">
        <v>37</v>
      </c>
      <c r="Q821" s="1135"/>
      <c r="R821" s="598"/>
      <c r="S821" s="598"/>
      <c r="T821" s="598"/>
      <c r="U821" s="1121"/>
      <c r="V821" s="598"/>
      <c r="W821" s="1121" t="s">
        <v>43</v>
      </c>
      <c r="X821" s="1124"/>
      <c r="Y821" s="598"/>
      <c r="Z821" s="1134"/>
      <c r="AA821" s="1134" t="s">
        <v>433</v>
      </c>
      <c r="AB821" s="1134"/>
      <c r="AC821" s="1121"/>
      <c r="AD821" s="1121" t="s">
        <v>34</v>
      </c>
      <c r="AE821" s="598"/>
      <c r="AF821" s="1135" t="s">
        <v>37</v>
      </c>
      <c r="AG821" s="1135"/>
      <c r="AH821" s="598"/>
      <c r="AI821" s="598"/>
      <c r="AJ821" s="598"/>
      <c r="AK821" s="1121" t="s">
        <v>41</v>
      </c>
      <c r="AL821" s="598"/>
      <c r="AM821" s="1121" t="s">
        <v>43</v>
      </c>
      <c r="AN821" s="1124"/>
      <c r="AP821" s="1193"/>
      <c r="AQ821" s="1193"/>
      <c r="AR821" s="1193"/>
      <c r="AS821" s="1193"/>
      <c r="AT821" s="1193"/>
      <c r="AU821" s="1193"/>
      <c r="AV821" s="1193"/>
      <c r="AW821" s="1193"/>
      <c r="AX821" s="1193"/>
      <c r="AY821" s="1193"/>
      <c r="AZ821" s="1193"/>
      <c r="BA821" s="1193"/>
      <c r="BB821" s="1193"/>
      <c r="BC821" s="1193"/>
      <c r="BD821" s="1193"/>
      <c r="BE821" s="1193"/>
      <c r="BF821" s="1193"/>
      <c r="BG821" s="1193"/>
    </row>
    <row r="822" spans="1:59" hidden="1" outlineLevel="1">
      <c r="A822" s="598"/>
      <c r="B822" s="1157"/>
      <c r="C822" s="598"/>
      <c r="D822" s="1134" t="s">
        <v>610</v>
      </c>
      <c r="E822" s="1121"/>
      <c r="F822" s="1134"/>
      <c r="G822" s="1121"/>
      <c r="H822" s="1121"/>
      <c r="I822" s="598"/>
      <c r="J822" s="1134" t="s">
        <v>610</v>
      </c>
      <c r="K822" s="1121"/>
      <c r="L822" s="1134" t="s">
        <v>594</v>
      </c>
      <c r="M822" s="1121"/>
      <c r="N822" s="1134" t="s">
        <v>190</v>
      </c>
      <c r="O822" s="598"/>
      <c r="P822" s="1139" t="s">
        <v>38</v>
      </c>
      <c r="Q822" s="1139"/>
      <c r="R822" s="598"/>
      <c r="S822" s="1134"/>
      <c r="T822" s="598"/>
      <c r="U822" s="1134"/>
      <c r="V822" s="598"/>
      <c r="W822" s="1134" t="s">
        <v>597</v>
      </c>
      <c r="X822" s="1124"/>
      <c r="Y822" s="598"/>
      <c r="Z822" s="1134" t="s">
        <v>610</v>
      </c>
      <c r="AA822" s="1121"/>
      <c r="AB822" s="1134" t="s">
        <v>594</v>
      </c>
      <c r="AC822" s="1121"/>
      <c r="AD822" s="1134" t="s">
        <v>190</v>
      </c>
      <c r="AE822" s="598"/>
      <c r="AF822" s="1139" t="s">
        <v>339</v>
      </c>
      <c r="AG822" s="1139"/>
      <c r="AH822" s="598"/>
      <c r="AI822" s="1134" t="s">
        <v>610</v>
      </c>
      <c r="AJ822" s="598"/>
      <c r="AK822" s="1134" t="s">
        <v>334</v>
      </c>
      <c r="AL822" s="598"/>
      <c r="AM822" s="1134" t="s">
        <v>597</v>
      </c>
      <c r="AN822" s="1124"/>
      <c r="AP822" s="1193"/>
      <c r="AQ822" s="1193"/>
      <c r="AR822" s="1193"/>
      <c r="AS822" s="1193"/>
      <c r="AT822" s="1193"/>
      <c r="AU822" s="1193"/>
      <c r="AV822" s="1193"/>
      <c r="AW822" s="1193"/>
      <c r="AX822" s="1193"/>
      <c r="AY822" s="1193"/>
      <c r="AZ822" s="1193"/>
      <c r="BA822" s="1193"/>
      <c r="BB822" s="1193"/>
      <c r="BC822" s="1193"/>
      <c r="BD822" s="1193"/>
      <c r="BE822" s="1193"/>
      <c r="BF822" s="1193"/>
      <c r="BG822" s="1193"/>
    </row>
    <row r="823" spans="1:59" hidden="1" outlineLevel="1">
      <c r="A823" s="598"/>
      <c r="B823" s="1157"/>
      <c r="C823" s="598"/>
      <c r="D823" s="1141" t="s">
        <v>29</v>
      </c>
      <c r="E823" s="1121"/>
      <c r="F823" s="1141"/>
      <c r="G823" s="1121"/>
      <c r="H823" s="1141"/>
      <c r="I823" s="598"/>
      <c r="J823" s="1141" t="s">
        <v>32</v>
      </c>
      <c r="K823" s="1121"/>
      <c r="L823" s="1141" t="s">
        <v>33</v>
      </c>
      <c r="M823" s="1121"/>
      <c r="N823" s="1141" t="s">
        <v>35</v>
      </c>
      <c r="O823" s="598"/>
      <c r="P823" s="1142" t="s">
        <v>39</v>
      </c>
      <c r="Q823" s="1142"/>
      <c r="R823" s="598"/>
      <c r="S823" s="1141"/>
      <c r="T823" s="598"/>
      <c r="U823" s="1141"/>
      <c r="V823" s="598"/>
      <c r="W823" s="1141" t="s">
        <v>44</v>
      </c>
      <c r="X823" s="1124"/>
      <c r="Y823" s="598"/>
      <c r="Z823" s="1141" t="s">
        <v>331</v>
      </c>
      <c r="AA823" s="1121"/>
      <c r="AB823" s="1141" t="s">
        <v>332</v>
      </c>
      <c r="AC823" s="1121"/>
      <c r="AD823" s="1141" t="s">
        <v>333</v>
      </c>
      <c r="AE823" s="598"/>
      <c r="AF823" s="1142" t="s">
        <v>335</v>
      </c>
      <c r="AG823" s="1142"/>
      <c r="AH823" s="598"/>
      <c r="AI823" s="1141" t="s">
        <v>336</v>
      </c>
      <c r="AJ823" s="598"/>
      <c r="AK823" s="1141" t="s">
        <v>337</v>
      </c>
      <c r="AL823" s="598"/>
      <c r="AM823" s="1141" t="s">
        <v>338</v>
      </c>
      <c r="AN823" s="1124"/>
      <c r="AP823" s="1193"/>
      <c r="AQ823" s="1193"/>
      <c r="AR823" s="1193"/>
      <c r="AS823" s="1193"/>
      <c r="AT823" s="1193"/>
      <c r="AU823" s="1193"/>
      <c r="AV823" s="1193"/>
      <c r="AW823" s="1193"/>
      <c r="AX823" s="1193"/>
      <c r="AY823" s="1193"/>
      <c r="AZ823" s="1193"/>
      <c r="BA823" s="1193"/>
      <c r="BB823" s="1193"/>
      <c r="BC823" s="1193"/>
      <c r="BD823" s="1193"/>
      <c r="BE823" s="1193"/>
      <c r="BF823" s="1193"/>
      <c r="BG823" s="1193"/>
    </row>
    <row r="824" spans="1:59" hidden="1" outlineLevel="1">
      <c r="A824" s="598"/>
      <c r="B824" s="1157"/>
      <c r="C824" s="598"/>
      <c r="D824" s="598"/>
      <c r="E824" s="598"/>
      <c r="F824" s="598"/>
      <c r="G824" s="598"/>
      <c r="H824" s="598"/>
      <c r="I824" s="598"/>
      <c r="J824" s="598"/>
      <c r="K824" s="598"/>
      <c r="L824" s="598"/>
      <c r="M824" s="598"/>
      <c r="N824" s="598"/>
      <c r="O824" s="598"/>
      <c r="P824" s="1125"/>
      <c r="Q824" s="1125"/>
      <c r="R824" s="598"/>
      <c r="S824" s="598"/>
      <c r="T824" s="598"/>
      <c r="U824" s="598"/>
      <c r="V824" s="598"/>
      <c r="W824" s="598"/>
      <c r="X824" s="1124"/>
      <c r="Y824" s="598"/>
      <c r="Z824" s="598"/>
      <c r="AA824" s="598"/>
      <c r="AB824" s="598"/>
      <c r="AC824" s="598"/>
      <c r="AD824" s="598"/>
      <c r="AE824" s="598"/>
      <c r="AF824" s="1125"/>
      <c r="AG824" s="1125"/>
      <c r="AH824" s="598"/>
      <c r="AI824" s="598"/>
      <c r="AJ824" s="598"/>
      <c r="AK824" s="598"/>
      <c r="AL824" s="598"/>
      <c r="AM824" s="598"/>
      <c r="AN824" s="1124"/>
      <c r="AP824" s="1193"/>
      <c r="AQ824" s="1193"/>
      <c r="AR824" s="1193"/>
      <c r="AS824" s="1193"/>
      <c r="AT824" s="1193"/>
      <c r="AU824" s="1193"/>
      <c r="AV824" s="1193"/>
      <c r="AW824" s="1193"/>
      <c r="AX824" s="1193"/>
      <c r="AY824" s="1193"/>
      <c r="AZ824" s="1193"/>
      <c r="BA824" s="1193"/>
      <c r="BB824" s="1193"/>
      <c r="BC824" s="1193"/>
      <c r="BD824" s="1193"/>
      <c r="BE824" s="1193"/>
      <c r="BF824" s="1193"/>
      <c r="BG824" s="1193"/>
    </row>
    <row r="825" spans="1:59" hidden="1" outlineLevel="2">
      <c r="A825" s="1154"/>
      <c r="B825" s="1155">
        <v>2002</v>
      </c>
      <c r="C825" s="598"/>
      <c r="D825" s="598"/>
      <c r="E825" s="1124"/>
      <c r="F825" s="598"/>
      <c r="G825" s="1124"/>
      <c r="H825" s="598"/>
      <c r="I825" s="1124"/>
      <c r="J825" s="598"/>
      <c r="K825" s="598"/>
      <c r="L825" s="598"/>
      <c r="M825" s="598"/>
      <c r="N825" s="598"/>
      <c r="O825" s="1124"/>
      <c r="P825" s="1125"/>
      <c r="Q825" s="1125"/>
      <c r="R825" s="598"/>
      <c r="S825" s="598"/>
      <c r="T825" s="598"/>
      <c r="U825" s="598"/>
      <c r="V825" s="598"/>
      <c r="W825" s="598"/>
      <c r="X825" s="1124"/>
      <c r="Y825" s="598"/>
      <c r="Z825" s="598"/>
      <c r="AA825" s="598"/>
      <c r="AB825" s="598"/>
      <c r="AC825" s="598"/>
      <c r="AD825" s="598"/>
      <c r="AE825" s="1124"/>
      <c r="AF825" s="1125"/>
      <c r="AG825" s="1125"/>
      <c r="AH825" s="598"/>
      <c r="AI825" s="598"/>
      <c r="AJ825" s="598"/>
      <c r="AK825" s="598"/>
      <c r="AL825" s="598"/>
      <c r="AM825" s="598"/>
      <c r="AN825" s="1124"/>
      <c r="AP825" s="1193"/>
      <c r="AQ825" s="1193"/>
      <c r="AR825" s="1193"/>
      <c r="AS825" s="1193"/>
      <c r="AT825" s="1193"/>
      <c r="AU825" s="1193"/>
      <c r="AV825" s="1193"/>
      <c r="AW825" s="1193"/>
      <c r="AX825" s="1193"/>
      <c r="AY825" s="1193"/>
      <c r="AZ825" s="1193"/>
      <c r="BA825" s="1193"/>
      <c r="BB825" s="1193"/>
      <c r="BC825" s="1193"/>
      <c r="BD825" s="1193"/>
      <c r="BE825" s="1193"/>
      <c r="BF825" s="1193"/>
      <c r="BG825" s="1193"/>
    </row>
    <row r="826" spans="1:59" hidden="1" outlineLevel="2">
      <c r="A826" s="598" t="s">
        <v>527</v>
      </c>
      <c r="B826" s="1157" t="s">
        <v>514</v>
      </c>
      <c r="C826" s="598"/>
      <c r="D826" s="1120"/>
      <c r="E826" s="1124" t="s">
        <v>190</v>
      </c>
      <c r="F826" s="1205"/>
      <c r="G826" s="1124"/>
      <c r="H826" s="1120"/>
      <c r="I826" s="1124"/>
      <c r="J826" s="1170"/>
      <c r="K826" s="598" t="s">
        <v>315</v>
      </c>
      <c r="L826" s="1128"/>
      <c r="M826" s="598"/>
      <c r="N826" s="1120"/>
      <c r="O826" s="1124" t="s">
        <v>190</v>
      </c>
      <c r="P826" s="1159"/>
      <c r="Q826" s="1125" t="s">
        <v>190</v>
      </c>
      <c r="R826" s="598"/>
      <c r="S826" s="1160"/>
      <c r="T826" s="598"/>
      <c r="U826" s="1161"/>
      <c r="V826" s="598"/>
      <c r="W826" s="1176"/>
      <c r="X826" s="1124" t="s">
        <v>190</v>
      </c>
      <c r="Y826" s="598"/>
      <c r="Z826" s="1163"/>
      <c r="AA826" s="598" t="s">
        <v>315</v>
      </c>
      <c r="AB826" s="1163"/>
      <c r="AC826" s="598"/>
      <c r="AD826" s="1120"/>
      <c r="AE826" s="1124"/>
      <c r="AF826" s="1159"/>
      <c r="AG826" s="1125" t="s">
        <v>190</v>
      </c>
      <c r="AH826" s="598"/>
      <c r="AI826" s="1160"/>
      <c r="AJ826" s="598"/>
      <c r="AK826" s="1164"/>
      <c r="AL826" s="598"/>
      <c r="AM826" s="1176"/>
      <c r="AN826" s="1124" t="s">
        <v>190</v>
      </c>
      <c r="AP826" s="1193"/>
      <c r="AQ826" s="1193"/>
      <c r="AR826" s="1193"/>
      <c r="AS826" s="1193"/>
      <c r="AT826" s="1193"/>
      <c r="AU826" s="1193"/>
      <c r="AV826" s="1193"/>
      <c r="AW826" s="1193"/>
      <c r="AX826" s="1193"/>
      <c r="AY826" s="1193"/>
      <c r="AZ826" s="1193"/>
      <c r="BA826" s="1193"/>
      <c r="BB826" s="1193"/>
      <c r="BC826" s="1193"/>
      <c r="BD826" s="1193"/>
      <c r="BE826" s="1193"/>
      <c r="BF826" s="1193"/>
      <c r="BG826" s="1193"/>
    </row>
    <row r="827" spans="1:59" hidden="1" outlineLevel="2">
      <c r="A827" s="598" t="s">
        <v>528</v>
      </c>
      <c r="B827" s="1157" t="s">
        <v>515</v>
      </c>
      <c r="C827" s="598"/>
      <c r="D827" s="1120"/>
      <c r="E827" s="598"/>
      <c r="F827" s="1205"/>
      <c r="G827" s="598"/>
      <c r="H827" s="1120"/>
      <c r="I827" s="598"/>
      <c r="J827" s="1170"/>
      <c r="K827" s="1127"/>
      <c r="L827" s="1128"/>
      <c r="M827" s="598"/>
      <c r="N827" s="1120"/>
      <c r="O827" s="1124"/>
      <c r="P827" s="1159"/>
      <c r="Q827" s="1125"/>
      <c r="R827" s="598"/>
      <c r="S827" s="1165"/>
      <c r="T827" s="598"/>
      <c r="U827" s="1166"/>
      <c r="V827" s="598"/>
      <c r="W827" s="1176"/>
      <c r="X827" s="1124"/>
      <c r="Y827" s="598"/>
      <c r="Z827" s="1163"/>
      <c r="AA827" s="1127"/>
      <c r="AB827" s="1163"/>
      <c r="AC827" s="598"/>
      <c r="AD827" s="1120"/>
      <c r="AE827" s="1124"/>
      <c r="AF827" s="1159"/>
      <c r="AG827" s="1125"/>
      <c r="AH827" s="598"/>
      <c r="AI827" s="1165"/>
      <c r="AJ827" s="598"/>
      <c r="AK827" s="1167"/>
      <c r="AL827" s="598"/>
      <c r="AM827" s="1176"/>
      <c r="AN827" s="1124"/>
      <c r="AP827" s="1193"/>
      <c r="AQ827" s="1193"/>
      <c r="AR827" s="1193"/>
      <c r="AS827" s="1193"/>
      <c r="AT827" s="1193"/>
      <c r="AU827" s="1193"/>
      <c r="AV827" s="1193"/>
      <c r="AW827" s="1193"/>
      <c r="AX827" s="1193"/>
      <c r="AY827" s="1193"/>
      <c r="AZ827" s="1193"/>
      <c r="BA827" s="1193"/>
      <c r="BB827" s="1193"/>
      <c r="BC827" s="1193"/>
      <c r="BD827" s="1193"/>
      <c r="BE827" s="1193"/>
      <c r="BF827" s="1193"/>
      <c r="BG827" s="1193"/>
    </row>
    <row r="828" spans="1:59" hidden="1" outlineLevel="2">
      <c r="A828" s="598" t="s">
        <v>529</v>
      </c>
      <c r="B828" s="1157" t="s">
        <v>516</v>
      </c>
      <c r="C828" s="598"/>
      <c r="D828" s="1120"/>
      <c r="E828" s="598"/>
      <c r="F828" s="1205"/>
      <c r="G828" s="598"/>
      <c r="H828" s="1120"/>
      <c r="I828" s="598"/>
      <c r="J828" s="1170"/>
      <c r="K828" s="1127"/>
      <c r="L828" s="1128"/>
      <c r="M828" s="598"/>
      <c r="N828" s="1120"/>
      <c r="O828" s="1124"/>
      <c r="P828" s="1159"/>
      <c r="Q828" s="1125"/>
      <c r="R828" s="598"/>
      <c r="S828" s="1165"/>
      <c r="T828" s="598"/>
      <c r="U828" s="1166"/>
      <c r="V828" s="598"/>
      <c r="W828" s="1176"/>
      <c r="X828" s="1124"/>
      <c r="Y828" s="598"/>
      <c r="Z828" s="1163"/>
      <c r="AA828" s="1127"/>
      <c r="AB828" s="1163"/>
      <c r="AC828" s="598"/>
      <c r="AD828" s="1120"/>
      <c r="AE828" s="1124"/>
      <c r="AF828" s="1159"/>
      <c r="AG828" s="1125"/>
      <c r="AH828" s="598"/>
      <c r="AI828" s="1165"/>
      <c r="AJ828" s="598"/>
      <c r="AK828" s="1167"/>
      <c r="AL828" s="598"/>
      <c r="AM828" s="1176"/>
      <c r="AN828" s="1124"/>
      <c r="AP828" s="1193"/>
      <c r="AQ828" s="1193"/>
      <c r="AR828" s="1193"/>
      <c r="AS828" s="1193"/>
      <c r="AT828" s="1193"/>
      <c r="AU828" s="1193"/>
      <c r="AV828" s="1193"/>
      <c r="AW828" s="1193"/>
      <c r="AX828" s="1193"/>
      <c r="AY828" s="1193"/>
      <c r="AZ828" s="1193"/>
      <c r="BA828" s="1193"/>
      <c r="BB828" s="1193"/>
      <c r="BC828" s="1193"/>
      <c r="BD828" s="1193"/>
      <c r="BE828" s="1193"/>
      <c r="BF828" s="1193"/>
      <c r="BG828" s="1193"/>
    </row>
    <row r="829" spans="1:59" hidden="1" outlineLevel="2">
      <c r="A829" s="598" t="s">
        <v>530</v>
      </c>
      <c r="B829" s="1157" t="s">
        <v>517</v>
      </c>
      <c r="C829" s="598"/>
      <c r="D829" s="1168"/>
      <c r="E829" s="598"/>
      <c r="F829" s="1178"/>
      <c r="G829" s="598"/>
      <c r="H829" s="1168"/>
      <c r="I829" s="598"/>
      <c r="J829" s="1170"/>
      <c r="K829" s="1127"/>
      <c r="L829" s="1171"/>
      <c r="M829" s="598"/>
      <c r="N829" s="1168"/>
      <c r="O829" s="1124"/>
      <c r="P829" s="1171"/>
      <c r="Q829" s="1125"/>
      <c r="R829" s="598"/>
      <c r="S829" s="1172"/>
      <c r="T829" s="598"/>
      <c r="U829" s="1173"/>
      <c r="V829" s="598"/>
      <c r="W829" s="1169"/>
      <c r="X829" s="1124"/>
      <c r="Y829" s="598"/>
      <c r="Z829" s="1129"/>
      <c r="AA829" s="1127"/>
      <c r="AB829" s="1174"/>
      <c r="AC829" s="598"/>
      <c r="AD829" s="1168"/>
      <c r="AE829" s="1124"/>
      <c r="AF829" s="1171"/>
      <c r="AG829" s="1125"/>
      <c r="AH829" s="598"/>
      <c r="AI829" s="1172"/>
      <c r="AJ829" s="598"/>
      <c r="AK829" s="1175"/>
      <c r="AL829" s="598"/>
      <c r="AM829" s="1169"/>
      <c r="AN829" s="1124"/>
      <c r="AP829" s="1193"/>
      <c r="AQ829" s="1193"/>
      <c r="AR829" s="1193"/>
      <c r="AS829" s="1193"/>
      <c r="AT829" s="1193"/>
      <c r="AU829" s="1193"/>
      <c r="AV829" s="1193"/>
      <c r="AW829" s="1193"/>
      <c r="AX829" s="1193"/>
      <c r="AY829" s="1193"/>
      <c r="AZ829" s="1193"/>
      <c r="BA829" s="1193"/>
      <c r="BB829" s="1193"/>
      <c r="BC829" s="1193"/>
      <c r="BD829" s="1193"/>
      <c r="BE829" s="1193"/>
      <c r="BF829" s="1193"/>
      <c r="BG829" s="1193"/>
    </row>
    <row r="830" spans="1:59" hidden="1" outlineLevel="2">
      <c r="A830" s="598"/>
      <c r="B830" s="1157" t="s">
        <v>531</v>
      </c>
      <c r="C830" s="598"/>
      <c r="D830" s="1120"/>
      <c r="E830" s="598"/>
      <c r="F830" s="1205"/>
      <c r="G830" s="598"/>
      <c r="H830" s="1120"/>
      <c r="I830" s="598"/>
      <c r="J830" s="598"/>
      <c r="K830" s="598"/>
      <c r="L830" s="1128"/>
      <c r="M830" s="598"/>
      <c r="N830" s="1120"/>
      <c r="O830" s="1124"/>
      <c r="P830" s="1159"/>
      <c r="Q830" s="1125"/>
      <c r="R830" s="598"/>
      <c r="S830" s="1160"/>
      <c r="T830" s="598"/>
      <c r="U830" s="1161"/>
      <c r="V830" s="598"/>
      <c r="W830" s="1176"/>
      <c r="X830" s="1124"/>
      <c r="Y830" s="598"/>
      <c r="Z830" s="598"/>
      <c r="AA830" s="598"/>
      <c r="AB830" s="1163"/>
      <c r="AC830" s="598"/>
      <c r="AD830" s="1120"/>
      <c r="AE830" s="1124"/>
      <c r="AF830" s="1159"/>
      <c r="AG830" s="1125"/>
      <c r="AH830" s="598"/>
      <c r="AI830" s="1160"/>
      <c r="AJ830" s="598"/>
      <c r="AK830" s="1164"/>
      <c r="AL830" s="598"/>
      <c r="AM830" s="1176"/>
      <c r="AN830" s="1124"/>
      <c r="AP830" s="1193"/>
      <c r="AQ830" s="1193"/>
      <c r="AR830" s="1193"/>
      <c r="AS830" s="1193"/>
      <c r="AT830" s="1193"/>
      <c r="AU830" s="1193"/>
      <c r="AV830" s="1193"/>
      <c r="AW830" s="1193"/>
      <c r="AX830" s="1193"/>
      <c r="AY830" s="1193"/>
      <c r="AZ830" s="1193"/>
      <c r="BA830" s="1193"/>
      <c r="BB830" s="1193"/>
      <c r="BC830" s="1193"/>
      <c r="BD830" s="1193"/>
      <c r="BE830" s="1193"/>
      <c r="BF830" s="1193"/>
      <c r="BG830" s="1193"/>
    </row>
    <row r="831" spans="1:59" hidden="1" outlineLevel="2">
      <c r="A831" s="598"/>
      <c r="B831" s="1157"/>
      <c r="C831" s="598"/>
      <c r="D831" s="598"/>
      <c r="E831" s="598"/>
      <c r="F831" s="598"/>
      <c r="G831" s="598"/>
      <c r="H831" s="598"/>
      <c r="I831" s="598"/>
      <c r="J831" s="598"/>
      <c r="K831" s="598"/>
      <c r="L831" s="598"/>
      <c r="M831" s="598"/>
      <c r="N831" s="598"/>
      <c r="O831" s="1124"/>
      <c r="P831" s="598"/>
      <c r="Q831" s="598"/>
      <c r="R831" s="598"/>
      <c r="S831" s="598"/>
      <c r="T831" s="598"/>
      <c r="U831" s="598"/>
      <c r="V831" s="598"/>
      <c r="W831" s="598"/>
      <c r="X831" s="598"/>
      <c r="Y831" s="598"/>
      <c r="Z831" s="598"/>
      <c r="AA831" s="598"/>
      <c r="AB831" s="598"/>
      <c r="AC831" s="598"/>
      <c r="AD831" s="598"/>
      <c r="AE831" s="1124"/>
      <c r="AF831" s="598"/>
      <c r="AG831" s="598"/>
      <c r="AH831" s="598"/>
      <c r="AI831" s="598"/>
      <c r="AJ831" s="598"/>
      <c r="AK831" s="598"/>
      <c r="AL831" s="598"/>
      <c r="AM831" s="598"/>
      <c r="AN831" s="598"/>
      <c r="AP831" s="1193"/>
      <c r="AQ831" s="1193"/>
      <c r="AR831" s="1193"/>
      <c r="AS831" s="1193"/>
      <c r="AT831" s="1193"/>
      <c r="AU831" s="1193"/>
      <c r="AV831" s="1193"/>
      <c r="AW831" s="1193"/>
      <c r="AX831" s="1193"/>
      <c r="AY831" s="1193"/>
      <c r="AZ831" s="1193"/>
      <c r="BA831" s="1193"/>
      <c r="BB831" s="1193"/>
      <c r="BC831" s="1193"/>
      <c r="BD831" s="1193"/>
      <c r="BE831" s="1193"/>
      <c r="BF831" s="1193"/>
      <c r="BG831" s="1193"/>
    </row>
    <row r="832" spans="1:59" hidden="1" outlineLevel="2">
      <c r="A832" s="1154"/>
      <c r="B832" s="1155">
        <v>2003</v>
      </c>
      <c r="C832" s="598"/>
      <c r="D832" s="598"/>
      <c r="E832" s="1124"/>
      <c r="F832" s="598"/>
      <c r="G832" s="1124"/>
      <c r="H832" s="598"/>
      <c r="I832" s="1124"/>
      <c r="J832" s="598"/>
      <c r="K832" s="598"/>
      <c r="L832" s="598"/>
      <c r="M832" s="598"/>
      <c r="N832" s="598"/>
      <c r="O832" s="1124"/>
      <c r="P832" s="1125"/>
      <c r="Q832" s="1125"/>
      <c r="R832" s="598"/>
      <c r="S832" s="598"/>
      <c r="T832" s="598"/>
      <c r="U832" s="598"/>
      <c r="V832" s="598"/>
      <c r="W832" s="598"/>
      <c r="X832" s="1124"/>
      <c r="Y832" s="598"/>
      <c r="Z832" s="598"/>
      <c r="AA832" s="598"/>
      <c r="AB832" s="598"/>
      <c r="AC832" s="598"/>
      <c r="AD832" s="598"/>
      <c r="AE832" s="1124"/>
      <c r="AF832" s="1125"/>
      <c r="AG832" s="1125"/>
      <c r="AH832" s="598"/>
      <c r="AI832" s="598"/>
      <c r="AJ832" s="598"/>
      <c r="AK832" s="598"/>
      <c r="AL832" s="598"/>
      <c r="AM832" s="598"/>
      <c r="AN832" s="1124"/>
      <c r="AP832" s="1193"/>
      <c r="AQ832" s="1193"/>
      <c r="AR832" s="1193"/>
      <c r="AS832" s="1193"/>
      <c r="AT832" s="1193"/>
      <c r="AU832" s="1193"/>
      <c r="AV832" s="1193"/>
      <c r="AW832" s="1193"/>
      <c r="AX832" s="1193"/>
      <c r="AY832" s="1193"/>
      <c r="AZ832" s="1193"/>
      <c r="BA832" s="1193"/>
      <c r="BB832" s="1193"/>
      <c r="BC832" s="1193"/>
      <c r="BD832" s="1193"/>
      <c r="BE832" s="1193"/>
      <c r="BF832" s="1193"/>
      <c r="BG832" s="1193"/>
    </row>
    <row r="833" spans="1:59" hidden="1" outlineLevel="2">
      <c r="A833" s="598" t="s">
        <v>527</v>
      </c>
      <c r="B833" s="1157" t="s">
        <v>514</v>
      </c>
      <c r="C833" s="598"/>
      <c r="D833" s="1120"/>
      <c r="E833" s="1124" t="s">
        <v>190</v>
      </c>
      <c r="F833" s="1205"/>
      <c r="G833" s="1124"/>
      <c r="H833" s="1120"/>
      <c r="I833" s="1124"/>
      <c r="J833" s="1127">
        <v>31</v>
      </c>
      <c r="K833" s="598" t="s">
        <v>315</v>
      </c>
      <c r="L833" s="1128">
        <f>AVERAGE(J833,J829)</f>
        <v>31</v>
      </c>
      <c r="M833" s="598"/>
      <c r="N833" s="1120"/>
      <c r="O833" s="1124" t="s">
        <v>190</v>
      </c>
      <c r="P833" s="1159"/>
      <c r="Q833" s="1125" t="s">
        <v>190</v>
      </c>
      <c r="R833" s="598"/>
      <c r="S833" s="1160"/>
      <c r="T833" s="598"/>
      <c r="U833" s="1161"/>
      <c r="V833" s="598"/>
      <c r="W833" s="1176"/>
      <c r="X833" s="1124" t="s">
        <v>190</v>
      </c>
      <c r="Y833" s="598"/>
      <c r="Z833" s="1163">
        <f>Stores!CF$121</f>
        <v>0</v>
      </c>
      <c r="AA833" s="598" t="s">
        <v>315</v>
      </c>
      <c r="AB833" s="1163">
        <f>AVERAGE(Z833,Z829)</f>
        <v>0</v>
      </c>
      <c r="AC833" s="598"/>
      <c r="AD833" s="1120"/>
      <c r="AE833" s="1124" t="s">
        <v>190</v>
      </c>
      <c r="AF833" s="1159"/>
      <c r="AG833" s="1125" t="s">
        <v>190</v>
      </c>
      <c r="AH833" s="598"/>
      <c r="AI833" s="1160"/>
      <c r="AJ833" s="598"/>
      <c r="AK833" s="1164"/>
      <c r="AL833" s="598"/>
      <c r="AM833" s="1176"/>
      <c r="AN833" s="1124" t="s">
        <v>190</v>
      </c>
      <c r="AP833" s="1193"/>
      <c r="AQ833" s="1193"/>
      <c r="AR833" s="1193"/>
      <c r="AS833" s="1193"/>
      <c r="AT833" s="1193"/>
      <c r="AU833" s="1193"/>
      <c r="AV833" s="1193"/>
      <c r="AW833" s="1193"/>
      <c r="AX833" s="1193"/>
      <c r="AY833" s="1193"/>
      <c r="AZ833" s="1193"/>
      <c r="BA833" s="1193"/>
      <c r="BB833" s="1193"/>
      <c r="BC833" s="1193"/>
      <c r="BD833" s="1193"/>
      <c r="BE833" s="1193"/>
      <c r="BF833" s="1193"/>
      <c r="BG833" s="1193"/>
    </row>
    <row r="834" spans="1:59" hidden="1" outlineLevel="2">
      <c r="A834" s="598" t="s">
        <v>528</v>
      </c>
      <c r="B834" s="1157" t="s">
        <v>515</v>
      </c>
      <c r="C834" s="598"/>
      <c r="D834" s="1120"/>
      <c r="E834" s="598"/>
      <c r="F834" s="1179"/>
      <c r="G834" s="598"/>
      <c r="H834" s="1120"/>
      <c r="I834" s="598"/>
      <c r="J834" s="1127">
        <v>31</v>
      </c>
      <c r="K834" s="1127"/>
      <c r="L834" s="1128">
        <f>AVERAGE(J834,J833)</f>
        <v>31</v>
      </c>
      <c r="M834" s="598"/>
      <c r="N834" s="1120"/>
      <c r="O834" s="1124"/>
      <c r="P834" s="1159"/>
      <c r="Q834" s="1125"/>
      <c r="R834" s="598"/>
      <c r="S834" s="1165"/>
      <c r="T834" s="598"/>
      <c r="U834" s="1166"/>
      <c r="V834" s="598"/>
      <c r="W834" s="1176"/>
      <c r="X834" s="1124"/>
      <c r="Y834" s="598"/>
      <c r="Z834" s="1163">
        <f>Stores!CF$122</f>
        <v>0</v>
      </c>
      <c r="AA834" s="1127"/>
      <c r="AB834" s="1163">
        <f>AVERAGE(Z834,Z833)</f>
        <v>0</v>
      </c>
      <c r="AC834" s="598"/>
      <c r="AD834" s="1120"/>
      <c r="AE834" s="1124"/>
      <c r="AF834" s="1159"/>
      <c r="AG834" s="1125"/>
      <c r="AH834" s="598"/>
      <c r="AI834" s="1165"/>
      <c r="AJ834" s="598"/>
      <c r="AK834" s="1167"/>
      <c r="AL834" s="598"/>
      <c r="AM834" s="1176"/>
      <c r="AN834" s="1124"/>
      <c r="AP834" s="1193"/>
      <c r="AQ834" s="1193"/>
      <c r="AR834" s="1193"/>
      <c r="AS834" s="1193"/>
      <c r="AT834" s="1193"/>
      <c r="AU834" s="1193"/>
      <c r="AV834" s="1193"/>
      <c r="AW834" s="1193"/>
      <c r="AX834" s="1193"/>
      <c r="AY834" s="1193"/>
      <c r="AZ834" s="1193"/>
      <c r="BA834" s="1193"/>
      <c r="BB834" s="1193"/>
      <c r="BC834" s="1193"/>
      <c r="BD834" s="1193"/>
      <c r="BE834" s="1193"/>
      <c r="BF834" s="1193"/>
      <c r="BG834" s="1193"/>
    </row>
    <row r="835" spans="1:59" hidden="1" outlineLevel="2">
      <c r="A835" s="598" t="s">
        <v>529</v>
      </c>
      <c r="B835" s="1157" t="s">
        <v>516</v>
      </c>
      <c r="C835" s="598"/>
      <c r="D835" s="1120"/>
      <c r="E835" s="598"/>
      <c r="F835" s="1179"/>
      <c r="G835" s="598"/>
      <c r="H835" s="1120"/>
      <c r="I835" s="598"/>
      <c r="J835" s="1127">
        <v>31</v>
      </c>
      <c r="K835" s="1127"/>
      <c r="L835" s="1128">
        <f>AVERAGE(J835,J834)</f>
        <v>31</v>
      </c>
      <c r="M835" s="598"/>
      <c r="N835" s="1120"/>
      <c r="O835" s="1124"/>
      <c r="P835" s="1159"/>
      <c r="Q835" s="1125"/>
      <c r="R835" s="598"/>
      <c r="S835" s="1165"/>
      <c r="T835" s="598"/>
      <c r="U835" s="1166"/>
      <c r="V835" s="598"/>
      <c r="W835" s="1176"/>
      <c r="X835" s="1124"/>
      <c r="Y835" s="598"/>
      <c r="Z835" s="1163">
        <f>Stores!CF$123</f>
        <v>0</v>
      </c>
      <c r="AA835" s="1127"/>
      <c r="AB835" s="1163">
        <f>AVERAGE(Z835,Z834)</f>
        <v>0</v>
      </c>
      <c r="AC835" s="598"/>
      <c r="AD835" s="1120"/>
      <c r="AE835" s="1124"/>
      <c r="AF835" s="1159"/>
      <c r="AG835" s="1125"/>
      <c r="AH835" s="598"/>
      <c r="AI835" s="1165"/>
      <c r="AJ835" s="598"/>
      <c r="AK835" s="1167"/>
      <c r="AL835" s="598"/>
      <c r="AM835" s="1176"/>
      <c r="AN835" s="1124"/>
      <c r="AP835" s="1193"/>
      <c r="AQ835" s="1193"/>
      <c r="AR835" s="1193"/>
      <c r="AS835" s="1193"/>
      <c r="AT835" s="1193"/>
      <c r="AU835" s="1193"/>
      <c r="AV835" s="1193"/>
      <c r="AW835" s="1193"/>
      <c r="AX835" s="1193"/>
      <c r="AY835" s="1193"/>
      <c r="AZ835" s="1193"/>
      <c r="BA835" s="1193"/>
      <c r="BB835" s="1193"/>
      <c r="BC835" s="1193"/>
      <c r="BD835" s="1193"/>
      <c r="BE835" s="1193"/>
      <c r="BF835" s="1193"/>
      <c r="BG835" s="1193"/>
    </row>
    <row r="836" spans="1:59" hidden="1" outlineLevel="2">
      <c r="A836" s="598" t="s">
        <v>530</v>
      </c>
      <c r="B836" s="1157" t="s">
        <v>517</v>
      </c>
      <c r="C836" s="598"/>
      <c r="D836" s="1168"/>
      <c r="E836" s="598"/>
      <c r="F836" s="1244"/>
      <c r="G836" s="598"/>
      <c r="H836" s="1168"/>
      <c r="I836" s="598"/>
      <c r="J836" s="598">
        <f>yrSales!O$328</f>
        <v>31</v>
      </c>
      <c r="K836" s="1127"/>
      <c r="L836" s="1171">
        <f>AVERAGE(J836,J835)</f>
        <v>31</v>
      </c>
      <c r="M836" s="598"/>
      <c r="N836" s="1168"/>
      <c r="O836" s="1124"/>
      <c r="P836" s="1241"/>
      <c r="Q836" s="1125"/>
      <c r="R836" s="598"/>
      <c r="S836" s="1172"/>
      <c r="T836" s="598"/>
      <c r="U836" s="1173"/>
      <c r="V836" s="598"/>
      <c r="W836" s="1169"/>
      <c r="X836" s="1124"/>
      <c r="Y836" s="598"/>
      <c r="Z836" s="1129">
        <f>yrSales!O$338</f>
        <v>1.4259999999999999</v>
      </c>
      <c r="AA836" s="1127"/>
      <c r="AB836" s="1174">
        <f>AVERAGE(Z836,Z835)</f>
        <v>0.71299999999999997</v>
      </c>
      <c r="AC836" s="598"/>
      <c r="AD836" s="1168"/>
      <c r="AE836" s="1124"/>
      <c r="AF836" s="1171"/>
      <c r="AG836" s="1125"/>
      <c r="AH836" s="598"/>
      <c r="AI836" s="1172"/>
      <c r="AJ836" s="598"/>
      <c r="AK836" s="1175"/>
      <c r="AL836" s="598"/>
      <c r="AM836" s="1169"/>
      <c r="AN836" s="1124"/>
      <c r="AP836" s="1193"/>
      <c r="AQ836" s="1193"/>
      <c r="AR836" s="1193"/>
      <c r="AS836" s="1193"/>
      <c r="AT836" s="1193"/>
      <c r="AU836" s="1193"/>
      <c r="AV836" s="1193"/>
      <c r="AW836" s="1193"/>
      <c r="AX836" s="1193"/>
      <c r="AY836" s="1193"/>
      <c r="AZ836" s="1193"/>
      <c r="BA836" s="1193"/>
      <c r="BB836" s="1193"/>
      <c r="BC836" s="1193"/>
      <c r="BD836" s="1193"/>
      <c r="BE836" s="1193"/>
      <c r="BF836" s="1193"/>
      <c r="BG836" s="1193"/>
    </row>
    <row r="837" spans="1:59" hidden="1" outlineLevel="2">
      <c r="A837" s="598"/>
      <c r="B837" s="1157" t="s">
        <v>531</v>
      </c>
      <c r="C837" s="598"/>
      <c r="D837" s="1120"/>
      <c r="E837" s="598"/>
      <c r="F837" s="1179"/>
      <c r="G837" s="598"/>
      <c r="H837" s="1120"/>
      <c r="I837" s="598"/>
      <c r="J837" s="598"/>
      <c r="K837" s="598"/>
      <c r="L837" s="1128">
        <f>AVERAGE(L833:L836)</f>
        <v>31</v>
      </c>
      <c r="M837" s="598"/>
      <c r="N837" s="1120"/>
      <c r="O837" s="1124"/>
      <c r="P837" s="1159"/>
      <c r="Q837" s="1125"/>
      <c r="R837" s="598"/>
      <c r="S837" s="1160"/>
      <c r="T837" s="598"/>
      <c r="U837" s="1161"/>
      <c r="V837" s="598"/>
      <c r="W837" s="1176"/>
      <c r="X837" s="1124"/>
      <c r="Y837" s="598"/>
      <c r="Z837" s="598"/>
      <c r="AA837" s="598"/>
      <c r="AB837" s="1163">
        <f>AVERAGE(AB833:AB836)</f>
        <v>0.17824999999999999</v>
      </c>
      <c r="AC837" s="598"/>
      <c r="AD837" s="1120"/>
      <c r="AE837" s="1124"/>
      <c r="AF837" s="1159"/>
      <c r="AG837" s="1125"/>
      <c r="AH837" s="598"/>
      <c r="AI837" s="1160">
        <f>SUM(AI833:AI836)</f>
        <v>0</v>
      </c>
      <c r="AJ837" s="598"/>
      <c r="AK837" s="1164">
        <f>SUM(AK833:AK836)</f>
        <v>0</v>
      </c>
      <c r="AL837" s="598"/>
      <c r="AM837" s="1176" t="e">
        <f>(AK837/AK830-1)*100</f>
        <v>#DIV/0!</v>
      </c>
      <c r="AN837" s="1124"/>
      <c r="AP837" s="1193"/>
      <c r="AQ837" s="1193"/>
      <c r="AR837" s="1193"/>
      <c r="AS837" s="1193"/>
      <c r="AT837" s="1193"/>
      <c r="AU837" s="1193"/>
      <c r="AV837" s="1193"/>
      <c r="AW837" s="1193"/>
      <c r="AX837" s="1193"/>
      <c r="AY837" s="1193"/>
      <c r="AZ837" s="1193"/>
      <c r="BA837" s="1193"/>
      <c r="BB837" s="1193"/>
      <c r="BC837" s="1193"/>
      <c r="BD837" s="1193"/>
      <c r="BE837" s="1193"/>
      <c r="BF837" s="1193"/>
      <c r="BG837" s="1193"/>
    </row>
    <row r="838" spans="1:59" hidden="1" outlineLevel="2">
      <c r="A838" s="598"/>
      <c r="B838" s="1157"/>
      <c r="C838" s="598"/>
      <c r="D838" s="598"/>
      <c r="E838" s="598"/>
      <c r="F838" s="598"/>
      <c r="G838" s="598"/>
      <c r="H838" s="598"/>
      <c r="I838" s="598"/>
      <c r="J838" s="598"/>
      <c r="K838" s="598"/>
      <c r="L838" s="598"/>
      <c r="M838" s="598"/>
      <c r="N838" s="598"/>
      <c r="O838" s="1124"/>
      <c r="P838" s="598"/>
      <c r="Q838" s="598"/>
      <c r="R838" s="598"/>
      <c r="S838" s="598"/>
      <c r="T838" s="598"/>
      <c r="U838" s="598"/>
      <c r="V838" s="598"/>
      <c r="W838" s="598"/>
      <c r="X838" s="598"/>
      <c r="Y838" s="598"/>
      <c r="Z838" s="598"/>
      <c r="AA838" s="598"/>
      <c r="AB838" s="598"/>
      <c r="AC838" s="598"/>
      <c r="AD838" s="598"/>
      <c r="AE838" s="1124"/>
      <c r="AF838" s="598"/>
      <c r="AG838" s="598"/>
      <c r="AH838" s="598"/>
      <c r="AI838" s="598"/>
      <c r="AJ838" s="598"/>
      <c r="AK838" s="598"/>
      <c r="AL838" s="598"/>
      <c r="AM838" s="598"/>
      <c r="AN838" s="598"/>
      <c r="AP838" s="1193"/>
      <c r="AQ838" s="1193"/>
      <c r="AR838" s="1193"/>
      <c r="AS838" s="1193"/>
      <c r="AT838" s="1193"/>
      <c r="AU838" s="1193"/>
      <c r="AV838" s="1193"/>
      <c r="AW838" s="1193"/>
      <c r="AX838" s="1193"/>
      <c r="AY838" s="1193"/>
      <c r="AZ838" s="1193"/>
      <c r="BA838" s="1193"/>
      <c r="BB838" s="1193"/>
      <c r="BC838" s="1193"/>
      <c r="BD838" s="1193"/>
      <c r="BE838" s="1193"/>
      <c r="BF838" s="1193"/>
      <c r="BG838" s="1193"/>
    </row>
    <row r="839" spans="1:59" hidden="1" outlineLevel="2">
      <c r="A839" s="1154"/>
      <c r="B839" s="1118">
        <f>+B832+1</f>
        <v>2004</v>
      </c>
      <c r="C839" s="598"/>
      <c r="D839" s="598"/>
      <c r="E839" s="1124"/>
      <c r="F839" s="598"/>
      <c r="G839" s="1124"/>
      <c r="H839" s="598"/>
      <c r="I839" s="1124"/>
      <c r="J839" s="598"/>
      <c r="K839" s="598"/>
      <c r="L839" s="598"/>
      <c r="M839" s="598"/>
      <c r="N839" s="598"/>
      <c r="O839" s="1124"/>
      <c r="P839" s="1125"/>
      <c r="Q839" s="1125"/>
      <c r="R839" s="598"/>
      <c r="S839" s="598"/>
      <c r="T839" s="598"/>
      <c r="U839" s="598"/>
      <c r="V839" s="598"/>
      <c r="W839" s="598"/>
      <c r="X839" s="1124"/>
      <c r="Y839" s="598"/>
      <c r="Z839" s="598"/>
      <c r="AA839" s="598"/>
      <c r="AB839" s="598"/>
      <c r="AC839" s="598"/>
      <c r="AD839" s="598"/>
      <c r="AE839" s="1124"/>
      <c r="AF839" s="1125"/>
      <c r="AG839" s="1125"/>
      <c r="AH839" s="598"/>
      <c r="AI839" s="598"/>
      <c r="AJ839" s="598"/>
      <c r="AK839" s="598"/>
      <c r="AL839" s="598"/>
      <c r="AM839" s="598"/>
      <c r="AN839" s="1124"/>
      <c r="AP839" s="1193"/>
      <c r="AQ839" s="1193"/>
      <c r="AR839" s="1193"/>
      <c r="AS839" s="1193"/>
      <c r="AT839" s="1193"/>
      <c r="AU839" s="1193"/>
      <c r="AV839" s="1193"/>
      <c r="AW839" s="1193"/>
      <c r="AX839" s="1193"/>
      <c r="AY839" s="1193"/>
      <c r="AZ839" s="1193"/>
      <c r="BA839" s="1193"/>
      <c r="BB839" s="1193"/>
      <c r="BC839" s="1193"/>
      <c r="BD839" s="1193"/>
      <c r="BE839" s="1193"/>
      <c r="BF839" s="1193"/>
      <c r="BG839" s="1193"/>
    </row>
    <row r="840" spans="1:59" hidden="1" outlineLevel="2">
      <c r="A840" s="598" t="s">
        <v>527</v>
      </c>
      <c r="B840" s="1157" t="s">
        <v>514</v>
      </c>
      <c r="C840" s="598"/>
      <c r="D840" s="1120">
        <f>F840+H840</f>
        <v>0</v>
      </c>
      <c r="E840" s="1124" t="s">
        <v>190</v>
      </c>
      <c r="F840" s="1245"/>
      <c r="G840" s="1124"/>
      <c r="H840" s="1120"/>
      <c r="I840" s="1124"/>
      <c r="J840" s="598">
        <f>Stores!CC129</f>
        <v>31</v>
      </c>
      <c r="K840" s="598"/>
      <c r="L840" s="1128">
        <f>AVERAGE(J840,J836)</f>
        <v>31</v>
      </c>
      <c r="M840" s="598"/>
      <c r="N840" s="1120">
        <f>(L840/L833-1)*100</f>
        <v>0</v>
      </c>
      <c r="O840" s="1124" t="s">
        <v>190</v>
      </c>
      <c r="P840" s="1239"/>
      <c r="Q840" s="1125" t="s">
        <v>190</v>
      </c>
      <c r="R840" s="598"/>
      <c r="S840" s="1160"/>
      <c r="T840" s="598"/>
      <c r="U840" s="1161"/>
      <c r="V840" s="598"/>
      <c r="W840" s="1176"/>
      <c r="X840" s="1124" t="s">
        <v>190</v>
      </c>
      <c r="Y840" s="598"/>
      <c r="Z840" s="1163">
        <f>Stores!CF$129</f>
        <v>1.4154800000000001</v>
      </c>
      <c r="AA840" s="598"/>
      <c r="AB840" s="1163">
        <f>AVERAGE(Z840,Z836)</f>
        <v>1.4207399999999999</v>
      </c>
      <c r="AC840" s="598"/>
      <c r="AD840" s="1120"/>
      <c r="AE840" s="1124" t="s">
        <v>190</v>
      </c>
      <c r="AF840" s="1159"/>
      <c r="AG840" s="1125" t="s">
        <v>190</v>
      </c>
      <c r="AH840" s="598"/>
      <c r="AI840" s="1160">
        <f>+S840</f>
        <v>0</v>
      </c>
      <c r="AJ840" s="598"/>
      <c r="AK840" s="1164">
        <f>AI840/AB840</f>
        <v>0</v>
      </c>
      <c r="AL840" s="598"/>
      <c r="AM840" s="1176" t="e">
        <f>(AK840/AK833-1)*100</f>
        <v>#DIV/0!</v>
      </c>
      <c r="AN840" s="1124" t="s">
        <v>190</v>
      </c>
      <c r="AP840" s="1193"/>
      <c r="AQ840" s="1193"/>
      <c r="AR840" s="1193"/>
      <c r="AS840" s="1193"/>
      <c r="AT840" s="1193"/>
      <c r="AU840" s="1193"/>
      <c r="AV840" s="1193"/>
      <c r="AW840" s="1193"/>
      <c r="AX840" s="1193"/>
      <c r="AY840" s="1193"/>
      <c r="AZ840" s="1193"/>
      <c r="BA840" s="1193"/>
      <c r="BB840" s="1193"/>
      <c r="BC840" s="1193"/>
      <c r="BD840" s="1193"/>
      <c r="BE840" s="1193"/>
      <c r="BF840" s="1193"/>
      <c r="BG840" s="1193"/>
    </row>
    <row r="841" spans="1:59" hidden="1" outlineLevel="2">
      <c r="A841" s="598" t="s">
        <v>528</v>
      </c>
      <c r="B841" s="1157" t="s">
        <v>515</v>
      </c>
      <c r="C841" s="598"/>
      <c r="D841" s="1120">
        <f>F841+H841</f>
        <v>0</v>
      </c>
      <c r="E841" s="598"/>
      <c r="F841" s="1245"/>
      <c r="G841" s="598"/>
      <c r="H841" s="1120"/>
      <c r="I841" s="598"/>
      <c r="J841" s="598">
        <f>Stores!CC$130</f>
        <v>31</v>
      </c>
      <c r="K841" s="1127"/>
      <c r="L841" s="1128">
        <f>AVERAGE(J841,J840)</f>
        <v>31</v>
      </c>
      <c r="M841" s="598"/>
      <c r="N841" s="1120">
        <f>(L841/L834-1)*100</f>
        <v>0</v>
      </c>
      <c r="O841" s="1124"/>
      <c r="P841" s="1239"/>
      <c r="Q841" s="1125"/>
      <c r="R841" s="598"/>
      <c r="S841" s="1165"/>
      <c r="T841" s="598"/>
      <c r="U841" s="1166"/>
      <c r="V841" s="598"/>
      <c r="W841" s="1176"/>
      <c r="X841" s="1124"/>
      <c r="Y841" s="598"/>
      <c r="Z841" s="1163">
        <f>Stores!CF$130</f>
        <v>1.4154800000000001</v>
      </c>
      <c r="AA841" s="1127"/>
      <c r="AB841" s="1163">
        <f>AVERAGE(Z841,Z840)</f>
        <v>1.4154800000000001</v>
      </c>
      <c r="AC841" s="598"/>
      <c r="AD841" s="1120"/>
      <c r="AE841" s="1124"/>
      <c r="AF841" s="1159"/>
      <c r="AG841" s="1125"/>
      <c r="AH841" s="598"/>
      <c r="AI841" s="1165">
        <f>+S841</f>
        <v>0</v>
      </c>
      <c r="AJ841" s="598"/>
      <c r="AK841" s="1167">
        <f>AI841/AB841</f>
        <v>0</v>
      </c>
      <c r="AL841" s="598"/>
      <c r="AM841" s="1176" t="e">
        <f>(AK841/AK834-1)*100</f>
        <v>#DIV/0!</v>
      </c>
      <c r="AN841" s="1124"/>
      <c r="AP841" s="1193"/>
      <c r="AQ841" s="1193"/>
      <c r="AR841" s="1193"/>
      <c r="AS841" s="1193"/>
      <c r="AT841" s="1193"/>
      <c r="AU841" s="1193"/>
      <c r="AV841" s="1193"/>
      <c r="AW841" s="1193"/>
      <c r="AX841" s="1193"/>
      <c r="AY841" s="1193"/>
      <c r="AZ841" s="1193"/>
      <c r="BA841" s="1193"/>
      <c r="BB841" s="1193"/>
      <c r="BC841" s="1193"/>
      <c r="BD841" s="1193"/>
      <c r="BE841" s="1193"/>
      <c r="BF841" s="1193"/>
      <c r="BG841" s="1193"/>
    </row>
    <row r="842" spans="1:59" hidden="1" outlineLevel="2">
      <c r="A842" s="598" t="s">
        <v>529</v>
      </c>
      <c r="B842" s="1157" t="s">
        <v>516</v>
      </c>
      <c r="C842" s="598"/>
      <c r="D842" s="1120">
        <f>F842+H842</f>
        <v>0</v>
      </c>
      <c r="E842" s="598"/>
      <c r="F842" s="1245"/>
      <c r="G842" s="598"/>
      <c r="H842" s="1120"/>
      <c r="I842" s="598"/>
      <c r="J842" s="598">
        <f>Stores!CC$131</f>
        <v>33</v>
      </c>
      <c r="K842" s="1127"/>
      <c r="L842" s="1128">
        <f>AVERAGE(J842,J841)</f>
        <v>32</v>
      </c>
      <c r="M842" s="598"/>
      <c r="N842" s="1120">
        <f>(L842/L835-1)*100</f>
        <v>3.2258064516129004</v>
      </c>
      <c r="O842" s="1124"/>
      <c r="P842" s="1239"/>
      <c r="Q842" s="1125"/>
      <c r="R842" s="598"/>
      <c r="S842" s="1165"/>
      <c r="T842" s="598"/>
      <c r="U842" s="1166"/>
      <c r="V842" s="598"/>
      <c r="W842" s="1176"/>
      <c r="X842" s="1124"/>
      <c r="Y842" s="598"/>
      <c r="Z842" s="1163">
        <f>Stores!CF$131</f>
        <v>1.5068012903225809</v>
      </c>
      <c r="AA842" s="1127"/>
      <c r="AB842" s="1163">
        <f>AVERAGE(Z842,Z841)</f>
        <v>1.4611406451612905</v>
      </c>
      <c r="AC842" s="598"/>
      <c r="AD842" s="1120"/>
      <c r="AE842" s="1124"/>
      <c r="AF842" s="1159"/>
      <c r="AG842" s="1125"/>
      <c r="AH842" s="598"/>
      <c r="AI842" s="1165">
        <f>+S842</f>
        <v>0</v>
      </c>
      <c r="AJ842" s="598"/>
      <c r="AK842" s="1167">
        <f>AI842/AB842</f>
        <v>0</v>
      </c>
      <c r="AL842" s="598"/>
      <c r="AM842" s="1176" t="e">
        <f>(AK842/AK835-1)*100</f>
        <v>#DIV/0!</v>
      </c>
      <c r="AN842" s="1124"/>
      <c r="AP842" s="1193"/>
      <c r="AQ842" s="1193"/>
      <c r="AR842" s="1193"/>
      <c r="AS842" s="1193"/>
      <c r="AT842" s="1193"/>
      <c r="AU842" s="1193"/>
      <c r="AV842" s="1193"/>
      <c r="AW842" s="1193"/>
      <c r="AX842" s="1193"/>
      <c r="AY842" s="1193"/>
      <c r="AZ842" s="1193"/>
      <c r="BA842" s="1193"/>
      <c r="BB842" s="1193"/>
      <c r="BC842" s="1193"/>
      <c r="BD842" s="1193"/>
      <c r="BE842" s="1193"/>
      <c r="BF842" s="1193"/>
      <c r="BG842" s="1193"/>
    </row>
    <row r="843" spans="1:59" hidden="1" outlineLevel="2">
      <c r="A843" s="598" t="s">
        <v>530</v>
      </c>
      <c r="B843" s="1157" t="s">
        <v>517</v>
      </c>
      <c r="C843" s="598"/>
      <c r="D843" s="1168">
        <f>F843+H843</f>
        <v>0</v>
      </c>
      <c r="E843" s="598"/>
      <c r="F843" s="1244"/>
      <c r="G843" s="598"/>
      <c r="H843" s="1168"/>
      <c r="I843" s="598"/>
      <c r="J843" s="598">
        <f>Stores!CC$131</f>
        <v>33</v>
      </c>
      <c r="K843" s="1127"/>
      <c r="L843" s="1171">
        <f>AVERAGE(J843,J842)</f>
        <v>33</v>
      </c>
      <c r="M843" s="598"/>
      <c r="N843" s="1168">
        <f>(L843/L836-1)*100</f>
        <v>6.4516129032258007</v>
      </c>
      <c r="O843" s="1124"/>
      <c r="P843" s="1241"/>
      <c r="Q843" s="1125"/>
      <c r="R843" s="598"/>
      <c r="S843" s="1172"/>
      <c r="T843" s="598"/>
      <c r="U843" s="1173"/>
      <c r="V843" s="598"/>
      <c r="W843" s="1169"/>
      <c r="X843" s="1124"/>
      <c r="Y843" s="598"/>
      <c r="Z843" s="1163">
        <f>Stores!CF$131</f>
        <v>1.5068012903225809</v>
      </c>
      <c r="AA843" s="1127"/>
      <c r="AB843" s="1174">
        <f>AVERAGE(Z843,Z842)</f>
        <v>1.5068012903225809</v>
      </c>
      <c r="AC843" s="598"/>
      <c r="AD843" s="1168">
        <f>(AB843/AB836-1)*100</f>
        <v>111.33257928787953</v>
      </c>
      <c r="AE843" s="1124"/>
      <c r="AF843" s="1171">
        <f>+H843/AD843*100</f>
        <v>0</v>
      </c>
      <c r="AG843" s="1125"/>
      <c r="AH843" s="598"/>
      <c r="AI843" s="1172">
        <f>+S843</f>
        <v>0</v>
      </c>
      <c r="AJ843" s="598"/>
      <c r="AK843" s="1175">
        <f>AI843/AB843</f>
        <v>0</v>
      </c>
      <c r="AL843" s="598"/>
      <c r="AM843" s="1169" t="e">
        <f>(AK843/AK836-1)*100</f>
        <v>#DIV/0!</v>
      </c>
      <c r="AN843" s="1124"/>
      <c r="AP843" s="1193"/>
      <c r="AQ843" s="1193"/>
      <c r="AR843" s="1193"/>
      <c r="AS843" s="1193"/>
      <c r="AT843" s="1193"/>
      <c r="AU843" s="1193"/>
      <c r="AV843" s="1193"/>
      <c r="AW843" s="1193"/>
      <c r="AX843" s="1193"/>
      <c r="AY843" s="1193"/>
      <c r="AZ843" s="1193"/>
      <c r="BA843" s="1193"/>
      <c r="BB843" s="1193"/>
      <c r="BC843" s="1193"/>
      <c r="BD843" s="1193"/>
      <c r="BE843" s="1193"/>
      <c r="BF843" s="1193"/>
      <c r="BG843" s="1193"/>
    </row>
    <row r="844" spans="1:59" hidden="1" outlineLevel="2">
      <c r="A844" s="598"/>
      <c r="B844" s="1157" t="s">
        <v>531</v>
      </c>
      <c r="C844" s="598"/>
      <c r="D844" s="1120" t="e">
        <f>(S844/S837-1)*100</f>
        <v>#DIV/0!</v>
      </c>
      <c r="E844" s="598"/>
      <c r="F844" s="1179"/>
      <c r="G844" s="598"/>
      <c r="H844" s="1120"/>
      <c r="I844" s="598"/>
      <c r="J844" s="598"/>
      <c r="K844" s="598"/>
      <c r="L844" s="1128">
        <f>AVERAGE(L840:L843)</f>
        <v>31.75</v>
      </c>
      <c r="M844" s="598"/>
      <c r="N844" s="1120">
        <f>(L844/L837-1)*100</f>
        <v>2.4193548387096753</v>
      </c>
      <c r="O844" s="1124"/>
      <c r="P844" s="1159">
        <f>H844/N844*100</f>
        <v>0</v>
      </c>
      <c r="Q844" s="1125"/>
      <c r="R844" s="598"/>
      <c r="S844" s="1160"/>
      <c r="T844" s="598"/>
      <c r="U844" s="1161"/>
      <c r="V844" s="598"/>
      <c r="W844" s="1176" t="e">
        <f>(U844/U837-1)*100</f>
        <v>#DIV/0!</v>
      </c>
      <c r="X844" s="1124"/>
      <c r="Y844" s="598"/>
      <c r="Z844" s="598"/>
      <c r="AA844" s="598"/>
      <c r="AB844" s="1163">
        <f>AVERAGE(AB840:AB843)</f>
        <v>1.4510404838709681</v>
      </c>
      <c r="AC844" s="598"/>
      <c r="AD844" s="1120">
        <f>(AB844/AB837-1)*100</f>
        <v>714.04795729086561</v>
      </c>
      <c r="AE844" s="1124"/>
      <c r="AF844" s="1159">
        <f>+H844/AD844*100</f>
        <v>0</v>
      </c>
      <c r="AG844" s="1125"/>
      <c r="AH844" s="598"/>
      <c r="AI844" s="1160">
        <f>SUM(AI840:AI843)</f>
        <v>0</v>
      </c>
      <c r="AJ844" s="598"/>
      <c r="AK844" s="1164">
        <f>SUM(AK840:AK843)</f>
        <v>0</v>
      </c>
      <c r="AL844" s="598"/>
      <c r="AM844" s="1176" t="e">
        <f>(AK844/AK837-1)*100</f>
        <v>#DIV/0!</v>
      </c>
      <c r="AN844" s="1124"/>
      <c r="AP844" s="1193"/>
      <c r="AQ844" s="1193"/>
      <c r="AR844" s="1193"/>
      <c r="AS844" s="1193"/>
      <c r="AT844" s="1193"/>
      <c r="AU844" s="1193"/>
      <c r="AV844" s="1193"/>
      <c r="AW844" s="1193"/>
      <c r="AX844" s="1193"/>
      <c r="AY844" s="1193"/>
      <c r="AZ844" s="1193"/>
      <c r="BA844" s="1193"/>
      <c r="BB844" s="1193"/>
      <c r="BC844" s="1193"/>
      <c r="BD844" s="1193"/>
      <c r="BE844" s="1193"/>
      <c r="BF844" s="1193"/>
      <c r="BG844" s="1193"/>
    </row>
    <row r="845" spans="1:59" hidden="1" outlineLevel="2">
      <c r="A845" s="598"/>
      <c r="B845" s="1157"/>
      <c r="C845" s="598"/>
      <c r="D845" s="598"/>
      <c r="E845" s="598"/>
      <c r="F845" s="598"/>
      <c r="G845" s="598"/>
      <c r="H845" s="598"/>
      <c r="I845" s="598"/>
      <c r="J845" s="598"/>
      <c r="K845" s="598"/>
      <c r="L845" s="598"/>
      <c r="M845" s="598"/>
      <c r="N845" s="598"/>
      <c r="O845" s="1124"/>
      <c r="P845" s="598"/>
      <c r="Q845" s="598"/>
      <c r="R845" s="598"/>
      <c r="S845" s="598"/>
      <c r="T845" s="598"/>
      <c r="U845" s="598"/>
      <c r="V845" s="598"/>
      <c r="W845" s="598"/>
      <c r="X845" s="598"/>
      <c r="Y845" s="598"/>
      <c r="Z845" s="598"/>
      <c r="AA845" s="598"/>
      <c r="AB845" s="598"/>
      <c r="AC845" s="598"/>
      <c r="AD845" s="598"/>
      <c r="AE845" s="1124"/>
      <c r="AF845" s="598"/>
      <c r="AG845" s="598"/>
      <c r="AH845" s="598"/>
      <c r="AI845" s="598"/>
      <c r="AJ845" s="598"/>
      <c r="AK845" s="598"/>
      <c r="AL845" s="598"/>
      <c r="AM845" s="598"/>
      <c r="AN845" s="598"/>
      <c r="AP845" s="1193"/>
      <c r="AQ845" s="1193"/>
      <c r="AR845" s="1193"/>
      <c r="AS845" s="1193"/>
      <c r="AT845" s="1193"/>
      <c r="AU845" s="1193"/>
      <c r="AV845" s="1193"/>
      <c r="AW845" s="1193"/>
      <c r="AX845" s="1193"/>
      <c r="AY845" s="1193"/>
      <c r="AZ845" s="1193"/>
      <c r="BA845" s="1193"/>
      <c r="BB845" s="1193"/>
      <c r="BC845" s="1193"/>
      <c r="BD845" s="1193"/>
      <c r="BE845" s="1193"/>
      <c r="BF845" s="1193"/>
      <c r="BG845" s="1193"/>
    </row>
    <row r="846" spans="1:59" hidden="1" outlineLevel="1" collapsed="1">
      <c r="A846" s="1154"/>
      <c r="B846" s="1118">
        <f>+B839+1</f>
        <v>2005</v>
      </c>
      <c r="C846" s="598"/>
      <c r="D846" s="598"/>
      <c r="E846" s="1124"/>
      <c r="F846" s="598"/>
      <c r="G846" s="1124"/>
      <c r="H846" s="598"/>
      <c r="I846" s="1124"/>
      <c r="J846" s="598"/>
      <c r="K846" s="598"/>
      <c r="L846" s="598"/>
      <c r="M846" s="598"/>
      <c r="N846" s="598"/>
      <c r="O846" s="1124"/>
      <c r="P846" s="1125"/>
      <c r="Q846" s="1125"/>
      <c r="R846" s="598"/>
      <c r="S846" s="598"/>
      <c r="T846" s="598"/>
      <c r="U846" s="598"/>
      <c r="V846" s="598"/>
      <c r="W846" s="598"/>
      <c r="X846" s="1124"/>
      <c r="Y846" s="598"/>
      <c r="Z846" s="598"/>
      <c r="AA846" s="598"/>
      <c r="AB846" s="598"/>
      <c r="AC846" s="598"/>
      <c r="AD846" s="598"/>
      <c r="AE846" s="1124"/>
      <c r="AF846" s="1125"/>
      <c r="AG846" s="1125"/>
      <c r="AH846" s="598"/>
      <c r="AI846" s="598"/>
      <c r="AJ846" s="598"/>
      <c r="AK846" s="598"/>
      <c r="AL846" s="598"/>
      <c r="AM846" s="598"/>
      <c r="AN846" s="1124"/>
      <c r="AP846" s="1193"/>
      <c r="AQ846" s="1193"/>
      <c r="AR846" s="1193"/>
      <c r="AS846" s="1193"/>
      <c r="AT846" s="1193"/>
      <c r="AU846" s="1193"/>
      <c r="AV846" s="1193"/>
      <c r="AW846" s="1193"/>
      <c r="AX846" s="1193"/>
      <c r="AY846" s="1193"/>
      <c r="AZ846" s="1193"/>
      <c r="BA846" s="1193"/>
      <c r="BB846" s="1193"/>
      <c r="BC846" s="1193"/>
      <c r="BD846" s="1193"/>
      <c r="BE846" s="1193"/>
      <c r="BF846" s="1193"/>
      <c r="BG846" s="1193"/>
    </row>
    <row r="847" spans="1:59" hidden="1" outlineLevel="1">
      <c r="A847" s="598" t="s">
        <v>527</v>
      </c>
      <c r="B847" s="1157" t="s">
        <v>514</v>
      </c>
      <c r="C847" s="598"/>
      <c r="D847" s="1120">
        <f>F847+H847</f>
        <v>0</v>
      </c>
      <c r="E847" s="1124" t="s">
        <v>190</v>
      </c>
      <c r="F847" s="1179"/>
      <c r="G847" s="1124"/>
      <c r="H847" s="1120"/>
      <c r="I847" s="1124"/>
      <c r="J847" s="598">
        <f>Stores!CC137</f>
        <v>34</v>
      </c>
      <c r="K847" s="598"/>
      <c r="L847" s="1128">
        <f>AVERAGE(J847,J843)</f>
        <v>33.5</v>
      </c>
      <c r="M847" s="598"/>
      <c r="N847" s="1120">
        <f>(L847/L840-1)*100</f>
        <v>8.0645161290322509</v>
      </c>
      <c r="O847" s="1124" t="s">
        <v>190</v>
      </c>
      <c r="P847" s="1239">
        <v>80</v>
      </c>
      <c r="Q847" s="1125" t="s">
        <v>190</v>
      </c>
      <c r="R847" s="598"/>
      <c r="S847" s="1160"/>
      <c r="T847" s="598"/>
      <c r="U847" s="1161"/>
      <c r="V847" s="598"/>
      <c r="W847" s="1176"/>
      <c r="X847" s="1124" t="s">
        <v>190</v>
      </c>
      <c r="Y847" s="598"/>
      <c r="Z847" s="1163">
        <f>Stores!CF137</f>
        <v>1.5524619354838709</v>
      </c>
      <c r="AA847" s="598"/>
      <c r="AB847" s="1163">
        <f>AVERAGE(Z847,Z843)</f>
        <v>1.5296316129032259</v>
      </c>
      <c r="AC847" s="598"/>
      <c r="AD847" s="1120"/>
      <c r="AE847" s="1124" t="s">
        <v>190</v>
      </c>
      <c r="AF847" s="1159"/>
      <c r="AG847" s="1125" t="s">
        <v>190</v>
      </c>
      <c r="AH847" s="598"/>
      <c r="AI847" s="1160">
        <f>+S847</f>
        <v>0</v>
      </c>
      <c r="AJ847" s="598"/>
      <c r="AK847" s="1164">
        <f>AI847/AB847</f>
        <v>0</v>
      </c>
      <c r="AL847" s="598"/>
      <c r="AM847" s="1176" t="e">
        <f>(AK847/AK840-1)*100</f>
        <v>#DIV/0!</v>
      </c>
      <c r="AN847" s="1124" t="s">
        <v>190</v>
      </c>
      <c r="AP847" s="1193"/>
      <c r="AQ847" s="1193"/>
      <c r="AR847" s="1193"/>
      <c r="AS847" s="1193"/>
      <c r="AT847" s="1193"/>
      <c r="AU847" s="1193"/>
      <c r="AV847" s="1193"/>
      <c r="AW847" s="1193"/>
      <c r="AX847" s="1193"/>
      <c r="AY847" s="1193"/>
      <c r="AZ847" s="1193"/>
      <c r="BA847" s="1193"/>
      <c r="BB847" s="1193"/>
      <c r="BC847" s="1193"/>
      <c r="BD847" s="1193"/>
      <c r="BE847" s="1193"/>
      <c r="BF847" s="1193"/>
      <c r="BG847" s="1193"/>
    </row>
    <row r="848" spans="1:59" hidden="1" outlineLevel="1">
      <c r="A848" s="598" t="s">
        <v>528</v>
      </c>
      <c r="B848" s="1157" t="s">
        <v>515</v>
      </c>
      <c r="C848" s="598"/>
      <c r="D848" s="1120">
        <f>F848+H848</f>
        <v>0</v>
      </c>
      <c r="E848" s="598"/>
      <c r="F848" s="1179"/>
      <c r="G848" s="598"/>
      <c r="H848" s="1120"/>
      <c r="I848" s="598"/>
      <c r="J848" s="598">
        <f>Stores!CC138</f>
        <v>34</v>
      </c>
      <c r="K848" s="1127"/>
      <c r="L848" s="1128">
        <f>AVERAGE(J848,J847)</f>
        <v>34</v>
      </c>
      <c r="M848" s="598"/>
      <c r="N848" s="1120">
        <f>(L848/L841-1)*100</f>
        <v>9.6774193548387011</v>
      </c>
      <c r="O848" s="1124"/>
      <c r="P848" s="1239">
        <v>80</v>
      </c>
      <c r="Q848" s="1125"/>
      <c r="R848" s="598"/>
      <c r="S848" s="1165"/>
      <c r="T848" s="598"/>
      <c r="U848" s="1166"/>
      <c r="V848" s="598"/>
      <c r="W848" s="1176"/>
      <c r="X848" s="1124"/>
      <c r="Y848" s="598"/>
      <c r="Z848" s="1163">
        <f>Stores!CF138</f>
        <v>1.5524619354838709</v>
      </c>
      <c r="AA848" s="1127"/>
      <c r="AB848" s="1163">
        <f>AVERAGE(Z848,Z847)</f>
        <v>1.5524619354838709</v>
      </c>
      <c r="AC848" s="598"/>
      <c r="AD848" s="1120"/>
      <c r="AE848" s="1124"/>
      <c r="AF848" s="1159"/>
      <c r="AG848" s="1125"/>
      <c r="AH848" s="598"/>
      <c r="AI848" s="1165">
        <f>+S848</f>
        <v>0</v>
      </c>
      <c r="AJ848" s="598"/>
      <c r="AK848" s="1167">
        <f>AI848/AB848</f>
        <v>0</v>
      </c>
      <c r="AL848" s="598"/>
      <c r="AM848" s="1176" t="e">
        <f>(AK848/AK841-1)*100</f>
        <v>#DIV/0!</v>
      </c>
      <c r="AN848" s="1124"/>
      <c r="AP848" s="1193"/>
      <c r="AQ848" s="1193"/>
      <c r="AR848" s="1193"/>
      <c r="AS848" s="1193"/>
      <c r="AT848" s="1193"/>
      <c r="AU848" s="1193"/>
      <c r="AV848" s="1193"/>
      <c r="AW848" s="1193"/>
      <c r="AX848" s="1193"/>
      <c r="AY848" s="1193"/>
      <c r="AZ848" s="1193"/>
      <c r="BA848" s="1193"/>
      <c r="BB848" s="1193"/>
      <c r="BC848" s="1193"/>
      <c r="BD848" s="1193"/>
      <c r="BE848" s="1193"/>
      <c r="BF848" s="1193"/>
      <c r="BG848" s="1193"/>
    </row>
    <row r="849" spans="1:59" hidden="1" outlineLevel="1">
      <c r="A849" s="598" t="s">
        <v>529</v>
      </c>
      <c r="B849" s="1157" t="s">
        <v>516</v>
      </c>
      <c r="C849" s="598"/>
      <c r="D849" s="1120">
        <f>F849+H849</f>
        <v>0</v>
      </c>
      <c r="E849" s="598"/>
      <c r="F849" s="1179"/>
      <c r="G849" s="598"/>
      <c r="H849" s="1120"/>
      <c r="I849" s="598"/>
      <c r="J849" s="598">
        <f>Stores!CC139</f>
        <v>36</v>
      </c>
      <c r="K849" s="1127"/>
      <c r="L849" s="1128">
        <f>AVERAGE(J849,J848)</f>
        <v>35</v>
      </c>
      <c r="M849" s="598"/>
      <c r="N849" s="1120">
        <f>(L849/L842-1)*100</f>
        <v>9.375</v>
      </c>
      <c r="O849" s="1124"/>
      <c r="P849" s="1239">
        <v>80</v>
      </c>
      <c r="Q849" s="1125"/>
      <c r="R849" s="598"/>
      <c r="S849" s="1165"/>
      <c r="T849" s="598"/>
      <c r="U849" s="1166"/>
      <c r="V849" s="598"/>
      <c r="W849" s="1176"/>
      <c r="X849" s="1124"/>
      <c r="Y849" s="598"/>
      <c r="Z849" s="1163">
        <f>Stores!CF139</f>
        <v>1.6437832258064518</v>
      </c>
      <c r="AA849" s="1127"/>
      <c r="AB849" s="1163">
        <f>AVERAGE(Z849,Z848)</f>
        <v>1.5981225806451613</v>
      </c>
      <c r="AC849" s="598"/>
      <c r="AD849" s="1120"/>
      <c r="AE849" s="1124"/>
      <c r="AF849" s="1159"/>
      <c r="AG849" s="1125"/>
      <c r="AH849" s="598"/>
      <c r="AI849" s="1165">
        <f>+S849</f>
        <v>0</v>
      </c>
      <c r="AJ849" s="598"/>
      <c r="AK849" s="1167">
        <f>AI849/AB849</f>
        <v>0</v>
      </c>
      <c r="AL849" s="598"/>
      <c r="AM849" s="1176" t="e">
        <f>(AK849/AK842-1)*100</f>
        <v>#DIV/0!</v>
      </c>
      <c r="AN849" s="1124"/>
      <c r="AP849" s="1193"/>
      <c r="AQ849" s="1193"/>
      <c r="AR849" s="1193"/>
      <c r="AS849" s="1193"/>
      <c r="AT849" s="1193"/>
      <c r="AU849" s="1193"/>
      <c r="AV849" s="1193"/>
      <c r="AW849" s="1193"/>
      <c r="AX849" s="1193"/>
      <c r="AY849" s="1193"/>
      <c r="AZ849" s="1193"/>
      <c r="BA849" s="1193"/>
      <c r="BB849" s="1193"/>
      <c r="BC849" s="1193"/>
      <c r="BD849" s="1193"/>
      <c r="BE849" s="1193"/>
      <c r="BF849" s="1193"/>
      <c r="BG849" s="1193"/>
    </row>
    <row r="850" spans="1:59" hidden="1" outlineLevel="1">
      <c r="A850" s="598" t="s">
        <v>530</v>
      </c>
      <c r="B850" s="1157" t="s">
        <v>517</v>
      </c>
      <c r="C850" s="598"/>
      <c r="D850" s="1168">
        <f>F850+H850</f>
        <v>0</v>
      </c>
      <c r="E850" s="598"/>
      <c r="F850" s="1178"/>
      <c r="G850" s="598"/>
      <c r="H850" s="1168"/>
      <c r="I850" s="598"/>
      <c r="J850" s="598">
        <f>yrSales!Q$328</f>
        <v>35</v>
      </c>
      <c r="K850" s="1127"/>
      <c r="L850" s="1171">
        <f>AVERAGE(J850,J849)</f>
        <v>35.5</v>
      </c>
      <c r="M850" s="598"/>
      <c r="N850" s="1168">
        <f>(L850/L843-1)*100</f>
        <v>7.575757575757569</v>
      </c>
      <c r="O850" s="1124"/>
      <c r="P850" s="1241">
        <v>100</v>
      </c>
      <c r="Q850" s="1125"/>
      <c r="R850" s="598"/>
      <c r="S850" s="1172"/>
      <c r="T850" s="598"/>
      <c r="U850" s="1173"/>
      <c r="V850" s="598"/>
      <c r="W850" s="1169"/>
      <c r="X850" s="1124"/>
      <c r="Y850" s="598"/>
      <c r="Z850" s="1129">
        <f>yrSales!Q$338</f>
        <v>1.593</v>
      </c>
      <c r="AA850" s="1127"/>
      <c r="AB850" s="1174">
        <f>AVERAGE(Z850,Z849)</f>
        <v>1.6183916129032259</v>
      </c>
      <c r="AC850" s="598"/>
      <c r="AD850" s="1168">
        <f>(AB850/AB843-1)*100</f>
        <v>7.4057756186786561</v>
      </c>
      <c r="AE850" s="1124"/>
      <c r="AF850" s="1171">
        <f>+H850/AD850*100</f>
        <v>0</v>
      </c>
      <c r="AG850" s="1125"/>
      <c r="AH850" s="598"/>
      <c r="AI850" s="1172">
        <f>+S850</f>
        <v>0</v>
      </c>
      <c r="AJ850" s="598"/>
      <c r="AK850" s="1175">
        <f>AI850/AB850</f>
        <v>0</v>
      </c>
      <c r="AL850" s="598"/>
      <c r="AM850" s="1169" t="e">
        <f>(AK850/AK843-1)*100</f>
        <v>#DIV/0!</v>
      </c>
      <c r="AN850" s="1124"/>
      <c r="AP850" s="1193"/>
      <c r="AQ850" s="1193"/>
      <c r="AR850" s="1193"/>
      <c r="AS850" s="1193"/>
      <c r="AT850" s="1193"/>
      <c r="AU850" s="1193"/>
      <c r="AV850" s="1193"/>
      <c r="AW850" s="1193"/>
      <c r="AX850" s="1193"/>
      <c r="AY850" s="1193"/>
      <c r="AZ850" s="1193"/>
      <c r="BA850" s="1193"/>
      <c r="BB850" s="1193"/>
      <c r="BC850" s="1193"/>
      <c r="BD850" s="1193"/>
      <c r="BE850" s="1193"/>
      <c r="BF850" s="1193"/>
      <c r="BG850" s="1193"/>
    </row>
    <row r="851" spans="1:59" hidden="1" outlineLevel="1">
      <c r="A851" s="598"/>
      <c r="B851" s="1157" t="s">
        <v>531</v>
      </c>
      <c r="C851" s="598"/>
      <c r="D851" s="1120" t="e">
        <f>(S851/S844-1)*100</f>
        <v>#DIV/0!</v>
      </c>
      <c r="E851" s="598"/>
      <c r="F851" s="1179"/>
      <c r="G851" s="598"/>
      <c r="H851" s="1120"/>
      <c r="I851" s="598"/>
      <c r="J851" s="598"/>
      <c r="K851" s="598"/>
      <c r="L851" s="1128">
        <f>AVERAGE(L847:L850)</f>
        <v>34.5</v>
      </c>
      <c r="M851" s="598"/>
      <c r="N851" s="1120">
        <f>(L851/L844-1)*100</f>
        <v>8.6614173228346516</v>
      </c>
      <c r="O851" s="1124"/>
      <c r="P851" s="1159">
        <f>H851/N851*100</f>
        <v>0</v>
      </c>
      <c r="Q851" s="1125"/>
      <c r="R851" s="598"/>
      <c r="S851" s="1160"/>
      <c r="T851" s="598"/>
      <c r="U851" s="1161"/>
      <c r="V851" s="598"/>
      <c r="W851" s="1176" t="e">
        <f>(U851/U844-1)*100</f>
        <v>#DIV/0!</v>
      </c>
      <c r="X851" s="1124"/>
      <c r="Y851" s="598"/>
      <c r="Z851" s="598"/>
      <c r="AA851" s="598"/>
      <c r="AB851" s="1163">
        <f>AVERAGE(AB847:AB850)</f>
        <v>1.5746519354838711</v>
      </c>
      <c r="AC851" s="598"/>
      <c r="AD851" s="1120">
        <f>(AB851/AB844-1)*100</f>
        <v>8.5188148081948967</v>
      </c>
      <c r="AE851" s="1124"/>
      <c r="AF851" s="1159">
        <f>+H851/AD851*100</f>
        <v>0</v>
      </c>
      <c r="AG851" s="1125"/>
      <c r="AH851" s="598"/>
      <c r="AI851" s="1160">
        <f>SUM(AI847:AI850)</f>
        <v>0</v>
      </c>
      <c r="AJ851" s="598"/>
      <c r="AK851" s="1164">
        <f>SUM(AK847:AK850)</f>
        <v>0</v>
      </c>
      <c r="AL851" s="598"/>
      <c r="AM851" s="1176" t="e">
        <f>(AK851/AK844-1)*100</f>
        <v>#DIV/0!</v>
      </c>
      <c r="AN851" s="1124"/>
      <c r="AP851" s="1193"/>
      <c r="AQ851" s="1193"/>
      <c r="AR851" s="1193"/>
      <c r="AS851" s="1193"/>
      <c r="AT851" s="1193"/>
      <c r="AU851" s="1193"/>
      <c r="AV851" s="1193"/>
      <c r="AW851" s="1193"/>
      <c r="AX851" s="1193"/>
      <c r="AY851" s="1193"/>
      <c r="AZ851" s="1193"/>
      <c r="BA851" s="1193"/>
      <c r="BB851" s="1193"/>
      <c r="BC851" s="1193"/>
      <c r="BD851" s="1193"/>
      <c r="BE851" s="1193"/>
      <c r="BF851" s="1193"/>
      <c r="BG851" s="1193"/>
    </row>
    <row r="852" spans="1:59" hidden="1" outlineLevel="1">
      <c r="A852" s="598"/>
      <c r="B852" s="1157"/>
      <c r="C852" s="598"/>
      <c r="D852" s="598"/>
      <c r="E852" s="598"/>
      <c r="F852" s="598"/>
      <c r="G852" s="598"/>
      <c r="H852" s="598"/>
      <c r="I852" s="598"/>
      <c r="J852" s="598"/>
      <c r="K852" s="598"/>
      <c r="L852" s="598"/>
      <c r="M852" s="598"/>
      <c r="N852" s="598"/>
      <c r="O852" s="598"/>
      <c r="P852" s="598"/>
      <c r="Q852" s="598"/>
      <c r="R852" s="598"/>
      <c r="S852" s="598"/>
      <c r="T852" s="598"/>
      <c r="U852" s="598"/>
      <c r="V852" s="598"/>
      <c r="W852" s="598"/>
      <c r="X852" s="598"/>
      <c r="Y852" s="598"/>
      <c r="Z852" s="598"/>
      <c r="AA852" s="598"/>
      <c r="AB852" s="598"/>
      <c r="AC852" s="598"/>
      <c r="AD852" s="598"/>
      <c r="AE852" s="598"/>
      <c r="AF852" s="598"/>
      <c r="AG852" s="598"/>
      <c r="AH852" s="598"/>
      <c r="AI852" s="598"/>
      <c r="AJ852" s="598"/>
      <c r="AK852" s="598"/>
      <c r="AL852" s="598"/>
      <c r="AM852" s="598"/>
      <c r="AN852" s="598"/>
      <c r="AP852" s="1193"/>
      <c r="AQ852" s="1193"/>
      <c r="AR852" s="1193"/>
      <c r="AS852" s="1193"/>
      <c r="AT852" s="1193"/>
      <c r="AU852" s="1193"/>
      <c r="AV852" s="1193"/>
      <c r="AW852" s="1193"/>
      <c r="AX852" s="1193"/>
      <c r="AY852" s="1193"/>
      <c r="AZ852" s="1193"/>
      <c r="BA852" s="1193"/>
      <c r="BB852" s="1193"/>
      <c r="BC852" s="1193"/>
      <c r="BD852" s="1193"/>
      <c r="BE852" s="1193"/>
      <c r="BF852" s="1193"/>
      <c r="BG852" s="1193"/>
    </row>
    <row r="853" spans="1:59" hidden="1" outlineLevel="1">
      <c r="A853" s="1154"/>
      <c r="B853" s="1118">
        <f>+B846+1</f>
        <v>2006</v>
      </c>
      <c r="C853" s="598"/>
      <c r="D853" s="598"/>
      <c r="E853" s="1124"/>
      <c r="F853" s="598"/>
      <c r="G853" s="1124"/>
      <c r="H853" s="598"/>
      <c r="I853" s="1124"/>
      <c r="J853" s="598"/>
      <c r="K853" s="598"/>
      <c r="L853" s="598"/>
      <c r="M853" s="598"/>
      <c r="N853" s="598"/>
      <c r="O853" s="1124"/>
      <c r="P853" s="1125"/>
      <c r="Q853" s="1125"/>
      <c r="R853" s="598"/>
      <c r="S853" s="598"/>
      <c r="T853" s="598"/>
      <c r="U853" s="598"/>
      <c r="V853" s="598"/>
      <c r="W853" s="598"/>
      <c r="X853" s="1124"/>
      <c r="Y853" s="598"/>
      <c r="Z853" s="598"/>
      <c r="AA853" s="598"/>
      <c r="AB853" s="598"/>
      <c r="AC853" s="598"/>
      <c r="AD853" s="598"/>
      <c r="AE853" s="1124"/>
      <c r="AF853" s="1125"/>
      <c r="AG853" s="1125"/>
      <c r="AH853" s="598"/>
      <c r="AI853" s="598"/>
      <c r="AJ853" s="598"/>
      <c r="AK853" s="598"/>
      <c r="AL853" s="598"/>
      <c r="AM853" s="598"/>
      <c r="AN853" s="1124"/>
      <c r="AP853" s="1193"/>
      <c r="AQ853" s="1193"/>
      <c r="AR853" s="1193"/>
      <c r="AS853" s="1193"/>
      <c r="AT853" s="1193"/>
      <c r="AU853" s="1193"/>
      <c r="AV853" s="1193"/>
      <c r="AW853" s="1193"/>
      <c r="AX853" s="1193"/>
      <c r="AY853" s="1193"/>
      <c r="AZ853" s="1193"/>
      <c r="BA853" s="1193"/>
      <c r="BB853" s="1193"/>
      <c r="BC853" s="1193"/>
      <c r="BD853" s="1193"/>
      <c r="BE853" s="1193"/>
      <c r="BF853" s="1193"/>
      <c r="BG853" s="1193"/>
    </row>
    <row r="854" spans="1:59" hidden="1" outlineLevel="1">
      <c r="A854" s="598" t="s">
        <v>527</v>
      </c>
      <c r="B854" s="1157" t="s">
        <v>514</v>
      </c>
      <c r="C854" s="598"/>
      <c r="D854" s="1120" t="e">
        <f>(S854/S847-1)*100</f>
        <v>#DIV/0!</v>
      </c>
      <c r="E854" s="1124" t="s">
        <v>190</v>
      </c>
      <c r="F854" s="1179"/>
      <c r="G854" s="1124"/>
      <c r="H854" s="1120"/>
      <c r="I854" s="1124"/>
      <c r="J854" s="598">
        <f>Stores!CC145</f>
        <v>35</v>
      </c>
      <c r="K854" s="598"/>
      <c r="L854" s="1128">
        <f>AVERAGE(J854,J850)</f>
        <v>35</v>
      </c>
      <c r="M854" s="598"/>
      <c r="N854" s="1120">
        <f>(L854/L847-1)*100</f>
        <v>4.4776119402984982</v>
      </c>
      <c r="O854" s="1124" t="s">
        <v>190</v>
      </c>
      <c r="P854" s="1159">
        <f>H854/N854*100</f>
        <v>0</v>
      </c>
      <c r="Q854" s="1125" t="s">
        <v>190</v>
      </c>
      <c r="R854" s="598"/>
      <c r="S854" s="1160"/>
      <c r="T854" s="598"/>
      <c r="U854" s="1161"/>
      <c r="V854" s="598"/>
      <c r="W854" s="1176" t="e">
        <f>(U854/U847-1)*100</f>
        <v>#DIV/0!</v>
      </c>
      <c r="X854" s="1124" t="s">
        <v>190</v>
      </c>
      <c r="Y854" s="598"/>
      <c r="Z854" s="1163">
        <f>Stores!CF145</f>
        <v>1.6</v>
      </c>
      <c r="AA854" s="598"/>
      <c r="AB854" s="1163">
        <f>AVERAGE(Z854,Z850)</f>
        <v>1.5965</v>
      </c>
      <c r="AC854" s="598"/>
      <c r="AD854" s="1120">
        <f>(AB854/AB847-1)*100</f>
        <v>4.3715353770610532</v>
      </c>
      <c r="AE854" s="1124" t="s">
        <v>190</v>
      </c>
      <c r="AF854" s="1159">
        <f>+H854/AD854*100</f>
        <v>0</v>
      </c>
      <c r="AG854" s="1125" t="s">
        <v>190</v>
      </c>
      <c r="AH854" s="598"/>
      <c r="AI854" s="1160">
        <f>+S854</f>
        <v>0</v>
      </c>
      <c r="AJ854" s="598"/>
      <c r="AK854" s="1164">
        <f>AI854/AB854</f>
        <v>0</v>
      </c>
      <c r="AL854" s="598"/>
      <c r="AM854" s="1176" t="e">
        <f>(AK854/AK847-1)*100</f>
        <v>#DIV/0!</v>
      </c>
      <c r="AN854" s="1124" t="s">
        <v>190</v>
      </c>
      <c r="AP854" s="1193"/>
      <c r="AQ854" s="1193"/>
      <c r="AR854" s="1193"/>
      <c r="AS854" s="1193"/>
      <c r="AT854" s="1193"/>
      <c r="AU854" s="1193"/>
      <c r="AV854" s="1193"/>
      <c r="AW854" s="1193"/>
      <c r="AX854" s="1193"/>
      <c r="AY854" s="1193"/>
      <c r="AZ854" s="1193"/>
      <c r="BA854" s="1193"/>
      <c r="BB854" s="1193"/>
      <c r="BC854" s="1193"/>
      <c r="BD854" s="1193"/>
      <c r="BE854" s="1193"/>
      <c r="BF854" s="1193"/>
      <c r="BG854" s="1193"/>
    </row>
    <row r="855" spans="1:59" hidden="1" outlineLevel="1">
      <c r="A855" s="598" t="s">
        <v>528</v>
      </c>
      <c r="B855" s="1157" t="s">
        <v>515</v>
      </c>
      <c r="C855" s="598"/>
      <c r="D855" s="1120" t="e">
        <f>(S855/S848-1)*100</f>
        <v>#DIV/0!</v>
      </c>
      <c r="E855" s="598"/>
      <c r="F855" s="1179"/>
      <c r="G855" s="598"/>
      <c r="H855" s="1120"/>
      <c r="I855" s="598"/>
      <c r="J855" s="598">
        <f>Stores!CC146</f>
        <v>36</v>
      </c>
      <c r="K855" s="1127"/>
      <c r="L855" s="1128">
        <f>AVERAGE(J855,J854)</f>
        <v>35.5</v>
      </c>
      <c r="M855" s="598"/>
      <c r="N855" s="1120">
        <f>(L855/L848-1)*100</f>
        <v>4.4117647058823595</v>
      </c>
      <c r="O855" s="1124"/>
      <c r="P855" s="1159">
        <f>H855/N855*100</f>
        <v>0</v>
      </c>
      <c r="Q855" s="1125"/>
      <c r="R855" s="598"/>
      <c r="S855" s="1165"/>
      <c r="T855" s="598"/>
      <c r="U855" s="1166"/>
      <c r="V855" s="598"/>
      <c r="W855" s="1176" t="e">
        <f>(U855/U848-1)*100</f>
        <v>#DIV/0!</v>
      </c>
      <c r="X855" s="1124"/>
      <c r="Y855" s="598"/>
      <c r="Z855" s="1163">
        <f>Stores!CF146</f>
        <v>1.6</v>
      </c>
      <c r="AA855" s="1127"/>
      <c r="AB855" s="1163">
        <f>AVERAGE(Z855,Z854)</f>
        <v>1.6</v>
      </c>
      <c r="AC855" s="598"/>
      <c r="AD855" s="1120">
        <f>(AB855/AB848-1)*100</f>
        <v>3.0621082185382287</v>
      </c>
      <c r="AE855" s="1124"/>
      <c r="AF855" s="1159">
        <f>+H855/AD855*100</f>
        <v>0</v>
      </c>
      <c r="AG855" s="1125"/>
      <c r="AH855" s="598"/>
      <c r="AI855" s="1165">
        <f>+S855</f>
        <v>0</v>
      </c>
      <c r="AJ855" s="598"/>
      <c r="AK855" s="1167">
        <f>AI855/AB855</f>
        <v>0</v>
      </c>
      <c r="AL855" s="598"/>
      <c r="AM855" s="1176" t="e">
        <f>(AK855/AK848-1)*100</f>
        <v>#DIV/0!</v>
      </c>
      <c r="AN855" s="1124"/>
      <c r="AP855" s="1193"/>
      <c r="AQ855" s="1193"/>
      <c r="AR855" s="1193"/>
      <c r="AS855" s="1193"/>
      <c r="AT855" s="1193"/>
      <c r="AU855" s="1193"/>
      <c r="AV855" s="1193"/>
      <c r="AW855" s="1193"/>
      <c r="AX855" s="1193"/>
      <c r="AY855" s="1193"/>
      <c r="AZ855" s="1193"/>
      <c r="BA855" s="1193"/>
      <c r="BB855" s="1193"/>
      <c r="BC855" s="1193"/>
      <c r="BD855" s="1193"/>
      <c r="BE855" s="1193"/>
      <c r="BF855" s="1193"/>
      <c r="BG855" s="1193"/>
    </row>
    <row r="856" spans="1:59" hidden="1" outlineLevel="1">
      <c r="A856" s="598" t="s">
        <v>529</v>
      </c>
      <c r="B856" s="1157" t="s">
        <v>516</v>
      </c>
      <c r="C856" s="598"/>
      <c r="D856" s="1120" t="e">
        <f>(S856/S849-1)*100</f>
        <v>#DIV/0!</v>
      </c>
      <c r="E856" s="598"/>
      <c r="F856" s="1179"/>
      <c r="G856" s="598"/>
      <c r="H856" s="1120"/>
      <c r="I856" s="598"/>
      <c r="J856" s="598">
        <f>Stores!CC147</f>
        <v>36</v>
      </c>
      <c r="K856" s="1127"/>
      <c r="L856" s="1128">
        <f>AVERAGE(J856,J855)</f>
        <v>36</v>
      </c>
      <c r="M856" s="598"/>
      <c r="N856" s="1120">
        <f>(L856/L849-1)*100</f>
        <v>2.857142857142847</v>
      </c>
      <c r="O856" s="1124"/>
      <c r="P856" s="1159">
        <f>H856/N856*100</f>
        <v>0</v>
      </c>
      <c r="Q856" s="1125"/>
      <c r="R856" s="598"/>
      <c r="S856" s="1165"/>
      <c r="T856" s="598"/>
      <c r="U856" s="1166"/>
      <c r="V856" s="598"/>
      <c r="W856" s="1176" t="e">
        <f>(U856/U849-1)*100</f>
        <v>#DIV/0!</v>
      </c>
      <c r="X856" s="1124"/>
      <c r="Y856" s="598"/>
      <c r="Z856" s="1163">
        <f>Stores!CF147</f>
        <v>1.6</v>
      </c>
      <c r="AA856" s="1127"/>
      <c r="AB856" s="1163">
        <f>AVERAGE(Z856,Z855)</f>
        <v>1.6</v>
      </c>
      <c r="AC856" s="598"/>
      <c r="AD856" s="1120">
        <f>(AB856/AB849-1)*100</f>
        <v>0.11747655515141897</v>
      </c>
      <c r="AE856" s="1124"/>
      <c r="AF856" s="1159">
        <f>+H856/AD856*100</f>
        <v>0</v>
      </c>
      <c r="AG856" s="1125"/>
      <c r="AH856" s="598"/>
      <c r="AI856" s="1165">
        <f>+S856</f>
        <v>0</v>
      </c>
      <c r="AJ856" s="598"/>
      <c r="AK856" s="1167">
        <f>AI856/AB856</f>
        <v>0</v>
      </c>
      <c r="AL856" s="598"/>
      <c r="AM856" s="1176" t="e">
        <f>(AK856/AK849-1)*100</f>
        <v>#DIV/0!</v>
      </c>
      <c r="AN856" s="1124"/>
      <c r="AP856" s="1193"/>
      <c r="AQ856" s="1193"/>
      <c r="AR856" s="1193"/>
      <c r="AS856" s="1193"/>
      <c r="AT856" s="1193"/>
      <c r="AU856" s="1193"/>
      <c r="AV856" s="1193"/>
      <c r="AW856" s="1193"/>
      <c r="AX856" s="1193"/>
      <c r="AY856" s="1193"/>
      <c r="AZ856" s="1193"/>
      <c r="BA856" s="1193"/>
      <c r="BB856" s="1193"/>
      <c r="BC856" s="1193"/>
      <c r="BD856" s="1193"/>
      <c r="BE856" s="1193"/>
      <c r="BF856" s="1193"/>
      <c r="BG856" s="1193"/>
    </row>
    <row r="857" spans="1:59" hidden="1" outlineLevel="1">
      <c r="A857" s="598" t="s">
        <v>530</v>
      </c>
      <c r="B857" s="1157" t="s">
        <v>517</v>
      </c>
      <c r="C857" s="598"/>
      <c r="D857" s="1168" t="e">
        <f>(S857/S850-1)*100</f>
        <v>#DIV/0!</v>
      </c>
      <c r="E857" s="598"/>
      <c r="F857" s="1178"/>
      <c r="G857" s="598"/>
      <c r="H857" s="1168"/>
      <c r="I857" s="598"/>
      <c r="J857" s="598">
        <f>Stores!CC148</f>
        <v>36</v>
      </c>
      <c r="K857" s="1127"/>
      <c r="L857" s="1171">
        <f>AVERAGE(J857,J856)</f>
        <v>36</v>
      </c>
      <c r="M857" s="598"/>
      <c r="N857" s="1168">
        <f>(L857/L850-1)*100</f>
        <v>1.4084507042253502</v>
      </c>
      <c r="O857" s="1124"/>
      <c r="P857" s="1171">
        <f>H857/N857*100</f>
        <v>0</v>
      </c>
      <c r="Q857" s="1125"/>
      <c r="R857" s="598"/>
      <c r="S857" s="1172"/>
      <c r="T857" s="598"/>
      <c r="U857" s="1173"/>
      <c r="V857" s="598"/>
      <c r="W857" s="1169" t="e">
        <f>(U857/U850-1)*100</f>
        <v>#DIV/0!</v>
      </c>
      <c r="X857" s="1124"/>
      <c r="Y857" s="598"/>
      <c r="Z857" s="1163">
        <f>Stores!CF148</f>
        <v>1.6</v>
      </c>
      <c r="AA857" s="1127"/>
      <c r="AB857" s="1174">
        <f>AVERAGE(Z857,Z856)</f>
        <v>1.6</v>
      </c>
      <c r="AC857" s="598"/>
      <c r="AD857" s="1168">
        <f>(AB857/AB850-1)*100</f>
        <v>-1.1364130137966555</v>
      </c>
      <c r="AE857" s="1124"/>
      <c r="AF857" s="1171">
        <f>+H857/AD857*100</f>
        <v>0</v>
      </c>
      <c r="AG857" s="1125"/>
      <c r="AH857" s="598"/>
      <c r="AI857" s="1172">
        <f>+S857</f>
        <v>0</v>
      </c>
      <c r="AJ857" s="598"/>
      <c r="AK857" s="1175">
        <f>AI857/AB857</f>
        <v>0</v>
      </c>
      <c r="AL857" s="598"/>
      <c r="AM857" s="1169" t="e">
        <f>(AK857/AK850-1)*100</f>
        <v>#DIV/0!</v>
      </c>
      <c r="AN857" s="1124"/>
      <c r="AP857" s="1193"/>
      <c r="AQ857" s="1193"/>
      <c r="AR857" s="1193"/>
      <c r="AS857" s="1193"/>
      <c r="AT857" s="1193"/>
      <c r="AU857" s="1193"/>
      <c r="AV857" s="1193"/>
      <c r="AW857" s="1193"/>
      <c r="AX857" s="1193"/>
      <c r="AY857" s="1193"/>
      <c r="AZ857" s="1193"/>
      <c r="BA857" s="1193"/>
      <c r="BB857" s="1193"/>
      <c r="BC857" s="1193"/>
      <c r="BD857" s="1193"/>
      <c r="BE857" s="1193"/>
      <c r="BF857" s="1193"/>
      <c r="BG857" s="1193"/>
    </row>
    <row r="858" spans="1:59" hidden="1" outlineLevel="1">
      <c r="A858" s="598"/>
      <c r="B858" s="1157" t="s">
        <v>531</v>
      </c>
      <c r="C858" s="598"/>
      <c r="D858" s="1120" t="e">
        <f>(S858/S851-1)*100</f>
        <v>#DIV/0!</v>
      </c>
      <c r="E858" s="598"/>
      <c r="F858" s="1179"/>
      <c r="G858" s="598"/>
      <c r="H858" s="1120"/>
      <c r="I858" s="598"/>
      <c r="J858" s="598"/>
      <c r="K858" s="598"/>
      <c r="L858" s="1128">
        <f>AVERAGE(L854:L857)</f>
        <v>35.625</v>
      </c>
      <c r="M858" s="598"/>
      <c r="N858" s="1120">
        <f>(L858/L851-1)*100</f>
        <v>3.2608695652173836</v>
      </c>
      <c r="O858" s="1124"/>
      <c r="P858" s="1159">
        <f>H858/N858*100</f>
        <v>0</v>
      </c>
      <c r="Q858" s="1125"/>
      <c r="R858" s="598"/>
      <c r="S858" s="1160"/>
      <c r="T858" s="598"/>
      <c r="U858" s="1161"/>
      <c r="V858" s="598"/>
      <c r="W858" s="1176" t="e">
        <f>(U858/U851-1)*100</f>
        <v>#DIV/0!</v>
      </c>
      <c r="X858" s="1124"/>
      <c r="Y858" s="598"/>
      <c r="Z858" s="598"/>
      <c r="AA858" s="598"/>
      <c r="AB858" s="1163">
        <f>AVERAGE(AB854:AB857)</f>
        <v>1.5991249999999999</v>
      </c>
      <c r="AC858" s="598"/>
      <c r="AD858" s="1120">
        <f>(AB858/AB851-1)*100</f>
        <v>1.5541888314898333</v>
      </c>
      <c r="AE858" s="1124"/>
      <c r="AF858" s="1159">
        <f>+H858/AD858*100</f>
        <v>0</v>
      </c>
      <c r="AG858" s="1125"/>
      <c r="AH858" s="598"/>
      <c r="AI858" s="1160">
        <f>SUM(AI854:AI857)</f>
        <v>0</v>
      </c>
      <c r="AJ858" s="598"/>
      <c r="AK858" s="1164">
        <f>SUM(AK854:AK857)</f>
        <v>0</v>
      </c>
      <c r="AL858" s="598"/>
      <c r="AM858" s="1176" t="e">
        <f>(AK858/AK851-1)*100</f>
        <v>#DIV/0!</v>
      </c>
      <c r="AN858" s="1124"/>
      <c r="AP858" s="1193"/>
      <c r="AQ858" s="1193"/>
      <c r="AR858" s="1193"/>
      <c r="AS858" s="1193"/>
      <c r="AT858" s="1193"/>
      <c r="AU858" s="1193"/>
      <c r="AV858" s="1193"/>
      <c r="AW858" s="1193"/>
      <c r="AX858" s="1193"/>
      <c r="AY858" s="1193"/>
      <c r="AZ858" s="1193"/>
      <c r="BA858" s="1193"/>
      <c r="BB858" s="1193"/>
      <c r="BC858" s="1193"/>
      <c r="BD858" s="1193"/>
      <c r="BE858" s="1193"/>
      <c r="BF858" s="1193"/>
      <c r="BG858" s="1193"/>
    </row>
    <row r="859" spans="1:59" hidden="1" outlineLevel="1">
      <c r="A859" s="598"/>
      <c r="B859" s="1157"/>
      <c r="C859" s="598"/>
      <c r="D859" s="598"/>
      <c r="E859" s="598"/>
      <c r="F859" s="598"/>
      <c r="G859" s="598"/>
      <c r="H859" s="598"/>
      <c r="I859" s="598"/>
      <c r="J859" s="598"/>
      <c r="K859" s="598"/>
      <c r="L859" s="598"/>
      <c r="M859" s="598"/>
      <c r="N859" s="598"/>
      <c r="O859" s="598"/>
      <c r="P859" s="598"/>
      <c r="Q859" s="598"/>
      <c r="R859" s="598"/>
      <c r="S859" s="598"/>
      <c r="T859" s="598"/>
      <c r="U859" s="598"/>
      <c r="V859" s="598"/>
      <c r="W859" s="598"/>
      <c r="X859" s="598"/>
      <c r="Y859" s="598"/>
      <c r="Z859" s="598"/>
      <c r="AA859" s="598"/>
      <c r="AB859" s="598"/>
      <c r="AC859" s="598"/>
      <c r="AD859" s="598"/>
      <c r="AE859" s="598"/>
      <c r="AF859" s="598"/>
      <c r="AG859" s="598"/>
      <c r="AH859" s="598"/>
      <c r="AI859" s="598"/>
      <c r="AJ859" s="598"/>
      <c r="AK859" s="598"/>
      <c r="AL859" s="598"/>
      <c r="AM859" s="598"/>
      <c r="AN859" s="598"/>
      <c r="AP859" s="1193"/>
      <c r="AQ859" s="1193"/>
      <c r="AR859" s="1193"/>
      <c r="AS859" s="1193"/>
      <c r="AT859" s="1193"/>
      <c r="AU859" s="1193"/>
      <c r="AV859" s="1193"/>
      <c r="AW859" s="1193"/>
      <c r="AX859" s="1193"/>
      <c r="AY859" s="1193"/>
      <c r="AZ859" s="1193"/>
      <c r="BA859" s="1193"/>
      <c r="BB859" s="1193"/>
      <c r="BC859" s="1193"/>
      <c r="BD859" s="1193"/>
      <c r="BE859" s="1193"/>
      <c r="BF859" s="1193"/>
      <c r="BG859" s="1193"/>
    </row>
    <row r="860" spans="1:59" hidden="1" outlineLevel="1">
      <c r="A860" s="1154"/>
      <c r="B860" s="1118">
        <f>+B853+1</f>
        <v>2007</v>
      </c>
      <c r="C860" s="598"/>
      <c r="D860" s="598"/>
      <c r="E860" s="1124"/>
      <c r="F860" s="598"/>
      <c r="G860" s="1124"/>
      <c r="H860" s="598"/>
      <c r="I860" s="1124"/>
      <c r="J860" s="598"/>
      <c r="K860" s="598"/>
      <c r="L860" s="598"/>
      <c r="M860" s="598"/>
      <c r="N860" s="598"/>
      <c r="O860" s="1124"/>
      <c r="P860" s="1125"/>
      <c r="Q860" s="1125"/>
      <c r="R860" s="598"/>
      <c r="S860" s="598"/>
      <c r="T860" s="598"/>
      <c r="U860" s="598"/>
      <c r="V860" s="598"/>
      <c r="W860" s="598"/>
      <c r="X860" s="1124"/>
      <c r="Y860" s="598"/>
      <c r="Z860" s="598"/>
      <c r="AA860" s="598"/>
      <c r="AB860" s="598"/>
      <c r="AC860" s="598"/>
      <c r="AD860" s="598"/>
      <c r="AE860" s="1124"/>
      <c r="AF860" s="1125"/>
      <c r="AG860" s="1125"/>
      <c r="AH860" s="598"/>
      <c r="AI860" s="598"/>
      <c r="AJ860" s="598"/>
      <c r="AK860" s="598"/>
      <c r="AL860" s="598"/>
      <c r="AM860" s="598"/>
      <c r="AN860" s="1124"/>
      <c r="AP860" s="1193"/>
      <c r="AQ860" s="1193"/>
      <c r="AR860" s="1193"/>
      <c r="AS860" s="1193"/>
      <c r="AT860" s="1193"/>
      <c r="AU860" s="1193"/>
      <c r="AV860" s="1193"/>
      <c r="AW860" s="1193"/>
      <c r="AX860" s="1193"/>
      <c r="AY860" s="1193"/>
      <c r="AZ860" s="1193"/>
      <c r="BA860" s="1193"/>
      <c r="BB860" s="1193"/>
      <c r="BC860" s="1193"/>
      <c r="BD860" s="1193"/>
      <c r="BE860" s="1193"/>
      <c r="BF860" s="1193"/>
      <c r="BG860" s="1193"/>
    </row>
    <row r="861" spans="1:59" hidden="1" outlineLevel="1">
      <c r="A861" s="598" t="s">
        <v>527</v>
      </c>
      <c r="B861" s="1157" t="s">
        <v>514</v>
      </c>
      <c r="C861" s="598"/>
      <c r="D861" s="1120" t="e">
        <f>(S861/S854-1)*100</f>
        <v>#DIV/0!</v>
      </c>
      <c r="E861" s="1124" t="s">
        <v>190</v>
      </c>
      <c r="F861" s="1179"/>
      <c r="G861" s="1124"/>
      <c r="H861" s="1120"/>
      <c r="I861" s="1124"/>
      <c r="J861" s="598">
        <f>Stores!CC152</f>
        <v>35</v>
      </c>
      <c r="K861" s="598"/>
      <c r="L861" s="1128">
        <f>AVERAGE(J861,J857)</f>
        <v>35.5</v>
      </c>
      <c r="M861" s="598"/>
      <c r="N861" s="1120">
        <f>(L861/L854-1)*100</f>
        <v>1.4285714285714235</v>
      </c>
      <c r="O861" s="1124" t="s">
        <v>190</v>
      </c>
      <c r="P861" s="1159">
        <f>H861/N861*100</f>
        <v>0</v>
      </c>
      <c r="Q861" s="1125" t="s">
        <v>190</v>
      </c>
      <c r="R861" s="598"/>
      <c r="S861" s="1160"/>
      <c r="T861" s="598"/>
      <c r="U861" s="1161"/>
      <c r="V861" s="598"/>
      <c r="W861" s="1176" t="e">
        <f>(U861/U854-1)*100</f>
        <v>#DIV/0!</v>
      </c>
      <c r="X861" s="1124" t="s">
        <v>190</v>
      </c>
      <c r="Y861" s="598"/>
      <c r="Z861" s="1163">
        <f>Stores!CF152</f>
        <v>1.6</v>
      </c>
      <c r="AA861" s="598"/>
      <c r="AB861" s="1163">
        <f>AVERAGE(Z861,Z857)</f>
        <v>1.6</v>
      </c>
      <c r="AC861" s="598"/>
      <c r="AD861" s="1120">
        <f>(AB861/AB854-1)*100</f>
        <v>0.21922956467272936</v>
      </c>
      <c r="AE861" s="1124" t="s">
        <v>190</v>
      </c>
      <c r="AF861" s="1159">
        <f>+H861/AD861*100</f>
        <v>0</v>
      </c>
      <c r="AG861" s="1125" t="s">
        <v>190</v>
      </c>
      <c r="AH861" s="598"/>
      <c r="AI861" s="1160">
        <f>+S861</f>
        <v>0</v>
      </c>
      <c r="AJ861" s="598"/>
      <c r="AK861" s="1164">
        <f>AI861/AB861</f>
        <v>0</v>
      </c>
      <c r="AL861" s="598"/>
      <c r="AM861" s="1176" t="e">
        <f>(AK861/AK854-1)*100</f>
        <v>#DIV/0!</v>
      </c>
      <c r="AN861" s="1124" t="s">
        <v>190</v>
      </c>
      <c r="AP861" s="1193"/>
      <c r="AQ861" s="1193"/>
      <c r="AR861" s="1193"/>
      <c r="AS861" s="1193"/>
      <c r="AT861" s="1193"/>
      <c r="AU861" s="1193"/>
      <c r="AV861" s="1193"/>
      <c r="AW861" s="1193"/>
      <c r="AX861" s="1193"/>
      <c r="AY861" s="1193"/>
      <c r="AZ861" s="1193"/>
      <c r="BA861" s="1193"/>
      <c r="BB861" s="1193"/>
      <c r="BC861" s="1193"/>
      <c r="BD861" s="1193"/>
      <c r="BE861" s="1193"/>
      <c r="BF861" s="1193"/>
      <c r="BG861" s="1193"/>
    </row>
    <row r="862" spans="1:59" hidden="1" outlineLevel="1">
      <c r="A862" s="598" t="s">
        <v>528</v>
      </c>
      <c r="B862" s="1157" t="s">
        <v>515</v>
      </c>
      <c r="C862" s="598"/>
      <c r="D862" s="1120" t="e">
        <f>(S862/S855-1)*100</f>
        <v>#DIV/0!</v>
      </c>
      <c r="E862" s="598"/>
      <c r="F862" s="1179"/>
      <c r="G862" s="598"/>
      <c r="H862" s="1120"/>
      <c r="I862" s="598"/>
      <c r="J862" s="598">
        <f>Stores!CC153</f>
        <v>34</v>
      </c>
      <c r="K862" s="1127"/>
      <c r="L862" s="1128">
        <f>AVERAGE(J862,J861)</f>
        <v>34.5</v>
      </c>
      <c r="M862" s="598"/>
      <c r="N862" s="1120">
        <f>(L862/L855-1)*100</f>
        <v>-2.8169014084507005</v>
      </c>
      <c r="O862" s="1124"/>
      <c r="P862" s="1159">
        <f>H862/N862*100</f>
        <v>0</v>
      </c>
      <c r="Q862" s="1125"/>
      <c r="R862" s="598"/>
      <c r="S862" s="1165"/>
      <c r="T862" s="598"/>
      <c r="U862" s="1166"/>
      <c r="V862" s="598"/>
      <c r="W862" s="1176" t="e">
        <f>(U862/U855-1)*100</f>
        <v>#DIV/0!</v>
      </c>
      <c r="X862" s="1124"/>
      <c r="Y862" s="598"/>
      <c r="Z862" s="1163">
        <f>Stores!CF153</f>
        <v>1.5</v>
      </c>
      <c r="AA862" s="1127"/>
      <c r="AB862" s="1163">
        <f>AVERAGE(Z862,Z861)</f>
        <v>1.55</v>
      </c>
      <c r="AC862" s="598"/>
      <c r="AD862" s="1120">
        <f>(AB862/AB855-1)*100</f>
        <v>-3.125</v>
      </c>
      <c r="AE862" s="1124"/>
      <c r="AF862" s="1159">
        <f>+H862/AD862*100</f>
        <v>0</v>
      </c>
      <c r="AG862" s="1125"/>
      <c r="AH862" s="598"/>
      <c r="AI862" s="1165">
        <f>+S862</f>
        <v>0</v>
      </c>
      <c r="AJ862" s="598"/>
      <c r="AK862" s="1167">
        <f>AI862/AB862</f>
        <v>0</v>
      </c>
      <c r="AL862" s="598"/>
      <c r="AM862" s="1176" t="e">
        <f>(AK862/AK855-1)*100</f>
        <v>#DIV/0!</v>
      </c>
      <c r="AN862" s="1124"/>
      <c r="AP862" s="1193"/>
      <c r="AQ862" s="1193"/>
      <c r="AR862" s="1193"/>
      <c r="AS862" s="1193"/>
      <c r="AT862" s="1193"/>
      <c r="AU862" s="1193"/>
      <c r="AV862" s="1193"/>
      <c r="AW862" s="1193"/>
      <c r="AX862" s="1193"/>
      <c r="AY862" s="1193"/>
      <c r="AZ862" s="1193"/>
      <c r="BA862" s="1193"/>
      <c r="BB862" s="1193"/>
      <c r="BC862" s="1193"/>
      <c r="BD862" s="1193"/>
      <c r="BE862" s="1193"/>
      <c r="BF862" s="1193"/>
      <c r="BG862" s="1193"/>
    </row>
    <row r="863" spans="1:59" hidden="1" outlineLevel="1">
      <c r="A863" s="598" t="s">
        <v>529</v>
      </c>
      <c r="B863" s="1157" t="s">
        <v>516</v>
      </c>
      <c r="C863" s="598"/>
      <c r="D863" s="1120" t="e">
        <f>(S863/S856-1)*100</f>
        <v>#DIV/0!</v>
      </c>
      <c r="E863" s="598"/>
      <c r="F863" s="1179"/>
      <c r="G863" s="598"/>
      <c r="H863" s="1120"/>
      <c r="I863" s="598"/>
      <c r="J863" s="598">
        <f>Stores!CC154</f>
        <v>34</v>
      </c>
      <c r="K863" s="1127"/>
      <c r="L863" s="1128">
        <f>AVERAGE(J863,J862)</f>
        <v>34</v>
      </c>
      <c r="M863" s="598"/>
      <c r="N863" s="1120">
        <f>(L863/L856-1)*100</f>
        <v>-5.555555555555558</v>
      </c>
      <c r="O863" s="1124"/>
      <c r="P863" s="1159">
        <f>H863/N863*100</f>
        <v>0</v>
      </c>
      <c r="Q863" s="1125"/>
      <c r="R863" s="598"/>
      <c r="S863" s="1165"/>
      <c r="T863" s="598"/>
      <c r="U863" s="1166"/>
      <c r="V863" s="598"/>
      <c r="W863" s="1176" t="e">
        <f>(U863/U856-1)*100</f>
        <v>#DIV/0!</v>
      </c>
      <c r="X863" s="1124"/>
      <c r="Y863" s="598"/>
      <c r="Z863" s="1163">
        <f>Stores!CF154</f>
        <v>1.5</v>
      </c>
      <c r="AA863" s="1127"/>
      <c r="AB863" s="1163">
        <f>AVERAGE(Z863,Z862)</f>
        <v>1.5</v>
      </c>
      <c r="AC863" s="598"/>
      <c r="AD863" s="1120">
        <f>(AB863/AB856-1)*100</f>
        <v>-6.25</v>
      </c>
      <c r="AE863" s="1124"/>
      <c r="AF863" s="1159">
        <f>+H863/AD863*100</f>
        <v>0</v>
      </c>
      <c r="AG863" s="1125"/>
      <c r="AH863" s="598"/>
      <c r="AI863" s="1165">
        <f>+S863</f>
        <v>0</v>
      </c>
      <c r="AJ863" s="598"/>
      <c r="AK863" s="1167">
        <f>AI863/AB863</f>
        <v>0</v>
      </c>
      <c r="AL863" s="598"/>
      <c r="AM863" s="1176" t="e">
        <f>(AK863/AK856-1)*100</f>
        <v>#DIV/0!</v>
      </c>
      <c r="AN863" s="1124"/>
      <c r="AP863" s="1193"/>
      <c r="AQ863" s="1193"/>
      <c r="AR863" s="1193"/>
      <c r="AS863" s="1193"/>
      <c r="AT863" s="1193"/>
      <c r="AU863" s="1193"/>
      <c r="AV863" s="1193"/>
      <c r="AW863" s="1193"/>
      <c r="AX863" s="1193"/>
      <c r="AY863" s="1193"/>
      <c r="AZ863" s="1193"/>
      <c r="BA863" s="1193"/>
      <c r="BB863" s="1193"/>
      <c r="BC863" s="1193"/>
      <c r="BD863" s="1193"/>
      <c r="BE863" s="1193"/>
      <c r="BF863" s="1193"/>
      <c r="BG863" s="1193"/>
    </row>
    <row r="864" spans="1:59" hidden="1" outlineLevel="1">
      <c r="A864" s="598" t="s">
        <v>530</v>
      </c>
      <c r="B864" s="1157" t="s">
        <v>517</v>
      </c>
      <c r="C864" s="598"/>
      <c r="D864" s="1168" t="e">
        <f>(S864/S857-1)*100</f>
        <v>#DIV/0!</v>
      </c>
      <c r="E864" s="598"/>
      <c r="F864" s="1178"/>
      <c r="G864" s="598"/>
      <c r="H864" s="1168"/>
      <c r="I864" s="598"/>
      <c r="J864" s="598">
        <f>Stores!CC155</f>
        <v>34</v>
      </c>
      <c r="K864" s="1127"/>
      <c r="L864" s="1171">
        <f>AVERAGE(J864,J863)</f>
        <v>34</v>
      </c>
      <c r="M864" s="598"/>
      <c r="N864" s="1168">
        <f>(L864/L857-1)*100</f>
        <v>-5.555555555555558</v>
      </c>
      <c r="O864" s="1124"/>
      <c r="P864" s="1171">
        <f>H864/N864*100</f>
        <v>0</v>
      </c>
      <c r="Q864" s="1125"/>
      <c r="R864" s="598"/>
      <c r="S864" s="1172"/>
      <c r="T864" s="598"/>
      <c r="U864" s="1173"/>
      <c r="V864" s="598"/>
      <c r="W864" s="1169" t="e">
        <f>(U864/U857-1)*100</f>
        <v>#DIV/0!</v>
      </c>
      <c r="X864" s="1124"/>
      <c r="Y864" s="598"/>
      <c r="Z864" s="1163">
        <f>Stores!CF155</f>
        <v>1.548</v>
      </c>
      <c r="AA864" s="1127"/>
      <c r="AB864" s="1174">
        <f>AVERAGE(Z864,Z863)</f>
        <v>1.524</v>
      </c>
      <c r="AC864" s="598"/>
      <c r="AD864" s="1168">
        <f>(AB864/AB857-1)*100</f>
        <v>-4.7499999999999982</v>
      </c>
      <c r="AE864" s="1124"/>
      <c r="AF864" s="1171">
        <f>+H864/AD864*100</f>
        <v>0</v>
      </c>
      <c r="AG864" s="1125"/>
      <c r="AH864" s="598"/>
      <c r="AI864" s="1172">
        <f>+S864</f>
        <v>0</v>
      </c>
      <c r="AJ864" s="598"/>
      <c r="AK864" s="1175">
        <f>AI864/AB864</f>
        <v>0</v>
      </c>
      <c r="AL864" s="598"/>
      <c r="AM864" s="1169" t="e">
        <f>(AK864/AK857-1)*100</f>
        <v>#DIV/0!</v>
      </c>
      <c r="AN864" s="1124"/>
      <c r="AP864" s="1193"/>
      <c r="AQ864" s="1193"/>
      <c r="AR864" s="1193"/>
      <c r="AS864" s="1193"/>
      <c r="AT864" s="1193"/>
      <c r="AU864" s="1193"/>
      <c r="AV864" s="1193"/>
      <c r="AW864" s="1193"/>
      <c r="AX864" s="1193"/>
      <c r="AY864" s="1193"/>
      <c r="AZ864" s="1193"/>
      <c r="BA864" s="1193"/>
      <c r="BB864" s="1193"/>
      <c r="BC864" s="1193"/>
      <c r="BD864" s="1193"/>
      <c r="BE864" s="1193"/>
      <c r="BF864" s="1193"/>
      <c r="BG864" s="1193"/>
    </row>
    <row r="865" spans="1:59" hidden="1" outlineLevel="1">
      <c r="A865" s="598"/>
      <c r="B865" s="1157" t="s">
        <v>531</v>
      </c>
      <c r="C865" s="598"/>
      <c r="D865" s="1120" t="e">
        <f>(S865/S858-1)*100</f>
        <v>#DIV/0!</v>
      </c>
      <c r="E865" s="598"/>
      <c r="F865" s="1179"/>
      <c r="G865" s="598"/>
      <c r="H865" s="1120"/>
      <c r="I865" s="598"/>
      <c r="J865" s="598"/>
      <c r="K865" s="598"/>
      <c r="L865" s="1128">
        <f>AVERAGE(L861:L864)</f>
        <v>34.5</v>
      </c>
      <c r="M865" s="598"/>
      <c r="N865" s="1120">
        <f>(L865/L858-1)*100</f>
        <v>-3.157894736842104</v>
      </c>
      <c r="O865" s="1124"/>
      <c r="P865" s="1159">
        <f>H865/N865*100</f>
        <v>0</v>
      </c>
      <c r="Q865" s="1125"/>
      <c r="R865" s="598"/>
      <c r="S865" s="1160"/>
      <c r="T865" s="598"/>
      <c r="U865" s="1161"/>
      <c r="V865" s="598"/>
      <c r="W865" s="1176" t="e">
        <f>(U865/U858-1)*100</f>
        <v>#DIV/0!</v>
      </c>
      <c r="X865" s="1124"/>
      <c r="Y865" s="598"/>
      <c r="Z865" s="598"/>
      <c r="AA865" s="598"/>
      <c r="AB865" s="1163">
        <f>AVERAGE(AB861:AB864)</f>
        <v>1.5435000000000001</v>
      </c>
      <c r="AC865" s="598"/>
      <c r="AD865" s="1120">
        <f>(AB865/AB858-1)*100</f>
        <v>-3.4784647854295248</v>
      </c>
      <c r="AE865" s="1124"/>
      <c r="AF865" s="1159">
        <f>+H865/AD865*100</f>
        <v>0</v>
      </c>
      <c r="AG865" s="1125"/>
      <c r="AH865" s="598"/>
      <c r="AI865" s="1160">
        <f>SUM(AI861:AI864)</f>
        <v>0</v>
      </c>
      <c r="AJ865" s="598"/>
      <c r="AK865" s="1164">
        <f>SUM(AK861:AK864)</f>
        <v>0</v>
      </c>
      <c r="AL865" s="598"/>
      <c r="AM865" s="1176" t="e">
        <f>(AK865/AK858-1)*100</f>
        <v>#DIV/0!</v>
      </c>
      <c r="AN865" s="1124"/>
      <c r="AP865" s="1193"/>
      <c r="AQ865" s="1193"/>
      <c r="AR865" s="1193"/>
      <c r="AS865" s="1193"/>
      <c r="AT865" s="1193"/>
      <c r="AU865" s="1193"/>
      <c r="AV865" s="1193"/>
      <c r="AW865" s="1193"/>
      <c r="AX865" s="1193"/>
      <c r="AY865" s="1193"/>
      <c r="AZ865" s="1193"/>
      <c r="BA865" s="1193"/>
      <c r="BB865" s="1193"/>
      <c r="BC865" s="1193"/>
      <c r="BD865" s="1193"/>
      <c r="BE865" s="1193"/>
      <c r="BF865" s="1193"/>
      <c r="BG865" s="1193"/>
    </row>
    <row r="866" spans="1:59" hidden="1" outlineLevel="1">
      <c r="A866" s="598"/>
      <c r="B866" s="1157"/>
      <c r="C866" s="598"/>
      <c r="D866" s="598"/>
      <c r="E866" s="598"/>
      <c r="F866" s="598"/>
      <c r="G866" s="598"/>
      <c r="H866" s="598"/>
      <c r="I866" s="598"/>
      <c r="J866" s="598"/>
      <c r="K866" s="598"/>
      <c r="L866" s="598"/>
      <c r="M866" s="598"/>
      <c r="N866" s="598"/>
      <c r="O866" s="598"/>
      <c r="P866" s="598"/>
      <c r="Q866" s="598"/>
      <c r="R866" s="598"/>
      <c r="S866" s="598"/>
      <c r="T866" s="598"/>
      <c r="U866" s="598"/>
      <c r="V866" s="598"/>
      <c r="W866" s="598"/>
      <c r="X866" s="598"/>
      <c r="Y866" s="598"/>
      <c r="Z866" s="598"/>
      <c r="AA866" s="598"/>
      <c r="AB866" s="598"/>
      <c r="AC866" s="598"/>
      <c r="AD866" s="598"/>
      <c r="AE866" s="598"/>
      <c r="AF866" s="598"/>
      <c r="AG866" s="598"/>
      <c r="AH866" s="598"/>
      <c r="AI866" s="598"/>
      <c r="AJ866" s="598"/>
      <c r="AK866" s="598"/>
      <c r="AL866" s="598"/>
      <c r="AM866" s="598"/>
      <c r="AN866" s="598"/>
      <c r="AP866" s="1193"/>
      <c r="AQ866" s="1193"/>
      <c r="AR866" s="1193"/>
      <c r="AS866" s="1193"/>
      <c r="AT866" s="1193"/>
      <c r="AU866" s="1193"/>
      <c r="AV866" s="1193"/>
      <c r="AW866" s="1193"/>
      <c r="AX866" s="1193"/>
      <c r="AY866" s="1193"/>
      <c r="AZ866" s="1193"/>
      <c r="BA866" s="1193"/>
      <c r="BB866" s="1193"/>
      <c r="BC866" s="1193"/>
      <c r="BD866" s="1193"/>
      <c r="BE866" s="1193"/>
      <c r="BF866" s="1193"/>
      <c r="BG866" s="1193"/>
    </row>
    <row r="867" spans="1:59" hidden="1" outlineLevel="1">
      <c r="A867" s="1154"/>
      <c r="B867" s="1186">
        <f>+B860+1</f>
        <v>2008</v>
      </c>
      <c r="C867" s="598"/>
      <c r="D867" s="1246" t="s">
        <v>739</v>
      </c>
      <c r="E867" s="1124"/>
      <c r="F867" s="598"/>
      <c r="G867" s="1124"/>
      <c r="H867" s="598"/>
      <c r="I867" s="1124"/>
      <c r="J867" s="598"/>
      <c r="K867" s="598"/>
      <c r="L867" s="598"/>
      <c r="M867" s="598"/>
      <c r="N867" s="598"/>
      <c r="O867" s="1124"/>
      <c r="P867" s="1125"/>
      <c r="Q867" s="1125"/>
      <c r="R867" s="598"/>
      <c r="S867" s="598"/>
      <c r="T867" s="598"/>
      <c r="U867" s="598"/>
      <c r="V867" s="598"/>
      <c r="W867" s="598"/>
      <c r="X867" s="1124"/>
      <c r="Y867" s="598"/>
      <c r="Z867" s="598"/>
      <c r="AA867" s="598"/>
      <c r="AB867" s="598"/>
      <c r="AC867" s="598"/>
      <c r="AD867" s="598"/>
      <c r="AE867" s="1124"/>
      <c r="AF867" s="1125"/>
      <c r="AG867" s="1125"/>
      <c r="AH867" s="598"/>
      <c r="AI867" s="598"/>
      <c r="AJ867" s="598"/>
      <c r="AK867" s="598"/>
      <c r="AL867" s="598"/>
      <c r="AM867" s="598"/>
      <c r="AN867" s="1124"/>
      <c r="AP867" s="1193"/>
      <c r="AQ867" s="1193"/>
      <c r="AR867" s="1193"/>
      <c r="AS867" s="1193"/>
      <c r="AT867" s="1193"/>
      <c r="AU867" s="1193"/>
      <c r="AV867" s="1193"/>
      <c r="AW867" s="1193"/>
      <c r="AX867" s="1193"/>
      <c r="AY867" s="1193"/>
      <c r="AZ867" s="1193"/>
      <c r="BA867" s="1193"/>
      <c r="BB867" s="1193"/>
      <c r="BC867" s="1193"/>
      <c r="BD867" s="1193"/>
      <c r="BE867" s="1193"/>
      <c r="BF867" s="1193"/>
      <c r="BG867" s="1193"/>
    </row>
    <row r="868" spans="1:59" hidden="1" outlineLevel="1">
      <c r="A868" s="1247" t="s">
        <v>527</v>
      </c>
      <c r="B868" s="1248" t="s">
        <v>514</v>
      </c>
      <c r="C868" s="1247"/>
      <c r="D868" s="1247" t="e">
        <f>(S868/S861-1)*100</f>
        <v>#DIV/0!</v>
      </c>
      <c r="E868" s="1249" t="s">
        <v>190</v>
      </c>
      <c r="F868" s="1247"/>
      <c r="G868" s="1249"/>
      <c r="H868" s="1247"/>
      <c r="I868" s="1249"/>
      <c r="J868" s="1247">
        <f>Stores!CC159</f>
        <v>34</v>
      </c>
      <c r="K868" s="1247"/>
      <c r="L868" s="1247">
        <f>AVERAGE(J868,J864)</f>
        <v>34</v>
      </c>
      <c r="M868" s="1247"/>
      <c r="N868" s="1247">
        <f>(L868/L861-1)*100</f>
        <v>-4.2253521126760614</v>
      </c>
      <c r="O868" s="1249" t="s">
        <v>190</v>
      </c>
      <c r="P868" s="1250">
        <f>H868/N868*100</f>
        <v>0</v>
      </c>
      <c r="Q868" s="1250" t="s">
        <v>190</v>
      </c>
      <c r="R868" s="1247"/>
      <c r="S868" s="1247"/>
      <c r="T868" s="1247"/>
      <c r="U868" s="1247"/>
      <c r="V868" s="1247"/>
      <c r="W868" s="1250" t="e">
        <f>(U868/U861-1)*100</f>
        <v>#DIV/0!</v>
      </c>
      <c r="X868" s="1249" t="s">
        <v>190</v>
      </c>
      <c r="Y868" s="1247"/>
      <c r="Z868" s="1247">
        <f>Stores!CF159</f>
        <v>1.5</v>
      </c>
      <c r="AA868" s="1247"/>
      <c r="AB868" s="1247">
        <f>AVERAGE(Z868,Z864)</f>
        <v>1.524</v>
      </c>
      <c r="AC868" s="1247"/>
      <c r="AD868" s="1247">
        <f>(AB868/AB861-1)*100</f>
        <v>-4.7499999999999982</v>
      </c>
      <c r="AE868" s="1249" t="s">
        <v>190</v>
      </c>
      <c r="AF868" s="1250">
        <f>+H868/AD868*100</f>
        <v>0</v>
      </c>
      <c r="AG868" s="1250" t="s">
        <v>190</v>
      </c>
      <c r="AH868" s="1247"/>
      <c r="AI868" s="1247">
        <f>+S868</f>
        <v>0</v>
      </c>
      <c r="AJ868" s="1247"/>
      <c r="AK868" s="1247">
        <f>AI868/AB868</f>
        <v>0</v>
      </c>
      <c r="AL868" s="1247"/>
      <c r="AM868" s="1250" t="e">
        <f>(AK868/AK861-1)*100</f>
        <v>#DIV/0!</v>
      </c>
      <c r="AN868" s="1249" t="s">
        <v>190</v>
      </c>
      <c r="AP868" s="1193"/>
      <c r="AQ868" s="1193"/>
      <c r="AR868" s="1193"/>
      <c r="AS868" s="1193"/>
      <c r="AT868" s="1193"/>
      <c r="AU868" s="1193"/>
      <c r="AV868" s="1193"/>
      <c r="AW868" s="1193"/>
      <c r="AX868" s="1193"/>
      <c r="AY868" s="1193"/>
      <c r="AZ868" s="1193"/>
      <c r="BA868" s="1193"/>
      <c r="BB868" s="1193"/>
      <c r="BC868" s="1193"/>
      <c r="BD868" s="1193"/>
      <c r="BE868" s="1193"/>
      <c r="BF868" s="1193"/>
      <c r="BG868" s="1193"/>
    </row>
    <row r="869" spans="1:59" hidden="1" outlineLevel="1">
      <c r="A869" s="1247" t="s">
        <v>528</v>
      </c>
      <c r="B869" s="1248" t="s">
        <v>515</v>
      </c>
      <c r="C869" s="1247"/>
      <c r="D869" s="1247" t="e">
        <f>(S869/S862-1)*100</f>
        <v>#DIV/0!</v>
      </c>
      <c r="E869" s="1247"/>
      <c r="F869" s="1247"/>
      <c r="G869" s="1247"/>
      <c r="H869" s="1247"/>
      <c r="I869" s="1247"/>
      <c r="J869" s="1247">
        <f>Stores!CC160</f>
        <v>34</v>
      </c>
      <c r="K869" s="1247"/>
      <c r="L869" s="1247">
        <f>AVERAGE(J869,J868)</f>
        <v>34</v>
      </c>
      <c r="M869" s="1247"/>
      <c r="N869" s="1247">
        <f>(L869/L862-1)*100</f>
        <v>-1.4492753623188359</v>
      </c>
      <c r="O869" s="1249"/>
      <c r="P869" s="1250">
        <f>H869/N869*100</f>
        <v>0</v>
      </c>
      <c r="Q869" s="1250"/>
      <c r="R869" s="1247"/>
      <c r="S869" s="1247"/>
      <c r="T869" s="1247"/>
      <c r="U869" s="1247"/>
      <c r="V869" s="1247"/>
      <c r="W869" s="1250" t="e">
        <f>(U869/U862-1)*100</f>
        <v>#DIV/0!</v>
      </c>
      <c r="X869" s="1249"/>
      <c r="Y869" s="1247"/>
      <c r="Z869" s="1247">
        <f>Stores!CF160</f>
        <v>1.5</v>
      </c>
      <c r="AA869" s="1247"/>
      <c r="AB869" s="1247">
        <f>AVERAGE(Z869,Z868)</f>
        <v>1.5</v>
      </c>
      <c r="AC869" s="1247"/>
      <c r="AD869" s="1247">
        <f>(AB869/AB862-1)*100</f>
        <v>-3.2258064516129115</v>
      </c>
      <c r="AE869" s="1249"/>
      <c r="AF869" s="1250">
        <f>+H869/AD869*100</f>
        <v>0</v>
      </c>
      <c r="AG869" s="1250"/>
      <c r="AH869" s="1247"/>
      <c r="AI869" s="1247">
        <f>+S869</f>
        <v>0</v>
      </c>
      <c r="AJ869" s="1247"/>
      <c r="AK869" s="1247">
        <f>AI869/AB869</f>
        <v>0</v>
      </c>
      <c r="AL869" s="1247"/>
      <c r="AM869" s="1250" t="e">
        <f>(AK869/AK862-1)*100</f>
        <v>#DIV/0!</v>
      </c>
      <c r="AN869" s="1249"/>
      <c r="AP869" s="1193"/>
      <c r="AQ869" s="1193"/>
      <c r="AR869" s="1193"/>
      <c r="AS869" s="1193"/>
      <c r="AT869" s="1193"/>
      <c r="AU869" s="1193"/>
      <c r="AV869" s="1193"/>
      <c r="AW869" s="1193"/>
      <c r="AX869" s="1193"/>
      <c r="AY869" s="1193"/>
      <c r="AZ869" s="1193"/>
      <c r="BA869" s="1193"/>
      <c r="BB869" s="1193"/>
      <c r="BC869" s="1193"/>
      <c r="BD869" s="1193"/>
      <c r="BE869" s="1193"/>
      <c r="BF869" s="1193"/>
      <c r="BG869" s="1193"/>
    </row>
    <row r="870" spans="1:59" hidden="1" outlineLevel="1">
      <c r="A870" s="1247" t="s">
        <v>529</v>
      </c>
      <c r="B870" s="1248" t="s">
        <v>516</v>
      </c>
      <c r="C870" s="1247"/>
      <c r="D870" s="1247">
        <f>F870+H870</f>
        <v>0</v>
      </c>
      <c r="E870" s="1247"/>
      <c r="F870" s="1247"/>
      <c r="G870" s="1247"/>
      <c r="H870" s="1247"/>
      <c r="I870" s="1247"/>
      <c r="J870" s="1247">
        <f>Stores!CC161</f>
        <v>35</v>
      </c>
      <c r="K870" s="1247"/>
      <c r="L870" s="1247">
        <f>AVERAGE(J870,J869)</f>
        <v>34.5</v>
      </c>
      <c r="M870" s="1247"/>
      <c r="N870" s="1247">
        <f>(L870/L863-1)*100</f>
        <v>1.4705882352941124</v>
      </c>
      <c r="O870" s="1249"/>
      <c r="P870" s="1250">
        <v>30</v>
      </c>
      <c r="Q870" s="1250"/>
      <c r="R870" s="1247"/>
      <c r="S870" s="1247"/>
      <c r="T870" s="1247"/>
      <c r="U870" s="1247"/>
      <c r="V870" s="1247"/>
      <c r="W870" s="1250" t="e">
        <f>(U870/U863-1)*100</f>
        <v>#DIV/0!</v>
      </c>
      <c r="X870" s="1249"/>
      <c r="Y870" s="1247"/>
      <c r="Z870" s="1247">
        <f>Stores!CF161</f>
        <v>1.5854999999999999</v>
      </c>
      <c r="AA870" s="1247"/>
      <c r="AB870" s="1247">
        <f>AVERAGE(Z870,Z869)</f>
        <v>1.5427499999999998</v>
      </c>
      <c r="AC870" s="1247"/>
      <c r="AD870" s="1247">
        <f>(AB870/AB863-1)*100</f>
        <v>2.849999999999997</v>
      </c>
      <c r="AE870" s="1249"/>
      <c r="AF870" s="1250">
        <f>+H870/AD870*100</f>
        <v>0</v>
      </c>
      <c r="AG870" s="1250"/>
      <c r="AH870" s="1247"/>
      <c r="AI870" s="1247">
        <f>+S870</f>
        <v>0</v>
      </c>
      <c r="AJ870" s="1247"/>
      <c r="AK870" s="1247">
        <f>AI870/AB870</f>
        <v>0</v>
      </c>
      <c r="AL870" s="1247"/>
      <c r="AM870" s="1250" t="e">
        <f>(AK870/AK863-1)*100</f>
        <v>#DIV/0!</v>
      </c>
      <c r="AN870" s="1249"/>
      <c r="AP870" s="1193"/>
      <c r="AQ870" s="1193"/>
      <c r="AR870" s="1193"/>
      <c r="AS870" s="1193"/>
      <c r="AT870" s="1193"/>
      <c r="AU870" s="1193"/>
      <c r="AV870" s="1193"/>
      <c r="AW870" s="1193"/>
      <c r="AX870" s="1193"/>
      <c r="AY870" s="1193"/>
      <c r="AZ870" s="1193"/>
      <c r="BA870" s="1193"/>
      <c r="BB870" s="1193"/>
      <c r="BC870" s="1193"/>
      <c r="BD870" s="1193"/>
      <c r="BE870" s="1193"/>
      <c r="BF870" s="1193"/>
      <c r="BG870" s="1193"/>
    </row>
    <row r="871" spans="1:59" hidden="1" outlineLevel="1">
      <c r="A871" s="1247" t="s">
        <v>530</v>
      </c>
      <c r="B871" s="1248" t="s">
        <v>517</v>
      </c>
      <c r="C871" s="1247"/>
      <c r="D871" s="1251">
        <f>F871+H871</f>
        <v>0</v>
      </c>
      <c r="E871" s="1247"/>
      <c r="F871" s="1251"/>
      <c r="G871" s="1247"/>
      <c r="H871" s="1251"/>
      <c r="I871" s="1247"/>
      <c r="J871" s="1247">
        <f>Stores!CC162</f>
        <v>34</v>
      </c>
      <c r="K871" s="1247"/>
      <c r="L871" s="1251">
        <f>AVERAGE(J871,J870)</f>
        <v>34.5</v>
      </c>
      <c r="M871" s="1247"/>
      <c r="N871" s="1251">
        <f>(L871/L864-1)*100</f>
        <v>1.4705882352941124</v>
      </c>
      <c r="O871" s="1249"/>
      <c r="P871" s="1251">
        <v>30</v>
      </c>
      <c r="Q871" s="1250"/>
      <c r="R871" s="1247"/>
      <c r="S871" s="1251"/>
      <c r="T871" s="1247"/>
      <c r="U871" s="1251"/>
      <c r="V871" s="1247"/>
      <c r="W871" s="1251" t="e">
        <f>(U871/U864-1)*100</f>
        <v>#DIV/0!</v>
      </c>
      <c r="X871" s="1249"/>
      <c r="Y871" s="1247"/>
      <c r="Z871" s="1247">
        <f>Stores!CF162</f>
        <v>1.5401999999999998</v>
      </c>
      <c r="AA871" s="1247"/>
      <c r="AB871" s="1251">
        <f>AVERAGE(Z871,Z870)</f>
        <v>1.5628499999999999</v>
      </c>
      <c r="AC871" s="1247"/>
      <c r="AD871" s="1251">
        <f>(AB871/AB864-1)*100</f>
        <v>2.5492125984251768</v>
      </c>
      <c r="AE871" s="1249"/>
      <c r="AF871" s="1251">
        <f>+H871/AD871*100</f>
        <v>0</v>
      </c>
      <c r="AG871" s="1250"/>
      <c r="AH871" s="1247"/>
      <c r="AI871" s="1251">
        <f>+S871</f>
        <v>0</v>
      </c>
      <c r="AJ871" s="1247"/>
      <c r="AK871" s="1251">
        <f>AI871/AB871</f>
        <v>0</v>
      </c>
      <c r="AL871" s="1247"/>
      <c r="AM871" s="1251" t="e">
        <f>(AK871/AK864-1)*100</f>
        <v>#DIV/0!</v>
      </c>
      <c r="AN871" s="1249"/>
      <c r="AP871" s="1193"/>
      <c r="AQ871" s="1193"/>
      <c r="AR871" s="1193"/>
      <c r="AS871" s="1193"/>
      <c r="AT871" s="1193"/>
      <c r="AU871" s="1193"/>
      <c r="AV871" s="1193"/>
      <c r="AW871" s="1193"/>
      <c r="AX871" s="1193"/>
      <c r="AY871" s="1193"/>
      <c r="AZ871" s="1193"/>
      <c r="BA871" s="1193"/>
      <c r="BB871" s="1193"/>
      <c r="BC871" s="1193"/>
      <c r="BD871" s="1193"/>
      <c r="BE871" s="1193"/>
      <c r="BF871" s="1193"/>
      <c r="BG871" s="1193"/>
    </row>
    <row r="872" spans="1:59" hidden="1" outlineLevel="1">
      <c r="A872" s="1247"/>
      <c r="B872" s="1248" t="s">
        <v>531</v>
      </c>
      <c r="C872" s="1247"/>
      <c r="D872" s="1247" t="e">
        <f>(S872/S865-1)*100</f>
        <v>#DIV/0!</v>
      </c>
      <c r="E872" s="1247"/>
      <c r="F872" s="1247"/>
      <c r="G872" s="1247"/>
      <c r="H872" s="1247"/>
      <c r="I872" s="1247"/>
      <c r="J872" s="1247"/>
      <c r="K872" s="1247"/>
      <c r="L872" s="1247">
        <f>AVERAGE(L868:L871)</f>
        <v>34.25</v>
      </c>
      <c r="M872" s="1247"/>
      <c r="N872" s="1247">
        <f>(L872/L865-1)*100</f>
        <v>-0.72463768115942351</v>
      </c>
      <c r="O872" s="1249"/>
      <c r="P872" s="1250">
        <f>H872/N872*100</f>
        <v>0</v>
      </c>
      <c r="Q872" s="1250"/>
      <c r="R872" s="1247"/>
      <c r="S872" s="1247"/>
      <c r="T872" s="1247"/>
      <c r="U872" s="1247"/>
      <c r="V872" s="1247"/>
      <c r="W872" s="1250" t="e">
        <f>(U872/U865-1)*100</f>
        <v>#DIV/0!</v>
      </c>
      <c r="X872" s="1249"/>
      <c r="Y872" s="1247"/>
      <c r="Z872" s="1247"/>
      <c r="AA872" s="1247"/>
      <c r="AB872" s="1247">
        <f>AVERAGE(AB868:AB871)</f>
        <v>1.5324</v>
      </c>
      <c r="AC872" s="1247"/>
      <c r="AD872" s="1247">
        <f>(AB872/AB865-1)*100</f>
        <v>-0.71914480077746035</v>
      </c>
      <c r="AE872" s="1249"/>
      <c r="AF872" s="1250">
        <f>+H872/AD872*100</f>
        <v>0</v>
      </c>
      <c r="AG872" s="1250"/>
      <c r="AH872" s="1247"/>
      <c r="AI872" s="1247">
        <f>SUM(AI868:AI871)</f>
        <v>0</v>
      </c>
      <c r="AJ872" s="1247"/>
      <c r="AK872" s="1247">
        <f>SUM(AK868:AK871)</f>
        <v>0</v>
      </c>
      <c r="AL872" s="1247"/>
      <c r="AM872" s="1250" t="e">
        <f>(AK872/AK865-1)*100</f>
        <v>#DIV/0!</v>
      </c>
      <c r="AN872" s="1249"/>
      <c r="AP872" s="1193"/>
      <c r="AQ872" s="1193"/>
      <c r="AR872" s="1193"/>
      <c r="AS872" s="1193"/>
      <c r="AT872" s="1193"/>
      <c r="AU872" s="1193"/>
      <c r="AV872" s="1193"/>
      <c r="AW872" s="1193"/>
      <c r="AX872" s="1193"/>
      <c r="AY872" s="1193"/>
      <c r="AZ872" s="1193"/>
      <c r="BA872" s="1193"/>
      <c r="BB872" s="1193"/>
      <c r="BC872" s="1193"/>
      <c r="BD872" s="1193"/>
      <c r="BE872" s="1193"/>
      <c r="BF872" s="1193"/>
      <c r="BG872" s="1193"/>
    </row>
    <row r="873" spans="1:59" collapsed="1">
      <c r="F873" s="2057"/>
      <c r="S873" s="1213"/>
    </row>
    <row r="874" spans="1:59">
      <c r="F874" s="2057"/>
    </row>
    <row r="878" spans="1:59">
      <c r="F878" s="1183"/>
    </row>
  </sheetData>
  <phoneticPr fontId="0" type="noConversion"/>
  <dataValidations disablePrompts="1" count="1">
    <dataValidation type="custom" allowBlank="1" showInputMessage="1" showErrorMessage="1" sqref="F833 S670 S500 S137:S140 S827:S829 S130:S133 S486 S663 S309 S123:S126 S95:S98 S102:S105 S88:S91 S81:S84 S68:S70 S63 S109:S112 S116:S119 S479 S302 S656 S813 S472 S295 S649 S799 S642 S806 S288 S861:S864 S598:S600 S421:S423 F754 S748:S750 F747:F749 S741:S743 S734:S736 S727:S729 F751 F740:F742 F744 F733:F735 F737 S720:S722 F726:F728 F730 S593 S244:S246 F597 F420 S416 S755:S757 F243 S239 S628 S451 S785 S274 S267 S444 S621 S778 S868:S871 S281 S458 S635 S792 S847:S850 S854:S857 S834:S836 S840:S843 F830 F826:F828 S677 S323 S165:S168 S342:S344 S330 S507 S144:S147 S158:S161 S702:S705 S684 S151:S154 S519:S521 S525:S528 S172:S175 S348:S351 S696:S698">
      <formula1>-1</formula1>
    </dataValidation>
  </dataValidations>
  <printOptions horizontalCentered="1"/>
  <pageMargins left="0.25" right="0" top="0.3" bottom="0" header="0.5" footer="0.5"/>
  <pageSetup scale="53" orientation="landscape" r:id="rId1"/>
  <headerFooter alignWithMargins="0">
    <oddFooter>&amp;R&amp;8&amp;D/&amp;T
&amp;F/&amp;A</oddFooter>
  </headerFooter>
  <rowBreaks count="4" manualBreakCount="4">
    <brk id="177" max="16383" man="1"/>
    <brk id="353" max="16383" man="1"/>
    <brk id="530" max="16383" man="1"/>
    <brk id="708" max="16383" man="1"/>
  </row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CO237"/>
  <sheetViews>
    <sheetView zoomScaleNormal="100" workbookViewId="0">
      <selection activeCell="BD213" sqref="BD213"/>
    </sheetView>
  </sheetViews>
  <sheetFormatPr defaultRowHeight="12.75" outlineLevelRow="1" outlineLevelCol="1"/>
  <cols>
    <col min="1" max="1" width="4.7109375" style="451" customWidth="1"/>
    <col min="2" max="2" width="7.140625" style="451" customWidth="1"/>
    <col min="3" max="3" width="5.7109375" style="451" bestFit="1" customWidth="1"/>
    <col min="4" max="4" width="9.42578125" style="451" customWidth="1"/>
    <col min="5" max="5" width="5.42578125" style="451" customWidth="1"/>
    <col min="6" max="6" width="5" style="451" customWidth="1"/>
    <col min="7" max="7" width="11" style="451" bestFit="1" customWidth="1"/>
    <col min="8" max="8" width="5.5703125" style="451" hidden="1" customWidth="1" outlineLevel="1"/>
    <col min="9" max="9" width="6" style="451" customWidth="1" collapsed="1"/>
    <col min="10" max="10" width="4.5703125" style="451" customWidth="1"/>
    <col min="11" max="11" width="9.140625" style="451" hidden="1" customWidth="1" outlineLevel="1"/>
    <col min="12" max="13" width="4.7109375" style="451" hidden="1" customWidth="1" outlineLevel="1"/>
    <col min="14" max="14" width="9.140625" style="451" hidden="1" customWidth="1" outlineLevel="1"/>
    <col min="15" max="15" width="5.7109375" style="451" hidden="1" customWidth="1" outlineLevel="1"/>
    <col min="16" max="16" width="4.7109375" style="451" hidden="1" customWidth="1" outlineLevel="1"/>
    <col min="17" max="17" width="9.140625" style="451" hidden="1" customWidth="1" outlineLevel="1"/>
    <col min="18" max="19" width="4.7109375" style="451" hidden="1" customWidth="1" outlineLevel="1"/>
    <col min="20" max="20" width="9.140625" style="451" hidden="1" customWidth="1" outlineLevel="1"/>
    <col min="21" max="21" width="5.7109375" style="451" hidden="1" customWidth="1" outlineLevel="1"/>
    <col min="22" max="22" width="4.7109375" style="451" hidden="1" customWidth="1" outlineLevel="1"/>
    <col min="23" max="23" width="7.85546875" style="451" customWidth="1" collapsed="1"/>
    <col min="24" max="24" width="5.42578125" style="451" bestFit="1" customWidth="1"/>
    <col min="25" max="25" width="5.7109375" style="451" customWidth="1"/>
    <col min="26" max="26" width="7.7109375" style="451" customWidth="1"/>
    <col min="27" max="27" width="5.7109375" style="451" customWidth="1"/>
    <col min="28" max="28" width="4.5703125" style="451" customWidth="1"/>
    <col min="29" max="29" width="7.85546875" style="451" customWidth="1"/>
    <col min="30" max="30" width="5.5703125" style="451" customWidth="1"/>
    <col min="31" max="31" width="5" style="451" customWidth="1"/>
    <col min="32" max="32" width="7.7109375" style="451" customWidth="1"/>
    <col min="33" max="33" width="5.85546875" style="451" customWidth="1"/>
    <col min="34" max="34" width="4.42578125" style="451" customWidth="1"/>
    <col min="35" max="35" width="9.28515625" style="451" customWidth="1"/>
    <col min="36" max="36" width="5.28515625" style="451" customWidth="1"/>
    <col min="37" max="37" width="5.7109375" style="451" customWidth="1"/>
    <col min="38" max="38" width="7.7109375" style="451" customWidth="1"/>
    <col min="39" max="39" width="5.7109375" style="451" customWidth="1"/>
    <col min="40" max="40" width="4.42578125" style="451" customWidth="1"/>
    <col min="41" max="41" width="7.85546875" style="451" hidden="1" customWidth="1" outlineLevel="1"/>
    <col min="42" max="42" width="6.42578125" style="451" hidden="1" customWidth="1" outlineLevel="1"/>
    <col min="43" max="43" width="4.7109375" style="451" hidden="1" customWidth="1" outlineLevel="1"/>
    <col min="44" max="44" width="7.7109375" style="451" hidden="1" customWidth="1" outlineLevel="1"/>
    <col min="45" max="45" width="5.7109375" style="451" hidden="1" customWidth="1" outlineLevel="1"/>
    <col min="46" max="46" width="4.85546875" style="451" hidden="1" customWidth="1" outlineLevel="1" collapsed="1"/>
    <col min="47" max="47" width="1.7109375" style="451" hidden="1" customWidth="1" outlineLevel="1"/>
    <col min="48" max="48" width="7.85546875" style="451" hidden="1" customWidth="1" outlineLevel="1"/>
    <col min="49" max="50" width="4.7109375" style="451" hidden="1" customWidth="1" outlineLevel="1"/>
    <col min="51" max="51" width="7.7109375" style="451" hidden="1" customWidth="1" outlineLevel="1"/>
    <col min="52" max="52" width="5.85546875" style="451" hidden="1" customWidth="1" outlineLevel="1"/>
    <col min="53" max="53" width="4.7109375" style="451" hidden="1" customWidth="1" outlineLevel="1"/>
    <col min="54" max="54" width="10.28515625" style="451" customWidth="1" collapsed="1"/>
    <col min="55" max="55" width="5.140625" style="451" customWidth="1"/>
    <col min="56" max="56" width="10.140625" style="451" customWidth="1" outlineLevel="1"/>
    <col min="57" max="57" width="2.28515625" style="451" customWidth="1"/>
    <col min="58" max="58" width="5.42578125" style="451" customWidth="1"/>
    <col min="59" max="59" width="5" style="451" customWidth="1"/>
    <col min="60" max="60" width="8.5703125" style="451" customWidth="1"/>
    <col min="61" max="61" width="6.42578125" style="451" bestFit="1" customWidth="1"/>
    <col min="62" max="62" width="9.140625" style="451" customWidth="1" outlineLevel="1"/>
    <col min="63" max="63" width="8.5703125" style="451" customWidth="1" outlineLevel="1"/>
    <col min="64" max="64" width="4.85546875" style="451" customWidth="1"/>
    <col min="65" max="65" width="5.7109375" style="451" customWidth="1"/>
    <col min="66" max="66" width="7.5703125" style="451" customWidth="1"/>
    <col min="67" max="67" width="9.28515625" style="451" hidden="1" customWidth="1" outlineLevel="1"/>
    <col min="68" max="69" width="4.7109375" style="451" hidden="1" customWidth="1" outlineLevel="1"/>
    <col min="70" max="70" width="8.5703125" style="451" hidden="1" customWidth="1" outlineLevel="1"/>
    <col min="71" max="71" width="5.7109375" style="451" hidden="1" customWidth="1" outlineLevel="1"/>
    <col min="72" max="72" width="9.140625" style="451" hidden="1" customWidth="1" outlineLevel="1"/>
    <col min="73" max="73" width="9.140625" style="451" collapsed="1"/>
    <col min="74" max="75" width="9.140625" style="451" hidden="1" customWidth="1" outlineLevel="1"/>
    <col min="76" max="76" width="9.140625" style="451" collapsed="1"/>
    <col min="77" max="81" width="9.140625" style="451"/>
    <col min="82" max="83" width="9.140625" style="451" hidden="1" customWidth="1" outlineLevel="1"/>
    <col min="84" max="84" width="9.140625" style="451" collapsed="1"/>
    <col min="85" max="16384" width="9.140625" style="451"/>
  </cols>
  <sheetData>
    <row r="1" spans="1:92">
      <c r="A1" s="693" t="s">
        <v>385</v>
      </c>
      <c r="B1" s="693"/>
      <c r="C1" s="693"/>
      <c r="D1" s="1753"/>
      <c r="E1" s="709"/>
      <c r="F1" s="709"/>
      <c r="G1" s="693"/>
      <c r="H1" s="709"/>
      <c r="I1" s="693"/>
      <c r="J1" s="709"/>
      <c r="K1" s="1753"/>
      <c r="L1" s="1753"/>
      <c r="M1" s="1753"/>
      <c r="N1" s="693"/>
      <c r="O1" s="693"/>
      <c r="P1" s="1753"/>
      <c r="Q1" s="1754"/>
      <c r="R1" s="1753"/>
      <c r="S1" s="1753"/>
      <c r="T1" s="693"/>
      <c r="U1" s="693"/>
      <c r="V1" s="1753"/>
      <c r="W1" s="1755"/>
      <c r="X1" s="709"/>
      <c r="Y1" s="709"/>
      <c r="Z1" s="693"/>
      <c r="AA1" s="693"/>
      <c r="AB1" s="709"/>
      <c r="AC1" s="1753"/>
      <c r="AD1" s="709"/>
      <c r="AE1" s="709"/>
      <c r="AF1" s="693"/>
      <c r="AG1" s="693"/>
      <c r="AH1" s="709"/>
      <c r="AI1" s="1753"/>
      <c r="AJ1" s="709"/>
      <c r="AK1" s="709"/>
      <c r="AL1" s="693"/>
      <c r="AM1" s="693"/>
      <c r="AN1" s="709"/>
      <c r="AO1" s="1753"/>
      <c r="AP1" s="1022"/>
      <c r="AQ1" s="1022"/>
      <c r="AR1" s="693"/>
      <c r="AS1" s="693"/>
      <c r="AT1" s="709"/>
      <c r="AU1" s="709"/>
      <c r="AV1" s="1753"/>
      <c r="AW1" s="1022"/>
      <c r="AX1" s="1022"/>
      <c r="AY1" s="693"/>
      <c r="AZ1" s="693"/>
      <c r="BA1" s="1022"/>
      <c r="BB1" s="693"/>
      <c r="BC1" s="693"/>
      <c r="BD1" s="693"/>
      <c r="BE1" s="1710"/>
      <c r="BF1" s="1022"/>
      <c r="BG1" s="1022"/>
      <c r="BH1" s="693"/>
      <c r="BI1" s="693"/>
      <c r="BJ1" s="693"/>
      <c r="BK1" s="693"/>
      <c r="BL1" s="1710"/>
      <c r="BM1" s="693"/>
      <c r="BN1" s="693"/>
      <c r="BO1" s="1753"/>
      <c r="BP1" s="709"/>
      <c r="BQ1" s="709"/>
      <c r="BR1" s="693"/>
      <c r="BS1" s="693"/>
      <c r="BT1" s="693"/>
      <c r="BU1" s="693"/>
      <c r="BV1" s="693"/>
      <c r="BW1" s="693"/>
      <c r="BX1" s="693"/>
      <c r="BY1" s="693"/>
      <c r="BZ1" s="693"/>
      <c r="CA1" s="693"/>
      <c r="CB1" s="693"/>
      <c r="CC1" s="693"/>
      <c r="CD1" s="693"/>
      <c r="CE1" s="693"/>
      <c r="CF1" s="693"/>
      <c r="CG1" s="693"/>
      <c r="CH1" s="693"/>
      <c r="CI1" s="693"/>
      <c r="CJ1" s="693"/>
    </row>
    <row r="2" spans="1:92">
      <c r="A2" s="450" t="s">
        <v>525</v>
      </c>
      <c r="B2" s="450"/>
      <c r="C2" s="450"/>
      <c r="D2" s="700"/>
      <c r="E2" s="708"/>
      <c r="F2" s="708"/>
      <c r="G2" s="450"/>
      <c r="H2" s="708"/>
      <c r="I2" s="450"/>
      <c r="J2" s="708"/>
      <c r="K2" s="700"/>
      <c r="L2" s="700"/>
      <c r="M2" s="700"/>
      <c r="N2" s="450"/>
      <c r="O2" s="450"/>
      <c r="P2" s="700"/>
      <c r="Q2" s="700"/>
      <c r="R2" s="700"/>
      <c r="S2" s="700"/>
      <c r="T2" s="450"/>
      <c r="U2" s="450"/>
      <c r="V2" s="700"/>
      <c r="W2" s="1756"/>
      <c r="X2" s="708"/>
      <c r="Y2" s="708"/>
      <c r="Z2" s="450"/>
      <c r="AA2" s="450"/>
      <c r="AB2" s="708"/>
      <c r="AC2" s="700"/>
      <c r="AD2" s="708"/>
      <c r="AE2" s="708"/>
      <c r="AF2" s="450"/>
      <c r="AG2" s="450"/>
      <c r="AH2" s="708"/>
      <c r="AI2" s="700"/>
      <c r="AJ2" s="708"/>
      <c r="AK2" s="708"/>
      <c r="AL2" s="450"/>
      <c r="AM2" s="450"/>
      <c r="AN2" s="708"/>
      <c r="AO2" s="700"/>
      <c r="AP2" s="707"/>
      <c r="AQ2" s="707"/>
      <c r="AR2" s="450"/>
      <c r="AS2" s="450"/>
      <c r="AT2" s="708"/>
      <c r="AU2" s="708"/>
      <c r="AV2" s="700"/>
      <c r="AW2" s="707"/>
      <c r="AX2" s="707"/>
      <c r="AY2" s="450"/>
      <c r="AZ2" s="450"/>
      <c r="BA2" s="707"/>
      <c r="BB2" s="450"/>
      <c r="BC2" s="450"/>
      <c r="BD2" s="450"/>
      <c r="BE2" s="1757"/>
      <c r="BF2" s="707"/>
      <c r="BG2" s="707"/>
      <c r="BH2" s="450"/>
      <c r="BI2" s="450"/>
      <c r="BJ2" s="450"/>
      <c r="BK2" s="450"/>
      <c r="BL2" s="1757"/>
      <c r="BM2" s="450"/>
      <c r="BN2" s="450"/>
      <c r="BO2" s="700"/>
      <c r="BP2" s="708"/>
      <c r="BQ2" s="708"/>
      <c r="BR2" s="450"/>
      <c r="BS2" s="450"/>
      <c r="BT2" s="450"/>
      <c r="BU2" s="450"/>
      <c r="BV2" s="450"/>
      <c r="BW2" s="450"/>
      <c r="BX2" s="450"/>
      <c r="BY2" s="450"/>
      <c r="BZ2" s="450"/>
      <c r="CA2" s="450"/>
      <c r="CB2" s="450"/>
      <c r="CC2" s="450"/>
      <c r="CD2" s="450"/>
      <c r="CE2" s="450"/>
      <c r="CF2" s="450"/>
      <c r="CG2" s="450"/>
      <c r="CH2" s="450"/>
      <c r="CI2" s="450"/>
      <c r="CJ2" s="695"/>
    </row>
    <row r="3" spans="1:92">
      <c r="A3" s="791" t="s">
        <v>412</v>
      </c>
      <c r="B3" s="487"/>
      <c r="C3" s="1758"/>
      <c r="D3" s="702"/>
      <c r="E3" s="702"/>
      <c r="F3" s="702"/>
      <c r="H3" s="702"/>
      <c r="I3" s="487"/>
      <c r="J3" s="1759"/>
      <c r="K3" s="702"/>
      <c r="L3" s="702"/>
      <c r="M3" s="702"/>
      <c r="N3" s="487"/>
      <c r="O3" s="487"/>
      <c r="P3" s="702"/>
      <c r="Q3" s="702"/>
      <c r="R3" s="702"/>
      <c r="S3" s="702"/>
      <c r="T3" s="487"/>
      <c r="U3" s="487"/>
      <c r="V3" s="702"/>
      <c r="W3" s="1760"/>
      <c r="X3" s="702"/>
      <c r="Y3" s="702"/>
      <c r="Z3" s="487"/>
      <c r="AA3" s="487"/>
      <c r="AB3" s="702"/>
      <c r="AC3" s="702"/>
      <c r="AD3" s="702"/>
      <c r="AE3" s="702"/>
      <c r="AF3" s="1761"/>
      <c r="AG3" s="487"/>
      <c r="AH3" s="702"/>
      <c r="AI3" s="702"/>
      <c r="AJ3" s="702"/>
      <c r="AK3" s="702"/>
      <c r="AL3" s="487"/>
      <c r="AM3" s="487"/>
      <c r="AN3" s="702"/>
      <c r="AO3" s="702"/>
      <c r="AP3" s="487"/>
      <c r="AQ3" s="487"/>
      <c r="AR3" s="487"/>
      <c r="AS3" s="487"/>
      <c r="AT3" s="702"/>
      <c r="AU3" s="702"/>
      <c r="AV3" s="702"/>
      <c r="AW3" s="487"/>
      <c r="AX3" s="487"/>
      <c r="AY3" s="487"/>
      <c r="AZ3" s="487"/>
      <c r="BA3" s="487"/>
      <c r="BC3" s="1022"/>
      <c r="BD3" s="1022"/>
      <c r="BE3" s="1710"/>
      <c r="BF3" s="487"/>
      <c r="BG3" s="487"/>
      <c r="BH3" s="1022"/>
      <c r="BI3" s="1022"/>
      <c r="BJ3" s="1022"/>
      <c r="BK3" s="1022"/>
      <c r="BL3" s="1710"/>
      <c r="BM3" s="487"/>
      <c r="BN3" s="487"/>
      <c r="BO3" s="702"/>
      <c r="BP3" s="702"/>
      <c r="BQ3" s="702"/>
      <c r="BR3" s="487"/>
      <c r="BS3" s="487"/>
      <c r="BT3" s="487"/>
      <c r="BU3" s="487"/>
      <c r="BV3" s="487"/>
      <c r="BW3" s="487"/>
      <c r="BX3" s="487"/>
      <c r="BY3" s="487"/>
      <c r="BZ3" s="487"/>
      <c r="CA3" s="487"/>
      <c r="CB3" s="487"/>
      <c r="CC3" s="487"/>
      <c r="CD3" s="487"/>
      <c r="CE3" s="487"/>
      <c r="CF3" s="487"/>
      <c r="CG3" s="487"/>
      <c r="CH3" s="487"/>
      <c r="CI3" s="487"/>
      <c r="CJ3" s="487"/>
    </row>
    <row r="4" spans="1:92">
      <c r="A4" s="791" t="s">
        <v>526</v>
      </c>
      <c r="B4" s="756"/>
      <c r="C4" s="1758"/>
      <c r="D4" s="702"/>
      <c r="E4" s="702"/>
      <c r="F4" s="702"/>
      <c r="H4" s="702"/>
      <c r="I4" s="487"/>
      <c r="J4" s="1759"/>
      <c r="K4" s="702"/>
      <c r="L4" s="702"/>
      <c r="M4" s="702"/>
      <c r="N4" s="487"/>
      <c r="O4" s="487"/>
      <c r="P4" s="702"/>
      <c r="Q4" s="702"/>
      <c r="R4" s="702"/>
      <c r="S4" s="702"/>
      <c r="T4" s="487"/>
      <c r="U4" s="487"/>
      <c r="V4" s="702"/>
      <c r="W4" s="1736"/>
      <c r="X4" s="702"/>
      <c r="Y4" s="702"/>
      <c r="Z4" s="487"/>
      <c r="AA4" s="487"/>
      <c r="AB4" s="702"/>
      <c r="AC4" s="702"/>
      <c r="AD4" s="702"/>
      <c r="AE4" s="702"/>
      <c r="AF4" s="1761"/>
      <c r="AG4" s="487"/>
      <c r="AH4" s="702"/>
      <c r="AI4" s="1729"/>
      <c r="AJ4" s="702"/>
      <c r="AK4" s="702"/>
      <c r="AL4" s="487"/>
      <c r="AM4" s="487"/>
      <c r="AN4" s="702"/>
      <c r="AO4" s="702"/>
      <c r="AP4" s="487"/>
      <c r="AQ4" s="487"/>
      <c r="AR4" s="487"/>
      <c r="AS4" s="487"/>
      <c r="AT4" s="702"/>
      <c r="AU4" s="702"/>
      <c r="AV4" s="702"/>
      <c r="AW4" s="487"/>
      <c r="AX4" s="487"/>
      <c r="AY4" s="487"/>
      <c r="AZ4" s="487"/>
      <c r="BA4" s="487"/>
      <c r="BC4" s="1022"/>
      <c r="BD4" s="2104">
        <f>D204*0.15+AI204</f>
        <v>8453.6937499999985</v>
      </c>
      <c r="BE4" s="1710"/>
      <c r="BF4" s="487"/>
      <c r="BG4" s="487"/>
      <c r="BH4" s="1022"/>
      <c r="BI4" s="1022"/>
      <c r="BJ4" s="1022"/>
      <c r="BK4" s="1022"/>
      <c r="BL4" s="1710"/>
      <c r="BM4" s="487"/>
      <c r="BN4" s="487"/>
      <c r="BO4" s="702"/>
      <c r="BP4" s="702"/>
      <c r="BQ4" s="702"/>
      <c r="BR4" s="487"/>
      <c r="BS4" s="487"/>
      <c r="BT4" s="487"/>
      <c r="BU4" s="487"/>
      <c r="BV4" s="487"/>
      <c r="BW4" s="487"/>
      <c r="BX4" s="487"/>
      <c r="BY4" s="487"/>
      <c r="BZ4" s="487"/>
      <c r="CA4" s="487"/>
      <c r="CB4" s="487"/>
      <c r="CC4" s="487"/>
      <c r="CD4" s="487"/>
      <c r="CE4" s="487"/>
      <c r="CF4" s="487"/>
      <c r="CG4" s="487"/>
      <c r="CH4" s="487"/>
      <c r="CI4" s="487"/>
      <c r="CJ4" s="487"/>
    </row>
    <row r="5" spans="1:92">
      <c r="B5" s="756"/>
      <c r="C5" s="1758"/>
      <c r="D5" s="702"/>
      <c r="E5" s="702"/>
      <c r="F5" s="702"/>
      <c r="H5" s="702"/>
      <c r="I5" s="487"/>
      <c r="J5" s="1759"/>
      <c r="K5" s="702"/>
      <c r="L5" s="702"/>
      <c r="M5" s="702"/>
      <c r="N5" s="487"/>
      <c r="O5" s="487"/>
      <c r="P5" s="702"/>
      <c r="Q5" s="702"/>
      <c r="R5" s="702"/>
      <c r="S5" s="702"/>
      <c r="T5" s="487"/>
      <c r="U5" s="487"/>
      <c r="V5" s="702"/>
      <c r="W5" s="702"/>
      <c r="X5" s="702"/>
      <c r="Y5" s="702"/>
      <c r="Z5" s="487"/>
      <c r="AA5" s="487"/>
      <c r="AB5" s="702"/>
      <c r="AC5" s="702"/>
      <c r="AD5" s="702"/>
      <c r="AE5" s="702"/>
      <c r="AF5" s="1761"/>
      <c r="AG5" s="487"/>
      <c r="AH5" s="702"/>
      <c r="AI5" s="702"/>
      <c r="AJ5" s="702"/>
      <c r="AK5" s="702"/>
      <c r="AL5" s="487"/>
      <c r="AM5" s="487"/>
      <c r="AN5" s="702"/>
      <c r="AO5" s="702"/>
      <c r="AP5" s="487"/>
      <c r="AQ5" s="487"/>
      <c r="AR5" s="487"/>
      <c r="AS5" s="487"/>
      <c r="AT5" s="702"/>
      <c r="AU5" s="702"/>
      <c r="AV5" s="702"/>
      <c r="AW5" s="487"/>
      <c r="AX5" s="487"/>
      <c r="AY5" s="487"/>
      <c r="AZ5" s="487"/>
      <c r="BA5" s="487"/>
      <c r="BC5" s="1022"/>
      <c r="BD5" s="2094">
        <v>5.2637046018085019E-2</v>
      </c>
      <c r="BE5" s="1710"/>
      <c r="BF5" s="487"/>
      <c r="BG5" s="487"/>
      <c r="BH5" s="1022"/>
      <c r="BI5" s="1022"/>
      <c r="BJ5" s="1022"/>
      <c r="BK5" s="1022"/>
      <c r="BL5" s="1710"/>
      <c r="BM5" s="487"/>
      <c r="BN5" s="487"/>
      <c r="BO5" s="702"/>
      <c r="BP5" s="702"/>
      <c r="BQ5" s="702"/>
      <c r="BR5" s="487"/>
      <c r="BS5" s="487"/>
      <c r="BT5" s="487"/>
      <c r="BU5" s="487"/>
      <c r="BV5" s="487"/>
      <c r="BW5" s="487"/>
      <c r="BX5" s="487"/>
      <c r="BY5" s="487"/>
      <c r="BZ5" s="487"/>
      <c r="CA5" s="487"/>
      <c r="CB5" s="487"/>
      <c r="CC5" s="487"/>
      <c r="CD5" s="487"/>
      <c r="CE5" s="487"/>
      <c r="CF5" s="487"/>
      <c r="CG5" s="487"/>
      <c r="CH5" s="487"/>
      <c r="CI5" s="487"/>
      <c r="CJ5" s="487"/>
    </row>
    <row r="6" spans="1:92" ht="13.5" customHeight="1">
      <c r="B6" s="756"/>
      <c r="C6" s="1758"/>
      <c r="D6" s="1605"/>
      <c r="E6" s="702"/>
      <c r="F6" s="1738"/>
      <c r="H6" s="702"/>
      <c r="I6" s="467"/>
      <c r="J6" s="1759"/>
      <c r="K6" s="1605"/>
      <c r="L6" s="1605"/>
      <c r="M6" s="1605"/>
      <c r="N6" s="467"/>
      <c r="O6" s="467"/>
      <c r="P6" s="1605"/>
      <c r="Q6" s="1605"/>
      <c r="R6" s="1605"/>
      <c r="S6" s="1605"/>
      <c r="T6" s="467"/>
      <c r="U6" s="467"/>
      <c r="V6" s="1605"/>
      <c r="W6" s="1605"/>
      <c r="X6" s="702"/>
      <c r="Y6" s="702"/>
      <c r="Z6" s="467"/>
      <c r="AA6" s="467"/>
      <c r="AB6" s="702"/>
      <c r="AC6" s="1605"/>
      <c r="AD6" s="702"/>
      <c r="AE6" s="702"/>
      <c r="AF6" s="1761"/>
      <c r="AG6" s="467"/>
      <c r="AH6" s="702"/>
      <c r="AI6" s="1605"/>
      <c r="AJ6" s="702"/>
      <c r="AK6" s="702"/>
      <c r="AM6" s="467"/>
      <c r="AN6" s="702"/>
      <c r="AO6" s="1605"/>
      <c r="AP6" s="487"/>
      <c r="AQ6" s="487"/>
      <c r="AR6" s="467"/>
      <c r="AS6" s="467"/>
      <c r="AT6" s="702"/>
      <c r="AU6" s="702"/>
      <c r="AV6" s="1605"/>
      <c r="AW6" s="487"/>
      <c r="AX6" s="487"/>
      <c r="AY6" s="467"/>
      <c r="AZ6" s="467"/>
      <c r="BA6" s="487"/>
      <c r="BC6" s="695"/>
      <c r="BD6" s="695"/>
      <c r="BE6" s="1606"/>
      <c r="BF6" s="487"/>
      <c r="BG6" s="487"/>
      <c r="BH6" s="695"/>
      <c r="BI6" s="695"/>
      <c r="BJ6" s="695"/>
      <c r="BK6" s="695"/>
      <c r="BL6" s="1606"/>
      <c r="BM6" s="467"/>
      <c r="BN6" s="467"/>
      <c r="BO6" s="1605"/>
      <c r="BP6" s="702"/>
      <c r="BQ6" s="702"/>
      <c r="BR6" s="467"/>
      <c r="BS6" s="467"/>
      <c r="BT6" s="467"/>
      <c r="BU6" s="467"/>
      <c r="BV6" s="467"/>
      <c r="BW6" s="467"/>
      <c r="BX6" s="467"/>
      <c r="BY6" s="467"/>
      <c r="BZ6" s="467"/>
      <c r="CA6" s="467"/>
      <c r="CB6" s="467"/>
      <c r="CC6" s="467"/>
      <c r="CD6" s="467"/>
      <c r="CE6" s="467"/>
      <c r="CF6" s="467"/>
      <c r="CG6" s="467"/>
      <c r="CH6" s="467"/>
      <c r="CI6" s="467"/>
      <c r="CJ6" s="467"/>
    </row>
    <row r="7" spans="1:92" customFormat="1">
      <c r="A7" s="1605"/>
      <c r="B7" s="756"/>
      <c r="C7" s="1758"/>
      <c r="D7" s="146" t="s">
        <v>377</v>
      </c>
      <c r="E7" s="147"/>
      <c r="F7" s="147"/>
      <c r="G7" s="148"/>
      <c r="H7" s="147"/>
      <c r="I7" s="149"/>
      <c r="J7" s="103"/>
      <c r="K7" s="110" t="s">
        <v>386</v>
      </c>
      <c r="L7" s="110"/>
      <c r="M7" s="110"/>
      <c r="N7" s="110"/>
      <c r="O7" s="118"/>
      <c r="P7" s="63"/>
      <c r="Q7" s="110" t="s">
        <v>370</v>
      </c>
      <c r="R7" s="110"/>
      <c r="S7" s="110"/>
      <c r="T7" s="110"/>
      <c r="U7" s="118"/>
      <c r="V7" s="63"/>
      <c r="W7" s="146" t="s">
        <v>754</v>
      </c>
      <c r="X7" s="150"/>
      <c r="Y7" s="150"/>
      <c r="Z7" s="151"/>
      <c r="AA7" s="152"/>
      <c r="AB7" s="103"/>
      <c r="AC7" s="146" t="s">
        <v>802</v>
      </c>
      <c r="AD7" s="150"/>
      <c r="AE7" s="150"/>
      <c r="AF7" s="151"/>
      <c r="AG7" s="152"/>
      <c r="AH7" s="103"/>
      <c r="AI7" s="146" t="s">
        <v>381</v>
      </c>
      <c r="AJ7" s="150"/>
      <c r="AK7" s="150"/>
      <c r="AL7" s="151"/>
      <c r="AM7" s="152"/>
      <c r="AN7" s="103"/>
      <c r="AO7" s="146" t="s">
        <v>376</v>
      </c>
      <c r="AP7" s="153"/>
      <c r="AQ7" s="150"/>
      <c r="AR7" s="151"/>
      <c r="AS7" s="152"/>
      <c r="AT7" s="103"/>
      <c r="AU7" s="103"/>
      <c r="AV7" s="146" t="s">
        <v>352</v>
      </c>
      <c r="AW7" s="153"/>
      <c r="AX7" s="150"/>
      <c r="AY7" s="151"/>
      <c r="AZ7" s="152"/>
      <c r="BA7" s="103"/>
      <c r="BB7" s="146" t="s">
        <v>636</v>
      </c>
      <c r="BC7" s="151"/>
      <c r="BD7" s="151"/>
      <c r="BE7" s="154"/>
      <c r="BF7" s="153"/>
      <c r="BG7" s="150"/>
      <c r="BH7" s="151"/>
      <c r="BI7" s="151"/>
      <c r="BJ7" s="151"/>
      <c r="BK7" s="151"/>
      <c r="BL7" s="154"/>
      <c r="BM7" s="152"/>
      <c r="BN7" s="57"/>
      <c r="BO7" s="118" t="s">
        <v>105</v>
      </c>
      <c r="BP7" s="119"/>
      <c r="BQ7" s="119"/>
      <c r="BR7" s="118"/>
      <c r="BS7" s="118"/>
      <c r="BT7" s="57"/>
      <c r="BU7" s="110" t="s">
        <v>389</v>
      </c>
      <c r="BV7" s="110"/>
      <c r="BW7" s="110"/>
      <c r="BX7" s="110"/>
      <c r="BY7" s="110"/>
      <c r="BZ7" s="110"/>
      <c r="CA7" s="110"/>
      <c r="CB7" s="57"/>
      <c r="CC7" s="110" t="s">
        <v>694</v>
      </c>
      <c r="CD7" s="110"/>
      <c r="CE7" s="110"/>
      <c r="CF7" s="110"/>
      <c r="CG7" s="110"/>
      <c r="CH7" s="110"/>
      <c r="CI7" s="110"/>
      <c r="CJ7" s="110"/>
      <c r="CK7" s="110" t="s">
        <v>160</v>
      </c>
      <c r="CM7" s="110" t="s">
        <v>159</v>
      </c>
      <c r="CN7" s="110"/>
    </row>
    <row r="8" spans="1:92" ht="51">
      <c r="A8" s="1593"/>
      <c r="C8" s="1594"/>
      <c r="D8" s="1595" t="s">
        <v>387</v>
      </c>
      <c r="E8" s="1596" t="s">
        <v>388</v>
      </c>
      <c r="F8" s="1596" t="s">
        <v>24</v>
      </c>
      <c r="G8" s="1597" t="s">
        <v>634</v>
      </c>
      <c r="H8" s="1598" t="s">
        <v>388</v>
      </c>
      <c r="I8" s="1596" t="s">
        <v>174</v>
      </c>
      <c r="J8" s="1763"/>
      <c r="K8" s="1600" t="s">
        <v>387</v>
      </c>
      <c r="L8" s="1599" t="s">
        <v>388</v>
      </c>
      <c r="M8" s="1599" t="s">
        <v>24</v>
      </c>
      <c r="N8" s="1600" t="s">
        <v>634</v>
      </c>
      <c r="O8" s="1599" t="s">
        <v>174</v>
      </c>
      <c r="P8" s="1599"/>
      <c r="Q8" s="1600" t="s">
        <v>387</v>
      </c>
      <c r="R8" s="1599" t="s">
        <v>388</v>
      </c>
      <c r="S8" s="1599" t="s">
        <v>24</v>
      </c>
      <c r="T8" s="1600" t="s">
        <v>634</v>
      </c>
      <c r="U8" s="1599" t="s">
        <v>174</v>
      </c>
      <c r="V8" s="1599"/>
      <c r="W8" s="1595" t="s">
        <v>387</v>
      </c>
      <c r="X8" s="1596" t="s">
        <v>388</v>
      </c>
      <c r="Y8" s="1596" t="s">
        <v>24</v>
      </c>
      <c r="Z8" s="1597" t="s">
        <v>634</v>
      </c>
      <c r="AA8" s="1596" t="s">
        <v>174</v>
      </c>
      <c r="AB8" s="1763"/>
      <c r="AC8" s="1597" t="s">
        <v>387</v>
      </c>
      <c r="AD8" s="1596" t="s">
        <v>388</v>
      </c>
      <c r="AE8" s="1596" t="s">
        <v>24</v>
      </c>
      <c r="AF8" s="1597" t="s">
        <v>634</v>
      </c>
      <c r="AG8" s="1596" t="s">
        <v>174</v>
      </c>
      <c r="AH8" s="1763"/>
      <c r="AI8" s="1597" t="s">
        <v>387</v>
      </c>
      <c r="AJ8" s="1596" t="s">
        <v>388</v>
      </c>
      <c r="AK8" s="1596" t="s">
        <v>24</v>
      </c>
      <c r="AL8" s="1597" t="s">
        <v>634</v>
      </c>
      <c r="AM8" s="1598" t="s">
        <v>174</v>
      </c>
      <c r="AN8" s="1599"/>
      <c r="AO8" s="1595" t="s">
        <v>387</v>
      </c>
      <c r="AP8" s="1596" t="s">
        <v>388</v>
      </c>
      <c r="AQ8" s="1596" t="s">
        <v>24</v>
      </c>
      <c r="AR8" s="1597" t="s">
        <v>634</v>
      </c>
      <c r="AS8" s="1598" t="s">
        <v>174</v>
      </c>
      <c r="AT8" s="1599"/>
      <c r="AU8" s="1599"/>
      <c r="AV8" s="1595" t="s">
        <v>387</v>
      </c>
      <c r="AW8" s="1596" t="s">
        <v>388</v>
      </c>
      <c r="AX8" s="1596" t="s">
        <v>24</v>
      </c>
      <c r="AY8" s="1597" t="s">
        <v>634</v>
      </c>
      <c r="AZ8" s="1598" t="s">
        <v>174</v>
      </c>
      <c r="BA8" s="1599"/>
      <c r="BB8" s="1600" t="s">
        <v>582</v>
      </c>
      <c r="BC8" s="1600"/>
      <c r="BD8" s="1600"/>
      <c r="BE8" s="1601"/>
      <c r="BF8" s="1599" t="s">
        <v>388</v>
      </c>
      <c r="BG8" s="1599" t="s">
        <v>24</v>
      </c>
      <c r="BH8" s="1600" t="s">
        <v>583</v>
      </c>
      <c r="BI8" s="1600"/>
      <c r="BJ8" s="1600" t="s">
        <v>637</v>
      </c>
      <c r="BK8" s="1600" t="s">
        <v>678</v>
      </c>
      <c r="BL8" s="1601"/>
      <c r="BM8" s="1598" t="s">
        <v>174</v>
      </c>
      <c r="BN8" s="1593"/>
      <c r="BO8" s="1600" t="s">
        <v>387</v>
      </c>
      <c r="BP8" s="1599" t="s">
        <v>388</v>
      </c>
      <c r="BQ8" s="1599" t="s">
        <v>24</v>
      </c>
      <c r="BR8" s="1600" t="s">
        <v>634</v>
      </c>
      <c r="BS8" s="1599" t="s">
        <v>174</v>
      </c>
      <c r="BT8" s="1593"/>
      <c r="BU8" s="1602" t="s">
        <v>377</v>
      </c>
      <c r="BV8" s="1602" t="s">
        <v>386</v>
      </c>
      <c r="BW8" s="1602" t="s">
        <v>370</v>
      </c>
      <c r="BX8" s="1602" t="s">
        <v>383</v>
      </c>
      <c r="BY8" s="1602" t="s">
        <v>380</v>
      </c>
      <c r="BZ8" s="1602" t="s">
        <v>635</v>
      </c>
      <c r="CA8" s="1602" t="s">
        <v>374</v>
      </c>
      <c r="CB8" s="1593"/>
      <c r="CC8" s="1602" t="s">
        <v>377</v>
      </c>
      <c r="CD8" s="1602" t="s">
        <v>386</v>
      </c>
      <c r="CE8" s="1602" t="s">
        <v>370</v>
      </c>
      <c r="CF8" s="1602" t="s">
        <v>383</v>
      </c>
      <c r="CG8" s="1602" t="s">
        <v>380</v>
      </c>
      <c r="CH8" s="1602" t="s">
        <v>635</v>
      </c>
      <c r="CI8" s="1602" t="s">
        <v>374</v>
      </c>
      <c r="CJ8" s="1602"/>
      <c r="CK8" s="1602" t="s">
        <v>613</v>
      </c>
      <c r="CM8" s="1602" t="s">
        <v>613</v>
      </c>
      <c r="CN8" s="1602" t="s">
        <v>190</v>
      </c>
    </row>
    <row r="9" spans="1:92">
      <c r="A9" s="467"/>
      <c r="B9" s="467"/>
      <c r="C9" s="467"/>
      <c r="D9" s="1603"/>
      <c r="E9" s="1088"/>
      <c r="F9" s="1088"/>
      <c r="G9" s="1499"/>
      <c r="H9" s="1604"/>
      <c r="I9" s="1499"/>
      <c r="J9" s="1764"/>
      <c r="K9" s="1605"/>
      <c r="L9" s="1605"/>
      <c r="M9" s="1605"/>
      <c r="N9" s="467"/>
      <c r="O9" s="467"/>
      <c r="P9" s="1605"/>
      <c r="Q9" s="1605"/>
      <c r="R9" s="1605"/>
      <c r="S9" s="1605"/>
      <c r="T9" s="467"/>
      <c r="U9" s="467"/>
      <c r="V9" s="1605"/>
      <c r="W9" s="1603"/>
      <c r="X9" s="1088"/>
      <c r="Y9" s="1088"/>
      <c r="Z9" s="1499"/>
      <c r="AA9" s="1499"/>
      <c r="AB9" s="1764"/>
      <c r="AC9" s="800"/>
      <c r="AD9" s="1088"/>
      <c r="AE9" s="1088"/>
      <c r="AF9" s="1499"/>
      <c r="AG9" s="1499"/>
      <c r="AH9" s="1764"/>
      <c r="AI9" s="800"/>
      <c r="AJ9" s="1088"/>
      <c r="AK9" s="1088"/>
      <c r="AL9" s="1499"/>
      <c r="AM9" s="1604"/>
      <c r="AN9" s="702"/>
      <c r="AO9" s="1603"/>
      <c r="AP9" s="1088"/>
      <c r="AQ9" s="1088"/>
      <c r="AR9" s="1499"/>
      <c r="AS9" s="1604"/>
      <c r="AT9" s="702"/>
      <c r="AU9" s="702"/>
      <c r="AV9" s="1603"/>
      <c r="AW9" s="1088"/>
      <c r="AX9" s="1088"/>
      <c r="AY9" s="1499"/>
      <c r="AZ9" s="1604"/>
      <c r="BA9" s="487"/>
      <c r="BB9" s="1499"/>
      <c r="BC9" s="1499"/>
      <c r="BD9" s="1499"/>
      <c r="BE9" s="1606"/>
      <c r="BF9" s="487"/>
      <c r="BG9" s="487"/>
      <c r="BH9" s="1499"/>
      <c r="BI9" s="1499"/>
      <c r="BJ9" s="1499"/>
      <c r="BK9" s="1499"/>
      <c r="BL9" s="1606"/>
      <c r="BM9" s="1604"/>
      <c r="BN9" s="467"/>
      <c r="BO9" s="1605"/>
      <c r="BP9" s="702"/>
      <c r="BQ9" s="702"/>
      <c r="BR9" s="467"/>
      <c r="BS9" s="467"/>
      <c r="BT9" s="467"/>
      <c r="BU9" s="467"/>
      <c r="BV9" s="467"/>
      <c r="BW9" s="467"/>
      <c r="BX9" s="467"/>
      <c r="BY9" s="467"/>
      <c r="BZ9" s="467"/>
      <c r="CA9" s="467"/>
      <c r="CB9" s="467"/>
      <c r="CC9" s="467"/>
      <c r="CD9" s="467"/>
      <c r="CE9" s="467"/>
      <c r="CF9" s="467"/>
      <c r="CG9" s="467"/>
      <c r="CH9" s="467"/>
      <c r="CI9" s="467"/>
      <c r="CJ9" s="467"/>
    </row>
    <row r="10" spans="1:92" hidden="1" outlineLevel="1">
      <c r="A10" s="2112">
        <v>1990</v>
      </c>
      <c r="B10" s="2112"/>
      <c r="C10" s="467"/>
      <c r="D10" s="1603"/>
      <c r="E10" s="1088"/>
      <c r="F10" s="1088"/>
      <c r="G10" s="1499"/>
      <c r="H10" s="1604"/>
      <c r="I10" s="1499"/>
      <c r="J10" s="1764"/>
      <c r="K10" s="1605"/>
      <c r="L10" s="1605"/>
      <c r="M10" s="1605"/>
      <c r="N10" s="467"/>
      <c r="O10" s="467"/>
      <c r="P10" s="1605"/>
      <c r="Q10" s="1605"/>
      <c r="R10" s="1605"/>
      <c r="S10" s="1605"/>
      <c r="T10" s="467"/>
      <c r="U10" s="467"/>
      <c r="V10" s="1605"/>
      <c r="W10" s="1603"/>
      <c r="X10" s="1088"/>
      <c r="Y10" s="1088"/>
      <c r="Z10" s="1499"/>
      <c r="AA10" s="1499"/>
      <c r="AB10" s="1764"/>
      <c r="AC10" s="800"/>
      <c r="AD10" s="1088"/>
      <c r="AE10" s="1088"/>
      <c r="AF10" s="1499"/>
      <c r="AG10" s="1499"/>
      <c r="AH10" s="1764"/>
      <c r="AI10" s="800"/>
      <c r="AJ10" s="1088"/>
      <c r="AK10" s="1088"/>
      <c r="AL10" s="1499"/>
      <c r="AM10" s="1604"/>
      <c r="AN10" s="702"/>
      <c r="AO10" s="1603"/>
      <c r="AP10" s="1088"/>
      <c r="AQ10" s="1088"/>
      <c r="AR10" s="1499"/>
      <c r="AS10" s="1604"/>
      <c r="AT10" s="702"/>
      <c r="AU10" s="702"/>
      <c r="AV10" s="1603"/>
      <c r="AW10" s="1088"/>
      <c r="AX10" s="1088"/>
      <c r="AY10" s="1499"/>
      <c r="AZ10" s="1604"/>
      <c r="BA10" s="487"/>
      <c r="BB10" s="1499"/>
      <c r="BC10" s="1499"/>
      <c r="BD10" s="1499"/>
      <c r="BE10" s="1606"/>
      <c r="BF10" s="487"/>
      <c r="BG10" s="487"/>
      <c r="BH10" s="1499"/>
      <c r="BI10" s="1499"/>
      <c r="BJ10" s="1499"/>
      <c r="BK10" s="1499"/>
      <c r="BL10" s="1606"/>
      <c r="BM10" s="1604"/>
      <c r="BN10" s="467"/>
      <c r="BO10" s="1605"/>
      <c r="BP10" s="702"/>
      <c r="BQ10" s="702"/>
      <c r="BR10" s="467"/>
      <c r="BS10" s="467"/>
      <c r="BT10" s="467"/>
      <c r="BU10" s="467"/>
      <c r="BV10" s="467"/>
      <c r="BW10" s="467"/>
      <c r="BX10" s="467"/>
      <c r="BY10" s="467"/>
      <c r="BZ10" s="467"/>
      <c r="CA10" s="467"/>
      <c r="CB10" s="467"/>
      <c r="CC10" s="467"/>
      <c r="CD10" s="467"/>
      <c r="CE10" s="467"/>
      <c r="CF10" s="467"/>
      <c r="CG10" s="467"/>
      <c r="CH10" s="467"/>
      <c r="CI10" s="467"/>
      <c r="CJ10" s="467"/>
    </row>
    <row r="11" spans="1:92" hidden="1" outlineLevel="1">
      <c r="A11" s="467" t="s">
        <v>527</v>
      </c>
      <c r="B11" s="467" t="s">
        <v>514</v>
      </c>
      <c r="C11" s="467"/>
      <c r="D11" s="1607"/>
      <c r="E11" s="1608"/>
      <c r="F11" s="1609">
        <f>+M11</f>
        <v>3</v>
      </c>
      <c r="G11" s="1610"/>
      <c r="H11" s="1604"/>
      <c r="I11" s="1499"/>
      <c r="J11" s="1765"/>
      <c r="K11" s="1612"/>
      <c r="L11" s="1613"/>
      <c r="M11" s="1611">
        <v>3</v>
      </c>
      <c r="N11" s="467"/>
      <c r="O11" s="467"/>
      <c r="P11" s="1611"/>
      <c r="Q11" s="1612"/>
      <c r="R11" s="1613"/>
      <c r="S11" s="1611"/>
      <c r="T11" s="467"/>
      <c r="U11" s="467"/>
      <c r="V11" s="1611"/>
      <c r="W11" s="1607"/>
      <c r="X11" s="1608"/>
      <c r="Y11" s="1609"/>
      <c r="Z11" s="1610"/>
      <c r="AA11" s="1499"/>
      <c r="AB11" s="1765"/>
      <c r="AC11" s="1610"/>
      <c r="AD11" s="1608"/>
      <c r="AE11" s="1609"/>
      <c r="AF11" s="1610"/>
      <c r="AG11" s="1499"/>
      <c r="AH11" s="1765"/>
      <c r="AI11" s="1610"/>
      <c r="AJ11" s="1608"/>
      <c r="AK11" s="1609"/>
      <c r="AL11" s="1610"/>
      <c r="AM11" s="1604"/>
      <c r="AN11" s="1611"/>
      <c r="AO11" s="1607"/>
      <c r="AP11" s="1608"/>
      <c r="AQ11" s="1609"/>
      <c r="AR11" s="1610"/>
      <c r="AS11" s="1604"/>
      <c r="AT11" s="1611"/>
      <c r="AU11" s="1611"/>
      <c r="AV11" s="1607"/>
      <c r="AW11" s="1608"/>
      <c r="AX11" s="1609"/>
      <c r="AY11" s="1610"/>
      <c r="AZ11" s="1604"/>
      <c r="BA11" s="1611"/>
      <c r="BB11" s="1614"/>
      <c r="BC11" s="1614"/>
      <c r="BD11" s="1614"/>
      <c r="BE11" s="1615"/>
      <c r="BF11" s="1613"/>
      <c r="BG11" s="1611"/>
      <c r="BH11" s="1614"/>
      <c r="BI11" s="1614"/>
      <c r="BJ11" s="1614"/>
      <c r="BK11" s="1614"/>
      <c r="BL11" s="1615"/>
      <c r="BM11" s="1604"/>
      <c r="BN11" s="467"/>
      <c r="BO11" s="1612"/>
      <c r="BP11" s="1613"/>
      <c r="BQ11" s="1611"/>
      <c r="BR11" s="1612"/>
      <c r="BS11" s="467"/>
      <c r="BT11" s="467"/>
      <c r="BU11" s="467"/>
      <c r="BV11" s="467"/>
      <c r="BW11" s="467"/>
      <c r="BX11" s="467"/>
      <c r="BY11" s="467"/>
      <c r="BZ11" s="467"/>
      <c r="CA11" s="467"/>
      <c r="CB11" s="467"/>
      <c r="CC11" s="467"/>
      <c r="CD11" s="467"/>
      <c r="CE11" s="467"/>
      <c r="CF11" s="467"/>
      <c r="CG11" s="467"/>
      <c r="CH11" s="467"/>
      <c r="CI11" s="467"/>
      <c r="CJ11" s="467"/>
    </row>
    <row r="12" spans="1:92" hidden="1" outlineLevel="1">
      <c r="A12" s="467" t="s">
        <v>528</v>
      </c>
      <c r="B12" s="467" t="s">
        <v>515</v>
      </c>
      <c r="C12" s="467"/>
      <c r="D12" s="1616"/>
      <c r="E12" s="1608"/>
      <c r="F12" s="1609">
        <f>+M12</f>
        <v>6</v>
      </c>
      <c r="G12" s="1617"/>
      <c r="H12" s="1618"/>
      <c r="I12" s="1662"/>
      <c r="J12" s="1765"/>
      <c r="K12" s="1619"/>
      <c r="L12" s="1613"/>
      <c r="M12" s="1611">
        <v>6</v>
      </c>
      <c r="N12" s="467"/>
      <c r="O12" s="1620"/>
      <c r="P12" s="1611"/>
      <c r="Q12" s="1619"/>
      <c r="R12" s="1613"/>
      <c r="S12" s="1611"/>
      <c r="T12" s="467"/>
      <c r="U12" s="1620"/>
      <c r="V12" s="1611"/>
      <c r="W12" s="1616"/>
      <c r="X12" s="1608"/>
      <c r="Y12" s="1609"/>
      <c r="Z12" s="1617"/>
      <c r="AA12" s="1662"/>
      <c r="AB12" s="1765"/>
      <c r="AC12" s="1617"/>
      <c r="AD12" s="1608"/>
      <c r="AE12" s="1609"/>
      <c r="AF12" s="1617"/>
      <c r="AG12" s="1662"/>
      <c r="AH12" s="1765"/>
      <c r="AI12" s="1617"/>
      <c r="AJ12" s="1608"/>
      <c r="AK12" s="1609"/>
      <c r="AL12" s="1617"/>
      <c r="AM12" s="1618"/>
      <c r="AN12" s="1611"/>
      <c r="AO12" s="1616"/>
      <c r="AP12" s="1608"/>
      <c r="AQ12" s="1609"/>
      <c r="AR12" s="1617"/>
      <c r="AS12" s="1618"/>
      <c r="AT12" s="1611"/>
      <c r="AU12" s="1611"/>
      <c r="AV12" s="1616"/>
      <c r="AW12" s="1608"/>
      <c r="AX12" s="1609"/>
      <c r="AY12" s="1617"/>
      <c r="AZ12" s="1618"/>
      <c r="BA12" s="1611"/>
      <c r="BB12" s="1621"/>
      <c r="BC12" s="1621"/>
      <c r="BD12" s="1621"/>
      <c r="BE12" s="1622"/>
      <c r="BF12" s="1613"/>
      <c r="BG12" s="1611"/>
      <c r="BH12" s="1621"/>
      <c r="BI12" s="1621"/>
      <c r="BJ12" s="1621"/>
      <c r="BK12" s="1621"/>
      <c r="BL12" s="1622"/>
      <c r="BM12" s="1618"/>
      <c r="BN12" s="467"/>
      <c r="BO12" s="1619"/>
      <c r="BP12" s="1613"/>
      <c r="BQ12" s="1611"/>
      <c r="BR12" s="1619"/>
      <c r="BS12" s="1620"/>
      <c r="BT12" s="467"/>
      <c r="BU12" s="467"/>
      <c r="BV12" s="467"/>
      <c r="BW12" s="467"/>
      <c r="BX12" s="467"/>
      <c r="BY12" s="467"/>
      <c r="BZ12" s="467"/>
      <c r="CA12" s="467"/>
      <c r="CB12" s="467"/>
      <c r="CC12" s="467"/>
      <c r="CD12" s="467"/>
      <c r="CE12" s="467"/>
      <c r="CF12" s="467"/>
      <c r="CG12" s="467"/>
      <c r="CH12" s="467"/>
      <c r="CI12" s="467"/>
      <c r="CJ12" s="467"/>
    </row>
    <row r="13" spans="1:92" hidden="1" outlineLevel="1">
      <c r="A13" s="467" t="s">
        <v>529</v>
      </c>
      <c r="B13" s="467" t="s">
        <v>516</v>
      </c>
      <c r="C13" s="467"/>
      <c r="D13" s="1616"/>
      <c r="E13" s="1608"/>
      <c r="F13" s="1609">
        <f>+M13</f>
        <v>6</v>
      </c>
      <c r="G13" s="1617"/>
      <c r="H13" s="1604"/>
      <c r="I13" s="1499"/>
      <c r="J13" s="1765"/>
      <c r="K13" s="1619"/>
      <c r="L13" s="1613"/>
      <c r="M13" s="1611">
        <v>6</v>
      </c>
      <c r="N13" s="467"/>
      <c r="O13" s="467"/>
      <c r="P13" s="1611"/>
      <c r="Q13" s="1619"/>
      <c r="R13" s="1613"/>
      <c r="S13" s="1611"/>
      <c r="T13" s="467"/>
      <c r="U13" s="467"/>
      <c r="V13" s="1611"/>
      <c r="W13" s="1616"/>
      <c r="X13" s="1608"/>
      <c r="Y13" s="1609"/>
      <c r="Z13" s="1617"/>
      <c r="AA13" s="1499"/>
      <c r="AB13" s="1765"/>
      <c r="AC13" s="1617"/>
      <c r="AD13" s="1608"/>
      <c r="AE13" s="1609"/>
      <c r="AF13" s="1617"/>
      <c r="AG13" s="1499"/>
      <c r="AH13" s="1765"/>
      <c r="AI13" s="1617"/>
      <c r="AJ13" s="1608"/>
      <c r="AK13" s="1609"/>
      <c r="AL13" s="1617"/>
      <c r="AM13" s="1604"/>
      <c r="AN13" s="1611"/>
      <c r="AO13" s="1616"/>
      <c r="AP13" s="1608"/>
      <c r="AQ13" s="1609"/>
      <c r="AR13" s="1617"/>
      <c r="AS13" s="1604"/>
      <c r="AT13" s="1611"/>
      <c r="AU13" s="1611"/>
      <c r="AV13" s="1616"/>
      <c r="AW13" s="1608"/>
      <c r="AX13" s="1609"/>
      <c r="AY13" s="1617"/>
      <c r="AZ13" s="1604"/>
      <c r="BA13" s="1611"/>
      <c r="BB13" s="1621"/>
      <c r="BC13" s="1621"/>
      <c r="BD13" s="1621"/>
      <c r="BE13" s="1622"/>
      <c r="BF13" s="1613"/>
      <c r="BG13" s="1611"/>
      <c r="BH13" s="1621"/>
      <c r="BI13" s="1621"/>
      <c r="BJ13" s="1621"/>
      <c r="BK13" s="1621"/>
      <c r="BL13" s="1622"/>
      <c r="BM13" s="1604"/>
      <c r="BN13" s="467"/>
      <c r="BO13" s="1619"/>
      <c r="BP13" s="1613"/>
      <c r="BQ13" s="1611"/>
      <c r="BR13" s="1619"/>
      <c r="BS13" s="467"/>
      <c r="BT13" s="467"/>
      <c r="BU13" s="467"/>
      <c r="BV13" s="467"/>
      <c r="BW13" s="467"/>
      <c r="BX13" s="467"/>
      <c r="BY13" s="467"/>
      <c r="BZ13" s="467"/>
      <c r="CA13" s="467"/>
      <c r="CB13" s="467"/>
      <c r="CC13" s="467"/>
      <c r="CD13" s="467"/>
      <c r="CE13" s="467"/>
      <c r="CF13" s="467"/>
      <c r="CG13" s="467"/>
      <c r="CH13" s="467"/>
      <c r="CI13" s="467"/>
      <c r="CJ13" s="467"/>
    </row>
    <row r="14" spans="1:92" hidden="1" outlineLevel="1">
      <c r="A14" s="467" t="s">
        <v>530</v>
      </c>
      <c r="B14" s="467" t="s">
        <v>517</v>
      </c>
      <c r="C14" s="467"/>
      <c r="D14" s="1623"/>
      <c r="E14" s="1608"/>
      <c r="F14" s="1609">
        <f>+M14</f>
        <v>7</v>
      </c>
      <c r="G14" s="1624"/>
      <c r="H14" s="1604"/>
      <c r="I14" s="1499"/>
      <c r="J14" s="1765"/>
      <c r="K14" s="1624"/>
      <c r="L14" s="1613"/>
      <c r="M14" s="1611">
        <v>7</v>
      </c>
      <c r="N14" s="467"/>
      <c r="O14" s="467"/>
      <c r="P14" s="1611"/>
      <c r="Q14" s="1624"/>
      <c r="R14" s="1613"/>
      <c r="S14" s="1611"/>
      <c r="T14" s="467"/>
      <c r="U14" s="467"/>
      <c r="V14" s="1611"/>
      <c r="W14" s="1623"/>
      <c r="X14" s="1608"/>
      <c r="Y14" s="1609"/>
      <c r="Z14" s="1624"/>
      <c r="AA14" s="1499"/>
      <c r="AB14" s="1765"/>
      <c r="AC14" s="1624"/>
      <c r="AD14" s="1608"/>
      <c r="AE14" s="1609"/>
      <c r="AF14" s="1624"/>
      <c r="AG14" s="1499"/>
      <c r="AH14" s="1765"/>
      <c r="AI14" s="1624"/>
      <c r="AJ14" s="1608"/>
      <c r="AK14" s="1609"/>
      <c r="AL14" s="1624"/>
      <c r="AM14" s="1604"/>
      <c r="AN14" s="1611"/>
      <c r="AO14" s="1623"/>
      <c r="AP14" s="1608"/>
      <c r="AQ14" s="1609"/>
      <c r="AR14" s="1624"/>
      <c r="AS14" s="1604"/>
      <c r="AT14" s="1611"/>
      <c r="AU14" s="1611"/>
      <c r="AV14" s="1623"/>
      <c r="AW14" s="1608"/>
      <c r="AX14" s="1609"/>
      <c r="AY14" s="1624"/>
      <c r="AZ14" s="1604"/>
      <c r="BA14" s="1611"/>
      <c r="BB14" s="1625"/>
      <c r="BC14" s="1621"/>
      <c r="BD14" s="1621"/>
      <c r="BE14" s="1622"/>
      <c r="BF14" s="1613"/>
      <c r="BG14" s="1611"/>
      <c r="BH14" s="1625"/>
      <c r="BI14" s="1625"/>
      <c r="BJ14" s="1625"/>
      <c r="BK14" s="1625"/>
      <c r="BL14" s="1622"/>
      <c r="BM14" s="1604"/>
      <c r="BN14" s="467"/>
      <c r="BO14" s="1624"/>
      <c r="BP14" s="1613"/>
      <c r="BQ14" s="1611"/>
      <c r="BR14" s="1624"/>
      <c r="BS14" s="467"/>
      <c r="BT14" s="467"/>
      <c r="BU14" s="467"/>
      <c r="BV14" s="467"/>
      <c r="BW14" s="467"/>
      <c r="BX14" s="467"/>
      <c r="BY14" s="467"/>
      <c r="BZ14" s="467"/>
      <c r="CA14" s="467"/>
      <c r="CB14" s="467"/>
      <c r="CC14" s="467"/>
      <c r="CD14" s="467"/>
      <c r="CE14" s="467"/>
      <c r="CF14" s="467"/>
      <c r="CG14" s="467"/>
      <c r="CH14" s="467"/>
      <c r="CI14" s="467"/>
      <c r="CJ14" s="467"/>
    </row>
    <row r="15" spans="1:92" hidden="1" outlineLevel="1">
      <c r="A15" s="467"/>
      <c r="B15" s="467" t="s">
        <v>531</v>
      </c>
      <c r="C15" s="467"/>
      <c r="D15" s="1607">
        <f>+K15+Q15</f>
        <v>1937.4</v>
      </c>
      <c r="E15" s="1608"/>
      <c r="F15" s="1609">
        <f>+M15</f>
        <v>5.5</v>
      </c>
      <c r="G15" s="1610">
        <f>+N15+T15</f>
        <v>160.80000000000001</v>
      </c>
      <c r="H15" s="1604"/>
      <c r="I15" s="1499"/>
      <c r="J15" s="1765"/>
      <c r="K15" s="1612">
        <v>1937.4</v>
      </c>
      <c r="L15" s="1613"/>
      <c r="M15" s="1611">
        <v>5.5</v>
      </c>
      <c r="N15" s="1626">
        <v>160.80000000000001</v>
      </c>
      <c r="O15" s="467">
        <f>+N15/K15*100</f>
        <v>8.2997832146175288</v>
      </c>
      <c r="P15" s="1611"/>
      <c r="Q15" s="1612"/>
      <c r="R15" s="1613"/>
      <c r="S15" s="1611"/>
      <c r="T15" s="467"/>
      <c r="U15" s="467"/>
      <c r="V15" s="1611"/>
      <c r="W15" s="1607">
        <v>18</v>
      </c>
      <c r="X15" s="1608"/>
      <c r="Y15" s="1609">
        <v>5.5</v>
      </c>
      <c r="Z15" s="1610">
        <v>-0.2</v>
      </c>
      <c r="AA15" s="1499"/>
      <c r="AB15" s="1765"/>
      <c r="AC15" s="1610"/>
      <c r="AD15" s="1608"/>
      <c r="AE15" s="1609"/>
      <c r="AF15" s="1610"/>
      <c r="AG15" s="1499"/>
      <c r="AH15" s="1765"/>
      <c r="AI15" s="1610"/>
      <c r="AJ15" s="1608"/>
      <c r="AK15" s="1609"/>
      <c r="AL15" s="1610"/>
      <c r="AM15" s="1604"/>
      <c r="AN15" s="1611"/>
      <c r="AO15" s="1607"/>
      <c r="AP15" s="1608"/>
      <c r="AQ15" s="1609"/>
      <c r="AR15" s="1610"/>
      <c r="AS15" s="1604"/>
      <c r="AT15" s="1611"/>
      <c r="AU15" s="1611"/>
      <c r="AV15" s="1607"/>
      <c r="AW15" s="1608"/>
      <c r="AX15" s="1609"/>
      <c r="AY15" s="1610"/>
      <c r="AZ15" s="1604"/>
      <c r="BA15" s="1611"/>
      <c r="BB15" s="1621">
        <f>'qtrP&amp;L'!$F$14</f>
        <v>2446.279</v>
      </c>
      <c r="BC15" s="1614"/>
      <c r="BD15" s="1627">
        <f>BO15</f>
        <v>1947.6569999999999</v>
      </c>
      <c r="BE15" s="1615"/>
      <c r="BF15" s="1613"/>
      <c r="BG15" s="1611"/>
      <c r="BH15" s="1614"/>
      <c r="BI15" s="1614"/>
      <c r="BJ15" s="1614">
        <f>10.755+2.599</f>
        <v>13.354000000000001</v>
      </c>
      <c r="BK15" s="1614"/>
      <c r="BL15" s="1615"/>
      <c r="BM15" s="1604"/>
      <c r="BN15" s="467"/>
      <c r="BO15" s="1612">
        <v>1947.6569999999999</v>
      </c>
      <c r="BP15" s="1613"/>
      <c r="BQ15" s="1611"/>
      <c r="BR15" s="1612">
        <v>160.626</v>
      </c>
      <c r="BS15" s="467"/>
      <c r="BT15" s="467"/>
      <c r="BU15" s="1422">
        <f>+D15/$BD15</f>
        <v>0.99473367230472309</v>
      </c>
      <c r="BV15" s="1628"/>
      <c r="BW15" s="1628"/>
      <c r="BX15" s="1422">
        <f>+W15/$BD15</f>
        <v>9.2418736974734256E-3</v>
      </c>
      <c r="BY15" s="1422">
        <f>+AC15/BD15</f>
        <v>0</v>
      </c>
      <c r="BZ15" s="1422">
        <f>+AI15/BD15</f>
        <v>0</v>
      </c>
      <c r="CA15" s="1422">
        <f>+AO15/BD15</f>
        <v>0</v>
      </c>
      <c r="CB15" s="467"/>
      <c r="CC15" s="467"/>
      <c r="CD15" s="467"/>
      <c r="CE15" s="467"/>
      <c r="CF15" s="467"/>
      <c r="CG15" s="467"/>
      <c r="CH15" s="467"/>
      <c r="CI15" s="467"/>
      <c r="CJ15" s="467"/>
    </row>
    <row r="16" spans="1:92" hidden="1" outlineLevel="1">
      <c r="A16" s="1626"/>
      <c r="B16" s="1626"/>
      <c r="C16" s="467"/>
      <c r="D16" s="1603"/>
      <c r="E16" s="1088"/>
      <c r="F16" s="1088"/>
      <c r="G16" s="1499"/>
      <c r="H16" s="1604"/>
      <c r="I16" s="1499"/>
      <c r="J16" s="1764"/>
      <c r="K16" s="1605"/>
      <c r="L16" s="1605"/>
      <c r="M16" s="1605"/>
      <c r="N16" s="467"/>
      <c r="O16" s="467"/>
      <c r="P16" s="1605"/>
      <c r="Q16" s="1605"/>
      <c r="R16" s="1605"/>
      <c r="S16" s="1605"/>
      <c r="T16" s="467"/>
      <c r="U16" s="467"/>
      <c r="V16" s="1605"/>
      <c r="W16" s="1603"/>
      <c r="X16" s="1088"/>
      <c r="Y16" s="1088"/>
      <c r="Z16" s="1499"/>
      <c r="AA16" s="1499"/>
      <c r="AB16" s="1764"/>
      <c r="AC16" s="800"/>
      <c r="AD16" s="1088"/>
      <c r="AE16" s="1088"/>
      <c r="AF16" s="1499"/>
      <c r="AG16" s="1499"/>
      <c r="AH16" s="1764"/>
      <c r="AI16" s="800"/>
      <c r="AJ16" s="1088"/>
      <c r="AK16" s="1088"/>
      <c r="AL16" s="1499"/>
      <c r="AM16" s="1604"/>
      <c r="AN16" s="702"/>
      <c r="AO16" s="1603"/>
      <c r="AP16" s="1088"/>
      <c r="AQ16" s="1088"/>
      <c r="AR16" s="1499"/>
      <c r="AS16" s="1604"/>
      <c r="AT16" s="702"/>
      <c r="AU16" s="702"/>
      <c r="AV16" s="1603"/>
      <c r="AW16" s="1088"/>
      <c r="AX16" s="1088"/>
      <c r="AY16" s="1499"/>
      <c r="AZ16" s="1604"/>
      <c r="BA16" s="487"/>
      <c r="BB16" s="1499"/>
      <c r="BC16" s="1499"/>
      <c r="BD16" s="1499"/>
      <c r="BE16" s="1606"/>
      <c r="BF16" s="487"/>
      <c r="BG16" s="487"/>
      <c r="BH16" s="1499"/>
      <c r="BI16" s="1499"/>
      <c r="BJ16" s="1499"/>
      <c r="BK16" s="1499"/>
      <c r="BL16" s="1606"/>
      <c r="BM16" s="1604"/>
      <c r="BN16" s="467"/>
      <c r="BO16" s="1605"/>
      <c r="BP16" s="702"/>
      <c r="BQ16" s="702"/>
      <c r="BR16" s="467"/>
      <c r="BS16" s="467"/>
      <c r="BT16" s="467"/>
      <c r="BU16" s="467"/>
      <c r="BV16" s="467"/>
      <c r="BW16" s="467"/>
      <c r="BX16" s="467"/>
      <c r="BY16" s="467"/>
      <c r="BZ16" s="467"/>
      <c r="CA16" s="467"/>
      <c r="CB16" s="467"/>
      <c r="CC16" s="467"/>
      <c r="CD16" s="467"/>
      <c r="CE16" s="467"/>
      <c r="CF16" s="467"/>
      <c r="CG16" s="467"/>
      <c r="CH16" s="467"/>
      <c r="CI16" s="467"/>
      <c r="CJ16" s="467"/>
    </row>
    <row r="17" spans="1:88" hidden="1" outlineLevel="1">
      <c r="A17" s="2112">
        <f>+A10+1</f>
        <v>1991</v>
      </c>
      <c r="B17" s="2112"/>
      <c r="C17" s="467"/>
      <c r="D17" s="1603"/>
      <c r="E17" s="1088"/>
      <c r="F17" s="1088"/>
      <c r="G17" s="1499"/>
      <c r="H17" s="1604"/>
      <c r="I17" s="1499"/>
      <c r="J17" s="1764"/>
      <c r="K17" s="1605"/>
      <c r="L17" s="1605"/>
      <c r="M17" s="1605"/>
      <c r="N17" s="467"/>
      <c r="O17" s="467"/>
      <c r="P17" s="1605"/>
      <c r="Q17" s="1605"/>
      <c r="R17" s="1605"/>
      <c r="S17" s="1605"/>
      <c r="T17" s="467"/>
      <c r="U17" s="467"/>
      <c r="V17" s="1605"/>
      <c r="W17" s="1603"/>
      <c r="X17" s="1088"/>
      <c r="Y17" s="1088"/>
      <c r="Z17" s="1499"/>
      <c r="AA17" s="1499"/>
      <c r="AB17" s="1764"/>
      <c r="AC17" s="800"/>
      <c r="AD17" s="1088"/>
      <c r="AE17" s="1088"/>
      <c r="AF17" s="1499"/>
      <c r="AG17" s="1499"/>
      <c r="AH17" s="1764"/>
      <c r="AI17" s="800"/>
      <c r="AJ17" s="1088"/>
      <c r="AK17" s="1088"/>
      <c r="AL17" s="1499"/>
      <c r="AM17" s="1604"/>
      <c r="AN17" s="702"/>
      <c r="AO17" s="1603"/>
      <c r="AP17" s="1088"/>
      <c r="AQ17" s="1088"/>
      <c r="AR17" s="1499"/>
      <c r="AS17" s="1604"/>
      <c r="AT17" s="702"/>
      <c r="AU17" s="702"/>
      <c r="AV17" s="1603"/>
      <c r="AW17" s="1088"/>
      <c r="AX17" s="1088"/>
      <c r="AY17" s="1499"/>
      <c r="AZ17" s="1604"/>
      <c r="BA17" s="487"/>
      <c r="BB17" s="1499"/>
      <c r="BC17" s="1499"/>
      <c r="BD17" s="1499"/>
      <c r="BE17" s="1606"/>
      <c r="BF17" s="487"/>
      <c r="BG17" s="487"/>
      <c r="BH17" s="1499"/>
      <c r="BI17" s="1499"/>
      <c r="BJ17" s="1499"/>
      <c r="BK17" s="1499"/>
      <c r="BL17" s="1606"/>
      <c r="BM17" s="1604"/>
      <c r="BN17" s="467"/>
      <c r="BO17" s="1605"/>
      <c r="BP17" s="702"/>
      <c r="BQ17" s="702"/>
      <c r="BR17" s="467"/>
      <c r="BS17" s="467"/>
      <c r="BT17" s="467"/>
      <c r="BU17" s="467"/>
      <c r="BV17" s="467"/>
      <c r="BW17" s="467"/>
      <c r="BX17" s="467"/>
      <c r="BY17" s="467"/>
      <c r="BZ17" s="467"/>
      <c r="CA17" s="467"/>
      <c r="CB17" s="467"/>
      <c r="CC17" s="467"/>
      <c r="CD17" s="467"/>
      <c r="CE17" s="467"/>
      <c r="CF17" s="467"/>
      <c r="CG17" s="467"/>
      <c r="CH17" s="467"/>
      <c r="CI17" s="467"/>
      <c r="CJ17" s="467"/>
    </row>
    <row r="18" spans="1:88" hidden="1" outlineLevel="1">
      <c r="A18" s="467" t="str">
        <f>$A$11</f>
        <v>1Q</v>
      </c>
      <c r="B18" s="467" t="str">
        <f>$B$11</f>
        <v>Apr</v>
      </c>
      <c r="C18" s="467"/>
      <c r="D18" s="1607"/>
      <c r="E18" s="1608"/>
      <c r="F18" s="1609">
        <f>+M18</f>
        <v>5</v>
      </c>
      <c r="G18" s="1610"/>
      <c r="H18" s="1604"/>
      <c r="I18" s="1499"/>
      <c r="J18" s="1765"/>
      <c r="K18" s="1612"/>
      <c r="L18" s="1613"/>
      <c r="M18" s="1611">
        <v>5</v>
      </c>
      <c r="N18" s="467"/>
      <c r="O18" s="467"/>
      <c r="P18" s="1611"/>
      <c r="Q18" s="1612"/>
      <c r="R18" s="1613"/>
      <c r="S18" s="1611"/>
      <c r="T18" s="467"/>
      <c r="U18" s="467"/>
      <c r="V18" s="1611"/>
      <c r="W18" s="1607"/>
      <c r="X18" s="1608"/>
      <c r="Y18" s="1609"/>
      <c r="Z18" s="1610"/>
      <c r="AA18" s="1499"/>
      <c r="AB18" s="1765"/>
      <c r="AC18" s="1610"/>
      <c r="AD18" s="1608"/>
      <c r="AE18" s="1609"/>
      <c r="AF18" s="1610"/>
      <c r="AG18" s="1499"/>
      <c r="AH18" s="1765"/>
      <c r="AI18" s="1610"/>
      <c r="AJ18" s="1608"/>
      <c r="AK18" s="1609"/>
      <c r="AL18" s="1610"/>
      <c r="AM18" s="1604"/>
      <c r="AN18" s="1611"/>
      <c r="AO18" s="1607"/>
      <c r="AP18" s="1608"/>
      <c r="AQ18" s="1609"/>
      <c r="AR18" s="1610"/>
      <c r="AS18" s="1604"/>
      <c r="AT18" s="1611"/>
      <c r="AU18" s="1611"/>
      <c r="AV18" s="1607"/>
      <c r="AW18" s="1608"/>
      <c r="AX18" s="1609"/>
      <c r="AY18" s="1610"/>
      <c r="AZ18" s="1604"/>
      <c r="BA18" s="1611"/>
      <c r="BB18" s="1614"/>
      <c r="BC18" s="1614"/>
      <c r="BD18" s="1614"/>
      <c r="BE18" s="1615"/>
      <c r="BF18" s="1613"/>
      <c r="BG18" s="1611"/>
      <c r="BH18" s="1614"/>
      <c r="BI18" s="1614"/>
      <c r="BJ18" s="1614">
        <f>8.361+1.312-BJ19</f>
        <v>4.3490000000000002</v>
      </c>
      <c r="BK18" s="1614">
        <f>+BR18-BJ18</f>
        <v>31.775000000000002</v>
      </c>
      <c r="BL18" s="1615"/>
      <c r="BM18" s="1604"/>
      <c r="BN18" s="467"/>
      <c r="BO18" s="1612">
        <f>971.474-BO19</f>
        <v>467.50200000000007</v>
      </c>
      <c r="BP18" s="1613"/>
      <c r="BQ18" s="1611"/>
      <c r="BR18" s="1612">
        <f>70.676-BR19</f>
        <v>36.124000000000002</v>
      </c>
      <c r="BS18" s="467"/>
      <c r="BT18" s="467"/>
      <c r="BU18" s="467"/>
      <c r="BV18" s="467"/>
      <c r="BW18" s="467"/>
      <c r="BX18" s="467"/>
      <c r="BY18" s="467"/>
      <c r="BZ18" s="467"/>
      <c r="CA18" s="467"/>
      <c r="CB18" s="467"/>
      <c r="CC18" s="467"/>
      <c r="CD18" s="467"/>
      <c r="CE18" s="467"/>
      <c r="CF18" s="467"/>
      <c r="CG18" s="467"/>
      <c r="CH18" s="467"/>
      <c r="CI18" s="467"/>
      <c r="CJ18" s="467"/>
    </row>
    <row r="19" spans="1:88" hidden="1" outlineLevel="1">
      <c r="A19" s="467" t="str">
        <f>$A$12</f>
        <v>2Q</v>
      </c>
      <c r="B19" s="467" t="str">
        <f>$B$12</f>
        <v>Jul</v>
      </c>
      <c r="C19" s="467"/>
      <c r="D19" s="1616"/>
      <c r="E19" s="1608"/>
      <c r="F19" s="1609">
        <f>+M19</f>
        <v>4</v>
      </c>
      <c r="G19" s="1617"/>
      <c r="H19" s="1618"/>
      <c r="I19" s="1662"/>
      <c r="J19" s="1765"/>
      <c r="K19" s="1619"/>
      <c r="L19" s="1613"/>
      <c r="M19" s="1611">
        <v>4</v>
      </c>
      <c r="N19" s="467"/>
      <c r="O19" s="1620"/>
      <c r="P19" s="1611"/>
      <c r="Q19" s="1619"/>
      <c r="R19" s="1613"/>
      <c r="S19" s="1611"/>
      <c r="T19" s="467"/>
      <c r="U19" s="1620"/>
      <c r="V19" s="1611"/>
      <c r="W19" s="1616"/>
      <c r="X19" s="1608"/>
      <c r="Y19" s="1609"/>
      <c r="Z19" s="1617"/>
      <c r="AA19" s="1662"/>
      <c r="AB19" s="1765"/>
      <c r="AC19" s="1617"/>
      <c r="AD19" s="1608"/>
      <c r="AE19" s="1609"/>
      <c r="AF19" s="1617"/>
      <c r="AG19" s="1662"/>
      <c r="AH19" s="1765"/>
      <c r="AI19" s="1617"/>
      <c r="AJ19" s="1608"/>
      <c r="AK19" s="1609"/>
      <c r="AL19" s="1617"/>
      <c r="AM19" s="1618"/>
      <c r="AN19" s="1611"/>
      <c r="AO19" s="1616"/>
      <c r="AP19" s="1608"/>
      <c r="AQ19" s="1609"/>
      <c r="AR19" s="1617"/>
      <c r="AS19" s="1618"/>
      <c r="AT19" s="1611"/>
      <c r="AU19" s="1611"/>
      <c r="AV19" s="1616"/>
      <c r="AW19" s="1608"/>
      <c r="AX19" s="1609"/>
      <c r="AY19" s="1617"/>
      <c r="AZ19" s="1618"/>
      <c r="BA19" s="1611"/>
      <c r="BB19" s="1621"/>
      <c r="BC19" s="1621"/>
      <c r="BD19" s="1621"/>
      <c r="BE19" s="1622"/>
      <c r="BF19" s="1613"/>
      <c r="BG19" s="1611"/>
      <c r="BH19" s="1621"/>
      <c r="BI19" s="1621"/>
      <c r="BJ19" s="1621">
        <f>4.669+0.655</f>
        <v>5.3239999999999998</v>
      </c>
      <c r="BK19" s="1621">
        <f>+BR19-BJ19</f>
        <v>29.228000000000002</v>
      </c>
      <c r="BL19" s="1622"/>
      <c r="BM19" s="1618"/>
      <c r="BN19" s="467"/>
      <c r="BO19" s="1619">
        <v>503.97199999999998</v>
      </c>
      <c r="BP19" s="1613"/>
      <c r="BQ19" s="1611"/>
      <c r="BR19" s="1619">
        <v>34.552</v>
      </c>
      <c r="BS19" s="1620"/>
      <c r="BT19" s="467"/>
      <c r="BU19" s="467"/>
      <c r="BV19" s="467"/>
      <c r="BW19" s="467"/>
      <c r="BX19" s="467"/>
      <c r="BY19" s="467"/>
      <c r="BZ19" s="467"/>
      <c r="CA19" s="467"/>
      <c r="CB19" s="467"/>
      <c r="CC19" s="467"/>
      <c r="CD19" s="467"/>
      <c r="CE19" s="467"/>
      <c r="CF19" s="467"/>
      <c r="CG19" s="467"/>
      <c r="CH19" s="467"/>
      <c r="CI19" s="467"/>
      <c r="CJ19" s="467"/>
    </row>
    <row r="20" spans="1:88" hidden="1" outlineLevel="1">
      <c r="A20" s="467" t="str">
        <f>$A$13</f>
        <v>3Q</v>
      </c>
      <c r="B20" s="467" t="str">
        <f>$B$13</f>
        <v>Oct</v>
      </c>
      <c r="C20" s="467"/>
      <c r="D20" s="1616"/>
      <c r="E20" s="1608"/>
      <c r="F20" s="1609">
        <f>+M20</f>
        <v>0</v>
      </c>
      <c r="G20" s="1617"/>
      <c r="H20" s="1604"/>
      <c r="I20" s="1499"/>
      <c r="J20" s="1765"/>
      <c r="K20" s="1619"/>
      <c r="L20" s="1613"/>
      <c r="M20" s="1611">
        <v>0</v>
      </c>
      <c r="N20" s="467"/>
      <c r="O20" s="467"/>
      <c r="P20" s="1611"/>
      <c r="Q20" s="1619"/>
      <c r="R20" s="1613"/>
      <c r="S20" s="1611"/>
      <c r="T20" s="467"/>
      <c r="U20" s="467"/>
      <c r="V20" s="1611"/>
      <c r="W20" s="1616"/>
      <c r="X20" s="1608"/>
      <c r="Y20" s="1609"/>
      <c r="Z20" s="1617"/>
      <c r="AA20" s="1499"/>
      <c r="AB20" s="1765"/>
      <c r="AC20" s="1617"/>
      <c r="AD20" s="1608"/>
      <c r="AE20" s="1609"/>
      <c r="AF20" s="1617"/>
      <c r="AG20" s="1499"/>
      <c r="AH20" s="1765"/>
      <c r="AI20" s="1617"/>
      <c r="AJ20" s="1608"/>
      <c r="AK20" s="1609"/>
      <c r="AL20" s="1617"/>
      <c r="AM20" s="1604"/>
      <c r="AN20" s="1611"/>
      <c r="AO20" s="1616"/>
      <c r="AP20" s="1608"/>
      <c r="AQ20" s="1609"/>
      <c r="AR20" s="1617"/>
      <c r="AS20" s="1604"/>
      <c r="AT20" s="1611"/>
      <c r="AU20" s="1611"/>
      <c r="AV20" s="1616"/>
      <c r="AW20" s="1608"/>
      <c r="AX20" s="1609"/>
      <c r="AY20" s="1617"/>
      <c r="AZ20" s="1604"/>
      <c r="BA20" s="1611"/>
      <c r="BB20" s="1621"/>
      <c r="BC20" s="1621"/>
      <c r="BD20" s="1621"/>
      <c r="BE20" s="1622"/>
      <c r="BF20" s="1613"/>
      <c r="BG20" s="1611"/>
      <c r="BH20" s="1621"/>
      <c r="BI20" s="1621"/>
      <c r="BJ20" s="1621"/>
      <c r="BK20" s="1621">
        <f>+BR20-BJ20</f>
        <v>0</v>
      </c>
      <c r="BL20" s="1622"/>
      <c r="BM20" s="1604"/>
      <c r="BN20" s="467"/>
      <c r="BO20" s="1619"/>
      <c r="BP20" s="1613"/>
      <c r="BQ20" s="1611"/>
      <c r="BR20" s="1619"/>
      <c r="BS20" s="467"/>
      <c r="BT20" s="467"/>
      <c r="BU20" s="467"/>
      <c r="BV20" s="467"/>
      <c r="BW20" s="467"/>
      <c r="BX20" s="467"/>
      <c r="BY20" s="467"/>
      <c r="BZ20" s="467"/>
      <c r="CA20" s="467"/>
      <c r="CB20" s="467"/>
      <c r="CC20" s="467"/>
      <c r="CD20" s="467"/>
      <c r="CE20" s="467"/>
      <c r="CF20" s="467"/>
      <c r="CG20" s="467"/>
      <c r="CH20" s="467"/>
      <c r="CI20" s="467"/>
      <c r="CJ20" s="467"/>
    </row>
    <row r="21" spans="1:88" hidden="1" outlineLevel="1">
      <c r="A21" s="467" t="str">
        <f>$A$14</f>
        <v>4Q</v>
      </c>
      <c r="B21" s="467" t="str">
        <f>$B$14</f>
        <v>Jan</v>
      </c>
      <c r="C21" s="467"/>
      <c r="D21" s="1623"/>
      <c r="E21" s="1608"/>
      <c r="F21" s="1609">
        <f>+M21</f>
        <v>1</v>
      </c>
      <c r="G21" s="1624"/>
      <c r="H21" s="1604"/>
      <c r="I21" s="1499"/>
      <c r="J21" s="1765"/>
      <c r="K21" s="1624"/>
      <c r="L21" s="1613"/>
      <c r="M21" s="1611">
        <v>1</v>
      </c>
      <c r="N21" s="467"/>
      <c r="O21" s="467"/>
      <c r="P21" s="1611"/>
      <c r="Q21" s="1624"/>
      <c r="R21" s="1613"/>
      <c r="S21" s="1611"/>
      <c r="T21" s="1629"/>
      <c r="U21" s="467"/>
      <c r="V21" s="1611"/>
      <c r="W21" s="1623"/>
      <c r="X21" s="1608"/>
      <c r="Y21" s="1609"/>
      <c r="Z21" s="1624"/>
      <c r="AA21" s="1499"/>
      <c r="AB21" s="1765"/>
      <c r="AC21" s="1624"/>
      <c r="AD21" s="1608"/>
      <c r="AE21" s="1609"/>
      <c r="AF21" s="1624"/>
      <c r="AG21" s="1499"/>
      <c r="AH21" s="1765"/>
      <c r="AI21" s="1624"/>
      <c r="AJ21" s="1608"/>
      <c r="AK21" s="1609"/>
      <c r="AL21" s="1624"/>
      <c r="AM21" s="1604"/>
      <c r="AN21" s="1611"/>
      <c r="AO21" s="1623"/>
      <c r="AP21" s="1608"/>
      <c r="AQ21" s="1609"/>
      <c r="AR21" s="1624"/>
      <c r="AS21" s="1604"/>
      <c r="AT21" s="1611"/>
      <c r="AU21" s="1611"/>
      <c r="AV21" s="1623"/>
      <c r="AW21" s="1608"/>
      <c r="AX21" s="1609"/>
      <c r="AY21" s="1624"/>
      <c r="AZ21" s="1604"/>
      <c r="BA21" s="1611"/>
      <c r="BB21" s="1625"/>
      <c r="BC21" s="1621"/>
      <c r="BD21" s="1621"/>
      <c r="BE21" s="1622"/>
      <c r="BF21" s="1613"/>
      <c r="BG21" s="1611"/>
      <c r="BH21" s="1625"/>
      <c r="BI21" s="1625"/>
      <c r="BJ21" s="1625"/>
      <c r="BK21" s="1625">
        <f>+BR21-BJ21</f>
        <v>0</v>
      </c>
      <c r="BL21" s="1622"/>
      <c r="BM21" s="1604"/>
      <c r="BN21" s="467"/>
      <c r="BO21" s="1624"/>
      <c r="BP21" s="1613"/>
      <c r="BQ21" s="1611"/>
      <c r="BR21" s="1624"/>
      <c r="BS21" s="467"/>
      <c r="BT21" s="467"/>
      <c r="BU21" s="467"/>
      <c r="BV21" s="467"/>
      <c r="BW21" s="467"/>
      <c r="BX21" s="467"/>
      <c r="BY21" s="467"/>
      <c r="BZ21" s="467"/>
      <c r="CA21" s="467"/>
      <c r="CB21" s="467"/>
      <c r="CC21" s="467"/>
      <c r="CD21" s="467"/>
      <c r="CE21" s="467"/>
      <c r="CF21" s="467"/>
      <c r="CG21" s="467"/>
      <c r="CH21" s="467"/>
      <c r="CI21" s="467"/>
      <c r="CJ21" s="467"/>
    </row>
    <row r="22" spans="1:88" hidden="1" outlineLevel="1">
      <c r="A22" s="467"/>
      <c r="B22" s="467" t="str">
        <f>$B$15</f>
        <v>Year</v>
      </c>
      <c r="C22" s="467"/>
      <c r="D22" s="1607">
        <f>+K22+Q22</f>
        <v>2179.6999999999998</v>
      </c>
      <c r="E22" s="1608"/>
      <c r="F22" s="1609">
        <f>+M22</f>
        <v>2.2999999999999998</v>
      </c>
      <c r="G22" s="1610">
        <f>+N22+T22</f>
        <v>182.7</v>
      </c>
      <c r="H22" s="1604"/>
      <c r="I22" s="1662">
        <f>+G22/D22*100</f>
        <v>8.3818874156994081</v>
      </c>
      <c r="J22" s="1765"/>
      <c r="K22" s="1612">
        <v>2179.6999999999998</v>
      </c>
      <c r="L22" s="1613"/>
      <c r="M22" s="1611">
        <v>2.2999999999999998</v>
      </c>
      <c r="N22" s="1626">
        <v>182.7</v>
      </c>
      <c r="O22" s="467">
        <f>+N22/K22*100</f>
        <v>8.3818874156994081</v>
      </c>
      <c r="P22" s="1611"/>
      <c r="Q22" s="1612"/>
      <c r="R22" s="1613"/>
      <c r="S22" s="1611"/>
      <c r="T22" s="467"/>
      <c r="U22" s="467"/>
      <c r="V22" s="1611"/>
      <c r="W22" s="1607">
        <v>27.5</v>
      </c>
      <c r="X22" s="1608">
        <f>+(W22/W15-1)*100</f>
        <v>52.777777777777771</v>
      </c>
      <c r="Y22" s="1609">
        <v>20</v>
      </c>
      <c r="Z22" s="1610">
        <v>-2</v>
      </c>
      <c r="AA22" s="1499">
        <f>+Z22/W22*100</f>
        <v>-7.2727272727272725</v>
      </c>
      <c r="AB22" s="1765"/>
      <c r="AC22" s="1610"/>
      <c r="AD22" s="1608"/>
      <c r="AE22" s="1609"/>
      <c r="AF22" s="1610"/>
      <c r="AG22" s="1499"/>
      <c r="AH22" s="1765"/>
      <c r="AI22" s="1610"/>
      <c r="AJ22" s="1608"/>
      <c r="AK22" s="1609"/>
      <c r="AL22" s="1610"/>
      <c r="AM22" s="1604"/>
      <c r="AN22" s="1611"/>
      <c r="AO22" s="1607"/>
      <c r="AP22" s="1608"/>
      <c r="AQ22" s="1609"/>
      <c r="AR22" s="1610"/>
      <c r="AS22" s="1604"/>
      <c r="AT22" s="1611"/>
      <c r="AU22" s="1611"/>
      <c r="AV22" s="1607"/>
      <c r="AW22" s="1608"/>
      <c r="AX22" s="1609"/>
      <c r="AY22" s="1610"/>
      <c r="AZ22" s="1604"/>
      <c r="BA22" s="1611"/>
      <c r="BB22" s="1621">
        <f>'qtrP&amp;L'!$J$14</f>
        <v>2757.7150000000001</v>
      </c>
      <c r="BC22" s="1614"/>
      <c r="BD22" s="1627">
        <f>BO22</f>
        <v>2207.232</v>
      </c>
      <c r="BE22" s="1615"/>
      <c r="BF22" s="1613"/>
      <c r="BG22" s="1611"/>
      <c r="BH22" s="1614"/>
      <c r="BI22" s="1614"/>
      <c r="BJ22" s="1614">
        <f>16.715+2.624</f>
        <v>19.338999999999999</v>
      </c>
      <c r="BK22" s="1614">
        <f>+BR22-BJ22</f>
        <v>161.59800000000001</v>
      </c>
      <c r="BL22" s="1615"/>
      <c r="BM22" s="1604"/>
      <c r="BN22" s="467"/>
      <c r="BO22" s="1612">
        <v>2207.232</v>
      </c>
      <c r="BP22" s="1613"/>
      <c r="BQ22" s="1611"/>
      <c r="BR22" s="1612">
        <v>180.93700000000001</v>
      </c>
      <c r="BS22" s="467"/>
      <c r="BT22" s="467"/>
      <c r="BU22" s="1422">
        <f>+D22/$BD22</f>
        <v>0.98752645847831122</v>
      </c>
      <c r="BV22" s="1628"/>
      <c r="BW22" s="1628"/>
      <c r="BX22" s="1422">
        <f>+W22/$BD22</f>
        <v>1.2459043725353747E-2</v>
      </c>
      <c r="BY22" s="1422">
        <f>+AC22/BD22</f>
        <v>0</v>
      </c>
      <c r="BZ22" s="1422">
        <f>+AI22/BD22</f>
        <v>0</v>
      </c>
      <c r="CA22" s="1422">
        <f>+AO22/BD22</f>
        <v>0</v>
      </c>
      <c r="CB22" s="467"/>
      <c r="CC22" s="467"/>
      <c r="CD22" s="467"/>
      <c r="CE22" s="467"/>
      <c r="CF22" s="467"/>
      <c r="CG22" s="467"/>
      <c r="CH22" s="467"/>
      <c r="CI22" s="467"/>
      <c r="CJ22" s="467"/>
    </row>
    <row r="23" spans="1:88" hidden="1" outlineLevel="1">
      <c r="A23" s="467"/>
      <c r="B23" s="467"/>
      <c r="C23" s="467"/>
      <c r="D23" s="1603"/>
      <c r="E23" s="1088"/>
      <c r="F23" s="1088"/>
      <c r="G23" s="1499"/>
      <c r="H23" s="1604"/>
      <c r="I23" s="1499"/>
      <c r="J23" s="1764"/>
      <c r="K23" s="1605"/>
      <c r="L23" s="1605"/>
      <c r="M23" s="1605"/>
      <c r="N23" s="467"/>
      <c r="O23" s="467"/>
      <c r="P23" s="1605"/>
      <c r="Q23" s="1605"/>
      <c r="R23" s="1605"/>
      <c r="S23" s="1605"/>
      <c r="T23" s="467"/>
      <c r="U23" s="467"/>
      <c r="V23" s="1605"/>
      <c r="W23" s="1603"/>
      <c r="X23" s="1088"/>
      <c r="Y23" s="1088"/>
      <c r="Z23" s="1499"/>
      <c r="AA23" s="1499"/>
      <c r="AB23" s="1764"/>
      <c r="AC23" s="800"/>
      <c r="AD23" s="1088"/>
      <c r="AE23" s="1088"/>
      <c r="AF23" s="1499"/>
      <c r="AG23" s="1499"/>
      <c r="AH23" s="1764"/>
      <c r="AI23" s="800"/>
      <c r="AJ23" s="1088"/>
      <c r="AK23" s="1088"/>
      <c r="AL23" s="1499"/>
      <c r="AM23" s="1604"/>
      <c r="AN23" s="702"/>
      <c r="AO23" s="1603"/>
      <c r="AP23" s="1088"/>
      <c r="AQ23" s="1088"/>
      <c r="AR23" s="1499"/>
      <c r="AS23" s="1604"/>
      <c r="AT23" s="702"/>
      <c r="AU23" s="702"/>
      <c r="AV23" s="1603"/>
      <c r="AW23" s="1088"/>
      <c r="AX23" s="1088"/>
      <c r="AY23" s="1499"/>
      <c r="AZ23" s="1604"/>
      <c r="BA23" s="487"/>
      <c r="BB23" s="1499"/>
      <c r="BC23" s="1499"/>
      <c r="BD23" s="1499"/>
      <c r="BE23" s="1606"/>
      <c r="BF23" s="487"/>
      <c r="BG23" s="487"/>
      <c r="BH23" s="1499"/>
      <c r="BI23" s="1499"/>
      <c r="BJ23" s="1499"/>
      <c r="BK23" s="1499"/>
      <c r="BL23" s="1606"/>
      <c r="BM23" s="1604"/>
      <c r="BN23" s="467"/>
      <c r="BO23" s="1605"/>
      <c r="BP23" s="702"/>
      <c r="BQ23" s="702"/>
      <c r="BR23" s="467"/>
      <c r="BS23" s="467"/>
      <c r="BT23" s="467"/>
      <c r="BU23" s="467"/>
      <c r="BV23" s="467"/>
      <c r="BW23" s="467"/>
      <c r="BX23" s="467"/>
      <c r="BY23" s="467"/>
      <c r="BZ23" s="467"/>
      <c r="CA23" s="467"/>
      <c r="CB23" s="467"/>
      <c r="CC23" s="467"/>
      <c r="CD23" s="467"/>
      <c r="CE23" s="467"/>
      <c r="CF23" s="467"/>
      <c r="CG23" s="467"/>
      <c r="CH23" s="467"/>
      <c r="CI23" s="467"/>
      <c r="CJ23" s="467"/>
    </row>
    <row r="24" spans="1:88" hidden="1" outlineLevel="1">
      <c r="A24" s="2112">
        <f>+A17+1</f>
        <v>1992</v>
      </c>
      <c r="B24" s="2112"/>
      <c r="C24" s="1630"/>
      <c r="D24" s="1631"/>
      <c r="E24" s="1088"/>
      <c r="F24" s="1088"/>
      <c r="G24" s="1632"/>
      <c r="H24" s="1633"/>
      <c r="I24" s="1632"/>
      <c r="J24" s="1764"/>
      <c r="K24" s="1634"/>
      <c r="L24" s="1634"/>
      <c r="M24" s="1634"/>
      <c r="N24" s="1630"/>
      <c r="O24" s="1630"/>
      <c r="P24" s="1634"/>
      <c r="Q24" s="1634"/>
      <c r="R24" s="1634"/>
      <c r="S24" s="1634"/>
      <c r="T24" s="1630"/>
      <c r="U24" s="1630"/>
      <c r="V24" s="1634"/>
      <c r="W24" s="1631"/>
      <c r="X24" s="1088"/>
      <c r="Y24" s="1088"/>
      <c r="Z24" s="1632"/>
      <c r="AA24" s="1632"/>
      <c r="AB24" s="1764"/>
      <c r="AC24" s="1766"/>
      <c r="AD24" s="1088"/>
      <c r="AE24" s="1088"/>
      <c r="AF24" s="1632"/>
      <c r="AG24" s="1632"/>
      <c r="AH24" s="1764"/>
      <c r="AI24" s="1766"/>
      <c r="AJ24" s="1088"/>
      <c r="AK24" s="1088"/>
      <c r="AL24" s="1632"/>
      <c r="AM24" s="1633"/>
      <c r="AN24" s="702"/>
      <c r="AO24" s="1631"/>
      <c r="AP24" s="1088"/>
      <c r="AQ24" s="1088"/>
      <c r="AR24" s="1632"/>
      <c r="AS24" s="1633"/>
      <c r="AT24" s="702"/>
      <c r="AU24" s="702"/>
      <c r="AV24" s="1631"/>
      <c r="AW24" s="1088"/>
      <c r="AX24" s="1088"/>
      <c r="AY24" s="1632"/>
      <c r="AZ24" s="1633"/>
      <c r="BA24" s="487"/>
      <c r="BB24" s="1632"/>
      <c r="BC24" s="1632"/>
      <c r="BD24" s="1632"/>
      <c r="BE24" s="1606"/>
      <c r="BF24" s="487"/>
      <c r="BG24" s="487"/>
      <c r="BH24" s="1632"/>
      <c r="BI24" s="1632"/>
      <c r="BJ24" s="1632"/>
      <c r="BK24" s="1632"/>
      <c r="BL24" s="1606"/>
      <c r="BM24" s="1633"/>
      <c r="BN24" s="1630"/>
      <c r="BO24" s="1634"/>
      <c r="BP24" s="702"/>
      <c r="BQ24" s="702"/>
      <c r="BR24" s="1630"/>
      <c r="BS24" s="1630"/>
      <c r="BT24" s="1630"/>
      <c r="BU24" s="1630"/>
      <c r="BV24" s="1630"/>
      <c r="BW24" s="1630"/>
      <c r="BX24" s="1630"/>
      <c r="BY24" s="1630"/>
      <c r="BZ24" s="1630"/>
      <c r="CA24" s="1630"/>
      <c r="CB24" s="1630"/>
      <c r="CC24" s="1630"/>
      <c r="CD24" s="1630"/>
      <c r="CE24" s="1630"/>
      <c r="CF24" s="1630"/>
      <c r="CG24" s="1630"/>
      <c r="CH24" s="1630"/>
      <c r="CI24" s="1630"/>
      <c r="CJ24" s="1630"/>
    </row>
    <row r="25" spans="1:88" hidden="1" outlineLevel="1">
      <c r="A25" s="467" t="str">
        <f>$A$11</f>
        <v>1Q</v>
      </c>
      <c r="B25" s="467" t="str">
        <f>$B$11</f>
        <v>Apr</v>
      </c>
      <c r="C25" s="467"/>
      <c r="D25" s="1607"/>
      <c r="E25" s="1608"/>
      <c r="F25" s="1609">
        <f>+M25</f>
        <v>2</v>
      </c>
      <c r="G25" s="1610"/>
      <c r="H25" s="1604"/>
      <c r="I25" s="1499"/>
      <c r="J25" s="1765"/>
      <c r="K25" s="1612"/>
      <c r="L25" s="1613"/>
      <c r="M25" s="1611">
        <v>2</v>
      </c>
      <c r="N25" s="467"/>
      <c r="O25" s="467"/>
      <c r="P25" s="1611"/>
      <c r="Q25" s="1612"/>
      <c r="R25" s="1613"/>
      <c r="S25" s="1611"/>
      <c r="T25" s="467"/>
      <c r="U25" s="467"/>
      <c r="V25" s="1611"/>
      <c r="W25" s="1607"/>
      <c r="X25" s="1608"/>
      <c r="Y25" s="1609">
        <v>-3</v>
      </c>
      <c r="Z25" s="1610"/>
      <c r="AA25" s="1499"/>
      <c r="AB25" s="1765"/>
      <c r="AC25" s="1610"/>
      <c r="AD25" s="1608"/>
      <c r="AE25" s="1609"/>
      <c r="AF25" s="1610"/>
      <c r="AG25" s="1499"/>
      <c r="AH25" s="1765"/>
      <c r="AI25" s="1610"/>
      <c r="AJ25" s="1608"/>
      <c r="AK25" s="1609"/>
      <c r="AL25" s="1610"/>
      <c r="AM25" s="1604"/>
      <c r="AN25" s="1611"/>
      <c r="AO25" s="1607"/>
      <c r="AP25" s="1608"/>
      <c r="AQ25" s="1609"/>
      <c r="AR25" s="1610"/>
      <c r="AS25" s="1604"/>
      <c r="AT25" s="1611"/>
      <c r="AU25" s="1611"/>
      <c r="AV25" s="1607"/>
      <c r="AW25" s="1608"/>
      <c r="AX25" s="1609"/>
      <c r="AY25" s="1610"/>
      <c r="AZ25" s="1604"/>
      <c r="BA25" s="1611"/>
      <c r="BB25" s="1614"/>
      <c r="BC25" s="1614"/>
      <c r="BD25" s="1614"/>
      <c r="BE25" s="1615"/>
      <c r="BF25" s="1613"/>
      <c r="BG25" s="1611"/>
      <c r="BH25" s="1614"/>
      <c r="BI25" s="1614"/>
      <c r="BJ25" s="1614">
        <f>4.511+0.656</f>
        <v>5.1669999999999998</v>
      </c>
      <c r="BK25" s="1614">
        <f>+BR25-BJ25</f>
        <v>33.707999999999991</v>
      </c>
      <c r="BL25" s="1615"/>
      <c r="BM25" s="1604"/>
      <c r="BN25" s="467"/>
      <c r="BO25" s="1612">
        <f>1117.306-BO26</f>
        <v>526.06200000000001</v>
      </c>
      <c r="BP25" s="1613"/>
      <c r="BQ25" s="1611"/>
      <c r="BR25" s="1612">
        <f>81.386-BR26</f>
        <v>38.874999999999993</v>
      </c>
      <c r="BS25" s="467"/>
      <c r="BT25" s="467"/>
      <c r="BU25" s="467"/>
      <c r="BV25" s="467"/>
      <c r="BW25" s="467"/>
      <c r="BX25" s="467"/>
      <c r="BY25" s="467"/>
      <c r="BZ25" s="467"/>
      <c r="CA25" s="467"/>
      <c r="CB25" s="467"/>
      <c r="CC25" s="467"/>
      <c r="CD25" s="467"/>
      <c r="CE25" s="467"/>
      <c r="CF25" s="467"/>
      <c r="CG25" s="467"/>
      <c r="CH25" s="467"/>
      <c r="CI25" s="467"/>
      <c r="CJ25" s="467"/>
    </row>
    <row r="26" spans="1:88" hidden="1" outlineLevel="1">
      <c r="A26" s="467" t="str">
        <f>$A$12</f>
        <v>2Q</v>
      </c>
      <c r="B26" s="467" t="str">
        <f>$B$12</f>
        <v>Jul</v>
      </c>
      <c r="C26" s="467"/>
      <c r="D26" s="1616"/>
      <c r="E26" s="1608"/>
      <c r="F26" s="1609">
        <f>+M26</f>
        <v>5</v>
      </c>
      <c r="G26" s="1617"/>
      <c r="H26" s="1618"/>
      <c r="I26" s="1662"/>
      <c r="J26" s="1765"/>
      <c r="K26" s="1619"/>
      <c r="L26" s="1613"/>
      <c r="M26" s="1611">
        <v>5</v>
      </c>
      <c r="N26" s="467"/>
      <c r="O26" s="1620"/>
      <c r="P26" s="1611"/>
      <c r="Q26" s="1619"/>
      <c r="R26" s="1613"/>
      <c r="S26" s="1611"/>
      <c r="T26" s="467"/>
      <c r="U26" s="1620"/>
      <c r="V26" s="1611"/>
      <c r="W26" s="1616"/>
      <c r="X26" s="1608"/>
      <c r="Y26" s="1609">
        <v>26</v>
      </c>
      <c r="Z26" s="1617"/>
      <c r="AA26" s="1662"/>
      <c r="AB26" s="1765"/>
      <c r="AC26" s="1617"/>
      <c r="AD26" s="1608"/>
      <c r="AE26" s="1609"/>
      <c r="AF26" s="1617"/>
      <c r="AG26" s="1662"/>
      <c r="AH26" s="1765"/>
      <c r="AI26" s="1617"/>
      <c r="AJ26" s="1608"/>
      <c r="AK26" s="1609"/>
      <c r="AL26" s="1617"/>
      <c r="AM26" s="1618"/>
      <c r="AN26" s="1611"/>
      <c r="AO26" s="1616"/>
      <c r="AP26" s="1608"/>
      <c r="AQ26" s="1609"/>
      <c r="AR26" s="1617"/>
      <c r="AS26" s="1618"/>
      <c r="AT26" s="1611"/>
      <c r="AU26" s="1611"/>
      <c r="AV26" s="1616"/>
      <c r="AW26" s="1608"/>
      <c r="AX26" s="1609"/>
      <c r="AY26" s="1617"/>
      <c r="AZ26" s="1618"/>
      <c r="BA26" s="1611"/>
      <c r="BB26" s="1621"/>
      <c r="BC26" s="1621"/>
      <c r="BD26" s="1621"/>
      <c r="BE26" s="1622"/>
      <c r="BF26" s="1613"/>
      <c r="BG26" s="1611"/>
      <c r="BH26" s="1621"/>
      <c r="BI26" s="1621"/>
      <c r="BJ26" s="1621">
        <f>7.066+0.655</f>
        <v>7.7210000000000001</v>
      </c>
      <c r="BK26" s="1621">
        <f>+BR26-BJ26</f>
        <v>34.790000000000006</v>
      </c>
      <c r="BL26" s="1622"/>
      <c r="BM26" s="1618"/>
      <c r="BN26" s="467"/>
      <c r="BO26" s="1619">
        <v>591.24400000000003</v>
      </c>
      <c r="BP26" s="1613"/>
      <c r="BQ26" s="1611"/>
      <c r="BR26" s="1619">
        <v>42.511000000000003</v>
      </c>
      <c r="BS26" s="1620"/>
      <c r="BT26" s="467"/>
      <c r="BU26" s="467"/>
      <c r="BV26" s="467"/>
      <c r="BW26" s="467"/>
      <c r="BX26" s="467"/>
      <c r="BY26" s="467"/>
      <c r="BZ26" s="467"/>
      <c r="CA26" s="467"/>
      <c r="CB26" s="467"/>
      <c r="CC26" s="467"/>
      <c r="CD26" s="467"/>
      <c r="CE26" s="467"/>
      <c r="CF26" s="467"/>
      <c r="CG26" s="467"/>
      <c r="CH26" s="467"/>
      <c r="CI26" s="467"/>
      <c r="CJ26" s="467"/>
    </row>
    <row r="27" spans="1:88" hidden="1" outlineLevel="1">
      <c r="A27" s="467" t="str">
        <f>$A$13</f>
        <v>3Q</v>
      </c>
      <c r="B27" s="467" t="str">
        <f>$B$13</f>
        <v>Oct</v>
      </c>
      <c r="C27" s="467"/>
      <c r="D27" s="1616"/>
      <c r="E27" s="1608"/>
      <c r="F27" s="1609">
        <f>+M27</f>
        <v>7</v>
      </c>
      <c r="G27" s="1617"/>
      <c r="H27" s="1604"/>
      <c r="I27" s="1499"/>
      <c r="J27" s="1765"/>
      <c r="K27" s="1619"/>
      <c r="L27" s="1613"/>
      <c r="M27" s="1611">
        <v>7</v>
      </c>
      <c r="N27" s="467"/>
      <c r="O27" s="467"/>
      <c r="P27" s="1611"/>
      <c r="Q27" s="1619"/>
      <c r="R27" s="1613"/>
      <c r="S27" s="1611"/>
      <c r="T27" s="467"/>
      <c r="U27" s="467"/>
      <c r="V27" s="1611"/>
      <c r="W27" s="1616"/>
      <c r="X27" s="1608"/>
      <c r="Y27" s="1609">
        <v>38</v>
      </c>
      <c r="Z27" s="1617"/>
      <c r="AA27" s="1499"/>
      <c r="AB27" s="1765"/>
      <c r="AC27" s="1617"/>
      <c r="AD27" s="1608"/>
      <c r="AE27" s="1609"/>
      <c r="AF27" s="1617"/>
      <c r="AG27" s="1499"/>
      <c r="AH27" s="1765"/>
      <c r="AI27" s="1617"/>
      <c r="AJ27" s="1608"/>
      <c r="AK27" s="1609"/>
      <c r="AL27" s="1617"/>
      <c r="AM27" s="1604"/>
      <c r="AN27" s="1611"/>
      <c r="AO27" s="1616"/>
      <c r="AP27" s="1608"/>
      <c r="AQ27" s="1609"/>
      <c r="AR27" s="1617"/>
      <c r="AS27" s="1604"/>
      <c r="AT27" s="1611"/>
      <c r="AU27" s="1611"/>
      <c r="AV27" s="1616"/>
      <c r="AW27" s="1608"/>
      <c r="AX27" s="1609"/>
      <c r="AY27" s="1617"/>
      <c r="AZ27" s="1604"/>
      <c r="BA27" s="1611"/>
      <c r="BB27" s="1621"/>
      <c r="BC27" s="1621"/>
      <c r="BD27" s="1621"/>
      <c r="BE27" s="1622"/>
      <c r="BF27" s="1613"/>
      <c r="BG27" s="1611"/>
      <c r="BH27" s="1621"/>
      <c r="BI27" s="1621"/>
      <c r="BJ27" s="1621"/>
      <c r="BK27" s="1621">
        <f>+BR27-BJ27</f>
        <v>0</v>
      </c>
      <c r="BL27" s="1622"/>
      <c r="BM27" s="1604"/>
      <c r="BN27" s="467"/>
      <c r="BO27" s="1619"/>
      <c r="BP27" s="1613"/>
      <c r="BQ27" s="1611"/>
      <c r="BR27" s="1619"/>
      <c r="BS27" s="467"/>
      <c r="BT27" s="467"/>
      <c r="BU27" s="467"/>
      <c r="BV27" s="467"/>
      <c r="BW27" s="467"/>
      <c r="BX27" s="467"/>
      <c r="BY27" s="467"/>
      <c r="BZ27" s="467"/>
      <c r="CA27" s="467"/>
      <c r="CB27" s="467"/>
      <c r="CC27" s="467"/>
      <c r="CD27" s="467"/>
      <c r="CE27" s="467"/>
      <c r="CF27" s="467"/>
      <c r="CG27" s="467"/>
      <c r="CH27" s="467"/>
      <c r="CI27" s="467"/>
      <c r="CJ27" s="467"/>
    </row>
    <row r="28" spans="1:88" hidden="1" outlineLevel="1">
      <c r="A28" s="467" t="str">
        <f>$A$14</f>
        <v>4Q</v>
      </c>
      <c r="B28" s="467" t="str">
        <f>$B$14</f>
        <v>Jan</v>
      </c>
      <c r="C28" s="467"/>
      <c r="D28" s="1616"/>
      <c r="E28" s="1608"/>
      <c r="F28" s="1609">
        <f>+M28</f>
        <v>5</v>
      </c>
      <c r="G28" s="1617"/>
      <c r="H28" s="1604"/>
      <c r="I28" s="1499"/>
      <c r="J28" s="1765"/>
      <c r="K28" s="1624"/>
      <c r="L28" s="1613"/>
      <c r="M28" s="1611">
        <v>5</v>
      </c>
      <c r="N28" s="467"/>
      <c r="O28" s="467"/>
      <c r="P28" s="1611"/>
      <c r="Q28" s="1624"/>
      <c r="R28" s="1613"/>
      <c r="S28" s="1611"/>
      <c r="T28" s="1629"/>
      <c r="U28" s="467"/>
      <c r="V28" s="1611"/>
      <c r="W28" s="1616"/>
      <c r="X28" s="1608"/>
      <c r="Y28" s="1609">
        <v>32</v>
      </c>
      <c r="Z28" s="1617"/>
      <c r="AA28" s="1499"/>
      <c r="AB28" s="1765"/>
      <c r="AC28" s="1617"/>
      <c r="AD28" s="1608"/>
      <c r="AE28" s="1609"/>
      <c r="AF28" s="1617"/>
      <c r="AG28" s="1499"/>
      <c r="AH28" s="1765"/>
      <c r="AI28" s="1617"/>
      <c r="AJ28" s="1608"/>
      <c r="AK28" s="1609"/>
      <c r="AL28" s="1617"/>
      <c r="AM28" s="1604"/>
      <c r="AN28" s="1611"/>
      <c r="AO28" s="1616"/>
      <c r="AP28" s="1608"/>
      <c r="AQ28" s="1609"/>
      <c r="AR28" s="1617"/>
      <c r="AS28" s="1604"/>
      <c r="AT28" s="1611"/>
      <c r="AU28" s="1611"/>
      <c r="AV28" s="1616"/>
      <c r="AW28" s="1608"/>
      <c r="AX28" s="1609"/>
      <c r="AY28" s="1617"/>
      <c r="AZ28" s="1604"/>
      <c r="BA28" s="1611"/>
      <c r="BB28" s="1625"/>
      <c r="BC28" s="1621"/>
      <c r="BD28" s="1621"/>
      <c r="BE28" s="1622"/>
      <c r="BF28" s="1613"/>
      <c r="BG28" s="1611"/>
      <c r="BH28" s="1625"/>
      <c r="BI28" s="1625"/>
      <c r="BJ28" s="1625">
        <f>12.309+0.655</f>
        <v>12.963999999999999</v>
      </c>
      <c r="BK28" s="1625">
        <f>+BR28-BJ28</f>
        <v>45.618000000000002</v>
      </c>
      <c r="BL28" s="1622"/>
      <c r="BM28" s="1604"/>
      <c r="BN28" s="467"/>
      <c r="BO28" s="1624">
        <v>802.11699999999996</v>
      </c>
      <c r="BP28" s="1613"/>
      <c r="BQ28" s="1611"/>
      <c r="BR28" s="1624">
        <v>58.582000000000001</v>
      </c>
      <c r="BS28" s="467"/>
      <c r="BT28" s="467"/>
      <c r="BU28" s="467"/>
      <c r="BV28" s="467"/>
      <c r="BW28" s="467"/>
      <c r="BX28" s="467"/>
      <c r="BY28" s="467"/>
      <c r="BZ28" s="467"/>
      <c r="CA28" s="467"/>
      <c r="CB28" s="467"/>
      <c r="CC28" s="467"/>
      <c r="CD28" s="467"/>
      <c r="CE28" s="467"/>
      <c r="CF28" s="467"/>
      <c r="CG28" s="467"/>
      <c r="CH28" s="467"/>
      <c r="CI28" s="467"/>
      <c r="CJ28" s="467"/>
    </row>
    <row r="29" spans="1:88" hidden="1" outlineLevel="1">
      <c r="A29" s="467"/>
      <c r="B29" s="467" t="str">
        <f>$B$15</f>
        <v>Year</v>
      </c>
      <c r="C29" s="467"/>
      <c r="D29" s="1607">
        <f>+K29+Q29</f>
        <v>2537.5</v>
      </c>
      <c r="E29" s="1608"/>
      <c r="F29" s="1609">
        <f>+M29</f>
        <v>5</v>
      </c>
      <c r="G29" s="1610">
        <f>+N29+T29</f>
        <v>215.7</v>
      </c>
      <c r="H29" s="1604"/>
      <c r="I29" s="1662">
        <f>+G29/D29*100</f>
        <v>8.500492610837437</v>
      </c>
      <c r="J29" s="1765"/>
      <c r="K29" s="1612">
        <v>2537.5</v>
      </c>
      <c r="L29" s="1613"/>
      <c r="M29" s="1611">
        <v>5</v>
      </c>
      <c r="N29" s="1626">
        <v>215.7</v>
      </c>
      <c r="O29" s="467">
        <f>+N29/K29*100</f>
        <v>8.500492610837437</v>
      </c>
      <c r="P29" s="1611"/>
      <c r="Q29" s="1612"/>
      <c r="R29" s="1613"/>
      <c r="S29" s="1611"/>
      <c r="T29" s="467"/>
      <c r="U29" s="467"/>
      <c r="V29" s="1611"/>
      <c r="W29" s="1607">
        <v>51</v>
      </c>
      <c r="X29" s="1608">
        <f>+(W29/W22-1)*100</f>
        <v>85.454545454545453</v>
      </c>
      <c r="Y29" s="1609">
        <v>24</v>
      </c>
      <c r="Z29" s="1610">
        <v>0.9</v>
      </c>
      <c r="AA29" s="1499">
        <f>+Z29/W29*100</f>
        <v>1.7647058823529411</v>
      </c>
      <c r="AB29" s="1765"/>
      <c r="AC29" s="1610"/>
      <c r="AD29" s="1608"/>
      <c r="AE29" s="1609"/>
      <c r="AF29" s="1610"/>
      <c r="AG29" s="1499"/>
      <c r="AH29" s="1765"/>
      <c r="AI29" s="1610"/>
      <c r="AJ29" s="1608"/>
      <c r="AK29" s="1609"/>
      <c r="AL29" s="1610"/>
      <c r="AM29" s="1604"/>
      <c r="AN29" s="1611"/>
      <c r="AO29" s="1607"/>
      <c r="AP29" s="1608"/>
      <c r="AQ29" s="1609"/>
      <c r="AR29" s="1610"/>
      <c r="AS29" s="1604"/>
      <c r="AT29" s="1611"/>
      <c r="AU29" s="1611"/>
      <c r="AV29" s="1607"/>
      <c r="AW29" s="1608"/>
      <c r="AX29" s="1609"/>
      <c r="AY29" s="1610"/>
      <c r="AZ29" s="1604"/>
      <c r="BA29" s="1611"/>
      <c r="BB29" s="1621">
        <f>'qtrP&amp;L'!$N$14</f>
        <v>3261.24</v>
      </c>
      <c r="BC29" s="1614"/>
      <c r="BD29" s="1627">
        <f>BO29</f>
        <v>2588.6030000000001</v>
      </c>
      <c r="BE29" s="1615"/>
      <c r="BF29" s="1613"/>
      <c r="BG29" s="1611"/>
      <c r="BH29" s="1614"/>
      <c r="BI29" s="1614"/>
      <c r="BJ29" s="1614">
        <f>32.108+2.621</f>
        <v>34.728999999999999</v>
      </c>
      <c r="BK29" s="1614">
        <f>+BR29-BJ29</f>
        <v>181.99700000000001</v>
      </c>
      <c r="BL29" s="1615"/>
      <c r="BM29" s="1604"/>
      <c r="BN29" s="467"/>
      <c r="BO29" s="1612">
        <v>2588.6030000000001</v>
      </c>
      <c r="BP29" s="1613"/>
      <c r="BQ29" s="1611"/>
      <c r="BR29" s="1612">
        <v>216.726</v>
      </c>
      <c r="BS29" s="467"/>
      <c r="BT29" s="467"/>
      <c r="BU29" s="1422">
        <f>+D29/$BD29</f>
        <v>0.98025846373507253</v>
      </c>
      <c r="BV29" s="1628"/>
      <c r="BW29" s="1628"/>
      <c r="BX29" s="1422">
        <f>+W29/$BD29</f>
        <v>1.9701746463246777E-2</v>
      </c>
      <c r="BY29" s="1422">
        <f>+AC29/BD29</f>
        <v>0</v>
      </c>
      <c r="BZ29" s="1422">
        <f>+AI29/BD29</f>
        <v>0</v>
      </c>
      <c r="CA29" s="1422">
        <f>+AO29/BD29</f>
        <v>0</v>
      </c>
      <c r="CB29" s="467"/>
      <c r="CC29" s="467"/>
      <c r="CD29" s="467"/>
      <c r="CE29" s="467"/>
      <c r="CF29" s="467"/>
      <c r="CG29" s="467"/>
      <c r="CH29" s="467"/>
      <c r="CI29" s="467"/>
      <c r="CJ29" s="467"/>
    </row>
    <row r="30" spans="1:88" hidden="1" outlineLevel="1">
      <c r="A30" s="467"/>
      <c r="B30" s="467"/>
      <c r="C30" s="467"/>
      <c r="D30" s="1603"/>
      <c r="E30" s="1088"/>
      <c r="F30" s="1088"/>
      <c r="G30" s="1499"/>
      <c r="H30" s="1604"/>
      <c r="I30" s="1499"/>
      <c r="J30" s="1764"/>
      <c r="K30" s="1605"/>
      <c r="L30" s="1605"/>
      <c r="M30" s="1605"/>
      <c r="N30" s="467"/>
      <c r="O30" s="467"/>
      <c r="P30" s="1605"/>
      <c r="Q30" s="1605"/>
      <c r="R30" s="1605"/>
      <c r="S30" s="1605"/>
      <c r="T30" s="467"/>
      <c r="U30" s="467"/>
      <c r="V30" s="1605"/>
      <c r="W30" s="1603"/>
      <c r="X30" s="1088"/>
      <c r="Y30" s="1088"/>
      <c r="Z30" s="1499"/>
      <c r="AA30" s="1499"/>
      <c r="AB30" s="1764"/>
      <c r="AC30" s="800"/>
      <c r="AD30" s="1088"/>
      <c r="AE30" s="1088"/>
      <c r="AF30" s="1499"/>
      <c r="AG30" s="1499"/>
      <c r="AH30" s="1764"/>
      <c r="AI30" s="800"/>
      <c r="AJ30" s="1088"/>
      <c r="AK30" s="1088"/>
      <c r="AL30" s="1499"/>
      <c r="AM30" s="1604"/>
      <c r="AN30" s="702"/>
      <c r="AO30" s="1603"/>
      <c r="AP30" s="1088"/>
      <c r="AQ30" s="1088"/>
      <c r="AR30" s="1499"/>
      <c r="AS30" s="1604"/>
      <c r="AT30" s="702"/>
      <c r="AU30" s="702"/>
      <c r="AV30" s="1603"/>
      <c r="AW30" s="1088"/>
      <c r="AX30" s="1088"/>
      <c r="AY30" s="1499"/>
      <c r="AZ30" s="1604"/>
      <c r="BA30" s="487"/>
      <c r="BB30" s="1499"/>
      <c r="BC30" s="1499"/>
      <c r="BD30" s="1499"/>
      <c r="BE30" s="1606"/>
      <c r="BF30" s="487"/>
      <c r="BG30" s="487"/>
      <c r="BH30" s="1499"/>
      <c r="BI30" s="1499"/>
      <c r="BJ30" s="1499"/>
      <c r="BK30" s="1499"/>
      <c r="BL30" s="1606"/>
      <c r="BM30" s="1604"/>
      <c r="BN30" s="467"/>
      <c r="BO30" s="1605"/>
      <c r="BP30" s="702"/>
      <c r="BQ30" s="702"/>
      <c r="BR30" s="467"/>
      <c r="BS30" s="467"/>
      <c r="BT30" s="467"/>
      <c r="BU30" s="467"/>
      <c r="BV30" s="467"/>
      <c r="BW30" s="467"/>
      <c r="BX30" s="467"/>
      <c r="BY30" s="467"/>
      <c r="BZ30" s="467"/>
      <c r="CA30" s="467"/>
      <c r="CB30" s="467"/>
      <c r="CC30" s="467"/>
      <c r="CD30" s="467"/>
      <c r="CE30" s="467"/>
      <c r="CF30" s="467"/>
      <c r="CG30" s="467"/>
      <c r="CH30" s="467"/>
      <c r="CI30" s="467"/>
      <c r="CJ30" s="467"/>
    </row>
    <row r="31" spans="1:88" hidden="1" outlineLevel="1">
      <c r="A31" s="2112">
        <f>+A24+1</f>
        <v>1993</v>
      </c>
      <c r="B31" s="2112"/>
      <c r="C31" s="487"/>
      <c r="D31" s="1635"/>
      <c r="E31" s="1088"/>
      <c r="F31" s="1088"/>
      <c r="G31" s="499"/>
      <c r="H31" s="1636"/>
      <c r="I31" s="499"/>
      <c r="J31" s="1764"/>
      <c r="K31" s="702"/>
      <c r="L31" s="702"/>
      <c r="M31" s="702"/>
      <c r="N31" s="487"/>
      <c r="O31" s="487"/>
      <c r="P31" s="702"/>
      <c r="Q31" s="702"/>
      <c r="R31" s="702"/>
      <c r="S31" s="702"/>
      <c r="T31" s="487"/>
      <c r="U31" s="487"/>
      <c r="V31" s="702"/>
      <c r="W31" s="1635"/>
      <c r="X31" s="1088"/>
      <c r="Y31" s="1088"/>
      <c r="Z31" s="499"/>
      <c r="AA31" s="499"/>
      <c r="AB31" s="1764"/>
      <c r="AC31" s="1088"/>
      <c r="AD31" s="1088"/>
      <c r="AE31" s="1088"/>
      <c r="AF31" s="499"/>
      <c r="AG31" s="499"/>
      <c r="AH31" s="1764"/>
      <c r="AI31" s="1088"/>
      <c r="AJ31" s="1088"/>
      <c r="AK31" s="1088"/>
      <c r="AL31" s="499"/>
      <c r="AM31" s="1636"/>
      <c r="AN31" s="702"/>
      <c r="AO31" s="1635"/>
      <c r="AP31" s="1088"/>
      <c r="AQ31" s="1088"/>
      <c r="AR31" s="499"/>
      <c r="AS31" s="1636"/>
      <c r="AT31" s="702"/>
      <c r="AU31" s="702"/>
      <c r="AV31" s="1635"/>
      <c r="AW31" s="1088"/>
      <c r="AX31" s="1088"/>
      <c r="AY31" s="499"/>
      <c r="AZ31" s="1636"/>
      <c r="BA31" s="487"/>
      <c r="BB31" s="499"/>
      <c r="BC31" s="499"/>
      <c r="BD31" s="499"/>
      <c r="BE31" s="1606"/>
      <c r="BF31" s="487"/>
      <c r="BG31" s="487"/>
      <c r="BH31" s="499"/>
      <c r="BI31" s="499"/>
      <c r="BJ31" s="499"/>
      <c r="BK31" s="499"/>
      <c r="BL31" s="1606"/>
      <c r="BM31" s="1636"/>
      <c r="BN31" s="487"/>
      <c r="BO31" s="702"/>
      <c r="BP31" s="702"/>
      <c r="BQ31" s="702"/>
      <c r="BR31" s="487"/>
      <c r="BS31" s="487"/>
      <c r="BT31" s="487"/>
      <c r="BU31" s="487"/>
      <c r="BV31" s="487"/>
      <c r="BW31" s="487"/>
      <c r="BX31" s="487"/>
      <c r="BY31" s="487"/>
      <c r="BZ31" s="487"/>
      <c r="CA31" s="487"/>
      <c r="CB31" s="487"/>
      <c r="CC31" s="487"/>
      <c r="CD31" s="487"/>
      <c r="CE31" s="487"/>
      <c r="CF31" s="487"/>
      <c r="CG31" s="487"/>
      <c r="CH31" s="487"/>
      <c r="CI31" s="487"/>
      <c r="CJ31" s="487"/>
    </row>
    <row r="32" spans="1:88" hidden="1" outlineLevel="1">
      <c r="A32" s="467" t="str">
        <f>$A$11</f>
        <v>1Q</v>
      </c>
      <c r="B32" s="467" t="str">
        <f>$B$11</f>
        <v>Apr</v>
      </c>
      <c r="C32" s="467"/>
      <c r="D32" s="1607"/>
      <c r="E32" s="1608"/>
      <c r="F32" s="1609">
        <f>+M32</f>
        <v>0</v>
      </c>
      <c r="G32" s="1610"/>
      <c r="H32" s="1604"/>
      <c r="I32" s="1499"/>
      <c r="J32" s="1765"/>
      <c r="K32" s="1612"/>
      <c r="L32" s="1613"/>
      <c r="M32" s="1637">
        <v>0</v>
      </c>
      <c r="N32" s="467"/>
      <c r="O32" s="467"/>
      <c r="P32" s="1611"/>
      <c r="Q32" s="1612"/>
      <c r="R32" s="1613"/>
      <c r="S32" s="1611"/>
      <c r="T32" s="467"/>
      <c r="U32" s="467"/>
      <c r="V32" s="1611"/>
      <c r="W32" s="1607"/>
      <c r="X32" s="1608"/>
      <c r="Y32" s="1609">
        <v>20</v>
      </c>
      <c r="Z32" s="1610"/>
      <c r="AA32" s="1499"/>
      <c r="AB32" s="1765"/>
      <c r="AC32" s="1610"/>
      <c r="AD32" s="1608"/>
      <c r="AE32" s="1609"/>
      <c r="AF32" s="1610"/>
      <c r="AG32" s="1499"/>
      <c r="AH32" s="1765"/>
      <c r="AI32" s="1610"/>
      <c r="AJ32" s="1608"/>
      <c r="AK32" s="1609"/>
      <c r="AL32" s="1610"/>
      <c r="AM32" s="1604"/>
      <c r="AN32" s="1611"/>
      <c r="AO32" s="1607"/>
      <c r="AP32" s="1608"/>
      <c r="AQ32" s="1609"/>
      <c r="AR32" s="1610"/>
      <c r="AS32" s="1604"/>
      <c r="AT32" s="1611"/>
      <c r="AU32" s="1611"/>
      <c r="AV32" s="1607"/>
      <c r="AW32" s="1608"/>
      <c r="AX32" s="1609"/>
      <c r="AY32" s="1610"/>
      <c r="AZ32" s="1604"/>
      <c r="BA32" s="1611"/>
      <c r="BB32" s="1614"/>
      <c r="BC32" s="1614"/>
      <c r="BD32" s="1614"/>
      <c r="BE32" s="1615"/>
      <c r="BF32" s="1613"/>
      <c r="BG32" s="1611"/>
      <c r="BH32" s="1614"/>
      <c r="BI32" s="1614"/>
      <c r="BJ32" s="1614">
        <f>6.398+0.655</f>
        <v>7.0529999999999999</v>
      </c>
      <c r="BK32" s="1614">
        <f>+BR32-BJ32</f>
        <v>35.694000000000003</v>
      </c>
      <c r="BL32" s="1615"/>
      <c r="BM32" s="1604"/>
      <c r="BN32" s="467"/>
      <c r="BO32" s="1612">
        <v>593.74</v>
      </c>
      <c r="BP32" s="1613"/>
      <c r="BQ32" s="1611"/>
      <c r="BR32" s="1612">
        <v>42.747</v>
      </c>
      <c r="BS32" s="467"/>
      <c r="BT32" s="467"/>
      <c r="BU32" s="467"/>
      <c r="BV32" s="467"/>
      <c r="BW32" s="467"/>
      <c r="BX32" s="467"/>
      <c r="BY32" s="467"/>
      <c r="BZ32" s="467"/>
      <c r="CA32" s="467"/>
      <c r="CB32" s="467"/>
      <c r="CC32" s="467"/>
      <c r="CD32" s="467"/>
      <c r="CE32" s="467"/>
      <c r="CF32" s="467"/>
      <c r="CG32" s="467"/>
      <c r="CH32" s="467"/>
      <c r="CI32" s="467"/>
      <c r="CJ32" s="467"/>
    </row>
    <row r="33" spans="1:88" hidden="1" outlineLevel="1">
      <c r="A33" s="467" t="str">
        <f>$A$12</f>
        <v>2Q</v>
      </c>
      <c r="B33" s="467" t="str">
        <f>$B$12</f>
        <v>Jul</v>
      </c>
      <c r="C33" s="467"/>
      <c r="D33" s="1616"/>
      <c r="E33" s="1608"/>
      <c r="F33" s="1609">
        <f>+M33</f>
        <v>2</v>
      </c>
      <c r="G33" s="1617"/>
      <c r="H33" s="1618"/>
      <c r="I33" s="1662"/>
      <c r="J33" s="1765"/>
      <c r="K33" s="1619"/>
      <c r="L33" s="1613"/>
      <c r="M33" s="1637">
        <v>2</v>
      </c>
      <c r="N33" s="467"/>
      <c r="O33" s="1620"/>
      <c r="P33" s="1611"/>
      <c r="Q33" s="1619"/>
      <c r="R33" s="1613"/>
      <c r="S33" s="1611"/>
      <c r="T33" s="467"/>
      <c r="U33" s="1620"/>
      <c r="V33" s="1611"/>
      <c r="W33" s="1616"/>
      <c r="X33" s="1608"/>
      <c r="Y33" s="1609">
        <v>8</v>
      </c>
      <c r="Z33" s="1617"/>
      <c r="AA33" s="1662"/>
      <c r="AB33" s="1765"/>
      <c r="AC33" s="1617"/>
      <c r="AD33" s="1608"/>
      <c r="AE33" s="1609"/>
      <c r="AF33" s="1617"/>
      <c r="AG33" s="1662"/>
      <c r="AH33" s="1765"/>
      <c r="AI33" s="1617"/>
      <c r="AJ33" s="1608"/>
      <c r="AK33" s="1609"/>
      <c r="AL33" s="1617"/>
      <c r="AM33" s="1618"/>
      <c r="AN33" s="1611"/>
      <c r="AO33" s="1616"/>
      <c r="AP33" s="1608"/>
      <c r="AQ33" s="1609"/>
      <c r="AR33" s="1617"/>
      <c r="AS33" s="1618"/>
      <c r="AT33" s="1611"/>
      <c r="AU33" s="1611"/>
      <c r="AV33" s="1616"/>
      <c r="AW33" s="1608"/>
      <c r="AX33" s="1609"/>
      <c r="AY33" s="1617"/>
      <c r="AZ33" s="1618"/>
      <c r="BA33" s="1611"/>
      <c r="BB33" s="1621"/>
      <c r="BC33" s="1621"/>
      <c r="BD33" s="1621"/>
      <c r="BE33" s="1622"/>
      <c r="BF33" s="1613"/>
      <c r="BG33" s="1611"/>
      <c r="BH33" s="1621"/>
      <c r="BI33" s="1621"/>
      <c r="BJ33" s="1621">
        <f>7.05+0.654</f>
        <v>7.7039999999999997</v>
      </c>
      <c r="BK33" s="1621">
        <f>+BR33-BJ33</f>
        <v>37.747</v>
      </c>
      <c r="BL33" s="1622"/>
      <c r="BM33" s="1618"/>
      <c r="BN33" s="467"/>
      <c r="BO33" s="1619">
        <v>649.423</v>
      </c>
      <c r="BP33" s="1613"/>
      <c r="BQ33" s="1611"/>
      <c r="BR33" s="1619">
        <v>45.451000000000001</v>
      </c>
      <c r="BS33" s="1620"/>
      <c r="BT33" s="467"/>
      <c r="BU33" s="467"/>
      <c r="BV33" s="467"/>
      <c r="BW33" s="467"/>
      <c r="BX33" s="467"/>
      <c r="BY33" s="467"/>
      <c r="BZ33" s="467"/>
      <c r="CA33" s="467"/>
      <c r="CB33" s="467"/>
      <c r="CC33" s="467"/>
      <c r="CD33" s="467"/>
      <c r="CE33" s="467"/>
      <c r="CF33" s="467"/>
      <c r="CG33" s="467"/>
      <c r="CH33" s="467"/>
      <c r="CI33" s="467"/>
      <c r="CJ33" s="467"/>
    </row>
    <row r="34" spans="1:88" hidden="1" outlineLevel="1">
      <c r="A34" s="467" t="str">
        <f>$A$13</f>
        <v>3Q</v>
      </c>
      <c r="B34" s="467" t="str">
        <f>$B$13</f>
        <v>Oct</v>
      </c>
      <c r="C34" s="467"/>
      <c r="D34" s="1616"/>
      <c r="E34" s="1608"/>
      <c r="F34" s="1609">
        <f>+M34</f>
        <v>2</v>
      </c>
      <c r="G34" s="1617"/>
      <c r="H34" s="1604"/>
      <c r="I34" s="1499"/>
      <c r="J34" s="1765"/>
      <c r="K34" s="1619"/>
      <c r="L34" s="1613"/>
      <c r="M34" s="1637">
        <v>2</v>
      </c>
      <c r="N34" s="467"/>
      <c r="O34" s="467"/>
      <c r="P34" s="1611"/>
      <c r="Q34" s="1619"/>
      <c r="R34" s="1613"/>
      <c r="S34" s="1611"/>
      <c r="T34" s="467"/>
      <c r="U34" s="467"/>
      <c r="V34" s="1611"/>
      <c r="W34" s="1616"/>
      <c r="X34" s="1608"/>
      <c r="Y34" s="1609">
        <v>1</v>
      </c>
      <c r="Z34" s="1617"/>
      <c r="AA34" s="1499"/>
      <c r="AB34" s="1765"/>
      <c r="AC34" s="1617"/>
      <c r="AD34" s="1608"/>
      <c r="AE34" s="1609"/>
      <c r="AF34" s="1617"/>
      <c r="AG34" s="1499"/>
      <c r="AH34" s="1765"/>
      <c r="AI34" s="1617"/>
      <c r="AJ34" s="1608"/>
      <c r="AK34" s="1609"/>
      <c r="AL34" s="1617"/>
      <c r="AM34" s="1604"/>
      <c r="AN34" s="1611"/>
      <c r="AO34" s="1616"/>
      <c r="AP34" s="1608"/>
      <c r="AQ34" s="1609"/>
      <c r="AR34" s="1617"/>
      <c r="AS34" s="1604"/>
      <c r="AT34" s="1611"/>
      <c r="AU34" s="1611"/>
      <c r="AV34" s="1616"/>
      <c r="AW34" s="1608"/>
      <c r="AX34" s="1609"/>
      <c r="AY34" s="1617"/>
      <c r="AZ34" s="1604"/>
      <c r="BA34" s="1611"/>
      <c r="BB34" s="1621"/>
      <c r="BC34" s="1621"/>
      <c r="BD34" s="1621"/>
      <c r="BE34" s="1622"/>
      <c r="BF34" s="1613"/>
      <c r="BG34" s="1611"/>
      <c r="BH34" s="1621"/>
      <c r="BI34" s="1621"/>
      <c r="BJ34" s="1621">
        <f>8.933+0.654</f>
        <v>9.5869999999999997</v>
      </c>
      <c r="BK34" s="1621">
        <f>+BR34-BJ34</f>
        <v>76.989999999999995</v>
      </c>
      <c r="BL34" s="1622"/>
      <c r="BM34" s="1604"/>
      <c r="BN34" s="467"/>
      <c r="BO34" s="1619">
        <v>752.95299999999997</v>
      </c>
      <c r="BP34" s="1613"/>
      <c r="BQ34" s="1611"/>
      <c r="BR34" s="1619">
        <v>86.576999999999998</v>
      </c>
      <c r="BS34" s="467"/>
      <c r="BT34" s="467"/>
      <c r="BU34" s="467"/>
      <c r="BV34" s="467"/>
      <c r="BW34" s="467"/>
      <c r="BX34" s="467"/>
      <c r="BY34" s="467"/>
      <c r="BZ34" s="467"/>
      <c r="CA34" s="467"/>
      <c r="CB34" s="467"/>
      <c r="CC34" s="467"/>
      <c r="CD34" s="467"/>
      <c r="CE34" s="467"/>
      <c r="CF34" s="467"/>
      <c r="CG34" s="467"/>
      <c r="CH34" s="467"/>
      <c r="CI34" s="467"/>
      <c r="CJ34" s="467"/>
    </row>
    <row r="35" spans="1:88" hidden="1" outlineLevel="1">
      <c r="A35" s="467" t="str">
        <f>$A$14</f>
        <v>4Q</v>
      </c>
      <c r="B35" s="467" t="str">
        <f>$B$14</f>
        <v>Jan</v>
      </c>
      <c r="C35" s="467"/>
      <c r="D35" s="1616"/>
      <c r="E35" s="1608"/>
      <c r="F35" s="1609">
        <f>+M35</f>
        <v>2</v>
      </c>
      <c r="G35" s="1617"/>
      <c r="H35" s="1604"/>
      <c r="I35" s="1499"/>
      <c r="J35" s="1765"/>
      <c r="K35" s="1624"/>
      <c r="L35" s="1613"/>
      <c r="M35" s="1637">
        <v>2</v>
      </c>
      <c r="N35" s="467"/>
      <c r="O35" s="467"/>
      <c r="P35" s="1611"/>
      <c r="Q35" s="1624"/>
      <c r="R35" s="1613"/>
      <c r="S35" s="1611"/>
      <c r="T35" s="467"/>
      <c r="U35" s="467"/>
      <c r="V35" s="1611"/>
      <c r="W35" s="1616"/>
      <c r="X35" s="1608"/>
      <c r="Y35" s="1609">
        <v>3</v>
      </c>
      <c r="Z35" s="1617"/>
      <c r="AA35" s="1499"/>
      <c r="AB35" s="1765"/>
      <c r="AC35" s="1617"/>
      <c r="AD35" s="1608"/>
      <c r="AE35" s="1609"/>
      <c r="AF35" s="1617"/>
      <c r="AG35" s="1499"/>
      <c r="AH35" s="1765"/>
      <c r="AI35" s="1617"/>
      <c r="AJ35" s="1608"/>
      <c r="AK35" s="1609"/>
      <c r="AL35" s="1617"/>
      <c r="AM35" s="1604"/>
      <c r="AN35" s="1611"/>
      <c r="AO35" s="1616"/>
      <c r="AP35" s="1608"/>
      <c r="AQ35" s="1609"/>
      <c r="AR35" s="1617"/>
      <c r="AS35" s="1604"/>
      <c r="AT35" s="1611"/>
      <c r="AU35" s="1611"/>
      <c r="AV35" s="1616"/>
      <c r="AW35" s="1608"/>
      <c r="AX35" s="1609"/>
      <c r="AY35" s="1617"/>
      <c r="AZ35" s="1604"/>
      <c r="BA35" s="1611"/>
      <c r="BB35" s="1625"/>
      <c r="BC35" s="1621"/>
      <c r="BD35" s="1621"/>
      <c r="BE35" s="1622"/>
      <c r="BF35" s="1613"/>
      <c r="BG35" s="1611"/>
      <c r="BH35" s="1625"/>
      <c r="BI35" s="1625"/>
      <c r="BJ35" s="1625">
        <f>11.931+0.654</f>
        <v>12.584999999999999</v>
      </c>
      <c r="BK35" s="1625">
        <f>+BR35-BJ35</f>
        <v>49.628</v>
      </c>
      <c r="BL35" s="1622"/>
      <c r="BM35" s="1604"/>
      <c r="BN35" s="467"/>
      <c r="BO35" s="1624">
        <v>835.95399999999995</v>
      </c>
      <c r="BP35" s="1613"/>
      <c r="BQ35" s="1611"/>
      <c r="BR35" s="1624">
        <v>62.213000000000001</v>
      </c>
      <c r="BS35" s="467"/>
      <c r="BT35" s="467"/>
      <c r="BU35" s="467"/>
      <c r="BV35" s="467"/>
      <c r="BW35" s="467"/>
      <c r="BX35" s="467"/>
      <c r="BY35" s="467"/>
      <c r="BZ35" s="467"/>
      <c r="CA35" s="467"/>
      <c r="CB35" s="467"/>
      <c r="CC35" s="467"/>
      <c r="CD35" s="467"/>
      <c r="CE35" s="467"/>
      <c r="CF35" s="467"/>
      <c r="CG35" s="467"/>
      <c r="CH35" s="467"/>
      <c r="CI35" s="467"/>
      <c r="CJ35" s="467"/>
    </row>
    <row r="36" spans="1:88" hidden="1" outlineLevel="1">
      <c r="A36" s="467"/>
      <c r="B36" s="467" t="str">
        <f>$B$15</f>
        <v>Year</v>
      </c>
      <c r="C36" s="467"/>
      <c r="D36" s="1607">
        <f>+K36+Q36</f>
        <v>2744.7</v>
      </c>
      <c r="E36" s="1608"/>
      <c r="F36" s="1609">
        <f>+M36</f>
        <v>2</v>
      </c>
      <c r="G36" s="1610">
        <f>+N36+T36</f>
        <v>233.8</v>
      </c>
      <c r="H36" s="1604"/>
      <c r="I36" s="1662">
        <f>+G36/D36*100</f>
        <v>8.518235144095895</v>
      </c>
      <c r="J36" s="1765"/>
      <c r="K36" s="1612">
        <v>2744.7</v>
      </c>
      <c r="L36" s="1613"/>
      <c r="M36" s="1637">
        <v>2</v>
      </c>
      <c r="N36" s="1626">
        <v>233.8</v>
      </c>
      <c r="O36" s="467">
        <f>+N36/K36*100</f>
        <v>8.518235144095895</v>
      </c>
      <c r="P36" s="1611"/>
      <c r="Q36" s="1612"/>
      <c r="R36" s="1613"/>
      <c r="S36" s="1611"/>
      <c r="T36" s="467"/>
      <c r="U36" s="467"/>
      <c r="V36" s="1611"/>
      <c r="W36" s="1607">
        <v>87</v>
      </c>
      <c r="X36" s="1608">
        <f>+(W36/W29-1)*100</f>
        <v>70.588235294117638</v>
      </c>
      <c r="Y36" s="1609">
        <v>7</v>
      </c>
      <c r="Z36" s="1610">
        <v>3.2</v>
      </c>
      <c r="AA36" s="1499">
        <f>+Z36/W36*100</f>
        <v>3.6781609195402298</v>
      </c>
      <c r="AB36" s="1765"/>
      <c r="AC36" s="1610"/>
      <c r="AD36" s="1608"/>
      <c r="AE36" s="1609"/>
      <c r="AF36" s="1610"/>
      <c r="AG36" s="1499"/>
      <c r="AH36" s="1765"/>
      <c r="AI36" s="1610"/>
      <c r="AJ36" s="1608"/>
      <c r="AK36" s="1609"/>
      <c r="AL36" s="1610"/>
      <c r="AM36" s="1604"/>
      <c r="AN36" s="1611"/>
      <c r="AO36" s="1607"/>
      <c r="AP36" s="1608"/>
      <c r="AQ36" s="1609"/>
      <c r="AR36" s="1610"/>
      <c r="AS36" s="1604"/>
      <c r="AT36" s="1611"/>
      <c r="AU36" s="1611"/>
      <c r="AV36" s="1607"/>
      <c r="AW36" s="1608"/>
      <c r="AX36" s="1609"/>
      <c r="AY36" s="1610"/>
      <c r="AZ36" s="1604"/>
      <c r="BA36" s="1611"/>
      <c r="BB36" s="1621">
        <f>'qtrP&amp;L'!$R$14</f>
        <v>2832.0699999999997</v>
      </c>
      <c r="BC36" s="1614"/>
      <c r="BD36" s="1627">
        <f>BO36</f>
        <v>2832.0699999999997</v>
      </c>
      <c r="BE36" s="1615"/>
      <c r="BF36" s="1613"/>
      <c r="BG36" s="1611"/>
      <c r="BH36" s="1614"/>
      <c r="BI36" s="1614"/>
      <c r="BJ36" s="1614">
        <f>SUM(BJ32:BJ35)</f>
        <v>36.929000000000002</v>
      </c>
      <c r="BK36" s="1614">
        <f>+BR36-BJ36</f>
        <v>200.059</v>
      </c>
      <c r="BL36" s="1615"/>
      <c r="BM36" s="1604"/>
      <c r="BN36" s="467"/>
      <c r="BO36" s="1612">
        <f>SUM(BO32:BO35)</f>
        <v>2832.0699999999997</v>
      </c>
      <c r="BP36" s="1613"/>
      <c r="BQ36" s="1611"/>
      <c r="BR36" s="1612">
        <f>SUM(BR32:BR35)</f>
        <v>236.988</v>
      </c>
      <c r="BS36" s="467"/>
      <c r="BT36" s="467"/>
      <c r="BU36" s="1422">
        <f>+D36/$BD36</f>
        <v>0.96914977384033585</v>
      </c>
      <c r="BV36" s="1628"/>
      <c r="BW36" s="1628"/>
      <c r="BX36" s="1422">
        <f>+W36/$BD36</f>
        <v>3.0719579671406431E-2</v>
      </c>
      <c r="BY36" s="1422">
        <f>+AC36/BD36</f>
        <v>0</v>
      </c>
      <c r="BZ36" s="1422">
        <f>+AI36/BD36</f>
        <v>0</v>
      </c>
      <c r="CA36" s="1422">
        <f>+AO36/BD36</f>
        <v>0</v>
      </c>
      <c r="CB36" s="467"/>
      <c r="CC36" s="467"/>
      <c r="CD36" s="467"/>
      <c r="CE36" s="467"/>
      <c r="CF36" s="467"/>
      <c r="CG36" s="467"/>
      <c r="CH36" s="467"/>
      <c r="CI36" s="467"/>
      <c r="CJ36" s="467"/>
    </row>
    <row r="37" spans="1:88" hidden="1" outlineLevel="1">
      <c r="A37" s="467"/>
      <c r="B37" s="467"/>
      <c r="C37" s="467"/>
      <c r="D37" s="1603"/>
      <c r="E37" s="1088"/>
      <c r="F37" s="1088"/>
      <c r="G37" s="1499"/>
      <c r="H37" s="1604"/>
      <c r="I37" s="1499"/>
      <c r="J37" s="1764"/>
      <c r="K37" s="1605"/>
      <c r="L37" s="1605"/>
      <c r="M37" s="1605"/>
      <c r="N37" s="467"/>
      <c r="O37" s="467"/>
      <c r="P37" s="1605"/>
      <c r="Q37" s="1605"/>
      <c r="R37" s="1605"/>
      <c r="S37" s="1605"/>
      <c r="T37" s="467"/>
      <c r="U37" s="467"/>
      <c r="V37" s="1605"/>
      <c r="W37" s="1603"/>
      <c r="X37" s="1088"/>
      <c r="Y37" s="1088"/>
      <c r="Z37" s="1499"/>
      <c r="AA37" s="1499"/>
      <c r="AB37" s="1764"/>
      <c r="AC37" s="800"/>
      <c r="AD37" s="1088"/>
      <c r="AE37" s="1088"/>
      <c r="AF37" s="1499"/>
      <c r="AG37" s="1499"/>
      <c r="AH37" s="1764"/>
      <c r="AI37" s="800"/>
      <c r="AJ37" s="1088"/>
      <c r="AK37" s="1088"/>
      <c r="AL37" s="1499"/>
      <c r="AM37" s="1604"/>
      <c r="AN37" s="702"/>
      <c r="AO37" s="1603"/>
      <c r="AP37" s="1088"/>
      <c r="AQ37" s="1088"/>
      <c r="AR37" s="1499"/>
      <c r="AS37" s="1604"/>
      <c r="AT37" s="702"/>
      <c r="AU37" s="702"/>
      <c r="AV37" s="1603"/>
      <c r="AW37" s="1088"/>
      <c r="AX37" s="1088"/>
      <c r="AY37" s="1499"/>
      <c r="AZ37" s="1604"/>
      <c r="BA37" s="487"/>
      <c r="BB37" s="1499"/>
      <c r="BC37" s="1499"/>
      <c r="BD37" s="1499"/>
      <c r="BE37" s="1606"/>
      <c r="BF37" s="487"/>
      <c r="BG37" s="487"/>
      <c r="BH37" s="1499"/>
      <c r="BI37" s="1499"/>
      <c r="BJ37" s="1499"/>
      <c r="BK37" s="1499"/>
      <c r="BL37" s="1606"/>
      <c r="BM37" s="1604"/>
      <c r="BN37" s="467"/>
      <c r="BO37" s="1605"/>
      <c r="BP37" s="702"/>
      <c r="BQ37" s="702"/>
      <c r="BR37" s="467"/>
      <c r="BS37" s="467"/>
      <c r="BT37" s="467"/>
      <c r="BU37" s="467"/>
      <c r="BV37" s="467"/>
      <c r="BW37" s="467"/>
      <c r="BX37" s="467"/>
      <c r="BY37" s="467"/>
      <c r="BZ37" s="467"/>
      <c r="CA37" s="467"/>
      <c r="CB37" s="467"/>
      <c r="CC37" s="467"/>
      <c r="CD37" s="467"/>
      <c r="CE37" s="467"/>
      <c r="CF37" s="467"/>
      <c r="CG37" s="467"/>
      <c r="CH37" s="467"/>
      <c r="CI37" s="467"/>
      <c r="CJ37" s="467"/>
    </row>
    <row r="38" spans="1:88" hidden="1" outlineLevel="1">
      <c r="A38" s="2112">
        <f>+A31+1</f>
        <v>1994</v>
      </c>
      <c r="B38" s="2112"/>
      <c r="C38" s="487"/>
      <c r="D38" s="1635"/>
      <c r="E38" s="1088"/>
      <c r="F38" s="1088"/>
      <c r="G38" s="499"/>
      <c r="H38" s="1636"/>
      <c r="I38" s="499"/>
      <c r="J38" s="1764"/>
      <c r="K38" s="702"/>
      <c r="L38" s="702"/>
      <c r="M38" s="702"/>
      <c r="N38" s="487"/>
      <c r="O38" s="487"/>
      <c r="P38" s="702"/>
      <c r="Q38" s="702"/>
      <c r="R38" s="702"/>
      <c r="S38" s="702"/>
      <c r="T38" s="487"/>
      <c r="U38" s="487"/>
      <c r="V38" s="702"/>
      <c r="W38" s="1635"/>
      <c r="X38" s="1088"/>
      <c r="Y38" s="1088"/>
      <c r="Z38" s="499"/>
      <c r="AA38" s="499"/>
      <c r="AB38" s="1764"/>
      <c r="AC38" s="1088"/>
      <c r="AD38" s="1088"/>
      <c r="AE38" s="1088"/>
      <c r="AF38" s="499"/>
      <c r="AG38" s="499"/>
      <c r="AH38" s="1764"/>
      <c r="AI38" s="1088" t="s">
        <v>632</v>
      </c>
      <c r="AJ38" s="1088"/>
      <c r="AK38" s="1088"/>
      <c r="AL38" s="499"/>
      <c r="AM38" s="1636"/>
      <c r="AN38" s="702"/>
      <c r="AO38" s="1635"/>
      <c r="AP38" s="1088"/>
      <c r="AQ38" s="1088"/>
      <c r="AR38" s="499"/>
      <c r="AS38" s="1636"/>
      <c r="AT38" s="702"/>
      <c r="AU38" s="702"/>
      <c r="AV38" s="1635"/>
      <c r="AW38" s="1088"/>
      <c r="AX38" s="1088"/>
      <c r="AY38" s="499"/>
      <c r="AZ38" s="1636"/>
      <c r="BA38" s="487"/>
      <c r="BB38" s="499"/>
      <c r="BC38" s="499"/>
      <c r="BD38" s="499"/>
      <c r="BE38" s="1606"/>
      <c r="BF38" s="487"/>
      <c r="BG38" s="487"/>
      <c r="BH38" s="499"/>
      <c r="BI38" s="499"/>
      <c r="BJ38" s="499"/>
      <c r="BK38" s="499"/>
      <c r="BL38" s="1606"/>
      <c r="BM38" s="1636"/>
      <c r="BN38" s="487"/>
      <c r="BO38" s="702"/>
      <c r="BP38" s="702"/>
      <c r="BQ38" s="702"/>
      <c r="BR38" s="487"/>
      <c r="BS38" s="487"/>
      <c r="BT38" s="487"/>
      <c r="BU38" s="487"/>
      <c r="BV38" s="487"/>
      <c r="BW38" s="487"/>
      <c r="BX38" s="487"/>
      <c r="BY38" s="487"/>
      <c r="BZ38" s="487"/>
      <c r="CA38" s="487"/>
      <c r="CB38" s="487"/>
      <c r="CC38" s="487"/>
      <c r="CD38" s="487"/>
      <c r="CE38" s="487"/>
      <c r="CF38" s="487"/>
      <c r="CG38" s="487"/>
      <c r="CH38" s="487"/>
      <c r="CI38" s="487"/>
      <c r="CJ38" s="487"/>
    </row>
    <row r="39" spans="1:88" hidden="1" outlineLevel="1">
      <c r="A39" s="467" t="str">
        <f>$A$11</f>
        <v>1Q</v>
      </c>
      <c r="B39" s="467" t="str">
        <f>$B$11</f>
        <v>Apr</v>
      </c>
      <c r="C39" s="467"/>
      <c r="D39" s="1607"/>
      <c r="E39" s="1608"/>
      <c r="F39" s="1609">
        <f>+M39</f>
        <v>2</v>
      </c>
      <c r="G39" s="1610"/>
      <c r="H39" s="1604"/>
      <c r="I39" s="1499"/>
      <c r="J39" s="1765"/>
      <c r="K39" s="1612"/>
      <c r="L39" s="1613"/>
      <c r="M39" s="1637">
        <v>2</v>
      </c>
      <c r="N39" s="467"/>
      <c r="O39" s="467"/>
      <c r="P39" s="1611"/>
      <c r="Q39" s="1612"/>
      <c r="R39" s="1613"/>
      <c r="S39" s="1611"/>
      <c r="T39" s="467"/>
      <c r="U39" s="467"/>
      <c r="V39" s="1611"/>
      <c r="W39" s="1607"/>
      <c r="X39" s="1608"/>
      <c r="Y39" s="1609">
        <v>13</v>
      </c>
      <c r="Z39" s="1610"/>
      <c r="AA39" s="1499"/>
      <c r="AB39" s="1765"/>
      <c r="AC39" s="1610"/>
      <c r="AD39" s="1608"/>
      <c r="AE39" s="1609"/>
      <c r="AF39" s="1610"/>
      <c r="AG39" s="1499"/>
      <c r="AH39" s="1765"/>
      <c r="AI39" s="1610"/>
      <c r="AJ39" s="1608"/>
      <c r="AK39" s="1609">
        <v>10</v>
      </c>
      <c r="AL39" s="1610"/>
      <c r="AM39" s="1604"/>
      <c r="AN39" s="1611"/>
      <c r="AO39" s="1607"/>
      <c r="AP39" s="1608"/>
      <c r="AQ39" s="1609"/>
      <c r="AR39" s="1610"/>
      <c r="AS39" s="1604"/>
      <c r="AT39" s="1611"/>
      <c r="AU39" s="1611"/>
      <c r="AV39" s="1607"/>
      <c r="AW39" s="1608"/>
      <c r="AX39" s="1609"/>
      <c r="AY39" s="1610"/>
      <c r="AZ39" s="1604"/>
      <c r="BA39" s="1611"/>
      <c r="BB39" s="1621">
        <f>'qtrP&amp;L'!$V$10</f>
        <v>653.428</v>
      </c>
      <c r="BC39" s="1614"/>
      <c r="BD39" s="1627">
        <f>BO39</f>
        <v>653.428</v>
      </c>
      <c r="BE39" s="1615"/>
      <c r="BF39" s="1613"/>
      <c r="BG39" s="1611"/>
      <c r="BH39" s="1621">
        <f>'qtrP&amp;L'!$V$61</f>
        <v>37.431000000000012</v>
      </c>
      <c r="BI39" s="1621"/>
      <c r="BJ39" s="1614">
        <f>8.828+0.653</f>
        <v>9.4809999999999999</v>
      </c>
      <c r="BK39" s="1614">
        <f>+BR39-BJ39</f>
        <v>37.198</v>
      </c>
      <c r="BL39" s="1615"/>
      <c r="BM39" s="1618">
        <f>+BK39/BD39*100</f>
        <v>5.6927465612125587</v>
      </c>
      <c r="BN39" s="467"/>
      <c r="BO39" s="1612">
        <v>653.428</v>
      </c>
      <c r="BP39" s="1613"/>
      <c r="BQ39" s="1611"/>
      <c r="BR39" s="1612">
        <v>46.679000000000002</v>
      </c>
      <c r="BS39" s="467"/>
      <c r="BT39" s="467"/>
      <c r="BU39" s="467"/>
      <c r="BV39" s="467"/>
      <c r="BW39" s="467"/>
      <c r="BX39" s="467"/>
      <c r="BY39" s="467"/>
      <c r="BZ39" s="467"/>
      <c r="CA39" s="467"/>
      <c r="CB39" s="467"/>
      <c r="CC39" s="467"/>
      <c r="CD39" s="467"/>
      <c r="CE39" s="467"/>
      <c r="CF39" s="467"/>
      <c r="CG39" s="467"/>
      <c r="CH39" s="467"/>
      <c r="CI39" s="467"/>
      <c r="CJ39" s="467"/>
    </row>
    <row r="40" spans="1:88" hidden="1" outlineLevel="1">
      <c r="A40" s="467" t="str">
        <f>$A$12</f>
        <v>2Q</v>
      </c>
      <c r="B40" s="467" t="str">
        <f>$B$12</f>
        <v>Jul</v>
      </c>
      <c r="C40" s="467"/>
      <c r="D40" s="1616"/>
      <c r="E40" s="1608"/>
      <c r="F40" s="1609">
        <f>+M40</f>
        <v>-1</v>
      </c>
      <c r="G40" s="1617"/>
      <c r="H40" s="1618"/>
      <c r="I40" s="1662"/>
      <c r="J40" s="1765"/>
      <c r="K40" s="1619"/>
      <c r="L40" s="1613"/>
      <c r="M40" s="1637">
        <v>-1</v>
      </c>
      <c r="N40" s="467"/>
      <c r="O40" s="1620"/>
      <c r="P40" s="1611"/>
      <c r="Q40" s="1619"/>
      <c r="R40" s="1613"/>
      <c r="S40" s="1611"/>
      <c r="T40" s="467"/>
      <c r="U40" s="1620"/>
      <c r="V40" s="1611"/>
      <c r="W40" s="1616"/>
      <c r="X40" s="1608"/>
      <c r="Y40" s="1609">
        <v>10</v>
      </c>
      <c r="Z40" s="1617"/>
      <c r="AA40" s="1662"/>
      <c r="AB40" s="1765"/>
      <c r="AC40" s="1617"/>
      <c r="AD40" s="1608"/>
      <c r="AE40" s="1609"/>
      <c r="AF40" s="1617"/>
      <c r="AG40" s="1662"/>
      <c r="AH40" s="1765"/>
      <c r="AI40" s="1617"/>
      <c r="AJ40" s="1608"/>
      <c r="AK40" s="1609">
        <v>17</v>
      </c>
      <c r="AL40" s="1617"/>
      <c r="AM40" s="1618"/>
      <c r="AN40" s="1611"/>
      <c r="AO40" s="1616"/>
      <c r="AP40" s="1608"/>
      <c r="AQ40" s="1609"/>
      <c r="AR40" s="1617"/>
      <c r="AS40" s="1618"/>
      <c r="AT40" s="1611"/>
      <c r="AU40" s="1611"/>
      <c r="AV40" s="1616"/>
      <c r="AW40" s="1608"/>
      <c r="AX40" s="1609"/>
      <c r="AY40" s="1617"/>
      <c r="AZ40" s="1618"/>
      <c r="BA40" s="1611"/>
      <c r="BB40" s="1621">
        <f>'qtrP&amp;L'!$V$11</f>
        <v>689.84900000000005</v>
      </c>
      <c r="BC40" s="1621"/>
      <c r="BD40" s="1621">
        <f>BO40</f>
        <v>689.84900000000005</v>
      </c>
      <c r="BE40" s="1622"/>
      <c r="BF40" s="1613"/>
      <c r="BG40" s="1611"/>
      <c r="BH40" s="1621">
        <f>'qtrP&amp;L'!$V$62</f>
        <v>35.367000000000047</v>
      </c>
      <c r="BI40" s="1621"/>
      <c r="BJ40" s="1621">
        <f>11.01+0.654</f>
        <v>11.664</v>
      </c>
      <c r="BK40" s="1621">
        <f>+BR40-BJ40</f>
        <v>35.26</v>
      </c>
      <c r="BL40" s="1622"/>
      <c r="BM40" s="1618">
        <f>+BK40/BD40*100</f>
        <v>5.1112634793991143</v>
      </c>
      <c r="BN40" s="467"/>
      <c r="BO40" s="1619">
        <v>689.84900000000005</v>
      </c>
      <c r="BP40" s="1613"/>
      <c r="BQ40" s="1611"/>
      <c r="BR40" s="1619">
        <v>46.923999999999999</v>
      </c>
      <c r="BS40" s="1620"/>
      <c r="BT40" s="467"/>
      <c r="BU40" s="467"/>
      <c r="BV40" s="467"/>
      <c r="BW40" s="467"/>
      <c r="BX40" s="467"/>
      <c r="BY40" s="467"/>
      <c r="BZ40" s="467"/>
      <c r="CA40" s="467"/>
      <c r="CB40" s="467"/>
      <c r="CC40" s="467"/>
      <c r="CD40" s="467"/>
      <c r="CE40" s="467"/>
      <c r="CF40" s="467"/>
      <c r="CG40" s="467"/>
      <c r="CH40" s="467"/>
      <c r="CI40" s="467"/>
      <c r="CJ40" s="467"/>
    </row>
    <row r="41" spans="1:88" hidden="1" outlineLevel="1">
      <c r="A41" s="467" t="str">
        <f>$A$13</f>
        <v>3Q</v>
      </c>
      <c r="B41" s="467" t="str">
        <f>$B$13</f>
        <v>Oct</v>
      </c>
      <c r="C41" s="467"/>
      <c r="D41" s="1616"/>
      <c r="E41" s="1608"/>
      <c r="F41" s="1609">
        <f>+M41</f>
        <v>-1</v>
      </c>
      <c r="G41" s="1617"/>
      <c r="H41" s="1604"/>
      <c r="I41" s="1499"/>
      <c r="J41" s="1765"/>
      <c r="K41" s="1619"/>
      <c r="L41" s="1613"/>
      <c r="M41" s="1637">
        <v>-1</v>
      </c>
      <c r="N41" s="467"/>
      <c r="O41" s="467"/>
      <c r="P41" s="1611"/>
      <c r="Q41" s="1619"/>
      <c r="R41" s="1613"/>
      <c r="S41" s="1611"/>
      <c r="T41" s="467"/>
      <c r="U41" s="467"/>
      <c r="V41" s="1611"/>
      <c r="W41" s="1616"/>
      <c r="X41" s="1608"/>
      <c r="Y41" s="1609">
        <v>11</v>
      </c>
      <c r="Z41" s="1617"/>
      <c r="AA41" s="1499"/>
      <c r="AB41" s="1765"/>
      <c r="AC41" s="1617"/>
      <c r="AD41" s="1608"/>
      <c r="AE41" s="1609"/>
      <c r="AF41" s="1617"/>
      <c r="AG41" s="1499"/>
      <c r="AH41" s="1765"/>
      <c r="AI41" s="1617"/>
      <c r="AJ41" s="1608"/>
      <c r="AK41" s="1609">
        <v>16</v>
      </c>
      <c r="AL41" s="1617"/>
      <c r="AM41" s="1604"/>
      <c r="AN41" s="1611"/>
      <c r="AO41" s="1616"/>
      <c r="AP41" s="1608"/>
      <c r="AQ41" s="1609"/>
      <c r="AR41" s="1617"/>
      <c r="AS41" s="1604"/>
      <c r="AT41" s="1611"/>
      <c r="AU41" s="1611"/>
      <c r="AV41" s="1616"/>
      <c r="AW41" s="1608"/>
      <c r="AX41" s="1609"/>
      <c r="AY41" s="1617"/>
      <c r="AZ41" s="1604"/>
      <c r="BA41" s="1611"/>
      <c r="BB41" s="1621">
        <f>'qtrP&amp;L'!$V$12</f>
        <v>803.65300000000002</v>
      </c>
      <c r="BC41" s="1621"/>
      <c r="BD41" s="1621">
        <f>BO41</f>
        <v>803.65300000000002</v>
      </c>
      <c r="BE41" s="1622"/>
      <c r="BF41" s="1613"/>
      <c r="BG41" s="1611"/>
      <c r="BH41" s="1621">
        <f>'qtrP&amp;L'!$V$63</f>
        <v>62.57200000000006</v>
      </c>
      <c r="BI41" s="1621"/>
      <c r="BJ41" s="1621">
        <f>8.282+0.653</f>
        <v>8.9350000000000005</v>
      </c>
      <c r="BK41" s="1621">
        <f>+BR41-BJ41</f>
        <v>62.441999999999993</v>
      </c>
      <c r="BL41" s="1622"/>
      <c r="BM41" s="1618">
        <f>+BK41/BD41*100</f>
        <v>7.7697712818840952</v>
      </c>
      <c r="BN41" s="467"/>
      <c r="BO41" s="1619">
        <v>803.65300000000002</v>
      </c>
      <c r="BP41" s="1613"/>
      <c r="BQ41" s="1611"/>
      <c r="BR41" s="1619">
        <v>71.376999999999995</v>
      </c>
      <c r="BS41" s="467"/>
      <c r="BT41" s="467"/>
      <c r="BU41" s="467"/>
      <c r="BV41" s="467"/>
      <c r="BW41" s="467"/>
      <c r="BX41" s="467"/>
      <c r="BY41" s="467"/>
      <c r="BZ41" s="467"/>
      <c r="CA41" s="467"/>
      <c r="CB41" s="467"/>
      <c r="CC41" s="467"/>
      <c r="CD41" s="467"/>
      <c r="CE41" s="467"/>
      <c r="CF41" s="467"/>
      <c r="CG41" s="467"/>
      <c r="CH41" s="467"/>
      <c r="CI41" s="467"/>
      <c r="CJ41" s="467"/>
    </row>
    <row r="42" spans="1:88" hidden="1" outlineLevel="1">
      <c r="A42" s="467" t="str">
        <f>$A$14</f>
        <v>4Q</v>
      </c>
      <c r="B42" s="467" t="str">
        <f>$B$14</f>
        <v>Jan</v>
      </c>
      <c r="C42" s="467"/>
      <c r="D42" s="1616"/>
      <c r="E42" s="1608"/>
      <c r="F42" s="1609">
        <f>+M42</f>
        <v>-1</v>
      </c>
      <c r="G42" s="1617"/>
      <c r="H42" s="1604"/>
      <c r="I42" s="1499"/>
      <c r="J42" s="1765"/>
      <c r="K42" s="1624"/>
      <c r="L42" s="1613"/>
      <c r="M42" s="1637">
        <v>-1</v>
      </c>
      <c r="N42" s="467"/>
      <c r="O42" s="467"/>
      <c r="P42" s="1611"/>
      <c r="Q42" s="1624"/>
      <c r="R42" s="1613"/>
      <c r="S42" s="1611"/>
      <c r="T42" s="467"/>
      <c r="U42" s="467"/>
      <c r="V42" s="1611"/>
      <c r="W42" s="1616"/>
      <c r="X42" s="1608"/>
      <c r="Y42" s="1609">
        <v>7</v>
      </c>
      <c r="Z42" s="1617"/>
      <c r="AA42" s="1499"/>
      <c r="AB42" s="1765"/>
      <c r="AC42" s="1617"/>
      <c r="AD42" s="1608"/>
      <c r="AE42" s="1609"/>
      <c r="AF42" s="1617"/>
      <c r="AG42" s="1499"/>
      <c r="AH42" s="1765"/>
      <c r="AI42" s="1617"/>
      <c r="AJ42" s="1608"/>
      <c r="AK42" s="1609">
        <v>9</v>
      </c>
      <c r="AL42" s="1617"/>
      <c r="AM42" s="1604"/>
      <c r="AN42" s="1611"/>
      <c r="AO42" s="1616"/>
      <c r="AP42" s="1608"/>
      <c r="AQ42" s="1609"/>
      <c r="AR42" s="1617"/>
      <c r="AS42" s="1604"/>
      <c r="AT42" s="1611"/>
      <c r="AU42" s="1611"/>
      <c r="AV42" s="1616"/>
      <c r="AW42" s="1608"/>
      <c r="AX42" s="1609"/>
      <c r="AY42" s="1617"/>
      <c r="AZ42" s="1604"/>
      <c r="BA42" s="1611"/>
      <c r="BB42" s="1625">
        <f>'qtrP&amp;L'!$V$13</f>
        <v>908.64300000000003</v>
      </c>
      <c r="BC42" s="1621"/>
      <c r="BD42" s="1625">
        <f>BO42</f>
        <v>908.64300000000003</v>
      </c>
      <c r="BE42" s="1622"/>
      <c r="BF42" s="1613"/>
      <c r="BG42" s="1611"/>
      <c r="BH42" s="1625">
        <f>'qtrP&amp;L'!$V$64</f>
        <v>32.038999999999987</v>
      </c>
      <c r="BI42" s="1625"/>
      <c r="BJ42" s="1625">
        <f>11.535+0.654</f>
        <v>12.189</v>
      </c>
      <c r="BK42" s="1625">
        <f>+BR42-BJ42</f>
        <v>31.478999999999999</v>
      </c>
      <c r="BL42" s="1622"/>
      <c r="BM42" s="1618">
        <f>+BK42/BD42*100</f>
        <v>3.464396908356747</v>
      </c>
      <c r="BN42" s="467"/>
      <c r="BO42" s="1624">
        <v>908.64300000000003</v>
      </c>
      <c r="BP42" s="1613"/>
      <c r="BQ42" s="1611"/>
      <c r="BR42" s="1624">
        <v>43.667999999999999</v>
      </c>
      <c r="BS42" s="467"/>
      <c r="BT42" s="467"/>
      <c r="BU42" s="467"/>
      <c r="BV42" s="467"/>
      <c r="BW42" s="467"/>
      <c r="BX42" s="467"/>
      <c r="BY42" s="467"/>
      <c r="BZ42" s="467"/>
      <c r="CA42" s="467"/>
      <c r="CB42" s="467"/>
      <c r="CC42" s="467"/>
      <c r="CD42" s="467"/>
      <c r="CE42" s="467"/>
      <c r="CF42" s="467"/>
      <c r="CG42" s="467"/>
      <c r="CH42" s="467"/>
      <c r="CI42" s="467"/>
      <c r="CJ42" s="467"/>
    </row>
    <row r="43" spans="1:88" hidden="1" outlineLevel="1">
      <c r="A43" s="467"/>
      <c r="B43" s="467" t="str">
        <f>$B$15</f>
        <v>Year</v>
      </c>
      <c r="C43" s="467"/>
      <c r="D43" s="1607">
        <f>+K43+Q43</f>
        <v>2931.6</v>
      </c>
      <c r="E43" s="1608"/>
      <c r="F43" s="1609">
        <f>+M43</f>
        <v>0</v>
      </c>
      <c r="G43" s="1610">
        <f>+N43+T43</f>
        <v>202.2</v>
      </c>
      <c r="H43" s="1604"/>
      <c r="I43" s="1662">
        <f>+G43/D43*100</f>
        <v>6.8972574703233729</v>
      </c>
      <c r="J43" s="1765"/>
      <c r="K43" s="1612">
        <v>2931.6</v>
      </c>
      <c r="L43" s="1613"/>
      <c r="M43" s="1637">
        <v>0</v>
      </c>
      <c r="N43" s="1626">
        <v>202.2</v>
      </c>
      <c r="O43" s="467">
        <f>+N43/K43*100</f>
        <v>6.8972574703233729</v>
      </c>
      <c r="P43" s="1611"/>
      <c r="Q43" s="1612"/>
      <c r="R43" s="1613"/>
      <c r="S43" s="1611"/>
      <c r="T43" s="467"/>
      <c r="U43" s="467"/>
      <c r="V43" s="1611"/>
      <c r="W43" s="1607">
        <v>124</v>
      </c>
      <c r="X43" s="1608">
        <f>+(W43/W36-1)*100</f>
        <v>42.52873563218391</v>
      </c>
      <c r="Y43" s="1609">
        <v>10</v>
      </c>
      <c r="Z43" s="1610">
        <v>6.4</v>
      </c>
      <c r="AA43" s="1499">
        <f>+Z43/W43*100</f>
        <v>5.161290322580645</v>
      </c>
      <c r="AB43" s="1765"/>
      <c r="AC43" s="1610"/>
      <c r="AD43" s="1608"/>
      <c r="AE43" s="1609"/>
      <c r="AF43" s="1610"/>
      <c r="AG43" s="1499"/>
      <c r="AH43" s="1765"/>
      <c r="AI43" s="1610"/>
      <c r="AJ43" s="1608"/>
      <c r="AK43" s="1609">
        <v>13</v>
      </c>
      <c r="AL43" s="1610"/>
      <c r="AM43" s="1604"/>
      <c r="AN43" s="1611"/>
      <c r="AO43" s="1607"/>
      <c r="AP43" s="1608"/>
      <c r="AQ43" s="1609"/>
      <c r="AR43" s="1610"/>
      <c r="AS43" s="1604"/>
      <c r="AT43" s="1611"/>
      <c r="AU43" s="1611"/>
      <c r="AV43" s="1607"/>
      <c r="AW43" s="1608"/>
      <c r="AX43" s="1609"/>
      <c r="AY43" s="1610"/>
      <c r="AZ43" s="1604"/>
      <c r="BA43" s="1611"/>
      <c r="BB43" s="1621">
        <f>'qtrP&amp;L'!$V$14</f>
        <v>3055.5730000000003</v>
      </c>
      <c r="BC43" s="1614"/>
      <c r="BD43" s="1627">
        <f>BO43</f>
        <v>3055.5730000000003</v>
      </c>
      <c r="BE43" s="1615"/>
      <c r="BF43" s="1613">
        <f>+(BD43/BD36-1)*100</f>
        <v>7.891860017584329</v>
      </c>
      <c r="BG43" s="1611"/>
      <c r="BH43" s="1621">
        <f>'qtrP&amp;L'!$V$65</f>
        <v>167.40900000000011</v>
      </c>
      <c r="BI43" s="1621"/>
      <c r="BJ43" s="1614">
        <f>SUM(BJ39:BJ42)</f>
        <v>42.268999999999998</v>
      </c>
      <c r="BK43" s="1614">
        <f>+BR43-BJ43</f>
        <v>166.37900000000002</v>
      </c>
      <c r="BL43" s="1615"/>
      <c r="BM43" s="1618">
        <f>+BK43/BD43*100</f>
        <v>5.4450998225210139</v>
      </c>
      <c r="BN43" s="467"/>
      <c r="BO43" s="1612">
        <f>SUM(BO39:BO42)</f>
        <v>3055.5730000000003</v>
      </c>
      <c r="BP43" s="1613"/>
      <c r="BQ43" s="1611"/>
      <c r="BR43" s="1612">
        <f>SUM(BR39:BR42)</f>
        <v>208.64800000000002</v>
      </c>
      <c r="BS43" s="467"/>
      <c r="BT43" s="467"/>
      <c r="BU43" s="1422">
        <f>+D43/$BD43</f>
        <v>0.95942724981533734</v>
      </c>
      <c r="BV43" s="1628"/>
      <c r="BW43" s="1628"/>
      <c r="BX43" s="1422">
        <f>+W43/$BD43</f>
        <v>4.0581586497851624E-2</v>
      </c>
      <c r="BY43" s="1422">
        <f>+AC43/BD43</f>
        <v>0</v>
      </c>
      <c r="BZ43" s="1422">
        <f>+AI43/BD43</f>
        <v>0</v>
      </c>
      <c r="CA43" s="1422">
        <f>+AO43/BD43</f>
        <v>0</v>
      </c>
      <c r="CB43" s="467"/>
      <c r="CC43" s="467"/>
      <c r="CD43" s="467"/>
      <c r="CE43" s="467"/>
      <c r="CF43" s="467"/>
      <c r="CG43" s="467"/>
      <c r="CH43" s="467"/>
      <c r="CI43" s="467"/>
      <c r="CJ43" s="467"/>
    </row>
    <row r="44" spans="1:88" hidden="1" outlineLevel="1">
      <c r="A44" s="467"/>
      <c r="B44" s="467"/>
      <c r="C44" s="467"/>
      <c r="D44" s="1603"/>
      <c r="E44" s="1088"/>
      <c r="F44" s="1088"/>
      <c r="G44" s="1499"/>
      <c r="H44" s="1604"/>
      <c r="I44" s="1499"/>
      <c r="J44" s="1764"/>
      <c r="K44" s="1605"/>
      <c r="L44" s="1605"/>
      <c r="M44" s="1605"/>
      <c r="N44" s="467"/>
      <c r="O44" s="467"/>
      <c r="P44" s="1605"/>
      <c r="Q44" s="1605"/>
      <c r="R44" s="1605"/>
      <c r="S44" s="1605"/>
      <c r="T44" s="467"/>
      <c r="U44" s="467"/>
      <c r="V44" s="1605"/>
      <c r="W44" s="1603"/>
      <c r="X44" s="1088"/>
      <c r="Y44" s="1088"/>
      <c r="Z44" s="1499"/>
      <c r="AA44" s="1499"/>
      <c r="AB44" s="1764"/>
      <c r="AC44" s="800"/>
      <c r="AD44" s="1088"/>
      <c r="AE44" s="1088"/>
      <c r="AF44" s="1499"/>
      <c r="AG44" s="1499"/>
      <c r="AH44" s="1764"/>
      <c r="AI44" s="800"/>
      <c r="AJ44" s="1088"/>
      <c r="AK44" s="1088"/>
      <c r="AL44" s="1499"/>
      <c r="AM44" s="1604"/>
      <c r="AN44" s="702"/>
      <c r="AO44" s="1603"/>
      <c r="AP44" s="1088"/>
      <c r="AQ44" s="1088"/>
      <c r="AR44" s="1499"/>
      <c r="AS44" s="1604"/>
      <c r="AT44" s="702"/>
      <c r="AU44" s="702"/>
      <c r="AV44" s="1603"/>
      <c r="AW44" s="1088"/>
      <c r="AX44" s="1088"/>
      <c r="AY44" s="1499"/>
      <c r="AZ44" s="1604"/>
      <c r="BA44" s="487"/>
      <c r="BB44" s="1499"/>
      <c r="BC44" s="1499"/>
      <c r="BD44" s="1499"/>
      <c r="BE44" s="1606"/>
      <c r="BF44" s="487"/>
      <c r="BG44" s="487"/>
      <c r="BH44" s="1499"/>
      <c r="BI44" s="1499"/>
      <c r="BJ44" s="1499"/>
      <c r="BK44" s="1499"/>
      <c r="BL44" s="1606"/>
      <c r="BM44" s="1604"/>
      <c r="BN44" s="467"/>
      <c r="BO44" s="1605"/>
      <c r="BP44" s="702"/>
      <c r="BQ44" s="702"/>
      <c r="BR44" s="467"/>
      <c r="BS44" s="467"/>
      <c r="BT44" s="467"/>
      <c r="BU44" s="467"/>
      <c r="BV44" s="467"/>
      <c r="BW44" s="467"/>
      <c r="BX44" s="467"/>
      <c r="BY44" s="467"/>
      <c r="BZ44" s="467"/>
      <c r="CA44" s="467"/>
      <c r="CB44" s="467"/>
      <c r="CC44" s="467"/>
      <c r="CD44" s="467"/>
      <c r="CE44" s="467"/>
      <c r="CF44" s="467"/>
      <c r="CG44" s="467"/>
      <c r="CH44" s="467"/>
      <c r="CI44" s="467"/>
      <c r="CJ44" s="467"/>
    </row>
    <row r="45" spans="1:88" hidden="1" outlineLevel="1">
      <c r="A45" s="2112">
        <f>+A38+1</f>
        <v>1995</v>
      </c>
      <c r="B45" s="2112"/>
      <c r="C45" s="487"/>
      <c r="D45" s="1635"/>
      <c r="E45" s="1088"/>
      <c r="F45" s="1088"/>
      <c r="G45" s="499"/>
      <c r="H45" s="1636"/>
      <c r="I45" s="499"/>
      <c r="J45" s="1764"/>
      <c r="K45" s="702"/>
      <c r="L45" s="702"/>
      <c r="M45" s="702"/>
      <c r="N45" s="487"/>
      <c r="O45" s="487"/>
      <c r="P45" s="702"/>
      <c r="Q45" s="702"/>
      <c r="R45" s="702"/>
      <c r="S45" s="702"/>
      <c r="T45" s="487"/>
      <c r="U45" s="487"/>
      <c r="V45" s="702"/>
      <c r="W45" s="1635"/>
      <c r="X45" s="1088"/>
      <c r="Y45" s="1088"/>
      <c r="Z45" s="499"/>
      <c r="AA45" s="499"/>
      <c r="AB45" s="1764"/>
      <c r="AC45" s="1088"/>
      <c r="AD45" s="1088"/>
      <c r="AE45" s="1088"/>
      <c r="AF45" s="499"/>
      <c r="AG45" s="499"/>
      <c r="AH45" s="1764"/>
      <c r="AI45" s="1088"/>
      <c r="AJ45" s="1088"/>
      <c r="AK45" s="1088"/>
      <c r="AL45" s="499"/>
      <c r="AM45" s="1636"/>
      <c r="AN45" s="702"/>
      <c r="AO45" s="1635"/>
      <c r="AP45" s="1088"/>
      <c r="AQ45" s="1088"/>
      <c r="AR45" s="499"/>
      <c r="AS45" s="1636"/>
      <c r="AT45" s="702"/>
      <c r="AU45" s="702"/>
      <c r="AV45" s="1635"/>
      <c r="AW45" s="1088"/>
      <c r="AX45" s="1088"/>
      <c r="AY45" s="499"/>
      <c r="AZ45" s="1636"/>
      <c r="BA45" s="487"/>
      <c r="BB45" s="499"/>
      <c r="BC45" s="499"/>
      <c r="BD45" s="499"/>
      <c r="BE45" s="1606"/>
      <c r="BF45" s="487"/>
      <c r="BG45" s="487"/>
      <c r="BH45" s="499"/>
      <c r="BI45" s="499"/>
      <c r="BJ45" s="499"/>
      <c r="BK45" s="499"/>
      <c r="BL45" s="1606"/>
      <c r="BM45" s="1636"/>
      <c r="BN45" s="487"/>
      <c r="BO45" s="702"/>
      <c r="BP45" s="702"/>
      <c r="BQ45" s="702"/>
      <c r="BR45" s="487"/>
      <c r="BS45" s="487"/>
      <c r="BT45" s="487"/>
      <c r="BU45" s="487"/>
      <c r="BV45" s="487"/>
      <c r="BW45" s="487"/>
      <c r="BX45" s="487"/>
      <c r="BY45" s="487"/>
      <c r="BZ45" s="487"/>
      <c r="CA45" s="487"/>
      <c r="CB45" s="487"/>
      <c r="CC45" s="487"/>
      <c r="CD45" s="487"/>
      <c r="CE45" s="487"/>
      <c r="CF45" s="487"/>
      <c r="CG45" s="487"/>
      <c r="CH45" s="487"/>
      <c r="CI45" s="487"/>
      <c r="CJ45" s="487"/>
    </row>
    <row r="46" spans="1:88" hidden="1" outlineLevel="1">
      <c r="A46" s="467" t="str">
        <f>$A$11</f>
        <v>1Q</v>
      </c>
      <c r="B46" s="467" t="str">
        <f>$B$11</f>
        <v>Apr</v>
      </c>
      <c r="C46" s="467"/>
      <c r="D46" s="1607">
        <v>669.00199999999995</v>
      </c>
      <c r="E46" s="1608"/>
      <c r="F46" s="1609">
        <f>+M46</f>
        <v>-1</v>
      </c>
      <c r="G46" s="1610">
        <v>32.006999999999998</v>
      </c>
      <c r="H46" s="1604"/>
      <c r="I46" s="1662">
        <f>+G46/D46*100</f>
        <v>4.7842906299233778</v>
      </c>
      <c r="J46" s="1765"/>
      <c r="K46" s="1612"/>
      <c r="L46" s="1613"/>
      <c r="M46" s="1637">
        <v>-1</v>
      </c>
      <c r="N46" s="467"/>
      <c r="O46" s="1620"/>
      <c r="P46" s="1611"/>
      <c r="Q46" s="1612"/>
      <c r="R46" s="1613"/>
      <c r="S46" s="1611"/>
      <c r="T46" s="467"/>
      <c r="U46" s="1620"/>
      <c r="V46" s="1611"/>
      <c r="W46" s="1607">
        <v>31.712</v>
      </c>
      <c r="X46" s="1608"/>
      <c r="Y46" s="1609">
        <v>5</v>
      </c>
      <c r="Z46" s="1610">
        <v>0.90400000000000003</v>
      </c>
      <c r="AA46" s="1499">
        <f>+Z46/W46*100</f>
        <v>2.8506559031281533</v>
      </c>
      <c r="AB46" s="1765"/>
      <c r="AC46" s="1610"/>
      <c r="AD46" s="1608"/>
      <c r="AE46" s="1609"/>
      <c r="AF46" s="1610"/>
      <c r="AG46" s="1499"/>
      <c r="AH46" s="1765"/>
      <c r="AI46" s="1610">
        <v>13.105</v>
      </c>
      <c r="AJ46" s="1608"/>
      <c r="AK46" s="1609">
        <v>5</v>
      </c>
      <c r="AL46" s="1610">
        <v>-1.5289999999999999</v>
      </c>
      <c r="AM46" s="1604"/>
      <c r="AN46" s="1611"/>
      <c r="AO46" s="1607"/>
      <c r="AP46" s="1608"/>
      <c r="AQ46" s="1609"/>
      <c r="AR46" s="1610"/>
      <c r="AS46" s="1604"/>
      <c r="AT46" s="1611"/>
      <c r="AU46" s="1611"/>
      <c r="AV46" s="1607"/>
      <c r="AW46" s="1608"/>
      <c r="AX46" s="1609"/>
      <c r="AY46" s="1610"/>
      <c r="AZ46" s="1604"/>
      <c r="BA46" s="1611"/>
      <c r="BB46" s="1621">
        <f>'qtrP&amp;L'!$Z$10</f>
        <v>713.81899999999996</v>
      </c>
      <c r="BC46" s="1621"/>
      <c r="BD46" s="1627">
        <f>+D46+W46+AC46+AI46+AO46</f>
        <v>713.81899999999996</v>
      </c>
      <c r="BE46" s="1638" t="str">
        <f>IF(BB46=BD46,"y","n")</f>
        <v>y</v>
      </c>
      <c r="BF46" s="1613">
        <f>+(BD46/BD39-1)*100</f>
        <v>9.2421812349638977</v>
      </c>
      <c r="BG46" s="1611"/>
      <c r="BH46" s="1621">
        <f>'qtrP&amp;L'!$Z$61</f>
        <v>20.656999999999954</v>
      </c>
      <c r="BI46" s="1621"/>
      <c r="BJ46" s="1614">
        <f>10.193+0.653</f>
        <v>10.846</v>
      </c>
      <c r="BK46" s="1614">
        <f>+G46+Z46+AF46+AL46+AR46-BJ46</f>
        <v>20.536000000000001</v>
      </c>
      <c r="BL46" s="1615"/>
      <c r="BM46" s="1618">
        <f>+BK46/BD46*100</f>
        <v>2.8769197793838499</v>
      </c>
      <c r="BN46" s="467"/>
      <c r="BO46" s="1612">
        <v>700.71400000000006</v>
      </c>
      <c r="BP46" s="1613"/>
      <c r="BQ46" s="1611"/>
      <c r="BR46" s="1612">
        <v>32.911000000000001</v>
      </c>
      <c r="BS46" s="1620"/>
      <c r="BT46" s="467"/>
      <c r="BU46" s="467"/>
      <c r="BV46" s="467"/>
      <c r="BW46" s="467"/>
      <c r="BX46" s="467"/>
      <c r="BY46" s="467"/>
      <c r="BZ46" s="467"/>
      <c r="CA46" s="467"/>
      <c r="CB46" s="467"/>
      <c r="CC46" s="467"/>
      <c r="CD46" s="467"/>
      <c r="CE46" s="467"/>
      <c r="CF46" s="467"/>
      <c r="CG46" s="467"/>
      <c r="CH46" s="467"/>
      <c r="CI46" s="467"/>
      <c r="CJ46" s="467"/>
    </row>
    <row r="47" spans="1:88" hidden="1" outlineLevel="1">
      <c r="A47" s="467" t="str">
        <f>$A$12</f>
        <v>2Q</v>
      </c>
      <c r="B47" s="467" t="str">
        <f>$B$12</f>
        <v>Jul</v>
      </c>
      <c r="C47" s="467"/>
      <c r="D47" s="1616">
        <v>700.36500000000001</v>
      </c>
      <c r="E47" s="1608"/>
      <c r="F47" s="1609">
        <f>+M47</f>
        <v>-2</v>
      </c>
      <c r="G47" s="1617">
        <v>34.250999999999998</v>
      </c>
      <c r="H47" s="1618"/>
      <c r="I47" s="1662">
        <f>+G47/D47*100</f>
        <v>4.8904499796534662</v>
      </c>
      <c r="J47" s="1765"/>
      <c r="K47" s="1619"/>
      <c r="L47" s="1613"/>
      <c r="M47" s="1637">
        <v>-2</v>
      </c>
      <c r="N47" s="467"/>
      <c r="O47" s="1620"/>
      <c r="P47" s="1611"/>
      <c r="Q47" s="1619"/>
      <c r="R47" s="1613"/>
      <c r="S47" s="1611"/>
      <c r="T47" s="467"/>
      <c r="U47" s="1620"/>
      <c r="V47" s="1611"/>
      <c r="W47" s="1616">
        <v>41.686999999999998</v>
      </c>
      <c r="X47" s="1608"/>
      <c r="Y47" s="1609">
        <v>18</v>
      </c>
      <c r="Z47" s="1617">
        <v>2.9780000000000002</v>
      </c>
      <c r="AA47" s="1662">
        <f>+Z47/W47*100</f>
        <v>7.1437138676325969</v>
      </c>
      <c r="AB47" s="1765"/>
      <c r="AC47" s="1617"/>
      <c r="AD47" s="1608"/>
      <c r="AE47" s="1609"/>
      <c r="AF47" s="1617"/>
      <c r="AG47" s="1662"/>
      <c r="AH47" s="1765"/>
      <c r="AI47" s="1617">
        <v>19.311</v>
      </c>
      <c r="AJ47" s="1608"/>
      <c r="AK47" s="1609">
        <v>4</v>
      </c>
      <c r="AL47" s="1617">
        <v>-2.327</v>
      </c>
      <c r="AM47" s="1618"/>
      <c r="AN47" s="1611"/>
      <c r="AO47" s="1616"/>
      <c r="AP47" s="1608"/>
      <c r="AQ47" s="1609"/>
      <c r="AR47" s="1617"/>
      <c r="AS47" s="1618"/>
      <c r="AT47" s="1611"/>
      <c r="AU47" s="1611"/>
      <c r="AV47" s="1616"/>
      <c r="AW47" s="1608"/>
      <c r="AX47" s="1609"/>
      <c r="AY47" s="1617"/>
      <c r="AZ47" s="1618"/>
      <c r="BA47" s="1611"/>
      <c r="BB47" s="1621">
        <f>'qtrP&amp;L'!$Z$11</f>
        <v>761.34299999999996</v>
      </c>
      <c r="BC47" s="1621"/>
      <c r="BD47" s="1621">
        <f>+D47+W47+AC47+AI47+AO47</f>
        <v>761.36300000000006</v>
      </c>
      <c r="BE47" s="1638" t="str">
        <f>IF(BB47=BD47,"y","n")</f>
        <v>n</v>
      </c>
      <c r="BF47" s="1613">
        <f>+(BD47/BD40-1)*100</f>
        <v>10.366616462443234</v>
      </c>
      <c r="BG47" s="1611"/>
      <c r="BH47" s="1621">
        <f>'qtrP&amp;L'!$Z$62</f>
        <v>25.557999999999993</v>
      </c>
      <c r="BI47" s="1621"/>
      <c r="BJ47" s="1621">
        <f>8.79+0.654</f>
        <v>9.4439999999999991</v>
      </c>
      <c r="BK47" s="1621">
        <f>+G47+Z47+AF47+AL47+AR47-BJ47</f>
        <v>25.458000000000002</v>
      </c>
      <c r="BL47" s="1622"/>
      <c r="BM47" s="1618">
        <f>+BK47/BD47*100</f>
        <v>3.343740108200687</v>
      </c>
      <c r="BN47" s="467"/>
      <c r="BO47" s="1619">
        <v>742.03200000000004</v>
      </c>
      <c r="BP47" s="1613"/>
      <c r="BQ47" s="1611"/>
      <c r="BR47" s="1619">
        <v>37.228999999999999</v>
      </c>
      <c r="BS47" s="1620"/>
      <c r="BT47" s="467"/>
      <c r="BU47" s="467"/>
      <c r="BV47" s="467"/>
      <c r="BW47" s="467"/>
      <c r="BX47" s="467"/>
      <c r="BY47" s="467"/>
      <c r="BZ47" s="467"/>
      <c r="CA47" s="467"/>
      <c r="CB47" s="467"/>
      <c r="CC47" s="467"/>
      <c r="CD47" s="467"/>
      <c r="CE47" s="467"/>
      <c r="CF47" s="467"/>
      <c r="CG47" s="467"/>
      <c r="CH47" s="467"/>
      <c r="CI47" s="467"/>
      <c r="CJ47" s="467"/>
    </row>
    <row r="48" spans="1:88" hidden="1" outlineLevel="1">
      <c r="A48" s="467" t="str">
        <f>$A$13</f>
        <v>3Q</v>
      </c>
      <c r="B48" s="467" t="str">
        <f>$B$13</f>
        <v>Oct</v>
      </c>
      <c r="C48" s="467"/>
      <c r="D48" s="1616">
        <v>791.60900000000004</v>
      </c>
      <c r="E48" s="1608"/>
      <c r="F48" s="1609">
        <f>+M48</f>
        <v>-4</v>
      </c>
      <c r="G48" s="1617">
        <v>61.063000000000002</v>
      </c>
      <c r="H48" s="1604"/>
      <c r="I48" s="1662">
        <f>+G48/D48*100</f>
        <v>7.713782940820531</v>
      </c>
      <c r="J48" s="1765"/>
      <c r="K48" s="1619"/>
      <c r="L48" s="1613"/>
      <c r="M48" s="1637">
        <v>-4</v>
      </c>
      <c r="N48" s="467"/>
      <c r="O48" s="1620"/>
      <c r="P48" s="1611"/>
      <c r="Q48" s="1619"/>
      <c r="R48" s="1613"/>
      <c r="S48" s="1611"/>
      <c r="T48" s="467"/>
      <c r="U48" s="1620"/>
      <c r="V48" s="1611"/>
      <c r="W48" s="1616">
        <v>49.066000000000003</v>
      </c>
      <c r="X48" s="1608"/>
      <c r="Y48" s="1609">
        <v>-1</v>
      </c>
      <c r="Z48" s="1617">
        <v>4.8360000000000003</v>
      </c>
      <c r="AA48" s="1499">
        <f>+Z48/W48*100</f>
        <v>9.8561121754371666</v>
      </c>
      <c r="AB48" s="1765"/>
      <c r="AC48" s="1617"/>
      <c r="AD48" s="1608"/>
      <c r="AE48" s="1609"/>
      <c r="AF48" s="1617"/>
      <c r="AG48" s="1499"/>
      <c r="AH48" s="1765"/>
      <c r="AI48" s="1617">
        <v>20.539000000000001</v>
      </c>
      <c r="AJ48" s="1608"/>
      <c r="AK48" s="1609">
        <v>-1</v>
      </c>
      <c r="AL48" s="1617">
        <v>-2.2109999999999999</v>
      </c>
      <c r="AM48" s="1604"/>
      <c r="AN48" s="1611"/>
      <c r="AO48" s="1616"/>
      <c r="AP48" s="1608"/>
      <c r="AQ48" s="1609"/>
      <c r="AR48" s="1617"/>
      <c r="AS48" s="1604"/>
      <c r="AT48" s="1611"/>
      <c r="AU48" s="1611"/>
      <c r="AV48" s="1616"/>
      <c r="AW48" s="1608"/>
      <c r="AX48" s="1609"/>
      <c r="AY48" s="1617"/>
      <c r="AZ48" s="1604"/>
      <c r="BA48" s="1611"/>
      <c r="BB48" s="1621">
        <f>'qtrP&amp;L'!$Z$12</f>
        <v>861.21400000000006</v>
      </c>
      <c r="BC48" s="1621"/>
      <c r="BD48" s="1621">
        <f>+D48+W48+AC48+AI48+AO48</f>
        <v>861.21400000000006</v>
      </c>
      <c r="BE48" s="1638" t="str">
        <f>IF(BB48=BD48,"y","n")</f>
        <v>y</v>
      </c>
      <c r="BF48" s="1613">
        <f>+(BD48/BD41-1)*100</f>
        <v>7.162419601494685</v>
      </c>
      <c r="BG48" s="1611"/>
      <c r="BH48" s="1621">
        <f>'qtrP&amp;L'!$Z$63</f>
        <v>53.951999999999998</v>
      </c>
      <c r="BI48" s="1621"/>
      <c r="BJ48" s="1621">
        <f>9.083+0.653</f>
        <v>9.7360000000000007</v>
      </c>
      <c r="BK48" s="1621">
        <f>+G48+Z48+AF48+AL48+AR48-BJ48</f>
        <v>53.951999999999998</v>
      </c>
      <c r="BL48" s="1622"/>
      <c r="BM48" s="1618">
        <f>+BK48/BD48*100</f>
        <v>6.2646450243493481</v>
      </c>
      <c r="BN48" s="467"/>
      <c r="BO48" s="1619">
        <v>840.67499999999995</v>
      </c>
      <c r="BP48" s="1613"/>
      <c r="BQ48" s="1611"/>
      <c r="BR48" s="1619">
        <v>65.899000000000001</v>
      </c>
      <c r="BS48" s="1620"/>
      <c r="BT48" s="467"/>
      <c r="BU48" s="467"/>
      <c r="BV48" s="467"/>
      <c r="BW48" s="467"/>
      <c r="BX48" s="467"/>
      <c r="BY48" s="467"/>
      <c r="BZ48" s="467"/>
      <c r="CA48" s="467"/>
      <c r="CB48" s="467"/>
      <c r="CC48" s="467"/>
      <c r="CD48" s="467"/>
      <c r="CE48" s="467"/>
      <c r="CF48" s="467"/>
      <c r="CG48" s="467"/>
      <c r="CH48" s="467"/>
      <c r="CI48" s="467"/>
      <c r="CJ48" s="467"/>
    </row>
    <row r="49" spans="1:88" hidden="1" outlineLevel="1">
      <c r="A49" s="467" t="str">
        <f>$A$14</f>
        <v>4Q</v>
      </c>
      <c r="B49" s="467" t="str">
        <f>$B$14</f>
        <v>Jan</v>
      </c>
      <c r="C49" s="467"/>
      <c r="D49" s="1616">
        <v>1557.9949999999999</v>
      </c>
      <c r="E49" s="1608"/>
      <c r="F49" s="1609">
        <f>+M49</f>
        <v>-2</v>
      </c>
      <c r="G49" s="1617">
        <v>52.457000000000001</v>
      </c>
      <c r="H49" s="1604"/>
      <c r="I49" s="1662">
        <f>+G49/D49*100</f>
        <v>3.3669556064043857</v>
      </c>
      <c r="J49" s="1765"/>
      <c r="K49" s="1624"/>
      <c r="L49" s="1613"/>
      <c r="M49" s="1637">
        <v>-2</v>
      </c>
      <c r="N49" s="467"/>
      <c r="O49" s="1620"/>
      <c r="P49" s="1611"/>
      <c r="Q49" s="1624"/>
      <c r="R49" s="1613"/>
      <c r="S49" s="1611"/>
      <c r="T49" s="467"/>
      <c r="U49" s="1620"/>
      <c r="V49" s="1611"/>
      <c r="W49" s="1616">
        <v>55.293999999999997</v>
      </c>
      <c r="X49" s="1608"/>
      <c r="Y49" s="1609">
        <v>7</v>
      </c>
      <c r="Z49" s="1617">
        <v>-0.52200000000000002</v>
      </c>
      <c r="AA49" s="1499">
        <f>+Z49/W49*100</f>
        <v>-0.94404456179693996</v>
      </c>
      <c r="AB49" s="1765"/>
      <c r="AC49" s="1617"/>
      <c r="AD49" s="1608"/>
      <c r="AE49" s="1609"/>
      <c r="AF49" s="1617"/>
      <c r="AG49" s="1499"/>
      <c r="AH49" s="1765"/>
      <c r="AI49" s="1617">
        <v>25.45</v>
      </c>
      <c r="AJ49" s="1608"/>
      <c r="AK49" s="1609">
        <v>-1</v>
      </c>
      <c r="AL49" s="1617">
        <v>-7.3079999999999998</v>
      </c>
      <c r="AM49" s="1604"/>
      <c r="AN49" s="1611"/>
      <c r="AO49" s="1616"/>
      <c r="AP49" s="1608"/>
      <c r="AQ49" s="1609"/>
      <c r="AR49" s="1617"/>
      <c r="AS49" s="1604"/>
      <c r="AT49" s="1611"/>
      <c r="AU49" s="1611"/>
      <c r="AV49" s="1616"/>
      <c r="AW49" s="1608"/>
      <c r="AX49" s="1609"/>
      <c r="AY49" s="1617"/>
      <c r="AZ49" s="1604"/>
      <c r="BA49" s="1611"/>
      <c r="BB49" s="1625">
        <f>'qtrP&amp;L'!$Z$13</f>
        <v>1638.739</v>
      </c>
      <c r="BC49" s="1625"/>
      <c r="BD49" s="1625">
        <f>+D49+W49+AC49+AI49+AO49</f>
        <v>1638.739</v>
      </c>
      <c r="BE49" s="1638" t="str">
        <f>IF(BB49=BD49,"y","n")</f>
        <v>y</v>
      </c>
      <c r="BF49" s="1613">
        <f>+(BD49/BD42-1)*100</f>
        <v>80.350148518174905</v>
      </c>
      <c r="BG49" s="1611"/>
      <c r="BH49" s="1625">
        <f>'qtrP&amp;L'!$Z$64</f>
        <v>26.815000000000111</v>
      </c>
      <c r="BI49" s="1625"/>
      <c r="BJ49" s="1625">
        <f>17.158+0.654</f>
        <v>17.812000000000001</v>
      </c>
      <c r="BK49" s="1625">
        <f>+G49+Z49+AF49+AL49+AR49-BJ49</f>
        <v>26.815000000000001</v>
      </c>
      <c r="BL49" s="1622"/>
      <c r="BM49" s="1618">
        <f>+BK49/BD49*100</f>
        <v>1.6363191453916701</v>
      </c>
      <c r="BN49" s="467"/>
      <c r="BO49" s="1624"/>
      <c r="BP49" s="1613"/>
      <c r="BQ49" s="1611"/>
      <c r="BR49" s="1624"/>
      <c r="BS49" s="1620"/>
      <c r="BT49" s="467"/>
      <c r="BU49" s="467"/>
      <c r="BV49" s="467"/>
      <c r="BW49" s="467"/>
      <c r="BX49" s="467"/>
      <c r="BY49" s="467"/>
      <c r="BZ49" s="467"/>
      <c r="CA49" s="467"/>
      <c r="CB49" s="467"/>
      <c r="CC49" s="467"/>
      <c r="CD49" s="467"/>
      <c r="CE49" s="467"/>
      <c r="CF49" s="467"/>
      <c r="CG49" s="467"/>
      <c r="CH49" s="467"/>
      <c r="CI49" s="467"/>
      <c r="CJ49" s="467"/>
    </row>
    <row r="50" spans="1:88" hidden="1" outlineLevel="1">
      <c r="A50" s="467"/>
      <c r="B50" s="467" t="str">
        <f>$B$15</f>
        <v>Year</v>
      </c>
      <c r="C50" s="467"/>
      <c r="D50" s="1607">
        <f>+SUM(D46:D49)</f>
        <v>3718.971</v>
      </c>
      <c r="E50" s="1608"/>
      <c r="F50" s="1609">
        <f>+M50</f>
        <v>-2</v>
      </c>
      <c r="G50" s="1610">
        <f>+SUM(G46:G49)</f>
        <v>179.77799999999999</v>
      </c>
      <c r="H50" s="1604"/>
      <c r="I50" s="1662">
        <f>+G50/D50*100</f>
        <v>4.8340791041392901</v>
      </c>
      <c r="J50" s="1765"/>
      <c r="K50" s="1612"/>
      <c r="L50" s="1613"/>
      <c r="M50" s="1637">
        <v>-2</v>
      </c>
      <c r="N50" s="467"/>
      <c r="O50" s="1620"/>
      <c r="P50" s="1611"/>
      <c r="Q50" s="1612"/>
      <c r="R50" s="1613"/>
      <c r="S50" s="1611">
        <v>-1</v>
      </c>
      <c r="T50" s="467"/>
      <c r="U50" s="1620"/>
      <c r="V50" s="1611"/>
      <c r="W50" s="1607">
        <f>+SUM(W46:W49)</f>
        <v>177.75900000000001</v>
      </c>
      <c r="X50" s="1608">
        <f>+(W50/W43-1)*100</f>
        <v>43.354032258064535</v>
      </c>
      <c r="Y50" s="1609">
        <v>7</v>
      </c>
      <c r="Z50" s="1610">
        <f>+SUM(Z46:Z49)</f>
        <v>8.1959999999999997</v>
      </c>
      <c r="AA50" s="1499">
        <f>+Z50/W50*100</f>
        <v>4.6107370090965851</v>
      </c>
      <c r="AB50" s="1765"/>
      <c r="AC50" s="1610"/>
      <c r="AD50" s="1608"/>
      <c r="AE50" s="1609"/>
      <c r="AF50" s="1610"/>
      <c r="AG50" s="1499"/>
      <c r="AH50" s="1765"/>
      <c r="AI50" s="1610">
        <f>+SUM(AI46:AI49)</f>
        <v>78.405000000000001</v>
      </c>
      <c r="AJ50" s="1608"/>
      <c r="AK50" s="1609">
        <v>1</v>
      </c>
      <c r="AL50" s="1610">
        <f>+SUM(AL46:AL49)</f>
        <v>-13.375</v>
      </c>
      <c r="AM50" s="1604"/>
      <c r="AN50" s="1611"/>
      <c r="AO50" s="1607"/>
      <c r="AP50" s="1608"/>
      <c r="AQ50" s="1609"/>
      <c r="AR50" s="1610"/>
      <c r="AS50" s="1604"/>
      <c r="AT50" s="1611"/>
      <c r="AU50" s="1611"/>
      <c r="AV50" s="1607"/>
      <c r="AW50" s="1608"/>
      <c r="AX50" s="1609"/>
      <c r="AY50" s="1610"/>
      <c r="AZ50" s="1604"/>
      <c r="BA50" s="1611"/>
      <c r="BB50" s="1621">
        <f>'qtrP&amp;L'!$Z$14</f>
        <v>3975.1149999999998</v>
      </c>
      <c r="BC50" s="1621"/>
      <c r="BD50" s="1627">
        <f>+D50+W50+AC50+AI50+AO50</f>
        <v>3975.1350000000002</v>
      </c>
      <c r="BE50" s="1638" t="str">
        <f>IF(BB50=BD50,"y","n")</f>
        <v>n</v>
      </c>
      <c r="BF50" s="1613">
        <f>+(BD50/BD43-1)*100</f>
        <v>30.09458455091729</v>
      </c>
      <c r="BG50" s="1611"/>
      <c r="BH50" s="1621">
        <f>'qtrP&amp;L'!$Z$65</f>
        <v>126.98200000000006</v>
      </c>
      <c r="BI50" s="1621"/>
      <c r="BJ50" s="1621">
        <f>SUM(BJ46:BJ49)</f>
        <v>47.838000000000001</v>
      </c>
      <c r="BK50" s="1614">
        <f>+G50+Z50+AF50+AL50+AR50-BJ50</f>
        <v>126.761</v>
      </c>
      <c r="BL50" s="1615"/>
      <c r="BM50" s="1618">
        <f>+BK50/BD50*100</f>
        <v>3.188847674355713</v>
      </c>
      <c r="BN50" s="467"/>
      <c r="BO50" s="1627">
        <v>3896.71</v>
      </c>
      <c r="BP50" s="1613"/>
      <c r="BQ50" s="1611"/>
      <c r="BR50" s="1627">
        <v>187.97399999999999</v>
      </c>
      <c r="BS50" s="1620"/>
      <c r="BT50" s="467"/>
      <c r="BU50" s="1422">
        <f>+D50/$BD50</f>
        <v>0.93555841499722647</v>
      </c>
      <c r="BV50" s="1628"/>
      <c r="BW50" s="1628"/>
      <c r="BX50" s="1422">
        <f>+W50/$BD50</f>
        <v>4.4717726567776943E-2</v>
      </c>
      <c r="BY50" s="1422">
        <f>+AC50/BD50</f>
        <v>0</v>
      </c>
      <c r="BZ50" s="1422">
        <f>+AI50/BD50</f>
        <v>1.9723858434996546E-2</v>
      </c>
      <c r="CA50" s="1422">
        <f>+AO50/BD50</f>
        <v>0</v>
      </c>
      <c r="CB50" s="467"/>
      <c r="CC50" s="467"/>
      <c r="CD50" s="467"/>
      <c r="CE50" s="467"/>
      <c r="CF50" s="467"/>
      <c r="CG50" s="467"/>
      <c r="CH50" s="467"/>
      <c r="CI50" s="467"/>
      <c r="CJ50" s="467"/>
    </row>
    <row r="51" spans="1:88" hidden="1" outlineLevel="1">
      <c r="A51" s="467"/>
      <c r="B51" s="467"/>
      <c r="C51" s="467"/>
      <c r="D51" s="1603"/>
      <c r="E51" s="1088"/>
      <c r="F51" s="1088"/>
      <c r="G51" s="1499"/>
      <c r="H51" s="1604"/>
      <c r="I51" s="1499"/>
      <c r="J51" s="1764"/>
      <c r="K51" s="1605"/>
      <c r="L51" s="1605"/>
      <c r="M51" s="1605"/>
      <c r="N51" s="467"/>
      <c r="O51" s="467"/>
      <c r="P51" s="1605"/>
      <c r="Q51" s="1605"/>
      <c r="R51" s="1605"/>
      <c r="S51" s="1605"/>
      <c r="T51" s="467"/>
      <c r="U51" s="467"/>
      <c r="V51" s="1605"/>
      <c r="W51" s="1603"/>
      <c r="X51" s="1088"/>
      <c r="Y51" s="1088"/>
      <c r="Z51" s="1499"/>
      <c r="AA51" s="1499"/>
      <c r="AB51" s="1764"/>
      <c r="AC51" s="800"/>
      <c r="AD51" s="1088"/>
      <c r="AE51" s="1088"/>
      <c r="AF51" s="1499"/>
      <c r="AG51" s="1499"/>
      <c r="AH51" s="1764"/>
      <c r="AI51" s="800"/>
      <c r="AJ51" s="1088"/>
      <c r="AK51" s="1088"/>
      <c r="AL51" s="1499"/>
      <c r="AM51" s="1604"/>
      <c r="AN51" s="702"/>
      <c r="AO51" s="1603"/>
      <c r="AP51" s="1088"/>
      <c r="AQ51" s="1088"/>
      <c r="AR51" s="1499"/>
      <c r="AS51" s="1604"/>
      <c r="AT51" s="702"/>
      <c r="AU51" s="702"/>
      <c r="AV51" s="1603"/>
      <c r="AW51" s="1088"/>
      <c r="AX51" s="1088"/>
      <c r="AY51" s="1499"/>
      <c r="AZ51" s="1604"/>
      <c r="BA51" s="487"/>
      <c r="BB51" s="1499"/>
      <c r="BC51" s="1499"/>
      <c r="BD51" s="1499"/>
      <c r="BE51" s="1606"/>
      <c r="BF51" s="487"/>
      <c r="BG51" s="487"/>
      <c r="BH51" s="1499"/>
      <c r="BI51" s="1499"/>
      <c r="BJ51" s="1499"/>
      <c r="BK51" s="1499"/>
      <c r="BL51" s="1606"/>
      <c r="BM51" s="1604"/>
      <c r="BN51" s="467"/>
      <c r="BO51" s="1605"/>
      <c r="BP51" s="702"/>
      <c r="BQ51" s="702"/>
      <c r="BR51" s="467"/>
      <c r="BS51" s="467"/>
      <c r="BT51" s="467"/>
      <c r="BU51" s="467"/>
      <c r="BV51" s="467"/>
      <c r="BW51" s="467"/>
      <c r="BX51" s="467"/>
      <c r="BY51" s="467"/>
      <c r="BZ51" s="467"/>
      <c r="CA51" s="467"/>
      <c r="CB51" s="467"/>
      <c r="CC51" s="467"/>
      <c r="CD51" s="467"/>
      <c r="CE51" s="467"/>
      <c r="CF51" s="467"/>
      <c r="CG51" s="467"/>
      <c r="CH51" s="467"/>
      <c r="CI51" s="467"/>
      <c r="CJ51" s="467"/>
    </row>
    <row r="52" spans="1:88" hidden="1" outlineLevel="1">
      <c r="A52" s="2112">
        <f>+A45+1</f>
        <v>1996</v>
      </c>
      <c r="B52" s="2112"/>
      <c r="C52" s="467"/>
      <c r="D52" s="1603"/>
      <c r="E52" s="1088"/>
      <c r="F52" s="1609"/>
      <c r="G52" s="1499"/>
      <c r="H52" s="1604"/>
      <c r="I52" s="1499"/>
      <c r="J52" s="1764"/>
      <c r="K52" s="1605"/>
      <c r="L52" s="1605"/>
      <c r="M52" s="1605"/>
      <c r="N52" s="467"/>
      <c r="O52" s="467"/>
      <c r="P52" s="1605"/>
      <c r="Q52" s="1605"/>
      <c r="R52" s="1605"/>
      <c r="S52" s="1605"/>
      <c r="T52" s="467"/>
      <c r="U52" s="467"/>
      <c r="V52" s="1605"/>
      <c r="W52" s="1603"/>
      <c r="X52" s="1088"/>
      <c r="Y52" s="1609"/>
      <c r="Z52" s="1499"/>
      <c r="AA52" s="1499"/>
      <c r="AB52" s="1764"/>
      <c r="AC52" s="800"/>
      <c r="AD52" s="1088"/>
      <c r="AE52" s="1609"/>
      <c r="AF52" s="1499"/>
      <c r="AG52" s="1499"/>
      <c r="AH52" s="1764"/>
      <c r="AI52" s="800"/>
      <c r="AJ52" s="1088"/>
      <c r="AK52" s="1609"/>
      <c r="AL52" s="1499"/>
      <c r="AM52" s="1604"/>
      <c r="AN52" s="702"/>
      <c r="AO52" s="1603"/>
      <c r="AP52" s="1088"/>
      <c r="AQ52" s="1609"/>
      <c r="AR52" s="1499"/>
      <c r="AS52" s="1604"/>
      <c r="AT52" s="702"/>
      <c r="AU52" s="702"/>
      <c r="AV52" s="1603"/>
      <c r="AW52" s="1088"/>
      <c r="AX52" s="1609"/>
      <c r="AY52" s="1499"/>
      <c r="AZ52" s="1604"/>
      <c r="BA52" s="487"/>
      <c r="BB52" s="1499"/>
      <c r="BC52" s="1499"/>
      <c r="BD52" s="1499"/>
      <c r="BE52" s="1606"/>
      <c r="BF52" s="487"/>
      <c r="BG52" s="487"/>
      <c r="BH52" s="1499"/>
      <c r="BI52" s="1499"/>
      <c r="BJ52" s="1499"/>
      <c r="BK52" s="1499"/>
      <c r="BL52" s="1606"/>
      <c r="BM52" s="1604"/>
      <c r="BN52" s="467"/>
      <c r="BO52" s="1605"/>
      <c r="BP52" s="702"/>
      <c r="BQ52" s="702"/>
      <c r="BR52" s="467"/>
      <c r="BS52" s="467"/>
      <c r="BT52" s="467"/>
      <c r="BU52" s="467"/>
      <c r="BV52" s="467"/>
      <c r="BW52" s="467"/>
      <c r="BX52" s="467"/>
      <c r="BY52" s="467"/>
      <c r="BZ52" s="467"/>
      <c r="CA52" s="467"/>
      <c r="CB52" s="467"/>
      <c r="CC52" s="467"/>
      <c r="CD52" s="467"/>
      <c r="CE52" s="467"/>
      <c r="CF52" s="467"/>
      <c r="CG52" s="467"/>
      <c r="CH52" s="467"/>
      <c r="CI52" s="467"/>
      <c r="CJ52" s="467"/>
    </row>
    <row r="53" spans="1:88" hidden="1" outlineLevel="1">
      <c r="A53" s="467" t="str">
        <f>$A$11</f>
        <v>1Q</v>
      </c>
      <c r="B53" s="467" t="str">
        <f>$B$11</f>
        <v>Apr</v>
      </c>
      <c r="C53" s="467"/>
      <c r="D53" s="1607">
        <v>1407.837</v>
      </c>
      <c r="E53" s="1608">
        <f>+(D53/D46-1)*100</f>
        <v>110.43838433965819</v>
      </c>
      <c r="F53" s="1639">
        <v>6</v>
      </c>
      <c r="G53" s="1610">
        <v>66.090999999999994</v>
      </c>
      <c r="H53" s="1604">
        <f>+(G53/G46-1)*100</f>
        <v>106.48920548629985</v>
      </c>
      <c r="I53" s="1662">
        <f>+G53/D53*100</f>
        <v>4.6945065373335124</v>
      </c>
      <c r="J53" s="1765"/>
      <c r="K53" s="1612"/>
      <c r="L53" s="1613"/>
      <c r="M53" s="1637">
        <v>5</v>
      </c>
      <c r="N53" s="467"/>
      <c r="O53" s="1620"/>
      <c r="P53" s="1611"/>
      <c r="Q53" s="1612"/>
      <c r="R53" s="1613"/>
      <c r="S53" s="1637">
        <v>7</v>
      </c>
      <c r="T53" s="467"/>
      <c r="U53" s="1620"/>
      <c r="V53" s="1611"/>
      <c r="W53" s="1607">
        <v>45.027000000000001</v>
      </c>
      <c r="X53" s="1608">
        <f>+(W53/W46-1)*100</f>
        <v>41.987260343087797</v>
      </c>
      <c r="Y53" s="1639">
        <v>4</v>
      </c>
      <c r="Z53" s="1610">
        <v>0.96599999999999997</v>
      </c>
      <c r="AA53" s="1499">
        <f>+Z53/W53*100</f>
        <v>2.1453794390032646</v>
      </c>
      <c r="AB53" s="1765"/>
      <c r="AC53" s="1610"/>
      <c r="AD53" s="1608"/>
      <c r="AE53" s="1639">
        <v>32</v>
      </c>
      <c r="AF53" s="1610"/>
      <c r="AG53" s="1499"/>
      <c r="AH53" s="1765"/>
      <c r="AI53" s="1610">
        <v>19.382999999999999</v>
      </c>
      <c r="AJ53" s="1608">
        <f>+(AI53/AI46-1)*100</f>
        <v>47.905379626096888</v>
      </c>
      <c r="AK53" s="1639">
        <v>5</v>
      </c>
      <c r="AL53" s="1610">
        <v>-2.57</v>
      </c>
      <c r="AM53" s="1604">
        <f>+AL53/AI53*100</f>
        <v>-13.259041428055513</v>
      </c>
      <c r="AN53" s="1611"/>
      <c r="AO53" s="1607"/>
      <c r="AP53" s="1608"/>
      <c r="AQ53" s="1639"/>
      <c r="AR53" s="1610"/>
      <c r="AS53" s="1604"/>
      <c r="AT53" s="1611"/>
      <c r="AU53" s="1611"/>
      <c r="AV53" s="1607"/>
      <c r="AW53" s="1608"/>
      <c r="AX53" s="1639"/>
      <c r="AY53" s="1610"/>
      <c r="AZ53" s="1604"/>
      <c r="BA53" s="1611"/>
      <c r="BB53" s="1621">
        <f>'qtrP&amp;L'!$AD$10</f>
        <v>1472.2470000000001</v>
      </c>
      <c r="BC53" s="1621"/>
      <c r="BD53" s="1627">
        <f>+D53+W53+AC53+AI53+AO53</f>
        <v>1472.2470000000001</v>
      </c>
      <c r="BE53" s="1638" t="str">
        <f>IF(BB53=BD53,"y","n")</f>
        <v>y</v>
      </c>
      <c r="BF53" s="1640">
        <f>+(BD53/BD46-1)*100</f>
        <v>106.2493433209259</v>
      </c>
      <c r="BG53" s="1611"/>
      <c r="BH53" s="1621">
        <f>'qtrP&amp;L'!$AD$61</f>
        <v>53.737000000000137</v>
      </c>
      <c r="BI53" s="1621"/>
      <c r="BJ53" s="1614">
        <f>10.213+0.653</f>
        <v>10.866</v>
      </c>
      <c r="BK53" s="1614">
        <f>+G53+Z53+AF53+AL53+AR53-BJ53</f>
        <v>53.620999999999995</v>
      </c>
      <c r="BL53" s="1615"/>
      <c r="BM53" s="1618">
        <f>+BK53/BD53*100</f>
        <v>3.642119834511464</v>
      </c>
      <c r="BN53" s="467"/>
      <c r="BO53" s="1612"/>
      <c r="BP53" s="1613"/>
      <c r="BQ53" s="1611"/>
      <c r="BR53" s="1612"/>
      <c r="BS53" s="1620"/>
      <c r="BT53" s="467"/>
      <c r="BU53" s="467"/>
      <c r="BV53" s="467"/>
      <c r="BW53" s="467"/>
      <c r="BX53" s="467"/>
      <c r="BY53" s="467"/>
      <c r="BZ53" s="467"/>
      <c r="CA53" s="467"/>
      <c r="CB53" s="467"/>
      <c r="CC53" s="467"/>
      <c r="CD53" s="467"/>
      <c r="CE53" s="467"/>
      <c r="CF53" s="467"/>
      <c r="CG53" s="467"/>
      <c r="CH53" s="467"/>
      <c r="CI53" s="467"/>
      <c r="CJ53" s="467"/>
    </row>
    <row r="54" spans="1:88" hidden="1" outlineLevel="1">
      <c r="A54" s="467" t="str">
        <f>$A$12</f>
        <v>2Q</v>
      </c>
      <c r="B54" s="467" t="str">
        <f>$B$12</f>
        <v>Jul</v>
      </c>
      <c r="C54" s="467"/>
      <c r="D54" s="1616">
        <v>1471.7280000000001</v>
      </c>
      <c r="E54" s="1608">
        <f>+(D54/D47-1)*100</f>
        <v>110.13728555824463</v>
      </c>
      <c r="F54" s="1639">
        <v>8</v>
      </c>
      <c r="G54" s="1617">
        <v>78.510999999999996</v>
      </c>
      <c r="H54" s="1618">
        <f>+(G54/G47-1)*100</f>
        <v>129.22250445242474</v>
      </c>
      <c r="I54" s="1662">
        <f>+G54/D54*100</f>
        <v>5.3346134611830447</v>
      </c>
      <c r="J54" s="1765"/>
      <c r="K54" s="1619"/>
      <c r="L54" s="1613"/>
      <c r="M54" s="1637">
        <v>4</v>
      </c>
      <c r="N54" s="467"/>
      <c r="O54" s="1620"/>
      <c r="P54" s="1611"/>
      <c r="Q54" s="1619"/>
      <c r="R54" s="1613"/>
      <c r="S54" s="1637">
        <v>13</v>
      </c>
      <c r="T54" s="467"/>
      <c r="U54" s="1620"/>
      <c r="V54" s="1611"/>
      <c r="W54" s="1616">
        <v>56.448999999999998</v>
      </c>
      <c r="X54" s="1608">
        <f>+(W54/W47-1)*100</f>
        <v>35.41151917864083</v>
      </c>
      <c r="Y54" s="1639">
        <v>7</v>
      </c>
      <c r="Z54" s="1617">
        <v>3.6859999999999999</v>
      </c>
      <c r="AA54" s="1662">
        <f>+Z54/W54*100</f>
        <v>6.5297879501851233</v>
      </c>
      <c r="AB54" s="1765"/>
      <c r="AC54" s="1617"/>
      <c r="AD54" s="1608"/>
      <c r="AE54" s="1639">
        <v>35</v>
      </c>
      <c r="AF54" s="1617"/>
      <c r="AG54" s="1662"/>
      <c r="AH54" s="1765"/>
      <c r="AI54" s="1617">
        <v>20.082000000000001</v>
      </c>
      <c r="AJ54" s="1608">
        <f>+(AI54/AI47-1)*100</f>
        <v>3.9925431101444753</v>
      </c>
      <c r="AK54" s="1639">
        <v>-1</v>
      </c>
      <c r="AL54" s="1617">
        <v>-3.056</v>
      </c>
      <c r="AM54" s="1618">
        <f>+AL54/AI54*100</f>
        <v>-15.217607807987251</v>
      </c>
      <c r="AN54" s="1611"/>
      <c r="AO54" s="1616"/>
      <c r="AP54" s="1608"/>
      <c r="AQ54" s="1639"/>
      <c r="AR54" s="1617"/>
      <c r="AS54" s="1618"/>
      <c r="AT54" s="1611"/>
      <c r="AU54" s="1611"/>
      <c r="AV54" s="1616"/>
      <c r="AW54" s="1608"/>
      <c r="AX54" s="1639"/>
      <c r="AY54" s="1617"/>
      <c r="AZ54" s="1618"/>
      <c r="BA54" s="1611"/>
      <c r="BB54" s="1621">
        <f>'qtrP&amp;L'!$AD$11</f>
        <v>1548.259</v>
      </c>
      <c r="BC54" s="1621"/>
      <c r="BD54" s="1621">
        <f>+D54+W54+AC54+AI54+AO54</f>
        <v>1548.2590000000002</v>
      </c>
      <c r="BE54" s="1638" t="str">
        <f>IF(BB54=BD54,"y","n")</f>
        <v>y</v>
      </c>
      <c r="BF54" s="1640">
        <f>+(BD54/BD47-1)*100</f>
        <v>103.35359086270284</v>
      </c>
      <c r="BG54" s="1611"/>
      <c r="BH54" s="1621">
        <f>'qtrP&amp;L'!$AD$62</f>
        <v>68.154999999999973</v>
      </c>
      <c r="BI54" s="1621"/>
      <c r="BJ54" s="1621">
        <f>10.419+0.654</f>
        <v>11.073</v>
      </c>
      <c r="BK54" s="1621">
        <f>+G54+Z54+AF54+AL54+AR54-BJ54</f>
        <v>68.068000000000012</v>
      </c>
      <c r="BL54" s="1622"/>
      <c r="BM54" s="1618">
        <f>+BK54/BD54*100</f>
        <v>4.3964220456654868</v>
      </c>
      <c r="BN54" s="467"/>
      <c r="BO54" s="1619"/>
      <c r="BP54" s="1613"/>
      <c r="BQ54" s="1611"/>
      <c r="BR54" s="1619"/>
      <c r="BS54" s="1620"/>
      <c r="BT54" s="467"/>
      <c r="BU54" s="467"/>
      <c r="BV54" s="467"/>
      <c r="BW54" s="467"/>
      <c r="BX54" s="467"/>
      <c r="BY54" s="467"/>
      <c r="BZ54" s="467"/>
      <c r="CA54" s="467"/>
      <c r="CB54" s="467"/>
      <c r="CC54" s="467"/>
      <c r="CD54" s="467"/>
      <c r="CE54" s="467"/>
      <c r="CF54" s="467"/>
      <c r="CG54" s="467"/>
      <c r="CH54" s="467"/>
      <c r="CI54" s="467"/>
      <c r="CJ54" s="467"/>
    </row>
    <row r="55" spans="1:88" hidden="1" outlineLevel="1">
      <c r="A55" s="467" t="str">
        <f>$A$13</f>
        <v>3Q</v>
      </c>
      <c r="B55" s="467" t="str">
        <f>$B$13</f>
        <v>Oct</v>
      </c>
      <c r="C55" s="467"/>
      <c r="D55" s="1616">
        <v>1630.4179999999999</v>
      </c>
      <c r="E55" s="1608">
        <f>+(D55/D48-1)*100</f>
        <v>105.9625395870941</v>
      </c>
      <c r="F55" s="1639">
        <v>8</v>
      </c>
      <c r="G55" s="1617">
        <v>153.31899999999999</v>
      </c>
      <c r="H55" s="1604">
        <f>+(G55/G48-1)*100</f>
        <v>151.08330740382877</v>
      </c>
      <c r="I55" s="1662">
        <f>+G55/D55*100</f>
        <v>9.4036621283621749</v>
      </c>
      <c r="J55" s="1765"/>
      <c r="K55" s="1619"/>
      <c r="L55" s="1613"/>
      <c r="M55" s="1637">
        <v>7</v>
      </c>
      <c r="N55" s="467"/>
      <c r="O55" s="1620"/>
      <c r="P55" s="1611"/>
      <c r="Q55" s="1619"/>
      <c r="R55" s="1613"/>
      <c r="S55" s="1637">
        <v>9</v>
      </c>
      <c r="T55" s="467"/>
      <c r="U55" s="1620"/>
      <c r="V55" s="1611"/>
      <c r="W55" s="1616">
        <v>72.400000000000006</v>
      </c>
      <c r="X55" s="1608">
        <f>+(W55/W48-1)*100</f>
        <v>47.556352667835156</v>
      </c>
      <c r="Y55" s="1639">
        <v>22</v>
      </c>
      <c r="Z55" s="1617">
        <v>8.5113599999999998</v>
      </c>
      <c r="AA55" s="1499">
        <f>+Z55/W55*100</f>
        <v>11.756022099447511</v>
      </c>
      <c r="AB55" s="1765"/>
      <c r="AC55" s="1617"/>
      <c r="AD55" s="1608"/>
      <c r="AE55" s="1639">
        <v>42</v>
      </c>
      <c r="AF55" s="1617"/>
      <c r="AG55" s="1499"/>
      <c r="AH55" s="1765"/>
      <c r="AI55" s="1617">
        <v>19.611000000000001</v>
      </c>
      <c r="AJ55" s="1608">
        <f>+(AI55/AI48-1)*100</f>
        <v>-4.5182336043624316</v>
      </c>
      <c r="AK55" s="1639">
        <v>-5</v>
      </c>
      <c r="AL55" s="1617">
        <v>-2.9079999999999999</v>
      </c>
      <c r="AM55" s="1604">
        <f>+AL55/AI55*100</f>
        <v>-14.828412625567283</v>
      </c>
      <c r="AN55" s="1611"/>
      <c r="AO55" s="1616"/>
      <c r="AP55" s="1608"/>
      <c r="AQ55" s="1639"/>
      <c r="AR55" s="1617"/>
      <c r="AS55" s="1604"/>
      <c r="AT55" s="1611"/>
      <c r="AU55" s="1611"/>
      <c r="AV55" s="1616"/>
      <c r="AW55" s="1608"/>
      <c r="AX55" s="1639"/>
      <c r="AY55" s="1617"/>
      <c r="AZ55" s="1604"/>
      <c r="BA55" s="1611"/>
      <c r="BB55" s="1621">
        <f>'qtrP&amp;L'!$AD$12</f>
        <v>1722.4290000000001</v>
      </c>
      <c r="BC55" s="1621"/>
      <c r="BD55" s="1621">
        <f>+D55+W55+AC55+AI55+AO55</f>
        <v>1722.4290000000001</v>
      </c>
      <c r="BE55" s="1638" t="str">
        <f>IF(BB55=BD55,"y","n")</f>
        <v>y</v>
      </c>
      <c r="BF55" s="1640">
        <f>+(BD55/BD48-1)*100</f>
        <v>100.00011611515838</v>
      </c>
      <c r="BG55" s="1611"/>
      <c r="BH55" s="1621">
        <f>'qtrP&amp;L'!$AD$63</f>
        <v>150.24000000000012</v>
      </c>
      <c r="BI55" s="1621"/>
      <c r="BJ55" s="1621">
        <f>8.029+0.653</f>
        <v>8.6820000000000004</v>
      </c>
      <c r="BK55" s="1621">
        <f>+G55+Z55+AF55+AL55+AR55-BJ55</f>
        <v>150.24036000000001</v>
      </c>
      <c r="BL55" s="1622"/>
      <c r="BM55" s="1618">
        <f>+BK55/BD55*100</f>
        <v>8.7225865333200971</v>
      </c>
      <c r="BN55" s="467"/>
      <c r="BO55" s="1619"/>
      <c r="BP55" s="1640"/>
      <c r="BQ55" s="1611"/>
      <c r="BR55" s="1619"/>
      <c r="BS55" s="1620"/>
      <c r="BT55" s="467"/>
      <c r="BU55" s="467"/>
      <c r="BV55" s="467"/>
      <c r="BW55" s="467"/>
      <c r="BX55" s="467"/>
      <c r="BY55" s="467"/>
      <c r="BZ55" s="467"/>
      <c r="CA55" s="467"/>
      <c r="CB55" s="467"/>
      <c r="CC55" s="467"/>
      <c r="CD55" s="467"/>
      <c r="CE55" s="467"/>
      <c r="CF55" s="467"/>
      <c r="CG55" s="467"/>
      <c r="CH55" s="467"/>
      <c r="CI55" s="467"/>
      <c r="CJ55" s="467"/>
    </row>
    <row r="56" spans="1:88" hidden="1" outlineLevel="1">
      <c r="A56" s="467" t="str">
        <f>$A$14</f>
        <v>4Q</v>
      </c>
      <c r="B56" s="467" t="str">
        <f>$B$14</f>
        <v>Jan</v>
      </c>
      <c r="C56" s="467"/>
      <c r="D56" s="1623">
        <v>1840.0170000000005</v>
      </c>
      <c r="E56" s="1608">
        <f>+(D56/D49-1)*100</f>
        <v>18.101598528878494</v>
      </c>
      <c r="F56" s="1639">
        <v>7</v>
      </c>
      <c r="G56" s="1624">
        <v>148.46203599999998</v>
      </c>
      <c r="H56" s="1604">
        <f>+(G56/G49-1)*100</f>
        <v>183.01663457689151</v>
      </c>
      <c r="I56" s="1662">
        <f>+G56/D56*100</f>
        <v>8.0685143669868236</v>
      </c>
      <c r="J56" s="1765"/>
      <c r="K56" s="1624"/>
      <c r="L56" s="1613"/>
      <c r="M56" s="1637">
        <v>4</v>
      </c>
      <c r="N56" s="467"/>
      <c r="O56" s="1620"/>
      <c r="P56" s="1611"/>
      <c r="Q56" s="1624"/>
      <c r="R56" s="1613"/>
      <c r="S56" s="1637">
        <v>10</v>
      </c>
      <c r="T56" s="467"/>
      <c r="U56" s="1620"/>
      <c r="V56" s="1611"/>
      <c r="W56" s="1623">
        <v>78.515000000000001</v>
      </c>
      <c r="X56" s="1608">
        <f>+(W56/W49-1)*100</f>
        <v>41.995514884074225</v>
      </c>
      <c r="Y56" s="1639">
        <v>16</v>
      </c>
      <c r="Z56" s="1624">
        <v>3.8730325000000008</v>
      </c>
      <c r="AA56" s="1499">
        <f>+Z56/W56*100</f>
        <v>4.9328567789594349</v>
      </c>
      <c r="AB56" s="1765"/>
      <c r="AC56" s="1624"/>
      <c r="AD56" s="1608"/>
      <c r="AE56" s="1639">
        <v>16</v>
      </c>
      <c r="AF56" s="1624"/>
      <c r="AG56" s="1499"/>
      <c r="AH56" s="1765"/>
      <c r="AI56" s="1624">
        <v>27.943000000000008</v>
      </c>
      <c r="AJ56" s="1608">
        <f>+(AI56/AI49-1)*100</f>
        <v>9.7956777996071054</v>
      </c>
      <c r="AK56" s="1639">
        <v>7</v>
      </c>
      <c r="AL56" s="1624">
        <v>-5.484</v>
      </c>
      <c r="AM56" s="1604">
        <f>+AL56/AI56*100</f>
        <v>-19.625666535447152</v>
      </c>
      <c r="AN56" s="1611"/>
      <c r="AO56" s="1623"/>
      <c r="AP56" s="1608"/>
      <c r="AQ56" s="1639"/>
      <c r="AR56" s="1624"/>
      <c r="AS56" s="1604"/>
      <c r="AT56" s="1611"/>
      <c r="AU56" s="1611"/>
      <c r="AV56" s="1623"/>
      <c r="AW56" s="1608"/>
      <c r="AX56" s="1639"/>
      <c r="AY56" s="1624"/>
      <c r="AZ56" s="1604"/>
      <c r="BA56" s="1611"/>
      <c r="BB56" s="1625">
        <f>'qtrP&amp;L'!$AD$13</f>
        <v>1946.4749999999999</v>
      </c>
      <c r="BC56" s="1625"/>
      <c r="BD56" s="1625">
        <f>+D56+W56+AC56+AI56+AO56</f>
        <v>1946.4750000000006</v>
      </c>
      <c r="BE56" s="1638" t="str">
        <f>IF(BB56=BD56,"y","n")</f>
        <v>y</v>
      </c>
      <c r="BF56" s="1613">
        <f>+(BD56/BD49-1)*100</f>
        <v>18.778829331577551</v>
      </c>
      <c r="BG56" s="1611"/>
      <c r="BH56" s="1625">
        <f>'qtrP&amp;L'!$AD$64</f>
        <v>131.35799999999995</v>
      </c>
      <c r="BI56" s="1625"/>
      <c r="BJ56" s="1625">
        <f>14.839+0.654</f>
        <v>15.493</v>
      </c>
      <c r="BK56" s="1625">
        <f>+G56+Z56+AF56+AL56+AR56-BJ56</f>
        <v>131.35806849999997</v>
      </c>
      <c r="BL56" s="1622"/>
      <c r="BM56" s="1618">
        <f>+BK56/BD56*100</f>
        <v>6.7485104355308927</v>
      </c>
      <c r="BN56" s="467"/>
      <c r="BO56" s="1624"/>
      <c r="BP56" s="1613"/>
      <c r="BQ56" s="1611"/>
      <c r="BR56" s="1624"/>
      <c r="BS56" s="1620"/>
      <c r="BT56" s="467"/>
      <c r="BU56" s="467"/>
      <c r="BV56" s="467"/>
      <c r="BW56" s="467"/>
      <c r="BX56" s="467"/>
      <c r="BY56" s="467"/>
      <c r="BZ56" s="467"/>
      <c r="CA56" s="467"/>
      <c r="CB56" s="467"/>
      <c r="CC56" s="467"/>
      <c r="CD56" s="467"/>
      <c r="CE56" s="467"/>
      <c r="CF56" s="467"/>
      <c r="CG56" s="467"/>
      <c r="CH56" s="467"/>
      <c r="CI56" s="467"/>
      <c r="CJ56" s="467"/>
    </row>
    <row r="57" spans="1:88" hidden="1" outlineLevel="1">
      <c r="A57" s="467"/>
      <c r="B57" s="467" t="str">
        <f>$B$15</f>
        <v>Year</v>
      </c>
      <c r="C57" s="467"/>
      <c r="D57" s="1607">
        <f>+SUM(D53:D56)</f>
        <v>6350.0000000000009</v>
      </c>
      <c r="E57" s="1608">
        <f>+(D57/D50-1)*100</f>
        <v>70.746155320920792</v>
      </c>
      <c r="F57" s="1639">
        <v>7</v>
      </c>
      <c r="G57" s="1610">
        <f>+SUM(G53:G56)</f>
        <v>446.38303599999995</v>
      </c>
      <c r="H57" s="1604">
        <f>+(G57/G50-1)*100</f>
        <v>148.29680828577466</v>
      </c>
      <c r="I57" s="1662">
        <f>+G57/D57*100</f>
        <v>7.0296541102362191</v>
      </c>
      <c r="J57" s="1765"/>
      <c r="K57" s="1612">
        <v>3331</v>
      </c>
      <c r="L57" s="1613"/>
      <c r="M57" s="1637">
        <v>5</v>
      </c>
      <c r="N57" s="467"/>
      <c r="O57" s="1620"/>
      <c r="P57" s="1611"/>
      <c r="Q57" s="1612">
        <v>3019</v>
      </c>
      <c r="R57" s="1613"/>
      <c r="S57" s="1637">
        <v>10</v>
      </c>
      <c r="T57" s="467"/>
      <c r="U57" s="1620"/>
      <c r="V57" s="1611"/>
      <c r="W57" s="1607">
        <f>+SUM(W53:W56)</f>
        <v>252.39100000000002</v>
      </c>
      <c r="X57" s="1608">
        <f>+(W57/W50-1)*100</f>
        <v>41.984934658723326</v>
      </c>
      <c r="Y57" s="1639">
        <v>13</v>
      </c>
      <c r="Z57" s="1610">
        <f>+SUM(Z53:Z56)</f>
        <v>17.036392500000002</v>
      </c>
      <c r="AA57" s="1499">
        <f>+Z57/W57*100</f>
        <v>6.75</v>
      </c>
      <c r="AB57" s="1765"/>
      <c r="AC57" s="1610"/>
      <c r="AD57" s="1608"/>
      <c r="AE57" s="1639">
        <v>30</v>
      </c>
      <c r="AF57" s="1610"/>
      <c r="AG57" s="1499"/>
      <c r="AH57" s="1765"/>
      <c r="AI57" s="1610">
        <f>+SUM(AI53:AI56)</f>
        <v>87.01900000000002</v>
      </c>
      <c r="AJ57" s="1608">
        <f>+(AI57/AI50-1)*100</f>
        <v>10.986544225495853</v>
      </c>
      <c r="AK57" s="1639">
        <v>2</v>
      </c>
      <c r="AL57" s="1610">
        <f>+SUM(AL53:AL56)</f>
        <v>-14.017999999999999</v>
      </c>
      <c r="AM57" s="1604">
        <f>+AL57/AI57*100</f>
        <v>-16.109125593261236</v>
      </c>
      <c r="AN57" s="1611"/>
      <c r="AO57" s="1607"/>
      <c r="AP57" s="1608"/>
      <c r="AQ57" s="1639"/>
      <c r="AR57" s="1610"/>
      <c r="AS57" s="1604"/>
      <c r="AT57" s="1611"/>
      <c r="AU57" s="1611"/>
      <c r="AV57" s="1607"/>
      <c r="AW57" s="1608"/>
      <c r="AX57" s="1639"/>
      <c r="AY57" s="1610"/>
      <c r="AZ57" s="1604"/>
      <c r="BA57" s="1611"/>
      <c r="BB57" s="1621">
        <f>'qtrP&amp;L'!$AD$14</f>
        <v>6689.41</v>
      </c>
      <c r="BC57" s="1621"/>
      <c r="BD57" s="1627">
        <f>+D57+W57+AC57+AI57+AO57</f>
        <v>6689.4100000000008</v>
      </c>
      <c r="BE57" s="1638" t="str">
        <f>IF(BB57=BD57,"y","n")</f>
        <v>y</v>
      </c>
      <c r="BF57" s="1613">
        <f>+(BD57/BD50-1)*100</f>
        <v>68.281328810216507</v>
      </c>
      <c r="BG57" s="1611"/>
      <c r="BH57" s="1621">
        <f>'qtrP&amp;L'!$AD$65</f>
        <v>403.49000000000018</v>
      </c>
      <c r="BI57" s="1621"/>
      <c r="BJ57" s="1621">
        <f>SUM(BJ53:BJ56)</f>
        <v>46.114000000000004</v>
      </c>
      <c r="BK57" s="1614">
        <f>+G57+Z57+AF57+AL57+AR57-BJ57</f>
        <v>403.28742849999992</v>
      </c>
      <c r="BL57" s="1615"/>
      <c r="BM57" s="1618">
        <f>+BK57/BD57*100</f>
        <v>6.0287443660950641</v>
      </c>
      <c r="BN57" s="467"/>
      <c r="BO57" s="1627">
        <v>6602.3909999999996</v>
      </c>
      <c r="BP57" s="1613"/>
      <c r="BQ57" s="1611"/>
      <c r="BR57" s="1627">
        <v>463.41899999999998</v>
      </c>
      <c r="BS57" s="1620"/>
      <c r="BT57" s="467"/>
      <c r="BU57" s="1422">
        <f>+D57/$BD57</f>
        <v>0.94926159407182398</v>
      </c>
      <c r="BV57" s="1628"/>
      <c r="BW57" s="1628"/>
      <c r="BX57" s="1422">
        <f>+W57/$BD57</f>
        <v>3.7729934329036492E-2</v>
      </c>
      <c r="BY57" s="1422">
        <f>+AC57/BD57</f>
        <v>0</v>
      </c>
      <c r="BZ57" s="1422">
        <f>+AI57/BD57</f>
        <v>1.3008471599139537E-2</v>
      </c>
      <c r="CA57" s="1422">
        <f>+AO57/BD57</f>
        <v>0</v>
      </c>
      <c r="CB57" s="467"/>
      <c r="CC57" s="467"/>
      <c r="CD57" s="467"/>
      <c r="CE57" s="467"/>
      <c r="CF57" s="467"/>
      <c r="CG57" s="467"/>
      <c r="CH57" s="467"/>
      <c r="CI57" s="467"/>
      <c r="CJ57" s="467"/>
    </row>
    <row r="58" spans="1:88" hidden="1" outlineLevel="1">
      <c r="A58" s="467"/>
      <c r="B58" s="467"/>
      <c r="C58" s="467"/>
      <c r="D58" s="1603"/>
      <c r="E58" s="1088"/>
      <c r="F58" s="1088"/>
      <c r="G58" s="1499"/>
      <c r="H58" s="1604"/>
      <c r="I58" s="1499"/>
      <c r="J58" s="1764"/>
      <c r="K58" s="1605"/>
      <c r="L58" s="1605"/>
      <c r="M58" s="1605"/>
      <c r="N58" s="467"/>
      <c r="O58" s="467"/>
      <c r="P58" s="1605"/>
      <c r="Q58" s="1605"/>
      <c r="R58" s="1605"/>
      <c r="S58" s="1605"/>
      <c r="T58" s="467"/>
      <c r="U58" s="467"/>
      <c r="V58" s="1605"/>
      <c r="W58" s="1603"/>
      <c r="X58" s="1088"/>
      <c r="Y58" s="1088"/>
      <c r="Z58" s="1499"/>
      <c r="AA58" s="1499"/>
      <c r="AB58" s="1764"/>
      <c r="AC58" s="800"/>
      <c r="AD58" s="1088"/>
      <c r="AE58" s="1088"/>
      <c r="AF58" s="1499"/>
      <c r="AG58" s="1499"/>
      <c r="AH58" s="1764"/>
      <c r="AI58" s="800"/>
      <c r="AJ58" s="1088"/>
      <c r="AK58" s="1088"/>
      <c r="AL58" s="1499"/>
      <c r="AM58" s="1604"/>
      <c r="AN58" s="702"/>
      <c r="AO58" s="1603"/>
      <c r="AP58" s="1088"/>
      <c r="AQ58" s="1088"/>
      <c r="AR58" s="1499"/>
      <c r="AS58" s="1604"/>
      <c r="AT58" s="702"/>
      <c r="AU58" s="702"/>
      <c r="AV58" s="1603"/>
      <c r="AW58" s="1088"/>
      <c r="AX58" s="1088"/>
      <c r="AY58" s="1499"/>
      <c r="AZ58" s="1604"/>
      <c r="BA58" s="487"/>
      <c r="BB58" s="1499"/>
      <c r="BC58" s="1499"/>
      <c r="BD58" s="1499"/>
      <c r="BE58" s="1606"/>
      <c r="BF58" s="487"/>
      <c r="BG58" s="487"/>
      <c r="BH58" s="1499"/>
      <c r="BI58" s="1499"/>
      <c r="BJ58" s="1499"/>
      <c r="BK58" s="1499"/>
      <c r="BL58" s="1606"/>
      <c r="BM58" s="1604"/>
      <c r="BN58" s="467"/>
      <c r="BO58" s="1605"/>
      <c r="BP58" s="702"/>
      <c r="BQ58" s="702"/>
      <c r="BR58" s="467"/>
      <c r="BS58" s="467"/>
      <c r="BT58" s="467"/>
      <c r="BU58" s="467"/>
      <c r="BV58" s="467"/>
      <c r="BW58" s="467"/>
      <c r="BX58" s="467"/>
      <c r="BY58" s="467"/>
      <c r="BZ58" s="467"/>
      <c r="CA58" s="467"/>
      <c r="CB58" s="467"/>
      <c r="CC58" s="467"/>
      <c r="CD58" s="467"/>
      <c r="CE58" s="467"/>
      <c r="CF58" s="467"/>
      <c r="CG58" s="467"/>
      <c r="CH58" s="467"/>
      <c r="CI58" s="467"/>
      <c r="CJ58" s="467"/>
    </row>
    <row r="59" spans="1:88" hidden="1" outlineLevel="1" collapsed="1">
      <c r="A59" s="2112">
        <f>+A52+1</f>
        <v>1997</v>
      </c>
      <c r="B59" s="2112"/>
      <c r="C59" s="467"/>
      <c r="D59" s="1603"/>
      <c r="E59" s="1088"/>
      <c r="F59" s="1088"/>
      <c r="G59" s="1499"/>
      <c r="H59" s="1604"/>
      <c r="I59" s="1499"/>
      <c r="J59" s="1764"/>
      <c r="K59" s="1605"/>
      <c r="L59" s="1605"/>
      <c r="M59" s="1605"/>
      <c r="N59" s="467"/>
      <c r="O59" s="467"/>
      <c r="P59" s="1605"/>
      <c r="Q59" s="1605"/>
      <c r="R59" s="1605"/>
      <c r="S59" s="1605"/>
      <c r="T59" s="467"/>
      <c r="U59" s="467"/>
      <c r="V59" s="1605"/>
      <c r="W59" s="1603"/>
      <c r="X59" s="1088"/>
      <c r="Y59" s="1088"/>
      <c r="Z59" s="1499"/>
      <c r="AA59" s="1499"/>
      <c r="AB59" s="1764"/>
      <c r="AC59" s="800"/>
      <c r="AD59" s="1088"/>
      <c r="AE59" s="1088"/>
      <c r="AF59" s="1499"/>
      <c r="AG59" s="1499"/>
      <c r="AH59" s="1764"/>
      <c r="AI59" s="800"/>
      <c r="AJ59" s="1088"/>
      <c r="AK59" s="1088"/>
      <c r="AL59" s="1499"/>
      <c r="AM59" s="1604"/>
      <c r="AN59" s="702"/>
      <c r="AO59" s="1603"/>
      <c r="AP59" s="1088"/>
      <c r="AQ59" s="1088"/>
      <c r="AR59" s="1499"/>
      <c r="AS59" s="1604"/>
      <c r="AT59" s="702"/>
      <c r="AU59" s="702"/>
      <c r="AV59" s="1603"/>
      <c r="AW59" s="1088"/>
      <c r="AX59" s="1088"/>
      <c r="AY59" s="1499"/>
      <c r="AZ59" s="1604"/>
      <c r="BA59" s="487"/>
      <c r="BB59" s="1499"/>
      <c r="BC59" s="1499"/>
      <c r="BD59" s="1499"/>
      <c r="BE59" s="1606"/>
      <c r="BF59" s="487"/>
      <c r="BG59" s="487"/>
      <c r="BH59" s="1499"/>
      <c r="BI59" s="1499"/>
      <c r="BJ59" s="1499"/>
      <c r="BK59" s="1499"/>
      <c r="BL59" s="1606"/>
      <c r="BM59" s="1604"/>
      <c r="BN59" s="467"/>
      <c r="BO59" s="1605"/>
      <c r="BP59" s="702"/>
      <c r="BQ59" s="702"/>
      <c r="BR59" s="467"/>
      <c r="BS59" s="467"/>
      <c r="BT59" s="467"/>
      <c r="BU59" s="467"/>
      <c r="BV59" s="467"/>
      <c r="BW59" s="467"/>
      <c r="BX59" s="467"/>
      <c r="BY59" s="467"/>
      <c r="BZ59" s="467"/>
      <c r="CA59" s="467"/>
      <c r="CB59" s="467"/>
      <c r="CC59" s="467"/>
      <c r="CD59" s="467"/>
      <c r="CE59" s="467"/>
      <c r="CF59" s="467"/>
      <c r="CG59" s="467"/>
      <c r="CH59" s="467"/>
      <c r="CI59" s="467"/>
      <c r="CJ59" s="467"/>
    </row>
    <row r="60" spans="1:88" hidden="1" outlineLevel="1">
      <c r="A60" s="467" t="str">
        <f>$A$11</f>
        <v>1Q</v>
      </c>
      <c r="B60" s="467" t="str">
        <f>$B$11</f>
        <v>Apr</v>
      </c>
      <c r="C60" s="467"/>
      <c r="D60" s="1607">
        <v>1455.7570000000001</v>
      </c>
      <c r="E60" s="1608">
        <f>+(D60/D53-1)*100</f>
        <v>3.4038031391418144</v>
      </c>
      <c r="F60" s="1639">
        <v>5</v>
      </c>
      <c r="G60" s="1610">
        <v>103.623</v>
      </c>
      <c r="H60" s="1618">
        <f>+(G60/G53-1)*100</f>
        <v>56.788367553827321</v>
      </c>
      <c r="I60" s="1662">
        <f>+G60/D60*100</f>
        <v>7.1181522740402414</v>
      </c>
      <c r="J60" s="1765"/>
      <c r="K60" s="1612"/>
      <c r="L60" s="1613"/>
      <c r="M60" s="1637">
        <v>2</v>
      </c>
      <c r="N60" s="467"/>
      <c r="O60" s="1620"/>
      <c r="P60" s="1611"/>
      <c r="Q60" s="1612"/>
      <c r="R60" s="1613"/>
      <c r="S60" s="1637">
        <v>8</v>
      </c>
      <c r="T60" s="467"/>
      <c r="U60" s="1620"/>
      <c r="V60" s="1611"/>
      <c r="W60" s="1607">
        <v>62.091000000000001</v>
      </c>
      <c r="X60" s="1608">
        <f>+(W60/W53-1)*100</f>
        <v>37.89726164301419</v>
      </c>
      <c r="Y60" s="1639">
        <v>19</v>
      </c>
      <c r="Z60" s="1610">
        <v>2.58</v>
      </c>
      <c r="AA60" s="1662">
        <f>+Z60/W60*100</f>
        <v>4.1551915736580183</v>
      </c>
      <c r="AB60" s="1765"/>
      <c r="AC60" s="1610">
        <v>21.908999999999999</v>
      </c>
      <c r="AD60" s="1608"/>
      <c r="AE60" s="1639">
        <v>24</v>
      </c>
      <c r="AF60" s="1610">
        <v>-3.4249999999999998</v>
      </c>
      <c r="AG60" s="1662">
        <f>+AF60/AC60*100</f>
        <v>-15.632844949564106</v>
      </c>
      <c r="AH60" s="1765"/>
      <c r="AI60" s="1610">
        <v>20.393000000000001</v>
      </c>
      <c r="AJ60" s="1608">
        <f>+(AI60/AI53-1)*100</f>
        <v>5.2107516896249484</v>
      </c>
      <c r="AK60" s="1639">
        <v>9</v>
      </c>
      <c r="AL60" s="1610">
        <v>-2.8330000000000002</v>
      </c>
      <c r="AM60" s="1618">
        <f>+AL60/AI60*100</f>
        <v>-13.892021772176728</v>
      </c>
      <c r="AN60" s="1611"/>
      <c r="AO60" s="1607"/>
      <c r="AP60" s="1608"/>
      <c r="AQ60" s="1639"/>
      <c r="AR60" s="1610"/>
      <c r="AS60" s="1618"/>
      <c r="AT60" s="1611"/>
      <c r="AU60" s="1611"/>
      <c r="AV60" s="1607"/>
      <c r="AW60" s="1608"/>
      <c r="AX60" s="1639"/>
      <c r="AY60" s="1610"/>
      <c r="AZ60" s="1618"/>
      <c r="BA60" s="1611"/>
      <c r="BB60" s="1621">
        <f>'qtrP&amp;L'!$AH$10</f>
        <v>1560.15</v>
      </c>
      <c r="BC60" s="1621"/>
      <c r="BD60" s="1627">
        <f>+D60+W60+AC60+AI60+AO60</f>
        <v>1560.15</v>
      </c>
      <c r="BE60" s="1638" t="str">
        <f>IF(BB60=BD60,"y","n")</f>
        <v>y</v>
      </c>
      <c r="BF60" s="1613">
        <f>+(BD60/BD53-1)*100</f>
        <v>5.9706693238295028</v>
      </c>
      <c r="BG60" s="1611"/>
      <c r="BH60" s="1621">
        <f>'qtrP&amp;L'!$AH$61</f>
        <v>83.793000000000177</v>
      </c>
      <c r="BI60" s="1620">
        <f>+BH60/BB60*100</f>
        <v>5.3708297279107891</v>
      </c>
      <c r="BJ60" s="1621">
        <f>18.924+0.653</f>
        <v>19.576999999999998</v>
      </c>
      <c r="BK60" s="1614">
        <f>+G60+Z60+AF60+AL60+AR60-BJ60</f>
        <v>80.368000000000009</v>
      </c>
      <c r="BL60" s="1615"/>
      <c r="BM60" s="1618">
        <f>+BK60/BD60*100</f>
        <v>5.1512995545300138</v>
      </c>
      <c r="BN60" s="467"/>
      <c r="BO60" s="1612">
        <v>1539.7570000000001</v>
      </c>
      <c r="BP60" s="1613"/>
      <c r="BQ60" s="1637"/>
      <c r="BR60" s="1612"/>
      <c r="BS60" s="1620"/>
      <c r="BT60" s="467"/>
      <c r="BU60" s="467"/>
      <c r="BV60" s="467"/>
      <c r="BW60" s="467"/>
      <c r="BX60" s="467"/>
      <c r="BY60" s="467"/>
      <c r="BZ60" s="467"/>
      <c r="CA60" s="467"/>
      <c r="CB60" s="467"/>
      <c r="CC60" s="467"/>
      <c r="CD60" s="467"/>
      <c r="CE60" s="467"/>
      <c r="CF60" s="467"/>
      <c r="CG60" s="467"/>
      <c r="CH60" s="467"/>
      <c r="CI60" s="467"/>
      <c r="CJ60" s="467"/>
    </row>
    <row r="61" spans="1:88" hidden="1" outlineLevel="1">
      <c r="A61" s="467" t="str">
        <f>$A$12</f>
        <v>2Q</v>
      </c>
      <c r="B61" s="467" t="str">
        <f>$B$12</f>
        <v>Jul</v>
      </c>
      <c r="C61" s="467"/>
      <c r="D61" s="1616">
        <v>1574.5940000000001</v>
      </c>
      <c r="E61" s="1608">
        <f>+(D61/D54-1)*100</f>
        <v>6.9894708804887795</v>
      </c>
      <c r="F61" s="1639">
        <v>8</v>
      </c>
      <c r="G61" s="1641">
        <v>106.03400000000001</v>
      </c>
      <c r="H61" s="1618">
        <f>+(G61/G54-1)*100</f>
        <v>35.05623415827084</v>
      </c>
      <c r="I61" s="1662">
        <f>+G61/D61*100</f>
        <v>6.7340533496253645</v>
      </c>
      <c r="J61" s="1765"/>
      <c r="K61" s="1619"/>
      <c r="L61" s="1613"/>
      <c r="M61" s="1637">
        <v>7</v>
      </c>
      <c r="N61" s="467"/>
      <c r="O61" s="1620"/>
      <c r="P61" s="1611"/>
      <c r="Q61" s="1619"/>
      <c r="R61" s="1613"/>
      <c r="S61" s="1637">
        <v>8</v>
      </c>
      <c r="T61" s="467"/>
      <c r="U61" s="1620"/>
      <c r="V61" s="1611"/>
      <c r="W61" s="1616">
        <v>74.227000000000004</v>
      </c>
      <c r="X61" s="1608">
        <f>+(W61/W54-1)*100</f>
        <v>31.493914861202164</v>
      </c>
      <c r="Y61" s="1639">
        <v>15</v>
      </c>
      <c r="Z61" s="1641">
        <v>6.41</v>
      </c>
      <c r="AA61" s="1662">
        <f>+Z61/W61*100</f>
        <v>8.6356716558664637</v>
      </c>
      <c r="AB61" s="1765"/>
      <c r="AC61" s="1617">
        <v>28.213000000000001</v>
      </c>
      <c r="AD61" s="1608"/>
      <c r="AE61" s="1639">
        <v>15</v>
      </c>
      <c r="AF61" s="1641">
        <v>-2.0750000000000002</v>
      </c>
      <c r="AG61" s="1662">
        <f>+AF61/AC61*100</f>
        <v>-7.3547655336192532</v>
      </c>
      <c r="AH61" s="1765"/>
      <c r="AI61" s="1617">
        <v>21.338000000000001</v>
      </c>
      <c r="AJ61" s="1608">
        <f>+(AI61/AI54-1)*100</f>
        <v>6.2543571357434491</v>
      </c>
      <c r="AK61" s="1639">
        <v>14</v>
      </c>
      <c r="AL61" s="1641">
        <v>-3.706</v>
      </c>
      <c r="AM61" s="1618">
        <f>+AL61/AI61*100</f>
        <v>-17.368075733433312</v>
      </c>
      <c r="AN61" s="1611"/>
      <c r="AO61" s="1616"/>
      <c r="AP61" s="1608"/>
      <c r="AQ61" s="1639"/>
      <c r="AR61" s="1641"/>
      <c r="AS61" s="1618"/>
      <c r="AT61" s="1611"/>
      <c r="AU61" s="1611"/>
      <c r="AV61" s="1616"/>
      <c r="AW61" s="1608"/>
      <c r="AX61" s="1639"/>
      <c r="AY61" s="1641"/>
      <c r="AZ61" s="1618"/>
      <c r="BA61" s="1611"/>
      <c r="BB61" s="1621">
        <f>'qtrP&amp;L'!$AH$11</f>
        <v>1698.3720000000001</v>
      </c>
      <c r="BC61" s="1621"/>
      <c r="BD61" s="1621">
        <f>+D61+W61+AC61+AI61+AO61</f>
        <v>1698.3720000000001</v>
      </c>
      <c r="BE61" s="1638" t="str">
        <f>IF(BB61=BD61,"y","n")</f>
        <v>y</v>
      </c>
      <c r="BF61" s="1613">
        <f>+(BD61/BD54-1)*100</f>
        <v>9.6956000255771002</v>
      </c>
      <c r="BG61" s="1611"/>
      <c r="BH61" s="1621">
        <f>'qtrP&amp;L'!$AH$62</f>
        <v>91.323000000000093</v>
      </c>
      <c r="BI61" s="1620">
        <f>+BH61/BB61*100</f>
        <v>5.3770905314030193</v>
      </c>
      <c r="BJ61" s="1621">
        <f>14.686+0.654</f>
        <v>15.34</v>
      </c>
      <c r="BK61" s="1621">
        <f>+G61+Z61+AF61+AL61+AR61-BJ61</f>
        <v>91.322999999999993</v>
      </c>
      <c r="BL61" s="1622"/>
      <c r="BM61" s="1618">
        <f>+BK61/BD61*100</f>
        <v>5.377090531403014</v>
      </c>
      <c r="BN61" s="467"/>
      <c r="BO61" s="1619"/>
      <c r="BP61" s="1613"/>
      <c r="BQ61" s="1637"/>
      <c r="BR61" s="1619"/>
      <c r="BS61" s="1620"/>
      <c r="BT61" s="467"/>
      <c r="BU61" s="467"/>
      <c r="BV61" s="467"/>
      <c r="BW61" s="467"/>
      <c r="BX61" s="467"/>
      <c r="BY61" s="467"/>
      <c r="BZ61" s="467"/>
      <c r="CA61" s="467"/>
      <c r="CB61" s="467"/>
      <c r="CC61" s="467"/>
      <c r="CD61" s="467"/>
      <c r="CE61" s="467"/>
      <c r="CF61" s="467"/>
      <c r="CG61" s="467"/>
      <c r="CH61" s="467"/>
      <c r="CI61" s="467"/>
      <c r="CJ61" s="467"/>
    </row>
    <row r="62" spans="1:88" hidden="1" outlineLevel="1">
      <c r="A62" s="467" t="str">
        <f>$A$13</f>
        <v>3Q</v>
      </c>
      <c r="B62" s="467" t="str">
        <f>$B$13</f>
        <v>Oct</v>
      </c>
      <c r="C62" s="467"/>
      <c r="D62" s="1616">
        <v>1736.1</v>
      </c>
      <c r="E62" s="1608">
        <f>+(D62/D55-1)*100</f>
        <v>6.4818960536500381</v>
      </c>
      <c r="F62" s="1639">
        <v>7</v>
      </c>
      <c r="G62" s="1641">
        <v>182.05799999999999</v>
      </c>
      <c r="H62" s="1618">
        <f>+(G62/G55-1)*100</f>
        <v>18.744578297536506</v>
      </c>
      <c r="I62" s="1662">
        <f>+G62/D62*100</f>
        <v>10.486607914290651</v>
      </c>
      <c r="J62" s="1765"/>
      <c r="K62" s="1619"/>
      <c r="L62" s="1613"/>
      <c r="M62" s="1637">
        <v>6</v>
      </c>
      <c r="N62" s="467"/>
      <c r="O62" s="1620"/>
      <c r="P62" s="1611"/>
      <c r="Q62" s="1619"/>
      <c r="R62" s="1613"/>
      <c r="S62" s="1637">
        <v>8</v>
      </c>
      <c r="T62" s="467"/>
      <c r="U62" s="1620"/>
      <c r="V62" s="1611"/>
      <c r="W62" s="1616">
        <v>92.8</v>
      </c>
      <c r="X62" s="1608">
        <f>+(W62/W55-1)*100</f>
        <v>28.176795580110479</v>
      </c>
      <c r="Y62" s="1639">
        <v>14</v>
      </c>
      <c r="Z62" s="1641">
        <v>11.15</v>
      </c>
      <c r="AA62" s="1662">
        <f>+Z62/W62*100</f>
        <v>12.015086206896552</v>
      </c>
      <c r="AB62" s="1765"/>
      <c r="AC62" s="1617">
        <v>35.58</v>
      </c>
      <c r="AD62" s="1608"/>
      <c r="AE62" s="1639">
        <v>5</v>
      </c>
      <c r="AF62" s="1641">
        <v>0.4</v>
      </c>
      <c r="AG62" s="1662">
        <f>+AF62/AC62*100</f>
        <v>1.1242270938729624</v>
      </c>
      <c r="AH62" s="1765"/>
      <c r="AI62" s="1617">
        <v>23.218</v>
      </c>
      <c r="AJ62" s="1608">
        <f>+(AI62/AI55-1)*100</f>
        <v>18.39273876905818</v>
      </c>
      <c r="AK62" s="1639">
        <v>20</v>
      </c>
      <c r="AL62" s="1641">
        <v>-1.917</v>
      </c>
      <c r="AM62" s="1618">
        <f>+AL62/AI62*100</f>
        <v>-8.2565251098285817</v>
      </c>
      <c r="AN62" s="1611"/>
      <c r="AO62" s="1616"/>
      <c r="AP62" s="1608"/>
      <c r="AQ62" s="1639"/>
      <c r="AR62" s="1641"/>
      <c r="AS62" s="1618"/>
      <c r="AT62" s="1611"/>
      <c r="AU62" s="1611"/>
      <c r="AV62" s="1616"/>
      <c r="AW62" s="1608"/>
      <c r="AX62" s="1639"/>
      <c r="AY62" s="1641"/>
      <c r="AZ62" s="1618"/>
      <c r="BA62" s="1611"/>
      <c r="BB62" s="1621">
        <f>'qtrP&amp;L'!$AH$12</f>
        <v>1887.6980000000001</v>
      </c>
      <c r="BC62" s="1621"/>
      <c r="BD62" s="1621">
        <f>+D62+W62+AC62+AI62+AO62</f>
        <v>1887.6979999999999</v>
      </c>
      <c r="BE62" s="1638" t="str">
        <f>IF(BB62=BD62,"y","n")</f>
        <v>y</v>
      </c>
      <c r="BF62" s="1613">
        <f>+(BD62/BD55-1)*100</f>
        <v>9.5951124835914836</v>
      </c>
      <c r="BG62" s="1611"/>
      <c r="BH62" s="1621">
        <f>'qtrP&amp;L'!$AH$63</f>
        <v>186.1570000000001</v>
      </c>
      <c r="BI62" s="1620">
        <f>+BH62/BB62*100</f>
        <v>9.8615880294411546</v>
      </c>
      <c r="BJ62" s="1621">
        <f>4.88+0.654</f>
        <v>5.5339999999999998</v>
      </c>
      <c r="BK62" s="1621">
        <f>+G62+Z62+AF62+AL62+AR62-BJ62</f>
        <v>186.15700000000001</v>
      </c>
      <c r="BL62" s="1622"/>
      <c r="BM62" s="1618">
        <f>+BK62/BD62*100</f>
        <v>9.8615880294411511</v>
      </c>
      <c r="BN62" s="467"/>
      <c r="BO62" s="1619"/>
      <c r="BP62" s="1613"/>
      <c r="BQ62" s="1637"/>
      <c r="BR62" s="1619"/>
      <c r="BS62" s="1620"/>
      <c r="BT62" s="467"/>
      <c r="BU62" s="467"/>
      <c r="BV62" s="467"/>
      <c r="BW62" s="467"/>
      <c r="BX62" s="467"/>
      <c r="BY62" s="467"/>
      <c r="BZ62" s="467"/>
      <c r="CA62" s="467"/>
      <c r="CB62" s="467"/>
      <c r="CC62" s="467"/>
      <c r="CD62" s="467"/>
      <c r="CE62" s="467"/>
      <c r="CF62" s="467"/>
      <c r="CG62" s="467"/>
      <c r="CH62" s="467"/>
      <c r="CI62" s="467"/>
      <c r="CJ62" s="467"/>
    </row>
    <row r="63" spans="1:88" hidden="1" outlineLevel="1">
      <c r="A63" s="467" t="str">
        <f>$A$14</f>
        <v>4Q</v>
      </c>
      <c r="B63" s="467" t="str">
        <f>$B$14</f>
        <v>Jan</v>
      </c>
      <c r="C63" s="467"/>
      <c r="D63" s="1623">
        <v>2047.5490000000004</v>
      </c>
      <c r="E63" s="1608">
        <f>+(D63/D56-1)*100</f>
        <v>11.278808837092269</v>
      </c>
      <c r="F63" s="1639">
        <v>5</v>
      </c>
      <c r="G63" s="1642">
        <v>183.88183999999995</v>
      </c>
      <c r="H63" s="1618">
        <f>+(G63/G56-1)*100</f>
        <v>23.85781911275955</v>
      </c>
      <c r="I63" s="1662">
        <f>+G63/D63*100</f>
        <v>8.9805831264599725</v>
      </c>
      <c r="J63" s="1765"/>
      <c r="K63" s="1624"/>
      <c r="L63" s="1613"/>
      <c r="M63" s="1637">
        <v>5</v>
      </c>
      <c r="N63" s="467"/>
      <c r="O63" s="1620"/>
      <c r="P63" s="1611"/>
      <c r="Q63" s="1624"/>
      <c r="R63" s="1613"/>
      <c r="S63" s="1637">
        <v>5</v>
      </c>
      <c r="T63" s="467"/>
      <c r="U63" s="1620"/>
      <c r="V63" s="1611"/>
      <c r="W63" s="1623">
        <v>97.840999999999994</v>
      </c>
      <c r="X63" s="1608">
        <f>+(W63/W56-1)*100</f>
        <v>24.614404890785192</v>
      </c>
      <c r="Y63" s="1639">
        <v>11</v>
      </c>
      <c r="Z63" s="1642">
        <v>5.3628019999999967</v>
      </c>
      <c r="AA63" s="1662">
        <f>+Z63/W63*100</f>
        <v>5.4811398084647509</v>
      </c>
      <c r="AB63" s="1765"/>
      <c r="AC63" s="1624">
        <v>65.298000000000016</v>
      </c>
      <c r="AD63" s="1608"/>
      <c r="AE63" s="1639">
        <v>19</v>
      </c>
      <c r="AF63" s="1642">
        <v>1.7</v>
      </c>
      <c r="AG63" s="1662">
        <f>+AF63/AC63*100</f>
        <v>2.6034488039449899</v>
      </c>
      <c r="AH63" s="1765"/>
      <c r="AI63" s="1624">
        <v>33.161000000000001</v>
      </c>
      <c r="AJ63" s="1608">
        <f>+(AI63/AI56-1)*100</f>
        <v>18.673728661918876</v>
      </c>
      <c r="AK63" s="1639">
        <v>7</v>
      </c>
      <c r="AL63" s="1642">
        <v>-0.159</v>
      </c>
      <c r="AM63" s="1618">
        <f>+AL63/AI63*100</f>
        <v>-0.47947890594372911</v>
      </c>
      <c r="AN63" s="1611"/>
      <c r="AO63" s="1623"/>
      <c r="AP63" s="1608"/>
      <c r="AQ63" s="1639"/>
      <c r="AR63" s="1642"/>
      <c r="AS63" s="1618"/>
      <c r="AT63" s="1611"/>
      <c r="AU63" s="1611"/>
      <c r="AV63" s="1623"/>
      <c r="AW63" s="1608"/>
      <c r="AX63" s="1639"/>
      <c r="AY63" s="1642"/>
      <c r="AZ63" s="1618"/>
      <c r="BA63" s="1611"/>
      <c r="BB63" s="1625">
        <f>'qtrP&amp;L'!$AH$13</f>
        <v>2242.8490000000002</v>
      </c>
      <c r="BC63" s="1625"/>
      <c r="BD63" s="1625">
        <f>+D63+W63+AC63+AI63+AO63</f>
        <v>2243.8490000000006</v>
      </c>
      <c r="BE63" s="1638" t="str">
        <f>IF(BB63=BD63,"y","n")</f>
        <v>n</v>
      </c>
      <c r="BF63" s="1613">
        <f>+(BD63/BD56-1)*100</f>
        <v>15.277565856227282</v>
      </c>
      <c r="BG63" s="1611"/>
      <c r="BH63" s="1625">
        <f>'qtrP&amp;L'!$AH$64</f>
        <v>165.50000000000011</v>
      </c>
      <c r="BI63" s="1643">
        <f>+BH63/BB63*100</f>
        <v>7.3790076817476384</v>
      </c>
      <c r="BJ63" s="1625">
        <f>20.416+0.653</f>
        <v>21.068999999999999</v>
      </c>
      <c r="BK63" s="1625">
        <f>+G63+Z63+AF63+AL63+AR63-BJ63</f>
        <v>169.71664199999995</v>
      </c>
      <c r="BL63" s="1622"/>
      <c r="BM63" s="1618">
        <f>+BK63/BD63*100</f>
        <v>7.5636391753633996</v>
      </c>
      <c r="BN63" s="467"/>
      <c r="BO63" s="1624"/>
      <c r="BP63" s="1613"/>
      <c r="BQ63" s="1637"/>
      <c r="BR63" s="1624"/>
      <c r="BS63" s="1620"/>
      <c r="BT63" s="467"/>
      <c r="BU63" s="467"/>
      <c r="BV63" s="467"/>
      <c r="BW63" s="467"/>
      <c r="BX63" s="467"/>
      <c r="BY63" s="467"/>
      <c r="BZ63" s="467"/>
      <c r="CA63" s="467"/>
      <c r="CB63" s="467"/>
      <c r="CC63" s="467"/>
      <c r="CD63" s="467"/>
      <c r="CE63" s="467"/>
      <c r="CF63" s="467"/>
      <c r="CG63" s="467"/>
      <c r="CH63" s="467"/>
      <c r="CI63" s="467"/>
      <c r="CJ63" s="467"/>
    </row>
    <row r="64" spans="1:88" hidden="1" outlineLevel="1">
      <c r="A64" s="467"/>
      <c r="B64" s="467" t="str">
        <f>$B$15</f>
        <v>Year</v>
      </c>
      <c r="C64" s="467"/>
      <c r="D64" s="1644">
        <f>+SUM(D60:D63)</f>
        <v>6814</v>
      </c>
      <c r="E64" s="1608">
        <f>+(D64/D57-1)*100</f>
        <v>7.3070866141732083</v>
      </c>
      <c r="F64" s="1639">
        <v>6</v>
      </c>
      <c r="G64" s="1614">
        <f>+SUM(G60:G63)</f>
        <v>575.59683999999993</v>
      </c>
      <c r="H64" s="1618">
        <f>+(G64/G57-1)*100</f>
        <v>28.94684465562889</v>
      </c>
      <c r="I64" s="1662">
        <f>+G64/D64*100</f>
        <v>8.4472679776929827</v>
      </c>
      <c r="J64" s="1765"/>
      <c r="K64" s="1612">
        <v>3549</v>
      </c>
      <c r="L64" s="1613"/>
      <c r="M64" s="1637">
        <v>5</v>
      </c>
      <c r="N64" s="467"/>
      <c r="O64" s="1620"/>
      <c r="P64" s="1611"/>
      <c r="Q64" s="1612">
        <v>3265</v>
      </c>
      <c r="R64" s="1613"/>
      <c r="S64" s="1637">
        <v>7</v>
      </c>
      <c r="T64" s="467"/>
      <c r="U64" s="1620"/>
      <c r="V64" s="1611"/>
      <c r="W64" s="1644">
        <f>+SUM(W60:W63)</f>
        <v>326.959</v>
      </c>
      <c r="X64" s="1608">
        <f>+(W64/W57-1)*100</f>
        <v>29.544635109809782</v>
      </c>
      <c r="Y64" s="1639">
        <v>14</v>
      </c>
      <c r="Z64" s="1614">
        <f>+SUM(Z60:Z63)</f>
        <v>25.502801999999996</v>
      </c>
      <c r="AA64" s="1662">
        <f>+Z64/W64*100</f>
        <v>7.7999999999999989</v>
      </c>
      <c r="AB64" s="1765"/>
      <c r="AC64" s="1614">
        <f>+SUM(AC60:AC63)</f>
        <v>151</v>
      </c>
      <c r="AD64" s="1608"/>
      <c r="AE64" s="1639">
        <v>15</v>
      </c>
      <c r="AF64" s="1614">
        <f>+SUM(AF60:AF63)</f>
        <v>-3.3999999999999995</v>
      </c>
      <c r="AG64" s="1662">
        <f>+AF64/AC64*100</f>
        <v>-2.2516556291390724</v>
      </c>
      <c r="AH64" s="1765"/>
      <c r="AI64" s="1614">
        <f>+SUM(AI60:AI63)</f>
        <v>98.11</v>
      </c>
      <c r="AJ64" s="1608">
        <f>+(AI64/AI57-1)*100</f>
        <v>12.745492363736632</v>
      </c>
      <c r="AK64" s="1639">
        <v>13</v>
      </c>
      <c r="AL64" s="1614">
        <f>+SUM(AL60:AL63)</f>
        <v>-8.6150000000000002</v>
      </c>
      <c r="AM64" s="1618">
        <f>+AL64/AI64*100</f>
        <v>-8.7809601467740297</v>
      </c>
      <c r="AN64" s="1611"/>
      <c r="AO64" s="1644"/>
      <c r="AP64" s="1608"/>
      <c r="AQ64" s="1639"/>
      <c r="AR64" s="1614"/>
      <c r="AS64" s="1618"/>
      <c r="AT64" s="1611"/>
      <c r="AU64" s="1611"/>
      <c r="AV64" s="1644"/>
      <c r="AW64" s="1608"/>
      <c r="AX64" s="1639"/>
      <c r="AY64" s="1614"/>
      <c r="AZ64" s="1618"/>
      <c r="BA64" s="1611"/>
      <c r="BB64" s="1621">
        <f>'qtrP&amp;L'!$AH$14</f>
        <v>7389.0690000000004</v>
      </c>
      <c r="BC64" s="1621"/>
      <c r="BD64" s="1627">
        <f>+D64+W64+AC64+AI64+AO64</f>
        <v>7390.0689999999995</v>
      </c>
      <c r="BE64" s="1638" t="str">
        <f>IF(BB64=BD64,"y","n")</f>
        <v>n</v>
      </c>
      <c r="BF64" s="1613">
        <f>+(BD64/BD57-1)*100</f>
        <v>10.474152428988482</v>
      </c>
      <c r="BG64" s="1611"/>
      <c r="BH64" s="1621">
        <f>'qtrP&amp;L'!$AH$65</f>
        <v>526.77300000000048</v>
      </c>
      <c r="BI64" s="1620">
        <f>+BH64/BB64*100</f>
        <v>7.1290848684726109</v>
      </c>
      <c r="BJ64" s="1621">
        <f>SUM(BJ60:BJ63)</f>
        <v>61.519999999999996</v>
      </c>
      <c r="BK64" s="1614">
        <f>+G64+Z64+AF64+AL64+AR64-BJ64</f>
        <v>527.56464199999994</v>
      </c>
      <c r="BL64" s="1615"/>
      <c r="BM64" s="1618">
        <f>+BK64/BD64*100</f>
        <v>7.1388324249746518</v>
      </c>
      <c r="BN64" s="467"/>
      <c r="BO64" s="1627"/>
      <c r="BP64" s="1613"/>
      <c r="BQ64" s="1637"/>
      <c r="BR64" s="1627"/>
      <c r="BS64" s="1620"/>
      <c r="BT64" s="467"/>
      <c r="BU64" s="1422">
        <f>+D64/$BD64</f>
        <v>0.92204822444824275</v>
      </c>
      <c r="BV64" s="1628"/>
      <c r="BW64" s="1628"/>
      <c r="BX64" s="1422">
        <f>+W64/$BD64</f>
        <v>4.4243023982590696E-2</v>
      </c>
      <c r="BY64" s="1422">
        <f>+AC64/BD64</f>
        <v>2.0432826811224634E-2</v>
      </c>
      <c r="BZ64" s="1422">
        <f>+AI64/BD64</f>
        <v>1.3275924757942044E-2</v>
      </c>
      <c r="CA64" s="1422">
        <f>+AO64/BD64</f>
        <v>0</v>
      </c>
      <c r="CB64" s="467"/>
      <c r="CC64" s="467"/>
      <c r="CD64" s="467"/>
      <c r="CE64" s="467"/>
      <c r="CF64" s="467"/>
      <c r="CG64" s="467"/>
      <c r="CH64" s="467"/>
      <c r="CI64" s="467"/>
      <c r="CJ64" s="467"/>
    </row>
    <row r="65" spans="1:88" hidden="1" outlineLevel="1">
      <c r="A65" s="467"/>
      <c r="B65" s="467"/>
      <c r="C65" s="467"/>
      <c r="D65" s="1603"/>
      <c r="E65" s="1088"/>
      <c r="F65" s="1088"/>
      <c r="G65" s="800"/>
      <c r="H65" s="1604"/>
      <c r="I65" s="1499"/>
      <c r="J65" s="1764"/>
      <c r="K65" s="1605"/>
      <c r="L65" s="1605"/>
      <c r="M65" s="1605"/>
      <c r="N65" s="467"/>
      <c r="O65" s="467"/>
      <c r="P65" s="1605"/>
      <c r="Q65" s="1605"/>
      <c r="R65" s="1605"/>
      <c r="S65" s="1605"/>
      <c r="T65" s="467"/>
      <c r="U65" s="467"/>
      <c r="V65" s="1605"/>
      <c r="W65" s="1603"/>
      <c r="X65" s="1088"/>
      <c r="Y65" s="1088"/>
      <c r="Z65" s="800"/>
      <c r="AA65" s="1499"/>
      <c r="AB65" s="1764"/>
      <c r="AC65" s="800"/>
      <c r="AD65" s="1088"/>
      <c r="AE65" s="1088"/>
      <c r="AF65" s="800"/>
      <c r="AG65" s="1499"/>
      <c r="AH65" s="1764"/>
      <c r="AI65" s="800"/>
      <c r="AJ65" s="1088"/>
      <c r="AK65" s="1088"/>
      <c r="AL65" s="800"/>
      <c r="AM65" s="1604"/>
      <c r="AN65" s="702"/>
      <c r="AO65" s="1603"/>
      <c r="AP65" s="1088"/>
      <c r="AQ65" s="1088"/>
      <c r="AR65" s="800"/>
      <c r="AS65" s="1604"/>
      <c r="AT65" s="702"/>
      <c r="AU65" s="702"/>
      <c r="AV65" s="1603"/>
      <c r="AW65" s="1088"/>
      <c r="AX65" s="1088"/>
      <c r="AY65" s="800"/>
      <c r="AZ65" s="1604"/>
      <c r="BA65" s="487"/>
      <c r="BB65" s="1499"/>
      <c r="BC65" s="1499"/>
      <c r="BD65" s="1499"/>
      <c r="BE65" s="1606"/>
      <c r="BF65" s="487"/>
      <c r="BG65" s="487"/>
      <c r="BH65" s="1499"/>
      <c r="BI65" s="1499"/>
      <c r="BJ65" s="1499"/>
      <c r="BK65" s="1499"/>
      <c r="BL65" s="1606"/>
      <c r="BM65" s="1604"/>
      <c r="BN65" s="467"/>
      <c r="BO65" s="1605"/>
      <c r="BP65" s="702"/>
      <c r="BQ65" s="1645"/>
      <c r="BR65" s="467"/>
      <c r="BS65" s="467"/>
      <c r="BT65" s="467"/>
      <c r="BU65" s="467"/>
      <c r="BV65" s="467"/>
      <c r="BW65" s="467"/>
      <c r="BX65" s="467"/>
      <c r="BY65" s="467"/>
      <c r="BZ65" s="467"/>
      <c r="CA65" s="467"/>
      <c r="CB65" s="467"/>
      <c r="CC65" s="467"/>
      <c r="CD65" s="467"/>
      <c r="CE65" s="467"/>
      <c r="CF65" s="467"/>
      <c r="CG65" s="467"/>
      <c r="CH65" s="467"/>
      <c r="CI65" s="467"/>
      <c r="CJ65" s="467"/>
    </row>
    <row r="66" spans="1:88" hidden="1" outlineLevel="1" collapsed="1">
      <c r="A66" s="2112">
        <f>+A59+1</f>
        <v>1998</v>
      </c>
      <c r="B66" s="2112"/>
      <c r="C66" s="467"/>
      <c r="D66" s="1603"/>
      <c r="E66" s="1088"/>
      <c r="F66" s="1088"/>
      <c r="G66" s="800"/>
      <c r="H66" s="1604"/>
      <c r="I66" s="1499"/>
      <c r="J66" s="1764"/>
      <c r="K66" s="1605"/>
      <c r="L66" s="1605"/>
      <c r="M66" s="1605"/>
      <c r="N66" s="467"/>
      <c r="O66" s="467"/>
      <c r="P66" s="1605"/>
      <c r="Q66" s="1605"/>
      <c r="R66" s="1605"/>
      <c r="S66" s="1605"/>
      <c r="T66" s="467"/>
      <c r="U66" s="467"/>
      <c r="V66" s="1605"/>
      <c r="W66" s="1603"/>
      <c r="X66" s="1088"/>
      <c r="Y66" s="1088"/>
      <c r="Z66" s="800"/>
      <c r="AA66" s="1499"/>
      <c r="AB66" s="1764"/>
      <c r="AC66" s="800"/>
      <c r="AD66" s="1088"/>
      <c r="AE66" s="1088"/>
      <c r="AF66" s="800"/>
      <c r="AG66" s="1499"/>
      <c r="AH66" s="1764"/>
      <c r="AI66" s="800"/>
      <c r="AJ66" s="1088"/>
      <c r="AK66" s="1088"/>
      <c r="AL66" s="800"/>
      <c r="AM66" s="1604"/>
      <c r="AN66" s="702"/>
      <c r="AO66" s="1603"/>
      <c r="AP66" s="1088"/>
      <c r="AQ66" s="1088"/>
      <c r="AR66" s="800"/>
      <c r="AS66" s="1604"/>
      <c r="AT66" s="702"/>
      <c r="AU66" s="702"/>
      <c r="AV66" s="1603"/>
      <c r="AW66" s="1088"/>
      <c r="AX66" s="1088"/>
      <c r="AY66" s="800"/>
      <c r="AZ66" s="1604"/>
      <c r="BA66" s="487"/>
      <c r="BB66" s="1499"/>
      <c r="BC66" s="1499"/>
      <c r="BD66" s="1499"/>
      <c r="BE66" s="1606"/>
      <c r="BF66" s="487"/>
      <c r="BG66" s="487"/>
      <c r="BH66" s="1499"/>
      <c r="BI66" s="1499"/>
      <c r="BJ66" s="1499"/>
      <c r="BK66" s="1499"/>
      <c r="BL66" s="1606"/>
      <c r="BM66" s="1604"/>
      <c r="BN66" s="467"/>
      <c r="BO66" s="1605"/>
      <c r="BP66" s="702"/>
      <c r="BQ66" s="1645"/>
      <c r="BR66" s="467"/>
      <c r="BS66" s="467"/>
      <c r="BT66" s="467"/>
      <c r="BU66" s="467"/>
      <c r="BV66" s="467"/>
      <c r="BW66" s="467"/>
      <c r="BX66" s="467"/>
      <c r="BY66" s="467"/>
      <c r="BZ66" s="467"/>
      <c r="CA66" s="467"/>
      <c r="CB66" s="467"/>
      <c r="CC66" s="467"/>
      <c r="CD66" s="467"/>
      <c r="CE66" s="467"/>
      <c r="CF66" s="467"/>
      <c r="CG66" s="467"/>
      <c r="CH66" s="467"/>
      <c r="CI66" s="467"/>
      <c r="CJ66" s="467"/>
    </row>
    <row r="67" spans="1:88" hidden="1" outlineLevel="1">
      <c r="A67" s="467" t="str">
        <f>$A$11</f>
        <v>1Q</v>
      </c>
      <c r="B67" s="467" t="str">
        <f>$B$11</f>
        <v>Apr</v>
      </c>
      <c r="C67" s="467"/>
      <c r="D67" s="1607">
        <v>1627.4649999999999</v>
      </c>
      <c r="E67" s="1608">
        <f>+(D67/D60-1)*100</f>
        <v>11.795100418545124</v>
      </c>
      <c r="F67" s="1639">
        <v>7</v>
      </c>
      <c r="G67" s="1610">
        <v>165</v>
      </c>
      <c r="H67" s="1618">
        <f>+(G67/G60-1)*100</f>
        <v>59.231058741785112</v>
      </c>
      <c r="I67" s="1662">
        <f>+G67/D67*100</f>
        <v>10.138466879472062</v>
      </c>
      <c r="J67" s="1765"/>
      <c r="K67" s="1612"/>
      <c r="L67" s="1613"/>
      <c r="M67" s="1637">
        <v>6</v>
      </c>
      <c r="N67" s="467"/>
      <c r="O67" s="1620"/>
      <c r="P67" s="1611"/>
      <c r="Q67" s="1612"/>
      <c r="R67" s="1613"/>
      <c r="S67" s="1637">
        <v>9</v>
      </c>
      <c r="T67" s="467"/>
      <c r="U67" s="1620"/>
      <c r="V67" s="1611"/>
      <c r="W67" s="1607">
        <v>80</v>
      </c>
      <c r="X67" s="1608">
        <f>+(W67/W60-1)*100</f>
        <v>28.843149570791262</v>
      </c>
      <c r="Y67" s="1639">
        <v>12</v>
      </c>
      <c r="Z67" s="1610">
        <v>5.22</v>
      </c>
      <c r="AA67" s="1662">
        <f>+Z67/W67*100</f>
        <v>6.5250000000000004</v>
      </c>
      <c r="AB67" s="1765"/>
      <c r="AC67" s="1610">
        <v>43</v>
      </c>
      <c r="AD67" s="1608">
        <f>+(AC67/AC60-1)*100</f>
        <v>96.266374549272001</v>
      </c>
      <c r="AE67" s="1639">
        <v>8</v>
      </c>
      <c r="AF67" s="1610">
        <v>-3.7589999999999999</v>
      </c>
      <c r="AG67" s="1662">
        <f>+AF67/AC67*100</f>
        <v>-8.7418604651162788</v>
      </c>
      <c r="AH67" s="1765"/>
      <c r="AI67" s="1610">
        <v>25.382000000000001</v>
      </c>
      <c r="AJ67" s="1608">
        <f>+(AI67/AI60-1)*100</f>
        <v>24.464276957779639</v>
      </c>
      <c r="AK67" s="1639">
        <v>8</v>
      </c>
      <c r="AL67" s="1610">
        <v>-2.2559999999999998</v>
      </c>
      <c r="AM67" s="1618">
        <f>+AL67/AI67*100</f>
        <v>-8.8881884800252138</v>
      </c>
      <c r="AN67" s="1611"/>
      <c r="AO67" s="1607"/>
      <c r="AP67" s="1608"/>
      <c r="AQ67" s="1639"/>
      <c r="AR67" s="1610">
        <v>-1.5</v>
      </c>
      <c r="AS67" s="1618"/>
      <c r="AT67" s="1611"/>
      <c r="AU67" s="1611"/>
      <c r="AV67" s="1607"/>
      <c r="AW67" s="1608"/>
      <c r="AX67" s="1639"/>
      <c r="AY67" s="1610"/>
      <c r="AZ67" s="1618"/>
      <c r="BA67" s="1611"/>
      <c r="BB67" s="1621">
        <f>'qtrP&amp;L'!$AL$10</f>
        <v>1753.748</v>
      </c>
      <c r="BC67" s="1613">
        <f>+(BB67/BB60-1)*100</f>
        <v>12.408935038297585</v>
      </c>
      <c r="BD67" s="1627">
        <f>+D67+W67+AC67+AI67+AO67</f>
        <v>1775.847</v>
      </c>
      <c r="BE67" s="1638" t="str">
        <f>IF(BB67=BD67,"y","n")</f>
        <v>n</v>
      </c>
      <c r="BF67" s="1613">
        <f>+(BD67/BD60-1)*100</f>
        <v>13.825401403711179</v>
      </c>
      <c r="BG67" s="1611"/>
      <c r="BH67" s="1621">
        <f>'qtrP&amp;L'!$AL$61</f>
        <v>136.88000000000017</v>
      </c>
      <c r="BI67" s="1620">
        <f>+BH67/BB67*100</f>
        <v>7.8049982095489305</v>
      </c>
      <c r="BJ67" s="1621">
        <f>18.701+0.653</f>
        <v>19.353999999999999</v>
      </c>
      <c r="BK67" s="1614">
        <f>+G67+Z67+AF67+AL67+AR67-BJ67</f>
        <v>143.351</v>
      </c>
      <c r="BL67" s="1638" t="str">
        <f>IF(BH67=BK67,"y","n")</f>
        <v>n</v>
      </c>
      <c r="BM67" s="1618">
        <f>+BK67/BD67*100</f>
        <v>8.0722607296687166</v>
      </c>
      <c r="BN67" s="467"/>
      <c r="BO67" s="1612"/>
      <c r="BP67" s="1613"/>
      <c r="BQ67" s="1637"/>
      <c r="BR67" s="1612"/>
      <c r="BS67" s="1620"/>
      <c r="BT67" s="467"/>
      <c r="BU67" s="467"/>
      <c r="BV67" s="467"/>
      <c r="BW67" s="467"/>
      <c r="BX67" s="467"/>
      <c r="BY67" s="467"/>
      <c r="BZ67" s="467"/>
      <c r="CA67" s="467"/>
      <c r="CB67" s="467"/>
      <c r="CC67" s="467"/>
      <c r="CD67" s="467"/>
      <c r="CE67" s="467"/>
      <c r="CF67" s="467"/>
      <c r="CG67" s="467"/>
      <c r="CH67" s="467"/>
      <c r="CI67" s="467"/>
      <c r="CJ67" s="467"/>
    </row>
    <row r="68" spans="1:88" hidden="1" outlineLevel="1">
      <c r="A68" s="467" t="str">
        <f>$A$12</f>
        <v>2Q</v>
      </c>
      <c r="B68" s="467" t="str">
        <f>$B$12</f>
        <v>Jul</v>
      </c>
      <c r="C68" s="467"/>
      <c r="D68" s="1616">
        <v>1701.9190000000001</v>
      </c>
      <c r="E68" s="1608">
        <f>+(D68/D61-1)*100</f>
        <v>8.0862114297399756</v>
      </c>
      <c r="F68" s="1639">
        <v>6</v>
      </c>
      <c r="G68" s="1641">
        <v>151</v>
      </c>
      <c r="H68" s="1618">
        <f>+(G68/G61-1)*100</f>
        <v>42.407152422807769</v>
      </c>
      <c r="I68" s="1662">
        <f>+G68/D68*100</f>
        <v>8.8723376376901602</v>
      </c>
      <c r="J68" s="1765"/>
      <c r="K68" s="1619"/>
      <c r="L68" s="1613"/>
      <c r="M68" s="1637">
        <v>6</v>
      </c>
      <c r="N68" s="467"/>
      <c r="O68" s="1620"/>
      <c r="P68" s="1611"/>
      <c r="Q68" s="1619"/>
      <c r="R68" s="1613"/>
      <c r="S68" s="1637">
        <v>7</v>
      </c>
      <c r="T68" s="467"/>
      <c r="U68" s="1620"/>
      <c r="V68" s="1611"/>
      <c r="W68" s="1616">
        <v>93.5</v>
      </c>
      <c r="X68" s="1608">
        <f>+(W68/W61-1)*100</f>
        <v>25.964945370283044</v>
      </c>
      <c r="Y68" s="1639">
        <v>17</v>
      </c>
      <c r="Z68" s="1641">
        <v>10.45</v>
      </c>
      <c r="AA68" s="1662">
        <f>+Z68/W68*100</f>
        <v>11.176470588235293</v>
      </c>
      <c r="AB68" s="1765"/>
      <c r="AC68" s="1617">
        <v>42</v>
      </c>
      <c r="AD68" s="1608">
        <f>+(AC68/AC61-1)*100</f>
        <v>48.867543331088491</v>
      </c>
      <c r="AE68" s="1639">
        <v>13</v>
      </c>
      <c r="AF68" s="1641">
        <v>-2.2799999999999998</v>
      </c>
      <c r="AG68" s="1662">
        <f>+AF68/AC68*100</f>
        <v>-5.4285714285714288</v>
      </c>
      <c r="AH68" s="1765"/>
      <c r="AI68" s="1617">
        <v>26.817</v>
      </c>
      <c r="AJ68" s="1608">
        <f>+(AI68/AI61-1)*100</f>
        <v>25.67719561345956</v>
      </c>
      <c r="AK68" s="1639">
        <v>6</v>
      </c>
      <c r="AL68" s="1641">
        <v>-2.246</v>
      </c>
      <c r="AM68" s="1618">
        <f>+AL68/AI68*100</f>
        <v>-8.3752843345638954</v>
      </c>
      <c r="AN68" s="1611"/>
      <c r="AO68" s="1616"/>
      <c r="AP68" s="1608"/>
      <c r="AQ68" s="1639"/>
      <c r="AR68" s="1641">
        <v>-2</v>
      </c>
      <c r="AS68" s="1618"/>
      <c r="AT68" s="1611"/>
      <c r="AU68" s="1611"/>
      <c r="AV68" s="1616"/>
      <c r="AW68" s="1608"/>
      <c r="AX68" s="1639"/>
      <c r="AY68" s="1641"/>
      <c r="AZ68" s="1618"/>
      <c r="BA68" s="1611"/>
      <c r="BB68" s="1621">
        <f>'qtrP&amp;L'!$AL$11</f>
        <v>1867.6679999999999</v>
      </c>
      <c r="BC68" s="1613">
        <f>+(BB68/BB61-1)*100</f>
        <v>9.9681341896828091</v>
      </c>
      <c r="BD68" s="1621">
        <f>+D68+W68+AC68+AI68+AO68</f>
        <v>1864.2360000000001</v>
      </c>
      <c r="BE68" s="1638" t="str">
        <f>IF(BB68=BD68,"y","n")</f>
        <v>n</v>
      </c>
      <c r="BF68" s="1613">
        <f>+(BD68/BD61-1)*100</f>
        <v>9.7660583193788</v>
      </c>
      <c r="BG68" s="1611"/>
      <c r="BH68" s="1621">
        <f>'qtrP&amp;L'!$AL$62</f>
        <v>143.95399999999984</v>
      </c>
      <c r="BI68" s="1620">
        <f>+BH68/BB68*100</f>
        <v>7.7076868051495149</v>
      </c>
      <c r="BJ68" s="1621">
        <f>12.158+0.652</f>
        <v>12.809999999999999</v>
      </c>
      <c r="BK68" s="1621">
        <f>+G68+Z68+AF68+AL68+AR68-BJ68</f>
        <v>142.11399999999998</v>
      </c>
      <c r="BL68" s="1638" t="str">
        <f>IF(BH68=BK68,"y","n")</f>
        <v>n</v>
      </c>
      <c r="BM68" s="1618">
        <f>+BK68/BD68*100</f>
        <v>7.6231764647823539</v>
      </c>
      <c r="BN68" s="467"/>
      <c r="BO68" s="1619"/>
      <c r="BP68" s="1613"/>
      <c r="BQ68" s="1637"/>
      <c r="BR68" s="1619"/>
      <c r="BS68" s="1620"/>
      <c r="BT68" s="467"/>
      <c r="BU68" s="467"/>
      <c r="BV68" s="467"/>
      <c r="BW68" s="467"/>
      <c r="BX68" s="467"/>
      <c r="BY68" s="467"/>
      <c r="BZ68" s="467"/>
      <c r="CA68" s="467"/>
      <c r="CB68" s="467"/>
      <c r="CC68" s="467"/>
      <c r="CD68" s="467"/>
      <c r="CE68" s="467"/>
      <c r="CF68" s="467"/>
      <c r="CG68" s="467"/>
      <c r="CH68" s="467"/>
      <c r="CI68" s="467"/>
      <c r="CJ68" s="467"/>
    </row>
    <row r="69" spans="1:88" hidden="1" outlineLevel="1">
      <c r="A69" s="467" t="str">
        <f>$A$13</f>
        <v>3Q</v>
      </c>
      <c r="B69" s="467" t="str">
        <f>$B$13</f>
        <v>Oct</v>
      </c>
      <c r="C69" s="467"/>
      <c r="D69" s="1616">
        <v>1823</v>
      </c>
      <c r="E69" s="1608">
        <f>+(D69/D62-1)*100</f>
        <v>5.0054720350210191</v>
      </c>
      <c r="F69" s="1639">
        <v>1</v>
      </c>
      <c r="G69" s="1641">
        <v>218.84</v>
      </c>
      <c r="H69" s="1618">
        <f>+(G69/G62-1)*100</f>
        <v>20.203451647277237</v>
      </c>
      <c r="I69" s="1662">
        <f>+G69/D69*100</f>
        <v>12.004388370817335</v>
      </c>
      <c r="J69" s="1765"/>
      <c r="K69" s="1619"/>
      <c r="L69" s="1613"/>
      <c r="M69" s="1637">
        <v>1</v>
      </c>
      <c r="N69" s="467"/>
      <c r="O69" s="1620"/>
      <c r="P69" s="1611"/>
      <c r="Q69" s="1619"/>
      <c r="R69" s="1613"/>
      <c r="S69" s="1637">
        <v>1</v>
      </c>
      <c r="T69" s="467"/>
      <c r="U69" s="1620"/>
      <c r="V69" s="1611"/>
      <c r="W69" s="1616">
        <v>107.782</v>
      </c>
      <c r="X69" s="1608">
        <f>+(W69/W62-1)*100</f>
        <v>16.144396551724128</v>
      </c>
      <c r="Y69" s="1639">
        <v>10</v>
      </c>
      <c r="Z69" s="1641">
        <v>15.3</v>
      </c>
      <c r="AA69" s="1662">
        <f>+Z69/W69*100</f>
        <v>14.195320183333024</v>
      </c>
      <c r="AB69" s="1765"/>
      <c r="AC69" s="1617">
        <v>55</v>
      </c>
      <c r="AD69" s="1608">
        <f>+(AC69/AC62-1)*100</f>
        <v>54.581225407532315</v>
      </c>
      <c r="AE69" s="1639">
        <v>12</v>
      </c>
      <c r="AF69" s="1641">
        <v>1.4</v>
      </c>
      <c r="AG69" s="1662">
        <f>+AF69/AC69*100</f>
        <v>2.545454545454545</v>
      </c>
      <c r="AH69" s="1765"/>
      <c r="AI69" s="1617">
        <v>31.795999999999999</v>
      </c>
      <c r="AJ69" s="1608">
        <f>+(AI69/AI62-1)*100</f>
        <v>36.945473339650256</v>
      </c>
      <c r="AK69" s="1639">
        <v>10</v>
      </c>
      <c r="AL69" s="1641">
        <v>-0.58899999999999997</v>
      </c>
      <c r="AM69" s="1618">
        <f>+AL69/AI69*100</f>
        <v>-1.8524342684614417</v>
      </c>
      <c r="AN69" s="1611"/>
      <c r="AO69" s="1616">
        <v>2</v>
      </c>
      <c r="AP69" s="1608"/>
      <c r="AQ69" s="1639"/>
      <c r="AR69" s="1641">
        <v>-1.5</v>
      </c>
      <c r="AS69" s="1618">
        <f>+AR69/AO69*100</f>
        <v>-75</v>
      </c>
      <c r="AT69" s="1611"/>
      <c r="AU69" s="1611"/>
      <c r="AV69" s="1616"/>
      <c r="AW69" s="1608"/>
      <c r="AX69" s="1639"/>
      <c r="AY69" s="1641"/>
      <c r="AZ69" s="1618"/>
      <c r="BA69" s="1611"/>
      <c r="BB69" s="1621">
        <f>'qtrP&amp;L'!$AL$12</f>
        <v>2003.5029999999999</v>
      </c>
      <c r="BC69" s="1613">
        <f>+(BB69/BB62-1)*100</f>
        <v>6.1347207021462014</v>
      </c>
      <c r="BD69" s="1621">
        <f>+D69+W69+AC69+AI69+AO69</f>
        <v>2019.578</v>
      </c>
      <c r="BE69" s="1638" t="str">
        <f>IF(BB69=BD69,"y","n")</f>
        <v>n</v>
      </c>
      <c r="BF69" s="1613">
        <f>+(BD69/BD62-1)*100</f>
        <v>6.9862870014165468</v>
      </c>
      <c r="BG69" s="1611"/>
      <c r="BH69" s="1621">
        <f>'qtrP&amp;L'!$AL$63</f>
        <v>214.69199999999995</v>
      </c>
      <c r="BI69" s="1620">
        <f>+BH69/BB69*100</f>
        <v>10.715831221615339</v>
      </c>
      <c r="BJ69" s="1621">
        <f>9.253+0.652</f>
        <v>9.9049999999999994</v>
      </c>
      <c r="BK69" s="1621">
        <f>+G69+Z69+AF69+AL69+AR69-BJ69</f>
        <v>223.54600000000002</v>
      </c>
      <c r="BL69" s="1638" t="str">
        <f>IF(BH69=BK69,"y","n")</f>
        <v>n</v>
      </c>
      <c r="BM69" s="1618">
        <f>+BK69/BD69*100</f>
        <v>11.068946086756739</v>
      </c>
      <c r="BN69" s="467"/>
      <c r="BO69" s="1619"/>
      <c r="BP69" s="1613"/>
      <c r="BQ69" s="1637"/>
      <c r="BR69" s="1619"/>
      <c r="BS69" s="1620"/>
      <c r="BT69" s="467"/>
      <c r="BU69" s="467"/>
      <c r="BV69" s="467"/>
      <c r="BW69" s="467"/>
      <c r="BX69" s="467"/>
      <c r="BY69" s="467"/>
      <c r="BZ69" s="467"/>
      <c r="CA69" s="467"/>
      <c r="CB69" s="467"/>
      <c r="CC69" s="467"/>
      <c r="CD69" s="467"/>
      <c r="CE69" s="467"/>
      <c r="CF69" s="467"/>
      <c r="CG69" s="467"/>
      <c r="CH69" s="467"/>
      <c r="CI69" s="467"/>
      <c r="CJ69" s="467"/>
    </row>
    <row r="70" spans="1:88" hidden="1" outlineLevel="1">
      <c r="A70" s="467" t="str">
        <f>$A$14</f>
        <v>4Q</v>
      </c>
      <c r="B70" s="467" t="str">
        <f>$B$14</f>
        <v>Jan</v>
      </c>
      <c r="C70" s="467"/>
      <c r="D70" s="1623">
        <v>2044</v>
      </c>
      <c r="E70" s="1608">
        <f>+(D70/D63-1)*100</f>
        <v>-0.17332918528447649</v>
      </c>
      <c r="F70" s="1639">
        <v>4</v>
      </c>
      <c r="G70" s="1642">
        <v>219.16</v>
      </c>
      <c r="H70" s="1618">
        <f>+(G70/G63-1)*100</f>
        <v>19.185233299819092</v>
      </c>
      <c r="I70" s="1662">
        <f>+G70/D70*100</f>
        <v>10.722113502935422</v>
      </c>
      <c r="J70" s="1765"/>
      <c r="K70" s="1624"/>
      <c r="L70" s="1613"/>
      <c r="M70" s="1637">
        <v>4</v>
      </c>
      <c r="N70" s="467"/>
      <c r="O70" s="1620"/>
      <c r="P70" s="1611"/>
      <c r="Q70" s="1624"/>
      <c r="R70" s="1613"/>
      <c r="S70" s="1637">
        <v>4</v>
      </c>
      <c r="T70" s="467"/>
      <c r="U70" s="1620"/>
      <c r="V70" s="1646" t="s">
        <v>91</v>
      </c>
      <c r="W70" s="1623">
        <v>106.718</v>
      </c>
      <c r="X70" s="1608">
        <f>+(W70/W63-1)*100</f>
        <v>9.0728835559734868</v>
      </c>
      <c r="Y70" s="1639">
        <v>13</v>
      </c>
      <c r="Z70" s="1642">
        <v>8.8387999999999991</v>
      </c>
      <c r="AA70" s="1662">
        <f>+Z70/W70*100</f>
        <v>8.2823891002455063</v>
      </c>
      <c r="AB70" s="1765"/>
      <c r="AC70" s="1624">
        <v>82</v>
      </c>
      <c r="AD70" s="1608">
        <f>+(AC70/AC63-1)*100</f>
        <v>25.578118778523052</v>
      </c>
      <c r="AE70" s="1639">
        <v>14</v>
      </c>
      <c r="AF70" s="1642">
        <v>2.4189999999999996</v>
      </c>
      <c r="AG70" s="1662">
        <f>+AF70/AC70*100</f>
        <v>2.9499999999999993</v>
      </c>
      <c r="AH70" s="1765"/>
      <c r="AI70" s="1624">
        <v>48.542999999999999</v>
      </c>
      <c r="AJ70" s="1608">
        <f>+(AI70/AI63-1)*100</f>
        <v>46.385814661801518</v>
      </c>
      <c r="AK70" s="1639">
        <v>10</v>
      </c>
      <c r="AL70" s="1642">
        <v>0.14069999999999999</v>
      </c>
      <c r="AM70" s="1618">
        <f>+AL70/AI70*100</f>
        <v>0.28984611581484454</v>
      </c>
      <c r="AN70" s="1611"/>
      <c r="AO70" s="1623">
        <v>7.5629999999999997</v>
      </c>
      <c r="AP70" s="1608"/>
      <c r="AQ70" s="1639"/>
      <c r="AR70" s="1642">
        <v>-4.2</v>
      </c>
      <c r="AS70" s="1618">
        <f>+AR70/AO70*100</f>
        <v>-55.533518445061489</v>
      </c>
      <c r="AT70" s="1611"/>
      <c r="AU70" s="1611"/>
      <c r="AV70" s="1623"/>
      <c r="AW70" s="1608"/>
      <c r="AX70" s="1639"/>
      <c r="AY70" s="1642"/>
      <c r="AZ70" s="1618"/>
      <c r="BA70" s="1611"/>
      <c r="BB70" s="1625">
        <f>'qtrP&amp;L'!$AL$13</f>
        <v>2323.9520000000002</v>
      </c>
      <c r="BC70" s="1613">
        <f>+(BB70/BB63-1)*100</f>
        <v>3.6160704532494092</v>
      </c>
      <c r="BD70" s="1625">
        <f>+D70+W70+AC70+AI70+AO70</f>
        <v>2288.8240000000001</v>
      </c>
      <c r="BE70" s="1638" t="str">
        <f>IF(BB70=BD70,"y","n")</f>
        <v>n</v>
      </c>
      <c r="BF70" s="1613">
        <f>+(BD70/BD63-1)*100</f>
        <v>2.004368386642752</v>
      </c>
      <c r="BG70" s="1611"/>
      <c r="BH70" s="1625">
        <f>'qtrP&amp;L'!$AL$64</f>
        <v>209.6720000000002</v>
      </c>
      <c r="BI70" s="1643">
        <f>+BH70/BB70*100</f>
        <v>9.0222173263475405</v>
      </c>
      <c r="BJ70" s="1625">
        <f>29.337+0.652</f>
        <v>29.989000000000001</v>
      </c>
      <c r="BK70" s="1625">
        <f>+G70+Z70+AF70+AL70+AR70-BJ70</f>
        <v>196.36950000000002</v>
      </c>
      <c r="BL70" s="1638" t="str">
        <f>IF(BH70=BK70,"y","n")</f>
        <v>n</v>
      </c>
      <c r="BM70" s="1618">
        <f>+BK70/BD70*100</f>
        <v>8.579493224468111</v>
      </c>
      <c r="BN70" s="467"/>
      <c r="BO70" s="1624"/>
      <c r="BP70" s="1613"/>
      <c r="BQ70" s="1637"/>
      <c r="BR70" s="1624"/>
      <c r="BS70" s="1620"/>
      <c r="BT70" s="467"/>
      <c r="BU70" s="467"/>
      <c r="BV70" s="467"/>
      <c r="BW70" s="467"/>
      <c r="BX70" s="467"/>
      <c r="BY70" s="467"/>
      <c r="BZ70" s="467"/>
      <c r="CA70" s="467"/>
      <c r="CB70" s="467"/>
      <c r="CC70" s="467"/>
      <c r="CD70" s="467"/>
      <c r="CE70" s="467"/>
      <c r="CF70" s="467"/>
      <c r="CG70" s="467"/>
      <c r="CH70" s="467"/>
      <c r="CI70" s="467"/>
      <c r="CJ70" s="467"/>
    </row>
    <row r="71" spans="1:88" hidden="1" outlineLevel="1">
      <c r="A71" s="467"/>
      <c r="B71" s="467" t="str">
        <f>$B$15</f>
        <v>Year</v>
      </c>
      <c r="C71" s="467"/>
      <c r="D71" s="1607">
        <v>7196.3249999999998</v>
      </c>
      <c r="E71" s="1608">
        <f>+(D71/D64-1)*100</f>
        <v>5.6108746697974832</v>
      </c>
      <c r="F71" s="1639">
        <v>5</v>
      </c>
      <c r="G71" s="1610">
        <v>753.92100000000005</v>
      </c>
      <c r="H71" s="1618">
        <f>+(G71/G64-1)*100</f>
        <v>30.980739922060742</v>
      </c>
      <c r="I71" s="1662">
        <f>+G71/D71*100</f>
        <v>10.476472366103533</v>
      </c>
      <c r="J71" s="1765"/>
      <c r="K71" s="1612">
        <v>3741</v>
      </c>
      <c r="L71" s="1613"/>
      <c r="M71" s="1637">
        <v>4</v>
      </c>
      <c r="N71" s="467"/>
      <c r="O71" s="1620"/>
      <c r="P71" s="1611"/>
      <c r="Q71" s="1612">
        <v>3455</v>
      </c>
      <c r="R71" s="1613"/>
      <c r="S71" s="1637">
        <v>5</v>
      </c>
      <c r="T71" s="467"/>
      <c r="U71" s="1620"/>
      <c r="V71" s="1611"/>
      <c r="W71" s="1607">
        <v>387.43799999999999</v>
      </c>
      <c r="X71" s="1608">
        <f>+(W71/W64-1)*100</f>
        <v>18.497426282806106</v>
      </c>
      <c r="Y71" s="1639">
        <v>13</v>
      </c>
      <c r="Z71" s="1610">
        <v>39.765000000000001</v>
      </c>
      <c r="AA71" s="1662">
        <f>+Z71/W71*100</f>
        <v>10.263577656295976</v>
      </c>
      <c r="AB71" s="1765"/>
      <c r="AC71" s="1610">
        <v>222.09</v>
      </c>
      <c r="AD71" s="1608">
        <f>+(AC71/AC64-1)*100</f>
        <v>47.079470198675487</v>
      </c>
      <c r="AE71" s="1639">
        <v>12</v>
      </c>
      <c r="AF71" s="1610">
        <v>-2.2429999999999999</v>
      </c>
      <c r="AG71" s="1662">
        <f>+AF71/AC71*100</f>
        <v>-1.0099509207978747</v>
      </c>
      <c r="AH71" s="1765"/>
      <c r="AI71" s="1610">
        <v>132.53800000000001</v>
      </c>
      <c r="AJ71" s="1608">
        <f>+(AI71/AI64-1)*100</f>
        <v>35.091224136173693</v>
      </c>
      <c r="AK71" s="1639">
        <v>9</v>
      </c>
      <c r="AL71" s="1610">
        <v>-4.95</v>
      </c>
      <c r="AM71" s="1618">
        <f>+AL71/AI71*100</f>
        <v>-3.7347779504745806</v>
      </c>
      <c r="AN71" s="1611"/>
      <c r="AO71" s="1607">
        <v>10.71</v>
      </c>
      <c r="AP71" s="1608"/>
      <c r="AQ71" s="1639"/>
      <c r="AR71" s="1610">
        <v>-8.7370000000000001</v>
      </c>
      <c r="AS71" s="1618">
        <f>+AR71/AO71*100</f>
        <v>-81.577964519140991</v>
      </c>
      <c r="AT71" s="1611"/>
      <c r="AU71" s="1611"/>
      <c r="AV71" s="1607"/>
      <c r="AW71" s="1608"/>
      <c r="AX71" s="1639"/>
      <c r="AY71" s="1610"/>
      <c r="AZ71" s="1618"/>
      <c r="BA71" s="1611"/>
      <c r="BB71" s="1621">
        <f>'qtrP&amp;L'!$AL$14</f>
        <v>7948.8710000000001</v>
      </c>
      <c r="BC71" s="1613">
        <f>+(BB71/BB64-1)*100</f>
        <v>7.5760829950295427</v>
      </c>
      <c r="BD71" s="1627">
        <f>+D71+W71+AC71+AI71+AO71</f>
        <v>7949.1009999999997</v>
      </c>
      <c r="BE71" s="1638" t="str">
        <f>IF(BB71=BD71,"y","n")</f>
        <v>n</v>
      </c>
      <c r="BF71" s="1613">
        <f>+(BD71/BD64-1)*100</f>
        <v>7.5646384357169083</v>
      </c>
      <c r="BG71" s="1611"/>
      <c r="BH71" s="1621">
        <f>'qtrP&amp;L'!$AL$65</f>
        <v>705.19800000000009</v>
      </c>
      <c r="BI71" s="1620">
        <f>+BH71/BB71*100</f>
        <v>8.8716749837807161</v>
      </c>
      <c r="BJ71" s="1621">
        <f>SUM(BJ67:BJ70)</f>
        <v>72.058000000000007</v>
      </c>
      <c r="BK71" s="1614">
        <f>+G71+Z71+AF71+AL71+AR71-BJ71</f>
        <v>705.69799999999998</v>
      </c>
      <c r="BL71" s="1638" t="str">
        <f>IF(BH71=BK71,"y","n")</f>
        <v>n</v>
      </c>
      <c r="BM71" s="1618">
        <f>+BK71/BD71*100</f>
        <v>8.8777083094050511</v>
      </c>
      <c r="BN71" s="467"/>
      <c r="BO71" s="1612"/>
      <c r="BP71" s="1613"/>
      <c r="BQ71" s="1637"/>
      <c r="BR71" s="1612"/>
      <c r="BS71" s="1620"/>
      <c r="BT71" s="467"/>
      <c r="BU71" s="1422">
        <f>+D71/$BD71</f>
        <v>0.90530048618076431</v>
      </c>
      <c r="BV71" s="1628"/>
      <c r="BW71" s="1628"/>
      <c r="BX71" s="1422">
        <f>+W71/$BD71</f>
        <v>4.8739851210847618E-2</v>
      </c>
      <c r="BY71" s="1422">
        <f>+AC71/BD71</f>
        <v>2.7939008448879945E-2</v>
      </c>
      <c r="BZ71" s="1422">
        <f>+AI71/BD71</f>
        <v>1.6673331990623846E-2</v>
      </c>
      <c r="CA71" s="1422">
        <f>+AO71/BD71</f>
        <v>1.3473221688842551E-3</v>
      </c>
      <c r="CB71" s="467"/>
      <c r="CC71" s="467"/>
      <c r="CD71" s="467"/>
      <c r="CE71" s="467"/>
      <c r="CF71" s="467"/>
      <c r="CG71" s="467"/>
      <c r="CH71" s="467"/>
      <c r="CI71" s="467"/>
      <c r="CJ71" s="467"/>
    </row>
    <row r="72" spans="1:88" hidden="1" outlineLevel="1">
      <c r="A72" s="1647"/>
      <c r="B72" s="467"/>
      <c r="C72" s="467"/>
      <c r="D72" s="1603"/>
      <c r="E72" s="1088"/>
      <c r="F72" s="1088"/>
      <c r="G72" s="800"/>
      <c r="H72" s="1604"/>
      <c r="I72" s="1499"/>
      <c r="J72" s="1764"/>
      <c r="K72" s="1605"/>
      <c r="L72" s="1605"/>
      <c r="M72" s="1605"/>
      <c r="N72" s="467"/>
      <c r="O72" s="467"/>
      <c r="P72" s="1605"/>
      <c r="Q72" s="1605"/>
      <c r="R72" s="1605"/>
      <c r="S72" s="1605"/>
      <c r="T72" s="467"/>
      <c r="U72" s="467"/>
      <c r="V72" s="1605"/>
      <c r="W72" s="1603"/>
      <c r="X72" s="1088"/>
      <c r="Y72" s="1088"/>
      <c r="Z72" s="800"/>
      <c r="AA72" s="1499"/>
      <c r="AB72" s="1764"/>
      <c r="AC72" s="800"/>
      <c r="AD72" s="1088"/>
      <c r="AE72" s="1088"/>
      <c r="AF72" s="800"/>
      <c r="AG72" s="1499"/>
      <c r="AH72" s="1764"/>
      <c r="AI72" s="800"/>
      <c r="AJ72" s="1088"/>
      <c r="AK72" s="1088"/>
      <c r="AL72" s="800"/>
      <c r="AM72" s="1604"/>
      <c r="AN72" s="702"/>
      <c r="AO72" s="1603"/>
      <c r="AP72" s="1088"/>
      <c r="AQ72" s="1088"/>
      <c r="AR72" s="800"/>
      <c r="AS72" s="1604"/>
      <c r="AT72" s="702"/>
      <c r="AU72" s="702"/>
      <c r="AV72" s="1603"/>
      <c r="AW72" s="1088"/>
      <c r="AX72" s="1088"/>
      <c r="AY72" s="800"/>
      <c r="AZ72" s="1604"/>
      <c r="BA72" s="487"/>
      <c r="BB72" s="1499"/>
      <c r="BC72" s="1499"/>
      <c r="BD72" s="1499"/>
      <c r="BE72" s="1606"/>
      <c r="BF72" s="487"/>
      <c r="BG72" s="487"/>
      <c r="BH72" s="1499"/>
      <c r="BI72" s="1499"/>
      <c r="BJ72" s="1499"/>
      <c r="BK72" s="1499"/>
      <c r="BL72" s="1606"/>
      <c r="BM72" s="1604"/>
      <c r="BN72" s="467"/>
      <c r="BO72" s="1605"/>
      <c r="BP72" s="702"/>
      <c r="BQ72" s="702"/>
      <c r="BR72" s="467"/>
      <c r="BS72" s="467"/>
      <c r="BT72" s="467"/>
      <c r="BU72" s="467"/>
      <c r="BV72" s="467"/>
      <c r="BW72" s="467"/>
      <c r="BX72" s="467"/>
      <c r="BY72" s="467"/>
      <c r="BZ72" s="467"/>
      <c r="CA72" s="467"/>
      <c r="CB72" s="467"/>
      <c r="CC72" s="467"/>
      <c r="CD72" s="467"/>
      <c r="CE72" s="467"/>
      <c r="CF72" s="467"/>
      <c r="CG72" s="467"/>
      <c r="CH72" s="467"/>
      <c r="CI72" s="467"/>
      <c r="CJ72" s="467"/>
    </row>
    <row r="73" spans="1:88" hidden="1" outlineLevel="1" collapsed="1">
      <c r="A73" s="2112">
        <f>+A66+1</f>
        <v>1999</v>
      </c>
      <c r="B73" s="2112"/>
      <c r="C73" s="467"/>
      <c r="D73" s="1603"/>
      <c r="E73" s="1088"/>
      <c r="F73" s="1088"/>
      <c r="G73" s="800"/>
      <c r="H73" s="1604"/>
      <c r="I73" s="1499"/>
      <c r="J73" s="1764"/>
      <c r="K73" s="1605"/>
      <c r="L73" s="1605"/>
      <c r="M73" s="1605"/>
      <c r="N73" s="467"/>
      <c r="O73" s="467"/>
      <c r="P73" s="1605"/>
      <c r="Q73" s="1605"/>
      <c r="R73" s="1605"/>
      <c r="S73" s="1605"/>
      <c r="T73" s="467"/>
      <c r="U73" s="467"/>
      <c r="V73" s="1605"/>
      <c r="W73" s="1603"/>
      <c r="X73" s="1088"/>
      <c r="Y73" s="1088"/>
      <c r="Z73" s="800"/>
      <c r="AA73" s="1499"/>
      <c r="AB73" s="1764"/>
      <c r="AC73" s="800"/>
      <c r="AD73" s="1088"/>
      <c r="AE73" s="1088"/>
      <c r="AF73" s="800"/>
      <c r="AG73" s="1499"/>
      <c r="AH73" s="1764"/>
      <c r="AI73" s="800"/>
      <c r="AJ73" s="1088"/>
      <c r="AK73" s="1088"/>
      <c r="AL73" s="800"/>
      <c r="AM73" s="1604"/>
      <c r="AN73" s="702"/>
      <c r="AO73" s="1603"/>
      <c r="AP73" s="1088"/>
      <c r="AQ73" s="1088"/>
      <c r="AR73" s="800"/>
      <c r="AS73" s="1604"/>
      <c r="AT73" s="702"/>
      <c r="AU73" s="702"/>
      <c r="AV73" s="1603"/>
      <c r="AW73" s="1088"/>
      <c r="AX73" s="1088"/>
      <c r="AY73" s="800"/>
      <c r="AZ73" s="1604"/>
      <c r="BA73" s="487"/>
      <c r="BB73" s="1499"/>
      <c r="BC73" s="1499"/>
      <c r="BD73" s="1499"/>
      <c r="BE73" s="1606"/>
      <c r="BF73" s="487"/>
      <c r="BG73" s="487"/>
      <c r="BH73" s="1499"/>
      <c r="BI73" s="1499"/>
      <c r="BJ73" s="1499"/>
      <c r="BK73" s="1499"/>
      <c r="BL73" s="1606"/>
      <c r="BM73" s="1604"/>
      <c r="BN73" s="467"/>
      <c r="BO73" s="1605"/>
      <c r="BP73" s="702"/>
      <c r="BQ73" s="702"/>
      <c r="BR73" s="467"/>
      <c r="BS73" s="467"/>
      <c r="BT73" s="467"/>
      <c r="BU73" s="467"/>
      <c r="BV73" s="467"/>
      <c r="BW73" s="467"/>
      <c r="BX73" s="467"/>
      <c r="BY73" s="467"/>
      <c r="BZ73" s="467"/>
      <c r="CA73" s="467"/>
      <c r="CB73" s="467"/>
      <c r="CC73" s="467"/>
      <c r="CD73" s="467"/>
      <c r="CE73" s="467"/>
      <c r="CF73" s="467"/>
      <c r="CG73" s="467"/>
      <c r="CH73" s="467"/>
      <c r="CI73" s="467"/>
      <c r="CJ73" s="467"/>
    </row>
    <row r="74" spans="1:88" hidden="1" outlineLevel="1">
      <c r="A74" s="467" t="str">
        <f>$A$11</f>
        <v>1Q</v>
      </c>
      <c r="B74" s="467" t="str">
        <f>$B$11</f>
        <v>Apr</v>
      </c>
      <c r="C74" s="467"/>
      <c r="D74" s="1607">
        <v>1739.5</v>
      </c>
      <c r="E74" s="1608">
        <f>+(D74/D67-1)*100</f>
        <v>6.8840190111615351</v>
      </c>
      <c r="F74" s="1639">
        <v>4</v>
      </c>
      <c r="G74" s="1610">
        <v>207</v>
      </c>
      <c r="H74" s="1618">
        <f>+(G74/G67-1)*100</f>
        <v>25.454545454545464</v>
      </c>
      <c r="I74" s="1662">
        <f>+G74/D74*100</f>
        <v>11.899971256108078</v>
      </c>
      <c r="J74" s="1765"/>
      <c r="K74" s="1612"/>
      <c r="L74" s="1613"/>
      <c r="M74" s="1637">
        <v>5</v>
      </c>
      <c r="N74" s="467"/>
      <c r="O74" s="1620"/>
      <c r="P74" s="1611"/>
      <c r="Q74" s="1612"/>
      <c r="R74" s="1613"/>
      <c r="S74" s="1637">
        <v>4</v>
      </c>
      <c r="T74" s="467"/>
      <c r="U74" s="1620"/>
      <c r="V74" s="1611"/>
      <c r="W74" s="1607">
        <v>91.2</v>
      </c>
      <c r="X74" s="1608">
        <f>+(W74/W67-1)*100</f>
        <v>14.000000000000012</v>
      </c>
      <c r="Y74" s="1639">
        <v>10</v>
      </c>
      <c r="Z74" s="1610">
        <v>8.1</v>
      </c>
      <c r="AA74" s="1662">
        <f>+Z74/W74*100</f>
        <v>8.8815789473684212</v>
      </c>
      <c r="AB74" s="1765"/>
      <c r="AC74" s="1610">
        <v>56</v>
      </c>
      <c r="AD74" s="1608">
        <f>+(AC74/AC67-1)*100</f>
        <v>30.232558139534895</v>
      </c>
      <c r="AE74" s="1639">
        <v>20</v>
      </c>
      <c r="AF74" s="1610">
        <v>-1.6</v>
      </c>
      <c r="AG74" s="1662">
        <f>+AF74/AC74*100</f>
        <v>-2.8571428571428572</v>
      </c>
      <c r="AH74" s="1765"/>
      <c r="AI74" s="1610">
        <v>38.273000000000003</v>
      </c>
      <c r="AJ74" s="1608">
        <f>+(AI74/AI67-1)*100</f>
        <v>50.787959971633455</v>
      </c>
      <c r="AK74" s="1639">
        <v>11</v>
      </c>
      <c r="AL74" s="1610">
        <v>-0.7</v>
      </c>
      <c r="AM74" s="1618">
        <f>+AL74/AI74*100</f>
        <v>-1.8289655893188408</v>
      </c>
      <c r="AN74" s="1611"/>
      <c r="AO74" s="1607">
        <f>16.1-AO75</f>
        <v>5.5000000000000018</v>
      </c>
      <c r="AP74" s="1608" t="s">
        <v>642</v>
      </c>
      <c r="AQ74" s="1639" t="s">
        <v>642</v>
      </c>
      <c r="AR74" s="1610">
        <f>-6.7-AR75</f>
        <v>-2.9000000000000004</v>
      </c>
      <c r="AS74" s="1618">
        <f>+AR74/AO74*100</f>
        <v>-52.727272727272712</v>
      </c>
      <c r="AT74" s="1611"/>
      <c r="AU74" s="1611"/>
      <c r="AV74" s="1607"/>
      <c r="AW74" s="1608"/>
      <c r="AX74" s="1639"/>
      <c r="AY74" s="1610"/>
      <c r="AZ74" s="1618"/>
      <c r="BA74" s="1611"/>
      <c r="BB74" s="1621">
        <f>'qtrP&amp;L'!$AP$10</f>
        <v>1930.5060000000001</v>
      </c>
      <c r="BC74" s="1621"/>
      <c r="BD74" s="1627">
        <f>+D74+W74+AC74+AI74+AO74</f>
        <v>1930.473</v>
      </c>
      <c r="BE74" s="1638" t="str">
        <f>IF(BB74=BD74,"y","n")</f>
        <v>n</v>
      </c>
      <c r="BF74" s="1613">
        <f>+(BD74/BD67-1)*100</f>
        <v>8.7071690297643833</v>
      </c>
      <c r="BG74" s="1611"/>
      <c r="BH74" s="1621">
        <f>'qtrP&amp;L'!$AP$61</f>
        <v>201.03800000000018</v>
      </c>
      <c r="BI74" s="1620">
        <f>+BH74/BB74*100</f>
        <v>10.413746447822497</v>
      </c>
      <c r="BJ74" s="1621">
        <f>8.296+0.652</f>
        <v>8.9479999999999986</v>
      </c>
      <c r="BK74" s="1614">
        <f>+G74+Z74+AF74+AL74+AR74-BJ74</f>
        <v>200.952</v>
      </c>
      <c r="BL74" s="1638" t="str">
        <f>IF(BH74=BK74,"y","n")</f>
        <v>n</v>
      </c>
      <c r="BM74" s="1618">
        <f>+BK74/BD74*100</f>
        <v>10.40946959631137</v>
      </c>
      <c r="BN74" s="467"/>
      <c r="BO74" s="1612"/>
      <c r="BP74" s="1613"/>
      <c r="BQ74" s="1637"/>
      <c r="BR74" s="1612"/>
      <c r="BS74" s="1620"/>
      <c r="BT74" s="467"/>
      <c r="BU74" s="467"/>
      <c r="BV74" s="467"/>
      <c r="BW74" s="467"/>
      <c r="BX74" s="467"/>
      <c r="BY74" s="467"/>
      <c r="BZ74" s="467"/>
      <c r="CA74" s="467"/>
      <c r="CB74" s="467"/>
      <c r="CC74" s="467"/>
      <c r="CD74" s="467"/>
      <c r="CE74" s="467"/>
      <c r="CF74" s="467"/>
      <c r="CG74" s="467"/>
      <c r="CH74" s="467"/>
      <c r="CI74" s="467"/>
      <c r="CJ74" s="467"/>
    </row>
    <row r="75" spans="1:88" hidden="1" outlineLevel="1">
      <c r="A75" s="467" t="str">
        <f>$A$12</f>
        <v>2Q</v>
      </c>
      <c r="B75" s="467" t="str">
        <f>$B$12</f>
        <v>Jul</v>
      </c>
      <c r="C75" s="467"/>
      <c r="D75" s="1616">
        <v>1880.6</v>
      </c>
      <c r="E75" s="1608">
        <f>+(D75/D68-1)*100</f>
        <v>10.498795771126579</v>
      </c>
      <c r="F75" s="1639">
        <v>7</v>
      </c>
      <c r="G75" s="1641">
        <v>194.31</v>
      </c>
      <c r="H75" s="1618">
        <f>+(G75/G68-1)*100</f>
        <v>28.682119205298019</v>
      </c>
      <c r="I75" s="1662">
        <f>+G75/D75*100</f>
        <v>10.332340742316283</v>
      </c>
      <c r="J75" s="1765"/>
      <c r="K75" s="1619"/>
      <c r="L75" s="1613"/>
      <c r="M75" s="1637">
        <v>7</v>
      </c>
      <c r="N75" s="467"/>
      <c r="O75" s="1620"/>
      <c r="P75" s="1611"/>
      <c r="Q75" s="1619"/>
      <c r="R75" s="1613"/>
      <c r="S75" s="1637">
        <v>6</v>
      </c>
      <c r="T75" s="467"/>
      <c r="U75" s="1620"/>
      <c r="V75" s="1611"/>
      <c r="W75" s="1616">
        <v>107</v>
      </c>
      <c r="X75" s="1608">
        <f>+(W75/W68-1)*100</f>
        <v>14.438502673796783</v>
      </c>
      <c r="Y75" s="1639">
        <v>6</v>
      </c>
      <c r="Z75" s="1641">
        <v>12.7</v>
      </c>
      <c r="AA75" s="1662">
        <f>+Z75/W75*100</f>
        <v>11.869158878504672</v>
      </c>
      <c r="AB75" s="1765"/>
      <c r="AC75" s="1617">
        <v>61.7</v>
      </c>
      <c r="AD75" s="1608">
        <f>+(AC75/AC68-1)*100</f>
        <v>46.904761904761912</v>
      </c>
      <c r="AE75" s="1639">
        <v>14</v>
      </c>
      <c r="AF75" s="1641">
        <v>-1</v>
      </c>
      <c r="AG75" s="1662">
        <f>+AF75/AC75*100</f>
        <v>-1.6207455429497568</v>
      </c>
      <c r="AH75" s="1765"/>
      <c r="AI75" s="1617">
        <v>42.927</v>
      </c>
      <c r="AJ75" s="1608">
        <f>+(AI75/AI68-1)*100</f>
        <v>60.073833762165798</v>
      </c>
      <c r="AK75" s="1639">
        <v>14</v>
      </c>
      <c r="AL75" s="1641">
        <v>-1</v>
      </c>
      <c r="AM75" s="1618">
        <f>+AL75/AI75*100</f>
        <v>-2.3295361893447013</v>
      </c>
      <c r="AN75" s="1611"/>
      <c r="AO75" s="1616">
        <v>10.6</v>
      </c>
      <c r="AP75" s="1608" t="s">
        <v>642</v>
      </c>
      <c r="AQ75" s="1639" t="s">
        <v>642</v>
      </c>
      <c r="AR75" s="1641">
        <v>-3.8</v>
      </c>
      <c r="AS75" s="1618">
        <f>+AR75/AO75*100</f>
        <v>-35.849056603773583</v>
      </c>
      <c r="AT75" s="1611"/>
      <c r="AU75" s="1611"/>
      <c r="AV75" s="1616"/>
      <c r="AW75" s="1608"/>
      <c r="AX75" s="1639"/>
      <c r="AY75" s="1641"/>
      <c r="AZ75" s="1618"/>
      <c r="BA75" s="1611"/>
      <c r="BB75" s="1621">
        <f>'qtrP&amp;L'!$AP$11</f>
        <v>2102.8510000000001</v>
      </c>
      <c r="BC75" s="1621"/>
      <c r="BD75" s="1621">
        <f>+D75+W75+AC75+AI75+AO75</f>
        <v>2102.8269999999998</v>
      </c>
      <c r="BE75" s="1638" t="str">
        <f>IF(BB75=BD75,"y","n")</f>
        <v>n</v>
      </c>
      <c r="BF75" s="1613">
        <f>+(BD75/BD68-1)*100</f>
        <v>12.798325963021838</v>
      </c>
      <c r="BG75" s="1611"/>
      <c r="BH75" s="1621">
        <f>'qtrP&amp;L'!$AP$62</f>
        <v>187.12200000000007</v>
      </c>
      <c r="BI75" s="1620">
        <f>+BH75/BB75*100</f>
        <v>8.8984906681452962</v>
      </c>
      <c r="BJ75" s="1621">
        <f>13.402+0.653</f>
        <v>14.055</v>
      </c>
      <c r="BK75" s="1621">
        <f>+G75+Z75+AF75+AL75+AR75-BJ75</f>
        <v>187.15499999999997</v>
      </c>
      <c r="BL75" s="1638" t="str">
        <f>IF(BH75=BK75,"y","n")</f>
        <v>n</v>
      </c>
      <c r="BM75" s="1618">
        <f>+BK75/BD75*100</f>
        <v>8.900161544435182</v>
      </c>
      <c r="BN75" s="467"/>
      <c r="BO75" s="1648"/>
      <c r="BP75" s="1613"/>
      <c r="BQ75" s="1637"/>
      <c r="BR75" s="1648"/>
      <c r="BS75" s="1620"/>
      <c r="BT75" s="467"/>
      <c r="BU75" s="467"/>
      <c r="BV75" s="467"/>
      <c r="BW75" s="467"/>
      <c r="BX75" s="467"/>
      <c r="BY75" s="467"/>
      <c r="BZ75" s="467"/>
      <c r="CA75" s="467"/>
      <c r="CB75" s="467"/>
      <c r="CC75" s="467"/>
      <c r="CD75" s="467"/>
      <c r="CE75" s="467"/>
      <c r="CF75" s="467"/>
      <c r="CG75" s="467"/>
      <c r="CH75" s="467"/>
      <c r="CI75" s="467"/>
      <c r="CJ75" s="467"/>
    </row>
    <row r="76" spans="1:88" hidden="1" outlineLevel="1">
      <c r="A76" s="467" t="str">
        <f>$A$13</f>
        <v>3Q</v>
      </c>
      <c r="B76" s="467" t="str">
        <f>$B$13</f>
        <v>Oct</v>
      </c>
      <c r="C76" s="467"/>
      <c r="D76" s="1616">
        <v>1965.5530000000001</v>
      </c>
      <c r="E76" s="1608">
        <f>+(D76/D69-1)*100</f>
        <v>7.8196928140428001</v>
      </c>
      <c r="F76" s="1639">
        <v>5</v>
      </c>
      <c r="G76" s="1641">
        <v>234.60499999999999</v>
      </c>
      <c r="H76" s="1618">
        <f>+(G76/G69-1)*100</f>
        <v>7.2038932553463608</v>
      </c>
      <c r="I76" s="1662">
        <f>+G76/D76*100</f>
        <v>11.935826711363163</v>
      </c>
      <c r="J76" s="1765"/>
      <c r="K76" s="1619"/>
      <c r="L76" s="1613"/>
      <c r="M76" s="1637">
        <v>5</v>
      </c>
      <c r="N76" s="467"/>
      <c r="O76" s="1620"/>
      <c r="P76" s="1611"/>
      <c r="Q76" s="1619"/>
      <c r="R76" s="1613"/>
      <c r="S76" s="1637">
        <v>5</v>
      </c>
      <c r="T76" s="467"/>
      <c r="U76" s="1620"/>
      <c r="V76" s="1611"/>
      <c r="W76" s="1616">
        <v>131.47200000000001</v>
      </c>
      <c r="X76" s="1608">
        <f>+(W76/W69-1)*100</f>
        <v>21.979551316546363</v>
      </c>
      <c r="Y76" s="1639">
        <v>7</v>
      </c>
      <c r="Z76" s="1641">
        <v>19.222000000000001</v>
      </c>
      <c r="AA76" s="1662">
        <f>+Z76/W76*100</f>
        <v>14.620603626627723</v>
      </c>
      <c r="AB76" s="1765"/>
      <c r="AC76" s="1617">
        <v>74.400999999999996</v>
      </c>
      <c r="AD76" s="1608">
        <f>+(AC76/AC69-1)*100</f>
        <v>35.274545454545446</v>
      </c>
      <c r="AE76" s="1639">
        <v>8</v>
      </c>
      <c r="AF76" s="1641">
        <v>2.75</v>
      </c>
      <c r="AG76" s="1662">
        <f>+AF76/AC76*100</f>
        <v>3.6961868792086126</v>
      </c>
      <c r="AH76" s="1765"/>
      <c r="AI76" s="1617">
        <v>52.954000000000001</v>
      </c>
      <c r="AJ76" s="1608">
        <f>+(AI76/AI69-1)*100</f>
        <v>66.542961378789784</v>
      </c>
      <c r="AK76" s="1639">
        <v>17</v>
      </c>
      <c r="AL76" s="1641">
        <v>2.0409999999999999</v>
      </c>
      <c r="AM76" s="1618">
        <f>+AL76/AI76*100</f>
        <v>3.8542886278656945</v>
      </c>
      <c r="AN76" s="1611"/>
      <c r="AO76" s="1616">
        <v>10.673999999999999</v>
      </c>
      <c r="AP76" s="1608">
        <f>+(AO76/AO69-1)*100</f>
        <v>433.7</v>
      </c>
      <c r="AQ76" s="1639" t="s">
        <v>642</v>
      </c>
      <c r="AR76" s="1641">
        <v>-3.7770000000000001</v>
      </c>
      <c r="AS76" s="1618">
        <f>+AR76/AO76*100</f>
        <v>-35.385047779651494</v>
      </c>
      <c r="AT76" s="1611"/>
      <c r="AU76" s="1611"/>
      <c r="AV76" s="1616"/>
      <c r="AW76" s="1608"/>
      <c r="AX76" s="1639"/>
      <c r="AY76" s="1641"/>
      <c r="AZ76" s="1618"/>
      <c r="BA76" s="1611"/>
      <c r="BB76" s="1621">
        <f>'qtrP&amp;L'!$AP$12</f>
        <v>2235.0540000000001</v>
      </c>
      <c r="BC76" s="1621"/>
      <c r="BD76" s="1621">
        <f>+D76+W76+AC76+AI76+AO76</f>
        <v>2235.0540000000001</v>
      </c>
      <c r="BE76" s="1638" t="str">
        <f>IF(BB76=BD76,"y","n")</f>
        <v>y</v>
      </c>
      <c r="BF76" s="1613">
        <f>+(BD76/BD69-1)*100</f>
        <v>10.669357657886946</v>
      </c>
      <c r="BG76" s="1611"/>
      <c r="BH76" s="1621">
        <f>'qtrP&amp;L'!$AP$63</f>
        <v>250.46500000000009</v>
      </c>
      <c r="BI76" s="1620">
        <f>+BH76/BB76*100</f>
        <v>11.206216941514615</v>
      </c>
      <c r="BJ76" s="1621">
        <f>3.724+0.652</f>
        <v>4.3760000000000003</v>
      </c>
      <c r="BK76" s="1621">
        <f>+G76+Z76+AF76+AL76+AR76-BJ76</f>
        <v>250.465</v>
      </c>
      <c r="BL76" s="1638" t="str">
        <f>IF(BH76=BK76,"y","n")</f>
        <v>y</v>
      </c>
      <c r="BM76" s="1618">
        <f>+BK76/BD76*100</f>
        <v>11.206216941514612</v>
      </c>
      <c r="BN76" s="467"/>
      <c r="BO76" s="1619"/>
      <c r="BP76" s="1613"/>
      <c r="BQ76" s="1637"/>
      <c r="BR76" s="1648"/>
      <c r="BS76" s="1620"/>
      <c r="BT76" s="467"/>
      <c r="BU76" s="467"/>
      <c r="BV76" s="467"/>
      <c r="BW76" s="467"/>
      <c r="BX76" s="467"/>
      <c r="BY76" s="467"/>
      <c r="BZ76" s="467"/>
      <c r="CA76" s="467"/>
      <c r="CB76" s="467"/>
      <c r="CC76" s="467"/>
      <c r="CD76" s="467"/>
      <c r="CE76" s="467"/>
      <c r="CF76" s="467"/>
      <c r="CG76" s="467"/>
      <c r="CH76" s="467"/>
      <c r="CI76" s="467"/>
      <c r="CJ76" s="467"/>
    </row>
    <row r="77" spans="1:88" hidden="1" outlineLevel="1">
      <c r="A77" s="467" t="str">
        <f>$A$14</f>
        <v>4Q</v>
      </c>
      <c r="B77" s="467" t="str">
        <f>$B$14</f>
        <v>Jan</v>
      </c>
      <c r="C77" s="467"/>
      <c r="D77" s="1623">
        <v>2194.1320000000001</v>
      </c>
      <c r="E77" s="1608">
        <f>+(D77/D70-1)*100</f>
        <v>7.3450097847358231</v>
      </c>
      <c r="F77" s="1639">
        <v>1</v>
      </c>
      <c r="G77" s="1642">
        <v>213.643</v>
      </c>
      <c r="H77" s="1618">
        <f>+(G77/G70-1)*100</f>
        <v>-2.5173389304617655</v>
      </c>
      <c r="I77" s="1662">
        <f>+G77/D77*100</f>
        <v>9.7370167337243156</v>
      </c>
      <c r="J77" s="1765"/>
      <c r="K77" s="1624"/>
      <c r="L77" s="1613"/>
      <c r="M77" s="1637" t="s">
        <v>642</v>
      </c>
      <c r="N77" s="467"/>
      <c r="O77" s="1620"/>
      <c r="P77" s="1611"/>
      <c r="Q77" s="1624"/>
      <c r="R77" s="1613"/>
      <c r="S77" s="1637" t="s">
        <v>642</v>
      </c>
      <c r="T77" s="467"/>
      <c r="U77" s="1620"/>
      <c r="V77" s="1611"/>
      <c r="W77" s="1623">
        <v>137.1</v>
      </c>
      <c r="X77" s="1608">
        <f>+(W77/W70-1)*100</f>
        <v>28.469424089656847</v>
      </c>
      <c r="Y77" s="1639">
        <v>10</v>
      </c>
      <c r="Z77" s="1642">
        <v>14.843999999999999</v>
      </c>
      <c r="AA77" s="1662">
        <f>+Z77/W77*100</f>
        <v>10.827133479212254</v>
      </c>
      <c r="AB77" s="1765"/>
      <c r="AC77" s="1624">
        <v>106.506</v>
      </c>
      <c r="AD77" s="1608">
        <f>+(AC77/AC70-1)*100</f>
        <v>29.885365853658531</v>
      </c>
      <c r="AE77" s="1639">
        <v>8</v>
      </c>
      <c r="AF77" s="1642">
        <v>6.3150000000000004</v>
      </c>
      <c r="AG77" s="1662">
        <f>+AF77/AC77*100</f>
        <v>5.9292434229057518</v>
      </c>
      <c r="AH77" s="1765"/>
      <c r="AI77" s="1624">
        <v>72.656000000000006</v>
      </c>
      <c r="AJ77" s="1608">
        <f>+(AI77/AI70-1)*100</f>
        <v>49.67348536349219</v>
      </c>
      <c r="AK77" s="1639">
        <v>9</v>
      </c>
      <c r="AL77" s="1642">
        <v>4.1950000000000003</v>
      </c>
      <c r="AM77" s="1618">
        <f>+AL77/AI77*100</f>
        <v>5.7737833076414882</v>
      </c>
      <c r="AN77" s="1611"/>
      <c r="AO77" s="1623">
        <v>16.542000000000002</v>
      </c>
      <c r="AP77" s="1608">
        <f>+(AO77/AO70-1)*100</f>
        <v>118.72272907576362</v>
      </c>
      <c r="AQ77" s="1639" t="s">
        <v>642</v>
      </c>
      <c r="AR77" s="1642">
        <v>-3.9279999999999999</v>
      </c>
      <c r="AS77" s="1618">
        <f>+AR77/AO77*100</f>
        <v>-23.745617216781522</v>
      </c>
      <c r="AT77" s="1611"/>
      <c r="AU77" s="1611"/>
      <c r="AV77" s="1623"/>
      <c r="AW77" s="1608"/>
      <c r="AX77" s="1639"/>
      <c r="AY77" s="1642"/>
      <c r="AZ77" s="1618"/>
      <c r="BA77" s="1611"/>
      <c r="BB77" s="1625">
        <f>'qtrP&amp;L'!$AP$13</f>
        <v>2526.9360000000001</v>
      </c>
      <c r="BC77" s="1625"/>
      <c r="BD77" s="1625">
        <f>+D77+W77+AC77+AI77+AO77</f>
        <v>2526.9359999999997</v>
      </c>
      <c r="BE77" s="1638" t="str">
        <f>IF(BB77=BD77,"y","n")</f>
        <v>y</v>
      </c>
      <c r="BF77" s="1613">
        <f>+(BD77/BD70-1)*100</f>
        <v>10.403246383295507</v>
      </c>
      <c r="BG77" s="1611"/>
      <c r="BH77" s="1625">
        <f>'qtrP&amp;L'!$AP$64</f>
        <v>222.65700000000021</v>
      </c>
      <c r="BI77" s="1643">
        <f>+BH77/BB77*100</f>
        <v>8.811343065277482</v>
      </c>
      <c r="BJ77" s="1625">
        <f>11.76+0.652</f>
        <v>12.411999999999999</v>
      </c>
      <c r="BK77" s="1625">
        <f>+G77+Z77+AF77+AL77+AR77-BJ77</f>
        <v>222.65699999999998</v>
      </c>
      <c r="BL77" s="1638" t="str">
        <f>IF(BH77=BK77,"y","n")</f>
        <v>y</v>
      </c>
      <c r="BM77" s="1618">
        <f>+BK77/BD77*100</f>
        <v>8.8113430652774749</v>
      </c>
      <c r="BN77" s="467"/>
      <c r="BO77" s="1624"/>
      <c r="BP77" s="1613"/>
      <c r="BQ77" s="1637"/>
      <c r="BR77" s="1642"/>
      <c r="BS77" s="1620"/>
      <c r="BT77" s="467"/>
      <c r="BU77" s="467"/>
      <c r="BV77" s="467"/>
      <c r="BW77" s="467"/>
      <c r="BX77" s="467"/>
      <c r="BY77" s="467"/>
      <c r="BZ77" s="467"/>
      <c r="CA77" s="467"/>
      <c r="CB77" s="467"/>
      <c r="CC77" s="467"/>
      <c r="CD77" s="467"/>
      <c r="CE77" s="467"/>
      <c r="CF77" s="467"/>
      <c r="CG77" s="467"/>
      <c r="CH77" s="467"/>
      <c r="CI77" s="467"/>
      <c r="CJ77" s="467"/>
    </row>
    <row r="78" spans="1:88" hidden="1" outlineLevel="1">
      <c r="A78" s="467"/>
      <c r="B78" s="467" t="str">
        <f>$B$15</f>
        <v>Year</v>
      </c>
      <c r="C78" s="467"/>
      <c r="D78" s="1607">
        <v>7779.826</v>
      </c>
      <c r="E78" s="1608">
        <f>+(D78/D71-1)*100</f>
        <v>8.108319176802059</v>
      </c>
      <c r="F78" s="1639">
        <v>4</v>
      </c>
      <c r="G78" s="1610">
        <v>849.56</v>
      </c>
      <c r="H78" s="1618">
        <f>+(G78/G71-1)*100</f>
        <v>12.685546628890808</v>
      </c>
      <c r="I78" s="1662">
        <f>+G78/D78*100</f>
        <v>10.920038571556741</v>
      </c>
      <c r="J78" s="1765"/>
      <c r="K78" s="1612"/>
      <c r="L78" s="1613"/>
      <c r="M78" s="1637"/>
      <c r="N78" s="467"/>
      <c r="O78" s="1620"/>
      <c r="P78" s="1611"/>
      <c r="Q78" s="1612"/>
      <c r="R78" s="1613"/>
      <c r="S78" s="1637"/>
      <c r="T78" s="467"/>
      <c r="U78" s="1620"/>
      <c r="V78" s="1611"/>
      <c r="W78" s="1607">
        <v>466.76499999999999</v>
      </c>
      <c r="X78" s="1608">
        <f>+(W78/W71-1)*100</f>
        <v>20.474759832540947</v>
      </c>
      <c r="Y78" s="1639">
        <v>8</v>
      </c>
      <c r="Z78" s="1610">
        <v>54.914000000000001</v>
      </c>
      <c r="AA78" s="1662">
        <f>+Z78/W78*100</f>
        <v>11.764806701445053</v>
      </c>
      <c r="AB78" s="1765"/>
      <c r="AC78" s="1610">
        <v>298.65899999999999</v>
      </c>
      <c r="AD78" s="1608">
        <f>+(AC78/AC71-1)*100</f>
        <v>34.476563555315408</v>
      </c>
      <c r="AE78" s="1639">
        <v>12</v>
      </c>
      <c r="AF78" s="1610">
        <v>6.4619999999999997</v>
      </c>
      <c r="AG78" s="1662">
        <f>+AF78/AC78*100</f>
        <v>2.1636716121061146</v>
      </c>
      <c r="AH78" s="1765"/>
      <c r="AI78" s="1610">
        <v>206.81</v>
      </c>
      <c r="AJ78" s="1608">
        <f>+(AI78/AI71-1)*100</f>
        <v>56.038268270231924</v>
      </c>
      <c r="AK78" s="1639">
        <v>13</v>
      </c>
      <c r="AL78" s="1610">
        <v>4.5810000000000004</v>
      </c>
      <c r="AM78" s="1618">
        <f>+AL78/AI78*100</f>
        <v>2.2150766403945652</v>
      </c>
      <c r="AN78" s="1611"/>
      <c r="AO78" s="1607">
        <v>43.286999999999999</v>
      </c>
      <c r="AP78" s="1608">
        <f>+(AO78/AO71-1)*100</f>
        <v>304.17366946778708</v>
      </c>
      <c r="AQ78" s="1639" t="s">
        <v>642</v>
      </c>
      <c r="AR78" s="1610">
        <v>-14.444000000000001</v>
      </c>
      <c r="AS78" s="1618">
        <f>+AR78/AO78*100</f>
        <v>-33.367985769399596</v>
      </c>
      <c r="AT78" s="1611"/>
      <c r="AU78" s="1611"/>
      <c r="AV78" s="1607"/>
      <c r="AW78" s="1608"/>
      <c r="AX78" s="1639"/>
      <c r="AY78" s="1610"/>
      <c r="AZ78" s="1618"/>
      <c r="BA78" s="1611"/>
      <c r="BB78" s="1621">
        <f>'qtrP&amp;L'!$AP$14</f>
        <v>8795.3469999999998</v>
      </c>
      <c r="BC78" s="1621"/>
      <c r="BD78" s="1627">
        <f>+D78+W78+AC78+AI78+AO78</f>
        <v>8795.3469999999998</v>
      </c>
      <c r="BE78" s="1638" t="str">
        <f>IF(BB78=BD78,"y","n")</f>
        <v>y</v>
      </c>
      <c r="BF78" s="1613">
        <f>+(BD78/BD71-1)*100</f>
        <v>10.64580762025793</v>
      </c>
      <c r="BG78" s="1611"/>
      <c r="BH78" s="1621">
        <f>'qtrP&amp;L'!$AP$65</f>
        <v>861.28200000000061</v>
      </c>
      <c r="BI78" s="1620">
        <f>+BH78/BB78*100</f>
        <v>9.7924732247630555</v>
      </c>
      <c r="BJ78" s="1621">
        <f>SUM(BJ74:BJ77)</f>
        <v>39.790999999999997</v>
      </c>
      <c r="BK78" s="1614">
        <f>+G78+Z78+AF78+AL78+AR78-BJ78</f>
        <v>861.28199999999993</v>
      </c>
      <c r="BL78" s="1638" t="str">
        <f>IF(BH78=BK78,"y","n")</f>
        <v>n</v>
      </c>
      <c r="BM78" s="1618">
        <f>+BK78/BD78*100</f>
        <v>9.7924732247630466</v>
      </c>
      <c r="BN78" s="467"/>
      <c r="BO78" s="1612"/>
      <c r="BP78" s="1613"/>
      <c r="BQ78" s="1637"/>
      <c r="BR78" s="1612"/>
      <c r="BS78" s="1620"/>
      <c r="BT78" s="467"/>
      <c r="BU78" s="1422">
        <f>+D78/$BD78</f>
        <v>0.88453883627331586</v>
      </c>
      <c r="BV78" s="1628"/>
      <c r="BW78" s="1628"/>
      <c r="BX78" s="1422">
        <f>+W78/$BD78</f>
        <v>5.3069537790834176E-2</v>
      </c>
      <c r="BY78" s="1422">
        <f>+AC78/BD78</f>
        <v>3.3956477214599948E-2</v>
      </c>
      <c r="BZ78" s="1422">
        <f>+AI78/BD78</f>
        <v>2.3513569163331475E-2</v>
      </c>
      <c r="CA78" s="1422">
        <f>+AO78/BD78</f>
        <v>4.9215795579185219E-3</v>
      </c>
      <c r="CB78" s="467"/>
      <c r="CC78" s="467"/>
      <c r="CD78" s="467"/>
      <c r="CE78" s="467"/>
      <c r="CF78" s="467"/>
      <c r="CG78" s="467"/>
      <c r="CH78" s="467"/>
      <c r="CI78" s="467"/>
      <c r="CJ78" s="467"/>
    </row>
    <row r="79" spans="1:88" hidden="1" outlineLevel="1">
      <c r="A79" s="467"/>
      <c r="B79" s="467"/>
      <c r="C79" s="467"/>
      <c r="D79" s="1603"/>
      <c r="E79" s="1088"/>
      <c r="F79" s="1088"/>
      <c r="G79" s="800"/>
      <c r="H79" s="1604"/>
      <c r="I79" s="1499"/>
      <c r="J79" s="1764"/>
      <c r="K79" s="1605"/>
      <c r="L79" s="1605"/>
      <c r="M79" s="1605"/>
      <c r="N79" s="467"/>
      <c r="O79" s="467"/>
      <c r="P79" s="1605"/>
      <c r="Q79" s="1605"/>
      <c r="R79" s="1605"/>
      <c r="S79" s="1605"/>
      <c r="T79" s="467"/>
      <c r="U79" s="467"/>
      <c r="V79" s="1605"/>
      <c r="W79" s="1603"/>
      <c r="X79" s="1088"/>
      <c r="Y79" s="1088"/>
      <c r="Z79" s="800"/>
      <c r="AA79" s="1499"/>
      <c r="AB79" s="1764"/>
      <c r="AC79" s="800"/>
      <c r="AD79" s="1088"/>
      <c r="AE79" s="1088"/>
      <c r="AF79" s="800"/>
      <c r="AG79" s="1499"/>
      <c r="AH79" s="1764"/>
      <c r="AI79" s="800"/>
      <c r="AJ79" s="1088"/>
      <c r="AK79" s="1088"/>
      <c r="AL79" s="800"/>
      <c r="AM79" s="1604"/>
      <c r="AN79" s="702"/>
      <c r="AO79" s="1603"/>
      <c r="AP79" s="1088"/>
      <c r="AQ79" s="1088"/>
      <c r="AR79" s="800"/>
      <c r="AS79" s="1604"/>
      <c r="AT79" s="702"/>
      <c r="AU79" s="702"/>
      <c r="AV79" s="1603"/>
      <c r="AW79" s="1088"/>
      <c r="AX79" s="1088"/>
      <c r="AY79" s="800"/>
      <c r="AZ79" s="1604"/>
      <c r="BA79" s="487"/>
      <c r="BB79" s="1499"/>
      <c r="BC79" s="1499"/>
      <c r="BD79" s="1499"/>
      <c r="BE79" s="1606"/>
      <c r="BF79" s="487"/>
      <c r="BG79" s="487"/>
      <c r="BH79" s="1499"/>
      <c r="BI79" s="1499"/>
      <c r="BJ79" s="1499"/>
      <c r="BK79" s="1499"/>
      <c r="BL79" s="1606"/>
      <c r="BM79" s="1604"/>
      <c r="BN79" s="467"/>
      <c r="BO79" s="1605"/>
      <c r="BP79" s="702"/>
      <c r="BQ79" s="1645"/>
      <c r="BR79" s="1641"/>
      <c r="BS79" s="467"/>
      <c r="BT79" s="467"/>
      <c r="BU79" s="467"/>
      <c r="BV79" s="467"/>
      <c r="BW79" s="467"/>
      <c r="BX79" s="467"/>
      <c r="BY79" s="467"/>
      <c r="BZ79" s="467"/>
      <c r="CA79" s="467"/>
      <c r="CB79" s="467"/>
      <c r="CC79" s="467"/>
      <c r="CD79" s="467"/>
      <c r="CE79" s="467"/>
      <c r="CF79" s="467"/>
      <c r="CG79" s="467"/>
      <c r="CH79" s="467"/>
      <c r="CI79" s="467"/>
      <c r="CJ79" s="467"/>
    </row>
    <row r="80" spans="1:88" hidden="1" outlineLevel="1" collapsed="1">
      <c r="A80" s="2112">
        <f>+A73+1</f>
        <v>2000</v>
      </c>
      <c r="B80" s="2112"/>
      <c r="C80" s="467"/>
      <c r="D80" s="1603"/>
      <c r="E80" s="1088"/>
      <c r="F80" s="1088"/>
      <c r="G80" s="800"/>
      <c r="H80" s="1604"/>
      <c r="I80" s="1499"/>
      <c r="J80" s="1764"/>
      <c r="K80" s="1605"/>
      <c r="L80" s="1605"/>
      <c r="M80" s="1605"/>
      <c r="N80" s="467"/>
      <c r="O80" s="467"/>
      <c r="P80" s="1605"/>
      <c r="Q80" s="1605"/>
      <c r="R80" s="1605"/>
      <c r="S80" s="1605"/>
      <c r="T80" s="467"/>
      <c r="U80" s="467"/>
      <c r="V80" s="1605"/>
      <c r="W80" s="1603"/>
      <c r="X80" s="1088"/>
      <c r="Y80" s="1088"/>
      <c r="Z80" s="800"/>
      <c r="AA80" s="1499"/>
      <c r="AB80" s="1764"/>
      <c r="AC80" s="800"/>
      <c r="AD80" s="1088"/>
      <c r="AE80" s="1088"/>
      <c r="AF80" s="800"/>
      <c r="AG80" s="1499"/>
      <c r="AH80" s="1764"/>
      <c r="AI80" s="800"/>
      <c r="AJ80" s="1088"/>
      <c r="AK80" s="1088"/>
      <c r="AL80" s="800"/>
      <c r="AM80" s="1604"/>
      <c r="AN80" s="702"/>
      <c r="AO80" s="1603"/>
      <c r="AP80" s="1088"/>
      <c r="AQ80" s="1088"/>
      <c r="AR80" s="800"/>
      <c r="AS80" s="1604"/>
      <c r="AT80" s="702"/>
      <c r="AU80" s="702"/>
      <c r="AV80" s="1603"/>
      <c r="AW80" s="1088"/>
      <c r="AX80" s="1088"/>
      <c r="AY80" s="800"/>
      <c r="AZ80" s="1604"/>
      <c r="BA80" s="487"/>
      <c r="BB80" s="1499"/>
      <c r="BC80" s="1499"/>
      <c r="BD80" s="1499"/>
      <c r="BE80" s="1606"/>
      <c r="BF80" s="487"/>
      <c r="BG80" s="487"/>
      <c r="BH80" s="1499"/>
      <c r="BI80" s="1499"/>
      <c r="BJ80" s="1499"/>
      <c r="BK80" s="1499"/>
      <c r="BL80" s="1606"/>
      <c r="BM80" s="1604"/>
      <c r="BN80" s="467"/>
      <c r="BO80" s="1605"/>
      <c r="BP80" s="702"/>
      <c r="BQ80" s="1645"/>
      <c r="BR80" s="467"/>
      <c r="BS80" s="467"/>
      <c r="BT80" s="467"/>
      <c r="BU80" s="467"/>
      <c r="BV80" s="467"/>
      <c r="BW80" s="467"/>
      <c r="BX80" s="467"/>
      <c r="BY80" s="467"/>
      <c r="BZ80" s="467"/>
      <c r="CA80" s="467"/>
      <c r="CB80" s="467"/>
      <c r="CC80" s="467"/>
      <c r="CD80" s="467"/>
      <c r="CE80" s="467"/>
      <c r="CF80" s="467"/>
      <c r="CG80" s="467"/>
      <c r="CH80" s="467"/>
      <c r="CI80" s="467"/>
      <c r="CJ80" s="467"/>
    </row>
    <row r="81" spans="1:92" hidden="1" outlineLevel="1">
      <c r="A81" s="467" t="str">
        <f>$A$11</f>
        <v>1Q</v>
      </c>
      <c r="B81" s="467" t="str">
        <f>$B$11</f>
        <v>Apr</v>
      </c>
      <c r="C81" s="467"/>
      <c r="D81" s="1607">
        <v>1846.404</v>
      </c>
      <c r="E81" s="1608">
        <f>+(D81/D74-1)*100</f>
        <v>6.1456740442656033</v>
      </c>
      <c r="F81" s="1639">
        <v>2</v>
      </c>
      <c r="G81" s="1610">
        <v>218.273</v>
      </c>
      <c r="H81" s="1618">
        <f>+(G81/G74-1)*100</f>
        <v>5.4458937198067714</v>
      </c>
      <c r="I81" s="1662">
        <f>+G81/D81*100</f>
        <v>11.821519017506461</v>
      </c>
      <c r="J81" s="1765"/>
      <c r="K81" s="1612"/>
      <c r="L81" s="1613"/>
      <c r="M81" s="1611"/>
      <c r="N81" s="467"/>
      <c r="O81" s="1620"/>
      <c r="P81" s="1611"/>
      <c r="Q81" s="1612"/>
      <c r="R81" s="1613"/>
      <c r="S81" s="1611"/>
      <c r="T81" s="467"/>
      <c r="U81" s="1620"/>
      <c r="V81" s="1611"/>
      <c r="W81" s="1607">
        <v>116.941</v>
      </c>
      <c r="X81" s="1608">
        <f>+(W81/W74-1)*100</f>
        <v>28.224780701754383</v>
      </c>
      <c r="Y81" s="1639">
        <v>12</v>
      </c>
      <c r="Z81" s="1610">
        <v>13.134</v>
      </c>
      <c r="AA81" s="1662">
        <f>+Z81/W81*100</f>
        <v>11.231304675007054</v>
      </c>
      <c r="AB81" s="1765"/>
      <c r="AC81" s="1610">
        <v>72.475999999999999</v>
      </c>
      <c r="AD81" s="1608">
        <f>+(AC81/AC74-1)*100</f>
        <v>29.421428571428578</v>
      </c>
      <c r="AE81" s="1639">
        <v>6</v>
      </c>
      <c r="AF81" s="1610">
        <v>-1.6719999999999999</v>
      </c>
      <c r="AG81" s="1662">
        <f>+AF81/AC81*100</f>
        <v>-2.3069705833655281</v>
      </c>
      <c r="AH81" s="1765"/>
      <c r="AI81" s="1610">
        <v>59.133000000000003</v>
      </c>
      <c r="AJ81" s="1608">
        <f>+(AI81/AI74-1)*100</f>
        <v>54.503174561701464</v>
      </c>
      <c r="AK81" s="1639">
        <v>10</v>
      </c>
      <c r="AL81" s="1610">
        <v>1.0880000000000001</v>
      </c>
      <c r="AM81" s="1618">
        <f>+AL81/AI81*100</f>
        <v>1.8399201799333706</v>
      </c>
      <c r="AN81" s="1611"/>
      <c r="AO81" s="1607">
        <v>13.162000000000001</v>
      </c>
      <c r="AP81" s="1608">
        <f>+(AO81/AO74-1)*100</f>
        <v>139.30909090909083</v>
      </c>
      <c r="AQ81" s="1639">
        <v>25</v>
      </c>
      <c r="AR81" s="1610">
        <v>-3.9510000000000001</v>
      </c>
      <c r="AS81" s="1618">
        <f>+AR81/AO81*100</f>
        <v>-30.018234310894996</v>
      </c>
      <c r="AT81" s="1611"/>
      <c r="AU81" s="1611"/>
      <c r="AV81" s="1607"/>
      <c r="AW81" s="1608"/>
      <c r="AX81" s="1639"/>
      <c r="AY81" s="1610"/>
      <c r="AZ81" s="1618"/>
      <c r="BA81" s="1611"/>
      <c r="BB81" s="1614">
        <f>'qtrP&amp;L'!$AT$10</f>
        <v>2108.116</v>
      </c>
      <c r="BC81" s="1621"/>
      <c r="BD81" s="1627">
        <f>+D81+W81+AC81+AI81+AO81</f>
        <v>2108.1159999999995</v>
      </c>
      <c r="BE81" s="1638" t="str">
        <f>IF(BB81=BD81,"y","n")</f>
        <v>y</v>
      </c>
      <c r="BF81" s="1613">
        <f>+(BD81/BD74-1)*100</f>
        <v>9.2020453018508697</v>
      </c>
      <c r="BG81" s="1611"/>
      <c r="BH81" s="1614">
        <f>'qtrP&amp;L'!$AT$61</f>
        <v>216.11900000000003</v>
      </c>
      <c r="BI81" s="1620">
        <f>+BH81/BB81*100</f>
        <v>10.251760339563859</v>
      </c>
      <c r="BJ81" s="1621">
        <f>10.1+0.653</f>
        <v>10.753</v>
      </c>
      <c r="BK81" s="1614">
        <f>+G81+Z81+AF81+AL81+AR81-BJ81</f>
        <v>216.11899999999997</v>
      </c>
      <c r="BL81" s="1638" t="str">
        <f>IF(BH81=BK81,"y","n")</f>
        <v>y</v>
      </c>
      <c r="BM81" s="1618">
        <f>+BK81/BD81*100</f>
        <v>10.251760339563857</v>
      </c>
      <c r="BN81" s="467"/>
      <c r="BO81" s="1612"/>
      <c r="BP81" s="1613"/>
      <c r="BQ81" s="1637"/>
      <c r="BR81" s="1612"/>
      <c r="BS81" s="1620"/>
      <c r="BT81" s="467"/>
      <c r="BU81" s="1422">
        <f>+D81/$BD81</f>
        <v>0.875855028850405</v>
      </c>
      <c r="BV81" s="1628"/>
      <c r="BW81" s="1628"/>
      <c r="BX81" s="1422">
        <f>+W81/$BD81</f>
        <v>5.5471805156831991E-2</v>
      </c>
      <c r="BY81" s="1422">
        <f>+AC81/BD81</f>
        <v>3.4379512322851309E-2</v>
      </c>
      <c r="BZ81" s="1422">
        <f>+AI81/BD81</f>
        <v>2.8050164222462148E-2</v>
      </c>
      <c r="CA81" s="1422">
        <f>+AO81/BD81</f>
        <v>6.2434894474497626E-3</v>
      </c>
      <c r="CB81" s="467"/>
      <c r="CC81" s="1422">
        <f>+G81/$BK81</f>
        <v>1.009966731291557</v>
      </c>
      <c r="CD81" s="1628"/>
      <c r="CE81" s="1628"/>
      <c r="CF81" s="1422">
        <f>+Z81/$BK81</f>
        <v>6.0772074644061848E-2</v>
      </c>
      <c r="CG81" s="1422">
        <f>+AF81/$BK81</f>
        <v>-7.7364785141519265E-3</v>
      </c>
      <c r="CH81" s="1422">
        <f>+AL81/$BK81</f>
        <v>5.0342635307400099E-3</v>
      </c>
      <c r="CI81" s="1422">
        <f>+AR81/$BK81</f>
        <v>-1.828159486208987E-2</v>
      </c>
      <c r="CJ81" s="1422"/>
    </row>
    <row r="82" spans="1:92" hidden="1" outlineLevel="1">
      <c r="A82" s="467" t="str">
        <f>$A$12</f>
        <v>2Q</v>
      </c>
      <c r="B82" s="467" t="str">
        <f>$B$12</f>
        <v>Jul</v>
      </c>
      <c r="C82" s="467"/>
      <c r="D82" s="1616">
        <v>1955.4770000000001</v>
      </c>
      <c r="E82" s="1608">
        <f>+(D82/D75-1)*100</f>
        <v>3.9815484419866154</v>
      </c>
      <c r="F82" s="1639">
        <v>0</v>
      </c>
      <c r="G82" s="1641">
        <v>190.98500000000001</v>
      </c>
      <c r="H82" s="1618">
        <f>+(G82/G75-1)*100</f>
        <v>-1.7111831609284089</v>
      </c>
      <c r="I82" s="1662">
        <f>+G82/D82*100</f>
        <v>9.766670740693959</v>
      </c>
      <c r="J82" s="1765"/>
      <c r="K82" s="1619"/>
      <c r="L82" s="1613"/>
      <c r="M82" s="1611"/>
      <c r="N82" s="467"/>
      <c r="O82" s="1620"/>
      <c r="P82" s="1611"/>
      <c r="Q82" s="1619"/>
      <c r="R82" s="1613"/>
      <c r="S82" s="1611"/>
      <c r="T82" s="467"/>
      <c r="U82" s="1620"/>
      <c r="V82" s="1611"/>
      <c r="W82" s="1616">
        <v>131.45699999999999</v>
      </c>
      <c r="X82" s="1608">
        <f>+(W82/W75-1)*100</f>
        <v>22.857009345794378</v>
      </c>
      <c r="Y82" s="1639">
        <v>8</v>
      </c>
      <c r="Z82" s="1641">
        <v>15.417</v>
      </c>
      <c r="AA82" s="1662">
        <f>+Z82/W82*100</f>
        <v>11.727789315137271</v>
      </c>
      <c r="AB82" s="1765"/>
      <c r="AC82" s="1617">
        <v>85.51</v>
      </c>
      <c r="AD82" s="1608">
        <f>+(AC82/AC75-1)*100</f>
        <v>38.589951377633724</v>
      </c>
      <c r="AE82" s="1639">
        <v>9</v>
      </c>
      <c r="AF82" s="1641">
        <v>0.70899999999999996</v>
      </c>
      <c r="AG82" s="1662">
        <f>+AF82/AC82*100</f>
        <v>0.82914279031692184</v>
      </c>
      <c r="AH82" s="1765"/>
      <c r="AI82" s="1617">
        <v>67.153999999999996</v>
      </c>
      <c r="AJ82" s="1608">
        <f>+(AI82/AI75-1)*100</f>
        <v>56.437673259254083</v>
      </c>
      <c r="AK82" s="1639">
        <v>5</v>
      </c>
      <c r="AL82" s="1641">
        <v>-0.44500000000000001</v>
      </c>
      <c r="AM82" s="1618">
        <f>+AL82/AI82*100</f>
        <v>-0.66265598475146681</v>
      </c>
      <c r="AN82" s="1611"/>
      <c r="AO82" s="1616">
        <v>18.576000000000001</v>
      </c>
      <c r="AP82" s="1608">
        <f>+(AO82/AO75-1)*100</f>
        <v>75.245283018867923</v>
      </c>
      <c r="AQ82" s="1639">
        <v>19</v>
      </c>
      <c r="AR82" s="1641">
        <v>-3.5960000000000001</v>
      </c>
      <c r="AS82" s="1618">
        <f>+AR82/AO82*100</f>
        <v>-19.358311800172263</v>
      </c>
      <c r="AT82" s="1611"/>
      <c r="AU82" s="1611"/>
      <c r="AV82" s="1616"/>
      <c r="AW82" s="1608"/>
      <c r="AX82" s="1639"/>
      <c r="AY82" s="1641"/>
      <c r="AZ82" s="1618"/>
      <c r="BA82" s="1611"/>
      <c r="BB82" s="1621">
        <f>'qtrP&amp;L'!$AT$11</f>
        <v>2258.174</v>
      </c>
      <c r="BC82" s="1621"/>
      <c r="BD82" s="1621">
        <f>+D82+W82+AC82+AI82+AO82</f>
        <v>2258.1740000000004</v>
      </c>
      <c r="BE82" s="1638" t="str">
        <f>IF(BB82=BD82,"y","n")</f>
        <v>y</v>
      </c>
      <c r="BF82" s="1613">
        <f>+(BD82/BD75-1)*100</f>
        <v>7.3875311663774923</v>
      </c>
      <c r="BG82" s="1611"/>
      <c r="BH82" s="1621">
        <f>'qtrP&amp;L'!$AT$62</f>
        <v>191.40199999999999</v>
      </c>
      <c r="BI82" s="1620">
        <f>+BH82/BB82*100</f>
        <v>8.4759633225783304</v>
      </c>
      <c r="BJ82" s="1621">
        <f>11.016+0.652</f>
        <v>11.667999999999999</v>
      </c>
      <c r="BK82" s="1621">
        <f>+G82+Z82+AF82+AL82+AR82-BJ82</f>
        <v>191.40200000000002</v>
      </c>
      <c r="BL82" s="1638" t="str">
        <f>IF(BH82=BK82,"y","n")</f>
        <v>y</v>
      </c>
      <c r="BM82" s="1618">
        <f>+BK82/BD82*100</f>
        <v>8.4759633225783304</v>
      </c>
      <c r="BN82" s="467"/>
      <c r="BO82" s="1619"/>
      <c r="BP82" s="1613"/>
      <c r="BQ82" s="1637"/>
      <c r="BR82" s="1619"/>
      <c r="BS82" s="1620"/>
      <c r="BT82" s="467"/>
      <c r="BU82" s="1422">
        <f>+D82/$BD82</f>
        <v>0.86595497069756344</v>
      </c>
      <c r="BV82" s="1628"/>
      <c r="BW82" s="1628"/>
      <c r="BX82" s="1422">
        <f>+W82/$BD82</f>
        <v>5.8213848888526737E-2</v>
      </c>
      <c r="BY82" s="1422">
        <f>+AC82/BD82</f>
        <v>3.7866878283072954E-2</v>
      </c>
      <c r="BZ82" s="1422">
        <f>+AI82/BD82</f>
        <v>2.9738186694205134E-2</v>
      </c>
      <c r="CA82" s="1422">
        <f>+AO82/BD82</f>
        <v>8.2261154366315425E-3</v>
      </c>
      <c r="CB82" s="467"/>
      <c r="CC82" s="1422">
        <f>+G82/$BK82</f>
        <v>0.99782133937994377</v>
      </c>
      <c r="CD82" s="1628"/>
      <c r="CE82" s="1628"/>
      <c r="CF82" s="1422">
        <f>+Z82/$BK82</f>
        <v>8.0547747672438108E-2</v>
      </c>
      <c r="CG82" s="1422">
        <f>+AF82/$BK82</f>
        <v>3.704245514675917E-3</v>
      </c>
      <c r="CH82" s="1422">
        <f>+AL82/$BK82</f>
        <v>-2.3249495825539961E-3</v>
      </c>
      <c r="CI82" s="1422">
        <f>+AR82/$BK82</f>
        <v>-1.8787682469357685E-2</v>
      </c>
      <c r="CJ82" s="1422"/>
    </row>
    <row r="83" spans="1:92" hidden="1" outlineLevel="1">
      <c r="A83" s="467" t="str">
        <f>$A$13</f>
        <v>3Q</v>
      </c>
      <c r="B83" s="467" t="str">
        <f>$B$13</f>
        <v>Oct</v>
      </c>
      <c r="C83" s="467"/>
      <c r="D83" s="1616">
        <v>2107.248</v>
      </c>
      <c r="E83" s="1608">
        <f>+(D83/D76-1)*100</f>
        <v>7.2089127080267046</v>
      </c>
      <c r="F83" s="1639">
        <v>3</v>
      </c>
      <c r="G83" s="1641">
        <v>248.99199999999999</v>
      </c>
      <c r="H83" s="1618">
        <f>+(G83/G76-1)*100</f>
        <v>6.1324353700901613</v>
      </c>
      <c r="I83" s="1662">
        <f>+G83/D83*100</f>
        <v>11.81597989415579</v>
      </c>
      <c r="J83" s="1765"/>
      <c r="K83" s="1619"/>
      <c r="L83" s="1613"/>
      <c r="M83" s="1611"/>
      <c r="N83" s="467"/>
      <c r="O83" s="1620"/>
      <c r="P83" s="1611"/>
      <c r="Q83" s="1619"/>
      <c r="R83" s="1613"/>
      <c r="S83" s="1611"/>
      <c r="T83" s="467"/>
      <c r="U83" s="1620"/>
      <c r="V83" s="1611"/>
      <c r="W83" s="1616">
        <v>161.01900000000001</v>
      </c>
      <c r="X83" s="1608">
        <f>+(W83/W76-1)*100</f>
        <v>22.47398685651698</v>
      </c>
      <c r="Y83" s="1639">
        <v>9</v>
      </c>
      <c r="Z83" s="1641">
        <v>26.018000000000001</v>
      </c>
      <c r="AA83" s="1662">
        <f>+Z83/W83*100</f>
        <v>16.158341562175892</v>
      </c>
      <c r="AB83" s="1765"/>
      <c r="AC83" s="1617">
        <v>96.239000000000004</v>
      </c>
      <c r="AD83" s="1608">
        <f>+(AC83/AC76-1)*100</f>
        <v>29.351756024784635</v>
      </c>
      <c r="AE83" s="1639">
        <v>10</v>
      </c>
      <c r="AF83" s="1641">
        <v>5.6459999999999999</v>
      </c>
      <c r="AG83" s="1662">
        <f>+AF83/AC83*100</f>
        <v>5.8666444996311258</v>
      </c>
      <c r="AH83" s="1765"/>
      <c r="AI83" s="1617">
        <v>77.037999999999997</v>
      </c>
      <c r="AJ83" s="1608">
        <f>+(AI83/AI76-1)*100</f>
        <v>45.480983495108958</v>
      </c>
      <c r="AK83" s="1639">
        <v>0</v>
      </c>
      <c r="AL83" s="1641">
        <v>1.2110000000000001</v>
      </c>
      <c r="AM83" s="1618">
        <f>+AL83/AI83*100</f>
        <v>1.5719515044523482</v>
      </c>
      <c r="AN83" s="1611"/>
      <c r="AO83" s="1616">
        <v>19.867000000000001</v>
      </c>
      <c r="AP83" s="1608">
        <f>+(AO83/AO76-1)*100</f>
        <v>86.125163949784536</v>
      </c>
      <c r="AQ83" s="1639">
        <v>16</v>
      </c>
      <c r="AR83" s="1641">
        <v>-4.0019999999999998</v>
      </c>
      <c r="AS83" s="1618">
        <f>+AR83/AO83*100</f>
        <v>-20.143957316152409</v>
      </c>
      <c r="AT83" s="1611"/>
      <c r="AU83" s="1611"/>
      <c r="AV83" s="1616"/>
      <c r="AW83" s="1608"/>
      <c r="AX83" s="1639"/>
      <c r="AY83" s="1641"/>
      <c r="AZ83" s="1618"/>
      <c r="BA83" s="1611"/>
      <c r="BB83" s="1621">
        <f>'qtrP&amp;L'!$AT$12</f>
        <v>2461.4110000000001</v>
      </c>
      <c r="BC83" s="1621"/>
      <c r="BD83" s="1621">
        <f>+D83+W83+AC83+AI83+AO83</f>
        <v>2461.4110000000001</v>
      </c>
      <c r="BE83" s="1638" t="str">
        <f>IF(BB83=BD83,"y","n")</f>
        <v>y</v>
      </c>
      <c r="BF83" s="1613">
        <f>+(BD83/BD76-1)*100</f>
        <v>10.127585284292895</v>
      </c>
      <c r="BG83" s="1611"/>
      <c r="BH83" s="1621">
        <f>'qtrP&amp;L'!$AT$63</f>
        <v>267.99700000000001</v>
      </c>
      <c r="BI83" s="1620">
        <f>+BH83/BB83*100</f>
        <v>10.887941916242351</v>
      </c>
      <c r="BJ83" s="1621">
        <f>9.216+0.652</f>
        <v>9.8679999999999986</v>
      </c>
      <c r="BK83" s="1621">
        <f>+G83+Z83+AF83+AL83+AR83-BJ83</f>
        <v>267.99700000000001</v>
      </c>
      <c r="BL83" s="1638" t="str">
        <f>IF(BH83=BK83,"y","n")</f>
        <v>y</v>
      </c>
      <c r="BM83" s="1618">
        <f>+BK83/BD83*100</f>
        <v>10.887941916242351</v>
      </c>
      <c r="BN83" s="467"/>
      <c r="BO83" s="1619"/>
      <c r="BP83" s="1613"/>
      <c r="BQ83" s="1637"/>
      <c r="BR83" s="1619"/>
      <c r="BS83" s="1620"/>
      <c r="BT83" s="467"/>
      <c r="BU83" s="1422">
        <f>+D83/$BD83</f>
        <v>0.85611383064429303</v>
      </c>
      <c r="BV83" s="1628"/>
      <c r="BW83" s="1628"/>
      <c r="BX83" s="1422">
        <f>+W83/$BD83</f>
        <v>6.5417356142472752E-2</v>
      </c>
      <c r="BY83" s="1422">
        <f>+AC83/BD83</f>
        <v>3.9099118351222123E-2</v>
      </c>
      <c r="BZ83" s="1422">
        <f>+AI83/BD83</f>
        <v>3.1298308165519692E-2</v>
      </c>
      <c r="CA83" s="1422">
        <f>+AO83/BD83</f>
        <v>8.0713866964923775E-3</v>
      </c>
      <c r="CB83" s="467"/>
      <c r="CC83" s="1422">
        <f>+G83/$BK83</f>
        <v>0.92908502707119844</v>
      </c>
      <c r="CD83" s="1628"/>
      <c r="CE83" s="1628"/>
      <c r="CF83" s="1422">
        <f>+Z83/$BK83</f>
        <v>9.7083176304212357E-2</v>
      </c>
      <c r="CG83" s="1422">
        <f>+AF83/$BK83</f>
        <v>2.1067400008209045E-2</v>
      </c>
      <c r="CH83" s="1422">
        <f>+AL83/$BK83</f>
        <v>4.5187072989623022E-3</v>
      </c>
      <c r="CI83" s="1422">
        <f>+AR83/$BK83</f>
        <v>-1.4933002981376656E-2</v>
      </c>
      <c r="CJ83" s="1422"/>
    </row>
    <row r="84" spans="1:92" hidden="1" outlineLevel="1">
      <c r="A84" s="467" t="str">
        <f>$A$14</f>
        <v>4Q</v>
      </c>
      <c r="B84" s="467" t="str">
        <f>$B$14</f>
        <v>Jan</v>
      </c>
      <c r="C84" s="467"/>
      <c r="D84" s="1623">
        <v>2319.3389999999999</v>
      </c>
      <c r="E84" s="1608">
        <f>+(D84/D77-1)*100</f>
        <v>5.7064479256489609</v>
      </c>
      <c r="F84" s="1639">
        <v>2</v>
      </c>
      <c r="G84" s="1642">
        <v>200.108</v>
      </c>
      <c r="H84" s="1618">
        <f>+(G84/G77-1)*100</f>
        <v>-6.3353351151219535</v>
      </c>
      <c r="I84" s="1662">
        <f>+G84/D84*100</f>
        <v>8.6278030076672714</v>
      </c>
      <c r="J84" s="1765"/>
      <c r="K84" s="1624"/>
      <c r="L84" s="1613"/>
      <c r="M84" s="1611"/>
      <c r="N84" s="467"/>
      <c r="O84" s="1620"/>
      <c r="P84" s="1611"/>
      <c r="Q84" s="1624"/>
      <c r="R84" s="1613"/>
      <c r="S84" s="1611"/>
      <c r="T84" s="467"/>
      <c r="U84" s="1620"/>
      <c r="V84" s="1611"/>
      <c r="W84" s="1623">
        <v>153.89400000000001</v>
      </c>
      <c r="X84" s="1608">
        <f>+(W84/W77-1)*100</f>
        <v>12.249452954048156</v>
      </c>
      <c r="Y84" s="1639">
        <v>3</v>
      </c>
      <c r="Z84" s="1642">
        <v>16.486000000000001</v>
      </c>
      <c r="AA84" s="1662">
        <f>+Z84/W84*100</f>
        <v>10.712568391230327</v>
      </c>
      <c r="AB84" s="1765"/>
      <c r="AC84" s="1624">
        <v>134.83699999999999</v>
      </c>
      <c r="AD84" s="1608">
        <f>+(AC84/AC77-1)*100</f>
        <v>26.600379321352776</v>
      </c>
      <c r="AE84" s="1639">
        <v>6</v>
      </c>
      <c r="AF84" s="1642">
        <v>6.1840000000000002</v>
      </c>
      <c r="AG84" s="1662">
        <f>+AF84/AC84*100</f>
        <v>4.5862782470686838</v>
      </c>
      <c r="AH84" s="1765"/>
      <c r="AI84" s="1624">
        <v>111.69</v>
      </c>
      <c r="AJ84" s="1608">
        <f>+(AI84/AI77-1)*100</f>
        <v>53.724399911913665</v>
      </c>
      <c r="AK84" s="1639">
        <v>-1</v>
      </c>
      <c r="AL84" s="1642">
        <v>2.8460000000000001</v>
      </c>
      <c r="AM84" s="1618">
        <f>+AL84/AI84*100</f>
        <v>2.5481242725400666</v>
      </c>
      <c r="AN84" s="1611"/>
      <c r="AO84" s="1623">
        <v>31.545000000000002</v>
      </c>
      <c r="AP84" s="1608">
        <f>+(AO84/AO77-1)*100</f>
        <v>90.696409140369965</v>
      </c>
      <c r="AQ84" s="1639">
        <v>16</v>
      </c>
      <c r="AR84" s="1642">
        <v>-3.4630000000000001</v>
      </c>
      <c r="AS84" s="1618">
        <f>+AR84/AO84*100</f>
        <v>-10.977967982247582</v>
      </c>
      <c r="AT84" s="1611"/>
      <c r="AU84" s="1611"/>
      <c r="AV84" s="1623"/>
      <c r="AW84" s="1608"/>
      <c r="AX84" s="1639"/>
      <c r="AY84" s="1642"/>
      <c r="AZ84" s="1618"/>
      <c r="BA84" s="1611"/>
      <c r="BB84" s="1625">
        <f>'qtrP&amp;L'!$AT$13</f>
        <v>2751.3049999999998</v>
      </c>
      <c r="BC84" s="1625"/>
      <c r="BD84" s="1625">
        <f>+D84+W84+AC84+AI84+AO84</f>
        <v>2751.3050000000003</v>
      </c>
      <c r="BE84" s="1638" t="str">
        <f>IF(BB84=BD84,"y","n")</f>
        <v>y</v>
      </c>
      <c r="BF84" s="1613">
        <f>+(BD84/BD77-1)*100</f>
        <v>8.8790930993108077</v>
      </c>
      <c r="BG84" s="1611"/>
      <c r="BH84" s="1625">
        <f>'qtrP&amp;L'!$AT$64</f>
        <v>212.3279999999998</v>
      </c>
      <c r="BI84" s="1643">
        <f>+BH84/BB84*100</f>
        <v>7.7173559456330656</v>
      </c>
      <c r="BJ84" s="1625">
        <f>9.181+0.652</f>
        <v>9.8329999999999984</v>
      </c>
      <c r="BK84" s="1625">
        <f>+G84+Z84+AF84+AL84+AR84-BJ84</f>
        <v>212.328</v>
      </c>
      <c r="BL84" s="1638" t="str">
        <f>IF(BH84=BK84,"y","n")</f>
        <v>y</v>
      </c>
      <c r="BM84" s="1618">
        <f>+BK84/BD84*100</f>
        <v>7.7173559456330709</v>
      </c>
      <c r="BN84" s="467"/>
      <c r="BO84" s="1617"/>
      <c r="BP84" s="1608"/>
      <c r="BQ84" s="1639"/>
      <c r="BR84" s="1617"/>
      <c r="BS84" s="1620"/>
      <c r="BT84" s="467"/>
      <c r="BU84" s="1422">
        <f>+D84/$BD84</f>
        <v>0.84299596009893474</v>
      </c>
      <c r="BV84" s="1628"/>
      <c r="BW84" s="1628"/>
      <c r="BX84" s="1422">
        <f>+W84/$BD84</f>
        <v>5.5934910887742356E-2</v>
      </c>
      <c r="BY84" s="1422">
        <f>+AC84/BD84</f>
        <v>4.9008379659834143E-2</v>
      </c>
      <c r="BZ84" s="1422">
        <f>+AI84/BD84</f>
        <v>4.0595281148400483E-2</v>
      </c>
      <c r="CA84" s="1422">
        <f>+AO84/BD84</f>
        <v>1.146546820508813E-2</v>
      </c>
      <c r="CB84" s="467"/>
      <c r="CC84" s="1422">
        <f>+G84/$BK84</f>
        <v>0.94244753400399384</v>
      </c>
      <c r="CD84" s="1628"/>
      <c r="CE84" s="1628"/>
      <c r="CF84" s="1422">
        <f>+Z84/$BK84</f>
        <v>7.7644022455823067E-2</v>
      </c>
      <c r="CG84" s="1422">
        <f>+AF84/$BK84</f>
        <v>2.9124750386194945E-2</v>
      </c>
      <c r="CH84" s="1422">
        <f>+AL84/$BK84</f>
        <v>1.3403790362081308E-2</v>
      </c>
      <c r="CI84" s="1422">
        <f>+AR84/$BK84</f>
        <v>-1.6309671828491766E-2</v>
      </c>
      <c r="CJ84" s="1422"/>
    </row>
    <row r="85" spans="1:92" hidden="1" outlineLevel="1">
      <c r="A85" s="467"/>
      <c r="B85" s="467" t="str">
        <f>$B$15</f>
        <v>Year</v>
      </c>
      <c r="C85" s="467"/>
      <c r="D85" s="1644">
        <f>+SUM(D81:D84)</f>
        <v>8228.4680000000008</v>
      </c>
      <c r="E85" s="1608">
        <f>+(D85/D78-1)*100</f>
        <v>5.7667356570699768</v>
      </c>
      <c r="F85" s="1639">
        <v>2</v>
      </c>
      <c r="G85" s="1614">
        <f>+SUM(G81:G84)</f>
        <v>858.35799999999995</v>
      </c>
      <c r="H85" s="1618">
        <f>+(G85/G78-1)*100</f>
        <v>1.0355948961815464</v>
      </c>
      <c r="I85" s="1662">
        <f>+G85/D85*100</f>
        <v>10.431565146756357</v>
      </c>
      <c r="J85" s="1765"/>
      <c r="K85" s="1612"/>
      <c r="L85" s="1613"/>
      <c r="M85" s="1611"/>
      <c r="N85" s="467"/>
      <c r="O85" s="1620"/>
      <c r="P85" s="1611"/>
      <c r="Q85" s="1612"/>
      <c r="R85" s="1613"/>
      <c r="S85" s="1611"/>
      <c r="T85" s="467"/>
      <c r="U85" s="1620"/>
      <c r="V85" s="1611"/>
      <c r="W85" s="1644">
        <f>+SUM(W81:W84)</f>
        <v>563.31100000000004</v>
      </c>
      <c r="X85" s="1608">
        <f>+(W85/W78-1)*100</f>
        <v>20.684070142362863</v>
      </c>
      <c r="Y85" s="1639">
        <v>8</v>
      </c>
      <c r="Z85" s="1614">
        <f>+SUM(Z81:Z84)</f>
        <v>71.055000000000007</v>
      </c>
      <c r="AA85" s="1662">
        <f>+Z85/W85*100</f>
        <v>12.613813683737757</v>
      </c>
      <c r="AB85" s="1765"/>
      <c r="AC85" s="1614">
        <f>+SUM(AC81:AC84)</f>
        <v>389.06200000000001</v>
      </c>
      <c r="AD85" s="1608">
        <f>+(AC85/AC78-1)*100</f>
        <v>30.269638617955597</v>
      </c>
      <c r="AE85" s="1639">
        <v>8</v>
      </c>
      <c r="AF85" s="1614">
        <f>+SUM(AF81:AF84)</f>
        <v>10.867000000000001</v>
      </c>
      <c r="AG85" s="1662">
        <f>+AF85/AC85*100</f>
        <v>2.7931280875541691</v>
      </c>
      <c r="AH85" s="1765"/>
      <c r="AI85" s="1614">
        <f>+SUM(AI81:AI84)</f>
        <v>315.01499999999999</v>
      </c>
      <c r="AJ85" s="1608">
        <f>+(AI85/AI78-1)*100</f>
        <v>52.320970939509692</v>
      </c>
      <c r="AK85" s="1639">
        <v>3</v>
      </c>
      <c r="AL85" s="1614">
        <f>+SUM(AL81:AL84)</f>
        <v>4.7</v>
      </c>
      <c r="AM85" s="1618">
        <f>+AL85/AI85*100</f>
        <v>1.4919924448042159</v>
      </c>
      <c r="AN85" s="1611"/>
      <c r="AO85" s="1644">
        <f>+SUM(AO81:AO84)</f>
        <v>83.15</v>
      </c>
      <c r="AP85" s="1608">
        <f>+(AO85/AO78-1)*100</f>
        <v>92.090003927276115</v>
      </c>
      <c r="AQ85" s="1639">
        <v>19</v>
      </c>
      <c r="AR85" s="1614">
        <f>+SUM(AR81:AR84)</f>
        <v>-15.012</v>
      </c>
      <c r="AS85" s="1618">
        <f>+AR85/AO85*100</f>
        <v>-18.054119061936259</v>
      </c>
      <c r="AT85" s="1611"/>
      <c r="AU85" s="1611"/>
      <c r="AV85" s="1644"/>
      <c r="AW85" s="1608"/>
      <c r="AX85" s="1639"/>
      <c r="AY85" s="1614"/>
      <c r="AZ85" s="1618"/>
      <c r="BA85" s="1611"/>
      <c r="BB85" s="1621">
        <f>'qtrP&amp;L'!$AT$14</f>
        <v>9579.0059999999994</v>
      </c>
      <c r="BC85" s="1621"/>
      <c r="BD85" s="1627">
        <f>+D85+W85+AC85+AI85+AO85</f>
        <v>9579.0059999999994</v>
      </c>
      <c r="BE85" s="1638" t="str">
        <f>IF(BB85=BD85,"y","n")</f>
        <v>y</v>
      </c>
      <c r="BF85" s="1613">
        <f>+(BD85/BD78-1)*100</f>
        <v>8.9099270330096125</v>
      </c>
      <c r="BG85" s="1611"/>
      <c r="BH85" s="1621">
        <f>'qtrP&amp;L'!$AT$65</f>
        <v>887.84599999999978</v>
      </c>
      <c r="BI85" s="1620">
        <f>+BH85/BB85*100</f>
        <v>9.2686652456423957</v>
      </c>
      <c r="BJ85" s="1621">
        <f>SUM(BJ81:BJ84)</f>
        <v>42.122</v>
      </c>
      <c r="BK85" s="1614">
        <f>+G85+Z85+AF85+AL85+AR85-BJ85</f>
        <v>887.84600000000012</v>
      </c>
      <c r="BL85" s="1638" t="str">
        <f>IF(BH85=BK85,"y","n")</f>
        <v>y</v>
      </c>
      <c r="BM85" s="1618">
        <f>+BK85/BD85*100</f>
        <v>9.2686652456423992</v>
      </c>
      <c r="BN85" s="467"/>
      <c r="BO85" s="1614"/>
      <c r="BP85" s="1608"/>
      <c r="BQ85" s="1639"/>
      <c r="BR85" s="1614"/>
      <c r="BS85" s="1620"/>
      <c r="BT85" s="467"/>
      <c r="BU85" s="1422">
        <f>+D85/$BD85</f>
        <v>0.85901063220964691</v>
      </c>
      <c r="BV85" s="1628"/>
      <c r="BW85" s="1628"/>
      <c r="BX85" s="1422">
        <f>+W85/$BD85</f>
        <v>5.8806832358179968E-2</v>
      </c>
      <c r="BY85" s="1422">
        <f>+AC85/BD85</f>
        <v>4.0616114031038299E-2</v>
      </c>
      <c r="BZ85" s="1422">
        <f>+AI85/BD85</f>
        <v>3.28859800275728E-2</v>
      </c>
      <c r="CA85" s="1422">
        <f>+AO85/BD85</f>
        <v>8.6804413735621436E-3</v>
      </c>
      <c r="CB85" s="467"/>
      <c r="CC85" s="1422">
        <f>+G85/$BK85</f>
        <v>0.96678703288633372</v>
      </c>
      <c r="CD85" s="1628"/>
      <c r="CE85" s="1628"/>
      <c r="CF85" s="1422">
        <f>+Z85/$BK85</f>
        <v>8.0030771102195641E-2</v>
      </c>
      <c r="CG85" s="1422">
        <f>+AF85/$BK85</f>
        <v>1.2239735269404828E-2</v>
      </c>
      <c r="CH85" s="1422">
        <f>+AL85/$BK85</f>
        <v>5.2937108462503624E-3</v>
      </c>
      <c r="CI85" s="1422">
        <f>+AR85/$BK85</f>
        <v>-1.6908337707214987E-2</v>
      </c>
      <c r="CJ85" s="1422"/>
    </row>
    <row r="86" spans="1:92" hidden="1" outlineLevel="1">
      <c r="A86" s="467"/>
      <c r="B86" s="467"/>
      <c r="C86" s="467"/>
      <c r="D86" s="1603"/>
      <c r="E86" s="1088"/>
      <c r="F86" s="1088"/>
      <c r="G86" s="800"/>
      <c r="H86" s="1604"/>
      <c r="I86" s="1499"/>
      <c r="J86" s="1764"/>
      <c r="K86" s="1605"/>
      <c r="L86" s="1605"/>
      <c r="M86" s="1605"/>
      <c r="N86" s="467"/>
      <c r="O86" s="467"/>
      <c r="P86" s="1605"/>
      <c r="Q86" s="1605"/>
      <c r="R86" s="1605"/>
      <c r="S86" s="1605"/>
      <c r="T86" s="467"/>
      <c r="U86" s="467"/>
      <c r="V86" s="1605"/>
      <c r="W86" s="1603"/>
      <c r="X86" s="1088"/>
      <c r="Y86" s="1088"/>
      <c r="Z86" s="800"/>
      <c r="AA86" s="1499"/>
      <c r="AB86" s="1764"/>
      <c r="AC86" s="800"/>
      <c r="AD86" s="1088"/>
      <c r="AE86" s="1088"/>
      <c r="AF86" s="800"/>
      <c r="AG86" s="1499"/>
      <c r="AH86" s="1764"/>
      <c r="AI86" s="800"/>
      <c r="AJ86" s="1088"/>
      <c r="AK86" s="1088"/>
      <c r="AL86" s="800"/>
      <c r="AM86" s="1604"/>
      <c r="AN86" s="702"/>
      <c r="AO86" s="1603"/>
      <c r="AP86" s="1088"/>
      <c r="AQ86" s="1088"/>
      <c r="AR86" s="800"/>
      <c r="AS86" s="1604"/>
      <c r="AT86" s="702"/>
      <c r="AU86" s="702"/>
      <c r="AV86" s="1603"/>
      <c r="AW86" s="1088"/>
      <c r="AX86" s="1088"/>
      <c r="AY86" s="800"/>
      <c r="AZ86" s="1604"/>
      <c r="BA86" s="487"/>
      <c r="BB86" s="1499"/>
      <c r="BC86" s="1499"/>
      <c r="BD86" s="1499"/>
      <c r="BE86" s="1606"/>
      <c r="BF86" s="487"/>
      <c r="BG86" s="487"/>
      <c r="BH86" s="1499"/>
      <c r="BI86" s="1499"/>
      <c r="BJ86" s="1499"/>
      <c r="BK86" s="1499"/>
      <c r="BL86" s="1606"/>
      <c r="BM86" s="1604"/>
      <c r="BN86" s="467"/>
      <c r="BO86" s="800"/>
      <c r="BP86" s="1088"/>
      <c r="BQ86" s="1649"/>
      <c r="BR86" s="1499"/>
      <c r="BS86" s="467"/>
      <c r="BT86" s="467"/>
      <c r="BU86" s="467"/>
      <c r="BV86" s="467"/>
      <c r="BW86" s="467"/>
      <c r="BX86" s="467"/>
      <c r="BY86" s="467"/>
      <c r="BZ86" s="467"/>
      <c r="CA86" s="467"/>
      <c r="CB86" s="467"/>
      <c r="CC86" s="467"/>
      <c r="CD86" s="467"/>
      <c r="CE86" s="467"/>
      <c r="CF86" s="467"/>
      <c r="CG86" s="467"/>
      <c r="CH86" s="467"/>
      <c r="CI86" s="467"/>
      <c r="CJ86" s="467"/>
    </row>
    <row r="87" spans="1:92" hidden="1" outlineLevel="1" collapsed="1">
      <c r="A87" s="2112">
        <f>+A80+1</f>
        <v>2001</v>
      </c>
      <c r="B87" s="2112"/>
      <c r="C87" s="467"/>
      <c r="D87" s="1603"/>
      <c r="E87" s="1088"/>
      <c r="F87" s="1088"/>
      <c r="G87" s="800"/>
      <c r="H87" s="1604"/>
      <c r="I87" s="1499"/>
      <c r="J87" s="1764"/>
      <c r="K87" s="1605"/>
      <c r="L87" s="1605"/>
      <c r="M87" s="1605"/>
      <c r="N87" s="467"/>
      <c r="O87" s="467"/>
      <c r="P87" s="1605"/>
      <c r="Q87" s="1605"/>
      <c r="R87" s="1605"/>
      <c r="S87" s="1605"/>
      <c r="T87" s="467"/>
      <c r="U87" s="467"/>
      <c r="V87" s="1605"/>
      <c r="W87" s="1603"/>
      <c r="X87" s="1088"/>
      <c r="Y87" s="1088"/>
      <c r="Z87" s="800"/>
      <c r="AA87" s="1499"/>
      <c r="AB87" s="1764"/>
      <c r="AC87" s="800"/>
      <c r="AD87" s="1088"/>
      <c r="AE87" s="1088"/>
      <c r="AF87" s="800"/>
      <c r="AG87" s="1499"/>
      <c r="AH87" s="1764"/>
      <c r="AI87" s="800"/>
      <c r="AJ87" s="1088"/>
      <c r="AK87" s="1088"/>
      <c r="AL87" s="800"/>
      <c r="AM87" s="1604"/>
      <c r="AN87" s="702"/>
      <c r="AO87" s="1603"/>
      <c r="AP87" s="1088"/>
      <c r="AQ87" s="1088"/>
      <c r="AR87" s="800"/>
      <c r="AS87" s="1604"/>
      <c r="AT87" s="702"/>
      <c r="AU87" s="702"/>
      <c r="AV87" s="1603"/>
      <c r="AW87" s="1088"/>
      <c r="AX87" s="1088"/>
      <c r="AY87" s="800"/>
      <c r="AZ87" s="1604"/>
      <c r="BA87" s="487"/>
      <c r="BB87" s="1499"/>
      <c r="BC87" s="1499"/>
      <c r="BD87" s="1499"/>
      <c r="BE87" s="1606"/>
      <c r="BF87" s="487"/>
      <c r="BG87" s="487"/>
      <c r="BH87" s="1499"/>
      <c r="BI87" s="1499"/>
      <c r="BJ87" s="1499"/>
      <c r="BK87" s="1499"/>
      <c r="BL87" s="1606"/>
      <c r="BM87" s="1604"/>
      <c r="BN87" s="467"/>
      <c r="BO87" s="800"/>
      <c r="BP87" s="1088"/>
      <c r="BQ87" s="1649"/>
      <c r="BR87" s="1499"/>
      <c r="BS87" s="467"/>
      <c r="BT87" s="467"/>
      <c r="BU87" s="467"/>
      <c r="BV87" s="467"/>
      <c r="BW87" s="467"/>
      <c r="BX87" s="467"/>
      <c r="BY87" s="467"/>
      <c r="BZ87" s="467"/>
      <c r="CA87" s="467"/>
      <c r="CB87" s="467"/>
      <c r="CC87" s="467"/>
      <c r="CD87" s="467"/>
      <c r="CE87" s="467"/>
      <c r="CF87" s="467"/>
      <c r="CG87" s="467"/>
      <c r="CH87" s="467"/>
      <c r="CI87" s="467"/>
      <c r="CJ87" s="467"/>
    </row>
    <row r="88" spans="1:92" hidden="1" outlineLevel="1">
      <c r="A88" s="467" t="str">
        <f>$A$11</f>
        <v>1Q</v>
      </c>
      <c r="B88" s="467" t="str">
        <f>$B$11</f>
        <v>Apr</v>
      </c>
      <c r="C88" s="467"/>
      <c r="D88" s="1607">
        <v>1923.3589999999999</v>
      </c>
      <c r="E88" s="1608">
        <f>+(D88/D81-1)*100</f>
        <v>4.1678310922203421</v>
      </c>
      <c r="F88" s="1639">
        <v>0</v>
      </c>
      <c r="G88" s="1610">
        <v>209.40799999999999</v>
      </c>
      <c r="H88" s="1618">
        <f>+(G88/G81-1)*100</f>
        <v>-4.06142766168972</v>
      </c>
      <c r="I88" s="1662">
        <f>+G88/D88*100</f>
        <v>10.887619004044486</v>
      </c>
      <c r="J88" s="1765"/>
      <c r="K88" s="1612"/>
      <c r="L88" s="1613"/>
      <c r="M88" s="1611"/>
      <c r="N88" s="467"/>
      <c r="O88" s="1620"/>
      <c r="P88" s="1611"/>
      <c r="Q88" s="1612"/>
      <c r="R88" s="1613"/>
      <c r="S88" s="1611"/>
      <c r="T88" s="467"/>
      <c r="U88" s="1620"/>
      <c r="V88" s="1611"/>
      <c r="W88" s="1607">
        <v>127.398</v>
      </c>
      <c r="X88" s="1608">
        <f>+(W88/W81-1)*100</f>
        <v>8.9421161098331545</v>
      </c>
      <c r="Y88" s="1639">
        <v>3</v>
      </c>
      <c r="Z88" s="1610">
        <v>10.167999999999999</v>
      </c>
      <c r="AA88" s="1662">
        <f>+Z88/W88*100</f>
        <v>7.9812869903766144</v>
      </c>
      <c r="AB88" s="1765"/>
      <c r="AC88" s="1610">
        <v>95.531999999999996</v>
      </c>
      <c r="AD88" s="1608">
        <f>+(AC88/AC81-1)*100</f>
        <v>31.811910149566746</v>
      </c>
      <c r="AE88" s="1639">
        <v>8</v>
      </c>
      <c r="AF88" s="1610">
        <v>1.272</v>
      </c>
      <c r="AG88" s="1662">
        <f>+AF88/AC88*100</f>
        <v>1.3314910187162416</v>
      </c>
      <c r="AH88" s="1765"/>
      <c r="AI88" s="1610">
        <v>99.61</v>
      </c>
      <c r="AJ88" s="1608">
        <f>+(AI88/AI81-1)*100</f>
        <v>68.450780444083662</v>
      </c>
      <c r="AK88" s="1639">
        <v>4</v>
      </c>
      <c r="AL88" s="1610">
        <v>0.11799999999999999</v>
      </c>
      <c r="AM88" s="1618">
        <f>+AL88/AI88*100</f>
        <v>0.11846200180704747</v>
      </c>
      <c r="AN88" s="1611"/>
      <c r="AO88" s="1607">
        <v>24.995999999999999</v>
      </c>
      <c r="AP88" s="1608">
        <f>+(AO88/AO81-1)*100</f>
        <v>89.910347971432884</v>
      </c>
      <c r="AQ88" s="1639">
        <v>22</v>
      </c>
      <c r="AR88" s="1610">
        <v>-4.0990000000000002</v>
      </c>
      <c r="AS88" s="1618">
        <f>+AR88/AO88*100</f>
        <v>-16.398623779804772</v>
      </c>
      <c r="AT88" s="1611"/>
      <c r="AU88" s="1611"/>
      <c r="AV88" s="1607"/>
      <c r="AW88" s="1608"/>
      <c r="AX88" s="1639"/>
      <c r="AY88" s="1610"/>
      <c r="AZ88" s="1618"/>
      <c r="BA88" s="1611"/>
      <c r="BB88" s="1614">
        <f>'qtrP&amp;L'!$AX$10</f>
        <v>2270.895</v>
      </c>
      <c r="BC88" s="1621"/>
      <c r="BD88" s="1627">
        <f>+D88+W88+AC88+AI88+AO88</f>
        <v>2270.8950000000004</v>
      </c>
      <c r="BE88" s="1638" t="str">
        <f>IF(BB88=BD88,"y","n")</f>
        <v>y</v>
      </c>
      <c r="BF88" s="1613">
        <f>+(BD88/BD81-1)*100</f>
        <v>7.721539042443637</v>
      </c>
      <c r="BG88" s="1611"/>
      <c r="BH88" s="1614">
        <f>'qtrP&amp;L'!$AX$61</f>
        <v>204.00799999999998</v>
      </c>
      <c r="BI88" s="1620">
        <f>+BH88/BB88*100</f>
        <v>8.9835945739455134</v>
      </c>
      <c r="BJ88" s="1617">
        <f>12.207+0.652</f>
        <v>12.859</v>
      </c>
      <c r="BK88" s="1614">
        <f>+G88+Z88+AF88+AL88+AR88-BJ88</f>
        <v>204.00799999999998</v>
      </c>
      <c r="BL88" s="1638" t="str">
        <f>IF(BH88=BK88,"y","n")</f>
        <v>y</v>
      </c>
      <c r="BM88" s="1618">
        <f>+BK88/BD88*100</f>
        <v>8.9835945739455116</v>
      </c>
      <c r="BN88" s="467"/>
      <c r="BO88" s="1610"/>
      <c r="BP88" s="1608"/>
      <c r="BQ88" s="1639"/>
      <c r="BR88" s="1610"/>
      <c r="BS88" s="1620"/>
      <c r="BT88" s="467"/>
      <c r="BU88" s="1422">
        <f>+D88/$BD88</f>
        <v>0.84696077978065898</v>
      </c>
      <c r="BV88" s="1628"/>
      <c r="BW88" s="1628"/>
      <c r="BX88" s="1422">
        <f>+W88/$BD88</f>
        <v>5.6100348100638721E-2</v>
      </c>
      <c r="BY88" s="1422">
        <f>+AC88/BD88</f>
        <v>4.2067995217744535E-2</v>
      </c>
      <c r="BZ88" s="1422">
        <f>+AI88/BD88</f>
        <v>4.3863762965702942E-2</v>
      </c>
      <c r="CA88" s="1422">
        <f>+AO88/BD88</f>
        <v>1.10071139352546E-2</v>
      </c>
      <c r="CB88" s="467"/>
      <c r="CC88" s="1422">
        <f>+G88/$BK88</f>
        <v>1.0264695502137171</v>
      </c>
      <c r="CD88" s="1628"/>
      <c r="CE88" s="1628"/>
      <c r="CF88" s="1422">
        <f>+Z88/$BK88</f>
        <v>4.98411826987177E-2</v>
      </c>
      <c r="CG88" s="1422">
        <f>+AF88/$BK88</f>
        <v>6.2350496058978088E-3</v>
      </c>
      <c r="CH88" s="1422">
        <f>+AL88/$BK88</f>
        <v>5.7840868985529982E-4</v>
      </c>
      <c r="CI88" s="1422">
        <f>+AR88/$BK88</f>
        <v>-2.0092349319634526E-2</v>
      </c>
      <c r="CJ88" s="1422"/>
      <c r="CK88" s="1650">
        <f>+SUM(D88,W88,AC88,AI88)</f>
        <v>2245.8990000000003</v>
      </c>
      <c r="CM88" s="1650">
        <f>+SUM(G88,Z88,AF88,AL88)</f>
        <v>220.96599999999998</v>
      </c>
      <c r="CN88" s="493">
        <f>+CM88/CK88</f>
        <v>9.8386436789900139E-2</v>
      </c>
    </row>
    <row r="89" spans="1:92" hidden="1" outlineLevel="1">
      <c r="A89" s="467" t="str">
        <f>$A$12</f>
        <v>2Q</v>
      </c>
      <c r="B89" s="467" t="str">
        <f>$B$12</f>
        <v>Jul</v>
      </c>
      <c r="C89" s="467"/>
      <c r="D89" s="1616">
        <v>2073.9380000000001</v>
      </c>
      <c r="E89" s="1608">
        <f>+(D89/D82-1)*100</f>
        <v>6.057908121650124</v>
      </c>
      <c r="F89" s="1639">
        <v>2</v>
      </c>
      <c r="G89" s="1641">
        <v>192.91200000000001</v>
      </c>
      <c r="H89" s="1618">
        <f>+(G89/G82-1)*100</f>
        <v>1.0089797628086039</v>
      </c>
      <c r="I89" s="1662">
        <f>+G89/D89*100</f>
        <v>9.3017245452853459</v>
      </c>
      <c r="J89" s="1765"/>
      <c r="K89" s="1619"/>
      <c r="L89" s="1613"/>
      <c r="M89" s="1611"/>
      <c r="N89" s="467"/>
      <c r="O89" s="1620"/>
      <c r="P89" s="1611"/>
      <c r="Q89" s="1619"/>
      <c r="R89" s="1613"/>
      <c r="S89" s="1611"/>
      <c r="T89" s="467"/>
      <c r="U89" s="1620"/>
      <c r="V89" s="1611"/>
      <c r="W89" s="1616">
        <v>156.68600000000001</v>
      </c>
      <c r="X89" s="1608">
        <f>+(W89/W82-1)*100</f>
        <v>19.19182698524995</v>
      </c>
      <c r="Y89" s="1639">
        <v>3</v>
      </c>
      <c r="Z89" s="1641">
        <v>11.412000000000001</v>
      </c>
      <c r="AA89" s="1662">
        <f>+Z89/W89*100</f>
        <v>7.2833565219611192</v>
      </c>
      <c r="AB89" s="1765"/>
      <c r="AC89" s="1617">
        <v>111.979</v>
      </c>
      <c r="AD89" s="1608">
        <f>+(AC89/AC82-1)*100</f>
        <v>30.95427435387672</v>
      </c>
      <c r="AE89" s="1639">
        <v>8</v>
      </c>
      <c r="AF89" s="1641">
        <v>2.9870000000000001</v>
      </c>
      <c r="AG89" s="1662">
        <f>+AF89/AC89*100</f>
        <v>2.6674644352959036</v>
      </c>
      <c r="AH89" s="1765"/>
      <c r="AI89" s="1617">
        <v>111.045</v>
      </c>
      <c r="AJ89" s="1608">
        <f>+(AI89/AI82-1)*100</f>
        <v>65.358727700509277</v>
      </c>
      <c r="AK89" s="1639">
        <v>5</v>
      </c>
      <c r="AL89" s="1641">
        <v>-4.0060000000000002</v>
      </c>
      <c r="AM89" s="1618">
        <f>+AL89/AI89*100</f>
        <v>-3.6075464901616465</v>
      </c>
      <c r="AN89" s="1611"/>
      <c r="AO89" s="1616">
        <v>33.973999999999997</v>
      </c>
      <c r="AP89" s="1608">
        <f>+(AO89/AO82-1)*100</f>
        <v>82.891903531438388</v>
      </c>
      <c r="AQ89" s="1639">
        <v>18</v>
      </c>
      <c r="AR89" s="1641">
        <v>-2.976</v>
      </c>
      <c r="AS89" s="1618">
        <f>+AR89/AO89*100</f>
        <v>-8.7596397244952016</v>
      </c>
      <c r="AT89" s="1611"/>
      <c r="AU89" s="1611"/>
      <c r="AV89" s="1616"/>
      <c r="AW89" s="1608"/>
      <c r="AX89" s="1639"/>
      <c r="AY89" s="1641"/>
      <c r="AZ89" s="1618"/>
      <c r="BA89" s="1611"/>
      <c r="BB89" s="1621">
        <f>'qtrP&amp;L'!$AX$11</f>
        <v>2487.6219999999998</v>
      </c>
      <c r="BC89" s="1621"/>
      <c r="BD89" s="1621">
        <f>+D89+W89+AC89+AI89+AO89</f>
        <v>2487.6220000000003</v>
      </c>
      <c r="BE89" s="1638" t="str">
        <f>IF(BB89=BD89,"y","n")</f>
        <v>y</v>
      </c>
      <c r="BF89" s="1613">
        <f>+(BD89/BD82-1)*100</f>
        <v>10.160775918950439</v>
      </c>
      <c r="BG89" s="1611"/>
      <c r="BH89" s="1621">
        <f>'qtrP&amp;L'!$AX$62</f>
        <v>186.47599999999989</v>
      </c>
      <c r="BI89" s="1620">
        <f>+BH89/BB89*100</f>
        <v>7.4961549624500785</v>
      </c>
      <c r="BJ89" s="1617">
        <f>13.201+0.652</f>
        <v>13.853</v>
      </c>
      <c r="BK89" s="1621">
        <f>+G89+Z89+AF89+AL89+AR89-BJ89</f>
        <v>186.476</v>
      </c>
      <c r="BL89" s="1638" t="str">
        <f>IF(BH89=BK89,"y","n")</f>
        <v>y</v>
      </c>
      <c r="BM89" s="1618">
        <f>+BK89/BD89*100</f>
        <v>7.4961549624500812</v>
      </c>
      <c r="BN89" s="467"/>
      <c r="BO89" s="1617"/>
      <c r="BP89" s="1608"/>
      <c r="BQ89" s="1639"/>
      <c r="BR89" s="1617"/>
      <c r="BS89" s="1620"/>
      <c r="BT89" s="467"/>
      <c r="BU89" s="1422">
        <f>+D89/$BD89</f>
        <v>0.83370303044433591</v>
      </c>
      <c r="BV89" s="1628"/>
      <c r="BW89" s="1628"/>
      <c r="BX89" s="1422">
        <f>+W89/$BD89</f>
        <v>6.2986257558423256E-2</v>
      </c>
      <c r="BY89" s="1422">
        <f>+AC89/BD89</f>
        <v>4.5014475671946941E-2</v>
      </c>
      <c r="BZ89" s="1422">
        <f>+AI89/BD89</f>
        <v>4.4639016699482476E-2</v>
      </c>
      <c r="CA89" s="1422">
        <f>+AO89/BD89</f>
        <v>1.3657219625811314E-2</v>
      </c>
      <c r="CB89" s="467"/>
      <c r="CC89" s="1422">
        <f>+G89/$BK89</f>
        <v>1.0345138248353676</v>
      </c>
      <c r="CD89" s="1628"/>
      <c r="CE89" s="1628"/>
      <c r="CF89" s="1422">
        <f>+Z89/$BK89</f>
        <v>6.119822390012656E-2</v>
      </c>
      <c r="CG89" s="1422">
        <f>+AF89/$BK89</f>
        <v>1.6018147107402562E-2</v>
      </c>
      <c r="CH89" s="1422">
        <f>+AL89/$BK89</f>
        <v>-2.1482657285656064E-2</v>
      </c>
      <c r="CI89" s="1422">
        <f>+AR89/$BK89</f>
        <v>-1.5959158283103455E-2</v>
      </c>
      <c r="CJ89" s="1422"/>
      <c r="CK89" s="1650">
        <f>+SUM(D89,W89,AC89,AI89)</f>
        <v>2453.6480000000001</v>
      </c>
      <c r="CM89" s="1650">
        <f>+SUM(G89,Z89,AF89,AL89)</f>
        <v>203.30500000000001</v>
      </c>
      <c r="CN89" s="493">
        <f>+CM89/CK89</f>
        <v>8.2858258397292522E-2</v>
      </c>
    </row>
    <row r="90" spans="1:92" hidden="1" outlineLevel="1">
      <c r="A90" s="467" t="str">
        <f>$A$13</f>
        <v>3Q</v>
      </c>
      <c r="B90" s="467" t="str">
        <f>$B$13</f>
        <v>Oct</v>
      </c>
      <c r="C90" s="467"/>
      <c r="D90" s="1616">
        <v>2271.893</v>
      </c>
      <c r="E90" s="1608">
        <f>+(D90/D83-1)*100</f>
        <v>7.813271147961709</v>
      </c>
      <c r="F90" s="1639">
        <v>3</v>
      </c>
      <c r="G90" s="1641">
        <v>244.26599999999999</v>
      </c>
      <c r="H90" s="1618">
        <f>+(G90/G83-1)*100</f>
        <v>-1.898052949492357</v>
      </c>
      <c r="I90" s="1662">
        <f>+G90/D90*100</f>
        <v>10.751650715944809</v>
      </c>
      <c r="J90" s="1765"/>
      <c r="K90" s="1619"/>
      <c r="L90" s="1613"/>
      <c r="M90" s="1611"/>
      <c r="N90" s="467"/>
      <c r="O90" s="1620"/>
      <c r="P90" s="1611"/>
      <c r="Q90" s="1619"/>
      <c r="R90" s="1613"/>
      <c r="S90" s="1611"/>
      <c r="T90" s="467"/>
      <c r="U90" s="1620"/>
      <c r="V90" s="1611"/>
      <c r="W90" s="1616">
        <v>179.797</v>
      </c>
      <c r="X90" s="1608">
        <f>+(W90/W83-1)*100</f>
        <v>11.661977779019871</v>
      </c>
      <c r="Y90" s="1639">
        <v>3</v>
      </c>
      <c r="Z90" s="1641">
        <v>18.850000000000001</v>
      </c>
      <c r="AA90" s="1662">
        <f>+Z90/W90*100</f>
        <v>10.484045896205165</v>
      </c>
      <c r="AB90" s="1765"/>
      <c r="AC90" s="1617">
        <v>126.307</v>
      </c>
      <c r="AD90" s="1608">
        <f>+(AC90/AC83-1)*100</f>
        <v>31.243051153898094</v>
      </c>
      <c r="AE90" s="1639">
        <v>0</v>
      </c>
      <c r="AF90" s="1641">
        <v>2.149</v>
      </c>
      <c r="AG90" s="1662">
        <f>+AF90/AC90*100</f>
        <v>1.7014100564497612</v>
      </c>
      <c r="AH90" s="1765"/>
      <c r="AI90" s="1617">
        <v>125.181</v>
      </c>
      <c r="AJ90" s="1608">
        <f>+(AI90/AI83-1)*100</f>
        <v>62.492536150990418</v>
      </c>
      <c r="AK90" s="1639">
        <v>7</v>
      </c>
      <c r="AL90" s="1641">
        <v>1.496</v>
      </c>
      <c r="AM90" s="1618">
        <f>+AL90/AI90*100</f>
        <v>1.1950695393070834</v>
      </c>
      <c r="AN90" s="1611"/>
      <c r="AO90" s="1616">
        <v>38.591000000000001</v>
      </c>
      <c r="AP90" s="1608">
        <f>+(AO90/AO83-1)*100</f>
        <v>94.246740826496193</v>
      </c>
      <c r="AQ90" s="1639">
        <v>18</v>
      </c>
      <c r="AR90" s="1641">
        <v>-3.1080000000000001</v>
      </c>
      <c r="AS90" s="1618">
        <f>+AR90/AO90*100</f>
        <v>-8.0536912751677843</v>
      </c>
      <c r="AT90" s="1611"/>
      <c r="AU90" s="1611"/>
      <c r="AV90" s="1616"/>
      <c r="AW90" s="1608"/>
      <c r="AX90" s="1639"/>
      <c r="AY90" s="1641"/>
      <c r="AZ90" s="1618"/>
      <c r="BA90" s="1611"/>
      <c r="BB90" s="1621">
        <f>'qtrP&amp;L'!$AX$12</f>
        <v>2741.7689999999998</v>
      </c>
      <c r="BC90" s="1621"/>
      <c r="BD90" s="1621">
        <f>+D90+W90+AC90+AI90+AO90</f>
        <v>2741.7689999999998</v>
      </c>
      <c r="BE90" s="1638" t="str">
        <f>IF(BB90=BD90,"y","n")</f>
        <v>y</v>
      </c>
      <c r="BF90" s="1613">
        <f>+(BD90/BD83-1)*100</f>
        <v>11.390133545352633</v>
      </c>
      <c r="BG90" s="1611"/>
      <c r="BH90" s="1621">
        <f>'qtrP&amp;L'!$AX$63</f>
        <v>250.05199999999968</v>
      </c>
      <c r="BI90" s="1620">
        <f>+BH90/BB90*100</f>
        <v>9.120097280259559</v>
      </c>
      <c r="BJ90" s="1617">
        <f>12.95+0.651</f>
        <v>13.600999999999999</v>
      </c>
      <c r="BK90" s="1621">
        <f>+G90+Z90+AF90+AL90+AR90-BJ90</f>
        <v>250.05199999999996</v>
      </c>
      <c r="BL90" s="1638" t="str">
        <f>IF(BH90=BK90,"y","n")</f>
        <v>y</v>
      </c>
      <c r="BM90" s="1618">
        <f>+BK90/BD90*100</f>
        <v>9.1200972802595697</v>
      </c>
      <c r="BN90" s="467"/>
      <c r="BO90" s="1617"/>
      <c r="BP90" s="1608"/>
      <c r="BQ90" s="1639"/>
      <c r="BR90" s="1617"/>
      <c r="BS90" s="1620"/>
      <c r="BT90" s="467"/>
      <c r="BU90" s="1422">
        <f>+D90/$BD90</f>
        <v>0.82862305321856078</v>
      </c>
      <c r="BV90" s="1628"/>
      <c r="BW90" s="1628"/>
      <c r="BX90" s="1422">
        <f>+W90/$BD90</f>
        <v>6.5577005210869344E-2</v>
      </c>
      <c r="BY90" s="1422">
        <f>+AC90/BD90</f>
        <v>4.6067703004884809E-2</v>
      </c>
      <c r="BZ90" s="1422">
        <f>+AI90/BD90</f>
        <v>4.5657019245603843E-2</v>
      </c>
      <c r="CA90" s="1422">
        <f>+AO90/BD90</f>
        <v>1.4075219320081307E-2</v>
      </c>
      <c r="CB90" s="467"/>
      <c r="CC90" s="1422">
        <f>+G90/$BK90</f>
        <v>0.97686081295090632</v>
      </c>
      <c r="CD90" s="1628"/>
      <c r="CE90" s="1628"/>
      <c r="CF90" s="1422">
        <f>+Z90/$BK90</f>
        <v>7.5384320061427243E-2</v>
      </c>
      <c r="CG90" s="1422">
        <f>+AF90/$BK90</f>
        <v>8.5942124038200073E-3</v>
      </c>
      <c r="CH90" s="1422">
        <f>+AL90/$BK90</f>
        <v>5.9827555868379387E-3</v>
      </c>
      <c r="CI90" s="1422">
        <f>+AR90/$BK90</f>
        <v>-1.2429414681746199E-2</v>
      </c>
      <c r="CJ90" s="1422"/>
      <c r="CK90" s="1650">
        <f>+SUM(D90,W90,AC90,AI90)</f>
        <v>2703.1779999999999</v>
      </c>
      <c r="CM90" s="1650">
        <f>+SUM(G90,Z90,AF90,AL90)</f>
        <v>266.76099999999997</v>
      </c>
      <c r="CN90" s="493">
        <f>+CM90/CK90</f>
        <v>9.8684215393880823E-2</v>
      </c>
    </row>
    <row r="91" spans="1:92" hidden="1" outlineLevel="1">
      <c r="A91" s="467" t="str">
        <f>$A$14</f>
        <v>4Q</v>
      </c>
      <c r="B91" s="467" t="str">
        <f>$B$14</f>
        <v>Jan</v>
      </c>
      <c r="C91" s="467"/>
      <c r="D91" s="1623">
        <v>2593.8629999999998</v>
      </c>
      <c r="E91" s="1608">
        <f>+(D91/D84-1)*100</f>
        <v>11.836303360569534</v>
      </c>
      <c r="F91" s="1639">
        <v>6</v>
      </c>
      <c r="G91" s="1642">
        <v>247.06399999999999</v>
      </c>
      <c r="H91" s="1618">
        <f>+(G91/G84-1)*100</f>
        <v>23.465328722489854</v>
      </c>
      <c r="I91" s="1662">
        <f>+G91/D91*100</f>
        <v>9.5249440699065442</v>
      </c>
      <c r="J91" s="1765"/>
      <c r="K91" s="1624"/>
      <c r="L91" s="1613"/>
      <c r="M91" s="1611"/>
      <c r="N91" s="467"/>
      <c r="O91" s="1620"/>
      <c r="P91" s="1611"/>
      <c r="Q91" s="1624"/>
      <c r="R91" s="1613"/>
      <c r="S91" s="1611"/>
      <c r="T91" s="467"/>
      <c r="U91" s="1620"/>
      <c r="V91" s="1611"/>
      <c r="W91" s="1623">
        <v>196.99600000000001</v>
      </c>
      <c r="X91" s="1608">
        <f>+(W91/W84-1)*100</f>
        <v>28.00758963962209</v>
      </c>
      <c r="Y91" s="1639">
        <v>15</v>
      </c>
      <c r="Z91" s="1642">
        <v>18.71</v>
      </c>
      <c r="AA91" s="1662">
        <f>+Z91/W91*100</f>
        <v>9.4976547747162385</v>
      </c>
      <c r="AB91" s="1765"/>
      <c r="AC91" s="1624">
        <v>186.71100000000001</v>
      </c>
      <c r="AD91" s="1608">
        <f>+(AC91/AC84-1)*100</f>
        <v>38.471636123615951</v>
      </c>
      <c r="AE91" s="1639">
        <v>5</v>
      </c>
      <c r="AF91" s="1642">
        <v>6.5640000000000001</v>
      </c>
      <c r="AG91" s="1662">
        <f>+AF91/AC91*100</f>
        <v>3.515593617944309</v>
      </c>
      <c r="AH91" s="1765"/>
      <c r="AI91" s="1624">
        <v>171.375</v>
      </c>
      <c r="AJ91" s="1608">
        <f>+(AI91/AI84-1)*100</f>
        <v>53.438087563792649</v>
      </c>
      <c r="AK91" s="1639">
        <v>11</v>
      </c>
      <c r="AL91" s="1642">
        <v>6.1020000000000003</v>
      </c>
      <c r="AM91" s="1618">
        <f>+AL91/AI91*100</f>
        <v>3.5606126914660834</v>
      </c>
      <c r="AN91" s="1611"/>
      <c r="AO91" s="1623">
        <v>59.767000000000003</v>
      </c>
      <c r="AP91" s="1608">
        <f>+(AO91/AO84-1)*100</f>
        <v>89.465842447297518</v>
      </c>
      <c r="AQ91" s="1639">
        <v>17</v>
      </c>
      <c r="AR91" s="1642">
        <v>-1.66</v>
      </c>
      <c r="AS91" s="1618">
        <f>+AR91/AO91*100</f>
        <v>-2.7774524403098697</v>
      </c>
      <c r="AT91" s="1611"/>
      <c r="AU91" s="1611"/>
      <c r="AV91" s="1623"/>
      <c r="AW91" s="1608"/>
      <c r="AX91" s="1639"/>
      <c r="AY91" s="1642"/>
      <c r="AZ91" s="1618"/>
      <c r="BA91" s="1611"/>
      <c r="BB91" s="1625">
        <f>'qtrP&amp;L'!$AX$13</f>
        <v>3208.712</v>
      </c>
      <c r="BC91" s="1625"/>
      <c r="BD91" s="1625">
        <f>+D91+W91+AC91+AI91+AO91</f>
        <v>3208.7119999999995</v>
      </c>
      <c r="BE91" s="1638" t="str">
        <f>IF(BB91=BD91,"y","n")</f>
        <v>y</v>
      </c>
      <c r="BF91" s="1613">
        <f>+(BD91/BD84-1)*100</f>
        <v>16.625092456125333</v>
      </c>
      <c r="BG91" s="1611"/>
      <c r="BH91" s="1625">
        <f>'qtrP&amp;L'!$AX$64</f>
        <v>259.15099999999978</v>
      </c>
      <c r="BI91" s="1643">
        <f>+BH91/BB91*100</f>
        <v>8.0764805317522974</v>
      </c>
      <c r="BJ91" s="1624">
        <f>16.977+0.652</f>
        <v>17.629000000000001</v>
      </c>
      <c r="BK91" s="1625">
        <f>+G91+Z91+AF91+AL91+AR91-BJ91</f>
        <v>259.15099999999995</v>
      </c>
      <c r="BL91" s="1638" t="str">
        <f>IF(BH91=BK91,"y","n")</f>
        <v>y</v>
      </c>
      <c r="BM91" s="1618">
        <f>+BK91/BD91*100</f>
        <v>8.0764805317523045</v>
      </c>
      <c r="BN91" s="467"/>
      <c r="BO91" s="1617"/>
      <c r="BP91" s="1608"/>
      <c r="BQ91" s="1639"/>
      <c r="BR91" s="1617"/>
      <c r="BS91" s="1620"/>
      <c r="BT91" s="467"/>
      <c r="BU91" s="1422">
        <f>+D91/$BD91</f>
        <v>0.80838136922229242</v>
      </c>
      <c r="BV91" s="1628"/>
      <c r="BW91" s="1628"/>
      <c r="BX91" s="1422">
        <f>+W91/$BD91</f>
        <v>6.139410455036165E-2</v>
      </c>
      <c r="BY91" s="1422">
        <f>+AC91/BD91</f>
        <v>5.8188768577547637E-2</v>
      </c>
      <c r="BZ91" s="1422">
        <f>+AI91/BD91</f>
        <v>5.3409280733203862E-2</v>
      </c>
      <c r="CA91" s="1422">
        <f>+AO91/BD91</f>
        <v>1.8626476916594574E-2</v>
      </c>
      <c r="CB91" s="467"/>
      <c r="CC91" s="1422">
        <f>+G91/$BK91</f>
        <v>0.95335923843627857</v>
      </c>
      <c r="CD91" s="1628"/>
      <c r="CE91" s="1628"/>
      <c r="CF91" s="1422">
        <f>+Z91/$BK91</f>
        <v>7.2197290382827017E-2</v>
      </c>
      <c r="CG91" s="1422">
        <f>+AF91/$BK91</f>
        <v>2.5328862323510237E-2</v>
      </c>
      <c r="CH91" s="1422">
        <f>+AL91/$BK91</f>
        <v>2.354611790037469E-2</v>
      </c>
      <c r="CI91" s="1422">
        <f>+AR91/$BK91</f>
        <v>-6.4055319099675491E-3</v>
      </c>
      <c r="CJ91" s="1422"/>
      <c r="CK91" s="1650">
        <f>+SUM(D91,W91,AC91,AI91)</f>
        <v>3148.9449999999997</v>
      </c>
      <c r="CM91" s="1650">
        <f>+SUM(G91,Z91,AF91,AL91)</f>
        <v>278.44</v>
      </c>
      <c r="CN91" s="493">
        <f>+CM91/CK91</f>
        <v>8.8423265569897228E-2</v>
      </c>
    </row>
    <row r="92" spans="1:92" hidden="1" outlineLevel="1">
      <c r="A92" s="467"/>
      <c r="B92" s="467" t="str">
        <f>$B$15</f>
        <v>Year</v>
      </c>
      <c r="C92" s="467"/>
      <c r="D92" s="1644">
        <f>+SUM(D88:D91)</f>
        <v>8863.0529999999999</v>
      </c>
      <c r="E92" s="1608">
        <f>+(D92/D85-1)*100</f>
        <v>7.7120674225141128</v>
      </c>
      <c r="F92" s="1639">
        <v>3</v>
      </c>
      <c r="G92" s="1614">
        <f>+SUM(G88:G91)</f>
        <v>893.65</v>
      </c>
      <c r="H92" s="1618">
        <f>+(G92/G85-1)*100</f>
        <v>4.1115711626151352</v>
      </c>
      <c r="I92" s="1662">
        <f>+G92/D92*100</f>
        <v>10.08286873608902</v>
      </c>
      <c r="J92" s="1765"/>
      <c r="K92" s="1612"/>
      <c r="L92" s="1613"/>
      <c r="M92" s="1611"/>
      <c r="N92" s="467"/>
      <c r="O92" s="1620"/>
      <c r="P92" s="1611"/>
      <c r="Q92" s="1612"/>
      <c r="R92" s="1613"/>
      <c r="S92" s="1611"/>
      <c r="T92" s="467"/>
      <c r="U92" s="1620"/>
      <c r="V92" s="1611"/>
      <c r="W92" s="1644">
        <f>+SUM(W88:W91)</f>
        <v>660.87699999999995</v>
      </c>
      <c r="X92" s="1608">
        <f>+(W92/W85-1)*100</f>
        <v>17.320094938675055</v>
      </c>
      <c r="Y92" s="1639">
        <v>6</v>
      </c>
      <c r="Z92" s="1614">
        <f>+SUM(Z88:Z91)</f>
        <v>59.14</v>
      </c>
      <c r="AA92" s="1662">
        <f>+Z92/W92*100</f>
        <v>8.9487151164286249</v>
      </c>
      <c r="AB92" s="1765"/>
      <c r="AC92" s="1614">
        <f>+SUM(AC88:AC91)</f>
        <v>520.529</v>
      </c>
      <c r="AD92" s="1608">
        <f>+(AC92/AC85-1)*100</f>
        <v>33.790758285311838</v>
      </c>
      <c r="AE92" s="1639">
        <v>5</v>
      </c>
      <c r="AF92" s="1614">
        <f>+SUM(AF88:AF91)</f>
        <v>12.972000000000001</v>
      </c>
      <c r="AG92" s="1662">
        <f>+AF92/AC92*100</f>
        <v>2.4920801722862707</v>
      </c>
      <c r="AH92" s="1765"/>
      <c r="AI92" s="1614">
        <f>+SUM(AI88:AI91)</f>
        <v>507.21100000000001</v>
      </c>
      <c r="AJ92" s="1608">
        <f>+(AI92/AI85-1)*100</f>
        <v>61.011697855657673</v>
      </c>
      <c r="AK92" s="1639">
        <v>7</v>
      </c>
      <c r="AL92" s="1614">
        <f>+SUM(AL88:AL91)</f>
        <v>3.71</v>
      </c>
      <c r="AM92" s="1618">
        <f>+AL92/AI92*100</f>
        <v>0.73145101348354036</v>
      </c>
      <c r="AN92" s="1611"/>
      <c r="AO92" s="1644">
        <f>+SUM(AO88:AO91)</f>
        <v>157.328</v>
      </c>
      <c r="AP92" s="1608">
        <f>+(AO92/AO85-1)*100</f>
        <v>89.209861695730595</v>
      </c>
      <c r="AQ92" s="1639">
        <v>18</v>
      </c>
      <c r="AR92" s="1614">
        <f>+SUM(AR88:AR91)</f>
        <v>-11.843</v>
      </c>
      <c r="AS92" s="1618">
        <f>+AR92/AO92*100</f>
        <v>-7.5275856808705379</v>
      </c>
      <c r="AT92" s="1611"/>
      <c r="AU92" s="1611"/>
      <c r="AV92" s="1644"/>
      <c r="AW92" s="1608"/>
      <c r="AX92" s="1639"/>
      <c r="AY92" s="1614"/>
      <c r="AZ92" s="1618"/>
      <c r="BA92" s="1611"/>
      <c r="BB92" s="1621">
        <f>'qtrP&amp;L'!$AX$14</f>
        <v>10708.998</v>
      </c>
      <c r="BC92" s="1621"/>
      <c r="BD92" s="1651">
        <f>+D92+W92+AC92+AI92+AO92</f>
        <v>10708.998</v>
      </c>
      <c r="BE92" s="1638" t="str">
        <f>IF(BB92=BD92,"y","n")</f>
        <v>y</v>
      </c>
      <c r="BF92" s="1613">
        <f>+(BD92/BD85-1)*100</f>
        <v>11.796547574978034</v>
      </c>
      <c r="BG92" s="1611"/>
      <c r="BH92" s="1621">
        <f>'qtrP&amp;L'!$AX$65</f>
        <v>899.68699999999944</v>
      </c>
      <c r="BI92" s="1620">
        <f>+BH92/BB92*100</f>
        <v>8.401224839149279</v>
      </c>
      <c r="BJ92" s="1621">
        <f>SUM(BJ88:BJ91)</f>
        <v>57.942000000000007</v>
      </c>
      <c r="BK92" s="1614">
        <f>+G92+Z92+AF92+AL92+AR92-BJ92</f>
        <v>899.68700000000001</v>
      </c>
      <c r="BL92" s="1638" t="str">
        <f>IF(BH92=BK92,"y","n")</f>
        <v>n</v>
      </c>
      <c r="BM92" s="1618">
        <f>+BK92/BD92*100</f>
        <v>8.4012248391492843</v>
      </c>
      <c r="BN92" s="467"/>
      <c r="BO92" s="1614"/>
      <c r="BP92" s="1608"/>
      <c r="BQ92" s="1639"/>
      <c r="BR92" s="1614"/>
      <c r="BS92" s="1620"/>
      <c r="BT92" s="467"/>
      <c r="BU92" s="1422">
        <f>+D92/$BD92</f>
        <v>0.82762673034395939</v>
      </c>
      <c r="BV92" s="1628"/>
      <c r="BW92" s="1628"/>
      <c r="BX92" s="1422">
        <f>+W92/$BD92</f>
        <v>6.1712309592363353E-2</v>
      </c>
      <c r="BY92" s="1422">
        <f>+AC92/BD92</f>
        <v>4.8606695042804196E-2</v>
      </c>
      <c r="BZ92" s="1422">
        <f>+AI92/BD92</f>
        <v>4.7363067954630307E-2</v>
      </c>
      <c r="CA92" s="1422">
        <f>+AO92/BD92</f>
        <v>1.4691197066242799E-2</v>
      </c>
      <c r="CB92" s="467"/>
      <c r="CC92" s="1422">
        <f>+G92/$BK92</f>
        <v>0.993289888594589</v>
      </c>
      <c r="CD92" s="1628"/>
      <c r="CE92" s="1628"/>
      <c r="CF92" s="1422">
        <f>+Z92/$BK92</f>
        <v>6.5733971925791973E-2</v>
      </c>
      <c r="CG92" s="1422">
        <f>+AF92/$BK92</f>
        <v>1.4418347714260628E-2</v>
      </c>
      <c r="CH92" s="1422">
        <f>+AL92/$BK92</f>
        <v>4.1236563382598618E-3</v>
      </c>
      <c r="CI92" s="1422">
        <f>+AR92/$BK92</f>
        <v>-1.3163466850137881E-2</v>
      </c>
      <c r="CJ92" s="1422"/>
      <c r="CK92" s="1650">
        <f>+SUM(D92,W92,AC92,AI92)</f>
        <v>10551.67</v>
      </c>
      <c r="CM92" s="1650">
        <f>+SUM(G92,Z92,AF92,AL92)</f>
        <v>969.47199999999998</v>
      </c>
      <c r="CN92" s="493">
        <f>+CM92/CK92</f>
        <v>9.1878536762427174E-2</v>
      </c>
    </row>
    <row r="93" spans="1:92" hidden="1" outlineLevel="1">
      <c r="A93" s="467"/>
      <c r="B93" s="467"/>
      <c r="C93" s="467"/>
      <c r="D93" s="1603"/>
      <c r="E93" s="1088"/>
      <c r="F93" s="1649"/>
      <c r="G93" s="800"/>
      <c r="H93" s="1604"/>
      <c r="I93" s="1499"/>
      <c r="J93" s="1764"/>
      <c r="K93" s="1605"/>
      <c r="L93" s="1605"/>
      <c r="M93" s="1605"/>
      <c r="N93" s="467"/>
      <c r="O93" s="467"/>
      <c r="P93" s="1605"/>
      <c r="Q93" s="1605"/>
      <c r="R93" s="1605"/>
      <c r="S93" s="1605"/>
      <c r="T93" s="467"/>
      <c r="U93" s="467"/>
      <c r="V93" s="1605"/>
      <c r="W93" s="1603"/>
      <c r="X93" s="1088"/>
      <c r="Y93" s="1649"/>
      <c r="Z93" s="800"/>
      <c r="AA93" s="1499"/>
      <c r="AB93" s="1764"/>
      <c r="AC93" s="800"/>
      <c r="AD93" s="1088"/>
      <c r="AE93" s="1649"/>
      <c r="AF93" s="800"/>
      <c r="AG93" s="1499"/>
      <c r="AH93" s="1764"/>
      <c r="AI93" s="800"/>
      <c r="AJ93" s="1088"/>
      <c r="AK93" s="1649"/>
      <c r="AL93" s="800"/>
      <c r="AM93" s="1604"/>
      <c r="AN93" s="702"/>
      <c r="AO93" s="1603"/>
      <c r="AP93" s="1088"/>
      <c r="AQ93" s="1649"/>
      <c r="AR93" s="800"/>
      <c r="AS93" s="1604"/>
      <c r="AT93" s="702"/>
      <c r="AU93" s="702"/>
      <c r="AV93" s="1603"/>
      <c r="AW93" s="1088"/>
      <c r="AX93" s="1649"/>
      <c r="AY93" s="800"/>
      <c r="AZ93" s="1604"/>
      <c r="BA93" s="487"/>
      <c r="BB93" s="1499"/>
      <c r="BC93" s="1499"/>
      <c r="BD93" s="1499"/>
      <c r="BE93" s="1606"/>
      <c r="BF93" s="487"/>
      <c r="BG93" s="487"/>
      <c r="BH93" s="1499"/>
      <c r="BI93" s="1499"/>
      <c r="BJ93" s="1499"/>
      <c r="BK93" s="1499"/>
      <c r="BL93" s="1606"/>
      <c r="BM93" s="1604"/>
      <c r="BN93" s="467"/>
      <c r="BO93" s="800"/>
      <c r="BP93" s="1088"/>
      <c r="BQ93" s="1088"/>
      <c r="BR93" s="1499"/>
      <c r="BS93" s="467"/>
      <c r="BT93" s="467"/>
      <c r="BU93" s="467"/>
      <c r="BV93" s="467"/>
      <c r="BW93" s="467"/>
      <c r="BX93" s="467"/>
      <c r="BY93" s="467"/>
      <c r="BZ93" s="467"/>
      <c r="CA93" s="467"/>
      <c r="CB93" s="467"/>
      <c r="CC93" s="467"/>
      <c r="CD93" s="467"/>
      <c r="CE93" s="467"/>
      <c r="CF93" s="467"/>
      <c r="CG93" s="467"/>
      <c r="CH93" s="467"/>
      <c r="CI93" s="467"/>
      <c r="CJ93" s="467"/>
    </row>
    <row r="94" spans="1:92" hidden="1" outlineLevel="1">
      <c r="A94" s="2112">
        <f>+A87+1</f>
        <v>2002</v>
      </c>
      <c r="B94" s="2112"/>
      <c r="C94" s="467"/>
      <c r="D94" s="1603"/>
      <c r="E94" s="1088"/>
      <c r="F94" s="1649"/>
      <c r="G94" s="800"/>
      <c r="H94" s="1604"/>
      <c r="I94" s="1499"/>
      <c r="J94" s="1764"/>
      <c r="K94" s="1605"/>
      <c r="L94" s="1605"/>
      <c r="M94" s="1605"/>
      <c r="N94" s="467"/>
      <c r="O94" s="467"/>
      <c r="P94" s="1605"/>
      <c r="Q94" s="1605"/>
      <c r="R94" s="1605"/>
      <c r="S94" s="1605"/>
      <c r="T94" s="467"/>
      <c r="U94" s="467"/>
      <c r="V94" s="1605"/>
      <c r="W94" s="1603"/>
      <c r="X94" s="1088"/>
      <c r="Y94" s="1649"/>
      <c r="Z94" s="800"/>
      <c r="AA94" s="1499"/>
      <c r="AB94" s="1764"/>
      <c r="AC94" s="800"/>
      <c r="AD94" s="1088"/>
      <c r="AE94" s="1649"/>
      <c r="AF94" s="800"/>
      <c r="AG94" s="1499"/>
      <c r="AH94" s="1764"/>
      <c r="AI94" s="800"/>
      <c r="AJ94" s="1088"/>
      <c r="AK94" s="1649"/>
      <c r="AL94" s="800"/>
      <c r="AM94" s="1604"/>
      <c r="AN94" s="702"/>
      <c r="AO94" s="1603"/>
      <c r="AP94" s="1088"/>
      <c r="AQ94" s="1649"/>
      <c r="AR94" s="800"/>
      <c r="AS94" s="1604"/>
      <c r="AT94" s="702"/>
      <c r="AU94" s="702"/>
      <c r="AV94" s="1603"/>
      <c r="AW94" s="1088"/>
      <c r="AX94" s="1649"/>
      <c r="AY94" s="800"/>
      <c r="AZ94" s="1604"/>
      <c r="BA94" s="487"/>
      <c r="BB94" s="1499"/>
      <c r="BC94" s="1499"/>
      <c r="BD94" s="1499"/>
      <c r="BE94" s="1606"/>
      <c r="BF94" s="487"/>
      <c r="BG94" s="487"/>
      <c r="BH94" s="1499"/>
      <c r="BI94" s="1499"/>
      <c r="BJ94" s="1499"/>
      <c r="BK94" s="1499"/>
      <c r="BL94" s="1606"/>
      <c r="BM94" s="1604"/>
      <c r="BN94" s="467"/>
      <c r="BO94" s="800"/>
      <c r="BP94" s="1088"/>
      <c r="BQ94" s="1088"/>
      <c r="BR94" s="1499"/>
      <c r="BS94" s="467"/>
      <c r="BT94" s="467"/>
      <c r="BU94" s="467"/>
      <c r="BV94" s="467"/>
      <c r="BW94" s="467"/>
      <c r="BX94" s="467"/>
      <c r="BY94" s="467"/>
      <c r="BZ94" s="467"/>
      <c r="CA94" s="467"/>
      <c r="CB94" s="467"/>
      <c r="CC94" s="467"/>
      <c r="CD94" s="467"/>
      <c r="CE94" s="467"/>
      <c r="CF94" s="467"/>
      <c r="CG94" s="467"/>
      <c r="CH94" s="467"/>
      <c r="CI94" s="467"/>
      <c r="CJ94" s="467"/>
    </row>
    <row r="95" spans="1:92" hidden="1" outlineLevel="1">
      <c r="A95" s="467" t="str">
        <f>$A$11</f>
        <v>1Q</v>
      </c>
      <c r="B95" s="467" t="str">
        <f>$B$11</f>
        <v>Apr</v>
      </c>
      <c r="C95" s="467"/>
      <c r="D95" s="1607">
        <v>2172.8870000000002</v>
      </c>
      <c r="E95" s="1608">
        <f>+(D95/D88-1)*100</f>
        <v>12.973553039240215</v>
      </c>
      <c r="F95" s="1639">
        <v>7</v>
      </c>
      <c r="G95" s="1610">
        <v>250.10400000000001</v>
      </c>
      <c r="H95" s="1618">
        <f>+(G95/G88-1)*100</f>
        <v>19.433832518337411</v>
      </c>
      <c r="I95" s="1662">
        <f>+G95/D95*100</f>
        <v>11.510216592027104</v>
      </c>
      <c r="J95" s="1765"/>
      <c r="K95" s="1612"/>
      <c r="L95" s="1613"/>
      <c r="M95" s="1611"/>
      <c r="N95" s="467"/>
      <c r="O95" s="1620"/>
      <c r="P95" s="1611"/>
      <c r="Q95" s="1612"/>
      <c r="R95" s="1613"/>
      <c r="S95" s="1611"/>
      <c r="T95" s="467"/>
      <c r="U95" s="1620"/>
      <c r="V95" s="1611"/>
      <c r="W95" s="1607">
        <v>162.328</v>
      </c>
      <c r="X95" s="1608">
        <f>+(W95/W88-1)*100</f>
        <v>27.418012841645869</v>
      </c>
      <c r="Y95" s="1639">
        <v>10</v>
      </c>
      <c r="Z95" s="1610">
        <v>13.066000000000001</v>
      </c>
      <c r="AA95" s="1662">
        <f>+Z95/W95*100</f>
        <v>8.0491350845202305</v>
      </c>
      <c r="AB95" s="1765"/>
      <c r="AC95" s="1610">
        <v>129.75899999999999</v>
      </c>
      <c r="AD95" s="1608">
        <f>+(AC95/AC88-1)*100</f>
        <v>35.827785454088669</v>
      </c>
      <c r="AE95" s="1639">
        <v>5</v>
      </c>
      <c r="AF95" s="1610">
        <v>-3.774</v>
      </c>
      <c r="AG95" s="1662">
        <f>+AF95/AC95*100</f>
        <v>-2.9084687767322501</v>
      </c>
      <c r="AH95" s="1765"/>
      <c r="AI95" s="1610">
        <v>150.834</v>
      </c>
      <c r="AJ95" s="1608">
        <f>+(AI95/AI88-1)*100</f>
        <v>51.424555767493231</v>
      </c>
      <c r="AK95" s="1639">
        <v>11</v>
      </c>
      <c r="AL95" s="1610">
        <v>4.0620000000000003</v>
      </c>
      <c r="AM95" s="1618">
        <f>+AL95/AI95*100</f>
        <v>2.6930267711523928</v>
      </c>
      <c r="AN95" s="1611"/>
      <c r="AO95" s="1607">
        <v>49.878999999999998</v>
      </c>
      <c r="AP95" s="1608">
        <f>+(AO95/AO88-1)*100</f>
        <v>99.547927668426951</v>
      </c>
      <c r="AQ95" s="1639">
        <v>21</v>
      </c>
      <c r="AR95" s="1610">
        <v>-3.137</v>
      </c>
      <c r="AS95" s="1618">
        <f>+AR95/AO95*100</f>
        <v>-6.2892199121874937</v>
      </c>
      <c r="AT95" s="1611"/>
      <c r="AU95" s="1611"/>
      <c r="AV95" s="1607"/>
      <c r="AW95" s="1608"/>
      <c r="AX95" s="1639"/>
      <c r="AY95" s="1610"/>
      <c r="AZ95" s="1618"/>
      <c r="BA95" s="1611"/>
      <c r="BB95" s="1614">
        <f>'qtrP&amp;L'!$BB$10</f>
        <v>2665.6869999999999</v>
      </c>
      <c r="BC95" s="1611">
        <f>'qtrP&amp;L'!BD$10</f>
        <v>7</v>
      </c>
      <c r="BD95" s="1627">
        <f>+D95+W95+AC95+AI95+AO95</f>
        <v>2665.6869999999999</v>
      </c>
      <c r="BE95" s="1638" t="str">
        <f>IF(BB95=BD95,"y","n")</f>
        <v>y</v>
      </c>
      <c r="BF95" s="1613">
        <f>+(BD95/BD88-1)*100</f>
        <v>17.38486367709644</v>
      </c>
      <c r="BG95" s="1611"/>
      <c r="BH95" s="1614">
        <f>'qtrP&amp;L'!$BB$61</f>
        <v>243.84099999999995</v>
      </c>
      <c r="BI95" s="1620">
        <f>+BH95/BB95*100</f>
        <v>9.1473980253495615</v>
      </c>
      <c r="BJ95" s="1617">
        <v>16.48</v>
      </c>
      <c r="BK95" s="1614">
        <f>+G95+Z95+AF95+AL95+AR95-BJ95</f>
        <v>243.84100000000004</v>
      </c>
      <c r="BL95" s="1638" t="str">
        <f>IF(BH95=BK95,"y","n")</f>
        <v>y</v>
      </c>
      <c r="BM95" s="1618">
        <f>+BK95/BD95*100</f>
        <v>9.147398025349565</v>
      </c>
      <c r="BN95" s="467"/>
      <c r="BO95" s="1610"/>
      <c r="BP95" s="1608"/>
      <c r="BQ95" s="1639"/>
      <c r="BR95" s="1610"/>
      <c r="BS95" s="1620"/>
      <c r="BT95" s="467"/>
      <c r="BU95" s="1422">
        <f>+D95/$BD95</f>
        <v>0.81513208414941452</v>
      </c>
      <c r="BV95" s="1628"/>
      <c r="BW95" s="1628"/>
      <c r="BX95" s="1422">
        <f>+W95/$BD95</f>
        <v>6.0895371437081701E-2</v>
      </c>
      <c r="BY95" s="1422">
        <f>+AC95/BD95</f>
        <v>4.867750789946456E-2</v>
      </c>
      <c r="BZ95" s="1422">
        <f>+AI95/BD95</f>
        <v>5.6583537377043892E-2</v>
      </c>
      <c r="CA95" s="1422">
        <f>+AO95/BD95</f>
        <v>1.8711499136995453E-2</v>
      </c>
      <c r="CB95" s="467"/>
      <c r="CC95" s="1422">
        <f>+G95/($BK95+BJ95)</f>
        <v>0.96075230196565009</v>
      </c>
      <c r="CD95" s="1628"/>
      <c r="CE95" s="1628"/>
      <c r="CF95" s="1422">
        <f>+Z95/($BK95+BJ95)</f>
        <v>5.0191878488481528E-2</v>
      </c>
      <c r="CG95" s="1422">
        <f>+AF95/($BK95+BJ95)</f>
        <v>-1.4497485796382157E-2</v>
      </c>
      <c r="CH95" s="1422">
        <f>+AL95/($BK95+BJ95)</f>
        <v>1.5603812216455838E-2</v>
      </c>
      <c r="CI95" s="1422">
        <f>+AR95/($BK95+BJ95)</f>
        <v>-1.2050506874205306E-2</v>
      </c>
      <c r="CJ95" s="1422"/>
      <c r="CK95" s="1650">
        <f>+SUM(D95,W95,AC95,AI95)</f>
        <v>2615.808</v>
      </c>
      <c r="CM95" s="1650">
        <f>+SUM(G95,Z95,AF95,AL95)</f>
        <v>263.45800000000003</v>
      </c>
      <c r="CN95" s="493">
        <f>+CM95/CK95</f>
        <v>0.10071763676844785</v>
      </c>
    </row>
    <row r="96" spans="1:92" hidden="1" outlineLevel="1">
      <c r="A96" s="467" t="str">
        <f>$A$12</f>
        <v>2Q</v>
      </c>
      <c r="B96" s="467" t="str">
        <f>$B$12</f>
        <v>Jul</v>
      </c>
      <c r="C96" s="467"/>
      <c r="D96" s="1616">
        <v>2206.0500000000002</v>
      </c>
      <c r="E96" s="1608">
        <f>+(D96/D89-1)*100</f>
        <v>6.3701036385851451</v>
      </c>
      <c r="F96" s="1639">
        <v>1</v>
      </c>
      <c r="G96" s="1617">
        <v>211.37899999999999</v>
      </c>
      <c r="H96" s="1618">
        <f>+(G96/G89-1)*100</f>
        <v>9.5727585634900905</v>
      </c>
      <c r="I96" s="1662">
        <f>+G96/D96*100</f>
        <v>9.5817864508963968</v>
      </c>
      <c r="J96" s="1765"/>
      <c r="K96" s="1619"/>
      <c r="L96" s="1613"/>
      <c r="M96" s="1611"/>
      <c r="N96" s="467"/>
      <c r="O96" s="1620"/>
      <c r="P96" s="1611"/>
      <c r="Q96" s="1619"/>
      <c r="R96" s="1613"/>
      <c r="S96" s="1611"/>
      <c r="T96" s="467"/>
      <c r="U96" s="1620"/>
      <c r="V96" s="1611"/>
      <c r="W96" s="1616">
        <v>185</v>
      </c>
      <c r="X96" s="1608">
        <f>+(W96/W89-1)*100</f>
        <v>18.070535976411417</v>
      </c>
      <c r="Y96" s="1639">
        <v>8</v>
      </c>
      <c r="Z96" s="1617">
        <v>16.27</v>
      </c>
      <c r="AA96" s="1662">
        <f>+Z96/W96*100</f>
        <v>8.794594594594594</v>
      </c>
      <c r="AB96" s="1765"/>
      <c r="AC96" s="1617">
        <v>157.524</v>
      </c>
      <c r="AD96" s="1608">
        <f>+(AC96/AC89-1)*100</f>
        <v>40.672804722314005</v>
      </c>
      <c r="AE96" s="1639">
        <v>4</v>
      </c>
      <c r="AF96" s="1617">
        <v>6.8140000000000001</v>
      </c>
      <c r="AG96" s="1662">
        <f>+AF96/AC96*100</f>
        <v>4.3256900535791374</v>
      </c>
      <c r="AH96" s="1765"/>
      <c r="AI96" s="1617">
        <v>156.78100000000001</v>
      </c>
      <c r="AJ96" s="1608">
        <f>+(AI96/AI89-1)*100</f>
        <v>41.186906209194476</v>
      </c>
      <c r="AK96" s="1639">
        <v>5</v>
      </c>
      <c r="AL96" s="1617">
        <v>1.9</v>
      </c>
      <c r="AM96" s="1618">
        <f>+AL96/AI96*100</f>
        <v>1.2118815417684539</v>
      </c>
      <c r="AN96" s="1611"/>
      <c r="AO96" s="1616">
        <v>59.734000000000002</v>
      </c>
      <c r="AP96" s="1608">
        <f>+(AO96/AO89-1)*100</f>
        <v>75.822687937834843</v>
      </c>
      <c r="AQ96" s="1639">
        <v>10</v>
      </c>
      <c r="AR96" s="1641">
        <v>-3.0659999999999998</v>
      </c>
      <c r="AS96" s="1618">
        <f>+AR96/AO96*100</f>
        <v>-5.1327552147855489</v>
      </c>
      <c r="AT96" s="1611"/>
      <c r="AU96" s="1611"/>
      <c r="AV96" s="1616"/>
      <c r="AW96" s="1608"/>
      <c r="AX96" s="1639"/>
      <c r="AY96" s="1617"/>
      <c r="AZ96" s="1618"/>
      <c r="BA96" s="1611"/>
      <c r="BB96" s="1621">
        <f>'qtrP&amp;L'!$BB$11</f>
        <v>2765.0889999999999</v>
      </c>
      <c r="BC96" s="1611">
        <f>'qtrP&amp;L'!BD$11</f>
        <v>2</v>
      </c>
      <c r="BD96" s="1621">
        <f>+D96+W96+AC96+AI96+AO96</f>
        <v>2765.0889999999999</v>
      </c>
      <c r="BE96" s="1638" t="str">
        <f>IF(BB96=BD96,"y","n")</f>
        <v>y</v>
      </c>
      <c r="BF96" s="1613">
        <f>+(BD96/BD89-1)*100</f>
        <v>11.153905215502991</v>
      </c>
      <c r="BG96" s="1611"/>
      <c r="BH96" s="1621">
        <f>'qtrP&amp;L'!$BB$62</f>
        <v>216.82500000000005</v>
      </c>
      <c r="BI96" s="1620">
        <f>+BH96/BB96*100</f>
        <v>7.8415197485505903</v>
      </c>
      <c r="BJ96" s="1617">
        <v>16.472000000000001</v>
      </c>
      <c r="BK96" s="1621">
        <f>+G96+Z96+AF96+AL96+AR96-BJ96</f>
        <v>216.82499999999999</v>
      </c>
      <c r="BL96" s="1638" t="str">
        <f>IF(BH96=BK96,"y","n")</f>
        <v>y</v>
      </c>
      <c r="BM96" s="1618">
        <f>+BK96/BD96*100</f>
        <v>7.8415197485505894</v>
      </c>
      <c r="BN96" s="467"/>
      <c r="BO96" s="1617"/>
      <c r="BP96" s="1608"/>
      <c r="BQ96" s="1639"/>
      <c r="BR96" s="1617"/>
      <c r="BS96" s="1620"/>
      <c r="BT96" s="467"/>
      <c r="BU96" s="1422">
        <f>+D96/$BD96</f>
        <v>0.79782242090580091</v>
      </c>
      <c r="BV96" s="1628"/>
      <c r="BW96" s="1628"/>
      <c r="BX96" s="1422">
        <f>+W96/$BD96</f>
        <v>6.6905622206012177E-2</v>
      </c>
      <c r="BY96" s="1422">
        <f>+AC96/BD96</f>
        <v>5.6968871526377633E-2</v>
      </c>
      <c r="BZ96" s="1422">
        <f>+AI96/BD96</f>
        <v>5.6700164081517811E-2</v>
      </c>
      <c r="CA96" s="1422">
        <f>+AO96/BD96</f>
        <v>2.1602921280291523E-2</v>
      </c>
      <c r="CB96" s="467"/>
      <c r="CC96" s="1422">
        <f>+G96/($BK96+BJ96)</f>
        <v>0.90605108509753662</v>
      </c>
      <c r="CD96" s="1628"/>
      <c r="CE96" s="1628"/>
      <c r="CF96" s="1422">
        <f>+Z96/($BK96+BJ96)</f>
        <v>6.9739430854233009E-2</v>
      </c>
      <c r="CG96" s="1422">
        <f>+AF96/($BK96+BJ96)</f>
        <v>2.9207405153088124E-2</v>
      </c>
      <c r="CH96" s="1422">
        <f>+AL96/($BK96+BJ96)</f>
        <v>8.1441252995109233E-3</v>
      </c>
      <c r="CI96" s="1422">
        <f>+AR96/($BK96+BJ96)</f>
        <v>-1.314204640436868E-2</v>
      </c>
      <c r="CJ96" s="1422"/>
      <c r="CK96" s="1650">
        <f>+SUM(D96,W96,AC96,AI96)</f>
        <v>2705.355</v>
      </c>
      <c r="CM96" s="1650">
        <f>+SUM(G96,Z96,AF96,AL96)</f>
        <v>236.363</v>
      </c>
      <c r="CN96" s="493">
        <f>+CM96/CK96</f>
        <v>8.7368570852993419E-2</v>
      </c>
    </row>
    <row r="97" spans="1:92" hidden="1" outlineLevel="1">
      <c r="A97" s="467" t="str">
        <f>$A$13</f>
        <v>3Q</v>
      </c>
      <c r="B97" s="467" t="str">
        <f>$B$13</f>
        <v>Oct</v>
      </c>
      <c r="C97" s="467"/>
      <c r="D97" s="1616">
        <v>2406.6619999999998</v>
      </c>
      <c r="E97" s="1608">
        <f>+(D97/D90-1)*100</f>
        <v>5.9320135235242155</v>
      </c>
      <c r="F97" s="1639">
        <v>1</v>
      </c>
      <c r="G97" s="1617">
        <v>218.43899999999999</v>
      </c>
      <c r="H97" s="1618">
        <f>+(G97/G90-1)*100</f>
        <v>-10.573309424971134</v>
      </c>
      <c r="I97" s="1662">
        <f>+G97/D97*100</f>
        <v>9.0764303421086971</v>
      </c>
      <c r="J97" s="1765"/>
      <c r="K97" s="1619"/>
      <c r="L97" s="1613"/>
      <c r="M97" s="1611"/>
      <c r="N97" s="467"/>
      <c r="O97" s="1620"/>
      <c r="P97" s="1611"/>
      <c r="Q97" s="1619"/>
      <c r="R97" s="1613"/>
      <c r="S97" s="1611"/>
      <c r="T97" s="467"/>
      <c r="U97" s="1620"/>
      <c r="V97" s="1611"/>
      <c r="W97" s="1616">
        <v>210.16499999999999</v>
      </c>
      <c r="X97" s="1608">
        <f>+(W97/W90-1)*100</f>
        <v>16.890159457610523</v>
      </c>
      <c r="Y97" s="1639">
        <v>1</v>
      </c>
      <c r="Z97" s="1617">
        <v>29.334</v>
      </c>
      <c r="AA97" s="1662">
        <f>+Z97/W97*100</f>
        <v>13.957604739133538</v>
      </c>
      <c r="AB97" s="1765"/>
      <c r="AC97" s="1617">
        <v>185.58500000000001</v>
      </c>
      <c r="AD97" s="1608">
        <f>+(AC97/AC90-1)*100</f>
        <v>46.931682329562108</v>
      </c>
      <c r="AE97" s="1639">
        <v>11</v>
      </c>
      <c r="AF97" s="1617">
        <v>12.225</v>
      </c>
      <c r="AG97" s="1662">
        <f>+AF97/AC97*100</f>
        <v>6.5872780666540942</v>
      </c>
      <c r="AH97" s="1765"/>
      <c r="AI97" s="1617">
        <v>176.279</v>
      </c>
      <c r="AJ97" s="1608">
        <f>+(AI97/AI90-1)*100</f>
        <v>40.819293662776303</v>
      </c>
      <c r="AK97" s="1639">
        <v>8</v>
      </c>
      <c r="AL97" s="1617">
        <v>11.583</v>
      </c>
      <c r="AM97" s="1618">
        <f>+AL97/AI97*100</f>
        <v>6.5708337351584714</v>
      </c>
      <c r="AN97" s="1611"/>
      <c r="AO97" s="1616">
        <v>66.259</v>
      </c>
      <c r="AP97" s="1608">
        <f>+(AO97/AO90-1)*100</f>
        <v>71.695473037754923</v>
      </c>
      <c r="AQ97" s="1639">
        <v>5</v>
      </c>
      <c r="AR97" s="1641">
        <v>-5.6929999999999996</v>
      </c>
      <c r="AS97" s="1618">
        <f>+AR97/AO97*100</f>
        <v>-8.5920403265971412</v>
      </c>
      <c r="AT97" s="1611"/>
      <c r="AU97" s="1611"/>
      <c r="AV97" s="1616"/>
      <c r="AW97" s="1608"/>
      <c r="AX97" s="1639"/>
      <c r="AY97" s="1617"/>
      <c r="AZ97" s="1618"/>
      <c r="BA97" s="1611"/>
      <c r="BB97" s="1621">
        <f>'qtrP&amp;L'!$BB$12</f>
        <v>3044.95</v>
      </c>
      <c r="BC97" s="1611">
        <f>'qtrP&amp;L'!BD$12</f>
        <v>2</v>
      </c>
      <c r="BD97" s="1621">
        <f>+D97+W97+AC97+AI97+AO97</f>
        <v>3044.95</v>
      </c>
      <c r="BE97" s="1638" t="str">
        <f>IF(BB97=BD97,"y","n")</f>
        <v>y</v>
      </c>
      <c r="BF97" s="1613">
        <f>+(BD97/BD90-1)*100</f>
        <v>11.057860819055154</v>
      </c>
      <c r="BG97" s="1611"/>
      <c r="BH97" s="1621">
        <f>'qtrP&amp;L'!$BB$63</f>
        <v>246.47299999999984</v>
      </c>
      <c r="BI97" s="1620">
        <f>+BH97/BB97*100</f>
        <v>8.0944843100871875</v>
      </c>
      <c r="BJ97" s="1617">
        <v>19.414999999999999</v>
      </c>
      <c r="BK97" s="1621">
        <f>+G97+Z97+AF97+AL97+AR97-BJ97</f>
        <v>246.47300000000004</v>
      </c>
      <c r="BL97" s="1638" t="str">
        <f>IF(BH97=BK97,"y","n")</f>
        <v>y</v>
      </c>
      <c r="BM97" s="1618">
        <f>+BK97/BD97*100</f>
        <v>8.0944843100871946</v>
      </c>
      <c r="BN97" s="467"/>
      <c r="BO97" s="1617"/>
      <c r="BP97" s="1608"/>
      <c r="BQ97" s="1639"/>
      <c r="BR97" s="1617"/>
      <c r="BS97" s="1620"/>
      <c r="BT97" s="467"/>
      <c r="BU97" s="1422">
        <f>+D97/$BD97</f>
        <v>0.79037816712918108</v>
      </c>
      <c r="BV97" s="1628"/>
      <c r="BW97" s="1628"/>
      <c r="BX97" s="1422">
        <f>+W97/$BD97</f>
        <v>6.9020837780587527E-2</v>
      </c>
      <c r="BY97" s="1422">
        <f>+AC97/BD97</f>
        <v>6.094845563966568E-2</v>
      </c>
      <c r="BZ97" s="1422">
        <f>+AI97/BD97</f>
        <v>5.7892247820161252E-2</v>
      </c>
      <c r="CA97" s="1422">
        <f>+AO97/BD97</f>
        <v>2.1760291630404442E-2</v>
      </c>
      <c r="CB97" s="467"/>
      <c r="CC97" s="1422">
        <f>+G97/($BK97+BJ97)</f>
        <v>0.82154516187266802</v>
      </c>
      <c r="CD97" s="1628"/>
      <c r="CE97" s="1628"/>
      <c r="CF97" s="1422">
        <f>+Z97/($BK97+BJ97)</f>
        <v>0.11032464797207846</v>
      </c>
      <c r="CG97" s="1422">
        <f>+AF97/($BK97+BJ97)</f>
        <v>4.5978005776868447E-2</v>
      </c>
      <c r="CH97" s="1422">
        <f>+AL97/($BK97+BJ97)</f>
        <v>4.3563455289445177E-2</v>
      </c>
      <c r="CI97" s="1422">
        <f>+AR97/($BK97+BJ97)</f>
        <v>-2.1411270911060293E-2</v>
      </c>
      <c r="CJ97" s="1422"/>
      <c r="CK97" s="1650">
        <f>+SUM(D97,W97,AC97,AI97)</f>
        <v>2978.6909999999998</v>
      </c>
      <c r="CM97" s="1650">
        <f>+SUM(G97,Z97,AF97,AL97)</f>
        <v>271.58100000000002</v>
      </c>
      <c r="CN97" s="493">
        <f>+CM97/CK97</f>
        <v>9.1174613278114464E-2</v>
      </c>
    </row>
    <row r="98" spans="1:92" hidden="1" outlineLevel="1">
      <c r="A98" s="467" t="str">
        <f>$A$14</f>
        <v>4Q</v>
      </c>
      <c r="B98" s="467" t="str">
        <f>$B$14</f>
        <v>Jan</v>
      </c>
      <c r="C98" s="467"/>
      <c r="D98" s="1623">
        <v>2699.9830000000002</v>
      </c>
      <c r="E98" s="1608">
        <f>+(D98/D91-1)*100</f>
        <v>4.0911952558789766</v>
      </c>
      <c r="F98" s="1639">
        <v>-1</v>
      </c>
      <c r="G98" s="1624">
        <v>208.02199999999999</v>
      </c>
      <c r="H98" s="1618">
        <f>+(G98/G91-1)*100</f>
        <v>-15.802383188161773</v>
      </c>
      <c r="I98" s="1662">
        <f>+G98/D98*100</f>
        <v>7.704567028755366</v>
      </c>
      <c r="J98" s="1765"/>
      <c r="K98" s="1624"/>
      <c r="L98" s="1613"/>
      <c r="M98" s="1611"/>
      <c r="N98" s="467"/>
      <c r="O98" s="1620"/>
      <c r="P98" s="1611"/>
      <c r="Q98" s="1624"/>
      <c r="R98" s="1613"/>
      <c r="S98" s="1611"/>
      <c r="T98" s="467"/>
      <c r="U98" s="1620"/>
      <c r="V98" s="1611"/>
      <c r="W98" s="1623">
        <v>235.709</v>
      </c>
      <c r="X98" s="1608">
        <f>+(W98/W91-1)*100</f>
        <v>19.651668054173687</v>
      </c>
      <c r="Y98" s="1639">
        <v>2</v>
      </c>
      <c r="Z98" s="1624">
        <v>26.631</v>
      </c>
      <c r="AA98" s="1662">
        <f>+Z98/W98*100</f>
        <v>11.298253354772198</v>
      </c>
      <c r="AB98" s="1765"/>
      <c r="AC98" s="1624">
        <v>247.273</v>
      </c>
      <c r="AD98" s="1608">
        <f>+(AC98/AC91-1)*100</f>
        <v>32.436224967998648</v>
      </c>
      <c r="AE98" s="1639">
        <v>0</v>
      </c>
      <c r="AF98" s="1624">
        <v>27.779</v>
      </c>
      <c r="AG98" s="1662">
        <f>+AF98/AC98*100</f>
        <v>11.234142021166889</v>
      </c>
      <c r="AH98" s="1765"/>
      <c r="AI98" s="1624">
        <v>221.178</v>
      </c>
      <c r="AJ98" s="1608">
        <f>+(AI98/AI91-1)*100</f>
        <v>29.060831509846818</v>
      </c>
      <c r="AK98" s="1639">
        <v>2</v>
      </c>
      <c r="AL98" s="1624">
        <v>14.583</v>
      </c>
      <c r="AM98" s="1618">
        <f>+AL98/AI98*100</f>
        <v>6.5933320673846412</v>
      </c>
      <c r="AN98" s="1611"/>
      <c r="AO98" s="1623">
        <v>101.33799999999999</v>
      </c>
      <c r="AP98" s="1608">
        <f>+(AO98/AO91-1)*100</f>
        <v>69.555105660314197</v>
      </c>
      <c r="AQ98" s="1639">
        <v>8</v>
      </c>
      <c r="AR98" s="1642">
        <v>-0.67</v>
      </c>
      <c r="AS98" s="1618">
        <f>+AR98/AO98*100</f>
        <v>-0.66115376265566728</v>
      </c>
      <c r="AT98" s="1611"/>
      <c r="AU98" s="1611"/>
      <c r="AV98" s="1623"/>
      <c r="AW98" s="1608"/>
      <c r="AX98" s="1639"/>
      <c r="AY98" s="1624"/>
      <c r="AZ98" s="1618"/>
      <c r="BA98" s="1611"/>
      <c r="BB98" s="1625">
        <f>'qtrP&amp;L'!$BB$13</f>
        <v>3505.4810000000002</v>
      </c>
      <c r="BC98" s="1611">
        <f>'qtrP&amp;L'!BD$13</f>
        <v>0</v>
      </c>
      <c r="BD98" s="1625">
        <f>+D98+W98+AC98+AI98+AO98</f>
        <v>3505.4810000000002</v>
      </c>
      <c r="BE98" s="1638" t="str">
        <f>IF(BB98=BD98,"y","n")</f>
        <v>y</v>
      </c>
      <c r="BF98" s="1613">
        <f>+(BD98/BD91-1)*100</f>
        <v>9.2488512524651956</v>
      </c>
      <c r="BG98" s="1611"/>
      <c r="BH98" s="1625">
        <f>'qtrP&amp;L'!$BB$64</f>
        <v>255.95800000000031</v>
      </c>
      <c r="BI98" s="1643">
        <f>+BH98/BB98*100</f>
        <v>7.3016513283055957</v>
      </c>
      <c r="BJ98" s="1624">
        <v>20.387</v>
      </c>
      <c r="BK98" s="1625">
        <f>+G98+Z98+AF98+AL98+AR98-BJ98</f>
        <v>255.95800000000003</v>
      </c>
      <c r="BL98" s="1638" t="str">
        <f>IF(BH98=BK98,"y","n")</f>
        <v>y</v>
      </c>
      <c r="BM98" s="1618">
        <f>+BK98/BD98*100</f>
        <v>7.3016513283055877</v>
      </c>
      <c r="BN98" s="1620"/>
      <c r="BO98" s="1617"/>
      <c r="BP98" s="1608"/>
      <c r="BQ98" s="1639"/>
      <c r="BR98" s="1617"/>
      <c r="BS98" s="1620"/>
      <c r="BT98" s="1620"/>
      <c r="BU98" s="1422">
        <f>+D98/$BD98</f>
        <v>0.77021755359678168</v>
      </c>
      <c r="BV98" s="1628"/>
      <c r="BW98" s="1628"/>
      <c r="BX98" s="1422">
        <f>+W98/$BD98</f>
        <v>6.7240130527023254E-2</v>
      </c>
      <c r="BY98" s="1422">
        <f>+AC98/BD98</f>
        <v>7.0538964552938663E-2</v>
      </c>
      <c r="BZ98" s="1422">
        <f>+AI98/BD98</f>
        <v>6.3094907660318222E-2</v>
      </c>
      <c r="CA98" s="1422">
        <f>+AO98/BD98</f>
        <v>2.890844366293812E-2</v>
      </c>
      <c r="CB98" s="467"/>
      <c r="CC98" s="1422">
        <f>+G98/($BK98+BJ98)</f>
        <v>0.7527619461180769</v>
      </c>
      <c r="CD98" s="1628"/>
      <c r="CE98" s="1628"/>
      <c r="CF98" s="1422">
        <f>+Z98/($BK98+BJ98)</f>
        <v>9.6368669597785367E-2</v>
      </c>
      <c r="CG98" s="1422">
        <f>+AF98/($BK98+BJ98)</f>
        <v>0.1005228971032586</v>
      </c>
      <c r="CH98" s="1422">
        <f>+AL98/($BK98+BJ98)</f>
        <v>5.2770992780763172E-2</v>
      </c>
      <c r="CI98" s="1422">
        <f>+AR98/($BK98+BJ98)</f>
        <v>-2.4245055998842026E-3</v>
      </c>
      <c r="CJ98" s="1422"/>
      <c r="CK98" s="1650">
        <f>+SUM(D98,W98,AC98,AI98)</f>
        <v>3404.143</v>
      </c>
      <c r="CM98" s="1650">
        <f>+SUM(G98,Z98,AF98,AL98)</f>
        <v>277.01500000000004</v>
      </c>
      <c r="CN98" s="493">
        <f>+CM98/CK98</f>
        <v>8.1375841144158759E-2</v>
      </c>
    </row>
    <row r="99" spans="1:92" hidden="1" outlineLevel="1">
      <c r="A99" s="467"/>
      <c r="B99" s="467" t="str">
        <f>$B$15</f>
        <v>Year</v>
      </c>
      <c r="C99" s="467"/>
      <c r="D99" s="1644">
        <f>+SUM(D95:D98)</f>
        <v>9485.5820000000003</v>
      </c>
      <c r="E99" s="1608">
        <f>+(D99/D92-1)*100</f>
        <v>7.0238663810314517</v>
      </c>
      <c r="F99" s="1639">
        <v>2</v>
      </c>
      <c r="G99" s="1614">
        <f>+SUM(G95:G98)</f>
        <v>887.94399999999996</v>
      </c>
      <c r="H99" s="1618">
        <f>+(G99/G92-1)*100</f>
        <v>-0.63850500755329165</v>
      </c>
      <c r="I99" s="1662">
        <f>+G99/D99*100</f>
        <v>9.3609859679669611</v>
      </c>
      <c r="J99" s="1765"/>
      <c r="K99" s="1612"/>
      <c r="L99" s="1613"/>
      <c r="M99" s="1611"/>
      <c r="N99" s="467"/>
      <c r="O99" s="1620"/>
      <c r="P99" s="1611"/>
      <c r="Q99" s="1612"/>
      <c r="R99" s="1613"/>
      <c r="S99" s="1611"/>
      <c r="T99" s="467"/>
      <c r="U99" s="1620"/>
      <c r="V99" s="1611"/>
      <c r="W99" s="1644">
        <f>+SUM(W95:W98)</f>
        <v>793.202</v>
      </c>
      <c r="X99" s="1608">
        <f>+(W99/W92-1)*100</f>
        <v>20.022636587443653</v>
      </c>
      <c r="Y99" s="1639">
        <v>5</v>
      </c>
      <c r="Z99" s="1614">
        <f>+SUM(Z95:Z98)</f>
        <v>85.301000000000002</v>
      </c>
      <c r="AA99" s="1662">
        <f>+Z99/W99*100</f>
        <v>10.754007175977872</v>
      </c>
      <c r="AB99" s="1765"/>
      <c r="AC99" s="1614">
        <f>+SUM(AC95:AC98)</f>
        <v>720.14100000000008</v>
      </c>
      <c r="AD99" s="1608">
        <f>+(AC99/AC92-1)*100</f>
        <v>38.347911451619424</v>
      </c>
      <c r="AE99" s="1639">
        <v>5</v>
      </c>
      <c r="AF99" s="1614">
        <f>+SUM(AF95:AF98)</f>
        <v>43.043999999999997</v>
      </c>
      <c r="AG99" s="1662">
        <f>+AF99/AC99*100</f>
        <v>5.9771628056172323</v>
      </c>
      <c r="AH99" s="1765"/>
      <c r="AI99" s="1614">
        <f>+SUM(AI95:AI98)</f>
        <v>705.072</v>
      </c>
      <c r="AJ99" s="1608">
        <f>+(AI99/AI92-1)*100</f>
        <v>39.009603498346834</v>
      </c>
      <c r="AK99" s="1639">
        <v>6</v>
      </c>
      <c r="AL99" s="1614">
        <f>+SUM(AL95:AL98)</f>
        <v>32.128</v>
      </c>
      <c r="AM99" s="1618">
        <f>+AL99/AI99*100</f>
        <v>4.5566977556901991</v>
      </c>
      <c r="AN99" s="1611"/>
      <c r="AO99" s="1644">
        <f>+SUM(AO95:AO98)</f>
        <v>277.21000000000004</v>
      </c>
      <c r="AP99" s="1608">
        <f>+(AO99/AO92-1)*100</f>
        <v>76.198769449811877</v>
      </c>
      <c r="AQ99" s="1639">
        <v>11</v>
      </c>
      <c r="AR99" s="1614">
        <f>+SUM(AR95:AR98)</f>
        <v>-12.565999999999999</v>
      </c>
      <c r="AS99" s="1618">
        <f>+AR99/AO99*100</f>
        <v>-4.5330255041304417</v>
      </c>
      <c r="AT99" s="1611"/>
      <c r="AU99" s="1611"/>
      <c r="AV99" s="1644"/>
      <c r="AW99" s="1608"/>
      <c r="AX99" s="1639"/>
      <c r="AY99" s="1614"/>
      <c r="AZ99" s="1618"/>
      <c r="BA99" s="1611"/>
      <c r="BB99" s="1621">
        <f>'qtrP&amp;L'!$BB$14</f>
        <v>11981.206999999999</v>
      </c>
      <c r="BC99" s="1611">
        <f>'qtrP&amp;L'!BD$14</f>
        <v>3</v>
      </c>
      <c r="BD99" s="1651">
        <f>+D99+W99+AC99+AI99+AO99</f>
        <v>11981.206999999999</v>
      </c>
      <c r="BE99" s="1638" t="str">
        <f>IF(BB99=BD99,"y","n")</f>
        <v>y</v>
      </c>
      <c r="BF99" s="1613">
        <f>+(BD99/BD92-1)*100</f>
        <v>11.879813592270704</v>
      </c>
      <c r="BG99" s="1611"/>
      <c r="BH99" s="1621">
        <f>'qtrP&amp;L'!$BB$65</f>
        <v>963.09700000000021</v>
      </c>
      <c r="BI99" s="1620">
        <f>+BH99/BB99*100</f>
        <v>8.0383971331102142</v>
      </c>
      <c r="BJ99" s="1621">
        <f>SUM(BJ95:BJ98)</f>
        <v>72.753999999999991</v>
      </c>
      <c r="BK99" s="1614">
        <f>+G99+Z99+AF99+AL99+AR99-BJ99</f>
        <v>963.09699999999987</v>
      </c>
      <c r="BL99" s="1638" t="str">
        <f>IF(BH99=BK99,"y","n")</f>
        <v>y</v>
      </c>
      <c r="BM99" s="1618">
        <f>+BK99/BD99*100</f>
        <v>8.0383971331102124</v>
      </c>
      <c r="BN99" s="467"/>
      <c r="BO99" s="1614"/>
      <c r="BP99" s="1608"/>
      <c r="BQ99" s="1639"/>
      <c r="BR99" s="1614"/>
      <c r="BS99" s="1620"/>
      <c r="BT99" s="467"/>
      <c r="BU99" s="1422">
        <f>+D99/$BD99</f>
        <v>0.79170504273901632</v>
      </c>
      <c r="BV99" s="1628"/>
      <c r="BW99" s="1628"/>
      <c r="BX99" s="1422">
        <f>+W99/$BD99</f>
        <v>6.6203847408695976E-2</v>
      </c>
      <c r="BY99" s="1422">
        <f>+AC99/BD99</f>
        <v>6.0105880818184694E-2</v>
      </c>
      <c r="BZ99" s="1422">
        <f>+AI99/BD99</f>
        <v>5.8848161124334143E-2</v>
      </c>
      <c r="CA99" s="1422">
        <f>+AO99/BD99</f>
        <v>2.3137067909769032E-2</v>
      </c>
      <c r="CB99" s="467"/>
      <c r="CC99" s="1422">
        <f>+G99/($BK99+BJ99)</f>
        <v>0.85721208938351179</v>
      </c>
      <c r="CD99" s="1628"/>
      <c r="CE99" s="1628"/>
      <c r="CF99" s="1422">
        <f>+Z99/($BK99+BJ99)</f>
        <v>8.2348716176361289E-2</v>
      </c>
      <c r="CG99" s="1422">
        <f>+AF99/($BK99+BJ99)</f>
        <v>4.1554238978385886E-2</v>
      </c>
      <c r="CH99" s="1422">
        <f>+AL99/($BK99+BJ99)</f>
        <v>3.1016043813251137E-2</v>
      </c>
      <c r="CI99" s="1422">
        <f>+AR99/($BK99+BJ99)</f>
        <v>-1.2131088351510015E-2</v>
      </c>
      <c r="CJ99" s="1422"/>
      <c r="CK99" s="1650">
        <f>+SUM(D99,W99,AC99,AI99)</f>
        <v>11703.996999999999</v>
      </c>
      <c r="CM99" s="1650">
        <f>+SUM(G99,Z99,AF99,AL99)</f>
        <v>1048.4169999999999</v>
      </c>
      <c r="CN99" s="493">
        <f>+CM99/CK99</f>
        <v>8.9577688716085624E-2</v>
      </c>
    </row>
    <row r="100" spans="1:92" hidden="1" outlineLevel="1">
      <c r="A100" s="467"/>
      <c r="B100" s="467"/>
      <c r="C100" s="467"/>
      <c r="D100" s="1603"/>
      <c r="E100" s="1088"/>
      <c r="F100" s="1088"/>
      <c r="G100" s="1499"/>
      <c r="H100" s="1604"/>
      <c r="I100" s="1499"/>
      <c r="J100" s="1764"/>
      <c r="K100" s="1605"/>
      <c r="L100" s="1605"/>
      <c r="M100" s="1605"/>
      <c r="N100" s="467"/>
      <c r="O100" s="467"/>
      <c r="P100" s="1605"/>
      <c r="Q100" s="1605"/>
      <c r="R100" s="1605"/>
      <c r="S100" s="1605"/>
      <c r="T100" s="467"/>
      <c r="U100" s="467"/>
      <c r="V100" s="1605"/>
      <c r="W100" s="1603"/>
      <c r="X100" s="1088"/>
      <c r="Y100" s="1088"/>
      <c r="Z100" s="1499"/>
      <c r="AA100" s="1499"/>
      <c r="AB100" s="1764"/>
      <c r="AC100" s="800"/>
      <c r="AD100" s="1088"/>
      <c r="AE100" s="1088"/>
      <c r="AF100" s="1499"/>
      <c r="AG100" s="1499"/>
      <c r="AH100" s="1764"/>
      <c r="AI100" s="800"/>
      <c r="AJ100" s="1088"/>
      <c r="AK100" s="1088"/>
      <c r="AL100" s="1499"/>
      <c r="AM100" s="1604"/>
      <c r="AN100" s="702"/>
      <c r="AO100" s="1603"/>
      <c r="AP100" s="1088"/>
      <c r="AQ100" s="1088"/>
      <c r="AR100" s="1499"/>
      <c r="AS100" s="1604"/>
      <c r="AT100" s="702"/>
      <c r="AU100" s="702"/>
      <c r="AV100" s="1603"/>
      <c r="AW100" s="1088"/>
      <c r="AX100" s="1088"/>
      <c r="AY100" s="1499"/>
      <c r="AZ100" s="1604"/>
      <c r="BA100" s="487"/>
      <c r="BB100" s="1499"/>
      <c r="BC100" s="1499"/>
      <c r="BD100" s="1499"/>
      <c r="BE100" s="1606"/>
      <c r="BF100" s="487"/>
      <c r="BG100" s="487"/>
      <c r="BH100" s="1499"/>
      <c r="BI100" s="1499"/>
      <c r="BJ100" s="1499"/>
      <c r="BK100" s="1499"/>
      <c r="BL100" s="1606"/>
      <c r="BM100" s="1604"/>
      <c r="BN100" s="467"/>
      <c r="BO100" s="800"/>
      <c r="BP100" s="1088"/>
      <c r="BQ100" s="1088"/>
      <c r="BR100" s="1499"/>
      <c r="BS100" s="467"/>
      <c r="BT100" s="467"/>
      <c r="BU100" s="467"/>
      <c r="BV100" s="467"/>
      <c r="BW100" s="467"/>
      <c r="BX100" s="467"/>
      <c r="BY100" s="467"/>
      <c r="BZ100" s="467"/>
      <c r="CA100" s="467"/>
      <c r="CB100" s="467"/>
      <c r="CC100" s="467"/>
      <c r="CD100" s="467"/>
      <c r="CE100" s="467"/>
      <c r="CF100" s="467"/>
      <c r="CG100" s="467"/>
      <c r="CH100" s="467"/>
      <c r="CI100" s="467"/>
      <c r="CJ100" s="467"/>
    </row>
    <row r="101" spans="1:92" hidden="1" outlineLevel="1" collapsed="1">
      <c r="A101" s="2112">
        <f>+A94+1</f>
        <v>2003</v>
      </c>
      <c r="B101" s="2112"/>
      <c r="C101" s="467"/>
      <c r="D101" s="1603"/>
      <c r="E101" s="1088"/>
      <c r="F101" s="1088"/>
      <c r="G101" s="1499"/>
      <c r="H101" s="1604"/>
      <c r="I101" s="1499"/>
      <c r="J101" s="1764"/>
      <c r="K101" s="1605"/>
      <c r="L101" s="1605"/>
      <c r="M101" s="1605"/>
      <c r="N101" s="467"/>
      <c r="O101" s="467"/>
      <c r="P101" s="1605"/>
      <c r="Q101" s="1605"/>
      <c r="R101" s="1605"/>
      <c r="S101" s="1605"/>
      <c r="T101" s="467"/>
      <c r="U101" s="467"/>
      <c r="V101" s="1605"/>
      <c r="W101" s="1603"/>
      <c r="X101" s="1088"/>
      <c r="Y101" s="1088"/>
      <c r="Z101" s="1499"/>
      <c r="AA101" s="1499"/>
      <c r="AB101" s="1764"/>
      <c r="AC101" s="800"/>
      <c r="AD101" s="1088"/>
      <c r="AE101" s="1088"/>
      <c r="AF101" s="1499"/>
      <c r="AG101" s="1499"/>
      <c r="AH101" s="1764"/>
      <c r="AI101" s="800"/>
      <c r="AJ101" s="1088"/>
      <c r="AK101" s="1088"/>
      <c r="AL101" s="1499"/>
      <c r="AM101" s="1604"/>
      <c r="AN101" s="702"/>
      <c r="AO101" s="1603"/>
      <c r="AP101" s="1088"/>
      <c r="AQ101" s="1088"/>
      <c r="AR101" s="1499"/>
      <c r="AS101" s="1604"/>
      <c r="AT101" s="702"/>
      <c r="AU101" s="702"/>
      <c r="AV101" s="1603"/>
      <c r="AW101" s="1088"/>
      <c r="AX101" s="1088"/>
      <c r="AY101" s="1499"/>
      <c r="AZ101" s="1604"/>
      <c r="BA101" s="487"/>
      <c r="BB101" s="1499"/>
      <c r="BC101" s="1499"/>
      <c r="BD101" s="1499"/>
      <c r="BE101" s="1606"/>
      <c r="BF101" s="487"/>
      <c r="BG101" s="487"/>
      <c r="BH101" s="1499"/>
      <c r="BI101" s="1499"/>
      <c r="BJ101" s="1499"/>
      <c r="BK101" s="1499"/>
      <c r="BL101" s="1606"/>
      <c r="BM101" s="1604"/>
      <c r="BN101" s="467"/>
      <c r="BO101" s="800"/>
      <c r="BP101" s="1088"/>
      <c r="BQ101" s="1088"/>
      <c r="BR101" s="1499"/>
      <c r="BS101" s="467"/>
      <c r="BT101" s="467"/>
      <c r="BU101" s="467"/>
      <c r="BV101" s="467"/>
      <c r="BW101" s="467"/>
      <c r="BX101" s="467"/>
      <c r="BY101" s="467"/>
      <c r="BZ101" s="467"/>
      <c r="CA101" s="467"/>
      <c r="CB101" s="467"/>
      <c r="CC101" s="467"/>
      <c r="CD101" s="467"/>
      <c r="CE101" s="467"/>
      <c r="CF101" s="467"/>
      <c r="CG101" s="467"/>
      <c r="CH101" s="467"/>
      <c r="CI101" s="467"/>
      <c r="CJ101" s="467"/>
    </row>
    <row r="102" spans="1:92" hidden="1" outlineLevel="1">
      <c r="A102" s="467" t="str">
        <f>$A$11</f>
        <v>1Q</v>
      </c>
      <c r="B102" s="467" t="str">
        <f>$B$11</f>
        <v>Apr</v>
      </c>
      <c r="C102" s="467"/>
      <c r="D102" s="1607">
        <v>2150.0859999999998</v>
      </c>
      <c r="E102" s="1608">
        <f>+(D102/D95-1)*100</f>
        <v>-1.0493412680917302</v>
      </c>
      <c r="F102" s="1639">
        <v>-5</v>
      </c>
      <c r="G102" s="1610">
        <v>184.47499999999999</v>
      </c>
      <c r="H102" s="1618">
        <f>+(G102/G95-1)*100</f>
        <v>-26.240683875507798</v>
      </c>
      <c r="I102" s="1662">
        <f>+G102/D102*100</f>
        <v>8.5798893625650319</v>
      </c>
      <c r="J102" s="1765"/>
      <c r="K102" s="1612"/>
      <c r="L102" s="1613"/>
      <c r="M102" s="1611"/>
      <c r="N102" s="467"/>
      <c r="O102" s="1620"/>
      <c r="P102" s="1611"/>
      <c r="Q102" s="1612"/>
      <c r="R102" s="1613"/>
      <c r="S102" s="1611"/>
      <c r="T102" s="467"/>
      <c r="U102" s="1620"/>
      <c r="V102" s="1611"/>
      <c r="W102" s="1607">
        <v>201.78299999999999</v>
      </c>
      <c r="X102" s="1608">
        <f>+(W102/W95-1)*100</f>
        <v>24.305726676851801</v>
      </c>
      <c r="Y102" s="1639">
        <v>0</v>
      </c>
      <c r="Z102" s="1610">
        <v>9.9260000000000002</v>
      </c>
      <c r="AA102" s="1662">
        <f>+Z102/W102*100</f>
        <v>4.9191458150587515</v>
      </c>
      <c r="AB102" s="1765"/>
      <c r="AC102" s="1610">
        <v>177.25299999999999</v>
      </c>
      <c r="AD102" s="1608">
        <f>+(AC102/AC95-1)*100</f>
        <v>36.601700074753964</v>
      </c>
      <c r="AE102" s="1639">
        <v>8</v>
      </c>
      <c r="AF102" s="1610">
        <v>-0.38700000000000001</v>
      </c>
      <c r="AG102" s="1662">
        <f>+AF102/AC102*100</f>
        <v>-0.21833198873925974</v>
      </c>
      <c r="AH102" s="1765"/>
      <c r="AI102" s="1610">
        <v>177.06200000000001</v>
      </c>
      <c r="AJ102" s="1608">
        <f>+(AI102/AI95-1)*100</f>
        <v>17.388652425845642</v>
      </c>
      <c r="AK102" s="1639">
        <v>-1</v>
      </c>
      <c r="AL102" s="1610">
        <v>3.4460000000000002</v>
      </c>
      <c r="AM102" s="1618">
        <f>+AL102/AI102*100</f>
        <v>1.9462109317640148</v>
      </c>
      <c r="AN102" s="1611"/>
      <c r="AO102" s="1607">
        <v>82.521000000000001</v>
      </c>
      <c r="AP102" s="1608">
        <f>+(AO102/AO95-1)*100</f>
        <v>65.442370536698817</v>
      </c>
      <c r="AQ102" s="1639">
        <v>6</v>
      </c>
      <c r="AR102" s="1610">
        <v>-3.2120000000000002</v>
      </c>
      <c r="AS102" s="1618">
        <f>+AR102/AO102*100</f>
        <v>-3.8923425552283661</v>
      </c>
      <c r="AT102" s="1611"/>
      <c r="AU102" s="1611"/>
      <c r="AV102" s="1607"/>
      <c r="AW102" s="1608"/>
      <c r="AX102" s="1639"/>
      <c r="AY102" s="1610"/>
      <c r="AZ102" s="1618"/>
      <c r="BA102" s="1611"/>
      <c r="BB102" s="1614">
        <f>'qtrP&amp;L'!$BF$10</f>
        <v>2788.7049999999999</v>
      </c>
      <c r="BC102" s="1611">
        <f>'qtrP&amp;L'!BH$10</f>
        <v>-2</v>
      </c>
      <c r="BD102" s="1627">
        <f>+D102+W102+AC102+AI102+AO102</f>
        <v>2788.7049999999999</v>
      </c>
      <c r="BE102" s="1638" t="str">
        <f>IF(BB102=BD102,"y","n")</f>
        <v>y</v>
      </c>
      <c r="BF102" s="1613">
        <f>+(BD102/BD95-1)*100</f>
        <v>4.6148703880087849</v>
      </c>
      <c r="BG102" s="1611">
        <f>+$BU102*F102+$BX102*Y102+$BY102*AE102+$BZ102*AK102+$CA102*AQ102</f>
        <v>-3.2324473187375498</v>
      </c>
      <c r="BH102" s="1614">
        <f>'qtrP&amp;L'!$BF$61</f>
        <v>172.55099999999987</v>
      </c>
      <c r="BI102" s="1620">
        <f>+BH102/BB102*100</f>
        <v>6.1874956296919139</v>
      </c>
      <c r="BJ102" s="1610">
        <v>21.696999999999999</v>
      </c>
      <c r="BK102" s="1614">
        <f>+G102+Z102+AF102+AL102+AR102-BJ102</f>
        <v>172.55099999999999</v>
      </c>
      <c r="BL102" s="1638" t="str">
        <f>IF(BH102=BK102,"y","n")</f>
        <v>y</v>
      </c>
      <c r="BM102" s="1618">
        <f>+BK102/BD102*100</f>
        <v>6.1874956296919175</v>
      </c>
      <c r="BN102" s="467"/>
      <c r="BO102" s="1610"/>
      <c r="BP102" s="1608"/>
      <c r="BQ102" s="1639"/>
      <c r="BR102" s="1610"/>
      <c r="BS102" s="1620"/>
      <c r="BT102" s="467"/>
      <c r="BU102" s="1422">
        <f>+D102/$BD102</f>
        <v>0.77099800803598795</v>
      </c>
      <c r="BV102" s="1628"/>
      <c r="BW102" s="1628"/>
      <c r="BX102" s="1422">
        <f>+W102/$BD102</f>
        <v>7.2357241085019744E-2</v>
      </c>
      <c r="BY102" s="1422">
        <f>+AC102/BD102</f>
        <v>6.3561043566816855E-2</v>
      </c>
      <c r="BZ102" s="1422">
        <f>+AI102/BD102</f>
        <v>6.3492552995028165E-2</v>
      </c>
      <c r="CA102" s="1422">
        <f>+AO102/BD102</f>
        <v>2.9591154317147206E-2</v>
      </c>
      <c r="CB102" s="467"/>
      <c r="CC102" s="1422">
        <f>+G102/($BK102+BJ102)</f>
        <v>0.94968802767596061</v>
      </c>
      <c r="CD102" s="1628"/>
      <c r="CE102" s="1628"/>
      <c r="CF102" s="1422">
        <f>+Z102/($BK102+BJ102)</f>
        <v>5.1099625221366504E-2</v>
      </c>
      <c r="CG102" s="1422">
        <f>+AF102/($BK102+BJ102)</f>
        <v>-1.9922985050039128E-3</v>
      </c>
      <c r="CH102" s="1422">
        <f>+AL102/($BK102+BJ102)</f>
        <v>1.7740208393394012E-2</v>
      </c>
      <c r="CI102" s="1422">
        <f>+AR102/($BK102+BJ102)</f>
        <v>-1.6535562785717228E-2</v>
      </c>
      <c r="CJ102" s="1422"/>
      <c r="CK102" s="1650">
        <f>+SUM(D102,W102,AC102,AI102)</f>
        <v>2706.1839999999997</v>
      </c>
      <c r="CM102" s="1650">
        <f>+SUM(G102,Z102,AF102,AL102)</f>
        <v>197.45999999999998</v>
      </c>
      <c r="CN102" s="493">
        <f>+CM102/CK102</f>
        <v>7.2966213679483735E-2</v>
      </c>
    </row>
    <row r="103" spans="1:92" hidden="1" outlineLevel="1">
      <c r="A103" s="467" t="str">
        <f>$A$12</f>
        <v>2Q</v>
      </c>
      <c r="B103" s="467" t="str">
        <f>$B$12</f>
        <v>Jul</v>
      </c>
      <c r="C103" s="467"/>
      <c r="D103" s="1616">
        <v>2301.4630000000002</v>
      </c>
      <c r="E103" s="1608">
        <f>+(D103/D96-1)*100</f>
        <v>4.3250606287255522</v>
      </c>
      <c r="F103" s="1639">
        <v>0</v>
      </c>
      <c r="G103" s="1617">
        <v>182.39</v>
      </c>
      <c r="H103" s="1618">
        <f>+(G103/G96-1)*100</f>
        <v>-13.714228944218675</v>
      </c>
      <c r="I103" s="1662">
        <f>+G103/D103*100</f>
        <v>7.9249590369256415</v>
      </c>
      <c r="J103" s="1765"/>
      <c r="K103" s="1619"/>
      <c r="L103" s="1613"/>
      <c r="M103" s="1611"/>
      <c r="N103" s="467"/>
      <c r="O103" s="1652"/>
      <c r="P103" s="1611"/>
      <c r="Q103" s="1619"/>
      <c r="R103" s="1613"/>
      <c r="S103" s="1611"/>
      <c r="T103" s="467"/>
      <c r="U103" s="1652"/>
      <c r="V103" s="1611"/>
      <c r="W103" s="1616">
        <v>245.79400000000001</v>
      </c>
      <c r="X103" s="1608">
        <f>+(W103/W96-1)*100</f>
        <v>32.86162162162163</v>
      </c>
      <c r="Y103" s="1639">
        <v>3</v>
      </c>
      <c r="Z103" s="1617">
        <v>16.271000000000001</v>
      </c>
      <c r="AA103" s="1662">
        <f>+Z103/W103*100</f>
        <v>6.6197710277712236</v>
      </c>
      <c r="AB103" s="1765"/>
      <c r="AC103" s="1617">
        <v>209.92099999999999</v>
      </c>
      <c r="AD103" s="1608">
        <f>+(AC103/AC96-1)*100</f>
        <v>33.262867880449967</v>
      </c>
      <c r="AE103" s="1639">
        <v>4</v>
      </c>
      <c r="AF103" s="1617">
        <v>6.8810000000000002</v>
      </c>
      <c r="AG103" s="1662">
        <f>+AF103/AC103*100</f>
        <v>3.2778997813463162</v>
      </c>
      <c r="AH103" s="1765"/>
      <c r="AI103" s="1617">
        <v>192.97499999999999</v>
      </c>
      <c r="AJ103" s="1608">
        <f>+(AI103/AI96-1)*100</f>
        <v>23.08570553829863</v>
      </c>
      <c r="AK103" s="1639">
        <v>4</v>
      </c>
      <c r="AL103" s="1617">
        <v>5.0279999999999996</v>
      </c>
      <c r="AM103" s="1618">
        <f>+AL103/AI103*100</f>
        <v>2.6055188495919159</v>
      </c>
      <c r="AN103" s="1611"/>
      <c r="AO103" s="1616">
        <v>96.031000000000006</v>
      </c>
      <c r="AP103" s="1608">
        <f>+(AO103/AO96-1)*100</f>
        <v>60.764388790303684</v>
      </c>
      <c r="AQ103" s="1639">
        <v>11</v>
      </c>
      <c r="AR103" s="1641">
        <v>0.97199999999999998</v>
      </c>
      <c r="AS103" s="1618">
        <f>+AR103/AO103*100</f>
        <v>1.012173152419531</v>
      </c>
      <c r="AT103" s="1611"/>
      <c r="AU103" s="1611"/>
      <c r="AV103" s="1616"/>
      <c r="AW103" s="1608"/>
      <c r="AX103" s="1639"/>
      <c r="AY103" s="1617"/>
      <c r="AZ103" s="1618"/>
      <c r="BA103" s="1611"/>
      <c r="BB103" s="1621">
        <f>'qtrP&amp;L'!$BF$11</f>
        <v>3046.1840000000002</v>
      </c>
      <c r="BC103" s="1611">
        <f>'qtrP&amp;L'!BH$11</f>
        <v>2</v>
      </c>
      <c r="BD103" s="1621">
        <f>+D103+W103+AC103+AI103+AO103</f>
        <v>3046.1839999999997</v>
      </c>
      <c r="BE103" s="1638" t="str">
        <f>IF(BB103=BD103,"y","n")</f>
        <v>y</v>
      </c>
      <c r="BF103" s="1613">
        <f>+(BD103/BD96-1)*100</f>
        <v>10.165857229188635</v>
      </c>
      <c r="BG103" s="1611">
        <f>+$BU103*F103+$BX103*Y103+$BY103*AE103+$BZ103*AK103+$CA103*AQ103</f>
        <v>1.1178927471223012</v>
      </c>
      <c r="BH103" s="1621">
        <f>'qtrP&amp;L'!$BF$62</f>
        <v>188.69100000000003</v>
      </c>
      <c r="BI103" s="1620">
        <f>+BH103/BB103*100</f>
        <v>6.1943401974404706</v>
      </c>
      <c r="BJ103" s="1617">
        <v>22.850999999999999</v>
      </c>
      <c r="BK103" s="1621">
        <f>+G103+Z103+AF103+AL103+AR103-BJ103</f>
        <v>188.691</v>
      </c>
      <c r="BL103" s="1638" t="str">
        <f>IF(BH103=BK103,"y","n")</f>
        <v>y</v>
      </c>
      <c r="BM103" s="1618">
        <f>+BK103/BD103*100</f>
        <v>6.1943401974404706</v>
      </c>
      <c r="BN103" s="467"/>
      <c r="BO103" s="1621"/>
      <c r="BP103" s="1608"/>
      <c r="BQ103" s="1653"/>
      <c r="BR103" s="1621"/>
      <c r="BS103" s="1652"/>
      <c r="BT103" s="467"/>
      <c r="BU103" s="1422">
        <f>+D103/$BD103</f>
        <v>0.75552330391072908</v>
      </c>
      <c r="BV103" s="1628"/>
      <c r="BW103" s="1628"/>
      <c r="BX103" s="1422">
        <f>+W103/$BD103</f>
        <v>8.0689150753861238E-2</v>
      </c>
      <c r="BY103" s="1422">
        <f>+AC103/BD103</f>
        <v>6.8912777429071911E-2</v>
      </c>
      <c r="BZ103" s="1422">
        <f>+AI103/BD103</f>
        <v>6.3349751689326717E-2</v>
      </c>
      <c r="CA103" s="1422">
        <f>+AO103/BD103</f>
        <v>3.152501621701119E-2</v>
      </c>
      <c r="CB103" s="467"/>
      <c r="CC103" s="1422">
        <f>+G103/($BK103+BJ103)</f>
        <v>0.86219285059231732</v>
      </c>
      <c r="CD103" s="1628"/>
      <c r="CE103" s="1628"/>
      <c r="CF103" s="1422">
        <f>+Z103/($BK103+BJ103)</f>
        <v>7.6916167947736147E-2</v>
      </c>
      <c r="CG103" s="1422">
        <f>+AF103/($BK103+BJ103)</f>
        <v>3.2527819534655056E-2</v>
      </c>
      <c r="CH103" s="1422">
        <f>+AL103/($BK103+BJ103)</f>
        <v>2.3768329693394218E-2</v>
      </c>
      <c r="CI103" s="1422">
        <f>+AR103/($BK103+BJ103)</f>
        <v>4.5948322318972116E-3</v>
      </c>
      <c r="CJ103" s="1422"/>
      <c r="CK103" s="1650">
        <f>+SUM(D103,W103,AC103,AI103)</f>
        <v>2950.1529999999998</v>
      </c>
      <c r="CM103" s="1650">
        <f>+SUM(G103,Z103,AF103,AL103)</f>
        <v>210.57</v>
      </c>
      <c r="CN103" s="493">
        <f>+CM103/CK103</f>
        <v>7.1375959145169768E-2</v>
      </c>
    </row>
    <row r="104" spans="1:92" hidden="1" outlineLevel="1">
      <c r="A104" s="467" t="str">
        <f>$A$13</f>
        <v>3Q</v>
      </c>
      <c r="B104" s="467" t="str">
        <f>$B$13</f>
        <v>Oct</v>
      </c>
      <c r="C104" s="467"/>
      <c r="D104" s="1616">
        <v>2537.299</v>
      </c>
      <c r="E104" s="1608">
        <f>+(D104/D97-1)*100</f>
        <v>5.4281407193864428</v>
      </c>
      <c r="F104" s="1639">
        <v>0</v>
      </c>
      <c r="G104" s="1617">
        <v>254.596</v>
      </c>
      <c r="H104" s="1618">
        <f>+(G104/G97-1)*100</f>
        <v>16.552447136271464</v>
      </c>
      <c r="I104" s="1662">
        <f>+G104/D104*100</f>
        <v>10.034134723578104</v>
      </c>
      <c r="J104" s="1765"/>
      <c r="K104" s="1619"/>
      <c r="L104" s="1613"/>
      <c r="M104" s="1611"/>
      <c r="N104" s="467"/>
      <c r="O104" s="1652"/>
      <c r="P104" s="1611"/>
      <c r="Q104" s="1619"/>
      <c r="R104" s="1613"/>
      <c r="S104" s="1611"/>
      <c r="T104" s="467"/>
      <c r="U104" s="1652"/>
      <c r="V104" s="1611"/>
      <c r="W104" s="1616">
        <v>284.57</v>
      </c>
      <c r="X104" s="1608">
        <f>+(W104/W97-1)*100</f>
        <v>35.403135631527618</v>
      </c>
      <c r="Y104" s="1639">
        <v>6</v>
      </c>
      <c r="Z104" s="1617">
        <v>34.088000000000001</v>
      </c>
      <c r="AA104" s="1662">
        <f>+Z104/W104*100</f>
        <v>11.978774993850372</v>
      </c>
      <c r="AB104" s="1765"/>
      <c r="AC104" s="1617">
        <v>243.29599999999999</v>
      </c>
      <c r="AD104" s="1608">
        <f>+(AC104/AC97-1)*100</f>
        <v>31.096802004472334</v>
      </c>
      <c r="AE104" s="1639">
        <v>8</v>
      </c>
      <c r="AF104" s="1617">
        <v>15.898</v>
      </c>
      <c r="AG104" s="1662">
        <f>+AF104/AC104*100</f>
        <v>6.5344271997895564</v>
      </c>
      <c r="AH104" s="1765"/>
      <c r="AI104" s="1617">
        <v>219.232</v>
      </c>
      <c r="AJ104" s="1608">
        <f>+(AI104/AI97-1)*100</f>
        <v>24.366487216287823</v>
      </c>
      <c r="AK104" s="1639">
        <v>2</v>
      </c>
      <c r="AL104" s="1617">
        <v>15.206</v>
      </c>
      <c r="AM104" s="1618">
        <f>+AL104/AI104*100</f>
        <v>6.9360312363158663</v>
      </c>
      <c r="AN104" s="1611"/>
      <c r="AO104" s="1616">
        <v>103.05500000000001</v>
      </c>
      <c r="AP104" s="1608">
        <f>+(AO104/AO97-1)*100</f>
        <v>55.533587889947043</v>
      </c>
      <c r="AQ104" s="1639">
        <v>14</v>
      </c>
      <c r="AR104" s="1641">
        <v>-2.9239999999999999</v>
      </c>
      <c r="AS104" s="1618">
        <f>+AR104/AO104*100</f>
        <v>-2.8373198777351898</v>
      </c>
      <c r="AT104" s="1611"/>
      <c r="AU104" s="1611"/>
      <c r="AV104" s="1616"/>
      <c r="AW104" s="1608"/>
      <c r="AX104" s="1639"/>
      <c r="AY104" s="1617"/>
      <c r="AZ104" s="1618"/>
      <c r="BA104" s="1611"/>
      <c r="BB104" s="1621">
        <f>'qtrP&amp;L'!$BF$12</f>
        <v>3387.4520000000002</v>
      </c>
      <c r="BC104" s="1611">
        <f>'qtrP&amp;L'!BH$12</f>
        <v>3</v>
      </c>
      <c r="BD104" s="1621">
        <f>+D104+W104+AC104+AI104+AO104</f>
        <v>3387.4519999999998</v>
      </c>
      <c r="BE104" s="1638" t="str">
        <f>IF(BB104=BD104,"y","n")</f>
        <v>y</v>
      </c>
      <c r="BF104" s="1613">
        <f>+(BD104/BD97-1)*100</f>
        <v>11.248197835760854</v>
      </c>
      <c r="BG104" s="1611">
        <f>+$BU104*F104+$BX104*Y104+$BY104*AE104+$BZ104*AK104+$CA104*AQ104</f>
        <v>1.6339779869943545</v>
      </c>
      <c r="BH104" s="1621">
        <f>'qtrP&amp;L'!$BF$63</f>
        <v>285.55600000000004</v>
      </c>
      <c r="BI104" s="1620">
        <f>+BH104/BB104*100</f>
        <v>8.4298168653017083</v>
      </c>
      <c r="BJ104" s="1617">
        <v>31.308</v>
      </c>
      <c r="BK104" s="1621">
        <f>+G104+Z104+AF104+AL104+AR104-BJ104</f>
        <v>285.5560000000001</v>
      </c>
      <c r="BL104" s="1638" t="str">
        <f>IF(BH104=BK104,"y","n")</f>
        <v>y</v>
      </c>
      <c r="BM104" s="1618">
        <f>+BK104/BD104*100</f>
        <v>8.42981686530171</v>
      </c>
      <c r="BN104" s="467"/>
      <c r="BO104" s="1621"/>
      <c r="BP104" s="1608"/>
      <c r="BQ104" s="1609"/>
      <c r="BR104" s="1621"/>
      <c r="BS104" s="1652"/>
      <c r="BT104" s="467"/>
      <c r="BU104" s="1422">
        <f>+D104/$BD104</f>
        <v>0.74902876852572375</v>
      </c>
      <c r="BV104" s="1628"/>
      <c r="BW104" s="1628"/>
      <c r="BX104" s="1422">
        <f>+W104/$BD104</f>
        <v>8.4007094417869244E-2</v>
      </c>
      <c r="BY104" s="1422">
        <f>+AC104/BD104</f>
        <v>7.1822715126295525E-2</v>
      </c>
      <c r="BZ104" s="1422">
        <f>+AI104/BD104</f>
        <v>6.4718850628732158E-2</v>
      </c>
      <c r="CA104" s="1422">
        <f>+AO104/BD104</f>
        <v>3.042257130137933E-2</v>
      </c>
      <c r="CB104" s="467"/>
      <c r="CC104" s="1422">
        <f>+G104/($BK104+BJ104)</f>
        <v>0.80348666935972513</v>
      </c>
      <c r="CD104" s="1628"/>
      <c r="CE104" s="1628"/>
      <c r="CF104" s="1422">
        <f>+Z104/($BK104+BJ104)</f>
        <v>0.10757927691375477</v>
      </c>
      <c r="CG104" s="1422">
        <f>+AF104/($BK104+BJ104)</f>
        <v>5.0172944859624306E-2</v>
      </c>
      <c r="CH104" s="1422">
        <f>+AL104/($BK104+BJ104)</f>
        <v>4.7989042617652987E-2</v>
      </c>
      <c r="CI104" s="1422">
        <f>+AR104/($BK104+BJ104)</f>
        <v>-9.2279337507574204E-3</v>
      </c>
      <c r="CJ104" s="1422"/>
      <c r="CK104" s="1650">
        <f>+SUM(D104,W104,AC104,AI104)</f>
        <v>3284.3969999999999</v>
      </c>
      <c r="CM104" s="1650">
        <f>+SUM(G104,Z104,AF104,AL104)</f>
        <v>319.78800000000007</v>
      </c>
      <c r="CN104" s="493">
        <f>+CM104/CK104</f>
        <v>9.7365817835054672E-2</v>
      </c>
    </row>
    <row r="105" spans="1:92" hidden="1" outlineLevel="1">
      <c r="A105" s="467" t="str">
        <f>$A$14</f>
        <v>4Q</v>
      </c>
      <c r="B105" s="467" t="str">
        <f>$B$14</f>
        <v>Jan</v>
      </c>
      <c r="C105" s="467"/>
      <c r="D105" s="1623">
        <v>2948.3580000000002</v>
      </c>
      <c r="E105" s="1608">
        <f>+(D105/D98-1)*100</f>
        <v>9.1991319945347705</v>
      </c>
      <c r="F105" s="1639">
        <v>0</v>
      </c>
      <c r="G105" s="1624">
        <v>301.44600000000003</v>
      </c>
      <c r="H105" s="1618">
        <f>+(G105/G98-1)*100</f>
        <v>44.910634452125265</v>
      </c>
      <c r="I105" s="1662">
        <f>+G105/D105*100</f>
        <v>10.224199367919365</v>
      </c>
      <c r="J105" s="1765"/>
      <c r="K105" s="1624"/>
      <c r="L105" s="1613"/>
      <c r="M105" s="1611"/>
      <c r="N105" s="467"/>
      <c r="O105" s="1652"/>
      <c r="P105" s="1611"/>
      <c r="Q105" s="1624"/>
      <c r="R105" s="1613"/>
      <c r="S105" s="1611"/>
      <c r="T105" s="467"/>
      <c r="U105" s="1652"/>
      <c r="V105" s="1611"/>
      <c r="W105" s="1623">
        <v>344.18599999999998</v>
      </c>
      <c r="X105" s="1608">
        <f>+(W105/W98-1)*100</f>
        <v>46.021577453555018</v>
      </c>
      <c r="Y105" s="1639">
        <v>5</v>
      </c>
      <c r="Z105" s="1624">
        <v>38.643000000000001</v>
      </c>
      <c r="AA105" s="1662">
        <f>+Z105/W105*100</f>
        <v>11.22735962531887</v>
      </c>
      <c r="AB105" s="1765"/>
      <c r="AC105" s="1624">
        <v>361.71699999999998</v>
      </c>
      <c r="AD105" s="1608">
        <f>+(AC105/AC98-1)*100</f>
        <v>46.282448953181301</v>
      </c>
      <c r="AE105" s="1639">
        <v>5</v>
      </c>
      <c r="AF105" s="1624">
        <v>31.263000000000002</v>
      </c>
      <c r="AG105" s="1662">
        <f>+AF105/AC105*100</f>
        <v>8.6429446224534665</v>
      </c>
      <c r="AH105" s="1765"/>
      <c r="AI105" s="1624">
        <v>287.267</v>
      </c>
      <c r="AJ105" s="1608">
        <f>+(AI105/AI98-1)*100</f>
        <v>29.880458273426825</v>
      </c>
      <c r="AK105" s="1639">
        <v>-1</v>
      </c>
      <c r="AL105" s="1624">
        <v>21.707999999999998</v>
      </c>
      <c r="AM105" s="1618">
        <f>+AL105/AI105*100</f>
        <v>7.5567329348654733</v>
      </c>
      <c r="AN105" s="1611"/>
      <c r="AO105" s="1623">
        <v>139.99700000000001</v>
      </c>
      <c r="AP105" s="1608">
        <f>+(AO105/AO98-1)*100</f>
        <v>38.148572105232013</v>
      </c>
      <c r="AQ105" s="1639">
        <v>3</v>
      </c>
      <c r="AR105" s="1642">
        <v>3.0390000000000001</v>
      </c>
      <c r="AS105" s="1618">
        <f>+AR105/AO105*100</f>
        <v>2.170760802017186</v>
      </c>
      <c r="AT105" s="1611"/>
      <c r="AU105" s="1611"/>
      <c r="AV105" s="1623">
        <v>24.071999999999999</v>
      </c>
      <c r="AW105" s="1608"/>
      <c r="AX105" s="1639"/>
      <c r="AY105" s="1624">
        <v>-5.0250000000000004</v>
      </c>
      <c r="AZ105" s="1618">
        <f>+AY105/AV105*100</f>
        <v>-20.874875373878368</v>
      </c>
      <c r="BA105" s="1611"/>
      <c r="BB105" s="1625">
        <f>'qtrP&amp;L'!$BF$13</f>
        <v>4105.5969999999998</v>
      </c>
      <c r="BC105" s="1611">
        <f>'qtrP&amp;L'!BH$13</f>
        <v>3</v>
      </c>
      <c r="BD105" s="1625">
        <f>+D105+W105+AC105+AI105+AO105+AV105</f>
        <v>4105.5969999999998</v>
      </c>
      <c r="BE105" s="1638" t="str">
        <f>IF(BB105=BD105,"y","n")</f>
        <v>y</v>
      </c>
      <c r="BF105" s="1613">
        <f>+(BD105/BD98-1)*100</f>
        <v>17.119362506885636</v>
      </c>
      <c r="BG105" s="1611">
        <f>+$BU105*F105+$BX105*Y105+$BY105*AE105+$BZ105*AK105+$CA105*AQ105</f>
        <v>0.8920113201563622</v>
      </c>
      <c r="BH105" s="1625">
        <f>'qtrP&amp;L'!$BF$64</f>
        <v>367.19199999999978</v>
      </c>
      <c r="BI105" s="1643">
        <f>+BH105/BB105*100</f>
        <v>8.9436932071023971</v>
      </c>
      <c r="BJ105" s="1624">
        <v>23.882000000000001</v>
      </c>
      <c r="BK105" s="1625">
        <f>+G105+Z105+AF105+AL105+AR105+AY105-BJ105</f>
        <v>367.19200000000006</v>
      </c>
      <c r="BL105" s="1638" t="str">
        <f>IF(BH105=BK105,"y","n")</f>
        <v>y</v>
      </c>
      <c r="BM105" s="1618">
        <f>+BK105/BD105*100</f>
        <v>8.9436932071024042</v>
      </c>
      <c r="BN105" s="467"/>
      <c r="BO105" s="1621"/>
      <c r="BP105" s="1608"/>
      <c r="BQ105" s="1609"/>
      <c r="BR105" s="1621"/>
      <c r="BS105" s="1652"/>
      <c r="BT105" s="467"/>
      <c r="BU105" s="1422">
        <f>+D105/$BD105</f>
        <v>0.7181313704194543</v>
      </c>
      <c r="BV105" s="1628"/>
      <c r="BW105" s="1628"/>
      <c r="BX105" s="1422">
        <f>+W105/$BD105</f>
        <v>8.3833362115180818E-2</v>
      </c>
      <c r="BY105" s="1422">
        <f>+AC105/BD105</f>
        <v>8.8103386669466099E-2</v>
      </c>
      <c r="BZ105" s="1422">
        <f>+AI105/BD105</f>
        <v>6.9969604907641939E-2</v>
      </c>
      <c r="CA105" s="1422">
        <f>+AO105/BD105</f>
        <v>3.4099060380256521E-2</v>
      </c>
      <c r="CB105" s="467"/>
      <c r="CC105" s="1422">
        <f>+G105/$BK105</f>
        <v>0.82094925815377229</v>
      </c>
      <c r="CD105" s="1628"/>
      <c r="CE105" s="1628"/>
      <c r="CF105" s="1422">
        <f>+Z105/$BK105</f>
        <v>0.10523922089805876</v>
      </c>
      <c r="CG105" s="1422">
        <f>+AF105/$BK105</f>
        <v>8.5140743807054609E-2</v>
      </c>
      <c r="CH105" s="1422">
        <f>+AL105/$BK105</f>
        <v>5.9118935053051248E-2</v>
      </c>
      <c r="CI105" s="1422">
        <f>+AR105/$BK105</f>
        <v>8.2763241029216311E-3</v>
      </c>
      <c r="CJ105" s="1422"/>
      <c r="CK105" s="1650">
        <f>+SUM(D105,W105,AC105,AI105)</f>
        <v>3941.5280000000002</v>
      </c>
      <c r="CM105" s="1650">
        <f>+SUM(G105,Z105,AF105,AL105)</f>
        <v>393.06000000000006</v>
      </c>
      <c r="CN105" s="493">
        <f>+CM105/CK105</f>
        <v>9.9722747117361607E-2</v>
      </c>
    </row>
    <row r="106" spans="1:92" hidden="1" outlineLevel="1">
      <c r="A106" s="467"/>
      <c r="B106" s="467" t="str">
        <f>$B$15</f>
        <v>Year</v>
      </c>
      <c r="C106" s="467"/>
      <c r="D106" s="1654">
        <f>+SUM(D102:D105)</f>
        <v>9937.2060000000001</v>
      </c>
      <c r="E106" s="1608">
        <f>+(D106/D99-1)*100</f>
        <v>4.7611627836858128</v>
      </c>
      <c r="F106" s="1639">
        <v>-1</v>
      </c>
      <c r="G106" s="1614">
        <f>+SUM(G102:G105)</f>
        <v>922.90700000000004</v>
      </c>
      <c r="H106" s="1618">
        <f>+(G106/G99-1)*100</f>
        <v>3.937523087041539</v>
      </c>
      <c r="I106" s="1662">
        <f>+G106/D106*100</f>
        <v>9.2873892319430631</v>
      </c>
      <c r="J106" s="1765"/>
      <c r="K106" s="1612"/>
      <c r="L106" s="1613"/>
      <c r="M106" s="1611"/>
      <c r="N106" s="467"/>
      <c r="O106" s="1620"/>
      <c r="P106" s="1611"/>
      <c r="Q106" s="1612"/>
      <c r="R106" s="1613"/>
      <c r="S106" s="1611"/>
      <c r="T106" s="467"/>
      <c r="U106" s="1620"/>
      <c r="V106" s="1611"/>
      <c r="W106" s="1644">
        <f>+SUM(W102:W105)</f>
        <v>1076.3329999999999</v>
      </c>
      <c r="X106" s="1608">
        <f>+(W106/W99-1)*100</f>
        <v>35.694690633659512</v>
      </c>
      <c r="Y106" s="1639">
        <v>4</v>
      </c>
      <c r="Z106" s="1614">
        <f>+SUM(Z102:Z105)</f>
        <v>98.927999999999997</v>
      </c>
      <c r="AA106" s="1662">
        <f>+Z106/W106*100</f>
        <v>9.1912075537960831</v>
      </c>
      <c r="AB106" s="1765"/>
      <c r="AC106" s="1614">
        <f>+SUM(AC102:AC105)</f>
        <v>992.18700000000001</v>
      </c>
      <c r="AD106" s="1608">
        <f>+(AC106/AC99-1)*100</f>
        <v>37.776768716126405</v>
      </c>
      <c r="AE106" s="1639">
        <v>6</v>
      </c>
      <c r="AF106" s="1614">
        <f>+SUM(AF102:AF105)</f>
        <v>53.655000000000001</v>
      </c>
      <c r="AG106" s="1662">
        <f>+AF106/AC106*100</f>
        <v>5.4077507566617982</v>
      </c>
      <c r="AH106" s="1765"/>
      <c r="AI106" s="1614">
        <f>+SUM(AI102:AI105)</f>
        <v>876.53600000000006</v>
      </c>
      <c r="AJ106" s="1608">
        <f>+(AI106/AI99-1)*100</f>
        <v>24.318651144847635</v>
      </c>
      <c r="AK106" s="1639">
        <v>1</v>
      </c>
      <c r="AL106" s="1614">
        <f>+SUM(AL102:AL105)</f>
        <v>45.387999999999998</v>
      </c>
      <c r="AM106" s="1618">
        <f>+AL106/AI106*100</f>
        <v>5.1781101974134538</v>
      </c>
      <c r="AN106" s="1611"/>
      <c r="AO106" s="1644">
        <f>+SUM(AO102:AO105)</f>
        <v>421.60400000000004</v>
      </c>
      <c r="AP106" s="1608">
        <f>+(AO106/AO99-1)*100</f>
        <v>52.08830850257926</v>
      </c>
      <c r="AQ106" s="1639">
        <v>8</v>
      </c>
      <c r="AR106" s="1614">
        <f>+SUM(AR102:AR105)</f>
        <v>-2.1249999999999996</v>
      </c>
      <c r="AS106" s="1618">
        <f>+AR106/AO106*100</f>
        <v>-0.50402747602015141</v>
      </c>
      <c r="AT106" s="1611"/>
      <c r="AU106" s="1611"/>
      <c r="AV106" s="1644">
        <f>+SUM(AV102:AV105)</f>
        <v>24.071999999999999</v>
      </c>
      <c r="AW106" s="1608"/>
      <c r="AX106" s="1639"/>
      <c r="AY106" s="1614">
        <f>+SUM(AY102:AY105)</f>
        <v>-5.0250000000000004</v>
      </c>
      <c r="AZ106" s="1618">
        <f>+AY106/AV106*100</f>
        <v>-20.874875373878368</v>
      </c>
      <c r="BA106" s="1611"/>
      <c r="BB106" s="1621">
        <f>'qtrP&amp;L'!$BF$14</f>
        <v>13327.938</v>
      </c>
      <c r="BC106" s="1611">
        <f>'qtrP&amp;L'!BH$14</f>
        <v>1</v>
      </c>
      <c r="BD106" s="1627">
        <f>+D106+W106+AC106+AI106+AO106+AV106</f>
        <v>13327.938</v>
      </c>
      <c r="BE106" s="1638" t="str">
        <f>IF(BB106=BD106,"y","n")</f>
        <v>y</v>
      </c>
      <c r="BF106" s="1613">
        <f>+(BD106/BD99-1)*100</f>
        <v>11.240361676415421</v>
      </c>
      <c r="BG106" s="1611">
        <f>+$BU106*F106+$BX106*Y106+$BY106*AE106+$BZ106*AK106+$CA106*AQ106</f>
        <v>0.34293496863505812</v>
      </c>
      <c r="BH106" s="1614">
        <f>'qtrP&amp;L'!$BF$65</f>
        <v>1013.9899999999998</v>
      </c>
      <c r="BI106" s="1620">
        <f>+BH106/BB106*100</f>
        <v>7.6080035786480984</v>
      </c>
      <c r="BJ106" s="1621">
        <f>SUM(BJ102:BJ105)</f>
        <v>99.738</v>
      </c>
      <c r="BK106" s="1614">
        <f>+G106+Z106+AF106+AL106+AR106+AY106-BJ106</f>
        <v>1013.9899999999998</v>
      </c>
      <c r="BL106" s="1638" t="str">
        <f>IF(BH106=BK106,"y","n")</f>
        <v>y</v>
      </c>
      <c r="BM106" s="1618">
        <f>+BK106/BD106*100</f>
        <v>7.6080035786480984</v>
      </c>
      <c r="BN106" s="467"/>
      <c r="BO106" s="1655"/>
      <c r="BP106" s="1608"/>
      <c r="BQ106" s="1609"/>
      <c r="BR106" s="1614"/>
      <c r="BS106" s="1620"/>
      <c r="BT106" s="467"/>
      <c r="BU106" s="1422">
        <f>+D106/$BD106</f>
        <v>0.7455921538650615</v>
      </c>
      <c r="BV106" s="1628"/>
      <c r="BW106" s="1628"/>
      <c r="BX106" s="1422">
        <f>+W106/$BD106</f>
        <v>8.075765358452297E-2</v>
      </c>
      <c r="BY106" s="1422">
        <f>+AC106/BD106</f>
        <v>7.4444148824821962E-2</v>
      </c>
      <c r="BZ106" s="1422">
        <f>+AI106/BD106</f>
        <v>6.5766812540694594E-2</v>
      </c>
      <c r="CA106" s="1422">
        <f>+AO106/BD106</f>
        <v>3.1633100334050174E-2</v>
      </c>
      <c r="CB106" s="467"/>
      <c r="CC106" s="1422">
        <f>+G106/$BK106</f>
        <v>0.91017367035177887</v>
      </c>
      <c r="CD106" s="1628"/>
      <c r="CE106" s="1628"/>
      <c r="CF106" s="1422">
        <f>+Z106/$BK106</f>
        <v>9.7563092338188759E-2</v>
      </c>
      <c r="CG106" s="1422">
        <f>+AF106/$BK106</f>
        <v>5.2914723024881913E-2</v>
      </c>
      <c r="CH106" s="1422">
        <f>+AL106/$BK106</f>
        <v>4.4761782660578515E-2</v>
      </c>
      <c r="CI106" s="1422">
        <f>+AR106/$BK106</f>
        <v>-2.0956814169764987E-3</v>
      </c>
      <c r="CJ106" s="1422"/>
      <c r="CK106" s="1650">
        <f>+SUM(D106,W106,AC106,AI106)</f>
        <v>12882.262000000001</v>
      </c>
      <c r="CM106" s="1650">
        <f>+SUM(G106,Z106,AF106,AL106)</f>
        <v>1120.8779999999999</v>
      </c>
      <c r="CN106" s="493">
        <f>+CM106/CK106</f>
        <v>8.7009408751351269E-2</v>
      </c>
    </row>
    <row r="107" spans="1:92" hidden="1" outlineLevel="1">
      <c r="A107" s="467"/>
      <c r="B107" s="467"/>
      <c r="C107" s="467"/>
      <c r="D107" s="1603"/>
      <c r="E107" s="1088"/>
      <c r="F107" s="1088"/>
      <c r="G107" s="1499"/>
      <c r="H107" s="1604"/>
      <c r="I107" s="1499"/>
      <c r="J107" s="1764"/>
      <c r="K107" s="1605"/>
      <c r="L107" s="1605"/>
      <c r="M107" s="1605"/>
      <c r="N107" s="467"/>
      <c r="O107" s="467"/>
      <c r="P107" s="1605"/>
      <c r="Q107" s="1605"/>
      <c r="R107" s="1605"/>
      <c r="S107" s="1605"/>
      <c r="T107" s="467"/>
      <c r="U107" s="467"/>
      <c r="V107" s="1605"/>
      <c r="W107" s="1603"/>
      <c r="X107" s="1088"/>
      <c r="Y107" s="1088"/>
      <c r="Z107" s="1499"/>
      <c r="AA107" s="1499"/>
      <c r="AB107" s="1764"/>
      <c r="AC107" s="800"/>
      <c r="AD107" s="1088"/>
      <c r="AE107" s="1088"/>
      <c r="AF107" s="1499"/>
      <c r="AG107" s="1499"/>
      <c r="AH107" s="1764"/>
      <c r="AI107" s="800"/>
      <c r="AJ107" s="1088"/>
      <c r="AK107" s="1088"/>
      <c r="AL107" s="1499"/>
      <c r="AM107" s="1604"/>
      <c r="AN107" s="702"/>
      <c r="AO107" s="1603"/>
      <c r="AP107" s="1088"/>
      <c r="AQ107" s="1088"/>
      <c r="AR107" s="1499"/>
      <c r="AS107" s="1604"/>
      <c r="AT107" s="702"/>
      <c r="AU107" s="702"/>
      <c r="AV107" s="1603"/>
      <c r="AW107" s="1088"/>
      <c r="AX107" s="1088"/>
      <c r="AY107" s="1499"/>
      <c r="AZ107" s="1604"/>
      <c r="BA107" s="487"/>
      <c r="BB107" s="1499"/>
      <c r="BC107" s="1499"/>
      <c r="BD107" s="1499"/>
      <c r="BE107" s="1606"/>
      <c r="BF107" s="487"/>
      <c r="BG107" s="487"/>
      <c r="BH107" s="1499"/>
      <c r="BI107" s="1499"/>
      <c r="BJ107" s="1499"/>
      <c r="BK107" s="1499"/>
      <c r="BL107" s="1606"/>
      <c r="BM107" s="1604"/>
      <c r="BN107" s="467"/>
      <c r="BO107" s="800"/>
      <c r="BP107" s="1088"/>
      <c r="BQ107" s="1088"/>
      <c r="BR107" s="1499"/>
      <c r="BS107" s="467"/>
      <c r="BT107" s="467"/>
      <c r="BU107" s="467"/>
      <c r="BV107" s="467"/>
      <c r="BW107" s="467"/>
      <c r="BX107" s="467"/>
      <c r="BY107" s="467"/>
      <c r="BZ107" s="467"/>
      <c r="CA107" s="467"/>
      <c r="CB107" s="467"/>
      <c r="CC107" s="467"/>
      <c r="CD107" s="467"/>
      <c r="CE107" s="467"/>
      <c r="CF107" s="467"/>
      <c r="CG107" s="467"/>
      <c r="CH107" s="467"/>
      <c r="CI107" s="467"/>
      <c r="CJ107" s="467"/>
    </row>
    <row r="108" spans="1:92" hidden="1" outlineLevel="1">
      <c r="A108" s="2111">
        <f>+A101+1</f>
        <v>2004</v>
      </c>
      <c r="B108" s="2111"/>
      <c r="C108" s="467"/>
      <c r="D108" s="1603"/>
      <c r="E108" s="1088"/>
      <c r="F108" s="1088"/>
      <c r="G108" s="1499"/>
      <c r="H108" s="1604"/>
      <c r="I108" s="1499"/>
      <c r="J108" s="1764"/>
      <c r="K108" s="1605"/>
      <c r="L108" s="1605"/>
      <c r="M108" s="1605"/>
      <c r="N108" s="467"/>
      <c r="O108" s="467"/>
      <c r="P108" s="1605"/>
      <c r="Q108" s="1605"/>
      <c r="R108" s="1605"/>
      <c r="S108" s="1605"/>
      <c r="T108" s="467"/>
      <c r="U108" s="467"/>
      <c r="V108" s="1605"/>
      <c r="W108" s="1603"/>
      <c r="X108" s="1088"/>
      <c r="Y108" s="1088"/>
      <c r="Z108" s="1499"/>
      <c r="AA108" s="1499"/>
      <c r="AB108" s="1764"/>
      <c r="AC108" s="800"/>
      <c r="AD108" s="1088"/>
      <c r="AE108" s="1088"/>
      <c r="AF108" s="1499"/>
      <c r="AG108" s="1499"/>
      <c r="AH108" s="1764"/>
      <c r="AI108" s="800"/>
      <c r="AJ108" s="1088"/>
      <c r="AK108" s="1088"/>
      <c r="AL108" s="1499"/>
      <c r="AM108" s="1604"/>
      <c r="AN108" s="702"/>
      <c r="AO108" s="1603"/>
      <c r="AP108" s="1088"/>
      <c r="AQ108" s="1088"/>
      <c r="AR108" s="1499"/>
      <c r="AS108" s="1604"/>
      <c r="AT108" s="702"/>
      <c r="AU108" s="702"/>
      <c r="AV108" s="1603"/>
      <c r="AW108" s="1088"/>
      <c r="AX108" s="1088"/>
      <c r="AY108" s="1499"/>
      <c r="AZ108" s="1604"/>
      <c r="BA108" s="487"/>
      <c r="BB108" s="1499"/>
      <c r="BC108" s="1499"/>
      <c r="BD108" s="1499"/>
      <c r="BE108" s="1606"/>
      <c r="BF108" s="487"/>
      <c r="BG108" s="487"/>
      <c r="BH108" s="1499"/>
      <c r="BI108" s="1499"/>
      <c r="BJ108" s="1499"/>
      <c r="BK108" s="1499"/>
      <c r="BL108" s="1606"/>
      <c r="BM108" s="1604"/>
      <c r="BN108" s="467"/>
      <c r="BO108" s="800"/>
      <c r="BP108" s="1088"/>
      <c r="BQ108" s="1088"/>
      <c r="BR108" s="1499"/>
      <c r="BS108" s="467"/>
      <c r="BT108" s="467"/>
      <c r="BU108" s="467"/>
      <c r="BV108" s="467"/>
      <c r="BW108" s="467"/>
      <c r="BX108" s="467"/>
      <c r="BY108" s="467"/>
      <c r="BZ108" s="467"/>
      <c r="CA108" s="467"/>
      <c r="CB108" s="467"/>
      <c r="CC108" s="467"/>
      <c r="CD108" s="467"/>
      <c r="CE108" s="467"/>
      <c r="CF108" s="467"/>
      <c r="CG108" s="467"/>
      <c r="CH108" s="467"/>
      <c r="CI108" s="467"/>
      <c r="CJ108" s="467"/>
    </row>
    <row r="109" spans="1:92" hidden="1" outlineLevel="1">
      <c r="A109" s="467" t="str">
        <f>$A$11</f>
        <v>1Q</v>
      </c>
      <c r="B109" s="467" t="str">
        <f>$B$11</f>
        <v>Apr</v>
      </c>
      <c r="C109" s="467"/>
      <c r="D109" s="1607">
        <v>2421.2240000000002</v>
      </c>
      <c r="E109" s="1608">
        <f>+(D109/D102-1)*100</f>
        <v>12.610565344828096</v>
      </c>
      <c r="F109" s="1639">
        <v>6</v>
      </c>
      <c r="G109" s="1610">
        <v>261.69499999999999</v>
      </c>
      <c r="H109" s="1618">
        <f>+(G109/G102-1)*100</f>
        <v>41.859330532592494</v>
      </c>
      <c r="I109" s="1662">
        <f>+G109/D109*100</f>
        <v>10.808376259280429</v>
      </c>
      <c r="J109" s="1765"/>
      <c r="K109" s="1612"/>
      <c r="L109" s="1613"/>
      <c r="M109" s="1611"/>
      <c r="N109" s="467"/>
      <c r="O109" s="1620"/>
      <c r="P109" s="1611"/>
      <c r="Q109" s="1612"/>
      <c r="R109" s="1613"/>
      <c r="S109" s="1611"/>
      <c r="T109" s="467"/>
      <c r="U109" s="1620"/>
      <c r="V109" s="1611"/>
      <c r="W109" s="1607">
        <v>269.625</v>
      </c>
      <c r="X109" s="1608">
        <f>+(W109/W102-1)*100</f>
        <v>33.621266409955261</v>
      </c>
      <c r="Y109" s="1639">
        <v>6</v>
      </c>
      <c r="Z109" s="1610">
        <v>22.158000000000001</v>
      </c>
      <c r="AA109" s="1662">
        <f>+Z109/W109*100</f>
        <v>8.2180806675938811</v>
      </c>
      <c r="AB109" s="1765"/>
      <c r="AC109" s="1610">
        <v>263.24700000000001</v>
      </c>
      <c r="AD109" s="1608">
        <f>+(AC109/AC102-1)*100</f>
        <v>48.514834727762036</v>
      </c>
      <c r="AE109" s="1639">
        <v>5</v>
      </c>
      <c r="AF109" s="1610">
        <v>0.313</v>
      </c>
      <c r="AG109" s="1662">
        <f>+AF109/AC109*100</f>
        <v>0.11889974054785049</v>
      </c>
      <c r="AH109" s="1765"/>
      <c r="AI109" s="1610">
        <v>226.43199999999999</v>
      </c>
      <c r="AJ109" s="1608">
        <f>+(AI109/AI102-1)*100</f>
        <v>27.882888479741542</v>
      </c>
      <c r="AK109" s="1639">
        <v>4</v>
      </c>
      <c r="AL109" s="1610">
        <v>3.9369999999999998</v>
      </c>
      <c r="AM109" s="1618">
        <f>+AL109/AI109*100</f>
        <v>1.7387118428490673</v>
      </c>
      <c r="AN109" s="1611"/>
      <c r="AO109" s="1607">
        <v>110.846</v>
      </c>
      <c r="AP109" s="1608">
        <f>+(AO109/AO102-1)*100</f>
        <v>34.324596163400841</v>
      </c>
      <c r="AQ109" s="1639">
        <v>9</v>
      </c>
      <c r="AR109" s="1610">
        <v>-4.0199999999999996</v>
      </c>
      <c r="AS109" s="1618">
        <f>+AR109/AO109*100</f>
        <v>-3.6266531945221296</v>
      </c>
      <c r="AT109" s="1611"/>
      <c r="AU109" s="1611"/>
      <c r="AV109" s="1607">
        <v>61.363</v>
      </c>
      <c r="AW109" s="1608"/>
      <c r="AX109" s="1639"/>
      <c r="AY109" s="1610">
        <v>1.046</v>
      </c>
      <c r="AZ109" s="1618">
        <f>+AY109/AV109*100</f>
        <v>1.7046102700324299</v>
      </c>
      <c r="BA109" s="1611"/>
      <c r="BB109" s="1614">
        <f>'qtrP&amp;L'!$BJ$10</f>
        <v>3352.7370000000001</v>
      </c>
      <c r="BC109" s="1611">
        <f>'qtrP&amp;L'!BL$10</f>
        <v>8</v>
      </c>
      <c r="BD109" s="1627">
        <f>+D109+W109+AC109+AI109+AO109+AV109</f>
        <v>3352.7369999999996</v>
      </c>
      <c r="BE109" s="1638" t="str">
        <f>IF(BB109=BD109,"y","n")</f>
        <v>y</v>
      </c>
      <c r="BF109" s="1613">
        <f>+(BD109/BD102-1)*100</f>
        <v>20.225588579645382</v>
      </c>
      <c r="BG109" s="1611">
        <f>+$BU109*F109+$BX109*Y109+$BY109*AE109+$BZ109*AK109+$CA109*AQ109</f>
        <v>5.7757799075799872</v>
      </c>
      <c r="BH109" s="1614">
        <f>'qtrP&amp;L'!$BJ$61</f>
        <v>258.93799999999999</v>
      </c>
      <c r="BI109" s="1620">
        <f>+BH109/BB109*100</f>
        <v>7.7231825818726607</v>
      </c>
      <c r="BJ109" s="1610">
        <v>26.190999999999999</v>
      </c>
      <c r="BK109" s="1614">
        <f>+G109+Z109+AF109+AL109+AR109+AY109-BJ109</f>
        <v>258.93800000000005</v>
      </c>
      <c r="BL109" s="1638" t="str">
        <f>IF(BH109=BK109,"y","n")</f>
        <v>y</v>
      </c>
      <c r="BM109" s="1618">
        <f>+BK109/BD109*100</f>
        <v>7.7231825818726634</v>
      </c>
      <c r="BN109" s="467"/>
      <c r="BO109" s="1610"/>
      <c r="BP109" s="1608"/>
      <c r="BQ109" s="1639"/>
      <c r="BR109" s="1610"/>
      <c r="BS109" s="1620"/>
      <c r="BT109" s="467"/>
      <c r="BU109" s="1422">
        <f>+D109/$BD109</f>
        <v>0.72216341454757726</v>
      </c>
      <c r="BV109" s="1628"/>
      <c r="BW109" s="1628"/>
      <c r="BX109" s="1422">
        <f>+W109/$BD109</f>
        <v>8.0419370800632453E-2</v>
      </c>
      <c r="BY109" s="1422">
        <f>+AC109/BD109</f>
        <v>7.8517044432653102E-2</v>
      </c>
      <c r="BZ109" s="1422">
        <f>+AI109/BD109</f>
        <v>6.7536463492364598E-2</v>
      </c>
      <c r="CA109" s="1422">
        <f>+AO109/BD109</f>
        <v>3.3061346595333906E-2</v>
      </c>
      <c r="CB109" s="467"/>
      <c r="CC109" s="1422">
        <f>+G109/$BK109</f>
        <v>1.0106473364280251</v>
      </c>
      <c r="CD109" s="1628"/>
      <c r="CE109" s="1628"/>
      <c r="CF109" s="1422">
        <f>+Z109/$BK109</f>
        <v>8.5572608114683812E-2</v>
      </c>
      <c r="CG109" s="1422">
        <f>+AF109/$BK109</f>
        <v>1.2087835698120783E-3</v>
      </c>
      <c r="CH109" s="1422">
        <f>+AL109/$BK109</f>
        <v>1.5204411866933394E-2</v>
      </c>
      <c r="CI109" s="1422">
        <f>+AR109/$BK109</f>
        <v>-1.5524951918992187E-2</v>
      </c>
      <c r="CJ109" s="1422"/>
      <c r="CK109" s="1650">
        <f>+SUM(D109,W109,AC109,AI109)</f>
        <v>3180.5279999999998</v>
      </c>
      <c r="CM109" s="1650">
        <f>+SUM(G109,Z109,AF109,AL109)</f>
        <v>288.10300000000001</v>
      </c>
      <c r="CN109" s="493">
        <f>+CM109/CK109</f>
        <v>9.0583387412404487E-2</v>
      </c>
    </row>
    <row r="110" spans="1:92" hidden="1" outlineLevel="1">
      <c r="A110" s="467" t="str">
        <f>$A$12</f>
        <v>2Q</v>
      </c>
      <c r="B110" s="467" t="str">
        <f>$B$12</f>
        <v>Jul</v>
      </c>
      <c r="C110" s="467"/>
      <c r="D110" s="1616">
        <v>2442.1619999999998</v>
      </c>
      <c r="E110" s="1608">
        <f>+(D110/D103-1)*100</f>
        <v>6.1134591344722766</v>
      </c>
      <c r="F110" s="1639">
        <v>2</v>
      </c>
      <c r="G110" s="1617">
        <v>192.798</v>
      </c>
      <c r="H110" s="1618">
        <f>+(G110/G103-1)*100</f>
        <v>5.7064532046713135</v>
      </c>
      <c r="I110" s="1662">
        <f>+G110/D110*100</f>
        <v>7.8945622771953712</v>
      </c>
      <c r="J110" s="1765"/>
      <c r="K110" s="1619"/>
      <c r="L110" s="1613"/>
      <c r="M110" s="1611"/>
      <c r="N110" s="467"/>
      <c r="O110" s="1652"/>
      <c r="P110" s="1611"/>
      <c r="Q110" s="1619"/>
      <c r="R110" s="1613"/>
      <c r="S110" s="1611"/>
      <c r="T110" s="467"/>
      <c r="U110" s="1652"/>
      <c r="V110" s="1611"/>
      <c r="W110" s="1616">
        <v>292.56599999999997</v>
      </c>
      <c r="X110" s="1608">
        <f>+(W110/W103-1)*100</f>
        <v>19.028942935954476</v>
      </c>
      <c r="Y110" s="1639">
        <v>11</v>
      </c>
      <c r="Z110" s="1617">
        <v>19.045000000000002</v>
      </c>
      <c r="AA110" s="1662">
        <f>+Z110/W110*100</f>
        <v>6.5096422687530353</v>
      </c>
      <c r="AB110" s="1765"/>
      <c r="AC110" s="1617">
        <v>275.42599999999999</v>
      </c>
      <c r="AD110" s="1608">
        <f>+(AC110/AC103-1)*100</f>
        <v>31.204596014691234</v>
      </c>
      <c r="AE110" s="1639">
        <v>1</v>
      </c>
      <c r="AF110" s="1617">
        <v>8.0790000000000006</v>
      </c>
      <c r="AG110" s="1662">
        <f>+AF110/AC110*100</f>
        <v>2.9332742733075312</v>
      </c>
      <c r="AH110" s="1765"/>
      <c r="AI110" s="1617">
        <v>222.07900000000001</v>
      </c>
      <c r="AJ110" s="1608">
        <f>+(AI110/AI103-1)*100</f>
        <v>15.081746340199519</v>
      </c>
      <c r="AK110" s="1639">
        <v>-1</v>
      </c>
      <c r="AL110" s="1656">
        <v>-1.758</v>
      </c>
      <c r="AM110" s="1618">
        <f>+AL110/AI110*100</f>
        <v>-0.79161019276923972</v>
      </c>
      <c r="AN110" s="1611"/>
      <c r="AO110" s="1616">
        <v>118.262</v>
      </c>
      <c r="AP110" s="1608">
        <f>+(AO110/AO103-1)*100</f>
        <v>23.149816205183726</v>
      </c>
      <c r="AQ110" s="1639">
        <v>2</v>
      </c>
      <c r="AR110" s="1641">
        <v>-4.2709999999999999</v>
      </c>
      <c r="AS110" s="1618">
        <f>+AR110/AO110*100</f>
        <v>-3.6114728315096989</v>
      </c>
      <c r="AT110" s="1611"/>
      <c r="AU110" s="1611"/>
      <c r="AV110" s="1616">
        <v>63.792000000000002</v>
      </c>
      <c r="AW110" s="1608"/>
      <c r="AX110" s="1639"/>
      <c r="AY110" s="1656">
        <v>-8.4350000000000005</v>
      </c>
      <c r="AZ110" s="1618">
        <f>+AY110/AV110*100</f>
        <v>-13.222661148733383</v>
      </c>
      <c r="BA110" s="1611"/>
      <c r="BB110" s="1621">
        <f>'qtrP&amp;L'!$BJ$11</f>
        <v>3414.2869999999998</v>
      </c>
      <c r="BC110" s="1611">
        <f>'qtrP&amp;L'!BL$11</f>
        <v>3</v>
      </c>
      <c r="BD110" s="1621">
        <f>+D110+W110+AC110+AI110+AO110+AV110</f>
        <v>3414.2869999999998</v>
      </c>
      <c r="BE110" s="1638" t="str">
        <f>IF(BB110=BD110,"y","n")</f>
        <v>y</v>
      </c>
      <c r="BF110" s="1613">
        <f>+(BD110/BD103-1)*100</f>
        <v>12.084069773854766</v>
      </c>
      <c r="BG110" s="1611">
        <f>+$BU110*F110+$BX110*Y110+$BY110*AE110+$BZ110*AK110+$CA110*AQ110</f>
        <v>2.4580303296120092</v>
      </c>
      <c r="BH110" s="1621">
        <f>'qtrP&amp;L'!$BJ$62</f>
        <v>179.34400000000005</v>
      </c>
      <c r="BI110" s="1620">
        <f>+BH110/BB110*100</f>
        <v>5.2527511600518659</v>
      </c>
      <c r="BJ110" s="1617">
        <v>26.114000000000001</v>
      </c>
      <c r="BK110" s="1621">
        <f>+G110+Z110+AF110+AL110+AR110+AY110-BJ110</f>
        <v>179.34400000000002</v>
      </c>
      <c r="BL110" s="1638" t="str">
        <f>IF(BH110=BK110,"y","n")</f>
        <v>y</v>
      </c>
      <c r="BM110" s="1618">
        <f>+BK110/BD110*100</f>
        <v>5.252751160051865</v>
      </c>
      <c r="BN110" s="467"/>
      <c r="BO110" s="1621"/>
      <c r="BP110" s="1608"/>
      <c r="BQ110" s="1653"/>
      <c r="BR110" s="1621"/>
      <c r="BS110" s="1652"/>
      <c r="BT110" s="467"/>
      <c r="BU110" s="1422">
        <f>+D110/$BD110</f>
        <v>0.71527730387047128</v>
      </c>
      <c r="BV110" s="1628"/>
      <c r="BW110" s="1628"/>
      <c r="BX110" s="1422">
        <f>+W110/$BD110</f>
        <v>8.5688754343146892E-2</v>
      </c>
      <c r="BY110" s="1422">
        <f>+AC110/BD110</f>
        <v>8.0668672551545903E-2</v>
      </c>
      <c r="BZ110" s="1422">
        <f>+AI110/BD110</f>
        <v>6.5044034083836549E-2</v>
      </c>
      <c r="CA110" s="1422">
        <f>+AO110/BD110</f>
        <v>3.4637392814370907E-2</v>
      </c>
      <c r="CB110" s="467"/>
      <c r="CC110" s="1422">
        <f>+G110/$BK110</f>
        <v>1.0750178428048889</v>
      </c>
      <c r="CD110" s="1628"/>
      <c r="CE110" s="1628"/>
      <c r="CF110" s="1422">
        <f>+Z110/$BK110</f>
        <v>0.10619256847176375</v>
      </c>
      <c r="CG110" s="1422">
        <f>+AF110/$BK110</f>
        <v>4.5047506468016772E-2</v>
      </c>
      <c r="CH110" s="1422">
        <f>+AL110/$BK110</f>
        <v>-9.802390935855115E-3</v>
      </c>
      <c r="CI110" s="1422">
        <f>+AR110/$BK110</f>
        <v>-2.3814568650191808E-2</v>
      </c>
      <c r="CJ110" s="1422"/>
      <c r="CK110" s="1650">
        <f>+SUM(D110,W110,AC110,AI110)</f>
        <v>3232.2329999999997</v>
      </c>
      <c r="CM110" s="1650">
        <f>+SUM(G110,Z110,AF110,AL110)</f>
        <v>218.16400000000002</v>
      </c>
      <c r="CN110" s="493">
        <f>+CM110/CK110</f>
        <v>6.7496371703401337E-2</v>
      </c>
    </row>
    <row r="111" spans="1:92" hidden="1" outlineLevel="1">
      <c r="A111" s="467" t="str">
        <f>$A$13</f>
        <v>3Q</v>
      </c>
      <c r="B111" s="467" t="str">
        <f>$B$13</f>
        <v>Oct</v>
      </c>
      <c r="C111" s="467"/>
      <c r="D111" s="1616">
        <v>2671.8890000000001</v>
      </c>
      <c r="E111" s="1608">
        <f>+(D111/D104-1)*100</f>
        <v>5.3044595847789422</v>
      </c>
      <c r="F111" s="1639">
        <v>2</v>
      </c>
      <c r="G111" s="1617">
        <v>272.26</v>
      </c>
      <c r="H111" s="1657">
        <f>+(G111/G104-1)*100</f>
        <v>6.9380508727552526</v>
      </c>
      <c r="I111" s="1662">
        <f>+G111/D111*100</f>
        <v>10.189794561076452</v>
      </c>
      <c r="J111" s="1765"/>
      <c r="K111" s="1619"/>
      <c r="L111" s="1613"/>
      <c r="M111" s="1611"/>
      <c r="N111" s="467"/>
      <c r="O111" s="1652"/>
      <c r="P111" s="1611"/>
      <c r="Q111" s="1619"/>
      <c r="R111" s="1613"/>
      <c r="S111" s="1611"/>
      <c r="T111" s="467"/>
      <c r="U111" s="1652"/>
      <c r="V111" s="1611"/>
      <c r="W111" s="1616">
        <v>351.34699999999998</v>
      </c>
      <c r="X111" s="1608">
        <f>+(W111/W104-1)*100</f>
        <v>23.465931053870758</v>
      </c>
      <c r="Y111" s="1639">
        <v>4</v>
      </c>
      <c r="Z111" s="1617">
        <v>36.277000000000001</v>
      </c>
      <c r="AA111" s="1662">
        <f>+Z111/W111*100</f>
        <v>10.325120180334542</v>
      </c>
      <c r="AB111" s="1765"/>
      <c r="AC111" s="1617">
        <v>335.82799999999997</v>
      </c>
      <c r="AD111" s="1608">
        <f>+(AC111/AC104-1)*100</f>
        <v>38.032684466657884</v>
      </c>
      <c r="AE111" s="1639">
        <v>4</v>
      </c>
      <c r="AF111" s="1617">
        <v>27.802</v>
      </c>
      <c r="AG111" s="1662">
        <f>+AF111/AC111*100</f>
        <v>8.2786426384935154</v>
      </c>
      <c r="AH111" s="1765"/>
      <c r="AI111" s="1617">
        <v>248.738</v>
      </c>
      <c r="AJ111" s="1608">
        <f>+(AI111/AI104-1)*100</f>
        <v>13.458801634797846</v>
      </c>
      <c r="AK111" s="1639">
        <v>-1</v>
      </c>
      <c r="AL111" s="1617">
        <v>10.275</v>
      </c>
      <c r="AM111" s="1618">
        <f>+AL111/AI111*100</f>
        <v>4.1308525436402963</v>
      </c>
      <c r="AN111" s="1611"/>
      <c r="AO111" s="1616">
        <v>128.68799999999999</v>
      </c>
      <c r="AP111" s="1608">
        <f>+(AO111/AO104-1)*100</f>
        <v>24.873126000679235</v>
      </c>
      <c r="AQ111" s="1639">
        <v>3</v>
      </c>
      <c r="AR111" s="1641">
        <v>-7.1479999999999997</v>
      </c>
      <c r="AS111" s="1618">
        <f>+AR111/AO111*100</f>
        <v>-5.554519457913714</v>
      </c>
      <c r="AT111" s="1611"/>
      <c r="AU111" s="1611"/>
      <c r="AV111" s="1616">
        <v>80.86</v>
      </c>
      <c r="AW111" s="1608"/>
      <c r="AX111" s="1609"/>
      <c r="AY111" s="1658">
        <v>-2.8220000000000001</v>
      </c>
      <c r="AZ111" s="1618">
        <f>+AY111/AV111*100</f>
        <v>-3.4899826861241658</v>
      </c>
      <c r="BA111" s="1611"/>
      <c r="BB111" s="1621">
        <f>'qtrP&amp;L'!$BJ$12</f>
        <v>3817.35</v>
      </c>
      <c r="BC111" s="1611">
        <f>'qtrP&amp;L'!BL$12</f>
        <v>4</v>
      </c>
      <c r="BD111" s="1621">
        <f>+D111+W111+AC111+AI111+AO111+AV111</f>
        <v>3817.35</v>
      </c>
      <c r="BE111" s="1638" t="str">
        <f>IF(BB111=BD111,"y","n")</f>
        <v>y</v>
      </c>
      <c r="BF111" s="1613">
        <f>+(BD111/BD104-1)*100</f>
        <v>12.690895693872562</v>
      </c>
      <c r="BG111" s="1611">
        <f>+$BU111*F111+$BX111*Y111+$BY111*AE111+$BZ111*AK111+$CA111*AQ111</f>
        <v>2.1558945341663716</v>
      </c>
      <c r="BH111" s="1621">
        <f>'qtrP&amp;L'!$BJ$63</f>
        <v>307.43400000000008</v>
      </c>
      <c r="BI111" s="1620">
        <f>+BH111/BB111*100</f>
        <v>8.053597390860153</v>
      </c>
      <c r="BJ111" s="1617">
        <v>29.21</v>
      </c>
      <c r="BK111" s="1621">
        <f>+G111+Z111+AF111+AL111+AR111+AY111-BJ111</f>
        <v>307.43399999999997</v>
      </c>
      <c r="BL111" s="1638" t="str">
        <f>IF(BH111=BK111,"y","n")</f>
        <v>y</v>
      </c>
      <c r="BM111" s="1618">
        <f>+BK111/BD111*100</f>
        <v>8.0535973908601513</v>
      </c>
      <c r="BN111" s="467"/>
      <c r="BO111" s="1621"/>
      <c r="BP111" s="1608"/>
      <c r="BQ111" s="1609"/>
      <c r="BR111" s="1621"/>
      <c r="BS111" s="1652"/>
      <c r="BT111" s="467"/>
      <c r="BU111" s="1422">
        <f>+D111/$BD111</f>
        <v>0.69993293777096677</v>
      </c>
      <c r="BV111" s="1628"/>
      <c r="BW111" s="1628"/>
      <c r="BX111" s="1422">
        <f>+W111/$BD111</f>
        <v>9.2039503844289883E-2</v>
      </c>
      <c r="BY111" s="1422">
        <f>+AC111/BD111</f>
        <v>8.7974118170982482E-2</v>
      </c>
      <c r="BZ111" s="1422">
        <f>+AI111/BD111</f>
        <v>6.5159862208076291E-2</v>
      </c>
      <c r="CA111" s="1422">
        <f>+AO111/BD111</f>
        <v>3.3711344257141729E-2</v>
      </c>
      <c r="CB111" s="467"/>
      <c r="CC111" s="1422">
        <f>+G111/$BK111</f>
        <v>0.88558845150503851</v>
      </c>
      <c r="CD111" s="1628"/>
      <c r="CE111" s="1628"/>
      <c r="CF111" s="1422">
        <f>+Z111/$BK111</f>
        <v>0.11799931042109853</v>
      </c>
      <c r="CG111" s="1422">
        <f>+AF111/$BK111</f>
        <v>9.0432418014923535E-2</v>
      </c>
      <c r="CH111" s="1422">
        <f>+AL111/$BK111</f>
        <v>3.3421807607486489E-2</v>
      </c>
      <c r="CI111" s="1422">
        <f>+AR111/$BK111</f>
        <v>-2.3250518810541451E-2</v>
      </c>
      <c r="CJ111" s="1422"/>
      <c r="CK111" s="1650">
        <f>+SUM(D111,W111,AC111,AI111)</f>
        <v>3607.8019999999997</v>
      </c>
      <c r="CM111" s="1650">
        <f>+SUM(G111,Z111,AF111,AL111)</f>
        <v>346.61399999999998</v>
      </c>
      <c r="CN111" s="493">
        <f>+CM111/CK111</f>
        <v>9.6073454141884729E-2</v>
      </c>
    </row>
    <row r="112" spans="1:92" hidden="1" outlineLevel="1">
      <c r="A112" s="467" t="str">
        <f>$A$14</f>
        <v>4Q</v>
      </c>
      <c r="B112" s="467" t="str">
        <f>$B$14</f>
        <v>Jan</v>
      </c>
      <c r="C112" s="467"/>
      <c r="D112" s="1623">
        <v>2954.203</v>
      </c>
      <c r="E112" s="1608">
        <f>+(D112/D105-1)*100</f>
        <v>0.19824593892598941</v>
      </c>
      <c r="F112" s="1639">
        <v>4</v>
      </c>
      <c r="G112" s="1624">
        <v>255.32900000000001</v>
      </c>
      <c r="H112" s="1657">
        <f>+(G112/G105-1)*100</f>
        <v>-15.298594109724462</v>
      </c>
      <c r="I112" s="1662">
        <f>+G112/D112*100</f>
        <v>8.6429063947196578</v>
      </c>
      <c r="J112" s="1765"/>
      <c r="K112" s="1624"/>
      <c r="L112" s="1613"/>
      <c r="M112" s="1611"/>
      <c r="N112" s="467"/>
      <c r="O112" s="1652"/>
      <c r="P112" s="1611"/>
      <c r="Q112" s="1624"/>
      <c r="R112" s="1613"/>
      <c r="S112" s="1611"/>
      <c r="T112" s="467"/>
      <c r="U112" s="1652"/>
      <c r="V112" s="1611"/>
      <c r="W112" s="1623">
        <v>371.90100000000001</v>
      </c>
      <c r="X112" s="1608">
        <f>+(W112/W105-1)*100</f>
        <v>8.0523321692340879</v>
      </c>
      <c r="Y112" s="1639">
        <v>-4</v>
      </c>
      <c r="Z112" s="1624">
        <v>22.221</v>
      </c>
      <c r="AA112" s="1662">
        <f>+Z112/W112*100</f>
        <v>5.9749772116773006</v>
      </c>
      <c r="AB112" s="1765"/>
      <c r="AC112" s="1624">
        <v>429.94200000000001</v>
      </c>
      <c r="AD112" s="1608">
        <f>+(AC112/AC105-1)*100</f>
        <v>18.861430344717011</v>
      </c>
      <c r="AE112" s="1639">
        <v>3</v>
      </c>
      <c r="AF112" s="1624">
        <v>27.780999999999999</v>
      </c>
      <c r="AG112" s="1662">
        <f>+AF112/AC112*100</f>
        <v>6.4615692349200584</v>
      </c>
      <c r="AH112" s="1765"/>
      <c r="AI112" s="1624">
        <v>315.67399999999998</v>
      </c>
      <c r="AJ112" s="1608">
        <f>+(AI112/AI105-1)*100</f>
        <v>9.8887098065562729</v>
      </c>
      <c r="AK112" s="1639">
        <v>3</v>
      </c>
      <c r="AL112" s="1624">
        <v>5.694</v>
      </c>
      <c r="AM112" s="1618">
        <f>+AL112/AI112*100</f>
        <v>1.8037595747511674</v>
      </c>
      <c r="AN112" s="1611"/>
      <c r="AO112" s="1623">
        <v>172.84700000000001</v>
      </c>
      <c r="AP112" s="1608">
        <f>+(AO112/AO105-1)*100</f>
        <v>23.464788531182812</v>
      </c>
      <c r="AQ112" s="1639">
        <v>3</v>
      </c>
      <c r="AR112" s="1642">
        <v>-4.1870000000000003</v>
      </c>
      <c r="AS112" s="1618">
        <f>+AR112/AO112*100</f>
        <v>-2.422373544232761</v>
      </c>
      <c r="AT112" s="1611"/>
      <c r="AU112" s="1611"/>
      <c r="AV112" s="1623">
        <v>84.542000000000002</v>
      </c>
      <c r="AW112" s="1608"/>
      <c r="AX112" s="1609"/>
      <c r="AY112" s="1659">
        <v>-8.3010000000000002</v>
      </c>
      <c r="AZ112" s="1618">
        <f>+AY112/AV112*100</f>
        <v>-9.8187882945754765</v>
      </c>
      <c r="BA112" s="1611"/>
      <c r="BB112" s="1625">
        <f>'qtrP&amp;L'!$BJ$13</f>
        <v>4329.1090000000004</v>
      </c>
      <c r="BC112" s="1611">
        <f>'qtrP&amp;L'!BL$13</f>
        <v>4</v>
      </c>
      <c r="BD112" s="1625">
        <f>+D112+W112+AC112+AI112+AO112+AV112</f>
        <v>4329.1090000000004</v>
      </c>
      <c r="BE112" s="1638" t="str">
        <f>IF(BB112=BD112,"y","n")</f>
        <v>y</v>
      </c>
      <c r="BF112" s="1613">
        <f>+(BD112/BD105-1)*100</f>
        <v>5.4440803615162681</v>
      </c>
      <c r="BG112" s="1611">
        <f>+$BU112*F112+$BX112*Y112+$BY112*AE112+$BZ112*AK112+$CA112*AQ112</f>
        <v>3.0224688267262385</v>
      </c>
      <c r="BH112" s="1625">
        <f>'qtrP&amp;L'!$BJ$64</f>
        <v>268.99200000000053</v>
      </c>
      <c r="BI112" s="1643">
        <f>+BH112/BB112*100</f>
        <v>6.2135649622127902</v>
      </c>
      <c r="BJ112" s="1624">
        <v>29.545000000000002</v>
      </c>
      <c r="BK112" s="1625">
        <f>+G112+Z112+AF112+AL112+AR112+AY112-BJ112</f>
        <v>268.99200000000002</v>
      </c>
      <c r="BL112" s="1638" t="str">
        <f>IF(BH112=BK112,"y","n")</f>
        <v>n</v>
      </c>
      <c r="BM112" s="1618">
        <f>+BK112/BD112*100</f>
        <v>6.2135649622127787</v>
      </c>
      <c r="BN112" s="467"/>
      <c r="BO112" s="1621"/>
      <c r="BP112" s="1608"/>
      <c r="BQ112" s="1609"/>
      <c r="BR112" s="1621"/>
      <c r="BS112" s="1652"/>
      <c r="BT112" s="467"/>
      <c r="BU112" s="1422">
        <f>+D112/$BD112</f>
        <v>0.68240439314417811</v>
      </c>
      <c r="BV112" s="1628"/>
      <c r="BW112" s="1628"/>
      <c r="BX112" s="1422">
        <f>+W112/$BD112</f>
        <v>8.5907053853344878E-2</v>
      </c>
      <c r="BY112" s="1422">
        <f>+AC112/BD112</f>
        <v>9.9314200681941703E-2</v>
      </c>
      <c r="BZ112" s="1422">
        <f>+AI112/BD112</f>
        <v>7.291893089316992E-2</v>
      </c>
      <c r="CA112" s="1422">
        <f>+AO112/BD112</f>
        <v>3.9926691612523497E-2</v>
      </c>
      <c r="CB112" s="467"/>
      <c r="CC112" s="1422">
        <f>+G112/$BK112</f>
        <v>0.94920666785629304</v>
      </c>
      <c r="CD112" s="1628"/>
      <c r="CE112" s="1628"/>
      <c r="CF112" s="1422">
        <f>+Z112/$BK112</f>
        <v>8.2608404710920763E-2</v>
      </c>
      <c r="CG112" s="1422">
        <f>+AF112/$BK112</f>
        <v>0.10327816440637638</v>
      </c>
      <c r="CH112" s="1422">
        <f>+AL112/$BK112</f>
        <v>2.1167915774446822E-2</v>
      </c>
      <c r="CI112" s="1422">
        <f>+AR112/$BK112</f>
        <v>-1.5565518677135379E-2</v>
      </c>
      <c r="CJ112" s="1422"/>
      <c r="CK112" s="1650">
        <f>+SUM(D112,W112,AC112,AI112)</f>
        <v>4071.72</v>
      </c>
      <c r="CM112" s="1650">
        <f>+SUM(G112,Z112,AF112,AL112)</f>
        <v>311.02500000000003</v>
      </c>
      <c r="CN112" s="493">
        <f>+CM112/CK112</f>
        <v>7.6386637588046341E-2</v>
      </c>
    </row>
    <row r="113" spans="1:92" hidden="1" outlineLevel="1">
      <c r="A113" s="467"/>
      <c r="B113" s="467" t="str">
        <f>$B$15</f>
        <v>Year</v>
      </c>
      <c r="C113" s="467"/>
      <c r="D113" s="1654">
        <f>+SUM(D109:D112)</f>
        <v>10489.478000000001</v>
      </c>
      <c r="E113" s="1608">
        <f>+(D113/D106-1)*100</f>
        <v>5.5576185096696262</v>
      </c>
      <c r="F113" s="1639">
        <v>4</v>
      </c>
      <c r="G113" s="1614">
        <f>+SUM(G109:G112)</f>
        <v>982.08199999999988</v>
      </c>
      <c r="H113" s="1618">
        <f>+(G113/G106-1)*100</f>
        <v>6.4118053064934788</v>
      </c>
      <c r="I113" s="1662">
        <f>+G113/D113*100</f>
        <v>9.3625440655864836</v>
      </c>
      <c r="J113" s="1765"/>
      <c r="K113" s="1612"/>
      <c r="L113" s="1613"/>
      <c r="M113" s="1611"/>
      <c r="N113" s="467"/>
      <c r="O113" s="1620"/>
      <c r="P113" s="1611"/>
      <c r="Q113" s="1612"/>
      <c r="R113" s="1613"/>
      <c r="S113" s="1611"/>
      <c r="T113" s="467"/>
      <c r="U113" s="1620"/>
      <c r="V113" s="1611"/>
      <c r="W113" s="1644">
        <f>+SUM(W109:W112)</f>
        <v>1285.4390000000001</v>
      </c>
      <c r="X113" s="1608">
        <f>+(W113/W106-1)*100</f>
        <v>19.42763066820401</v>
      </c>
      <c r="Y113" s="1609">
        <f>SegqtrSales!F254</f>
        <v>3.6981607061867572</v>
      </c>
      <c r="Z113" s="1614">
        <f>+SUM(Z109:Z112)</f>
        <v>99.701000000000008</v>
      </c>
      <c r="AA113" s="1662">
        <f>+Z113/W113*100</f>
        <v>7.7561829071624553</v>
      </c>
      <c r="AB113" s="1765"/>
      <c r="AC113" s="1614">
        <f>+SUM(AC109:AC112)</f>
        <v>1304.443</v>
      </c>
      <c r="AD113" s="1608">
        <f>+(AC113/AC106-1)*100</f>
        <v>31.471486725788587</v>
      </c>
      <c r="AE113" s="1609">
        <f>SegqtrSales!F431</f>
        <v>3.238776243960066</v>
      </c>
      <c r="AF113" s="1614">
        <f>+SUM(AF109:AF112)</f>
        <v>63.975000000000001</v>
      </c>
      <c r="AG113" s="1662">
        <f>+AF113/AC113*100</f>
        <v>4.9043921428533102</v>
      </c>
      <c r="AH113" s="1765"/>
      <c r="AI113" s="1614">
        <f>+SUM(AI109:AI112)</f>
        <v>1012.923</v>
      </c>
      <c r="AJ113" s="1608">
        <f>+(AI113/AI106-1)*100</f>
        <v>15.559771646572408</v>
      </c>
      <c r="AK113" s="1609">
        <f>SegqtrSales!F608</f>
        <v>1.3643021236559936</v>
      </c>
      <c r="AL113" s="1614">
        <f>+SUM(AL109:AL112)</f>
        <v>18.148</v>
      </c>
      <c r="AM113" s="1618">
        <f>+AL113/AI113*100</f>
        <v>1.7916465516134989</v>
      </c>
      <c r="AN113" s="1611"/>
      <c r="AO113" s="1644">
        <f>+SUM(AO109:AO112)</f>
        <v>530.64300000000003</v>
      </c>
      <c r="AP113" s="1608">
        <f>+(AO113/AO106-1)*100</f>
        <v>25.862895038946498</v>
      </c>
      <c r="AQ113" s="1609">
        <f>SegqtrSales!F765</f>
        <v>0</v>
      </c>
      <c r="AR113" s="1614">
        <f>+SUM(AR109:AR112)</f>
        <v>-19.626000000000001</v>
      </c>
      <c r="AS113" s="1618">
        <f>+AR113/AO113*100</f>
        <v>-3.6985317812540637</v>
      </c>
      <c r="AT113" s="1611"/>
      <c r="AU113" s="1611"/>
      <c r="AV113" s="1644">
        <f>+SUM(AV109:AV112)</f>
        <v>290.55700000000002</v>
      </c>
      <c r="AW113" s="1608"/>
      <c r="AX113" s="1609"/>
      <c r="AY113" s="1614">
        <f>+SUM(AY109:AY112)</f>
        <v>-18.512</v>
      </c>
      <c r="AZ113" s="1618">
        <f>+AY113/AV113*100</f>
        <v>-6.371211156502854</v>
      </c>
      <c r="BA113" s="1611"/>
      <c r="BB113" s="1621">
        <f>'qtrP&amp;L'!$BJ$14</f>
        <v>14913.483</v>
      </c>
      <c r="BC113" s="1611">
        <f>'qtrP&amp;L'!BL$14</f>
        <v>5</v>
      </c>
      <c r="BD113" s="1627">
        <f>+D113+W113+AC113+AI113+AO113+AV113</f>
        <v>14913.483000000002</v>
      </c>
      <c r="BE113" s="1638" t="str">
        <f>IF(BB113=BD113,"y","n")</f>
        <v>y</v>
      </c>
      <c r="BF113" s="1613">
        <f>+(BD113/BD106-1)*100</f>
        <v>11.896401378817956</v>
      </c>
      <c r="BG113" s="1611">
        <f>+$BU113*F113+$BX113*Y113+$BY113*AE113+$BZ113*AK113+$CA113*AQ113</f>
        <v>3.5081277794060579</v>
      </c>
      <c r="BH113" s="1614">
        <f>'qtrP&amp;L'!$BJ$65</f>
        <v>1014.7080000000007</v>
      </c>
      <c r="BI113" s="1620">
        <f>+BH113/BB113*100</f>
        <v>6.803963902999727</v>
      </c>
      <c r="BJ113" s="1621">
        <f>SUM(BJ109:BJ112)</f>
        <v>111.06</v>
      </c>
      <c r="BK113" s="1614">
        <f>+G113+Z113+AF113+AL113+AR113+AY113-BJ113</f>
        <v>1014.7079999999999</v>
      </c>
      <c r="BL113" s="1638" t="str">
        <f>IF(BH113=BK113,"y","n")</f>
        <v>y</v>
      </c>
      <c r="BM113" s="1618">
        <f>+BK113/BD113*100</f>
        <v>6.8039639029997199</v>
      </c>
      <c r="BN113" s="467"/>
      <c r="BO113" s="1655"/>
      <c r="BP113" s="1608"/>
      <c r="BQ113" s="1609"/>
      <c r="BR113" s="1614"/>
      <c r="BS113" s="1620"/>
      <c r="BT113" s="467"/>
      <c r="BU113" s="1422">
        <f>+D113/$BD113</f>
        <v>0.70335534629972085</v>
      </c>
      <c r="BV113" s="1628"/>
      <c r="BW113" s="1628"/>
      <c r="BX113" s="1422">
        <f>+W113/$BD113</f>
        <v>8.6193077767279441E-2</v>
      </c>
      <c r="BY113" s="1422">
        <f>+AC113/BD113</f>
        <v>8.7467360910928715E-2</v>
      </c>
      <c r="BZ113" s="1422">
        <f>+AI113/BD113</f>
        <v>6.791994867999647E-2</v>
      </c>
      <c r="CA113" s="1422">
        <f>+AO113/BD113</f>
        <v>3.5581426552067009E-2</v>
      </c>
      <c r="CB113" s="467"/>
      <c r="CC113" s="1422">
        <f>+G113/$BK113</f>
        <v>0.96784690768181592</v>
      </c>
      <c r="CD113" s="1628"/>
      <c r="CE113" s="1628"/>
      <c r="CF113" s="1422">
        <f>+Z113/$BK113</f>
        <v>9.8255852915321476E-2</v>
      </c>
      <c r="CG113" s="1422">
        <f>+AF113/$BK113</f>
        <v>6.3047694509159299E-2</v>
      </c>
      <c r="CH113" s="1422">
        <f>+AL113/$BK113</f>
        <v>1.788494818213713E-2</v>
      </c>
      <c r="CI113" s="1422">
        <f>+AR113/$BK113</f>
        <v>-1.9341524852469878E-2</v>
      </c>
      <c r="CJ113" s="1422"/>
      <c r="CK113" s="1650">
        <f>+SUM(D113,W113,AC113,AI113)</f>
        <v>14092.283000000001</v>
      </c>
      <c r="CM113" s="1650">
        <f>+SUM(G113,Z113,AF113,AL113)</f>
        <v>1163.9059999999997</v>
      </c>
      <c r="CN113" s="493">
        <f>+CM113/CK113</f>
        <v>8.2591727685287025E-2</v>
      </c>
    </row>
    <row r="114" spans="1:92" hidden="1" outlineLevel="1" collapsed="1">
      <c r="A114" s="467"/>
      <c r="B114" s="467"/>
      <c r="C114" s="467"/>
      <c r="D114" s="1603"/>
      <c r="E114" s="1088"/>
      <c r="F114" s="1088"/>
      <c r="G114" s="1660"/>
      <c r="H114" s="1604"/>
      <c r="I114" s="1499"/>
      <c r="J114" s="1764"/>
      <c r="K114" s="1605"/>
      <c r="L114" s="1605"/>
      <c r="M114" s="1605"/>
      <c r="N114" s="467"/>
      <c r="O114" s="467"/>
      <c r="P114" s="1605"/>
      <c r="Q114" s="1605"/>
      <c r="R114" s="1605"/>
      <c r="S114" s="1605"/>
      <c r="T114" s="467"/>
      <c r="U114" s="467"/>
      <c r="V114" s="1605"/>
      <c r="W114" s="1603"/>
      <c r="X114" s="1088"/>
      <c r="Y114" s="1088"/>
      <c r="Z114" s="1499"/>
      <c r="AA114" s="1499"/>
      <c r="AB114" s="1764"/>
      <c r="AC114" s="800"/>
      <c r="AD114" s="1088"/>
      <c r="AE114" s="1088"/>
      <c r="AF114" s="1499"/>
      <c r="AG114" s="1499"/>
      <c r="AH114" s="1764"/>
      <c r="AI114" s="800"/>
      <c r="AJ114" s="1088"/>
      <c r="AK114" s="1088"/>
      <c r="AL114" s="1499"/>
      <c r="AM114" s="1604"/>
      <c r="AN114" s="702"/>
      <c r="AO114" s="1603"/>
      <c r="AP114" s="1088"/>
      <c r="AQ114" s="1088"/>
      <c r="AR114" s="1499"/>
      <c r="AS114" s="1604"/>
      <c r="AT114" s="702"/>
      <c r="AU114" s="702"/>
      <c r="AV114" s="1603"/>
      <c r="AW114" s="1088"/>
      <c r="AX114" s="1088"/>
      <c r="AY114" s="1499"/>
      <c r="AZ114" s="1604"/>
      <c r="BA114" s="487"/>
      <c r="BB114" s="1499"/>
      <c r="BC114" s="1499"/>
      <c r="BD114" s="1499"/>
      <c r="BE114" s="1606"/>
      <c r="BF114" s="487"/>
      <c r="BG114" s="487"/>
      <c r="BH114" s="1499"/>
      <c r="BI114" s="1499"/>
      <c r="BJ114" s="1499"/>
      <c r="BK114" s="1614"/>
      <c r="BL114" s="1606"/>
      <c r="BM114" s="1604"/>
      <c r="BN114" s="467"/>
      <c r="BO114" s="800"/>
      <c r="BP114" s="1088"/>
      <c r="BQ114" s="1088"/>
      <c r="BR114" s="1499"/>
      <c r="BS114" s="467"/>
      <c r="BT114" s="467"/>
      <c r="BU114" s="467"/>
      <c r="BV114" s="467"/>
      <c r="BW114" s="467"/>
      <c r="BX114" s="467"/>
      <c r="BY114" s="467"/>
      <c r="BZ114" s="467"/>
      <c r="CA114" s="467"/>
      <c r="CB114" s="467"/>
      <c r="CC114" s="467"/>
      <c r="CD114" s="467"/>
      <c r="CE114" s="467"/>
      <c r="CF114" s="467"/>
      <c r="CG114" s="467"/>
      <c r="CH114" s="467"/>
      <c r="CI114" s="467"/>
      <c r="CJ114" s="467"/>
    </row>
    <row r="115" spans="1:92" hidden="1" outlineLevel="1" collapsed="1">
      <c r="A115" s="2111">
        <f>+A108+1</f>
        <v>2005</v>
      </c>
      <c r="B115" s="2111"/>
      <c r="C115" s="467"/>
      <c r="D115" s="1603"/>
      <c r="E115" s="1088"/>
      <c r="F115" s="1088"/>
      <c r="G115" s="1661"/>
      <c r="H115" s="1604"/>
      <c r="I115" s="1499"/>
      <c r="J115" s="1764"/>
      <c r="K115" s="1605"/>
      <c r="L115" s="1605"/>
      <c r="M115" s="1605"/>
      <c r="N115" s="467"/>
      <c r="O115" s="467"/>
      <c r="P115" s="1605"/>
      <c r="Q115" s="1605"/>
      <c r="R115" s="1605"/>
      <c r="S115" s="1605"/>
      <c r="T115" s="467"/>
      <c r="U115" s="467"/>
      <c r="V115" s="1605"/>
      <c r="W115" s="1603"/>
      <c r="X115" s="1088"/>
      <c r="Y115" s="1088"/>
      <c r="Z115" s="1499"/>
      <c r="AA115" s="1499"/>
      <c r="AB115" s="1764"/>
      <c r="AC115" s="800"/>
      <c r="AD115" s="1088"/>
      <c r="AE115" s="1088"/>
      <c r="AF115" s="1499"/>
      <c r="AG115" s="1499"/>
      <c r="AH115" s="1764"/>
      <c r="AI115" s="800"/>
      <c r="AJ115" s="1088"/>
      <c r="AK115" s="1088"/>
      <c r="AL115" s="1499"/>
      <c r="AM115" s="1604"/>
      <c r="AN115" s="702"/>
      <c r="AO115" s="1603"/>
      <c r="AP115" s="1088"/>
      <c r="AQ115" s="1088"/>
      <c r="AR115" s="1499"/>
      <c r="AS115" s="1604"/>
      <c r="AT115" s="702"/>
      <c r="AU115" s="702"/>
      <c r="AV115" s="1603"/>
      <c r="AW115" s="1088"/>
      <c r="AX115" s="1088"/>
      <c r="AY115" s="1499"/>
      <c r="AZ115" s="1604"/>
      <c r="BA115" s="487"/>
      <c r="BB115" s="1499"/>
      <c r="BC115" s="1499"/>
      <c r="BD115" s="1499"/>
      <c r="BE115" s="1606"/>
      <c r="BF115" s="487"/>
      <c r="BG115" s="487"/>
      <c r="BH115" s="1499"/>
      <c r="BI115" s="1499"/>
      <c r="BJ115" s="1499"/>
      <c r="BK115" s="1499"/>
      <c r="BL115" s="1606"/>
      <c r="BM115" s="1604"/>
      <c r="BN115" s="467"/>
      <c r="BO115" s="800"/>
      <c r="BP115" s="1088"/>
      <c r="BQ115" s="1088"/>
      <c r="BR115" s="1499"/>
      <c r="BS115" s="467"/>
      <c r="BT115" s="467"/>
      <c r="BU115" s="467"/>
      <c r="BV115" s="467"/>
      <c r="BW115" s="467"/>
      <c r="BX115" s="467"/>
      <c r="BY115" s="467"/>
      <c r="BZ115" s="467"/>
      <c r="CA115" s="467"/>
      <c r="CB115" s="467"/>
      <c r="CC115" s="467"/>
      <c r="CD115" s="467"/>
      <c r="CE115" s="467"/>
      <c r="CF115" s="467"/>
      <c r="CG115" s="467"/>
      <c r="CH115" s="467"/>
      <c r="CI115" s="467"/>
      <c r="CJ115" s="467"/>
    </row>
    <row r="116" spans="1:92" hidden="1" outlineLevel="1">
      <c r="A116" s="467" t="str">
        <f>$A$11</f>
        <v>1Q</v>
      </c>
      <c r="B116" s="467" t="str">
        <f>$B$11</f>
        <v>Apr</v>
      </c>
      <c r="C116" s="467"/>
      <c r="D116" s="1607">
        <v>2563.5859999999998</v>
      </c>
      <c r="E116" s="1608">
        <f>+(D116/D109-1)*100</f>
        <v>5.8797533809345826</v>
      </c>
      <c r="F116" s="1639">
        <v>3</v>
      </c>
      <c r="G116" s="1610">
        <v>257.48500000000001</v>
      </c>
      <c r="H116" s="1657">
        <f>+(G116/G109-1)*100</f>
        <v>-1.6087430023500549</v>
      </c>
      <c r="I116" s="1662">
        <f>+G116/D116*100</f>
        <v>10.043938451840509</v>
      </c>
      <c r="J116" s="1765"/>
      <c r="K116" s="1612"/>
      <c r="L116" s="1613"/>
      <c r="M116" s="1611"/>
      <c r="N116" s="467"/>
      <c r="O116" s="1620"/>
      <c r="P116" s="1611"/>
      <c r="Q116" s="1612"/>
      <c r="R116" s="1613"/>
      <c r="S116" s="1611"/>
      <c r="T116" s="467"/>
      <c r="U116" s="1620"/>
      <c r="V116" s="1611"/>
      <c r="W116" s="1607">
        <v>313.09699999999998</v>
      </c>
      <c r="X116" s="1608">
        <f>+(W116/W109-1)*100</f>
        <v>16.123133982382942</v>
      </c>
      <c r="Y116" s="1639">
        <v>-1</v>
      </c>
      <c r="Z116" s="1610">
        <v>9.8919999999999995</v>
      </c>
      <c r="AA116" s="1662">
        <f>+Z116/W116*100</f>
        <v>3.1594042740748076</v>
      </c>
      <c r="AB116" s="1765"/>
      <c r="AC116" s="1610">
        <v>317.70600000000002</v>
      </c>
      <c r="AD116" s="1608">
        <f>+(AC116/AC109-1)*100</f>
        <v>20.687415241199325</v>
      </c>
      <c r="AE116" s="1639">
        <v>-1</v>
      </c>
      <c r="AF116" s="1610">
        <v>-2.2360000000000002</v>
      </c>
      <c r="AG116" s="1662">
        <f>+AF116/AC116*100</f>
        <v>-0.70379533279195239</v>
      </c>
      <c r="AH116" s="1765"/>
      <c r="AI116" s="1610">
        <v>258.62700000000001</v>
      </c>
      <c r="AJ116" s="1608">
        <f>+(AI116/AI109-1)*100</f>
        <v>14.21839669304692</v>
      </c>
      <c r="AK116" s="1639">
        <v>0</v>
      </c>
      <c r="AL116" s="1610">
        <v>-0.66600000000000004</v>
      </c>
      <c r="AM116" s="1618">
        <f>+AL116/AI116*100</f>
        <v>-0.25751371666531342</v>
      </c>
      <c r="AN116" s="1611"/>
      <c r="AO116" s="1607">
        <v>139.37100000000001</v>
      </c>
      <c r="AP116" s="1608">
        <f>+(AO116/AO109-1)*100</f>
        <v>25.73390108799596</v>
      </c>
      <c r="AQ116" s="1639">
        <v>1</v>
      </c>
      <c r="AR116" s="1610">
        <v>-4.173</v>
      </c>
      <c r="AS116" s="1618">
        <f>+AR116/AO116*100</f>
        <v>-2.9941666487289318</v>
      </c>
      <c r="AT116" s="1611"/>
      <c r="AU116" s="1611"/>
      <c r="AV116" s="1607">
        <v>59.442999999999998</v>
      </c>
      <c r="AW116" s="1608">
        <f>+(AV116/AV109-1)*100</f>
        <v>-3.1289213369620206</v>
      </c>
      <c r="AX116" s="1639">
        <v>-7</v>
      </c>
      <c r="AY116" s="1610">
        <v>-6.9859999999999998</v>
      </c>
      <c r="AZ116" s="1618">
        <f>+AY116/AV116*100</f>
        <v>-11.752435105899769</v>
      </c>
      <c r="BA116" s="1611"/>
      <c r="BB116" s="1614">
        <f>'qtrP&amp;L'!$BN$10</f>
        <v>3651.83</v>
      </c>
      <c r="BC116" s="1611">
        <f>'qtrP&amp;L'!BP$10</f>
        <v>3</v>
      </c>
      <c r="BD116" s="1627">
        <f>+D116+W116+AC116+AI116+AO116+AV116</f>
        <v>3651.8300000000004</v>
      </c>
      <c r="BE116" s="1638" t="str">
        <f>IF(BB116=BD116,"y","n")</f>
        <v>y</v>
      </c>
      <c r="BF116" s="1613">
        <f>+(BD116/BD109-1)*100</f>
        <v>8.9208607773291213</v>
      </c>
      <c r="BG116" s="1611">
        <f>+$BU116*F116+$BX116*Y116+$BY116*AE116+$BZ116*AK116+$CA116*AQ116</f>
        <v>1.9714296667698108</v>
      </c>
      <c r="BH116" s="1614">
        <f>'qtrP&amp;L'!$BN$61</f>
        <v>225.81600000000014</v>
      </c>
      <c r="BI116" s="1620">
        <f>+BH116/BB116*100</f>
        <v>6.1836394355706634</v>
      </c>
      <c r="BJ116" s="1610">
        <v>27.5</v>
      </c>
      <c r="BK116" s="1614">
        <f>+G116+Z116+AF116+AL116+AR116+AY116-BJ116</f>
        <v>225.81600000000003</v>
      </c>
      <c r="BL116" s="1638" t="str">
        <f>IF(BH116=BK116,"y","n")</f>
        <v>y</v>
      </c>
      <c r="BM116" s="1618">
        <f>+BK116/BD116*100</f>
        <v>6.183639435570659</v>
      </c>
      <c r="BN116" s="467"/>
      <c r="BO116" s="1610"/>
      <c r="BP116" s="1608"/>
      <c r="BQ116" s="1639"/>
      <c r="BR116" s="1610"/>
      <c r="BS116" s="1620"/>
      <c r="BT116" s="467"/>
      <c r="BU116" s="1422">
        <f>+D116/$BD116</f>
        <v>0.70200036693931522</v>
      </c>
      <c r="BV116" s="1628"/>
      <c r="BW116" s="1628"/>
      <c r="BX116" s="1422">
        <f>+W116/$BD116</f>
        <v>8.5737014045013035E-2</v>
      </c>
      <c r="BY116" s="1422">
        <f>+AC116/BD116</f>
        <v>8.6999120988655004E-2</v>
      </c>
      <c r="BZ116" s="1422">
        <f>+AI116/BD116</f>
        <v>7.0821204711062666E-2</v>
      </c>
      <c r="CA116" s="1422">
        <f>+AO116/BD116</f>
        <v>3.8164700985533276E-2</v>
      </c>
      <c r="CB116" s="467"/>
      <c r="CC116" s="1422">
        <f>+G116/$BK116</f>
        <v>1.1402424983172139</v>
      </c>
      <c r="CD116" s="1628"/>
      <c r="CE116" s="1628"/>
      <c r="CF116" s="1422">
        <f>+Z116/$BK116</f>
        <v>4.3805576221348348E-2</v>
      </c>
      <c r="CG116" s="1422">
        <f>+AF116/$BK116</f>
        <v>-9.9018670067665699E-3</v>
      </c>
      <c r="CH116" s="1422">
        <f>+AL116/$BK116</f>
        <v>-2.9493038580082898E-3</v>
      </c>
      <c r="CI116" s="1422">
        <f>+AR116/$BK116</f>
        <v>-1.8479647146349237E-2</v>
      </c>
      <c r="CJ116" s="1422"/>
      <c r="CK116" s="1650">
        <f>+SUM(D116,W116,AC116,AI116)</f>
        <v>3453.0160000000001</v>
      </c>
      <c r="CM116" s="1650">
        <f>+SUM(G116,Z116,AF116,AL116)</f>
        <v>264.47500000000002</v>
      </c>
      <c r="CN116" s="493">
        <f>+CM116/CK116</f>
        <v>7.6592462936748637E-2</v>
      </c>
    </row>
    <row r="117" spans="1:92" hidden="1" outlineLevel="1">
      <c r="A117" s="467" t="str">
        <f>$A$12</f>
        <v>2Q</v>
      </c>
      <c r="B117" s="467" t="str">
        <f>$B$12</f>
        <v>Jul</v>
      </c>
      <c r="C117" s="467"/>
      <c r="D117" s="1616">
        <v>2537.3110000000001</v>
      </c>
      <c r="E117" s="1608">
        <f>+(D117/D110-1)*100</f>
        <v>3.8960969829192393</v>
      </c>
      <c r="F117" s="1639">
        <v>2</v>
      </c>
      <c r="G117" s="1617">
        <v>202.29499999999999</v>
      </c>
      <c r="H117" s="1657">
        <f>+(G117/G110-1)*100</f>
        <v>4.9258809738690124</v>
      </c>
      <c r="I117" s="1662">
        <f>+G117/D117*100</f>
        <v>7.9728105856948543</v>
      </c>
      <c r="J117" s="1765"/>
      <c r="K117" s="1619"/>
      <c r="L117" s="1613"/>
      <c r="M117" s="1611"/>
      <c r="N117" s="467"/>
      <c r="O117" s="1652"/>
      <c r="P117" s="1611"/>
      <c r="Q117" s="1619"/>
      <c r="R117" s="1613"/>
      <c r="S117" s="1611"/>
      <c r="T117" s="467"/>
      <c r="U117" s="1652"/>
      <c r="V117" s="1611"/>
      <c r="W117" s="1616">
        <v>316.84199999999998</v>
      </c>
      <c r="X117" s="1608">
        <f>+(W117/W110-1)*100</f>
        <v>8.2976148971514174</v>
      </c>
      <c r="Y117" s="1639">
        <v>-9</v>
      </c>
      <c r="Z117" s="1617">
        <v>18.562999999999999</v>
      </c>
      <c r="AA117" s="1662">
        <f>+Z117/W117*100</f>
        <v>5.858756099254518</v>
      </c>
      <c r="AB117" s="1765"/>
      <c r="AC117" s="1617">
        <v>327.54000000000002</v>
      </c>
      <c r="AD117" s="1608">
        <f>+(AC117/AC110-1)*100</f>
        <v>18.92123474181815</v>
      </c>
      <c r="AE117" s="1639">
        <v>2</v>
      </c>
      <c r="AF117" s="1617">
        <v>9.0229999999999997</v>
      </c>
      <c r="AG117" s="1662">
        <f>+AF117/AC117*100</f>
        <v>2.7547780423765036</v>
      </c>
      <c r="AH117" s="1765"/>
      <c r="AI117" s="1617">
        <v>259.11599999999999</v>
      </c>
      <c r="AJ117" s="1608">
        <f>+(AI117/AI110-1)*100</f>
        <v>16.677398583386992</v>
      </c>
      <c r="AK117" s="1639">
        <v>0</v>
      </c>
      <c r="AL117" s="1656">
        <v>-4.7389999999999999</v>
      </c>
      <c r="AM117" s="1618">
        <f>+AL117/AI117*100</f>
        <v>-1.8289106037450411</v>
      </c>
      <c r="AN117" s="1611"/>
      <c r="AO117" s="1616">
        <v>147.251</v>
      </c>
      <c r="AP117" s="1608">
        <f>+(AO117/AO110-1)*100</f>
        <v>24.512523042059154</v>
      </c>
      <c r="AQ117" s="1639">
        <v>1</v>
      </c>
      <c r="AR117" s="1641">
        <v>-2.7090000000000001</v>
      </c>
      <c r="AS117" s="1618">
        <f>+AR117/AO117*100</f>
        <v>-1.8397158593150471</v>
      </c>
      <c r="AT117" s="1611"/>
      <c r="AU117" s="1611"/>
      <c r="AV117" s="1616">
        <v>59.805999999999997</v>
      </c>
      <c r="AW117" s="1608">
        <f>+(AV117/AV110-1)*100</f>
        <v>-6.2484324053172831</v>
      </c>
      <c r="AX117" s="1639">
        <v>0</v>
      </c>
      <c r="AY117" s="1658">
        <v>-9.1549999999999994</v>
      </c>
      <c r="AZ117" s="1618">
        <f>+AY117/AV117*100</f>
        <v>-15.307828645955254</v>
      </c>
      <c r="BA117" s="1611"/>
      <c r="BB117" s="1621">
        <f>'qtrP&amp;L'!$BN$11</f>
        <v>3647.866</v>
      </c>
      <c r="BC117" s="1611">
        <f>'qtrP&amp;L'!BP$11</f>
        <v>1</v>
      </c>
      <c r="BD117" s="1621">
        <f>+D117+W117+AC117+AI117+AO117+AV117</f>
        <v>3647.8660000000004</v>
      </c>
      <c r="BE117" s="1638" t="str">
        <f>IF(BB117=BD117,"y","n")</f>
        <v>y</v>
      </c>
      <c r="BF117" s="1613">
        <f>+(BD117/BD110-1)*100</f>
        <v>6.8412233652297205</v>
      </c>
      <c r="BG117" s="1611">
        <f>+$BU117*F117+$BX117*Y117+$BY117*AE117+$BZ117*AK117+$CA117*AQ117</f>
        <v>0.82935475151773663</v>
      </c>
      <c r="BH117" s="1621">
        <f>'qtrP&amp;L'!$BN$62</f>
        <v>187.86200000000008</v>
      </c>
      <c r="BI117" s="1620">
        <f>+BH117/BB117*100</f>
        <v>5.1499150462215466</v>
      </c>
      <c r="BJ117" s="1617">
        <v>25.416</v>
      </c>
      <c r="BK117" s="1621">
        <f>+G117+Z117+AF117+AL117+AR117+AY117-BJ117</f>
        <v>187.86199999999997</v>
      </c>
      <c r="BL117" s="1638" t="str">
        <f>IF(BH117=BK117,"y","n")</f>
        <v>y</v>
      </c>
      <c r="BM117" s="1618">
        <f>+BK117/BD117*100</f>
        <v>5.1499150462215422</v>
      </c>
      <c r="BN117" s="467"/>
      <c r="BO117" s="1621"/>
      <c r="BP117" s="1608"/>
      <c r="BQ117" s="1653"/>
      <c r="BR117" s="1621"/>
      <c r="BS117" s="1652"/>
      <c r="BT117" s="467"/>
      <c r="BU117" s="1422">
        <f>+D117/$BD117</f>
        <v>0.69556036323702675</v>
      </c>
      <c r="BV117" s="1628"/>
      <c r="BW117" s="1628"/>
      <c r="BX117" s="1422">
        <f>+W117/$BD117</f>
        <v>8.6856808884975475E-2</v>
      </c>
      <c r="BY117" s="1422">
        <f>+AC117/BD117</f>
        <v>8.9789482398750384E-2</v>
      </c>
      <c r="BZ117" s="1422">
        <f>+AI117/BD117</f>
        <v>7.1032214450859749E-2</v>
      </c>
      <c r="CA117" s="1422">
        <f>+AO117/BD117</f>
        <v>4.0366340210961693E-2</v>
      </c>
      <c r="CB117" s="467"/>
      <c r="CC117" s="1422">
        <f>+G117/$BK117</f>
        <v>1.0768276713757972</v>
      </c>
      <c r="CD117" s="1628"/>
      <c r="CE117" s="1628"/>
      <c r="CF117" s="1422">
        <f>+Z117/$BK117</f>
        <v>9.8811893836965439E-2</v>
      </c>
      <c r="CG117" s="1422">
        <f>+AF117/$BK117</f>
        <v>4.8029936868552454E-2</v>
      </c>
      <c r="CH117" s="1422">
        <f>+AL117/$BK117</f>
        <v>-2.5225963739340582E-2</v>
      </c>
      <c r="CI117" s="1422">
        <f>+AR117/$BK117</f>
        <v>-1.4420159478766332E-2</v>
      </c>
      <c r="CJ117" s="1422"/>
      <c r="CK117" s="1650">
        <f>+SUM(D117,W117,AC117,AI117)</f>
        <v>3440.8090000000002</v>
      </c>
      <c r="CM117" s="1650">
        <f>+SUM(G117,Z117,AF117,AL117)</f>
        <v>225.14199999999997</v>
      </c>
      <c r="CN117" s="493">
        <f>+CM117/CK117</f>
        <v>6.5432867677339815E-2</v>
      </c>
    </row>
    <row r="118" spans="1:92" hidden="1" outlineLevel="1">
      <c r="A118" s="467" t="str">
        <f>$A$13</f>
        <v>3Q</v>
      </c>
      <c r="B118" s="467" t="str">
        <f>$B$13</f>
        <v>Oct</v>
      </c>
      <c r="C118" s="467"/>
      <c r="D118" s="1616">
        <v>2727.759</v>
      </c>
      <c r="E118" s="1608">
        <f>+(D118/D111-1)*100</f>
        <v>2.0910299791645492</v>
      </c>
      <c r="F118" s="1639">
        <v>0</v>
      </c>
      <c r="G118" s="1617">
        <v>242.51400000000001</v>
      </c>
      <c r="H118" s="1657">
        <f>+(G118/G111-1)*100</f>
        <v>-10.925585837067498</v>
      </c>
      <c r="I118" s="1662">
        <f>+G118/D118*100</f>
        <v>8.8905948069459217</v>
      </c>
      <c r="J118" s="1765"/>
      <c r="K118" s="1619"/>
      <c r="L118" s="1613"/>
      <c r="M118" s="1611"/>
      <c r="N118" s="467"/>
      <c r="O118" s="1652"/>
      <c r="P118" s="1611"/>
      <c r="Q118" s="1619"/>
      <c r="R118" s="1613"/>
      <c r="S118" s="1611"/>
      <c r="T118" s="467"/>
      <c r="U118" s="1652"/>
      <c r="V118" s="1611"/>
      <c r="W118" s="1616">
        <v>398.08100000000002</v>
      </c>
      <c r="X118" s="1608">
        <f>+(W118/W111-1)*100</f>
        <v>13.301380117092233</v>
      </c>
      <c r="Y118" s="1639">
        <v>-4</v>
      </c>
      <c r="Z118" s="1617">
        <v>50.036000000000001</v>
      </c>
      <c r="AA118" s="1662">
        <f>+Z118/W118*100</f>
        <v>12.569301222615497</v>
      </c>
      <c r="AB118" s="1765"/>
      <c r="AC118" s="1617">
        <v>385.06900000000002</v>
      </c>
      <c r="AD118" s="1608">
        <f>+(AC118/AC111-1)*100</f>
        <v>14.662565360839498</v>
      </c>
      <c r="AE118" s="1639">
        <v>-7</v>
      </c>
      <c r="AF118" s="1617">
        <v>20.923999999999999</v>
      </c>
      <c r="AG118" s="1662">
        <f>+AF118/AC118*100</f>
        <v>5.4338313393184077</v>
      </c>
      <c r="AH118" s="1765"/>
      <c r="AI118" s="1617">
        <v>292.315</v>
      </c>
      <c r="AJ118" s="1608">
        <f>+(AI118/AI111-1)*100</f>
        <v>17.519237108925868</v>
      </c>
      <c r="AK118" s="1639">
        <v>1</v>
      </c>
      <c r="AL118" s="1617">
        <v>6.9210000000000003</v>
      </c>
      <c r="AM118" s="1618">
        <f>+AL118/AI118*100</f>
        <v>2.3676513350324138</v>
      </c>
      <c r="AN118" s="1611"/>
      <c r="AO118" s="1616">
        <v>158.58199999999999</v>
      </c>
      <c r="AP118" s="1608">
        <f>+(AO118/AO111-1)*100</f>
        <v>23.229827178913354</v>
      </c>
      <c r="AQ118" s="1639">
        <v>0</v>
      </c>
      <c r="AR118" s="1641">
        <v>-3.5609999999999999</v>
      </c>
      <c r="AS118" s="1618">
        <f>+AR118/AO118*100</f>
        <v>-2.2455259739440794</v>
      </c>
      <c r="AT118" s="1611"/>
      <c r="AU118" s="1611"/>
      <c r="AV118" s="1616">
        <v>80.105999999999995</v>
      </c>
      <c r="AW118" s="1608">
        <f>+(AV118/AV111-1)*100</f>
        <v>-0.932475884244377</v>
      </c>
      <c r="AX118" s="1639">
        <v>-7</v>
      </c>
      <c r="AY118" s="1658">
        <v>-7.2489999999999997</v>
      </c>
      <c r="AZ118" s="1618">
        <f>+AY118/AV118*100</f>
        <v>-9.0492597308566154</v>
      </c>
      <c r="BA118" s="1611"/>
      <c r="BB118" s="1621">
        <f>'qtrP&amp;L'!$BN$12</f>
        <v>4041.9119999999998</v>
      </c>
      <c r="BC118" s="1611">
        <f>'qtrP&amp;L'!BP$12</f>
        <v>0</v>
      </c>
      <c r="BD118" s="1621">
        <f>+D118+W118+AC118+AI118+AO118+AV118</f>
        <v>4041.9120000000003</v>
      </c>
      <c r="BE118" s="1638" t="str">
        <f>IF(BB118=BD118,"y","n")</f>
        <v>y</v>
      </c>
      <c r="BF118" s="1613">
        <f>+(BD118/BD111-1)*100</f>
        <v>5.8826672953750769</v>
      </c>
      <c r="BG118" s="1611">
        <f>+$BU118*F118+$BX118*Y118+$BY118*AE118+$BZ118*AK118+$CA118*AQ118</f>
        <v>-0.9885153363061836</v>
      </c>
      <c r="BH118" s="1621">
        <f>'qtrP&amp;L'!$BN$63</f>
        <v>267.43499999999972</v>
      </c>
      <c r="BI118" s="1620">
        <f>+BH118/BB118*100</f>
        <v>6.6165468223949393</v>
      </c>
      <c r="BJ118" s="1617">
        <v>42.15</v>
      </c>
      <c r="BK118" s="1621">
        <f>+G118+Z118+AF118+AL118+AR118+AY118-BJ118</f>
        <v>267.435</v>
      </c>
      <c r="BL118" s="1638" t="str">
        <f>IF(BH118=BK118,"y","n")</f>
        <v>y</v>
      </c>
      <c r="BM118" s="1618">
        <f>+BK118/BD118*100</f>
        <v>6.6165468223949446</v>
      </c>
      <c r="BN118" s="467"/>
      <c r="BO118" s="1621"/>
      <c r="BP118" s="1608"/>
      <c r="BQ118" s="1609"/>
      <c r="BR118" s="1621"/>
      <c r="BS118" s="1652"/>
      <c r="BT118" s="467"/>
      <c r="BU118" s="1422">
        <f>+D118/$BD118</f>
        <v>0.67486847808660844</v>
      </c>
      <c r="BV118" s="1628"/>
      <c r="BW118" s="1628"/>
      <c r="BX118" s="1422">
        <f>+W118/$BD118</f>
        <v>9.848828970051797E-2</v>
      </c>
      <c r="BY118" s="1422">
        <f>+AC118/BD118</f>
        <v>9.5269021195909256E-2</v>
      </c>
      <c r="BZ118" s="1422">
        <f>+AI118/BD118</f>
        <v>7.2320970867252921E-2</v>
      </c>
      <c r="CA118" s="1422">
        <f>+AO118/BD118</f>
        <v>3.9234401936509254E-2</v>
      </c>
      <c r="CB118" s="467"/>
      <c r="CC118" s="1422">
        <f>+G118/$BK118</f>
        <v>0.90681474003028772</v>
      </c>
      <c r="CD118" s="1628"/>
      <c r="CE118" s="1628"/>
      <c r="CF118" s="1422">
        <f>+Z118/$BK118</f>
        <v>0.1870959298521136</v>
      </c>
      <c r="CG118" s="1422">
        <f>+AF118/$BK118</f>
        <v>7.8239572232505092E-2</v>
      </c>
      <c r="CH118" s="1422">
        <f>+AL118/$BK118</f>
        <v>2.5879185596500084E-2</v>
      </c>
      <c r="CI118" s="1422">
        <f>+AR118/$BK118</f>
        <v>-1.331538504683381E-2</v>
      </c>
      <c r="CJ118" s="1422"/>
      <c r="CK118" s="1650">
        <f>+SUM(D118,W118,AC118,AI118)</f>
        <v>3803.2240000000002</v>
      </c>
      <c r="CM118" s="1650">
        <f>+SUM(G118,Z118,AF118,AL118)</f>
        <v>320.39499999999998</v>
      </c>
      <c r="CN118" s="493">
        <f>+CM118/CK118</f>
        <v>8.4243000149346964E-2</v>
      </c>
    </row>
    <row r="119" spans="1:92" hidden="1" outlineLevel="1">
      <c r="A119" s="467" t="str">
        <f>$A$14</f>
        <v>4Q</v>
      </c>
      <c r="B119" s="467" t="str">
        <f>$B$14</f>
        <v>Jan</v>
      </c>
      <c r="C119" s="467"/>
      <c r="D119" s="1623">
        <v>3128.1320000000001</v>
      </c>
      <c r="E119" s="1608">
        <f>+(D119/D112-1)*100</f>
        <v>5.887510100016824</v>
      </c>
      <c r="F119" s="1639">
        <v>4</v>
      </c>
      <c r="G119" s="1624">
        <v>283.06700000000001</v>
      </c>
      <c r="H119" s="1657">
        <f>+(G119/G112-1)*100</f>
        <v>10.86363084490991</v>
      </c>
      <c r="I119" s="1662">
        <f>+G119/D119*100</f>
        <v>9.0490746554173551</v>
      </c>
      <c r="J119" s="1765"/>
      <c r="K119" s="1624"/>
      <c r="L119" s="1613"/>
      <c r="M119" s="1611"/>
      <c r="N119" s="467"/>
      <c r="O119" s="1652"/>
      <c r="P119" s="1611"/>
      <c r="Q119" s="1624"/>
      <c r="R119" s="1613"/>
      <c r="S119" s="1611"/>
      <c r="T119" s="467"/>
      <c r="U119" s="1652"/>
      <c r="V119" s="1611"/>
      <c r="W119" s="1623">
        <v>429.71600000000001</v>
      </c>
      <c r="X119" s="1608">
        <f>+(W119/W112-1)*100</f>
        <v>15.545803856402651</v>
      </c>
      <c r="Y119" s="1639">
        <v>2</v>
      </c>
      <c r="Z119" s="1624">
        <v>41.828000000000003</v>
      </c>
      <c r="AA119" s="1662">
        <f>+Z119/W119*100</f>
        <v>9.7338707425369329</v>
      </c>
      <c r="AB119" s="1765"/>
      <c r="AC119" s="1624">
        <v>486.80099999999999</v>
      </c>
      <c r="AD119" s="1608">
        <f>+(AC119/AC112-1)*100</f>
        <v>13.224807066999734</v>
      </c>
      <c r="AE119" s="1639">
        <v>7</v>
      </c>
      <c r="AF119" s="1624">
        <v>41.494999999999997</v>
      </c>
      <c r="AG119" s="1662">
        <f>+AF119/AC119*100</f>
        <v>8.5240170007867686</v>
      </c>
      <c r="AH119" s="1765"/>
      <c r="AI119" s="1624">
        <v>376.79599999999999</v>
      </c>
      <c r="AJ119" s="1608">
        <f>+(AI119/AI112-1)*100</f>
        <v>19.362380177018078</v>
      </c>
      <c r="AK119" s="1639">
        <v>4</v>
      </c>
      <c r="AL119" s="1624">
        <v>26.902000000000001</v>
      </c>
      <c r="AM119" s="1618">
        <f>+AL119/AI119*100</f>
        <v>7.1396723956729895</v>
      </c>
      <c r="AN119" s="1611"/>
      <c r="AO119" s="1623">
        <v>170.73500000000001</v>
      </c>
      <c r="AP119" s="1608">
        <f>+(AO119/AO112-1)*100</f>
        <v>-1.2218898794887911</v>
      </c>
      <c r="AQ119" s="1639">
        <v>6</v>
      </c>
      <c r="AR119" s="1624">
        <v>6.1479999999999997</v>
      </c>
      <c r="AS119" s="1618">
        <f>+AR119/AO119*100</f>
        <v>3.6009019826046207</v>
      </c>
      <c r="AT119" s="1611"/>
      <c r="AU119" s="1611"/>
      <c r="AV119" s="1623">
        <v>89.125</v>
      </c>
      <c r="AW119" s="1608">
        <f>+(AV119/AV112-1)*100</f>
        <v>5.420974190343264</v>
      </c>
      <c r="AX119" s="1639">
        <v>-4</v>
      </c>
      <c r="AY119" s="1659">
        <v>-4.641</v>
      </c>
      <c r="AZ119" s="1618">
        <f>+AY119/AV119*100</f>
        <v>-5.2072931276297334</v>
      </c>
      <c r="BA119" s="1611"/>
      <c r="BB119" s="1625">
        <f>'qtrP&amp;L'!$BN$13</f>
        <v>4716.3270000000002</v>
      </c>
      <c r="BC119" s="1611">
        <f>'qtrP&amp;L'!BP$13</f>
        <v>3</v>
      </c>
      <c r="BD119" s="1625">
        <f>+D119+W119+AC119+AI119+AO119+AV119</f>
        <v>4681.3049999999994</v>
      </c>
      <c r="BE119" s="1638" t="str">
        <f>IF(BB119=BD119,"y","n")</f>
        <v>n</v>
      </c>
      <c r="BF119" s="1613">
        <f>+(BD119/BD112-1)*100</f>
        <v>8.1355308909985666</v>
      </c>
      <c r="BG119" s="1611">
        <f>+$BU119*F119+$BX119*Y119+$BY119*AE119+$BZ119*AK119+$CA119*AQ119</f>
        <v>4.1251661662720123</v>
      </c>
      <c r="BH119" s="1625">
        <f>'qtrP&amp;L'!$BN$64</f>
        <v>357.84600000000034</v>
      </c>
      <c r="BI119" s="1643">
        <f>+BH119/BB119*100</f>
        <v>7.5873873885334993</v>
      </c>
      <c r="BJ119" s="1624">
        <v>39.045999999999999</v>
      </c>
      <c r="BK119" s="1625">
        <f>+G119+Z119+AF119+AL119+AR119+AY119-BJ119</f>
        <v>355.75299999999999</v>
      </c>
      <c r="BL119" s="1638" t="str">
        <f>IF(BH119=BK119,"y","n")</f>
        <v>n</v>
      </c>
      <c r="BM119" s="1618">
        <f>+BK119/BD119*100</f>
        <v>7.5994407542341298</v>
      </c>
      <c r="BN119" s="467"/>
      <c r="BO119" s="1621"/>
      <c r="BP119" s="1608"/>
      <c r="BQ119" s="1609"/>
      <c r="BR119" s="1621"/>
      <c r="BS119" s="1652"/>
      <c r="BT119" s="467"/>
      <c r="BU119" s="1422">
        <f>+D119/$BD119</f>
        <v>0.66821794350079744</v>
      </c>
      <c r="BV119" s="1628"/>
      <c r="BW119" s="1628"/>
      <c r="BX119" s="1422">
        <f>+W119/$BD119</f>
        <v>9.1794061698607557E-2</v>
      </c>
      <c r="BY119" s="1422">
        <f>+AC119/BD119</f>
        <v>0.10398831095175384</v>
      </c>
      <c r="BZ119" s="1422">
        <f>+AI119/BD119</f>
        <v>8.0489521618437601E-2</v>
      </c>
      <c r="CA119" s="1422">
        <f>+AO119/BD119</f>
        <v>3.6471667622596696E-2</v>
      </c>
      <c r="CB119" s="467"/>
      <c r="CC119" s="1422">
        <f>+G119/$BK119</f>
        <v>0.79568408418200276</v>
      </c>
      <c r="CD119" s="1628"/>
      <c r="CE119" s="1628"/>
      <c r="CF119" s="1422">
        <f>+Z119/$BK119</f>
        <v>0.11757595860048968</v>
      </c>
      <c r="CG119" s="1422">
        <f>+AF119/$BK119</f>
        <v>0.11663991589670361</v>
      </c>
      <c r="CH119" s="1422">
        <f>+AL119/$BK119</f>
        <v>7.5619882334091351E-2</v>
      </c>
      <c r="CI119" s="1422">
        <f>+AR119/$BK119</f>
        <v>1.7281653281911887E-2</v>
      </c>
      <c r="CJ119" s="1422"/>
      <c r="CK119" s="1650">
        <f>+SUM(D119,W119,AC119,AI119)</f>
        <v>4421.4449999999997</v>
      </c>
      <c r="CM119" s="1650">
        <f>+SUM(G119,Z119,AF119,AL119)</f>
        <v>393.29199999999997</v>
      </c>
      <c r="CN119" s="493">
        <f>+CM119/CK119</f>
        <v>8.8951010359735336E-2</v>
      </c>
    </row>
    <row r="120" spans="1:92" hidden="1" outlineLevel="1">
      <c r="A120" s="1499"/>
      <c r="B120" s="1499" t="str">
        <f>$B$15</f>
        <v>Year</v>
      </c>
      <c r="C120" s="1499"/>
      <c r="D120" s="1654">
        <f>+SUM(D116:D119)</f>
        <v>10956.788</v>
      </c>
      <c r="E120" s="1608">
        <f>+(D120/D113-1)*100</f>
        <v>4.4550357987308775</v>
      </c>
      <c r="F120" s="1609">
        <f>SegqtrSales!F85</f>
        <v>2.3070545857052265</v>
      </c>
      <c r="G120" s="1614">
        <f>+SUM(G116:G119)</f>
        <v>985.36099999999999</v>
      </c>
      <c r="H120" s="1618">
        <f>+(G120/G113-1)*100</f>
        <v>0.3338825067560558</v>
      </c>
      <c r="I120" s="1662">
        <f>+G120/D120*100</f>
        <v>8.9931556583918564</v>
      </c>
      <c r="J120" s="1765"/>
      <c r="K120" s="1610"/>
      <c r="L120" s="1608"/>
      <c r="M120" s="1609"/>
      <c r="N120" s="1499"/>
      <c r="O120" s="1662"/>
      <c r="P120" s="1609"/>
      <c r="Q120" s="1610"/>
      <c r="R120" s="1608"/>
      <c r="S120" s="1609"/>
      <c r="T120" s="1499"/>
      <c r="U120" s="1662"/>
      <c r="V120" s="1609"/>
      <c r="W120" s="1644">
        <f>+SUM(W116:W119)</f>
        <v>1457.7359999999999</v>
      </c>
      <c r="X120" s="1608">
        <f>+(W120/W113-1)*100</f>
        <v>13.403747669084233</v>
      </c>
      <c r="Y120" s="1609">
        <f>SegqtrSales!F261</f>
        <v>-2.6737125240784341</v>
      </c>
      <c r="Z120" s="1614">
        <f>+SUM(Z116:Z119)</f>
        <v>120.319</v>
      </c>
      <c r="AA120" s="1662">
        <f>+Z120/W120*100</f>
        <v>8.2538264816125828</v>
      </c>
      <c r="AB120" s="1765"/>
      <c r="AC120" s="1614">
        <f>+SUM(AC116:AC119)</f>
        <v>1517.116</v>
      </c>
      <c r="AD120" s="1608">
        <f>+(AC120/AC113-1)*100</f>
        <v>16.303740370410978</v>
      </c>
      <c r="AE120" s="1609">
        <f>SegqtrSales!F438</f>
        <v>0.6917717564115069</v>
      </c>
      <c r="AF120" s="1614">
        <f>+SUM(AF116:AF119)</f>
        <v>69.205999999999989</v>
      </c>
      <c r="AG120" s="1662">
        <f>+AF120/AC120*100</f>
        <v>4.5616815062262868</v>
      </c>
      <c r="AH120" s="1765"/>
      <c r="AI120" s="1614">
        <f>+SUM(AI116:AI119)</f>
        <v>1186.854</v>
      </c>
      <c r="AJ120" s="1608">
        <f>+(AI120/AI113-1)*100</f>
        <v>17.171196626002171</v>
      </c>
      <c r="AK120" s="1609">
        <f>SegqtrSales!F615</f>
        <v>1.5161923876062262</v>
      </c>
      <c r="AL120" s="1614">
        <f>+SUM(AL116:AL119)</f>
        <v>28.417999999999999</v>
      </c>
      <c r="AM120" s="1618">
        <f>+AL120/AI120*100</f>
        <v>2.3943972889673035</v>
      </c>
      <c r="AN120" s="1609"/>
      <c r="AO120" s="1644">
        <f>+SUM(AO116:AO119)</f>
        <v>615.93900000000008</v>
      </c>
      <c r="AP120" s="1608">
        <f>+(AO120/AO113-1)*100</f>
        <v>16.074083705994436</v>
      </c>
      <c r="AQ120" s="1609">
        <f>SegqtrSales!F772</f>
        <v>0</v>
      </c>
      <c r="AR120" s="1614">
        <f>+SUM(AR116:AR119)</f>
        <v>-4.2949999999999999</v>
      </c>
      <c r="AS120" s="1618">
        <f>+AR120/AO120*100</f>
        <v>-0.69730931147402575</v>
      </c>
      <c r="AT120" s="1609"/>
      <c r="AU120" s="1609"/>
      <c r="AV120" s="1644">
        <f>+SUM(AV116:AV119)</f>
        <v>288.48</v>
      </c>
      <c r="AW120" s="1608">
        <f>+(AV120/AV113-1)*100</f>
        <v>-0.71483392243174571</v>
      </c>
      <c r="AX120" s="1609">
        <f>SegqtrSales!F851</f>
        <v>0</v>
      </c>
      <c r="AY120" s="1614">
        <f>+SUM(AY116:AY119)</f>
        <v>-28.030999999999999</v>
      </c>
      <c r="AZ120" s="1618">
        <f>+AY120/AV120*100</f>
        <v>-9.7167914586799764</v>
      </c>
      <c r="BA120" s="1609"/>
      <c r="BB120" s="1621">
        <f>'qtrP&amp;L'!$BN$14</f>
        <v>16057.935000000001</v>
      </c>
      <c r="BC120" s="1609">
        <f>'qtrP&amp;L'!BP$14</f>
        <v>2</v>
      </c>
      <c r="BD120" s="1614">
        <f>+D120+W120+AC120+AI120+AO120+AV120</f>
        <v>16022.913</v>
      </c>
      <c r="BE120" s="1663" t="str">
        <f>IF(BB120=BD120,"y","n")</f>
        <v>n</v>
      </c>
      <c r="BF120" s="1608">
        <f>+(BD120/BD113-1)*100</f>
        <v>7.439107282986801</v>
      </c>
      <c r="BG120" s="1609">
        <f>+$BU120*F120+$BX120*Y120+$BY120*AE120+$BZ120*AK120+$CA120*AQ120</f>
        <v>1.5121681057620417</v>
      </c>
      <c r="BH120" s="1614">
        <f>'qtrP&amp;L'!$BN$65</f>
        <v>1038.9590000000003</v>
      </c>
      <c r="BI120" s="1662">
        <f>+BH120/BB120*100</f>
        <v>6.4700660452293528</v>
      </c>
      <c r="BJ120" s="1621">
        <f>SUM(BJ116:BJ119)</f>
        <v>134.11199999999999</v>
      </c>
      <c r="BK120" s="1614">
        <f>+G120+Z120+AF120+AL120+AR120+AY120-BJ120</f>
        <v>1036.8659999999998</v>
      </c>
      <c r="BL120" s="1663" t="str">
        <f>IF(BH120=BK120,"y","n")</f>
        <v>n</v>
      </c>
      <c r="BM120" s="1618">
        <f>+BK120/BD120*100</f>
        <v>6.4711454153186727</v>
      </c>
      <c r="BN120" s="1499"/>
      <c r="BO120" s="1655"/>
      <c r="BP120" s="1608"/>
      <c r="BQ120" s="1609"/>
      <c r="BR120" s="1614"/>
      <c r="BS120" s="1662"/>
      <c r="BT120" s="1499"/>
      <c r="BU120" s="1460">
        <f>+D120/$BD120</f>
        <v>0.68381997705410991</v>
      </c>
      <c r="BV120" s="1664"/>
      <c r="BW120" s="1664"/>
      <c r="BX120" s="1460">
        <f>+W120/$BD120</f>
        <v>9.0978213512112299E-2</v>
      </c>
      <c r="BY120" s="1460">
        <f>+AC120/BD120</f>
        <v>9.4684156370317935E-2</v>
      </c>
      <c r="BZ120" s="1460">
        <f>+AI120/BD120</f>
        <v>7.4072298838544534E-2</v>
      </c>
      <c r="CA120" s="1460">
        <f>+AO120/BD120</f>
        <v>3.8441137388688318E-2</v>
      </c>
      <c r="CB120" s="1499"/>
      <c r="CC120" s="1460">
        <f>+G120/$BK120</f>
        <v>0.95032627166866324</v>
      </c>
      <c r="CD120" s="1664"/>
      <c r="CE120" s="1664"/>
      <c r="CF120" s="1460">
        <f>+Z120/$BK120</f>
        <v>0.11604103133866867</v>
      </c>
      <c r="CG120" s="1460">
        <f>+AF120/$BK120</f>
        <v>6.6745365360615552E-2</v>
      </c>
      <c r="CH120" s="1460">
        <f>+AL120/$BK120</f>
        <v>2.7407591723520693E-2</v>
      </c>
      <c r="CI120" s="1460">
        <f>+AR120/$BK120</f>
        <v>-4.1422903248828687E-3</v>
      </c>
      <c r="CJ120" s="1460"/>
      <c r="CK120" s="1650">
        <f>+SUM(D120,W120,AC120,AI120)</f>
        <v>15118.494000000001</v>
      </c>
      <c r="CM120" s="1650">
        <f>+SUM(G120,Z120,AF120,AL120)</f>
        <v>1203.3039999999999</v>
      </c>
      <c r="CN120" s="493">
        <f>+CM120/CK120</f>
        <v>7.9591525452204423E-2</v>
      </c>
    </row>
    <row r="121" spans="1:92" hidden="1" outlineLevel="1">
      <c r="A121" s="1499"/>
      <c r="B121" s="1499"/>
      <c r="C121" s="1499"/>
      <c r="D121" s="1654"/>
      <c r="E121" s="1608"/>
      <c r="F121" s="1609"/>
      <c r="G121" s="1665"/>
      <c r="H121" s="1662"/>
      <c r="I121" s="1662"/>
      <c r="J121" s="1765"/>
      <c r="K121" s="1610"/>
      <c r="L121" s="1608"/>
      <c r="M121" s="1609"/>
      <c r="N121" s="1499"/>
      <c r="O121" s="1662"/>
      <c r="P121" s="1609"/>
      <c r="Q121" s="1610"/>
      <c r="R121" s="1608"/>
      <c r="S121" s="1609"/>
      <c r="T121" s="1499"/>
      <c r="U121" s="1662"/>
      <c r="V121" s="1609"/>
      <c r="W121" s="1644"/>
      <c r="X121" s="1608"/>
      <c r="Y121" s="1609"/>
      <c r="Z121" s="1614"/>
      <c r="AA121" s="1662"/>
      <c r="AB121" s="1765"/>
      <c r="AC121" s="1614"/>
      <c r="AD121" s="1608"/>
      <c r="AE121" s="1609"/>
      <c r="AF121" s="1614"/>
      <c r="AG121" s="1662"/>
      <c r="AH121" s="1765"/>
      <c r="AI121" s="1614"/>
      <c r="AJ121" s="1608"/>
      <c r="AK121" s="1609"/>
      <c r="AL121" s="1614"/>
      <c r="AM121" s="1618"/>
      <c r="AN121" s="1609"/>
      <c r="AO121" s="1644"/>
      <c r="AP121" s="1608"/>
      <c r="AQ121" s="1609"/>
      <c r="AR121" s="1614"/>
      <c r="AS121" s="1618"/>
      <c r="AT121" s="1609"/>
      <c r="AU121" s="1609"/>
      <c r="AV121" s="1644"/>
      <c r="AW121" s="1608"/>
      <c r="AX121" s="1609"/>
      <c r="AY121" s="1614"/>
      <c r="AZ121" s="1618"/>
      <c r="BA121" s="1609"/>
      <c r="BB121" s="1621"/>
      <c r="BC121" s="1609"/>
      <c r="BD121" s="1614"/>
      <c r="BE121" s="1663"/>
      <c r="BF121" s="1608"/>
      <c r="BG121" s="1609"/>
      <c r="BH121" s="1614"/>
      <c r="BI121" s="1662"/>
      <c r="BJ121" s="1621"/>
      <c r="BK121" s="1614"/>
      <c r="BL121" s="1663"/>
      <c r="BM121" s="1618"/>
      <c r="BN121" s="1499"/>
      <c r="BO121" s="1655"/>
      <c r="BP121" s="1608"/>
      <c r="BQ121" s="1609"/>
      <c r="BR121" s="1614"/>
      <c r="BS121" s="1662"/>
      <c r="BT121" s="1499"/>
      <c r="BU121" s="1460"/>
      <c r="BV121" s="1664"/>
      <c r="BW121" s="1664"/>
      <c r="BX121" s="1460"/>
      <c r="BY121" s="1460"/>
      <c r="BZ121" s="1460"/>
      <c r="CA121" s="1460"/>
      <c r="CB121" s="1499"/>
      <c r="CC121" s="1460"/>
      <c r="CD121" s="1664"/>
      <c r="CE121" s="1664"/>
      <c r="CF121" s="1460"/>
      <c r="CG121" s="1460"/>
      <c r="CH121" s="1460"/>
      <c r="CI121" s="1460"/>
      <c r="CJ121" s="1460"/>
    </row>
    <row r="122" spans="1:92" hidden="1" outlineLevel="1">
      <c r="A122" s="2111">
        <f>+A115+1</f>
        <v>2006</v>
      </c>
      <c r="B122" s="2111"/>
      <c r="C122" s="467"/>
      <c r="D122" s="1603"/>
      <c r="E122" s="1088"/>
      <c r="F122" s="1088"/>
      <c r="G122" s="1661"/>
      <c r="H122" s="1604"/>
      <c r="I122" s="1499"/>
      <c r="J122" s="1764"/>
      <c r="K122" s="1605"/>
      <c r="L122" s="1605"/>
      <c r="M122" s="1605"/>
      <c r="N122" s="467"/>
      <c r="O122" s="467"/>
      <c r="P122" s="1605"/>
      <c r="Q122" s="1605"/>
      <c r="R122" s="1605"/>
      <c r="S122" s="1605"/>
      <c r="T122" s="467"/>
      <c r="U122" s="467"/>
      <c r="V122" s="1605"/>
      <c r="W122" s="1603"/>
      <c r="X122" s="1088"/>
      <c r="Y122" s="1088"/>
      <c r="Z122" s="1499"/>
      <c r="AA122" s="1499"/>
      <c r="AB122" s="1764"/>
      <c r="AC122" s="800"/>
      <c r="AD122" s="1088"/>
      <c r="AE122" s="1088"/>
      <c r="AF122" s="1499"/>
      <c r="AG122" s="1499"/>
      <c r="AH122" s="1764"/>
      <c r="AI122" s="800"/>
      <c r="AJ122" s="1088"/>
      <c r="AK122" s="1088"/>
      <c r="AL122" s="1499"/>
      <c r="AM122" s="1604"/>
      <c r="AN122" s="702"/>
      <c r="AO122" s="1603"/>
      <c r="AP122" s="1088"/>
      <c r="AQ122" s="1088"/>
      <c r="AR122" s="1499"/>
      <c r="AS122" s="1604"/>
      <c r="AT122" s="702"/>
      <c r="AU122" s="702"/>
      <c r="AV122" s="1603"/>
      <c r="AW122" s="1088"/>
      <c r="AX122" s="1088"/>
      <c r="AY122" s="1499"/>
      <c r="AZ122" s="1604"/>
      <c r="BA122" s="487"/>
      <c r="BB122" s="1499"/>
      <c r="BC122" s="1499"/>
      <c r="BD122" s="1499"/>
      <c r="BE122" s="1606"/>
      <c r="BF122" s="487"/>
      <c r="BG122" s="487"/>
      <c r="BH122" s="1499"/>
      <c r="BI122" s="1499"/>
      <c r="BJ122" s="1499"/>
      <c r="BK122" s="1499"/>
      <c r="BL122" s="1606"/>
      <c r="BM122" s="1604"/>
      <c r="BN122" s="467"/>
      <c r="BO122" s="800"/>
      <c r="BP122" s="1088"/>
      <c r="BQ122" s="1088"/>
      <c r="BR122" s="1499"/>
      <c r="BS122" s="467"/>
      <c r="BT122" s="467"/>
      <c r="BU122" s="467"/>
      <c r="BV122" s="467"/>
      <c r="BW122" s="467"/>
      <c r="BX122" s="467"/>
      <c r="BY122" s="467"/>
      <c r="BZ122" s="467"/>
      <c r="CA122" s="467"/>
      <c r="CB122" s="467"/>
      <c r="CC122" s="467"/>
      <c r="CD122" s="467"/>
      <c r="CE122" s="467"/>
      <c r="CF122" s="467"/>
      <c r="CG122" s="467"/>
      <c r="CH122" s="467"/>
      <c r="CI122" s="467"/>
      <c r="CJ122" s="467"/>
    </row>
    <row r="123" spans="1:92" hidden="1" outlineLevel="1">
      <c r="A123" s="467" t="str">
        <f>$A$11</f>
        <v>1Q</v>
      </c>
      <c r="B123" s="467" t="str">
        <f>$B$11</f>
        <v>Apr</v>
      </c>
      <c r="C123" s="467"/>
      <c r="D123" s="1607">
        <v>2646.7020000000002</v>
      </c>
      <c r="E123" s="1608">
        <f>+(D123/D116-1)*100</f>
        <v>3.2421771690124945</v>
      </c>
      <c r="F123" s="1639">
        <v>1</v>
      </c>
      <c r="G123" s="1610">
        <v>269.51900000000001</v>
      </c>
      <c r="H123" s="1657">
        <f>+(G123/G116-1)*100</f>
        <v>4.6736703108918976</v>
      </c>
      <c r="I123" s="1662">
        <f>+G123/D123*100</f>
        <v>10.183201584462473</v>
      </c>
      <c r="J123" s="1765"/>
      <c r="K123" s="1612"/>
      <c r="L123" s="1613"/>
      <c r="M123" s="1611"/>
      <c r="N123" s="467"/>
      <c r="O123" s="1620"/>
      <c r="P123" s="1611"/>
      <c r="Q123" s="1612"/>
      <c r="R123" s="1613"/>
      <c r="S123" s="1611"/>
      <c r="T123" s="467"/>
      <c r="U123" s="1620"/>
      <c r="V123" s="1611"/>
      <c r="W123" s="1607">
        <v>368.81</v>
      </c>
      <c r="X123" s="1608">
        <f>+(W123/W116-1)*100</f>
        <v>17.794166025225412</v>
      </c>
      <c r="Y123" s="1639">
        <v>1</v>
      </c>
      <c r="Z123" s="1610">
        <v>28.085999999999999</v>
      </c>
      <c r="AA123" s="1662">
        <f>+Z123/W123*100</f>
        <v>7.6153032726878331</v>
      </c>
      <c r="AB123" s="1765"/>
      <c r="AC123" s="1610">
        <v>349.32</v>
      </c>
      <c r="AD123" s="1608">
        <f>+(AC123/AC116-1)*100</f>
        <v>9.9507091461917607</v>
      </c>
      <c r="AE123" s="1639">
        <v>5</v>
      </c>
      <c r="AF123" s="1610">
        <v>-0.20100000000000001</v>
      </c>
      <c r="AG123" s="1662">
        <f>+AF123/AC123*100</f>
        <v>-5.7540364136035735E-2</v>
      </c>
      <c r="AH123" s="1765"/>
      <c r="AI123" s="1610">
        <v>305.83199999999999</v>
      </c>
      <c r="AJ123" s="1608">
        <f>+(AI123/AI116-1)*100</f>
        <v>18.2521546474266</v>
      </c>
      <c r="AK123" s="1639">
        <v>3</v>
      </c>
      <c r="AL123" s="1610">
        <v>8.5340000000000007</v>
      </c>
      <c r="AM123" s="1618">
        <f>+AL123/AI123*100</f>
        <v>2.7904208846687073</v>
      </c>
      <c r="AN123" s="1611"/>
      <c r="AO123" s="1607">
        <f>162.481-(162.481-137.254)</f>
        <v>137.25399999999999</v>
      </c>
      <c r="AP123" s="1608">
        <f>+(AO123/AO116-1)*100</f>
        <v>-1.5189673604982468</v>
      </c>
      <c r="AQ123" s="1639">
        <v>3</v>
      </c>
      <c r="AR123" s="1610">
        <f>-2.915-(-2.915--2.829)</f>
        <v>-2.8290000000000002</v>
      </c>
      <c r="AS123" s="1618">
        <f>+AR123/AO123*100</f>
        <v>-2.0611421160767631</v>
      </c>
      <c r="AT123" s="1611"/>
      <c r="AU123" s="1611"/>
      <c r="AV123" s="1607">
        <v>63.338000000000001</v>
      </c>
      <c r="AW123" s="1608">
        <f>+(AV123/AV116-1)*100</f>
        <v>6.5524956681190405</v>
      </c>
      <c r="AX123" s="1639">
        <v>2</v>
      </c>
      <c r="AY123" s="1610">
        <v>-6.2290000000000001</v>
      </c>
      <c r="AZ123" s="1618">
        <f>+AY123/AV123*100</f>
        <v>-9.834538507688908</v>
      </c>
      <c r="BA123" s="1611"/>
      <c r="BB123" s="1614">
        <f>'qtrP&amp;L'!$BR$10</f>
        <v>3871.2559999999999</v>
      </c>
      <c r="BC123" s="1611">
        <f>'qtrP&amp;L'!BT$10</f>
        <v>1</v>
      </c>
      <c r="BD123" s="1627">
        <f>+D123+W123+AC123+AI123+AO123+AV123</f>
        <v>3871.2560000000003</v>
      </c>
      <c r="BE123" s="1638" t="str">
        <f>IF(BB123=BD123,"y","n")</f>
        <v>y</v>
      </c>
      <c r="BF123" s="1613">
        <f>+(BD123/BD116-1)*100</f>
        <v>6.008658672501177</v>
      </c>
      <c r="BG123" s="1611">
        <f>+$BU123*F123+$BX123*Y123+$BY123*AE123+$BZ123*AK123+$CA123*AQ123</f>
        <v>1.5734867443537706</v>
      </c>
      <c r="BH123" s="1614">
        <f>'qtrP&amp;L'!$BR$61</f>
        <v>264.24099999999964</v>
      </c>
      <c r="BI123" s="1620">
        <f>+BH123/BB123*100</f>
        <v>6.8257175449001481</v>
      </c>
      <c r="BJ123" s="1610">
        <v>32.639000000000003</v>
      </c>
      <c r="BK123" s="1614">
        <f>+G123+Z123+AF123+AL123+AR123+AY123-BJ123</f>
        <v>264.24099999999999</v>
      </c>
      <c r="BL123" s="1638" t="str">
        <f>IF(BH123=BK123,"y","n")</f>
        <v>y</v>
      </c>
      <c r="BM123" s="1618">
        <f>+BK123/BD123*100</f>
        <v>6.8257175449001561</v>
      </c>
      <c r="BN123" s="467"/>
      <c r="BO123" s="1610"/>
      <c r="BP123" s="1608"/>
      <c r="BQ123" s="1639"/>
      <c r="BR123" s="1610"/>
      <c r="BS123" s="1620"/>
      <c r="BT123" s="467"/>
      <c r="BU123" s="1422">
        <f>+D123/$BD123</f>
        <v>0.68368043859667249</v>
      </c>
      <c r="BV123" s="1628"/>
      <c r="BW123" s="1628"/>
      <c r="BX123" s="1422">
        <f>+W123/$BD123</f>
        <v>9.5268822315031601E-2</v>
      </c>
      <c r="BY123" s="1422">
        <f>+AC123/BD123</f>
        <v>9.0234280553908072E-2</v>
      </c>
      <c r="BZ123" s="1422">
        <f>+AI123/BD123</f>
        <v>7.9000717079934779E-2</v>
      </c>
      <c r="CA123" s="1422">
        <f>+AO123/BD123</f>
        <v>3.5454643144240523E-2</v>
      </c>
      <c r="CB123" s="467"/>
      <c r="CC123" s="1422">
        <f>+G123/$BK123</f>
        <v>1.0199741902278603</v>
      </c>
      <c r="CD123" s="1628"/>
      <c r="CE123" s="1628"/>
      <c r="CF123" s="1422">
        <f>+Z123/$BK123</f>
        <v>0.10628933435765078</v>
      </c>
      <c r="CG123" s="1422">
        <f>+AF123/$BK123</f>
        <v>-7.6066923755208321E-4</v>
      </c>
      <c r="CH123" s="1422">
        <f>+AL123/$BK123</f>
        <v>3.2296274991390442E-2</v>
      </c>
      <c r="CI123" s="1422">
        <f>+AR123/$BK123</f>
        <v>-1.0706135686740515E-2</v>
      </c>
      <c r="CJ123" s="1422"/>
      <c r="CK123" s="1650">
        <f>+SUM(D123,W123,AC123,AI123)</f>
        <v>3670.6640000000002</v>
      </c>
      <c r="CM123" s="1650">
        <f>+SUM(G123,Z123,AF123,AL123)</f>
        <v>305.93799999999999</v>
      </c>
      <c r="CN123" s="493">
        <f>+CM123/CK123</f>
        <v>8.3346773226860307E-2</v>
      </c>
    </row>
    <row r="124" spans="1:92" hidden="1" outlineLevel="1">
      <c r="A124" s="467" t="str">
        <f>$A$12</f>
        <v>2Q</v>
      </c>
      <c r="B124" s="467" t="str">
        <f>$B$12</f>
        <v>Jul</v>
      </c>
      <c r="C124" s="467"/>
      <c r="D124" s="1616">
        <v>2658.5030000000002</v>
      </c>
      <c r="E124" s="1608">
        <f>+(D124/D117-1)*100</f>
        <v>4.7763951679553607</v>
      </c>
      <c r="F124" s="1639">
        <v>2</v>
      </c>
      <c r="G124" s="1617">
        <v>208.26499999999999</v>
      </c>
      <c r="H124" s="1657">
        <f>+(G124/G117-1)*100</f>
        <v>2.9511357176400743</v>
      </c>
      <c r="I124" s="1662">
        <f>+G124/D124*100</f>
        <v>7.8339200670452493</v>
      </c>
      <c r="J124" s="1765"/>
      <c r="K124" s="1619"/>
      <c r="L124" s="1613"/>
      <c r="M124" s="1611"/>
      <c r="N124" s="467"/>
      <c r="O124" s="1652"/>
      <c r="P124" s="1611"/>
      <c r="Q124" s="1619"/>
      <c r="R124" s="1613"/>
      <c r="S124" s="1611"/>
      <c r="T124" s="467"/>
      <c r="U124" s="1652"/>
      <c r="V124" s="1611"/>
      <c r="W124" s="1616">
        <v>400.536</v>
      </c>
      <c r="X124" s="1608">
        <f>+(W124/W117-1)*100</f>
        <v>26.415058609654029</v>
      </c>
      <c r="Y124" s="1639">
        <v>6</v>
      </c>
      <c r="Z124" s="1617">
        <v>41.476999999999997</v>
      </c>
      <c r="AA124" s="1662">
        <f>+Z124/W124*100</f>
        <v>10.355373799109193</v>
      </c>
      <c r="AB124" s="1765"/>
      <c r="AC124" s="1617">
        <v>405.44</v>
      </c>
      <c r="AD124" s="1608">
        <f>+(AC124/AC117-1)*100</f>
        <v>23.783354704768868</v>
      </c>
      <c r="AE124" s="1639">
        <v>10</v>
      </c>
      <c r="AF124" s="1617">
        <v>17.971</v>
      </c>
      <c r="AG124" s="1662">
        <f>+AF124/AC124*100</f>
        <v>4.4324684293606946</v>
      </c>
      <c r="AH124" s="1765"/>
      <c r="AI124" s="1617">
        <v>301.34699999999998</v>
      </c>
      <c r="AJ124" s="1608">
        <f>+(AI124/AI117-1)*100</f>
        <v>16.298105867642288</v>
      </c>
      <c r="AK124" s="1639">
        <v>4</v>
      </c>
      <c r="AL124" s="1617">
        <v>4.1980000000000004</v>
      </c>
      <c r="AM124" s="1618">
        <f>+AL124/AI124*100</f>
        <v>1.3930784112667458</v>
      </c>
      <c r="AN124" s="1611"/>
      <c r="AO124" s="1616">
        <v>133.49199999999999</v>
      </c>
      <c r="AP124" s="1608">
        <f>+(AO124/AO117-1)*100</f>
        <v>-9.3439093792232359</v>
      </c>
      <c r="AQ124" s="1639">
        <v>1</v>
      </c>
      <c r="AR124" s="1641">
        <v>-3.9550000000000001</v>
      </c>
      <c r="AS124" s="1618">
        <f>+AR124/AO124*100</f>
        <v>-2.9627243580139635</v>
      </c>
      <c r="AT124" s="1611"/>
      <c r="AU124" s="1611"/>
      <c r="AV124" s="1616">
        <v>64.340999999999994</v>
      </c>
      <c r="AW124" s="1608">
        <f>+(AV124/AV117-1)*100</f>
        <v>7.5828512189412445</v>
      </c>
      <c r="AX124" s="1639">
        <v>6</v>
      </c>
      <c r="AY124" s="1658">
        <v>-4.0369999999999999</v>
      </c>
      <c r="AZ124" s="1618">
        <f>+AY124/AV124*100</f>
        <v>-6.2743818094216754</v>
      </c>
      <c r="BA124" s="1611"/>
      <c r="BB124" s="1621">
        <f>'qtrP&amp;L'!$BR$11</f>
        <v>3963.6590000000001</v>
      </c>
      <c r="BC124" s="1611">
        <f>'qtrP&amp;L'!BT$11</f>
        <v>4</v>
      </c>
      <c r="BD124" s="1621">
        <f>+D124+W124+AC124+AI124+AO124+AV124</f>
        <v>3963.6590000000001</v>
      </c>
      <c r="BE124" s="1638" t="str">
        <f>IF(BB124=BD124,"y","n")</f>
        <v>y</v>
      </c>
      <c r="BF124" s="1613">
        <f>+(BD124/BD117-1)*100</f>
        <v>8.6569243497431003</v>
      </c>
      <c r="BG124" s="1611">
        <f>+$BU124*F124+$BX124*Y124+$BY124*AE124+$BZ124*AK124+$CA124*AQ124</f>
        <v>3.3084334449557846</v>
      </c>
      <c r="BH124" s="1621">
        <f>'qtrP&amp;L'!$BR$62</f>
        <v>236.07200000000023</v>
      </c>
      <c r="BI124" s="1620">
        <f>+BH124/BB124*100</f>
        <v>5.9559109398664267</v>
      </c>
      <c r="BJ124" s="1617">
        <v>27.847000000000001</v>
      </c>
      <c r="BK124" s="1621">
        <f>+G124+Z124+AF124+AL124+AR124+AY124-BJ124</f>
        <v>236.07199999999997</v>
      </c>
      <c r="BL124" s="1638" t="str">
        <f>IF(BH124=BK124,"y","n")</f>
        <v>y</v>
      </c>
      <c r="BM124" s="1618">
        <f>+BK124/BD124*100</f>
        <v>5.9559109398664205</v>
      </c>
      <c r="BN124" s="467"/>
      <c r="BO124" s="1621"/>
      <c r="BP124" s="1608"/>
      <c r="BQ124" s="1653"/>
      <c r="BR124" s="1621"/>
      <c r="BS124" s="1652"/>
      <c r="BT124" s="467"/>
      <c r="BU124" s="1422">
        <f>+D124/$BD124</f>
        <v>0.67071940346028758</v>
      </c>
      <c r="BV124" s="1628"/>
      <c r="BW124" s="1628"/>
      <c r="BX124" s="1422">
        <f>+W124/$BD124</f>
        <v>0.1010520834410831</v>
      </c>
      <c r="BY124" s="1422">
        <f>+AC124/BD124</f>
        <v>0.10228932408161247</v>
      </c>
      <c r="BZ124" s="1422">
        <f>+AI124/BD124</f>
        <v>7.6027478650408611E-2</v>
      </c>
      <c r="CA124" s="1422">
        <f>+AO124/BD124</f>
        <v>3.3678981970951587E-2</v>
      </c>
      <c r="CB124" s="467"/>
      <c r="CC124" s="1422">
        <f>+G124/$BK124</f>
        <v>0.88220966484801255</v>
      </c>
      <c r="CD124" s="1628"/>
      <c r="CE124" s="1628"/>
      <c r="CF124" s="1422">
        <f>+Z124/$BK124</f>
        <v>0.17569639770917347</v>
      </c>
      <c r="CG124" s="1422">
        <f>+AF124/$BK124</f>
        <v>7.6125080483920166E-2</v>
      </c>
      <c r="CH124" s="1422">
        <f>+AL124/$BK124</f>
        <v>1.7782710359551326E-2</v>
      </c>
      <c r="CI124" s="1422">
        <f>+AR124/$BK124</f>
        <v>-1.6753363380663529E-2</v>
      </c>
      <c r="CJ124" s="1422"/>
      <c r="CK124" s="1650">
        <f>+SUM(D124,W124,AC124,AI124)</f>
        <v>3765.826</v>
      </c>
      <c r="CM124" s="1650">
        <f>+SUM(G124,Z124,AF124,AL124)</f>
        <v>271.91099999999994</v>
      </c>
      <c r="CN124" s="493">
        <f>+CM124/CK124</f>
        <v>7.2204876167937637E-2</v>
      </c>
    </row>
    <row r="125" spans="1:92" hidden="1" outlineLevel="1">
      <c r="A125" s="467" t="str">
        <f>$A$13</f>
        <v>3Q</v>
      </c>
      <c r="B125" s="467" t="str">
        <f>$B$13</f>
        <v>Oct</v>
      </c>
      <c r="C125" s="467"/>
      <c r="D125" s="1616">
        <v>2947.1060000000002</v>
      </c>
      <c r="E125" s="1608">
        <f>+(D125/D118-1)*100</f>
        <v>8.0412895714027535</v>
      </c>
      <c r="F125" s="1639">
        <v>5</v>
      </c>
      <c r="G125" s="1617">
        <v>313.79899999999998</v>
      </c>
      <c r="H125" s="1657">
        <f>+(G125/G118-1)*100</f>
        <v>29.394179305112278</v>
      </c>
      <c r="I125" s="1662">
        <f>+G125/D125*100</f>
        <v>10.64769981127248</v>
      </c>
      <c r="J125" s="1765"/>
      <c r="K125" s="1619"/>
      <c r="L125" s="1613"/>
      <c r="M125" s="1611"/>
      <c r="N125" s="467"/>
      <c r="O125" s="1652"/>
      <c r="P125" s="1611"/>
      <c r="Q125" s="1619"/>
      <c r="R125" s="1613"/>
      <c r="S125" s="1611"/>
      <c r="T125" s="467"/>
      <c r="U125" s="1652"/>
      <c r="V125" s="1611"/>
      <c r="W125" s="1616">
        <v>477.334</v>
      </c>
      <c r="X125" s="1608">
        <f>+(W125/W118-1)*100</f>
        <v>19.908762287072236</v>
      </c>
      <c r="Y125" s="1639">
        <v>5</v>
      </c>
      <c r="Z125" s="1617">
        <v>60.7</v>
      </c>
      <c r="AA125" s="1662">
        <f>+Z125/W125*100</f>
        <v>12.716462686504629</v>
      </c>
      <c r="AB125" s="1765"/>
      <c r="AC125" s="1617">
        <v>481.13099999999997</v>
      </c>
      <c r="AD125" s="1608">
        <f>+(AC125/AC118-1)*100</f>
        <v>24.946697864538557</v>
      </c>
      <c r="AE125" s="1639">
        <v>11</v>
      </c>
      <c r="AF125" s="1617">
        <v>36.838000000000001</v>
      </c>
      <c r="AG125" s="1662">
        <f>+AF125/AC125*100</f>
        <v>7.656542604820725</v>
      </c>
      <c r="AH125" s="1765"/>
      <c r="AI125" s="1617">
        <v>335.97199999999998</v>
      </c>
      <c r="AJ125" s="1608">
        <f>+(AI125/AI118-1)*100</f>
        <v>14.934916100781681</v>
      </c>
      <c r="AK125" s="1639">
        <v>5</v>
      </c>
      <c r="AL125" s="1617">
        <v>17.600999999999999</v>
      </c>
      <c r="AM125" s="1618">
        <f>+AL125/AI125*100</f>
        <v>5.2388294262617121</v>
      </c>
      <c r="AN125" s="1611"/>
      <c r="AO125" s="1616">
        <v>148.499</v>
      </c>
      <c r="AP125" s="1608">
        <f>+(AO125/AO118-1)*100</f>
        <v>-6.3582247669975107</v>
      </c>
      <c r="AQ125" s="1639">
        <v>4</v>
      </c>
      <c r="AR125" s="1641">
        <v>-2.286</v>
      </c>
      <c r="AS125" s="1618">
        <f>+AR125/AO125*100</f>
        <v>-1.5394043057529008</v>
      </c>
      <c r="AT125" s="1611"/>
      <c r="AU125" s="1611"/>
      <c r="AV125" s="1616">
        <v>82.900999999999996</v>
      </c>
      <c r="AW125" s="1608">
        <f>+(AV125/AV118-1)*100</f>
        <v>3.4891269068484387</v>
      </c>
      <c r="AX125" s="1639">
        <v>2</v>
      </c>
      <c r="AY125" s="1658">
        <v>-1.1779999999999999</v>
      </c>
      <c r="AZ125" s="1618">
        <f>+AY125/AV125*100</f>
        <v>-1.4209720027502684</v>
      </c>
      <c r="BA125" s="1611"/>
      <c r="BB125" s="1621">
        <f>'qtrP&amp;L'!$BR$12</f>
        <v>4472.9430000000002</v>
      </c>
      <c r="BC125" s="1611">
        <f>'qtrP&amp;L'!BT$12</f>
        <v>6</v>
      </c>
      <c r="BD125" s="1621">
        <f>+D125+W125+AC125+AI125+AO125+AV125</f>
        <v>4472.9429999999993</v>
      </c>
      <c r="BE125" s="1638" t="str">
        <f>IF(BB125=BD125,"y","n")</f>
        <v>y</v>
      </c>
      <c r="BF125" s="1613">
        <f>+(BD125/BD118-1)*100</f>
        <v>10.664037218029465</v>
      </c>
      <c r="BG125" s="1611">
        <f>+$BU125*F125+$BX125*Y125+$BY125*AE125+$BZ125*AK125+$CA125*AQ125</f>
        <v>5.519519698775504</v>
      </c>
      <c r="BH125" s="1621">
        <f>'qtrP&amp;L'!$BR$63</f>
        <v>382.51000000000022</v>
      </c>
      <c r="BI125" s="1620">
        <f>+BH125/BB125*100</f>
        <v>8.5516403853123144</v>
      </c>
      <c r="BJ125" s="1617">
        <v>42.963999999999999</v>
      </c>
      <c r="BK125" s="1621">
        <f>+G125+Z125+AF125+AL125+AR125+AY125-BJ125</f>
        <v>382.51</v>
      </c>
      <c r="BL125" s="1638" t="str">
        <f>IF(BH125=BK125,"y","n")</f>
        <v>y</v>
      </c>
      <c r="BM125" s="1618">
        <f>+BK125/BD125*100</f>
        <v>8.5516403853123126</v>
      </c>
      <c r="BN125" s="467"/>
      <c r="BO125" s="1621"/>
      <c r="BP125" s="1608"/>
      <c r="BQ125" s="1609"/>
      <c r="BR125" s="1621"/>
      <c r="BS125" s="1652"/>
      <c r="BT125" s="467"/>
      <c r="BU125" s="1422">
        <f>+D125/$BD125</f>
        <v>0.65887403438854475</v>
      </c>
      <c r="BV125" s="1628"/>
      <c r="BW125" s="1628"/>
      <c r="BX125" s="1422">
        <f>+W125/$BD125</f>
        <v>0.10671586917159465</v>
      </c>
      <c r="BY125" s="1422">
        <f>+AC125/BD125</f>
        <v>0.10756475099280273</v>
      </c>
      <c r="BZ125" s="1422">
        <f>+AI125/BD125</f>
        <v>7.5112068273617619E-2</v>
      </c>
      <c r="CA125" s="1422">
        <f>+AO125/BD125</f>
        <v>3.3199394671472454E-2</v>
      </c>
      <c r="CB125" s="467"/>
      <c r="CC125" s="1422">
        <f>+G125/$BK125</f>
        <v>0.82036809495176588</v>
      </c>
      <c r="CD125" s="1628"/>
      <c r="CE125" s="1628"/>
      <c r="CF125" s="1422">
        <f>+Z125/$BK125</f>
        <v>0.15868866173433374</v>
      </c>
      <c r="CG125" s="1422">
        <f>+AF125/$BK125</f>
        <v>9.6305978928655459E-2</v>
      </c>
      <c r="CH125" s="1422">
        <f>+AL125/$BK125</f>
        <v>4.6014483281482839E-2</v>
      </c>
      <c r="CI125" s="1422">
        <f>+AR125/$BK125</f>
        <v>-5.976314344723014E-3</v>
      </c>
      <c r="CJ125" s="1422"/>
      <c r="CK125" s="1650">
        <f>+SUM(D125,W125,AC125,AI125)</f>
        <v>4241.5429999999997</v>
      </c>
      <c r="CM125" s="1650">
        <f>+SUM(G125,Z125,AF125,AL125)</f>
        <v>428.93799999999999</v>
      </c>
      <c r="CN125" s="493">
        <f>+CM125/CK125</f>
        <v>0.10112782070109864</v>
      </c>
    </row>
    <row r="126" spans="1:92" hidden="1" outlineLevel="1">
      <c r="A126" s="467" t="str">
        <f>$A$14</f>
        <v>4Q</v>
      </c>
      <c r="B126" s="467" t="str">
        <f>$B$14</f>
        <v>Jan</v>
      </c>
      <c r="C126" s="467"/>
      <c r="D126" s="1623">
        <v>3279.4740000000002</v>
      </c>
      <c r="E126" s="1608">
        <f>+(D126/D119-1)*100</f>
        <v>4.8380950675994461</v>
      </c>
      <c r="F126" s="1639">
        <v>2</v>
      </c>
      <c r="G126" s="1624">
        <v>287.69200000000001</v>
      </c>
      <c r="H126" s="1657">
        <f>+(G126/G119-1)*100</f>
        <v>1.6338887966453219</v>
      </c>
      <c r="I126" s="1662">
        <f>+G126/D126*100</f>
        <v>8.7725043711278072</v>
      </c>
      <c r="J126" s="1765"/>
      <c r="K126" s="1624"/>
      <c r="L126" s="1613"/>
      <c r="M126" s="1611"/>
      <c r="N126" s="467"/>
      <c r="O126" s="1652"/>
      <c r="P126" s="1611"/>
      <c r="Q126" s="1624"/>
      <c r="R126" s="1613"/>
      <c r="S126" s="1611"/>
      <c r="T126" s="467"/>
      <c r="U126" s="1652"/>
      <c r="V126" s="1611"/>
      <c r="W126" s="1623">
        <v>494.11599999999999</v>
      </c>
      <c r="X126" s="1608">
        <f>+(W126/W119-1)*100</f>
        <v>14.986642340522582</v>
      </c>
      <c r="Y126" s="1639">
        <v>8</v>
      </c>
      <c r="Z126" s="1624">
        <v>51.6</v>
      </c>
      <c r="AA126" s="1662">
        <f>+Z126/W126*100</f>
        <v>10.442891952496986</v>
      </c>
      <c r="AB126" s="1765"/>
      <c r="AC126" s="1624">
        <v>628.61099999999999</v>
      </c>
      <c r="AD126" s="1608">
        <f>+(AC126/AC119-1)*100</f>
        <v>29.131000141741701</v>
      </c>
      <c r="AE126" s="1639">
        <v>10</v>
      </c>
      <c r="AF126" s="1625">
        <v>54.697000000000003</v>
      </c>
      <c r="AG126" s="1662">
        <f>+AF126/AC126*100</f>
        <v>8.7012476714534124</v>
      </c>
      <c r="AH126" s="1765"/>
      <c r="AI126" s="1624">
        <v>421.952</v>
      </c>
      <c r="AJ126" s="1608">
        <f>+(AI126/AI119-1)*100</f>
        <v>11.984203653966595</v>
      </c>
      <c r="AK126" s="1639">
        <v>5</v>
      </c>
      <c r="AL126" s="1624">
        <v>30.605</v>
      </c>
      <c r="AM126" s="1618">
        <f>+AL126/AI126*100</f>
        <v>7.253194676171697</v>
      </c>
      <c r="AN126" s="1611"/>
      <c r="AO126" s="1623">
        <v>182.58199999999999</v>
      </c>
      <c r="AP126" s="1608">
        <f>+(AO126/AO119-1)*100</f>
        <v>6.938823322693044</v>
      </c>
      <c r="AQ126" s="1639">
        <v>2</v>
      </c>
      <c r="AR126" s="1624">
        <v>-1.18</v>
      </c>
      <c r="AS126" s="1618">
        <f>+AR126/AO126*100</f>
        <v>-0.64628495689607957</v>
      </c>
      <c r="AT126" s="1611"/>
      <c r="AU126" s="1611"/>
      <c r="AV126" s="1623">
        <v>90.043999999999997</v>
      </c>
      <c r="AW126" s="1608">
        <f>+(AV126/AV119-1)*100</f>
        <v>1.0311360448807871</v>
      </c>
      <c r="AX126" s="1639">
        <v>0</v>
      </c>
      <c r="AY126" s="1659">
        <v>-5.9160000000000004</v>
      </c>
      <c r="AZ126" s="1618">
        <f>+AY126/AV126*100</f>
        <v>-6.5701212740438013</v>
      </c>
      <c r="BA126" s="1611"/>
      <c r="BB126" s="1625">
        <f>'qtrP&amp;L'!$BR$13</f>
        <v>5096.7790000000005</v>
      </c>
      <c r="BC126" s="1611">
        <f>'qtrP&amp;L'!BT$13</f>
        <v>5</v>
      </c>
      <c r="BD126" s="1625">
        <f>+D126+W126+AC126+AI126+AO126+AV126</f>
        <v>5096.7790000000005</v>
      </c>
      <c r="BE126" s="1638" t="str">
        <f>IF(BB126=BD126,"y","n")</f>
        <v>y</v>
      </c>
      <c r="BF126" s="1613">
        <f>+(BD126/BD119-1)*100</f>
        <v>8.8751747643018639</v>
      </c>
      <c r="BG126" s="1611">
        <f>+$BU126*F126+$BX126*Y126+$BY126*AE126+$BZ126*AK126+$CA126*AQ126</f>
        <v>3.7813901681826887</v>
      </c>
      <c r="BH126" s="1625">
        <f>'qtrP&amp;L'!$BR$64</f>
        <v>384.5510000000005</v>
      </c>
      <c r="BI126" s="1643">
        <f>+BH126/BB126*100</f>
        <v>7.5449808594800842</v>
      </c>
      <c r="BJ126" s="1624">
        <v>37.906999999999996</v>
      </c>
      <c r="BK126" s="1625">
        <f>+G126+Z126+AF126+AL126+AR126+AY126-BJ126</f>
        <v>379.59100000000007</v>
      </c>
      <c r="BL126" s="1638" t="str">
        <f>IF(BH126=BK126,"y","n")</f>
        <v>n</v>
      </c>
      <c r="BM126" s="1618">
        <f>+BK126/BD126*100</f>
        <v>7.4476644955569009</v>
      </c>
      <c r="BN126" s="467"/>
      <c r="BO126" s="1621"/>
      <c r="BP126" s="1608"/>
      <c r="BQ126" s="1609"/>
      <c r="BR126" s="1621"/>
      <c r="BS126" s="1652"/>
      <c r="BT126" s="467"/>
      <c r="BU126" s="1422">
        <f>+D126/$BD126</f>
        <v>0.64344049447700202</v>
      </c>
      <c r="BV126" s="1628"/>
      <c r="BW126" s="1628"/>
      <c r="BX126" s="1422">
        <f>+W126/$BD126</f>
        <v>9.694671870214501E-2</v>
      </c>
      <c r="BY126" s="1422">
        <f>+AC126/BD126</f>
        <v>0.12333495331070857</v>
      </c>
      <c r="BZ126" s="1422">
        <f>+AI126/BD126</f>
        <v>8.2787972560709411E-2</v>
      </c>
      <c r="CA126" s="1422">
        <f>+AO126/BD126</f>
        <v>3.5823016850446129E-2</v>
      </c>
      <c r="CB126" s="467"/>
      <c r="CC126" s="1422">
        <f>+G126/$BK126</f>
        <v>0.75789995020956757</v>
      </c>
      <c r="CD126" s="1628"/>
      <c r="CE126" s="1628"/>
      <c r="CF126" s="1422">
        <f>+Z126/$BK126</f>
        <v>0.1359357835143615</v>
      </c>
      <c r="CG126" s="1422">
        <f>+AF126/$BK126</f>
        <v>0.14409456493963238</v>
      </c>
      <c r="CH126" s="1422">
        <f>+AL126/$BK126</f>
        <v>8.0626252993353353E-2</v>
      </c>
      <c r="CI126" s="1422">
        <f>+AR126/$BK126</f>
        <v>-3.1086090028478014E-3</v>
      </c>
      <c r="CJ126" s="1422"/>
      <c r="CK126" s="1650">
        <f>+SUM(D126,W126,AC126,AI126)</f>
        <v>4824.1530000000002</v>
      </c>
      <c r="CM126" s="1650">
        <f>+SUM(G126,Z126,AF126,AL126)</f>
        <v>424.59400000000005</v>
      </c>
      <c r="CN126" s="493">
        <f>+CM126/CK126</f>
        <v>8.8014206846258825E-2</v>
      </c>
    </row>
    <row r="127" spans="1:92" hidden="1" outlineLevel="1">
      <c r="A127" s="1499"/>
      <c r="B127" s="1499" t="str">
        <f>$B$15</f>
        <v>Year</v>
      </c>
      <c r="C127" s="1499"/>
      <c r="D127" s="1654">
        <f>+SUM(D123:D126)</f>
        <v>11531.785</v>
      </c>
      <c r="E127" s="1608">
        <f>+(D127/D120-1)*100</f>
        <v>5.247860960712214</v>
      </c>
      <c r="F127" s="1639">
        <v>2</v>
      </c>
      <c r="G127" s="1614">
        <f>+SUM(G123:G126)</f>
        <v>1079.2750000000001</v>
      </c>
      <c r="H127" s="1618">
        <f>+(G127/G120-1)*100</f>
        <v>9.5309231844978637</v>
      </c>
      <c r="I127" s="1662">
        <f>+G127/D127*100</f>
        <v>9.3591321725127568</v>
      </c>
      <c r="J127" s="1765"/>
      <c r="K127" s="1610"/>
      <c r="L127" s="1608"/>
      <c r="M127" s="1609"/>
      <c r="N127" s="1499"/>
      <c r="O127" s="1662"/>
      <c r="P127" s="1609"/>
      <c r="Q127" s="1610"/>
      <c r="R127" s="1608"/>
      <c r="S127" s="1609"/>
      <c r="T127" s="1499"/>
      <c r="U127" s="1662"/>
      <c r="V127" s="1609"/>
      <c r="W127" s="1644">
        <f>+SUM(W123:W126)</f>
        <v>1740.796</v>
      </c>
      <c r="X127" s="1608">
        <f>+(W127/W120-1)*100</f>
        <v>19.41778209497469</v>
      </c>
      <c r="Y127" s="1639">
        <v>5</v>
      </c>
      <c r="Z127" s="1614">
        <f>+SUM(Z123:Z126)</f>
        <v>181.86299999999997</v>
      </c>
      <c r="AA127" s="1662">
        <f>+Z127/W127*100</f>
        <v>10.447117295765842</v>
      </c>
      <c r="AB127" s="1765"/>
      <c r="AC127" s="1614">
        <f>+SUM(AC123:AC126)</f>
        <v>1864.502</v>
      </c>
      <c r="AD127" s="1608">
        <f>+(AC127/AC120-1)*100</f>
        <v>22.897787644451718</v>
      </c>
      <c r="AE127" s="1639">
        <v>9</v>
      </c>
      <c r="AF127" s="1614">
        <f>+SUM(AF123:AF126)</f>
        <v>109.30500000000001</v>
      </c>
      <c r="AG127" s="1662">
        <f>+AF127/AC127*100</f>
        <v>5.8624233173254847</v>
      </c>
      <c r="AH127" s="1765"/>
      <c r="AI127" s="1614">
        <f>+SUM(AI123:AI126)</f>
        <v>1365.1030000000001</v>
      </c>
      <c r="AJ127" s="1608">
        <f>+(AI127/AI120-1)*100</f>
        <v>15.018612230316442</v>
      </c>
      <c r="AK127" s="1639">
        <v>4</v>
      </c>
      <c r="AL127" s="1614">
        <f>+SUM(AL123:AL126)</f>
        <v>60.938000000000002</v>
      </c>
      <c r="AM127" s="1618">
        <f>+AL127/AI127*100</f>
        <v>4.4639855014603294</v>
      </c>
      <c r="AN127" s="1609"/>
      <c r="AO127" s="1644">
        <f>+SUM(AO123:AO126)</f>
        <v>601.827</v>
      </c>
      <c r="AP127" s="1608">
        <f>+(AO127/AO120-1)*100</f>
        <v>-2.2911359728804426</v>
      </c>
      <c r="AQ127" s="1639">
        <v>3</v>
      </c>
      <c r="AR127" s="1614">
        <f>+SUM(AR123:AR126)</f>
        <v>-10.25</v>
      </c>
      <c r="AS127" s="1618">
        <f>+AR127/AO127*100</f>
        <v>-1.7031472499572136</v>
      </c>
      <c r="AT127" s="1609"/>
      <c r="AU127" s="1609"/>
      <c r="AV127" s="1644">
        <f>+SUM(AV123:AV126)</f>
        <v>300.62399999999997</v>
      </c>
      <c r="AW127" s="1608">
        <f>+(AV127/AV120-1)*100</f>
        <v>4.2096505823627117</v>
      </c>
      <c r="AX127" s="1639">
        <v>2</v>
      </c>
      <c r="AY127" s="1614">
        <f>+SUM(AY123:AY126)</f>
        <v>-17.36</v>
      </c>
      <c r="AZ127" s="1618">
        <f>+AY127/AV127*100</f>
        <v>-5.7746553834690513</v>
      </c>
      <c r="BA127" s="1609"/>
      <c r="BB127" s="1621">
        <f>'qtrP&amp;L'!$BR$14</f>
        <v>17404.637000000002</v>
      </c>
      <c r="BC127" s="1609">
        <f>'qtrP&amp;L'!BT$14</f>
        <v>3</v>
      </c>
      <c r="BD127" s="1614">
        <f>+D127+W127+AC127+AI127+AO127+AV127</f>
        <v>17404.637000000002</v>
      </c>
      <c r="BE127" s="1663" t="str">
        <f>IF(BB127=BD127,"y","n")</f>
        <v>y</v>
      </c>
      <c r="BF127" s="1608">
        <f>+(BD127/BD120-1)*100</f>
        <v>8.623425715411436</v>
      </c>
      <c r="BG127" s="1609">
        <f>+$BU127*F127+$BX127*Y127+$BY127*AE127+$BZ127*AK127+$CA127*AQ127</f>
        <v>3.2068443024695079</v>
      </c>
      <c r="BH127" s="1614">
        <f>'qtrP&amp;L'!$BR$65</f>
        <v>1267.3740000000007</v>
      </c>
      <c r="BI127" s="1662">
        <f>+BH127/BB127*100</f>
        <v>7.2818180580267233</v>
      </c>
      <c r="BJ127" s="1621">
        <f>SUM(BJ123:BJ126)</f>
        <v>141.357</v>
      </c>
      <c r="BK127" s="1614">
        <f>+G127+Z127+AF127+AL127+AR127+AY127-BJ127</f>
        <v>1262.4140000000004</v>
      </c>
      <c r="BL127" s="1663" t="str">
        <f>IF(BH127=BK127,"y","n")</f>
        <v>n</v>
      </c>
      <c r="BM127" s="1618">
        <f>+BK127/BD127*100</f>
        <v>7.253319905494152</v>
      </c>
      <c r="BN127" s="1499"/>
      <c r="BO127" s="1655"/>
      <c r="BP127" s="1608"/>
      <c r="BQ127" s="1609"/>
      <c r="BR127" s="1614"/>
      <c r="BS127" s="1662"/>
      <c r="BT127" s="1499"/>
      <c r="BU127" s="1460">
        <f>+D127/$BD127</f>
        <v>0.66256969335240934</v>
      </c>
      <c r="BV127" s="1664"/>
      <c r="BW127" s="1664"/>
      <c r="BX127" s="1460">
        <f>+W127/$BD127</f>
        <v>0.10001909261307776</v>
      </c>
      <c r="BY127" s="1460">
        <f>+AC127/BD127</f>
        <v>0.10712673869613021</v>
      </c>
      <c r="BZ127" s="1460">
        <f>+AI127/BD127</f>
        <v>7.8433293380379021E-2</v>
      </c>
      <c r="CA127" s="1460">
        <f>+AO127/BD127</f>
        <v>3.4578543637537512E-2</v>
      </c>
      <c r="CB127" s="1499"/>
      <c r="CC127" s="1460">
        <f>+G127/$BK127</f>
        <v>0.85492952391212373</v>
      </c>
      <c r="CD127" s="1664"/>
      <c r="CE127" s="1664"/>
      <c r="CF127" s="1460">
        <f>+Z127/$BK127</f>
        <v>0.14405971416666791</v>
      </c>
      <c r="CG127" s="1460">
        <f>+AF127/$BK127</f>
        <v>8.6584115828880204E-2</v>
      </c>
      <c r="CH127" s="1460">
        <f>+AL127/$BK127</f>
        <v>4.8271010936190489E-2</v>
      </c>
      <c r="CI127" s="1460">
        <f>+AR127/$BK127</f>
        <v>-8.1193649626826042E-3</v>
      </c>
      <c r="CJ127" s="1460"/>
      <c r="CK127" s="1650">
        <f>+SUM(D127,W127,AC127,AI127)</f>
        <v>16502.186000000002</v>
      </c>
      <c r="CM127" s="1650">
        <f>+SUM(G127,Z127,AF127,AL127)</f>
        <v>1431.3810000000003</v>
      </c>
      <c r="CN127" s="493">
        <f>+CM127/CK127</f>
        <v>8.6738872050042354E-2</v>
      </c>
    </row>
    <row r="128" spans="1:92" hidden="1" outlineLevel="1">
      <c r="A128" s="1666"/>
      <c r="B128" s="1499"/>
      <c r="C128" s="1667"/>
      <c r="D128" s="1654"/>
      <c r="E128" s="1608"/>
      <c r="F128" s="1609"/>
      <c r="G128" s="1614" t="s">
        <v>618</v>
      </c>
      <c r="H128" s="1662"/>
      <c r="I128" s="1662">
        <f>AVERAGE(I127, I120, I113, I106, I99, I92, I85, I78, I71, I64, I57)</f>
        <v>9.4319158186214533</v>
      </c>
      <c r="J128" s="1765"/>
      <c r="K128" s="1610"/>
      <c r="L128" s="1608"/>
      <c r="M128" s="1609"/>
      <c r="N128" s="1499"/>
      <c r="O128" s="1662"/>
      <c r="P128" s="1609"/>
      <c r="Q128" s="1610"/>
      <c r="R128" s="1608"/>
      <c r="S128" s="1609"/>
      <c r="T128" s="1499"/>
      <c r="U128" s="1662"/>
      <c r="V128" s="1609"/>
      <c r="W128" s="1644"/>
      <c r="X128" s="1608"/>
      <c r="Y128" s="1609"/>
      <c r="Z128" s="1614" t="s">
        <v>618</v>
      </c>
      <c r="AA128" s="1662">
        <f>AVERAGE(AA127, AA120, AA113, AA106, AA99, AA92, AA85, AA78, AA71, AA64, AA57)</f>
        <v>9.5039322338383858</v>
      </c>
      <c r="AB128" s="1765"/>
      <c r="AC128" s="1614"/>
      <c r="AD128" s="1608"/>
      <c r="AE128" s="1609"/>
      <c r="AF128" s="1614" t="s">
        <v>618</v>
      </c>
      <c r="AG128" s="1662">
        <f>AVERAGE(AG127, AG120, AG113, AG106, AG99, AG92, AG85, AG78, AG71, AG64, AG57)</f>
        <v>3.0900683850693724</v>
      </c>
      <c r="AH128" s="1765"/>
      <c r="AI128" s="1614"/>
      <c r="AJ128" s="1608"/>
      <c r="AK128" s="1609"/>
      <c r="AL128" s="1614" t="s">
        <v>618</v>
      </c>
      <c r="AM128" s="1618">
        <f>AVERAGE(AM127, AM120, AM113, AM106, AM99, AM92, AM85, AM78, AM71)</f>
        <v>2.1209532714836135</v>
      </c>
      <c r="AN128" s="1609"/>
      <c r="AO128" s="1644"/>
      <c r="AP128" s="1608"/>
      <c r="AQ128" s="1609"/>
      <c r="AR128" s="1614" t="s">
        <v>618</v>
      </c>
      <c r="AS128" s="1618">
        <f>AVERAGE(AS127, AS120, AS113, AS106, AS99, AS92, AS85)</f>
        <v>-5.245392295091813</v>
      </c>
      <c r="AT128" s="1609"/>
      <c r="AU128" s="1609"/>
      <c r="AV128" s="1644"/>
      <c r="AW128" s="1608"/>
      <c r="AX128" s="1609"/>
      <c r="AY128" s="1614"/>
      <c r="AZ128" s="1618"/>
      <c r="BA128" s="1609"/>
      <c r="BB128" s="1621"/>
      <c r="BC128" s="1609"/>
      <c r="BD128" s="1614"/>
      <c r="BE128" s="1663"/>
      <c r="BF128" s="1608"/>
      <c r="BG128" s="1609"/>
      <c r="BH128" s="1614"/>
      <c r="BI128" s="1662"/>
      <c r="BJ128" s="1621"/>
      <c r="BK128" s="1614"/>
      <c r="BL128" s="1663"/>
      <c r="BM128" s="1618"/>
      <c r="BN128" s="1499"/>
      <c r="BO128" s="1655"/>
      <c r="BP128" s="1608"/>
      <c r="BQ128" s="1609"/>
      <c r="BR128" s="1614"/>
      <c r="BS128" s="1662"/>
      <c r="BT128" s="1499"/>
      <c r="BU128" s="1460"/>
      <c r="BV128" s="1664"/>
      <c r="BW128" s="1664"/>
      <c r="BX128" s="1460"/>
      <c r="BY128" s="1460"/>
      <c r="BZ128" s="1460"/>
      <c r="CA128" s="1460"/>
      <c r="CB128" s="1499"/>
      <c r="CC128" s="1460"/>
      <c r="CD128" s="1664"/>
      <c r="CE128" s="1664"/>
      <c r="CF128" s="1460"/>
      <c r="CG128" s="1460"/>
      <c r="CH128" s="1460"/>
      <c r="CI128" s="1460"/>
      <c r="CJ128" s="1460"/>
    </row>
    <row r="129" spans="1:92" hidden="1" outlineLevel="1">
      <c r="A129" s="2111">
        <f>+A122+1</f>
        <v>2007</v>
      </c>
      <c r="B129" s="2111"/>
      <c r="C129" s="467"/>
      <c r="D129" s="1603"/>
      <c r="E129" s="1088"/>
      <c r="F129" s="1088"/>
      <c r="G129" s="1661"/>
      <c r="H129" s="1604"/>
      <c r="I129" s="1499"/>
      <c r="J129" s="1764"/>
      <c r="K129" s="1605"/>
      <c r="L129" s="1605"/>
      <c r="M129" s="1605"/>
      <c r="N129" s="467"/>
      <c r="O129" s="467"/>
      <c r="P129" s="1605"/>
      <c r="Q129" s="1605"/>
      <c r="R129" s="1605"/>
      <c r="S129" s="1605"/>
      <c r="T129" s="467"/>
      <c r="U129" s="467"/>
      <c r="V129" s="1605"/>
      <c r="W129" s="1603"/>
      <c r="X129" s="1088"/>
      <c r="Y129" s="1088"/>
      <c r="Z129" s="1499"/>
      <c r="AA129" s="1499"/>
      <c r="AB129" s="1764"/>
      <c r="AC129" s="800"/>
      <c r="AD129" s="1088"/>
      <c r="AE129" s="1088"/>
      <c r="AF129" s="1499"/>
      <c r="AG129" s="1499"/>
      <c r="AH129" s="1764"/>
      <c r="AI129" s="800"/>
      <c r="AJ129" s="1088"/>
      <c r="AK129" s="1088"/>
      <c r="AL129" s="1499"/>
      <c r="AM129" s="1604"/>
      <c r="AN129" s="702"/>
      <c r="AO129" s="1603"/>
      <c r="AP129" s="1088"/>
      <c r="AQ129" s="1088"/>
      <c r="AR129" s="1499"/>
      <c r="AS129" s="1604"/>
      <c r="AT129" s="702"/>
      <c r="AU129" s="702"/>
      <c r="AV129" s="1603"/>
      <c r="AW129" s="1088"/>
      <c r="AX129" s="1088"/>
      <c r="AY129" s="1499"/>
      <c r="AZ129" s="1604"/>
      <c r="BA129" s="487"/>
      <c r="BB129" s="1499"/>
      <c r="BC129" s="1499"/>
      <c r="BD129" s="1499"/>
      <c r="BE129" s="1606"/>
      <c r="BF129" s="487"/>
      <c r="BG129" s="487"/>
      <c r="BH129" s="1499"/>
      <c r="BI129" s="1499"/>
      <c r="BJ129" s="1499"/>
      <c r="BK129" s="1499"/>
      <c r="BL129" s="1606"/>
      <c r="BM129" s="1604"/>
      <c r="BN129" s="467"/>
      <c r="BO129" s="800"/>
      <c r="BP129" s="1088"/>
      <c r="BQ129" s="1088"/>
      <c r="BR129" s="1499"/>
      <c r="BS129" s="467"/>
      <c r="BT129" s="467"/>
      <c r="BU129" s="467"/>
      <c r="BV129" s="467"/>
      <c r="BW129" s="467"/>
      <c r="BX129" s="467"/>
      <c r="BY129" s="467"/>
      <c r="BZ129" s="467"/>
      <c r="CA129" s="467"/>
      <c r="CB129" s="467"/>
      <c r="CC129" s="467"/>
      <c r="CD129" s="467"/>
      <c r="CE129" s="467"/>
      <c r="CF129" s="467"/>
      <c r="CG129" s="467"/>
      <c r="CH129" s="467"/>
      <c r="CI129" s="467"/>
      <c r="CJ129" s="467"/>
    </row>
    <row r="130" spans="1:92" hidden="1" outlineLevel="1">
      <c r="A130" s="467" t="str">
        <f>$A$11</f>
        <v>1Q</v>
      </c>
      <c r="B130" s="467" t="str">
        <f>$B$11</f>
        <v>Apr</v>
      </c>
      <c r="C130" s="467"/>
      <c r="D130" s="1607">
        <v>2729.4949999999999</v>
      </c>
      <c r="E130" s="1608">
        <f>+(D130/D123-1)*100</f>
        <v>3.128157231150297</v>
      </c>
      <c r="F130" s="1639">
        <v>0</v>
      </c>
      <c r="G130" s="1610">
        <v>272.60599999999999</v>
      </c>
      <c r="H130" s="1657">
        <f>+(G130/G123-1)*100</f>
        <v>1.1453737955394505</v>
      </c>
      <c r="I130" s="1662">
        <f>+G130/D130*100</f>
        <v>9.9874152544701502</v>
      </c>
      <c r="J130" s="1765"/>
      <c r="K130" s="1612"/>
      <c r="L130" s="1613"/>
      <c r="M130" s="1611"/>
      <c r="N130" s="467"/>
      <c r="O130" s="1620"/>
      <c r="P130" s="1611"/>
      <c r="Q130" s="1612"/>
      <c r="R130" s="1613"/>
      <c r="S130" s="1611"/>
      <c r="T130" s="467"/>
      <c r="U130" s="1620"/>
      <c r="V130" s="1611"/>
      <c r="W130" s="1607">
        <v>394.64600000000002</v>
      </c>
      <c r="X130" s="1608">
        <f>+(W130/W123-1)*100</f>
        <v>7.0052330468262758</v>
      </c>
      <c r="Y130" s="1639">
        <v>3</v>
      </c>
      <c r="Z130" s="1610">
        <v>26.800999999999998</v>
      </c>
      <c r="AA130" s="1662">
        <f>+Z130/W130*100</f>
        <v>6.7911495365466772</v>
      </c>
      <c r="AB130" s="1765"/>
      <c r="AC130" s="1610">
        <v>442.61900000000003</v>
      </c>
      <c r="AD130" s="1608">
        <f>+(AC130/AC123-1)*100</f>
        <v>26.708748425512429</v>
      </c>
      <c r="AE130" s="1639">
        <v>8</v>
      </c>
      <c r="AF130" s="1610">
        <v>4.6159999999999997</v>
      </c>
      <c r="AG130" s="1662">
        <f>+AF130/AC130*100</f>
        <v>1.0428833827738979</v>
      </c>
      <c r="AH130" s="1765"/>
      <c r="AI130" s="1610">
        <v>333.15600000000001</v>
      </c>
      <c r="AJ130" s="1608">
        <f>+(AI130/AI123-1)*100</f>
        <v>8.9343168798556185</v>
      </c>
      <c r="AK130" s="1639">
        <f>3</f>
        <v>3</v>
      </c>
      <c r="AL130" s="1610">
        <v>10.209</v>
      </c>
      <c r="AM130" s="1618">
        <f>+AL130/AI130*100</f>
        <v>3.0643302236789971</v>
      </c>
      <c r="AN130" s="1611"/>
      <c r="AO130" s="1607">
        <v>144.15700000000001</v>
      </c>
      <c r="AP130" s="1608">
        <f>+(AO130/AO123-1)*100</f>
        <v>5.0293616215192349</v>
      </c>
      <c r="AQ130" s="1639">
        <v>1</v>
      </c>
      <c r="AR130" s="1610">
        <v>-3.0329999999999999</v>
      </c>
      <c r="AS130" s="1618">
        <f>+AR130/AO130*100</f>
        <v>-2.1039561034150265</v>
      </c>
      <c r="AT130" s="1611"/>
      <c r="AU130" s="1611"/>
      <c r="AV130" s="1607">
        <v>64.007999999999996</v>
      </c>
      <c r="AW130" s="1608">
        <f>+(AV130/AV123-1)*100</f>
        <v>1.0578167924468529</v>
      </c>
      <c r="AX130" s="1639">
        <v>-1</v>
      </c>
      <c r="AY130" s="1610">
        <v>-6.569</v>
      </c>
      <c r="AZ130" s="1618">
        <f>+AY130/AV130*100</f>
        <v>-10.262779652543433</v>
      </c>
      <c r="BA130" s="1611"/>
      <c r="BB130" s="1665">
        <f>'qtrP&amp;L'!BV10</f>
        <v>4108.0810000000001</v>
      </c>
      <c r="BC130" s="1611">
        <f>'qtrP&amp;L'!BX$10</f>
        <v>2</v>
      </c>
      <c r="BD130" s="1627">
        <f>+D130+W130+AC130+AI130+AO130+AV130</f>
        <v>4108.0810000000001</v>
      </c>
      <c r="BE130" s="1638" t="str">
        <f>IF(BB130=BD130,"y","n")</f>
        <v>y</v>
      </c>
      <c r="BF130" s="1613">
        <f>+(BD130/BD123-1)*100</f>
        <v>6.1175236150747825</v>
      </c>
      <c r="BG130" s="1637">
        <v>2</v>
      </c>
      <c r="BH130" s="1614">
        <f>'qtrP&amp;L'!$BV61</f>
        <v>288.13400000000013</v>
      </c>
      <c r="BI130" s="1620">
        <f>+BH130/BB130*100</f>
        <v>7.0138344399733139</v>
      </c>
      <c r="BJ130" s="1610">
        <f>23.041+20</f>
        <v>43.040999999999997</v>
      </c>
      <c r="BK130" s="1614">
        <f>+G130+Z130+AF130+AL130+AR130+AY130-BJ130+20.004</f>
        <v>281.59299999999996</v>
      </c>
      <c r="BL130" s="1638" t="str">
        <f>IF(BH130=BK130,"y","n")</f>
        <v>n</v>
      </c>
      <c r="BM130" s="1618">
        <f>+BK130/BD130*100</f>
        <v>6.8546116787862736</v>
      </c>
      <c r="BN130" s="467"/>
      <c r="BO130" s="1610"/>
      <c r="BP130" s="1608"/>
      <c r="BQ130" s="1639"/>
      <c r="BR130" s="1610"/>
      <c r="BS130" s="1620"/>
      <c r="BT130" s="467"/>
      <c r="BU130" s="1422">
        <f>+D130/$BD130</f>
        <v>0.66442093035653382</v>
      </c>
      <c r="BV130" s="1628"/>
      <c r="BW130" s="1628"/>
      <c r="BX130" s="1422">
        <f>+W130/$BD130</f>
        <v>9.6065778644578825E-2</v>
      </c>
      <c r="BY130" s="1422">
        <f>+AC130/BD130</f>
        <v>0.10774349386002857</v>
      </c>
      <c r="BZ130" s="1422">
        <f>+AI130/BD130</f>
        <v>8.1097719348766487E-2</v>
      </c>
      <c r="CA130" s="1422">
        <f>+AO130/BD130</f>
        <v>3.5091080239167634E-2</v>
      </c>
      <c r="CB130" s="467"/>
      <c r="CC130" s="1422">
        <f>+G130/$BK130</f>
        <v>0.96808514416196434</v>
      </c>
      <c r="CD130" s="1628"/>
      <c r="CE130" s="1628"/>
      <c r="CF130" s="1422">
        <f>+Z130/$BK130</f>
        <v>9.5176371571736515E-2</v>
      </c>
      <c r="CG130" s="1422">
        <f>+AF130/$BK130</f>
        <v>1.6392452937395462E-2</v>
      </c>
      <c r="CH130" s="1422">
        <f>+AL130/$BK130</f>
        <v>3.6254452347892173E-2</v>
      </c>
      <c r="CI130" s="1422">
        <f>+AR130/$BK130</f>
        <v>-1.0770864332565086E-2</v>
      </c>
      <c r="CJ130" s="1422"/>
      <c r="CK130" s="1650">
        <f>+SUM(D130,W130,AC130,AI130)</f>
        <v>3899.9160000000002</v>
      </c>
      <c r="CM130" s="1650">
        <f>+SUM(G130,Z130,AF130,AL130)</f>
        <v>314.23199999999997</v>
      </c>
      <c r="CN130" s="493">
        <f>+CM130/CK130</f>
        <v>8.0574043133236711E-2</v>
      </c>
    </row>
    <row r="131" spans="1:92" hidden="1" outlineLevel="1">
      <c r="A131" s="467" t="str">
        <f>$A$12</f>
        <v>2Q</v>
      </c>
      <c r="B131" s="467" t="str">
        <f>$B$12</f>
        <v>Jul</v>
      </c>
      <c r="C131" s="1668"/>
      <c r="D131" s="1616">
        <v>2815.636</v>
      </c>
      <c r="E131" s="1608">
        <f>+(D131/D124-1)*100</f>
        <v>5.9105820079947247</v>
      </c>
      <c r="F131" s="1639">
        <v>3</v>
      </c>
      <c r="G131" s="1617">
        <v>252.023</v>
      </c>
      <c r="H131" s="1657">
        <f>+(G131/G124-1)*100</f>
        <v>21.010731519938552</v>
      </c>
      <c r="I131" s="1662">
        <f>+G131/D131*100</f>
        <v>8.9508373951746592</v>
      </c>
      <c r="J131" s="1765"/>
      <c r="K131" s="1619"/>
      <c r="L131" s="1613"/>
      <c r="M131" s="1611"/>
      <c r="N131" s="467"/>
      <c r="O131" s="1652"/>
      <c r="P131" s="1611"/>
      <c r="Q131" s="1619"/>
      <c r="R131" s="1613"/>
      <c r="S131" s="1611"/>
      <c r="T131" s="467"/>
      <c r="U131" s="1652"/>
      <c r="V131" s="1611"/>
      <c r="W131" s="1616">
        <v>466.15800000000002</v>
      </c>
      <c r="X131" s="1608">
        <f>+(W131/W124-1)*100</f>
        <v>16.383546048295283</v>
      </c>
      <c r="Y131" s="1639">
        <v>7</v>
      </c>
      <c r="Z131" s="1617">
        <v>47.59</v>
      </c>
      <c r="AA131" s="1662">
        <f>+Z131/W131*100</f>
        <v>10.208984936437862</v>
      </c>
      <c r="AB131" s="1765"/>
      <c r="AC131" s="1617">
        <v>484.48899999999998</v>
      </c>
      <c r="AD131" s="1608">
        <f>+(AC131/AC124-1)*100</f>
        <v>19.497089581689032</v>
      </c>
      <c r="AE131" s="1639">
        <v>7</v>
      </c>
      <c r="AF131" s="1617">
        <v>16.21</v>
      </c>
      <c r="AG131" s="1662">
        <f>+AF131/AC131*100</f>
        <v>3.3457931965431618</v>
      </c>
      <c r="AH131" s="1765"/>
      <c r="AI131" s="1617">
        <v>327.25</v>
      </c>
      <c r="AJ131" s="1608">
        <f>+(AI131/AI124-1)*100</f>
        <v>8.5957384676137458</v>
      </c>
      <c r="AK131" s="1639">
        <v>5</v>
      </c>
      <c r="AL131" s="1617">
        <v>8.8770000000000007</v>
      </c>
      <c r="AM131" s="1618">
        <f>+AL131/AI131*100</f>
        <v>2.7126050420168069</v>
      </c>
      <c r="AN131" s="1611"/>
      <c r="AO131" s="1616">
        <v>148.52600000000001</v>
      </c>
      <c r="AP131" s="1608">
        <f>+(AO131/AO124-1)*100</f>
        <v>11.262098103257134</v>
      </c>
      <c r="AQ131" s="1639">
        <v>6</v>
      </c>
      <c r="AR131" s="1641">
        <v>-1.663</v>
      </c>
      <c r="AS131" s="1618">
        <f>+AR131/AO131*100</f>
        <v>-1.1196692834924524</v>
      </c>
      <c r="AT131" s="1611"/>
      <c r="AU131" s="1611"/>
      <c r="AV131" s="1616">
        <v>71.239000000000004</v>
      </c>
      <c r="AW131" s="1608">
        <f>+(AV131/AV124-1)*100</f>
        <v>10.721002160364336</v>
      </c>
      <c r="AX131" s="1639">
        <v>10</v>
      </c>
      <c r="AY131" s="1658">
        <v>-3.476</v>
      </c>
      <c r="AZ131" s="1618">
        <f>+AY131/AV131*100</f>
        <v>-4.8793497943542157</v>
      </c>
      <c r="BA131" s="1611"/>
      <c r="BB131" s="1621">
        <f>'qtrP&amp;L'!BV11</f>
        <v>4313.2979999999998</v>
      </c>
      <c r="BC131" s="1611">
        <f>'qtrP&amp;L'!BX$11</f>
        <v>5</v>
      </c>
      <c r="BD131" s="1621">
        <f>+D131+W131+AC131+AI131+AO131+AV131</f>
        <v>4313.2979999999998</v>
      </c>
      <c r="BE131" s="1638" t="str">
        <f>IF(BB131=BD131,"y","n")</f>
        <v>y</v>
      </c>
      <c r="BF131" s="1613">
        <f>+(BD131/BD124-1)*100</f>
        <v>8.821117053712225</v>
      </c>
      <c r="BG131" s="1637">
        <v>5</v>
      </c>
      <c r="BH131" s="1621">
        <f>'qtrP&amp;L'!$BV62</f>
        <v>290.04999999999961</v>
      </c>
      <c r="BI131" s="1620">
        <f>+BH131/BB131*100</f>
        <v>6.7245527668155463</v>
      </c>
      <c r="BJ131" s="1617">
        <f>33.011+195.918</f>
        <v>228.929</v>
      </c>
      <c r="BK131" s="1621">
        <f>+G131+Z131+AF131+AL131+AR131+AY131-BJ131+195.918</f>
        <v>286.54999999999995</v>
      </c>
      <c r="BL131" s="1638" t="str">
        <f>IF(ROUND(BH131,1)=ROUND(BK131,1),"y","n")</f>
        <v>n</v>
      </c>
      <c r="BM131" s="1618">
        <f>+BK131/BD131*100</f>
        <v>6.6434083617686506</v>
      </c>
      <c r="BN131" s="467"/>
      <c r="BO131" s="1621"/>
      <c r="BP131" s="1608"/>
      <c r="BQ131" s="1653"/>
      <c r="BR131" s="1621"/>
      <c r="BS131" s="1652"/>
      <c r="BT131" s="467"/>
      <c r="BU131" s="1422">
        <f>+D131/$BD131</f>
        <v>0.65278030871041137</v>
      </c>
      <c r="BV131" s="1628"/>
      <c r="BW131" s="1628"/>
      <c r="BX131" s="1422">
        <f>+W131/$BD131</f>
        <v>0.10807461019387023</v>
      </c>
      <c r="BY131" s="1422">
        <f>+AC131/BD131</f>
        <v>0.11232449044791248</v>
      </c>
      <c r="BZ131" s="1422">
        <f>+AI131/BD131</f>
        <v>7.5870018718855042E-2</v>
      </c>
      <c r="CA131" s="1422">
        <f>+AO131/BD131</f>
        <v>3.4434439725704091E-2</v>
      </c>
      <c r="CB131" s="467"/>
      <c r="CC131" s="1422">
        <f>+G131/$BK131</f>
        <v>0.87950793927761306</v>
      </c>
      <c r="CD131" s="1628"/>
      <c r="CE131" s="1628"/>
      <c r="CF131" s="1422">
        <f>+Z131/$BK131</f>
        <v>0.16607921828651198</v>
      </c>
      <c r="CG131" s="1422">
        <f>+AF131/$BK131</f>
        <v>5.6569534112720303E-2</v>
      </c>
      <c r="CH131" s="1422">
        <f>+AL131/$BK131</f>
        <v>3.097888675623801E-2</v>
      </c>
      <c r="CI131" s="1422">
        <f>+AR131/$BK131</f>
        <v>-5.8035246902809296E-3</v>
      </c>
      <c r="CJ131" s="1422"/>
      <c r="CK131" s="1650">
        <f>+SUM(D131,W131,AC131,AI131)</f>
        <v>4093.5329999999999</v>
      </c>
      <c r="CM131" s="1650">
        <f>+SUM(G131,Z131,AF131,AL131)</f>
        <v>324.7</v>
      </c>
      <c r="CN131" s="493">
        <f>+CM131/CK131</f>
        <v>7.9320235112310081E-2</v>
      </c>
    </row>
    <row r="132" spans="1:92" hidden="1" outlineLevel="1">
      <c r="A132" s="467" t="str">
        <f>$A$13</f>
        <v>3Q</v>
      </c>
      <c r="B132" s="467" t="str">
        <f>$B$13</f>
        <v>Oct</v>
      </c>
      <c r="C132" s="1669"/>
      <c r="D132" s="1616">
        <v>3008.8420000000001</v>
      </c>
      <c r="E132" s="1608">
        <f>+(D132/D125-1)*100</f>
        <v>2.0948007977996008</v>
      </c>
      <c r="F132" s="1639">
        <v>-1</v>
      </c>
      <c r="G132" s="1617">
        <v>309.41300000000001</v>
      </c>
      <c r="H132" s="1657">
        <f>+(G132/G125-1)*100</f>
        <v>-1.3977099990758357</v>
      </c>
      <c r="I132" s="1662">
        <f>+G132/D132*100</f>
        <v>10.283457888450108</v>
      </c>
      <c r="J132" s="1765"/>
      <c r="K132" s="1619"/>
      <c r="L132" s="1613"/>
      <c r="M132" s="1611"/>
      <c r="N132" s="467"/>
      <c r="O132" s="1652"/>
      <c r="P132" s="1611"/>
      <c r="Q132" s="1619"/>
      <c r="R132" s="1613"/>
      <c r="S132" s="1611"/>
      <c r="T132" s="467"/>
      <c r="U132" s="1652"/>
      <c r="V132" s="1611"/>
      <c r="W132" s="1616">
        <v>558.90300000000002</v>
      </c>
      <c r="X132" s="1608">
        <f>+(W132/W125-1)*100</f>
        <v>17.088453787075728</v>
      </c>
      <c r="Y132" s="1639">
        <v>5</v>
      </c>
      <c r="Z132" s="1617">
        <v>68.492999999999995</v>
      </c>
      <c r="AA132" s="1662">
        <f>+Z132/W132*100</f>
        <v>12.254899329579549</v>
      </c>
      <c r="AB132" s="1765"/>
      <c r="AC132" s="1617">
        <v>567.92399999999998</v>
      </c>
      <c r="AD132" s="1608">
        <f>+(AC132/AC125-1)*100</f>
        <v>18.039369735061772</v>
      </c>
      <c r="AE132" s="1639">
        <v>6</v>
      </c>
      <c r="AF132" s="1617">
        <v>39.883000000000003</v>
      </c>
      <c r="AG132" s="1662">
        <f>+AF132/AC132*100</f>
        <v>7.0225945725132242</v>
      </c>
      <c r="AH132" s="1765"/>
      <c r="AI132" s="1617">
        <v>371.77499999999998</v>
      </c>
      <c r="AJ132" s="1608">
        <f>+(AI132/AI125-1)*100</f>
        <v>10.656542807138681</v>
      </c>
      <c r="AK132" s="1639">
        <v>4</v>
      </c>
      <c r="AL132" s="1617">
        <v>25.088000000000001</v>
      </c>
      <c r="AM132" s="1618">
        <f>+AL132/AI132*100</f>
        <v>6.7481675744738085</v>
      </c>
      <c r="AN132" s="1611"/>
      <c r="AO132" s="1616">
        <v>151.274</v>
      </c>
      <c r="AP132" s="1608">
        <f>+(AO132/AO125-1)*100</f>
        <v>1.8686994525215717</v>
      </c>
      <c r="AQ132" s="1639">
        <v>0</v>
      </c>
      <c r="AR132" s="1641">
        <v>-2.2719999999999998</v>
      </c>
      <c r="AS132" s="1618">
        <f>+AR132/AO132*100</f>
        <v>-1.50191044065735</v>
      </c>
      <c r="AT132" s="1611"/>
      <c r="AU132" s="1611"/>
      <c r="AV132" s="1616">
        <v>78.772999999999996</v>
      </c>
      <c r="AW132" s="1608">
        <f>+(AV132/AV125-1)*100</f>
        <v>-4.9794332999601902</v>
      </c>
      <c r="AX132" s="1639">
        <v>-2</v>
      </c>
      <c r="AY132" s="1658">
        <v>-2.9329999999999998</v>
      </c>
      <c r="AZ132" s="1618">
        <f>+AY132/AV132*100</f>
        <v>-3.7233569878003885</v>
      </c>
      <c r="BA132" s="1611"/>
      <c r="BB132" s="1621">
        <f>'qtrP&amp;L'!BV12</f>
        <v>4658.7179999999998</v>
      </c>
      <c r="BC132" s="1611">
        <f>'qtrP&amp;L'!BX$12</f>
        <v>3</v>
      </c>
      <c r="BD132" s="1670">
        <f>+D132+W132+AC132+AI132+AO132</f>
        <v>4658.7179999999998</v>
      </c>
      <c r="BE132" s="1638" t="str">
        <f>IF(ROUND(BB132,2)=ROUND(BD132,2),"y","n")</f>
        <v>y</v>
      </c>
      <c r="BF132" s="1613">
        <f>+(BD132/BD125-1)*100</f>
        <v>4.1533057765323678</v>
      </c>
      <c r="BG132" s="1637">
        <v>3</v>
      </c>
      <c r="BH132" s="1621">
        <f>'qtrP&amp;L'!$BV63</f>
        <v>406.37399999999991</v>
      </c>
      <c r="BI132" s="1620">
        <f>+BH132/BB132*100</f>
        <v>8.7228718286876319</v>
      </c>
      <c r="BJ132" s="1617">
        <v>34.231000000000002</v>
      </c>
      <c r="BK132" s="1621">
        <f>+G132+Z132+AF132+AL132+AR132+AY132-BJ132</f>
        <v>403.44100000000003</v>
      </c>
      <c r="BL132" s="1638" t="str">
        <f>IF(ROUND(BH132,1)=ROUND(BK132,1),"y","n")</f>
        <v>n</v>
      </c>
      <c r="BM132" s="1618">
        <f>+BK132/BD132*100</f>
        <v>8.6599145945300844</v>
      </c>
      <c r="BN132" s="467"/>
      <c r="BO132" s="1621"/>
      <c r="BP132" s="1608"/>
      <c r="BQ132" s="1609"/>
      <c r="BR132" s="1621"/>
      <c r="BS132" s="1652"/>
      <c r="BT132" s="467"/>
      <c r="BU132" s="1422">
        <f>+D132/$BD132</f>
        <v>0.64585192750451947</v>
      </c>
      <c r="BV132" s="1628"/>
      <c r="BW132" s="1628"/>
      <c r="BX132" s="1422">
        <f>+W132/$BD132</f>
        <v>0.11996927051605184</v>
      </c>
      <c r="BY132" s="1422">
        <f>+AC132/BD132</f>
        <v>0.12190564013533337</v>
      </c>
      <c r="BZ132" s="1422">
        <f>+AI132/BD132</f>
        <v>7.980199703008424E-2</v>
      </c>
      <c r="CA132" s="1422">
        <f>+AO132/BD132</f>
        <v>3.2471164814011064E-2</v>
      </c>
      <c r="CB132" s="467"/>
      <c r="CC132" s="1422">
        <f>+G132/$BK132</f>
        <v>0.76693494216006797</v>
      </c>
      <c r="CD132" s="1628"/>
      <c r="CE132" s="1628"/>
      <c r="CF132" s="1422">
        <f>+Z132/$BK132</f>
        <v>0.16977203605979557</v>
      </c>
      <c r="CG132" s="1422">
        <f>+AF132/$BK132</f>
        <v>9.8857081952503589E-2</v>
      </c>
      <c r="CH132" s="1422">
        <f>+AL132/$BK132</f>
        <v>6.2185053080871799E-2</v>
      </c>
      <c r="CI132" s="1422">
        <f>+AR132/$BK132</f>
        <v>-5.6315545519667054E-3</v>
      </c>
      <c r="CJ132" s="1422"/>
      <c r="CK132" s="1650">
        <f>+SUM(D132,W132,AC132,AI132)</f>
        <v>4507.4439999999995</v>
      </c>
      <c r="CM132" s="1650">
        <f>+SUM(G132,Z132,AF132,AL132)</f>
        <v>442.87700000000001</v>
      </c>
      <c r="CN132" s="493">
        <f>+CM132/CK132</f>
        <v>9.8254576207713301E-2</v>
      </c>
    </row>
    <row r="133" spans="1:92" hidden="1" outlineLevel="1">
      <c r="A133" s="467" t="str">
        <f>$A$14</f>
        <v>4Q</v>
      </c>
      <c r="B133" s="467" t="str">
        <f>$B$14</f>
        <v>Jan</v>
      </c>
      <c r="C133" s="1669"/>
      <c r="D133" s="1623">
        <v>3412.6779999999999</v>
      </c>
      <c r="E133" s="1608">
        <f>+(D133/D126-1)*100</f>
        <v>4.0617489268095941</v>
      </c>
      <c r="F133" s="1639">
        <v>1</v>
      </c>
      <c r="G133" s="1624">
        <v>324.137</v>
      </c>
      <c r="H133" s="1657">
        <f>+(G133/G126-1)*100</f>
        <v>12.668061677071307</v>
      </c>
      <c r="I133" s="1662">
        <f>+G133/D133*100</f>
        <v>9.4980247184176179</v>
      </c>
      <c r="J133" s="1765"/>
      <c r="K133" s="1624"/>
      <c r="L133" s="1613"/>
      <c r="M133" s="1611"/>
      <c r="N133" s="467"/>
      <c r="O133" s="1652"/>
      <c r="P133" s="1611"/>
      <c r="Q133" s="1624"/>
      <c r="R133" s="1613"/>
      <c r="S133" s="1611"/>
      <c r="T133" s="467"/>
      <c r="U133" s="1652"/>
      <c r="V133" s="1611"/>
      <c r="W133" s="1623">
        <v>621.10699999999997</v>
      </c>
      <c r="X133" s="1608">
        <f>+(W133/W126-1)*100</f>
        <v>25.700645192626826</v>
      </c>
      <c r="Y133" s="1639">
        <v>5</v>
      </c>
      <c r="Z133" s="1624">
        <v>92.244</v>
      </c>
      <c r="AA133" s="1662">
        <f>+Z133/W133*100</f>
        <v>14.851547317933948</v>
      </c>
      <c r="AB133" s="1765"/>
      <c r="AC133" s="1624">
        <v>721.18600000000004</v>
      </c>
      <c r="AD133" s="1608">
        <f>+(AC133/AC126-1)*100</f>
        <v>14.726913782927763</v>
      </c>
      <c r="AE133" s="1639">
        <v>5</v>
      </c>
      <c r="AF133" s="1624">
        <v>66.509</v>
      </c>
      <c r="AG133" s="1662">
        <f>+AF133/AC133*100</f>
        <v>9.2221701475070219</v>
      </c>
      <c r="AH133" s="1765"/>
      <c r="AI133" s="1624">
        <v>448.20100000000002</v>
      </c>
      <c r="AJ133" s="1608">
        <f>+(AI133/AI126-1)*100</f>
        <v>6.220849764902181</v>
      </c>
      <c r="AK133" s="1639">
        <v>0</v>
      </c>
      <c r="AL133" s="1624">
        <v>32.049999999999997</v>
      </c>
      <c r="AM133" s="1618">
        <f>+AL133/AI133*100</f>
        <v>7.1508095698135419</v>
      </c>
      <c r="AN133" s="1611"/>
      <c r="AO133" s="1623">
        <v>188.70400000000001</v>
      </c>
      <c r="AP133" s="1608">
        <f>+(AO133/AO126-1)*100</f>
        <v>3.3530139882354204</v>
      </c>
      <c r="AQ133" s="1639">
        <v>1</v>
      </c>
      <c r="AR133" s="1624">
        <v>5.1669999999999998</v>
      </c>
      <c r="AS133" s="1618">
        <f>+AR133/AO133*100</f>
        <v>2.7381507546209933</v>
      </c>
      <c r="AT133" s="1611"/>
      <c r="AU133" s="1611"/>
      <c r="AV133" s="1623">
        <v>96.38</v>
      </c>
      <c r="AW133" s="1608">
        <f>+(AV133/AV126-1)*100</f>
        <v>7.0365599040469018</v>
      </c>
      <c r="AX133" s="1639">
        <v>10</v>
      </c>
      <c r="AY133" s="1659">
        <f>-4.42</f>
        <v>-4.42</v>
      </c>
      <c r="AZ133" s="1618">
        <f>+AY133/AV133*100</f>
        <v>-4.5860136957875079</v>
      </c>
      <c r="BA133" s="1611"/>
      <c r="BB133" s="1625">
        <f>'qtrP&amp;L'!BV13</f>
        <v>5391.8760000000002</v>
      </c>
      <c r="BC133" s="1611">
        <f>'qtrP&amp;L'!BX$13</f>
        <v>4</v>
      </c>
      <c r="BD133" s="1671">
        <f>+D133+W133+AC133+AI133+AO133+AV133</f>
        <v>5488.2559999999994</v>
      </c>
      <c r="BE133" s="1638" t="str">
        <f>IF(ROUND(BB133,2)=ROUND(BD133,2),"y","n")</f>
        <v>n</v>
      </c>
      <c r="BF133" s="1613">
        <f>+(BD133/BD126-1)*100</f>
        <v>7.6808706047485797</v>
      </c>
      <c r="BG133" s="1637">
        <v>4</v>
      </c>
      <c r="BH133" s="1625">
        <f>'qtrP&amp;L'!$BV64</f>
        <v>470.9530000000002</v>
      </c>
      <c r="BI133" s="1643">
        <f>+BH133/BB133*100</f>
        <v>8.7344924104337753</v>
      </c>
      <c r="BJ133" s="1624">
        <v>49.154000000000003</v>
      </c>
      <c r="BK133" s="1625">
        <f>+G133+Z133+AF133+AL133+AR133+AY133-BJ133</f>
        <v>466.53300000000002</v>
      </c>
      <c r="BL133" s="1638" t="str">
        <f>IF(ROUND(BH133,1)=ROUND(BK133,1),"y","n")</f>
        <v>n</v>
      </c>
      <c r="BM133" s="1618">
        <f>+BK133/BD133*100</f>
        <v>8.5005692154301862</v>
      </c>
      <c r="BN133" s="467"/>
      <c r="BO133" s="1621"/>
      <c r="BP133" s="1608"/>
      <c r="BQ133" s="1609"/>
      <c r="BR133" s="1621"/>
      <c r="BS133" s="1652"/>
      <c r="BT133" s="467"/>
      <c r="BU133" s="1422">
        <f>+D133/$BD133</f>
        <v>0.62181465296079486</v>
      </c>
      <c r="BV133" s="1628"/>
      <c r="BW133" s="1628"/>
      <c r="BX133" s="1422">
        <f>+W133/$BD133</f>
        <v>0.11317019468479605</v>
      </c>
      <c r="BY133" s="1422">
        <f>+AC133/BD133</f>
        <v>0.13140531345476597</v>
      </c>
      <c r="BZ133" s="1422">
        <f>+AI133/BD133</f>
        <v>8.1665468957716272E-2</v>
      </c>
      <c r="CA133" s="1422">
        <f>+AO133/BD133</f>
        <v>3.4383235767427765E-2</v>
      </c>
      <c r="CB133" s="467"/>
      <c r="CC133" s="1422">
        <f>+G133/$BK133</f>
        <v>0.69477829006736924</v>
      </c>
      <c r="CD133" s="1628"/>
      <c r="CE133" s="1628"/>
      <c r="CF133" s="1422">
        <f>+Z133/$BK133</f>
        <v>0.19772234761528124</v>
      </c>
      <c r="CG133" s="1422">
        <f>+AF133/$BK133</f>
        <v>0.14256011900551516</v>
      </c>
      <c r="CH133" s="1422">
        <f>+AL133/$BK133</f>
        <v>6.8698248569768902E-2</v>
      </c>
      <c r="CI133" s="1422">
        <f>+AR133/$BK133</f>
        <v>1.1075315143837626E-2</v>
      </c>
      <c r="CJ133" s="1422"/>
      <c r="CK133" s="1650">
        <f>+SUM(D133,W133,AC133,AI133)</f>
        <v>5203.1719999999996</v>
      </c>
      <c r="CM133" s="1650">
        <f>+SUM(G133,Z133,AF133,AL133)</f>
        <v>514.93999999999994</v>
      </c>
      <c r="CN133" s="493">
        <f>+CM133/CK133</f>
        <v>9.8966553479300695E-2</v>
      </c>
    </row>
    <row r="134" spans="1:92" hidden="1" outlineLevel="1">
      <c r="A134" s="1499"/>
      <c r="B134" s="1499" t="str">
        <f>$B$15</f>
        <v>Year</v>
      </c>
      <c r="C134" s="1499"/>
      <c r="D134" s="1654">
        <f>+SUM(D130:D133)</f>
        <v>11966.651</v>
      </c>
      <c r="E134" s="1608">
        <f>+(D134/D127-1)*100</f>
        <v>3.7710207049472366</v>
      </c>
      <c r="F134" s="1639">
        <v>1</v>
      </c>
      <c r="G134" s="1614">
        <f>+SUM(G130:G133)</f>
        <v>1158.1790000000001</v>
      </c>
      <c r="H134" s="1618">
        <f>+(G134/G127-1)*100</f>
        <v>7.3108336614857272</v>
      </c>
      <c r="I134" s="1662">
        <f>+G134/D134*100</f>
        <v>9.6783887154392669</v>
      </c>
      <c r="J134" s="1765"/>
      <c r="K134" s="1610"/>
      <c r="L134" s="1608"/>
      <c r="M134" s="1609"/>
      <c r="N134" s="1499"/>
      <c r="O134" s="1662"/>
      <c r="P134" s="1609"/>
      <c r="Q134" s="1610"/>
      <c r="R134" s="1608"/>
      <c r="S134" s="1609"/>
      <c r="T134" s="1499"/>
      <c r="U134" s="1662"/>
      <c r="V134" s="1609"/>
      <c r="W134" s="1644">
        <f>+SUM(W130:W133)</f>
        <v>2040.8140000000001</v>
      </c>
      <c r="X134" s="1608">
        <f>+(W134/W127-1)*100</f>
        <v>17.234529491106375</v>
      </c>
      <c r="Y134" s="1639">
        <v>5</v>
      </c>
      <c r="Z134" s="1614">
        <f>+SUM(Z130:Z133)</f>
        <v>235.12800000000001</v>
      </c>
      <c r="AA134" s="1662">
        <f>+Z134/W134*100</f>
        <v>11.521285134265053</v>
      </c>
      <c r="AB134" s="1765"/>
      <c r="AC134" s="1614">
        <f>+SUM(AC130:AC133)</f>
        <v>2216.2179999999998</v>
      </c>
      <c r="AD134" s="1608">
        <f>+(AC134/AC127-1)*100</f>
        <v>18.863803846818072</v>
      </c>
      <c r="AE134" s="1639">
        <v>6</v>
      </c>
      <c r="AF134" s="1614">
        <f>+SUM(AF130:AF133)</f>
        <v>127.218</v>
      </c>
      <c r="AG134" s="1662">
        <f>+AF134/AC134*100</f>
        <v>5.7403197699865274</v>
      </c>
      <c r="AH134" s="1765"/>
      <c r="AI134" s="1614">
        <f>+SUM(AI130:AI133)</f>
        <v>1480.3820000000001</v>
      </c>
      <c r="AJ134" s="1608">
        <f>+(AI134/AI127-1)*100</f>
        <v>8.4447107654147757</v>
      </c>
      <c r="AK134" s="1639">
        <v>3</v>
      </c>
      <c r="AL134" s="1614">
        <f>+SUM(AL130:AL133)</f>
        <v>76.22399999999999</v>
      </c>
      <c r="AM134" s="1618">
        <f>+AL134/AI134*100</f>
        <v>5.1489412867759796</v>
      </c>
      <c r="AN134" s="1609"/>
      <c r="AO134" s="1644">
        <f>+SUM(AO130:AO133)</f>
        <v>632.66100000000006</v>
      </c>
      <c r="AP134" s="1608">
        <f>+(AO134/AO127-1)*100</f>
        <v>5.1233992492859315</v>
      </c>
      <c r="AQ134" s="1639">
        <v>2</v>
      </c>
      <c r="AR134" s="1614">
        <f>+SUM(AR130:AR133)</f>
        <v>-1.8010000000000002</v>
      </c>
      <c r="AS134" s="1618">
        <f>+AR134/AO134*100</f>
        <v>-0.28467062139123478</v>
      </c>
      <c r="AT134" s="1609"/>
      <c r="AU134" s="1609"/>
      <c r="AV134" s="1644">
        <f>+SUM(AV130:AV133)</f>
        <v>310.39999999999998</v>
      </c>
      <c r="AW134" s="1608">
        <f>+(AV134/AV127-1)*100</f>
        <v>3.2519027090318842</v>
      </c>
      <c r="AX134" s="1639">
        <v>5</v>
      </c>
      <c r="AY134" s="1614">
        <f>+SUM(AY130:AY133)</f>
        <v>-17.398</v>
      </c>
      <c r="AZ134" s="1618">
        <f>+AY134/AV134*100</f>
        <v>-5.6050257731958766</v>
      </c>
      <c r="BA134" s="1609"/>
      <c r="BB134" s="1621">
        <f>'qtrP&amp;L'!BV14</f>
        <v>18471.973000000002</v>
      </c>
      <c r="BC134" s="1609">
        <f>'qtrP&amp;L'!BX$14</f>
        <v>2</v>
      </c>
      <c r="BD134" s="1614">
        <f>+D134+W134+AC134+AI134+AO134+AV134</f>
        <v>18647.126000000004</v>
      </c>
      <c r="BE134" s="1663" t="str">
        <f>IF(BB134=BD134,"y","n")</f>
        <v>n</v>
      </c>
      <c r="BF134" s="1608">
        <f>+(BD134/BD127-1)*100</f>
        <v>7.1388389197660551</v>
      </c>
      <c r="BG134" s="1639">
        <v>4</v>
      </c>
      <c r="BH134" s="1614">
        <f>'qtrP&amp;L'!$BV65</f>
        <v>1455.511</v>
      </c>
      <c r="BI134" s="1662">
        <f>+BH134/BB134*100</f>
        <v>7.8795643540622313</v>
      </c>
      <c r="BJ134" s="1621">
        <f>SUM(BJ130:BJ133)</f>
        <v>355.35500000000002</v>
      </c>
      <c r="BK134" s="1614">
        <f>+G134+Z134+AF134+AL134+AR134+AY134-BJ134+195.918+20.004</f>
        <v>1438.1170000000002</v>
      </c>
      <c r="BL134" s="1638" t="str">
        <f>IF(ROUND(BH134,1)=ROUND(BK134,1),"y","n")</f>
        <v>n</v>
      </c>
      <c r="BM134" s="1618">
        <f>+BK134/BD134*100</f>
        <v>7.7122715854443191</v>
      </c>
      <c r="BN134" s="1499"/>
      <c r="BO134" s="1655"/>
      <c r="BP134" s="1608"/>
      <c r="BQ134" s="1609"/>
      <c r="BR134" s="1614"/>
      <c r="BS134" s="1662"/>
      <c r="BT134" s="1499"/>
      <c r="BU134" s="1460">
        <f>+D134/$BD134</f>
        <v>0.64174237895963149</v>
      </c>
      <c r="BV134" s="1664"/>
      <c r="BW134" s="1664"/>
      <c r="BX134" s="1460">
        <f>+W134/$BD134</f>
        <v>0.10944388963747012</v>
      </c>
      <c r="BY134" s="1460">
        <f>+AC134/BD134</f>
        <v>0.11885037940967415</v>
      </c>
      <c r="BZ134" s="1460">
        <f>+AI134/BD134</f>
        <v>7.9389284976140548E-2</v>
      </c>
      <c r="CA134" s="1460">
        <f>+AO134/BD134</f>
        <v>3.3928070202346457E-2</v>
      </c>
      <c r="CB134" s="1499"/>
      <c r="CC134" s="1460">
        <f>+G134/$BK134</f>
        <v>0.80534407144898501</v>
      </c>
      <c r="CD134" s="1664"/>
      <c r="CE134" s="1664"/>
      <c r="CF134" s="1460">
        <f>+Z134/$BK134</f>
        <v>0.16349712853682974</v>
      </c>
      <c r="CG134" s="1460">
        <f>+AF134/$BK134</f>
        <v>8.8461509042727385E-2</v>
      </c>
      <c r="CH134" s="1460">
        <f>+AL134/$BK134</f>
        <v>5.3002641648767092E-2</v>
      </c>
      <c r="CI134" s="1460">
        <f>+AR134/$BK134</f>
        <v>-1.2523320425250517E-3</v>
      </c>
      <c r="CJ134" s="1460"/>
      <c r="CK134" s="1650">
        <f>+SUM(D134,W134,AC134,AI134)</f>
        <v>17704.065000000002</v>
      </c>
      <c r="CM134" s="1650">
        <f>+SUM(G134,Z134,AF134,AL134)</f>
        <v>1596.749</v>
      </c>
      <c r="CN134" s="493">
        <f>+CM134/CK134</f>
        <v>9.0191094531114735E-2</v>
      </c>
    </row>
    <row r="135" spans="1:92" hidden="1" outlineLevel="1">
      <c r="A135" s="1499"/>
      <c r="B135" s="1499"/>
      <c r="C135" s="1667"/>
      <c r="D135" s="1635"/>
      <c r="E135" s="1608"/>
      <c r="F135" s="1609"/>
      <c r="G135" s="1614"/>
      <c r="H135" s="1662"/>
      <c r="I135" s="1662"/>
      <c r="J135" s="1765"/>
      <c r="K135" s="1610"/>
      <c r="L135" s="1608"/>
      <c r="M135" s="1609"/>
      <c r="N135" s="1499"/>
      <c r="O135" s="1662"/>
      <c r="P135" s="1609"/>
      <c r="Q135" s="1610"/>
      <c r="R135" s="1608"/>
      <c r="S135" s="1609"/>
      <c r="T135" s="1499"/>
      <c r="U135" s="1662"/>
      <c r="V135" s="1609"/>
      <c r="W135" s="1644"/>
      <c r="X135" s="1608"/>
      <c r="Y135" s="1609"/>
      <c r="Z135" s="1672"/>
      <c r="AA135" s="1662"/>
      <c r="AB135" s="1765"/>
      <c r="AC135" s="1614"/>
      <c r="AD135" s="1608"/>
      <c r="AE135" s="1609"/>
      <c r="AF135" s="1614"/>
      <c r="AG135" s="1662"/>
      <c r="AH135" s="1765"/>
      <c r="AI135" s="1614"/>
      <c r="AJ135" s="1608"/>
      <c r="AK135" s="1609"/>
      <c r="AL135" s="1614"/>
      <c r="AM135" s="1618"/>
      <c r="AN135" s="1609"/>
      <c r="AO135" s="1644"/>
      <c r="AP135" s="1608"/>
      <c r="AQ135" s="1609"/>
      <c r="AR135" s="1614"/>
      <c r="AS135" s="1618"/>
      <c r="AT135" s="1609"/>
      <c r="AU135" s="1609"/>
      <c r="AV135" s="1644"/>
      <c r="AW135" s="1608"/>
      <c r="AX135" s="1609"/>
      <c r="AY135" s="1614"/>
      <c r="AZ135" s="1618"/>
      <c r="BA135" s="1609"/>
      <c r="BB135" s="1621"/>
      <c r="BC135" s="1609"/>
      <c r="BD135" s="1614"/>
      <c r="BE135" s="1663"/>
      <c r="BF135" s="1608"/>
      <c r="BG135" s="1609"/>
      <c r="BH135" s="1614"/>
      <c r="BI135" s="1662"/>
      <c r="BJ135" s="1621"/>
      <c r="BK135" s="1614"/>
      <c r="BL135" s="1663"/>
      <c r="BM135" s="1618"/>
      <c r="BN135" s="1499"/>
      <c r="BO135" s="1655"/>
      <c r="BP135" s="1608"/>
      <c r="BQ135" s="1609"/>
      <c r="BR135" s="1614"/>
      <c r="BS135" s="1662"/>
      <c r="BT135" s="1499"/>
      <c r="BU135" s="1460"/>
      <c r="BV135" s="1664"/>
      <c r="BW135" s="1664"/>
      <c r="BX135" s="1460"/>
      <c r="BY135" s="1460"/>
      <c r="BZ135" s="1460"/>
      <c r="CA135" s="1460"/>
      <c r="CB135" s="1499"/>
      <c r="CC135" s="1460"/>
      <c r="CD135" s="1664"/>
      <c r="CE135" s="1664"/>
      <c r="CF135" s="1460"/>
      <c r="CG135" s="1460"/>
      <c r="CH135" s="1460"/>
      <c r="CI135" s="1460"/>
      <c r="CJ135" s="1460"/>
    </row>
    <row r="136" spans="1:92" hidden="1" outlineLevel="1">
      <c r="A136" s="2111">
        <f>+A129+1</f>
        <v>2008</v>
      </c>
      <c r="B136" s="2111"/>
      <c r="C136" s="1667"/>
      <c r="D136" s="1654"/>
      <c r="E136" s="1608"/>
      <c r="F136" s="1609"/>
      <c r="G136" s="1614"/>
      <c r="H136" s="1662"/>
      <c r="I136" s="1662"/>
      <c r="J136" s="1765"/>
      <c r="K136" s="1610"/>
      <c r="L136" s="1608"/>
      <c r="M136" s="1609"/>
      <c r="N136" s="1499"/>
      <c r="O136" s="1662"/>
      <c r="P136" s="1609"/>
      <c r="Q136" s="1610"/>
      <c r="R136" s="1608"/>
      <c r="S136" s="1609"/>
      <c r="T136" s="1499"/>
      <c r="U136" s="1662"/>
      <c r="V136" s="1609"/>
      <c r="W136" s="1644"/>
      <c r="X136" s="1608"/>
      <c r="Y136" s="1609"/>
      <c r="Z136" s="1614"/>
      <c r="AA136" s="1662"/>
      <c r="AB136" s="1765"/>
      <c r="AC136" s="1672"/>
      <c r="AD136" s="1608"/>
      <c r="AE136" s="1609"/>
      <c r="AF136" s="1614"/>
      <c r="AG136" s="1662"/>
      <c r="AH136" s="1765"/>
      <c r="AI136" s="1614"/>
      <c r="AJ136" s="1608"/>
      <c r="AK136" s="1609"/>
      <c r="AL136" s="1614"/>
      <c r="AM136" s="1618"/>
      <c r="AN136" s="1609"/>
      <c r="AO136" s="1644"/>
      <c r="AP136" s="1608"/>
      <c r="AQ136" s="1609"/>
      <c r="AR136" s="1614"/>
      <c r="AS136" s="1618"/>
      <c r="AT136" s="1609"/>
      <c r="AU136" s="1609"/>
      <c r="AV136" s="1674" t="s">
        <v>739</v>
      </c>
      <c r="AW136" s="1608"/>
      <c r="AX136" s="1609"/>
      <c r="AY136" s="1614"/>
      <c r="AZ136" s="1618"/>
      <c r="BA136" s="1609"/>
      <c r="BB136" s="1621"/>
      <c r="BC136" s="1609"/>
      <c r="BD136" s="1614"/>
      <c r="BE136" s="1663"/>
      <c r="BF136" s="1608"/>
      <c r="BG136" s="1609"/>
      <c r="BH136" s="1614"/>
      <c r="BI136" s="1662"/>
      <c r="BJ136" s="1621"/>
      <c r="BK136" s="1614"/>
      <c r="BL136" s="1663"/>
      <c r="BM136" s="1618"/>
      <c r="BN136" s="1499"/>
      <c r="BO136" s="1655"/>
      <c r="BP136" s="1608"/>
      <c r="BQ136" s="1609"/>
      <c r="BR136" s="1614"/>
      <c r="BS136" s="1662"/>
      <c r="BT136" s="1499"/>
      <c r="BU136" s="1460"/>
      <c r="BV136" s="1664"/>
      <c r="BW136" s="1664"/>
      <c r="BX136" s="1460"/>
      <c r="BY136" s="1460"/>
      <c r="BZ136" s="1460"/>
      <c r="CA136" s="1460"/>
      <c r="CB136" s="1499"/>
      <c r="CC136" s="1460"/>
      <c r="CD136" s="1664"/>
      <c r="CE136" s="1664"/>
      <c r="CF136" s="1460"/>
      <c r="CG136" s="1460"/>
      <c r="CH136" s="1460"/>
      <c r="CI136" s="1460"/>
      <c r="CJ136" s="1460"/>
    </row>
    <row r="137" spans="1:92" hidden="1" outlineLevel="1">
      <c r="A137" s="467" t="str">
        <f>$A$11</f>
        <v>1Q</v>
      </c>
      <c r="B137" s="467" t="str">
        <f>$B$11</f>
        <v>Apr</v>
      </c>
      <c r="C137" s="1667"/>
      <c r="D137" s="1607">
        <v>2802.29</v>
      </c>
      <c r="E137" s="1608">
        <f>+(D137/D130-1)*100</f>
        <v>2.6669768583565956</v>
      </c>
      <c r="F137" s="1639">
        <v>1</v>
      </c>
      <c r="G137" s="1610">
        <v>278.49900000000002</v>
      </c>
      <c r="H137" s="1662"/>
      <c r="I137" s="1662">
        <f>+G137/D137*100</f>
        <v>9.9382647763079497</v>
      </c>
      <c r="J137" s="1765">
        <f>I137-I130</f>
        <v>-4.9150478162200528E-2</v>
      </c>
      <c r="K137" s="1610"/>
      <c r="L137" s="1608"/>
      <c r="M137" s="1609"/>
      <c r="N137" s="1499"/>
      <c r="O137" s="1662"/>
      <c r="P137" s="1609"/>
      <c r="Q137" s="1610"/>
      <c r="R137" s="1608"/>
      <c r="S137" s="1609"/>
      <c r="T137" s="1499"/>
      <c r="U137" s="1662"/>
      <c r="V137" s="1609"/>
      <c r="W137" s="1607">
        <v>488.38400000000001</v>
      </c>
      <c r="X137" s="1608">
        <f>+(W137/W130-1)*100</f>
        <v>23.752426225021917</v>
      </c>
      <c r="Y137" s="1639">
        <v>4</v>
      </c>
      <c r="Z137" s="1610">
        <v>40.896999999999998</v>
      </c>
      <c r="AA137" s="1662">
        <f>+Z137/W137*100</f>
        <v>8.3739434543310178</v>
      </c>
      <c r="AB137" s="1765">
        <f>AA137-AA130</f>
        <v>1.5827939177843406</v>
      </c>
      <c r="AC137" s="1610">
        <v>495.19400000000002</v>
      </c>
      <c r="AD137" s="1608">
        <f>+(AC137/AC130-1)*100</f>
        <v>11.878161579145941</v>
      </c>
      <c r="AE137" s="1639">
        <v>5</v>
      </c>
      <c r="AF137" s="1610">
        <v>1.4630000000000001</v>
      </c>
      <c r="AG137" s="1662">
        <f>+AF137/AC137*100</f>
        <v>0.29543976704079616</v>
      </c>
      <c r="AH137" s="1765">
        <f>AG137-AG130</f>
        <v>-0.7474436157331017</v>
      </c>
      <c r="AI137" s="1610">
        <v>363.42899999999997</v>
      </c>
      <c r="AJ137" s="1608">
        <f>+(AI137/AI130-1)*100</f>
        <v>9.0867341425638237</v>
      </c>
      <c r="AK137" s="1639">
        <v>2</v>
      </c>
      <c r="AL137" s="1610">
        <v>8.8940000000000001</v>
      </c>
      <c r="AM137" s="1618">
        <f>+AL137/AI137*100</f>
        <v>2.4472455417701946</v>
      </c>
      <c r="AN137" s="1609">
        <f>AM137-AM130</f>
        <v>-0.6170846819088025</v>
      </c>
      <c r="AO137" s="1607">
        <v>154.25800000000001</v>
      </c>
      <c r="AP137" s="1608">
        <f>+(AO137/AO130-1)*100</f>
        <v>7.0069438181982191</v>
      </c>
      <c r="AQ137" s="1639">
        <v>6</v>
      </c>
      <c r="AR137" s="1610">
        <v>-0.88500000000000001</v>
      </c>
      <c r="AS137" s="1618">
        <f>+AR137/AO137*100</f>
        <v>-0.57371416717447388</v>
      </c>
      <c r="AT137" s="1609">
        <f>AS137-AS130</f>
        <v>1.5302419362405526</v>
      </c>
      <c r="AU137" s="1609"/>
      <c r="AV137" s="1675">
        <v>60.57</v>
      </c>
      <c r="AW137" s="1676">
        <f>+(AV137/AV130-1)*100</f>
        <v>-5.3712035995500447</v>
      </c>
      <c r="AX137" s="1677">
        <v>-3</v>
      </c>
      <c r="AY137" s="1678">
        <v>-6.9420000000000002</v>
      </c>
      <c r="AZ137" s="1679">
        <f>+AY137/AV137*100</f>
        <v>-11.461119366022784</v>
      </c>
      <c r="BA137" s="1609"/>
      <c r="BB137" s="1614">
        <f>'qtrP&amp;L'!BZ10</f>
        <v>4303.5550000000003</v>
      </c>
      <c r="BC137" s="1611">
        <f>'qtrP&amp;L'!CB$10</f>
        <v>2</v>
      </c>
      <c r="BD137" s="1680">
        <f>+D137+W137+AC137+AI137+AO137+AV137</f>
        <v>4364.1249999999991</v>
      </c>
      <c r="BE137" s="1638" t="str">
        <f>IF(ROUND(BB137,2)=ROUND(BD137,2),"y","n")</f>
        <v>n</v>
      </c>
      <c r="BF137" s="1613">
        <f>+(BD137/BD130-1)*100</f>
        <v>6.2326911275605079</v>
      </c>
      <c r="BG137" s="1681">
        <v>3</v>
      </c>
      <c r="BH137" s="1614">
        <f>'qtrP&amp;L'!$BZ61</f>
        <v>298.22600000000011</v>
      </c>
      <c r="BI137" s="1620">
        <f>+BH137/BB137*100</f>
        <v>6.9297592339356671</v>
      </c>
      <c r="BJ137" s="1610">
        <v>30.641999999999999</v>
      </c>
      <c r="BK137" s="1614">
        <f>+G137+Z137+AF137+AL137+AR137-BJ137</f>
        <v>298.22600000000006</v>
      </c>
      <c r="BL137" s="1638" t="str">
        <f>IF(ROUND(BH137,0)=ROUND(BK137,0),"y","n")</f>
        <v>y</v>
      </c>
      <c r="BM137" s="1618">
        <f>+BK137/BD137*100</f>
        <v>6.8335806146707565</v>
      </c>
      <c r="BN137" s="1499"/>
      <c r="BO137" s="1655"/>
      <c r="BP137" s="1608"/>
      <c r="BQ137" s="1609"/>
      <c r="BR137" s="1614"/>
      <c r="BS137" s="1662"/>
      <c r="BT137" s="1499"/>
      <c r="BU137" s="1422">
        <f>+D137/$BD137</f>
        <v>0.6421195543207403</v>
      </c>
      <c r="BV137" s="1628"/>
      <c r="BW137" s="1628"/>
      <c r="BX137" s="1422">
        <f>+W137/$BD137</f>
        <v>0.11190880187895628</v>
      </c>
      <c r="BY137" s="1422">
        <f>+AC137/BD137</f>
        <v>0.11346925214103631</v>
      </c>
      <c r="BZ137" s="1422">
        <f>+AI137/BD137</f>
        <v>8.3276487268352781E-2</v>
      </c>
      <c r="CA137" s="1422">
        <f>+AO137/BD137</f>
        <v>3.5346833557700581E-2</v>
      </c>
      <c r="CB137" s="467"/>
      <c r="CC137" s="1422">
        <f>+G137/$BK137</f>
        <v>0.93385217921978625</v>
      </c>
      <c r="CD137" s="1628"/>
      <c r="CE137" s="1628"/>
      <c r="CF137" s="1422">
        <f>+Z137/$BK137</f>
        <v>0.13713425388799094</v>
      </c>
      <c r="CG137" s="1422">
        <f>+AF137/$BK137</f>
        <v>4.9056755614869255E-3</v>
      </c>
      <c r="CH137" s="1422">
        <f>+AL137/$BK137</f>
        <v>2.9823020125676496E-2</v>
      </c>
      <c r="CI137" s="1422">
        <f>+AR137/$BK137</f>
        <v>-2.967548101104531E-3</v>
      </c>
      <c r="CJ137" s="1422"/>
      <c r="CK137" s="1650">
        <f>+SUM(D137,W137,AC137,AI137)</f>
        <v>4149.2969999999996</v>
      </c>
      <c r="CM137" s="1650">
        <f>+SUM(G137,Z137,AF137,AL137)</f>
        <v>329.75300000000004</v>
      </c>
      <c r="CN137" s="493">
        <f>+CM137/CK137</f>
        <v>7.9472016584978142E-2</v>
      </c>
    </row>
    <row r="138" spans="1:92" hidden="1" outlineLevel="1">
      <c r="A138" s="467" t="str">
        <f>$A$12</f>
        <v>2Q</v>
      </c>
      <c r="B138" s="467" t="str">
        <f>$B$12</f>
        <v>Jul</v>
      </c>
      <c r="C138" s="1667"/>
      <c r="D138" s="1616">
        <v>2957.19</v>
      </c>
      <c r="E138" s="1608">
        <f>+(D138/D131-1)*100</f>
        <v>5.0274254200471935</v>
      </c>
      <c r="F138" s="1639">
        <v>3</v>
      </c>
      <c r="G138" s="1617">
        <v>298.06200000000001</v>
      </c>
      <c r="H138" s="1662"/>
      <c r="I138" s="1662">
        <f>+G138/D138*100</f>
        <v>10.079230620961116</v>
      </c>
      <c r="J138" s="1765">
        <f>I138-I131</f>
        <v>1.1283932257864571</v>
      </c>
      <c r="K138" s="1610"/>
      <c r="L138" s="1608"/>
      <c r="M138" s="1609"/>
      <c r="N138" s="1499"/>
      <c r="O138" s="1662"/>
      <c r="P138" s="1609"/>
      <c r="Q138" s="1610"/>
      <c r="R138" s="1608"/>
      <c r="S138" s="1609"/>
      <c r="T138" s="1499"/>
      <c r="U138" s="1662"/>
      <c r="V138" s="1609"/>
      <c r="W138" s="1616">
        <v>538.69399999999996</v>
      </c>
      <c r="X138" s="1608">
        <f>+(W138/W131-1)*100</f>
        <v>15.560389395870056</v>
      </c>
      <c r="Y138" s="1639">
        <v>6</v>
      </c>
      <c r="Z138" s="1617">
        <v>60.389000000000003</v>
      </c>
      <c r="AA138" s="1662">
        <f>+Z138/W138*100</f>
        <v>11.2102603704515</v>
      </c>
      <c r="AB138" s="1765">
        <f>AA138-AA131</f>
        <v>1.0012754340136389</v>
      </c>
      <c r="AC138" s="1617">
        <v>547.61699999999996</v>
      </c>
      <c r="AD138" s="1608">
        <f>+(AC138/AC131-1)*100</f>
        <v>13.029810790337848</v>
      </c>
      <c r="AE138" s="1639">
        <v>5</v>
      </c>
      <c r="AF138" s="1617">
        <v>13.744999999999999</v>
      </c>
      <c r="AG138" s="1662">
        <f>+AF138/AC138*100</f>
        <v>2.5099659068290427</v>
      </c>
      <c r="AH138" s="1765">
        <f>AG138-AG131</f>
        <v>-0.83582728971411901</v>
      </c>
      <c r="AI138" s="1617">
        <v>350.43299999999999</v>
      </c>
      <c r="AJ138" s="1608">
        <f>+(AI138/AI131-1)*100</f>
        <v>7.0841864018334588</v>
      </c>
      <c r="AK138" s="1639">
        <v>-1</v>
      </c>
      <c r="AL138" s="1617">
        <v>2.169</v>
      </c>
      <c r="AM138" s="1618">
        <f>+AL138/AI138*100</f>
        <v>0.61894855792690762</v>
      </c>
      <c r="AN138" s="1609">
        <f>AM138-AM131</f>
        <v>-2.093656484089899</v>
      </c>
      <c r="AO138" s="1616">
        <v>160.46100000000001</v>
      </c>
      <c r="AP138" s="1608">
        <f>+(AO138/AO131-1)*100</f>
        <v>8.0356301253652553</v>
      </c>
      <c r="AQ138" s="1639">
        <v>6</v>
      </c>
      <c r="AR138" s="1682">
        <v>-0.76500000000000001</v>
      </c>
      <c r="AS138" s="1618">
        <f>+AR138/AO138*100</f>
        <v>-0.47675136014358632</v>
      </c>
      <c r="AT138" s="1609">
        <f>AS138-AS131</f>
        <v>0.6429179233488661</v>
      </c>
      <c r="AU138" s="1609"/>
      <c r="AV138" s="1683">
        <f>66.897</f>
        <v>66.897000000000006</v>
      </c>
      <c r="AW138" s="1676">
        <f>+(AV138/AV131-1)*100</f>
        <v>-6.0949760664804398</v>
      </c>
      <c r="AX138" s="1677">
        <v>-5</v>
      </c>
      <c r="AY138" s="1684">
        <f>-19.816+16</f>
        <v>-3.8159999999999989</v>
      </c>
      <c r="AZ138" s="1679">
        <f>+AY138/AV138*100</f>
        <v>-5.7042916722722969</v>
      </c>
      <c r="BA138" s="1609"/>
      <c r="BB138" s="1621">
        <f>'qtrP&amp;L'!BZ11</f>
        <v>4554.3950000000004</v>
      </c>
      <c r="BC138" s="1611">
        <f>'qtrP&amp;L'!CB$11</f>
        <v>3</v>
      </c>
      <c r="BD138" s="1670">
        <f>+D138+W138+AC138+AI138+AO138+AV138</f>
        <v>4621.2920000000004</v>
      </c>
      <c r="BE138" s="1638" t="str">
        <f>IF(ROUND(BB138,2)=ROUND(BD138,2),"y","n")</f>
        <v>n</v>
      </c>
      <c r="BF138" s="1613">
        <f>+(BD138/BD131-1)*100</f>
        <v>7.1405685394331897</v>
      </c>
      <c r="BG138" s="1681">
        <v>4</v>
      </c>
      <c r="BH138" s="1621">
        <f>'qtrP&amp;L'!$BZ62</f>
        <v>340.01600000000019</v>
      </c>
      <c r="BI138" s="1620">
        <f>+BH138/BB138*100</f>
        <v>7.4656677780473624</v>
      </c>
      <c r="BJ138" s="1617">
        <v>33.584000000000003</v>
      </c>
      <c r="BK138" s="1621">
        <f>+G138+Z138+AF138+AL138+AR138-BJ138</f>
        <v>340.01600000000002</v>
      </c>
      <c r="BL138" s="1638" t="str">
        <f>IF(ROUND(BH138,1)=ROUND(BK138,1),"y","n")</f>
        <v>y</v>
      </c>
      <c r="BM138" s="1618">
        <f>+BK138/BD138*100</f>
        <v>7.3575961008306763</v>
      </c>
      <c r="BN138" s="1499"/>
      <c r="BO138" s="1655"/>
      <c r="BP138" s="1608"/>
      <c r="BQ138" s="1609"/>
      <c r="BR138" s="1614"/>
      <c r="BS138" s="1662"/>
      <c r="BT138" s="1499"/>
      <c r="BU138" s="1422">
        <f>+D138/$BD138</f>
        <v>0.63990546366687062</v>
      </c>
      <c r="BV138" s="1628"/>
      <c r="BW138" s="1628"/>
      <c r="BX138" s="1422">
        <f>+W138/$BD138</f>
        <v>0.11656783427664816</v>
      </c>
      <c r="BY138" s="1422">
        <f>+AC138/BD138</f>
        <v>0.11849867959003671</v>
      </c>
      <c r="BZ138" s="1422">
        <f>+AI138/BD138</f>
        <v>7.5830092536892268E-2</v>
      </c>
      <c r="CA138" s="1422">
        <f>+AO138/BD138</f>
        <v>3.4722108016546023E-2</v>
      </c>
      <c r="CB138" s="467"/>
      <c r="CC138" s="1422">
        <f>+G138/$BK138</f>
        <v>0.8766116888617006</v>
      </c>
      <c r="CD138" s="1628"/>
      <c r="CE138" s="1628"/>
      <c r="CF138" s="1422">
        <f>+Z138/$BK138</f>
        <v>0.17760634793656768</v>
      </c>
      <c r="CG138" s="1422">
        <f>+AF138/$BK138</f>
        <v>4.0424568255611498E-2</v>
      </c>
      <c r="CH138" s="1422">
        <f>+AL138/$BK138</f>
        <v>6.3791115712201777E-3</v>
      </c>
      <c r="CI138" s="1422">
        <f>+AR138/$BK138</f>
        <v>-2.2498941226295234E-3</v>
      </c>
      <c r="CJ138" s="1422"/>
      <c r="CK138" s="1650">
        <f>+SUM(D138,W138,AC138,AI138)</f>
        <v>4393.9340000000002</v>
      </c>
      <c r="CM138" s="1650">
        <f>+SUM(G138,Z138,AF138,AL138)</f>
        <v>374.36500000000001</v>
      </c>
      <c r="CN138" s="493">
        <f>+CM138/CK138</f>
        <v>8.5200414935681784E-2</v>
      </c>
    </row>
    <row r="139" spans="1:92" hidden="1" outlineLevel="1">
      <c r="A139" s="467" t="str">
        <f>$A$13</f>
        <v>3Q</v>
      </c>
      <c r="B139" s="467" t="str">
        <f>$B$13</f>
        <v>Oct</v>
      </c>
      <c r="C139" s="1685"/>
      <c r="D139" s="1616">
        <v>3058.2069999999999</v>
      </c>
      <c r="E139" s="1608">
        <f>+(D139/D132-1)*100</f>
        <v>1.6406644150806171</v>
      </c>
      <c r="F139" s="1639">
        <v>0</v>
      </c>
      <c r="G139" s="1617">
        <v>278.661</v>
      </c>
      <c r="H139" s="1662"/>
      <c r="I139" s="1662">
        <f>+G139/D139*100</f>
        <v>9.1119077289405208</v>
      </c>
      <c r="J139" s="1765">
        <f>I139-I132</f>
        <v>-1.1715501595095876</v>
      </c>
      <c r="K139" s="1610"/>
      <c r="L139" s="1608"/>
      <c r="M139" s="1609"/>
      <c r="N139" s="1499"/>
      <c r="O139" s="1662"/>
      <c r="P139" s="1609"/>
      <c r="Q139" s="1610"/>
      <c r="R139" s="1608"/>
      <c r="S139" s="1609"/>
      <c r="T139" s="1499"/>
      <c r="U139" s="1662"/>
      <c r="V139" s="1609"/>
      <c r="W139" s="1616">
        <v>576.971</v>
      </c>
      <c r="X139" s="1608">
        <f>+(W139/W132-1)*100</f>
        <v>3.2327613199428118</v>
      </c>
      <c r="Y139" s="1639">
        <v>5</v>
      </c>
      <c r="Z139" s="1617">
        <f>109.782</f>
        <v>109.782</v>
      </c>
      <c r="AA139" s="1662">
        <f>+Z139/W139*100</f>
        <v>19.02729946565772</v>
      </c>
      <c r="AB139" s="1765">
        <f>AA139-AA132</f>
        <v>6.7724001360781703</v>
      </c>
      <c r="AC139" s="1617">
        <v>579.77499999999998</v>
      </c>
      <c r="AD139" s="1608">
        <f>+(AC139/AC132-1)*100</f>
        <v>2.0867228713701058</v>
      </c>
      <c r="AE139" s="1639">
        <v>4</v>
      </c>
      <c r="AF139" s="1617">
        <f>48.212</f>
        <v>48.212000000000003</v>
      </c>
      <c r="AG139" s="1662">
        <f>+AF139/AC139*100</f>
        <v>8.3156396878099272</v>
      </c>
      <c r="AH139" s="1765">
        <f>AG139-AG132</f>
        <v>1.2930451152967031</v>
      </c>
      <c r="AI139" s="1617">
        <v>382.86399999999998</v>
      </c>
      <c r="AJ139" s="1608">
        <f>+(AI139/AI132-1)*100</f>
        <v>2.982718041826371</v>
      </c>
      <c r="AK139" s="1639">
        <v>-5</v>
      </c>
      <c r="AL139" s="1617">
        <v>14.675000000000001</v>
      </c>
      <c r="AM139" s="1618">
        <f>+AL139/AI139*100</f>
        <v>3.8329537381420038</v>
      </c>
      <c r="AN139" s="1609">
        <f>AM139-AM132</f>
        <v>-2.9152138363318048</v>
      </c>
      <c r="AO139" s="1616">
        <v>163.71299999999999</v>
      </c>
      <c r="AP139" s="1608">
        <f>+(AO139/AO132-1)*100</f>
        <v>8.222827452172865</v>
      </c>
      <c r="AQ139" s="1639">
        <v>5</v>
      </c>
      <c r="AR139" s="1682">
        <v>-0.77800000000000002</v>
      </c>
      <c r="AS139" s="1618">
        <f>+AR139/AO139*100</f>
        <v>-0.47522188219628259</v>
      </c>
      <c r="AT139" s="1609">
        <f>AS139-AS132</f>
        <v>1.0266885584610674</v>
      </c>
      <c r="AU139" s="1609"/>
      <c r="AV139" s="1683">
        <f>SegqtrSales!S870</f>
        <v>0</v>
      </c>
      <c r="AW139" s="1676">
        <f>+(AV139/AV132-1)*100</f>
        <v>-100</v>
      </c>
      <c r="AX139" s="1677">
        <f>SegqtrSales!F870</f>
        <v>0</v>
      </c>
      <c r="AY139" s="1684">
        <f>+AV139*AZ139/100</f>
        <v>0</v>
      </c>
      <c r="AZ139" s="1679">
        <v>-4</v>
      </c>
      <c r="BA139" s="1609"/>
      <c r="BB139" s="1621">
        <f>'qtrP&amp;L'!BZ12</f>
        <v>4761.53</v>
      </c>
      <c r="BC139" s="1611">
        <f>'qtrP&amp;L'!CB$12</f>
        <v>1</v>
      </c>
      <c r="BD139" s="1670">
        <f>+D139+W139+AC139+AI139+AO139</f>
        <v>4761.5299999999988</v>
      </c>
      <c r="BE139" s="1638" t="str">
        <f>IF(ROUND(BB139,1)=ROUND(BD139,1),"y","n")</f>
        <v>y</v>
      </c>
      <c r="BF139" s="1613">
        <f>+(BD139/BD132-1)*100</f>
        <v>2.206873221345429</v>
      </c>
      <c r="BG139" s="1681">
        <v>-1</v>
      </c>
      <c r="BH139" s="1621">
        <f>'qtrP&amp;L'!$BZ63</f>
        <v>416.70699999999999</v>
      </c>
      <c r="BI139" s="1620">
        <f>+BH139/BB139*100</f>
        <v>8.7515357458631993</v>
      </c>
      <c r="BJ139" s="1617">
        <v>33.835000000000001</v>
      </c>
      <c r="BK139" s="1621">
        <f>+G139+Z139+AF139+AL139+AR139-BJ139</f>
        <v>416.71699999999998</v>
      </c>
      <c r="BL139" s="1638" t="str">
        <f>IF(ROUND(BH139,1)=ROUND(BK139,1),"y","n")</f>
        <v>y</v>
      </c>
      <c r="BM139" s="1618">
        <f>+BK139/BD139*100</f>
        <v>8.7517457623915025</v>
      </c>
      <c r="BN139" s="1499"/>
      <c r="BO139" s="1655"/>
      <c r="BP139" s="1608"/>
      <c r="BQ139" s="1609"/>
      <c r="BR139" s="1614"/>
      <c r="BS139" s="1662"/>
      <c r="BT139" s="1499"/>
      <c r="BU139" s="1422">
        <f>+D139/$BD139</f>
        <v>0.64227401696513531</v>
      </c>
      <c r="BV139" s="1628"/>
      <c r="BW139" s="1628"/>
      <c r="BX139" s="1422">
        <f>+W139/$BD139</f>
        <v>0.1211734463502278</v>
      </c>
      <c r="BY139" s="1422">
        <f>+AC139/BD139</f>
        <v>0.12176233269558316</v>
      </c>
      <c r="BZ139" s="1422">
        <f>+AI139/BD139</f>
        <v>8.0407768091348808E-2</v>
      </c>
      <c r="CA139" s="1422">
        <f>+AO139/BD139</f>
        <v>3.4382435897705156E-2</v>
      </c>
      <c r="CB139" s="467"/>
      <c r="CC139" s="1422">
        <f>+G139/$BK139</f>
        <v>0.6687056203610604</v>
      </c>
      <c r="CD139" s="1628"/>
      <c r="CE139" s="1628"/>
      <c r="CF139" s="1422">
        <f>+Z139/$BK139</f>
        <v>0.26344497584691767</v>
      </c>
      <c r="CG139" s="1422">
        <f>+AF139/$BK139</f>
        <v>0.11569482406525293</v>
      </c>
      <c r="CH139" s="1422">
        <f>+AL139/$BK139</f>
        <v>3.5215745937890709E-2</v>
      </c>
      <c r="CI139" s="1422">
        <f>+AR139/$BK139</f>
        <v>-1.8669744694840864E-3</v>
      </c>
      <c r="CJ139" s="1422"/>
      <c r="CK139" s="1650">
        <f>+SUM(D139,W139,AC139,AI139)</f>
        <v>4597.8169999999991</v>
      </c>
      <c r="CM139" s="1650">
        <f>+SUM(G139,Z139,AF139,AL139)</f>
        <v>451.33</v>
      </c>
      <c r="CN139" s="493">
        <f>+CM139/CK139</f>
        <v>9.8161801568005011E-2</v>
      </c>
    </row>
    <row r="140" spans="1:92" hidden="1" outlineLevel="1">
      <c r="A140" s="467" t="str">
        <f>$A$14</f>
        <v>4Q</v>
      </c>
      <c r="B140" s="467" t="str">
        <f>$B$14</f>
        <v>Jan</v>
      </c>
      <c r="C140" s="1685"/>
      <c r="D140" s="1623">
        <v>3544.4349999999999</v>
      </c>
      <c r="E140" s="1608">
        <f>+(D140/D133-1)*100</f>
        <v>3.8608096046565121</v>
      </c>
      <c r="F140" s="1639">
        <v>-3</v>
      </c>
      <c r="G140" s="1624">
        <v>300.61599999999999</v>
      </c>
      <c r="H140" s="1662"/>
      <c r="I140" s="1662">
        <f>+G140/D140*100</f>
        <v>8.481351752818151</v>
      </c>
      <c r="J140" s="1765">
        <f>I140-I133</f>
        <v>-1.0166729655994668</v>
      </c>
      <c r="K140" s="1610"/>
      <c r="L140" s="1608"/>
      <c r="M140" s="1609"/>
      <c r="N140" s="1499"/>
      <c r="O140" s="1662"/>
      <c r="P140" s="1609"/>
      <c r="Q140" s="1610"/>
      <c r="R140" s="1608"/>
      <c r="S140" s="1609"/>
      <c r="T140" s="1499"/>
      <c r="U140" s="1662"/>
      <c r="V140" s="1609"/>
      <c r="W140" s="1623">
        <v>535.39400000000001</v>
      </c>
      <c r="X140" s="1608">
        <f>+(W140/W133-1)*100</f>
        <v>-13.800037674667964</v>
      </c>
      <c r="Y140" s="1639">
        <v>-1</v>
      </c>
      <c r="Z140" s="1624">
        <v>25.018000000000001</v>
      </c>
      <c r="AA140" s="1662">
        <f>+Z140/W140*100</f>
        <v>4.6728203902172982</v>
      </c>
      <c r="AB140" s="1765">
        <f>AA140-AA133</f>
        <v>-10.178726927716649</v>
      </c>
      <c r="AC140" s="1624">
        <v>619.471</v>
      </c>
      <c r="AD140" s="1608">
        <f>+(AC140/AC133-1)*100</f>
        <v>-14.103851156289782</v>
      </c>
      <c r="AE140" s="1639">
        <v>3</v>
      </c>
      <c r="AF140" s="1624">
        <v>74.191999999999993</v>
      </c>
      <c r="AG140" s="1662">
        <f>+AF140/AC140*100</f>
        <v>11.976670417178527</v>
      </c>
      <c r="AH140" s="1765">
        <f>AG140-AG133</f>
        <v>2.7545002696715049</v>
      </c>
      <c r="AI140" s="1624">
        <v>481.56</v>
      </c>
      <c r="AJ140" s="1608">
        <f>+(AI140/AI133-1)*100</f>
        <v>7.442866035550999</v>
      </c>
      <c r="AK140" s="1639">
        <v>-7</v>
      </c>
      <c r="AL140" s="1624">
        <v>16.632000000000001</v>
      </c>
      <c r="AM140" s="1618">
        <f>+AL140/AI140*100</f>
        <v>3.4537752305008724</v>
      </c>
      <c r="AN140" s="1609">
        <f>AM140-AM133</f>
        <v>-3.6970343393126694</v>
      </c>
      <c r="AO140" s="1623">
        <v>199.16499999999999</v>
      </c>
      <c r="AP140" s="1608">
        <f>+(AO140/AO133-1)*100</f>
        <v>5.5436026793284743</v>
      </c>
      <c r="AQ140" s="1639">
        <v>-2</v>
      </c>
      <c r="AR140" s="1624">
        <v>5.3</v>
      </c>
      <c r="AS140" s="1618">
        <f>+AR140/AO140*100</f>
        <v>2.6611101348128439</v>
      </c>
      <c r="AT140" s="1609">
        <f>AS140-AS133</f>
        <v>-7.7040619808149469E-2</v>
      </c>
      <c r="AU140" s="1609"/>
      <c r="AV140" s="1686">
        <f>SegqtrSales!S871</f>
        <v>0</v>
      </c>
      <c r="AW140" s="1676">
        <f>+(AV140/AV133-1)*100</f>
        <v>-100</v>
      </c>
      <c r="AX140" s="1677">
        <f>SegqtrSales!F871</f>
        <v>0</v>
      </c>
      <c r="AY140" s="1687">
        <f>+AV140*AZ140/100</f>
        <v>0</v>
      </c>
      <c r="AZ140" s="1679">
        <v>-4.5999999999999996</v>
      </c>
      <c r="BA140" s="1609"/>
      <c r="BB140" s="1625">
        <f>'qtrP&amp;L'!BZ13</f>
        <v>5380.0249999999996</v>
      </c>
      <c r="BC140" s="1611">
        <f>'qtrP&amp;L'!CB$13</f>
        <v>-2</v>
      </c>
      <c r="BD140" s="1671">
        <f>+D140+W140+AC140+AI140+AO140</f>
        <v>5380.0249999999996</v>
      </c>
      <c r="BE140" s="1638" t="str">
        <f>IF(ROUND(BB140,1)=ROUND(BD140,1),"y","n")</f>
        <v>y</v>
      </c>
      <c r="BF140" s="1613">
        <f>+(BD140/BD133-1)*100</f>
        <v>-1.9720472222869989</v>
      </c>
      <c r="BG140" s="1681">
        <f>'qtrP&amp;L'!CB13</f>
        <v>-2</v>
      </c>
      <c r="BH140" s="1625">
        <f>'qtrP&amp;L'!$BZ64</f>
        <v>379.78199999999947</v>
      </c>
      <c r="BI140" s="1643">
        <f>+BH140/BB140*100</f>
        <v>7.0591121788467435</v>
      </c>
      <c r="BJ140" s="1624">
        <v>41.975999999999999</v>
      </c>
      <c r="BK140" s="1625">
        <f>+G140+Z140+AF140+AL140+AR140-BJ140</f>
        <v>379.78200000000004</v>
      </c>
      <c r="BL140" s="1638" t="str">
        <f>IF(ROUND(BH140,1)=ROUND(BK140,1),"y","n")</f>
        <v>y</v>
      </c>
      <c r="BM140" s="1618">
        <f>+BK140/BD140*100</f>
        <v>7.0591121788467532</v>
      </c>
      <c r="BN140" s="1499"/>
      <c r="BO140" s="1655"/>
      <c r="BP140" s="1608"/>
      <c r="BQ140" s="1609"/>
      <c r="BR140" s="1614"/>
      <c r="BS140" s="1662"/>
      <c r="BT140" s="1499"/>
      <c r="BU140" s="1422">
        <f>+D140/$BD140</f>
        <v>0.65881385309547824</v>
      </c>
      <c r="BV140" s="1628"/>
      <c r="BW140" s="1628"/>
      <c r="BX140" s="1422">
        <f>+W140/$BD140</f>
        <v>9.9515150951900791E-2</v>
      </c>
      <c r="BY140" s="1422">
        <f>+AC140/BD140</f>
        <v>0.11514277350012316</v>
      </c>
      <c r="BZ140" s="1422">
        <f>+AI140/BD140</f>
        <v>8.9508877746850624E-2</v>
      </c>
      <c r="CA140" s="1422">
        <f>+AO140/BD140</f>
        <v>3.7019344705647279E-2</v>
      </c>
      <c r="CB140" s="467"/>
      <c r="CC140" s="1422">
        <f>+G140/$BK140</f>
        <v>0.79154883591112779</v>
      </c>
      <c r="CD140" s="1628"/>
      <c r="CE140" s="1628"/>
      <c r="CF140" s="1422">
        <f>+Z140/$BK140</f>
        <v>6.5874633342285827E-2</v>
      </c>
      <c r="CG140" s="1422">
        <f>+AF140/$BK140</f>
        <v>0.19535417686988849</v>
      </c>
      <c r="CH140" s="1422">
        <f>+AL140/$BK140</f>
        <v>4.3793544717759134E-2</v>
      </c>
      <c r="CI140" s="1422">
        <f>+AR140/$BK140</f>
        <v>1.3955374398997317E-2</v>
      </c>
      <c r="CJ140" s="1422"/>
      <c r="CK140" s="1650">
        <f>+SUM(D140,W140,AC140,AI140)</f>
        <v>5180.8599999999997</v>
      </c>
      <c r="CM140" s="1650">
        <f>+SUM(G140,Z140,AF140,AL140)</f>
        <v>416.45800000000003</v>
      </c>
      <c r="CN140" s="493">
        <f>+CM140/CK140</f>
        <v>8.038395169913877E-2</v>
      </c>
    </row>
    <row r="141" spans="1:92" hidden="1" outlineLevel="1">
      <c r="A141" s="1499"/>
      <c r="B141" s="1499" t="str">
        <f>$B$15</f>
        <v>Year</v>
      </c>
      <c r="C141" s="1667"/>
      <c r="D141" s="1654">
        <f>+SUM(D137:D140)</f>
        <v>12362.121999999999</v>
      </c>
      <c r="E141" s="1608">
        <f>+(D141/D134-1)*100</f>
        <v>3.3047759143305822</v>
      </c>
      <c r="F141" s="1639">
        <v>0</v>
      </c>
      <c r="G141" s="1614">
        <f>+SUM(G137:G140)</f>
        <v>1155.838</v>
      </c>
      <c r="H141" s="1662"/>
      <c r="I141" s="1662">
        <f>+G141/D141*100</f>
        <v>9.3498349231628683</v>
      </c>
      <c r="J141" s="1765"/>
      <c r="K141" s="1610"/>
      <c r="L141" s="1608"/>
      <c r="M141" s="1609"/>
      <c r="N141" s="1499"/>
      <c r="O141" s="1662"/>
      <c r="P141" s="1609"/>
      <c r="Q141" s="1610"/>
      <c r="R141" s="1608"/>
      <c r="S141" s="1609"/>
      <c r="T141" s="1499"/>
      <c r="U141" s="1662"/>
      <c r="V141" s="1609"/>
      <c r="W141" s="1644">
        <f>SUM(W137:W140)</f>
        <v>2139.4430000000002</v>
      </c>
      <c r="X141" s="1608">
        <f>+(W141/W134-1)*100</f>
        <v>4.8328265094222278</v>
      </c>
      <c r="Y141" s="1639">
        <v>3</v>
      </c>
      <c r="Z141" s="1614">
        <f>+SUM(Z137:Z140)</f>
        <v>236.08599999999998</v>
      </c>
      <c r="AA141" s="1662">
        <f>+Z141/W141*100</f>
        <v>11.034928250016476</v>
      </c>
      <c r="AB141" s="1770"/>
      <c r="AC141" s="1655">
        <f>SUM(AC137:AC140)</f>
        <v>2242.0569999999998</v>
      </c>
      <c r="AD141" s="1608">
        <f>+(AC141/AC134-1)*100</f>
        <v>1.165905159149494</v>
      </c>
      <c r="AE141" s="1639">
        <v>4</v>
      </c>
      <c r="AF141" s="1614">
        <f>+SUM(AF137:AF140)</f>
        <v>137.61199999999999</v>
      </c>
      <c r="AG141" s="1662">
        <f>+AF141/AC141*100</f>
        <v>6.1377565333976793</v>
      </c>
      <c r="AH141" s="1765"/>
      <c r="AI141" s="1655">
        <f>SUM(AI137:AI140)</f>
        <v>1578.2859999999998</v>
      </c>
      <c r="AJ141" s="1608">
        <f>+(AI141/AI134-1)*100</f>
        <v>6.6134281557057362</v>
      </c>
      <c r="AK141" s="1639">
        <v>-3</v>
      </c>
      <c r="AL141" s="1614">
        <f>+SUM(AL137:AL140)</f>
        <v>42.370000000000005</v>
      </c>
      <c r="AM141" s="1618">
        <f>+AL141/AI141*100</f>
        <v>2.6845578051126355</v>
      </c>
      <c r="AN141" s="1609"/>
      <c r="AO141" s="1644">
        <f>SUM(AO137:AO140)</f>
        <v>677.59699999999998</v>
      </c>
      <c r="AP141" s="1608">
        <f>+(AO141/AO134-1)*100</f>
        <v>7.1026979693706194</v>
      </c>
      <c r="AQ141" s="1639">
        <v>4</v>
      </c>
      <c r="AR141" s="1614">
        <f>+SUM(AR137:AR140)</f>
        <v>2.8719999999999999</v>
      </c>
      <c r="AS141" s="1618">
        <f>+AR141/AO141*100</f>
        <v>0.42385075494726215</v>
      </c>
      <c r="AT141" s="1609"/>
      <c r="AU141" s="1609"/>
      <c r="AV141" s="1688">
        <f>SUM(AV137:AV140)</f>
        <v>127.46700000000001</v>
      </c>
      <c r="AW141" s="1676">
        <f>+(AV141/AV134-1)*100</f>
        <v>-58.934600515463906</v>
      </c>
      <c r="AX141" s="1677">
        <f>SegqtrSales!F872</f>
        <v>0</v>
      </c>
      <c r="AY141" s="1678">
        <f>+SUM(AY137:AY140)</f>
        <v>-10.757999999999999</v>
      </c>
      <c r="AZ141" s="1679">
        <f>+AY141/AV141*100</f>
        <v>-8.4398314857963221</v>
      </c>
      <c r="BA141" s="1609"/>
      <c r="BB141" s="1614">
        <f>SUM(BB137:BB140)</f>
        <v>18999.504999999997</v>
      </c>
      <c r="BC141" s="1609">
        <f>'qtrP&amp;L'!CB$14</f>
        <v>1</v>
      </c>
      <c r="BD141" s="1614">
        <f>+D141+W141+AC141+AI141+AO141+AV141</f>
        <v>19126.972000000002</v>
      </c>
      <c r="BE141" s="1638" t="str">
        <f>IF(ROUND(BB141,2)=ROUND(BD141,2),"y","n")</f>
        <v>n</v>
      </c>
      <c r="BF141" s="1608">
        <f>+(BD141/BD134-1)*100</f>
        <v>2.5732973542410553</v>
      </c>
      <c r="BG141" s="1689">
        <f>'qtrP&amp;L'!CB14</f>
        <v>1</v>
      </c>
      <c r="BH141" s="1614">
        <f>'qtrP&amp;L'!$BZ65</f>
        <v>1434.7309999999998</v>
      </c>
      <c r="BI141" s="1662">
        <f>+BH141/BB141*100</f>
        <v>7.5514125236420631</v>
      </c>
      <c r="BJ141" s="1621">
        <f>SUM(BJ137:BJ140)</f>
        <v>140.03700000000001</v>
      </c>
      <c r="BK141" s="1614">
        <f>+G141+Z141+AF141+AL141+AR141-BJ141</f>
        <v>1434.741</v>
      </c>
      <c r="BL141" s="1638" t="str">
        <f>IF(ROUND(BH141,0)=ROUND(BK141,0),"y","n")</f>
        <v>y</v>
      </c>
      <c r="BM141" s="1618">
        <f>+BK141/BD141*100</f>
        <v>7.5011402745818829</v>
      </c>
      <c r="BN141" s="1499"/>
      <c r="BO141" s="1655"/>
      <c r="BP141" s="1608"/>
      <c r="BQ141" s="1609"/>
      <c r="BR141" s="1614"/>
      <c r="BS141" s="1662"/>
      <c r="BT141" s="1499"/>
      <c r="BU141" s="1460">
        <f>+D141/$BD141</f>
        <v>0.64631882140048091</v>
      </c>
      <c r="BV141" s="1664"/>
      <c r="BW141" s="1664"/>
      <c r="BX141" s="1460">
        <f>+W141/$BD141</f>
        <v>0.11185476718426733</v>
      </c>
      <c r="BY141" s="1460">
        <f>+AC141/BD141</f>
        <v>0.11721965191353861</v>
      </c>
      <c r="BZ141" s="1460">
        <f>+AI141/BD141</f>
        <v>8.2516249827730162E-2</v>
      </c>
      <c r="CA141" s="1460">
        <f>+AO141/BD141</f>
        <v>3.5426255656148813E-2</v>
      </c>
      <c r="CB141" s="1499"/>
      <c r="CC141" s="1460">
        <f>+G141/$BK141</f>
        <v>0.80560742322133405</v>
      </c>
      <c r="CD141" s="1664"/>
      <c r="CE141" s="1664"/>
      <c r="CF141" s="1460">
        <f>+Z141/$BK141</f>
        <v>0.16454955981602254</v>
      </c>
      <c r="CG141" s="1460">
        <f>+AF141/$BK141</f>
        <v>9.5914175450482003E-2</v>
      </c>
      <c r="CH141" s="1460">
        <f>+AL141/$BK141</f>
        <v>2.9531462473017783E-2</v>
      </c>
      <c r="CI141" s="1460">
        <f>+AR141/$BK141</f>
        <v>2.0017550205925667E-3</v>
      </c>
      <c r="CJ141" s="1460"/>
      <c r="CK141" s="1650">
        <f>+SUM(D141,W141,AC141,AI141)</f>
        <v>18321.907999999999</v>
      </c>
      <c r="CM141" s="1650">
        <f>+SUM(G141,Z141,AF141,AL141)</f>
        <v>1571.9059999999999</v>
      </c>
      <c r="CN141" s="493">
        <f>+CM141/CK141</f>
        <v>8.5793793965126333E-2</v>
      </c>
    </row>
    <row r="142" spans="1:92" hidden="1" outlineLevel="1">
      <c r="A142" s="1499"/>
      <c r="B142" s="1499"/>
      <c r="C142" s="1667"/>
      <c r="D142" s="1654"/>
      <c r="E142" s="1608"/>
      <c r="F142" s="1609"/>
      <c r="G142" s="1614"/>
      <c r="H142" s="1662"/>
      <c r="I142" s="1662"/>
      <c r="J142" s="1765"/>
      <c r="K142" s="1610"/>
      <c r="L142" s="1608"/>
      <c r="M142" s="1609"/>
      <c r="N142" s="1499"/>
      <c r="O142" s="1662"/>
      <c r="P142" s="1609"/>
      <c r="Q142" s="1610"/>
      <c r="R142" s="1608"/>
      <c r="S142" s="1609"/>
      <c r="T142" s="1499"/>
      <c r="U142" s="1662"/>
      <c r="V142" s="1609"/>
      <c r="W142" s="1690"/>
      <c r="X142" s="1608"/>
      <c r="Y142" s="1609"/>
      <c r="Z142" s="1614"/>
      <c r="AA142" s="1662"/>
      <c r="AB142" s="1770"/>
      <c r="AC142" s="1767"/>
      <c r="AD142" s="1608"/>
      <c r="AE142" s="1609"/>
      <c r="AF142" s="1614"/>
      <c r="AG142" s="1662"/>
      <c r="AH142" s="1765"/>
      <c r="AI142" s="1655"/>
      <c r="AJ142" s="1608"/>
      <c r="AK142" s="1609"/>
      <c r="AL142" s="1614"/>
      <c r="AM142" s="1618"/>
      <c r="AN142" s="1609"/>
      <c r="AO142" s="1654"/>
      <c r="AP142" s="1608"/>
      <c r="AQ142" s="1609"/>
      <c r="AR142" s="1614"/>
      <c r="AS142" s="1618"/>
      <c r="AT142" s="1609"/>
      <c r="AU142" s="1609"/>
      <c r="AV142" s="1688"/>
      <c r="AW142" s="1676"/>
      <c r="AX142" s="1677"/>
      <c r="AY142" s="1678"/>
      <c r="AZ142" s="1679"/>
      <c r="BA142" s="1609"/>
      <c r="BB142" s="1614"/>
      <c r="BC142" s="1609"/>
      <c r="BD142" s="1614"/>
      <c r="BE142" s="1638"/>
      <c r="BF142" s="1608"/>
      <c r="BG142" s="1609"/>
      <c r="BH142" s="1614"/>
      <c r="BI142" s="1662"/>
      <c r="BJ142" s="1621"/>
      <c r="BK142" s="1614"/>
      <c r="BL142" s="1638"/>
      <c r="BM142" s="1618"/>
      <c r="BN142" s="1499"/>
      <c r="BO142" s="1655"/>
      <c r="BP142" s="1608"/>
      <c r="BQ142" s="1609"/>
      <c r="BR142" s="1614"/>
      <c r="BS142" s="1662"/>
      <c r="BT142" s="1499"/>
      <c r="BU142" s="1460"/>
      <c r="BV142" s="1664"/>
      <c r="BW142" s="1664"/>
      <c r="BX142" s="1460"/>
      <c r="BY142" s="1460"/>
      <c r="BZ142" s="1460"/>
      <c r="CA142" s="1460"/>
      <c r="CB142" s="1499"/>
      <c r="CC142" s="1460"/>
      <c r="CD142" s="1664"/>
      <c r="CE142" s="1664"/>
      <c r="CF142" s="1460"/>
      <c r="CG142" s="1460"/>
      <c r="CH142" s="1460"/>
      <c r="CI142" s="1460"/>
      <c r="CJ142" s="1460"/>
    </row>
    <row r="143" spans="1:92" hidden="1" outlineLevel="1">
      <c r="A143" s="2111">
        <f>+A136+1</f>
        <v>2009</v>
      </c>
      <c r="B143" s="2111"/>
      <c r="C143" s="1667"/>
      <c r="D143" s="1654"/>
      <c r="E143" s="1608"/>
      <c r="F143" s="1609"/>
      <c r="G143" s="1614"/>
      <c r="H143" s="1662"/>
      <c r="I143" s="1662"/>
      <c r="J143" s="1765"/>
      <c r="K143" s="1610"/>
      <c r="L143" s="1608"/>
      <c r="M143" s="1609"/>
      <c r="N143" s="1499"/>
      <c r="O143" s="1662"/>
      <c r="P143" s="1609"/>
      <c r="Q143" s="1610"/>
      <c r="R143" s="1608"/>
      <c r="S143" s="1609"/>
      <c r="T143" s="1499"/>
      <c r="U143" s="1662"/>
      <c r="V143" s="1609"/>
      <c r="W143" s="1691"/>
      <c r="X143" s="1608"/>
      <c r="Y143" s="1609"/>
      <c r="Z143" s="1614"/>
      <c r="AA143" s="1662"/>
      <c r="AB143" s="1765"/>
      <c r="AC143" s="1614"/>
      <c r="AD143" s="1608"/>
      <c r="AE143" s="1609"/>
      <c r="AF143" s="1692"/>
      <c r="AG143" s="1662"/>
      <c r="AH143" s="1765"/>
      <c r="AI143" s="1614"/>
      <c r="AJ143" s="1608"/>
      <c r="AK143" s="1609"/>
      <c r="AL143" s="1614"/>
      <c r="AM143" s="1618"/>
      <c r="AN143" s="1609"/>
      <c r="AO143" s="1644"/>
      <c r="AP143" s="1608"/>
      <c r="AQ143" s="1609"/>
      <c r="AR143" s="1614"/>
      <c r="AS143" s="1618"/>
      <c r="AT143" s="1609"/>
      <c r="AU143" s="1609"/>
      <c r="AV143" s="1674"/>
      <c r="AW143" s="1608"/>
      <c r="AX143" s="1609"/>
      <c r="AY143" s="1614"/>
      <c r="AZ143" s="1618"/>
      <c r="BA143" s="1609"/>
      <c r="BB143" s="1621"/>
      <c r="BC143" s="1609"/>
      <c r="BD143" s="1614"/>
      <c r="BE143" s="1663"/>
      <c r="BF143" s="1608"/>
      <c r="BG143" s="1609"/>
      <c r="BH143" s="1614"/>
      <c r="BI143" s="1662"/>
      <c r="BJ143" s="1621"/>
      <c r="BK143" s="1614"/>
      <c r="BL143" s="1663"/>
      <c r="BM143" s="1618"/>
      <c r="BN143" s="1499"/>
      <c r="BO143" s="1655"/>
      <c r="BP143" s="1608"/>
      <c r="BQ143" s="1609"/>
      <c r="BR143" s="1614"/>
      <c r="BS143" s="1662"/>
      <c r="BT143" s="1499"/>
      <c r="BU143" s="1460"/>
      <c r="BV143" s="1664"/>
      <c r="BW143" s="1664"/>
      <c r="BX143" s="1460"/>
      <c r="BY143" s="1460"/>
      <c r="BZ143" s="1460"/>
      <c r="CA143" s="1460"/>
      <c r="CB143" s="1499"/>
      <c r="CC143" s="1460"/>
      <c r="CD143" s="1664"/>
      <c r="CE143" s="1664"/>
      <c r="CF143" s="1460"/>
      <c r="CG143" s="1460"/>
      <c r="CH143" s="1460"/>
      <c r="CI143" s="1460"/>
      <c r="CJ143" s="1460"/>
    </row>
    <row r="144" spans="1:92" hidden="1" outlineLevel="1">
      <c r="A144" s="467" t="str">
        <f>$A$11</f>
        <v>1Q</v>
      </c>
      <c r="B144" s="467" t="str">
        <f>$B$11</f>
        <v>Apr</v>
      </c>
      <c r="C144" s="1667"/>
      <c r="D144" s="1607">
        <v>2938.3090000000002</v>
      </c>
      <c r="E144" s="1608">
        <f>+(D144/D137-1)*100</f>
        <v>4.853851671311693</v>
      </c>
      <c r="F144" s="1639">
        <v>1</v>
      </c>
      <c r="G144" s="1610">
        <v>330.67</v>
      </c>
      <c r="H144" s="1662"/>
      <c r="I144" s="1662">
        <f>+G144/D144*100</f>
        <v>11.253751732714292</v>
      </c>
      <c r="J144" s="1765">
        <f>I144-I137</f>
        <v>1.3154869564063425</v>
      </c>
      <c r="K144" s="1610"/>
      <c r="L144" s="1608"/>
      <c r="M144" s="1609"/>
      <c r="N144" s="1499"/>
      <c r="O144" s="1662"/>
      <c r="P144" s="1609"/>
      <c r="Q144" s="1610"/>
      <c r="R144" s="1608"/>
      <c r="S144" s="1609"/>
      <c r="T144" s="1499"/>
      <c r="U144" s="1662"/>
      <c r="V144" s="1609"/>
      <c r="W144" s="1607">
        <f>424.092</f>
        <v>424.09199999999998</v>
      </c>
      <c r="X144" s="1608">
        <f>+(W144/W137-1)*100</f>
        <v>-13.164231424452899</v>
      </c>
      <c r="Y144" s="1639">
        <v>0</v>
      </c>
      <c r="Z144" s="1610">
        <v>19.727</v>
      </c>
      <c r="AA144" s="1662">
        <f>+Z144/W144*100</f>
        <v>4.6515850334361417</v>
      </c>
      <c r="AB144" s="1765">
        <f>AA144-AA137</f>
        <v>-3.7223584208948761</v>
      </c>
      <c r="AC144" s="1610">
        <v>420.53399999999999</v>
      </c>
      <c r="AD144" s="1608">
        <f>+(AC144/AC137-1)*100</f>
        <v>-15.076919348780482</v>
      </c>
      <c r="AE144" s="1639">
        <v>6</v>
      </c>
      <c r="AF144" s="1610">
        <v>9.2929999999999993</v>
      </c>
      <c r="AG144" s="1662">
        <f>+AF144/AC144*100</f>
        <v>2.2098094327688127</v>
      </c>
      <c r="AH144" s="1765">
        <f>AG144-AG137</f>
        <v>1.9143696657280165</v>
      </c>
      <c r="AI144" s="1610">
        <v>391.89499999999998</v>
      </c>
      <c r="AJ144" s="1608">
        <f>+(AI144/AI137-1)*100</f>
        <v>7.8326165495874012</v>
      </c>
      <c r="AK144" s="1639">
        <v>-1</v>
      </c>
      <c r="AL144" s="1610">
        <v>15.573</v>
      </c>
      <c r="AM144" s="1618">
        <f>+AL144/AI144*100</f>
        <v>3.9737684839051282</v>
      </c>
      <c r="AN144" s="1609">
        <f>AM144-AM137</f>
        <v>1.5265229421349336</v>
      </c>
      <c r="AO144" s="1607">
        <v>179.39400000000001</v>
      </c>
      <c r="AP144" s="1608">
        <f>+(AO144/AO137-1)*100</f>
        <v>16.294778876946413</v>
      </c>
      <c r="AQ144" s="1639">
        <v>12</v>
      </c>
      <c r="AR144" s="1610">
        <v>4.4130000000000003</v>
      </c>
      <c r="AS144" s="1618">
        <f>+AR144/AO144*100</f>
        <v>2.4599484932606441</v>
      </c>
      <c r="AT144" s="1609">
        <f>AS144-AS137</f>
        <v>3.0336626604351178</v>
      </c>
      <c r="AU144" s="1609"/>
      <c r="AV144" s="1675"/>
      <c r="AW144" s="1676"/>
      <c r="AX144" s="1677"/>
      <c r="AY144" s="1678"/>
      <c r="AZ144" s="1679"/>
      <c r="BA144" s="1609"/>
      <c r="BB144" s="1614">
        <f>'qtrP&amp;L'!CD10</f>
        <v>4354.2240000000002</v>
      </c>
      <c r="BC144" s="1611">
        <f>'qtrP&amp;L'!CF10</f>
        <v>2</v>
      </c>
      <c r="BD144" s="1680">
        <f>+D144+W144+AC144+AI144+AO144</f>
        <v>4354.2240000000002</v>
      </c>
      <c r="BE144" s="1638" t="str">
        <f>IF(ROUND(BB144,2)=ROUND(BD144,2),"y","n")</f>
        <v>y</v>
      </c>
      <c r="BF144" s="1613">
        <f>+(BD144/BD137-1)*100</f>
        <v>-0.22687251167184952</v>
      </c>
      <c r="BG144" s="1611">
        <f>qtrSales!F145</f>
        <v>2</v>
      </c>
      <c r="BH144" s="1614">
        <f>'qtrP&amp;L'!CD61</f>
        <v>345.82100000000014</v>
      </c>
      <c r="BI144" s="1620">
        <f>+BH144/BB144*100</f>
        <v>7.9421958998893984</v>
      </c>
      <c r="BJ144" s="1610">
        <v>33.854999999999997</v>
      </c>
      <c r="BK144" s="1614">
        <f>+G144+Z144+AF144+AL144+AR144-BJ144</f>
        <v>345.82099999999997</v>
      </c>
      <c r="BL144" s="1638" t="str">
        <f>IF(ROUND(BH144,0)=ROUND(BK144,0),"y","n")</f>
        <v>y</v>
      </c>
      <c r="BM144" s="1618">
        <f>+BK144/BD144*100</f>
        <v>7.942195899889394</v>
      </c>
      <c r="BN144" s="1499"/>
      <c r="BO144" s="1655"/>
      <c r="BP144" s="1608"/>
      <c r="BQ144" s="1609"/>
      <c r="BR144" s="1614"/>
      <c r="BS144" s="1662"/>
      <c r="BT144" s="1499"/>
      <c r="BU144" s="1422">
        <f>+D144/$BD144</f>
        <v>0.67481806172580927</v>
      </c>
      <c r="BV144" s="1628"/>
      <c r="BW144" s="1628"/>
      <c r="BX144" s="1422">
        <f>+W144/$BD144</f>
        <v>9.7397837134699544E-2</v>
      </c>
      <c r="BY144" s="1422">
        <f>+AC144/BD144</f>
        <v>9.6580699568970266E-2</v>
      </c>
      <c r="BZ144" s="1422">
        <f>+AI144/BD144</f>
        <v>9.0003408184787914E-2</v>
      </c>
      <c r="CA144" s="1422">
        <f>+AO144/BD144</f>
        <v>4.1199993385733026E-2</v>
      </c>
      <c r="CB144" s="467"/>
      <c r="CC144" s="1422">
        <f>+G144/$BK144</f>
        <v>0.9561883170773321</v>
      </c>
      <c r="CD144" s="1628"/>
      <c r="CE144" s="1628"/>
      <c r="CF144" s="1422">
        <f>+Z144/$BK144</f>
        <v>5.7043962049730938E-2</v>
      </c>
      <c r="CG144" s="1422">
        <f>+AF144/$BK144</f>
        <v>2.6872283638067092E-2</v>
      </c>
      <c r="CH144" s="1422">
        <f>+AL144/$BK144</f>
        <v>4.5031967405102645E-2</v>
      </c>
      <c r="CI144" s="1422">
        <f>+AR144/$BK144</f>
        <v>1.2760937016549026E-2</v>
      </c>
      <c r="CJ144" s="1422"/>
      <c r="CK144" s="1650">
        <f>+SUM(D144,W144,AC144,AI144)</f>
        <v>4174.83</v>
      </c>
      <c r="CM144" s="1650">
        <f>+SUM(G144,Z144,AF144,AL144)</f>
        <v>375.26299999999998</v>
      </c>
      <c r="CN144" s="493">
        <f>+CM144/CK144</f>
        <v>8.988701336341838E-2</v>
      </c>
    </row>
    <row r="145" spans="1:93" hidden="1" outlineLevel="1">
      <c r="A145" s="467" t="str">
        <f>$A$12</f>
        <v>2Q</v>
      </c>
      <c r="B145" s="467" t="str">
        <f>$B$12</f>
        <v>Jul</v>
      </c>
      <c r="C145" s="1667"/>
      <c r="D145" s="1616">
        <v>3145.5039999999999</v>
      </c>
      <c r="E145" s="1608">
        <f>+(D145/D138-1)*100</f>
        <v>6.3680047612767465</v>
      </c>
      <c r="F145" s="1639">
        <v>4</v>
      </c>
      <c r="G145" s="1617">
        <v>358.351</v>
      </c>
      <c r="H145" s="1662"/>
      <c r="I145" s="1662">
        <f>+G145/D145*100</f>
        <v>11.392482730907352</v>
      </c>
      <c r="J145" s="1765">
        <f>I145-I138</f>
        <v>1.3132521099462355</v>
      </c>
      <c r="K145" s="1610"/>
      <c r="L145" s="1608"/>
      <c r="M145" s="1609"/>
      <c r="N145" s="1499"/>
      <c r="O145" s="1662"/>
      <c r="P145" s="1609"/>
      <c r="Q145" s="1610"/>
      <c r="R145" s="1608"/>
      <c r="S145" s="1609"/>
      <c r="T145" s="1499"/>
      <c r="U145" s="1662"/>
      <c r="V145" s="1609"/>
      <c r="W145" s="1616">
        <v>495.67099999999999</v>
      </c>
      <c r="X145" s="1608">
        <f>+(W145/W138-1)*100</f>
        <v>-7.9865378118189501</v>
      </c>
      <c r="Y145" s="1639">
        <v>1</v>
      </c>
      <c r="Z145" s="1617">
        <v>47.970999999999997</v>
      </c>
      <c r="AA145" s="1662">
        <f>+Z145/W145*100</f>
        <v>9.6779920552140428</v>
      </c>
      <c r="AB145" s="1765">
        <f>AA145-AA138</f>
        <v>-1.5322683152374577</v>
      </c>
      <c r="AC145" s="1617">
        <v>511.589</v>
      </c>
      <c r="AD145" s="1608">
        <f>+(AC145/AC138-1)*100</f>
        <v>-6.5790506868851679</v>
      </c>
      <c r="AE145" s="1639">
        <v>6</v>
      </c>
      <c r="AF145" s="1617">
        <v>24.72</v>
      </c>
      <c r="AG145" s="1662">
        <f>+AF145/AC145*100</f>
        <v>4.8320038155628833</v>
      </c>
      <c r="AH145" s="1765">
        <f>AG145-AG138</f>
        <v>2.3220379087338405</v>
      </c>
      <c r="AI145" s="1617">
        <v>412.83699999999999</v>
      </c>
      <c r="AJ145" s="1608">
        <f>+(AI145/AI138-1)*100</f>
        <v>17.807683637100389</v>
      </c>
      <c r="AK145" s="1639">
        <v>9</v>
      </c>
      <c r="AL145" s="1617">
        <v>24.532</v>
      </c>
      <c r="AM145" s="1618">
        <f>+AL145/AI145*100</f>
        <v>5.9422968387038955</v>
      </c>
      <c r="AN145" s="1609">
        <f>AM145-AM138</f>
        <v>5.3233482807769876</v>
      </c>
      <c r="AO145" s="1616">
        <v>181.92699999999999</v>
      </c>
      <c r="AP145" s="1608">
        <f>+(AO145/AO138-1)*100</f>
        <v>13.377705486068248</v>
      </c>
      <c r="AQ145" s="1639">
        <v>5</v>
      </c>
      <c r="AR145" s="1617">
        <v>1.371</v>
      </c>
      <c r="AS145" s="1618">
        <f>+AR145/AO145*100</f>
        <v>0.75359897101584705</v>
      </c>
      <c r="AT145" s="1609">
        <f>AS145-AS138</f>
        <v>1.2303503311594333</v>
      </c>
      <c r="AU145" s="1609"/>
      <c r="AV145" s="1683"/>
      <c r="AW145" s="1676"/>
      <c r="AX145" s="1677"/>
      <c r="AY145" s="1684"/>
      <c r="AZ145" s="1679"/>
      <c r="BA145" s="1609"/>
      <c r="BB145" s="1621">
        <f>'qtrP&amp;L'!CD11</f>
        <v>4747.5280000000002</v>
      </c>
      <c r="BC145" s="1611">
        <f>'qtrP&amp;L'!CF11</f>
        <v>4</v>
      </c>
      <c r="BD145" s="1670">
        <f>+D145+W145+AC145+AI145+AO145</f>
        <v>4747.5280000000002</v>
      </c>
      <c r="BE145" s="1638" t="str">
        <f>IF(ROUND(BB145,2)=ROUND(BD145,2),"y","n")</f>
        <v>y</v>
      </c>
      <c r="BF145" s="1613">
        <f>+(BD145/BD138-1)*100</f>
        <v>2.7316170456227473</v>
      </c>
      <c r="BG145" s="1611">
        <f>qtrSales!F146</f>
        <v>4</v>
      </c>
      <c r="BH145" s="1621">
        <f>'qtrP&amp;L'!CD62</f>
        <v>422.35000000000014</v>
      </c>
      <c r="BI145" s="1620">
        <f>+BH145/BB145*100</f>
        <v>8.896208721675789</v>
      </c>
      <c r="BJ145" s="1617">
        <v>34.594999999999999</v>
      </c>
      <c r="BK145" s="1621">
        <f>+G145+Z145+AF145+AL145+AR145-BJ145</f>
        <v>422.35</v>
      </c>
      <c r="BL145" s="1638" t="str">
        <f>IF(ROUND(BH145,0)=ROUND(BK145,0),"y","n")</f>
        <v>y</v>
      </c>
      <c r="BM145" s="1618">
        <f>+BK145/BD145*100</f>
        <v>8.8962087216757855</v>
      </c>
      <c r="BN145" s="1499"/>
      <c r="BO145" s="1655"/>
      <c r="BP145" s="1608"/>
      <c r="BQ145" s="1609"/>
      <c r="BR145" s="1614"/>
      <c r="BS145" s="1662"/>
      <c r="BT145" s="1499"/>
      <c r="BU145" s="1422">
        <f>+D145/$BD145</f>
        <v>0.66255617660390831</v>
      </c>
      <c r="BV145" s="1628"/>
      <c r="BW145" s="1628"/>
      <c r="BX145" s="1422">
        <f>+W145/$BD145</f>
        <v>0.10440612461895958</v>
      </c>
      <c r="BY145" s="1422">
        <f>+AC145/BD145</f>
        <v>0.10775902743490928</v>
      </c>
      <c r="BZ145" s="1422">
        <f>+AI145/BD145</f>
        <v>8.6958307565537254E-2</v>
      </c>
      <c r="CA145" s="1422">
        <f>+AO145/BD145</f>
        <v>3.8320363776685462E-2</v>
      </c>
      <c r="CB145" s="467"/>
      <c r="CC145" s="1422">
        <f>+G145/$BK145</f>
        <v>0.84846927903397651</v>
      </c>
      <c r="CD145" s="1628"/>
      <c r="CE145" s="1628"/>
      <c r="CF145" s="1422">
        <f>+Z145/$BK145</f>
        <v>0.11358115307209658</v>
      </c>
      <c r="CG145" s="1422">
        <f>+AF145/$BK145</f>
        <v>5.8529655498993721E-2</v>
      </c>
      <c r="CH145" s="1422">
        <f>+AL145/$BK145</f>
        <v>5.8084527051024029E-2</v>
      </c>
      <c r="CI145" s="1422">
        <f>+AR145/$BK145</f>
        <v>3.2461228838640936E-3</v>
      </c>
      <c r="CJ145" s="1422"/>
      <c r="CK145" s="1650">
        <f>+SUM(D145,W145,AC145,AI145)</f>
        <v>4565.6010000000006</v>
      </c>
      <c r="CM145" s="1650">
        <f>+SUM(G145,Z145,AF145,AL145)</f>
        <v>455.57400000000001</v>
      </c>
      <c r="CN145" s="493">
        <f>+CM145/CK145</f>
        <v>9.9784015291743619E-2</v>
      </c>
    </row>
    <row r="146" spans="1:93" ht="13.5" hidden="1" outlineLevel="1" thickBot="1">
      <c r="A146" s="467" t="str">
        <f>$A$13</f>
        <v>3Q</v>
      </c>
      <c r="B146" s="467" t="str">
        <f>$B$13</f>
        <v>Oct</v>
      </c>
      <c r="C146" s="1685"/>
      <c r="D146" s="1616">
        <v>3380.5430000000001</v>
      </c>
      <c r="E146" s="1608">
        <f>+(D146/D139-1)*100</f>
        <v>10.540032116858033</v>
      </c>
      <c r="F146" s="1639">
        <v>9</v>
      </c>
      <c r="G146" s="1617">
        <v>422.75400000000002</v>
      </c>
      <c r="H146" s="1662"/>
      <c r="I146" s="1662">
        <f>+G146/D146*100</f>
        <v>12.505505772297528</v>
      </c>
      <c r="J146" s="1765">
        <f>I146-I139</f>
        <v>3.3935980433570077</v>
      </c>
      <c r="K146" s="1610"/>
      <c r="L146" s="1608"/>
      <c r="M146" s="1609"/>
      <c r="N146" s="1499"/>
      <c r="O146" s="1662"/>
      <c r="P146" s="1609"/>
      <c r="Q146" s="1610"/>
      <c r="R146" s="1608"/>
      <c r="S146" s="1609"/>
      <c r="T146" s="1499"/>
      <c r="U146" s="1662"/>
      <c r="V146" s="1609"/>
      <c r="W146" s="1616">
        <v>611.48500000000001</v>
      </c>
      <c r="X146" s="1608">
        <f>+(W146/W139-1)*100</f>
        <v>5.9819297677006222</v>
      </c>
      <c r="Y146" s="1639">
        <v>1</v>
      </c>
      <c r="Z146" s="1617">
        <v>113.011</v>
      </c>
      <c r="AA146" s="1662">
        <f>+Z146/W146*100</f>
        <v>18.481401833242025</v>
      </c>
      <c r="AB146" s="1765">
        <f>AA146-AA139</f>
        <v>-0.545897632415695</v>
      </c>
      <c r="AC146" s="1617">
        <v>603.07299999999998</v>
      </c>
      <c r="AD146" s="1608">
        <f>+(AC146/AC139-1)*100</f>
        <v>4.0184554352981738</v>
      </c>
      <c r="AE146" s="1639">
        <v>1</v>
      </c>
      <c r="AF146" s="1617">
        <v>48.79</v>
      </c>
      <c r="AG146" s="1662">
        <f>+AF146/AC146*100</f>
        <v>8.0902311992080556</v>
      </c>
      <c r="AH146" s="1765">
        <f>AG146-AG139</f>
        <v>-0.22540848860187168</v>
      </c>
      <c r="AI146" s="1617">
        <v>452.00400000000002</v>
      </c>
      <c r="AJ146" s="1608">
        <f>+(AI146/AI139-1)*100</f>
        <v>18.058631785699376</v>
      </c>
      <c r="AK146" s="1639">
        <v>13</v>
      </c>
      <c r="AL146" s="1617">
        <v>39.454000000000001</v>
      </c>
      <c r="AM146" s="1618">
        <f>+AL146/AI146*100</f>
        <v>8.7286838169573713</v>
      </c>
      <c r="AN146" s="1609">
        <f>AM146-AM139</f>
        <v>4.895730078815367</v>
      </c>
      <c r="AO146" s="1616">
        <v>197.84100000000001</v>
      </c>
      <c r="AP146" s="1608">
        <f>+(AO146/AO139-1)*100</f>
        <v>20.846237012332569</v>
      </c>
      <c r="AQ146" s="1639">
        <v>11</v>
      </c>
      <c r="AR146" s="1617">
        <v>1.2729999999999999</v>
      </c>
      <c r="AS146" s="1618">
        <f>+AR146/AO146*100</f>
        <v>0.64344599956530735</v>
      </c>
      <c r="AT146" s="1609">
        <f>AS146-AS139</f>
        <v>1.1186678817615898</v>
      </c>
      <c r="AU146" s="1609"/>
      <c r="AV146" s="1683"/>
      <c r="AW146" s="1676"/>
      <c r="AX146" s="1677"/>
      <c r="AY146" s="1684"/>
      <c r="AZ146" s="1679"/>
      <c r="BA146" s="1609"/>
      <c r="BB146" s="1621">
        <f>'qtrP&amp;L'!CD12</f>
        <v>5244.9459999999999</v>
      </c>
      <c r="BC146" s="1611">
        <f>'qtrP&amp;L'!CF12</f>
        <v>7</v>
      </c>
      <c r="BD146" s="1670">
        <f>+D146+W146+AC146+AI146+AO146</f>
        <v>5244.9460000000008</v>
      </c>
      <c r="BE146" s="1638" t="str">
        <f>IF(ROUND(BB146,1)=ROUND(BD146,1),"y","n")</f>
        <v>y</v>
      </c>
      <c r="BF146" s="1613">
        <f>+(BD146/BD139-1)*100</f>
        <v>10.152535004504903</v>
      </c>
      <c r="BG146" s="1611">
        <f>qtrSales!F147</f>
        <v>7</v>
      </c>
      <c r="BH146" s="1621">
        <f>'qtrP&amp;L'!CD63</f>
        <v>578.66999999999985</v>
      </c>
      <c r="BI146" s="1620">
        <f>+BH146/BB146*100</f>
        <v>11.032906725827107</v>
      </c>
      <c r="BJ146" s="1617">
        <v>46.612000000000002</v>
      </c>
      <c r="BK146" s="1621">
        <f>+G146+Z146+AF146+AL146+AR146-BJ146</f>
        <v>578.66999999999996</v>
      </c>
      <c r="BL146" s="1638" t="str">
        <f>IF(ROUND(BH146,1)=ROUND(BK146,1),"y","n")</f>
        <v>y</v>
      </c>
      <c r="BM146" s="1618">
        <f>+BK146/BD146*100</f>
        <v>11.032906725827107</v>
      </c>
      <c r="BN146" s="1499"/>
      <c r="BO146" s="1655"/>
      <c r="BP146" s="1608"/>
      <c r="BQ146" s="1609"/>
      <c r="BR146" s="1614"/>
      <c r="BS146" s="1662"/>
      <c r="BT146" s="1499"/>
      <c r="BU146" s="1422">
        <f>+D146/$BD146</f>
        <v>0.64453342322304163</v>
      </c>
      <c r="BV146" s="1628"/>
      <c r="BW146" s="1628"/>
      <c r="BX146" s="1422">
        <f>+W146/$BD146</f>
        <v>0.11658556637189399</v>
      </c>
      <c r="BY146" s="1422">
        <f>+AC146/BD146</f>
        <v>0.11498173670424822</v>
      </c>
      <c r="BZ146" s="1422">
        <f>+AI146/BD146</f>
        <v>8.6178961613713453E-2</v>
      </c>
      <c r="CA146" s="1422">
        <f>+AO146/BD146</f>
        <v>3.7720312087102512E-2</v>
      </c>
      <c r="CB146" s="467"/>
      <c r="CC146" s="1422">
        <f>+G146/$BK146</f>
        <v>0.73056145989942467</v>
      </c>
      <c r="CD146" s="1628"/>
      <c r="CE146" s="1628"/>
      <c r="CF146" s="1422">
        <f>+Z146/$BK146</f>
        <v>0.19529438194480447</v>
      </c>
      <c r="CG146" s="1422">
        <f>+AF146/$BK146</f>
        <v>8.4314030449133368E-2</v>
      </c>
      <c r="CH146" s="1422">
        <f>+AL146/$BK146</f>
        <v>6.8180482831320097E-2</v>
      </c>
      <c r="CI146" s="1422">
        <f>+AR146/$BK146</f>
        <v>2.1998721205523011E-3</v>
      </c>
      <c r="CJ146" s="1422"/>
      <c r="CK146" s="1650">
        <f>+SUM(D146,W146,AC146,AI146)</f>
        <v>5047.1050000000005</v>
      </c>
      <c r="CM146" s="1650">
        <f>+SUM(G146,Z146,AF146,AL146)</f>
        <v>624.0089999999999</v>
      </c>
      <c r="CN146" s="493">
        <f>+CM146/CK146</f>
        <v>0.12363701567532276</v>
      </c>
    </row>
    <row r="147" spans="1:93" hidden="1" outlineLevel="1">
      <c r="A147" s="467" t="str">
        <f>$A$14</f>
        <v>4Q</v>
      </c>
      <c r="B147" s="467" t="str">
        <f>$B$14</f>
        <v>Jan</v>
      </c>
      <c r="C147" s="1685"/>
      <c r="D147" s="1623">
        <v>3806.5070000000001</v>
      </c>
      <c r="E147" s="1608">
        <f>+(D147/D140-1)*100</f>
        <v>7.3939005793589141</v>
      </c>
      <c r="F147" s="1639">
        <v>13</v>
      </c>
      <c r="G147" s="1624">
        <v>476.67700000000002</v>
      </c>
      <c r="H147" s="1662"/>
      <c r="I147" s="1662">
        <f>+G147/D147*100</f>
        <v>12.52268812325841</v>
      </c>
      <c r="J147" s="1765">
        <f>I147-I140</f>
        <v>4.0413363704402592</v>
      </c>
      <c r="K147" s="1610"/>
      <c r="L147" s="1608"/>
      <c r="M147" s="1609"/>
      <c r="N147" s="1499"/>
      <c r="O147" s="1662"/>
      <c r="P147" s="1609"/>
      <c r="Q147" s="1610"/>
      <c r="R147" s="1608"/>
      <c r="S147" s="1609"/>
      <c r="T147" s="1499"/>
      <c r="U147" s="1662"/>
      <c r="V147" s="1609"/>
      <c r="W147" s="1623">
        <v>636.66399999999999</v>
      </c>
      <c r="X147" s="1608">
        <f>+(W147/W140-1)*100</f>
        <v>18.915042006447578</v>
      </c>
      <c r="Y147" s="1639">
        <v>7</v>
      </c>
      <c r="Z147" s="1624">
        <v>74.265000000000001</v>
      </c>
      <c r="AA147" s="1662">
        <f>+Z147/W147*100</f>
        <v>11.664708543281858</v>
      </c>
      <c r="AB147" s="1765">
        <f>AA147-AA140</f>
        <v>6.9918881530645596</v>
      </c>
      <c r="AC147" s="1624">
        <v>740.25300000000004</v>
      </c>
      <c r="AD147" s="1608">
        <f>+(AC147/AC140-1)*100</f>
        <v>19.497603600491399</v>
      </c>
      <c r="AE147" s="1639">
        <v>6</v>
      </c>
      <c r="AF147" s="1624">
        <v>81.165999999999997</v>
      </c>
      <c r="AG147" s="1662">
        <f>+AF147/AC147*100</f>
        <v>10.96462966039989</v>
      </c>
      <c r="AH147" s="1765">
        <f>AG147-AG140</f>
        <v>-1.0120407567786369</v>
      </c>
      <c r="AI147" s="1624">
        <v>537.673</v>
      </c>
      <c r="AJ147" s="1608">
        <f>+(AI147/AI140-1)*100</f>
        <v>11.652338234072591</v>
      </c>
      <c r="AK147" s="1639">
        <v>16</v>
      </c>
      <c r="AL147" s="1624">
        <v>57.966000000000001</v>
      </c>
      <c r="AM147" s="1618">
        <f>+AL147/AI147*100</f>
        <v>10.7809021468439</v>
      </c>
      <c r="AN147" s="1609">
        <f>AM147-AM140</f>
        <v>7.3271269163430279</v>
      </c>
      <c r="AO147" s="1623">
        <v>220.649</v>
      </c>
      <c r="AP147" s="1608">
        <f>+(AO147/AO140-1)*100</f>
        <v>10.787035874777207</v>
      </c>
      <c r="AQ147" s="1639">
        <v>8</v>
      </c>
      <c r="AR147" s="1624">
        <v>5.508</v>
      </c>
      <c r="AS147" s="1618">
        <f>+AR147/AO147*100</f>
        <v>2.496272360173851</v>
      </c>
      <c r="AT147" s="1609">
        <f>AS147-AS140</f>
        <v>-0.16483777463899285</v>
      </c>
      <c r="AU147" s="1609"/>
      <c r="AV147" s="1686"/>
      <c r="AW147" s="1676"/>
      <c r="AX147" s="1677"/>
      <c r="AY147" s="1687"/>
      <c r="AZ147" s="1679"/>
      <c r="BA147" s="1609"/>
      <c r="BB147" s="1625">
        <f>'qtrP&amp;L'!CD13</f>
        <v>5941.7460000000001</v>
      </c>
      <c r="BC147" s="1611">
        <f>'qtrP&amp;L'!CF13</f>
        <v>12</v>
      </c>
      <c r="BD147" s="1671">
        <f>+D147+W147+AC147+AI147+AO147</f>
        <v>5941.7460000000001</v>
      </c>
      <c r="BE147" s="1638" t="str">
        <f>IF(ROUND(BB147,1)=ROUND(BD147,1),"y","n")</f>
        <v>y</v>
      </c>
      <c r="BF147" s="1613">
        <f>+(BD147/BD140-1)*100</f>
        <v>10.440862263651196</v>
      </c>
      <c r="BG147" s="1611">
        <f>qtrSales!F148</f>
        <v>12</v>
      </c>
      <c r="BH147" s="1625">
        <f>'qtrP&amp;L'!CD64</f>
        <v>644.23000000000025</v>
      </c>
      <c r="BI147" s="1643">
        <f>+BH147/BB147*100</f>
        <v>10.842435876592507</v>
      </c>
      <c r="BJ147" s="1624">
        <v>51.351999999999997</v>
      </c>
      <c r="BK147" s="1625">
        <f>+G147+Z147+AF147+AL147+AR147-BJ147</f>
        <v>644.23</v>
      </c>
      <c r="BL147" s="1638" t="str">
        <f>IF(ROUND(BH147,1)=ROUND(BK147,1),"y","n")</f>
        <v>y</v>
      </c>
      <c r="BM147" s="1618">
        <f>+BK147/BD147*100</f>
        <v>10.842435876592504</v>
      </c>
      <c r="BN147" s="1499"/>
      <c r="BO147" s="1655"/>
      <c r="BP147" s="1608"/>
      <c r="BQ147" s="1609"/>
      <c r="BR147" s="1614"/>
      <c r="BS147" s="1662"/>
      <c r="BT147" s="1499"/>
      <c r="BU147" s="1422">
        <f>+D147/$BD147</f>
        <v>0.64063778559366225</v>
      </c>
      <c r="BV147" s="1628"/>
      <c r="BW147" s="1628"/>
      <c r="BX147" s="1422">
        <f>+W147/$BD147</f>
        <v>0.1071509956837603</v>
      </c>
      <c r="BY147" s="1422">
        <f>+AC147/BD147</f>
        <v>0.12458509670389815</v>
      </c>
      <c r="BZ147" s="1422">
        <f>+AI147/BD147</f>
        <v>9.0490741273692957E-2</v>
      </c>
      <c r="CA147" s="1422">
        <f>+AO147/BD147</f>
        <v>3.7135380744986408E-2</v>
      </c>
      <c r="CB147" s="467"/>
      <c r="CC147" s="1422">
        <f>+G147/$BK147</f>
        <v>0.73991742079692036</v>
      </c>
      <c r="CD147" s="1628"/>
      <c r="CE147" s="1628"/>
      <c r="CF147" s="1422">
        <f>+Z147/$BK147</f>
        <v>0.11527715256973441</v>
      </c>
      <c r="CG147" s="1422">
        <f>+AF147/$BK147</f>
        <v>0.12598916536019744</v>
      </c>
      <c r="CH147" s="1422">
        <f>+AL147/$BK147</f>
        <v>8.997718206230694E-2</v>
      </c>
      <c r="CI147" s="1422">
        <f>+AR147/$BK147</f>
        <v>8.5497415519302112E-3</v>
      </c>
      <c r="CJ147" s="1422"/>
      <c r="CK147" s="1693">
        <f>+SUM(D147,W147,AC147,AI147)</f>
        <v>5721.0969999999998</v>
      </c>
      <c r="CL147" s="1694"/>
      <c r="CM147" s="1695">
        <f>+SUM(G147,Z147,AF147,AL147)</f>
        <v>690.07399999999996</v>
      </c>
      <c r="CN147" s="1696">
        <f>+CM147/CK147</f>
        <v>0.12061917495892834</v>
      </c>
    </row>
    <row r="148" spans="1:93" hidden="1" outlineLevel="1">
      <c r="A148" s="1499"/>
      <c r="B148" s="1499" t="str">
        <f>$B$15</f>
        <v>Year</v>
      </c>
      <c r="C148" s="1667"/>
      <c r="D148" s="1654">
        <f>+SUM(D144:D147)</f>
        <v>13270.862999999999</v>
      </c>
      <c r="E148" s="1608">
        <f>+(D148/D141-1)*100</f>
        <v>7.3510114202076204</v>
      </c>
      <c r="F148" s="1639">
        <v>7</v>
      </c>
      <c r="G148" s="1614">
        <f>+SUM(G144:G147)</f>
        <v>1588.4520000000002</v>
      </c>
      <c r="H148" s="1662"/>
      <c r="I148" s="1662">
        <f>+G148/D148*100</f>
        <v>11.969470259771352</v>
      </c>
      <c r="J148" s="1765"/>
      <c r="K148" s="1610"/>
      <c r="L148" s="1608"/>
      <c r="M148" s="1609"/>
      <c r="N148" s="1499"/>
      <c r="O148" s="1662"/>
      <c r="P148" s="1609"/>
      <c r="Q148" s="1610"/>
      <c r="R148" s="1608"/>
      <c r="S148" s="1609"/>
      <c r="T148" s="1499"/>
      <c r="U148" s="1662"/>
      <c r="V148" s="1609"/>
      <c r="W148" s="1654">
        <f>SegqtrSales!S289</f>
        <v>2167.9120000000003</v>
      </c>
      <c r="X148" s="1608">
        <f>+(W148/W141-1)*100</f>
        <v>1.3306734509870077</v>
      </c>
      <c r="Y148" s="1639">
        <v>2</v>
      </c>
      <c r="Z148" s="1614">
        <f>+SUM(Z144:Z147)</f>
        <v>254.97399999999999</v>
      </c>
      <c r="AA148" s="1662">
        <f>+Z148/W148*100</f>
        <v>11.761270752687377</v>
      </c>
      <c r="AB148" s="1770"/>
      <c r="AC148" s="1655">
        <f>SegqtrSales!S466</f>
        <v>2275.4490000000001</v>
      </c>
      <c r="AD148" s="1608">
        <f>+(AC148/AC141-1)*100</f>
        <v>1.4893466134001221</v>
      </c>
      <c r="AE148" s="1639">
        <v>5</v>
      </c>
      <c r="AF148" s="1614">
        <f>+SUM(AF144:AF147)</f>
        <v>163.96899999999999</v>
      </c>
      <c r="AG148" s="1662">
        <f>+AF148/AC148*100</f>
        <v>7.2060063750055487</v>
      </c>
      <c r="AH148" s="1765"/>
      <c r="AI148" s="1655">
        <f>SegqtrSales!S643</f>
        <v>1794.4089999999999</v>
      </c>
      <c r="AJ148" s="1608">
        <f>+(AI148/AI141-1)*100</f>
        <v>13.693525761490633</v>
      </c>
      <c r="AK148" s="1639">
        <v>9</v>
      </c>
      <c r="AL148" s="1614">
        <f>+SUM(AL144:AL147)</f>
        <v>137.52500000000001</v>
      </c>
      <c r="AM148" s="1618">
        <f>+AL148/AI148*100</f>
        <v>7.6640832719853735</v>
      </c>
      <c r="AN148" s="1609"/>
      <c r="AO148" s="1654">
        <f>SegqtrSales!S800</f>
        <v>0</v>
      </c>
      <c r="AP148" s="1608">
        <f>+(AO148/AO141-1)*100</f>
        <v>-100</v>
      </c>
      <c r="AQ148" s="1639">
        <v>9</v>
      </c>
      <c r="AR148" s="1614">
        <f>+SUM(AR144:AR147)</f>
        <v>12.565000000000001</v>
      </c>
      <c r="AS148" s="1618" t="e">
        <f>+AR148/AO148*100</f>
        <v>#DIV/0!</v>
      </c>
      <c r="AT148" s="1609"/>
      <c r="AU148" s="1609"/>
      <c r="AV148" s="1688"/>
      <c r="AW148" s="1676"/>
      <c r="AX148" s="1677"/>
      <c r="AY148" s="1678"/>
      <c r="AZ148" s="1679"/>
      <c r="BA148" s="1609"/>
      <c r="BB148" s="1614">
        <f>'qtrP&amp;L'!CD14</f>
        <v>20288.444</v>
      </c>
      <c r="BC148" s="1609">
        <f>'qtrP&amp;L'!CF14</f>
        <v>6</v>
      </c>
      <c r="BD148" s="1614">
        <f>+D148+W148+AC148+AI148+AO148</f>
        <v>19508.632999999998</v>
      </c>
      <c r="BE148" s="1638" t="str">
        <f>IF(ROUND(BB148,2)=ROUND(BD148,2),"y","n")</f>
        <v>n</v>
      </c>
      <c r="BF148" s="1608">
        <f>+(BD148/BD141-1)*100</f>
        <v>1.9954073232291814</v>
      </c>
      <c r="BG148" s="1609">
        <f>qtrSales!F149</f>
        <v>6</v>
      </c>
      <c r="BH148" s="1614">
        <f>'qtrP&amp;L'!CD65</f>
        <v>1991.0710000000004</v>
      </c>
      <c r="BI148" s="1662">
        <f>+BH148/BB148*100</f>
        <v>9.813818151850386</v>
      </c>
      <c r="BJ148" s="1621">
        <f>SUM(BJ144:BJ147)</f>
        <v>166.41399999999999</v>
      </c>
      <c r="BK148" s="1614">
        <f>+G148+Z148+AF148+AL148+AR148-BJ148</f>
        <v>1991.0710000000001</v>
      </c>
      <c r="BL148" s="1638" t="str">
        <f>IF(ROUND(BH148,0)=ROUND(BK148,0),"y","n")</f>
        <v>y</v>
      </c>
      <c r="BM148" s="1618">
        <f>+BK148/BD148*100</f>
        <v>10.206102088239604</v>
      </c>
      <c r="BN148" s="1499"/>
      <c r="BO148" s="1655"/>
      <c r="BP148" s="1608"/>
      <c r="BQ148" s="1609"/>
      <c r="BR148" s="1614"/>
      <c r="BS148" s="1662"/>
      <c r="BT148" s="1499"/>
      <c r="BU148" s="1460">
        <f>+D148/$BD148</f>
        <v>0.68025591541959918</v>
      </c>
      <c r="BV148" s="1664"/>
      <c r="BW148" s="1664"/>
      <c r="BX148" s="1460">
        <f>+W148/$BD148</f>
        <v>0.11112577698293881</v>
      </c>
      <c r="BY148" s="1460">
        <f>+AC148/BD148</f>
        <v>0.11663805454744063</v>
      </c>
      <c r="BZ148" s="1460">
        <f>+AI148/BD148</f>
        <v>9.1980253050021499E-2</v>
      </c>
      <c r="CA148" s="1460">
        <f>+AO148/BD148</f>
        <v>0</v>
      </c>
      <c r="CB148" s="1499"/>
      <c r="CC148" s="1460">
        <f>+G148/$BK148</f>
        <v>0.79778772329063108</v>
      </c>
      <c r="CD148" s="1664"/>
      <c r="CE148" s="1664"/>
      <c r="CF148" s="1460">
        <f>+Z148/$BK148</f>
        <v>0.12805871814716802</v>
      </c>
      <c r="CG148" s="1460">
        <f>+AF148/$BK148</f>
        <v>8.2352161223783568E-2</v>
      </c>
      <c r="CH148" s="1460">
        <f>+AL148/$BK148</f>
        <v>6.9070866885209012E-2</v>
      </c>
      <c r="CI148" s="1460">
        <f>+AR148/$BK148</f>
        <v>6.310674004091266E-3</v>
      </c>
      <c r="CJ148" s="1460"/>
      <c r="CK148" s="1697">
        <f>+SUM(D148,W148,AC148,AI148)</f>
        <v>19508.632999999998</v>
      </c>
      <c r="CL148" s="1193"/>
      <c r="CM148" s="1698">
        <f>+SUM(G148,Z148,AF148,AL148)</f>
        <v>2144.92</v>
      </c>
      <c r="CN148" s="1699">
        <f>+CM148/CK148</f>
        <v>0.1099472218273828</v>
      </c>
    </row>
    <row r="149" spans="1:93" hidden="1" outlineLevel="1">
      <c r="A149" s="1499"/>
      <c r="B149" s="1499"/>
      <c r="C149" s="1667"/>
      <c r="D149" s="1654"/>
      <c r="E149" s="1608"/>
      <c r="F149" s="1609"/>
      <c r="G149" s="1614"/>
      <c r="H149" s="1662"/>
      <c r="I149" s="1662"/>
      <c r="J149" s="1765"/>
      <c r="K149" s="1610"/>
      <c r="L149" s="1608"/>
      <c r="M149" s="1609"/>
      <c r="N149" s="1499"/>
      <c r="O149" s="1662"/>
      <c r="P149" s="1609"/>
      <c r="Q149" s="1610"/>
      <c r="R149" s="1608"/>
      <c r="S149" s="1609"/>
      <c r="T149" s="1499"/>
      <c r="U149" s="1662"/>
      <c r="V149" s="1609"/>
      <c r="W149" s="1690"/>
      <c r="X149" s="1608"/>
      <c r="Y149" s="1609"/>
      <c r="Z149" s="1614"/>
      <c r="AA149" s="1662"/>
      <c r="AB149" s="1770"/>
      <c r="AC149" s="1767"/>
      <c r="AD149" s="1608"/>
      <c r="AE149" s="1609"/>
      <c r="AF149" s="1614"/>
      <c r="AG149" s="1662"/>
      <c r="AH149" s="1765"/>
      <c r="AI149" s="1655"/>
      <c r="AJ149" s="1608"/>
      <c r="AK149" s="1609"/>
      <c r="AL149" s="1614"/>
      <c r="AM149" s="1618"/>
      <c r="AN149" s="1609"/>
      <c r="AO149" s="1673">
        <f>AO147/AO133-1</f>
        <v>0.16928628963879944</v>
      </c>
      <c r="AP149" s="1608"/>
      <c r="AQ149" s="1609"/>
      <c r="AR149" s="1614"/>
      <c r="AS149" s="1618"/>
      <c r="AT149" s="1609"/>
      <c r="AU149" s="1609"/>
      <c r="AV149" s="1688"/>
      <c r="AW149" s="1676"/>
      <c r="AX149" s="1677"/>
      <c r="AY149" s="1678"/>
      <c r="AZ149" s="1679"/>
      <c r="BA149" s="1609"/>
      <c r="BB149" s="1614"/>
      <c r="BC149" s="1609"/>
      <c r="BD149" s="1614"/>
      <c r="BE149" s="1638"/>
      <c r="BF149" s="1608"/>
      <c r="BG149" s="1609"/>
      <c r="BH149" s="1614"/>
      <c r="BI149" s="1662"/>
      <c r="BJ149" s="1621"/>
      <c r="BK149" s="1614"/>
      <c r="BL149" s="1638"/>
      <c r="BM149" s="1618"/>
      <c r="BN149" s="1499"/>
      <c r="BO149" s="1655"/>
      <c r="BP149" s="1608"/>
      <c r="BQ149" s="1609"/>
      <c r="BR149" s="1614"/>
      <c r="BS149" s="1662"/>
      <c r="BT149" s="1499"/>
      <c r="BU149" s="1460"/>
      <c r="BV149" s="1664"/>
      <c r="BW149" s="1664"/>
      <c r="BX149" s="1460"/>
      <c r="BY149" s="1460"/>
      <c r="BZ149" s="1460"/>
      <c r="CA149" s="1460"/>
      <c r="CB149" s="1499"/>
      <c r="CC149" s="1460"/>
      <c r="CD149" s="1664"/>
      <c r="CE149" s="1664"/>
      <c r="CF149" s="1460"/>
      <c r="CG149" s="1460"/>
      <c r="CH149" s="1460"/>
      <c r="CI149" s="1460"/>
      <c r="CJ149" s="1460"/>
      <c r="CK149" s="1700"/>
      <c r="CL149" s="1193"/>
      <c r="CM149" s="1193"/>
      <c r="CN149" s="1701"/>
      <c r="CO149" s="693" t="s">
        <v>161</v>
      </c>
    </row>
    <row r="150" spans="1:93" hidden="1" outlineLevel="1">
      <c r="A150" s="2111">
        <f>+A143+1</f>
        <v>2010</v>
      </c>
      <c r="B150" s="2111"/>
      <c r="C150" s="1667"/>
      <c r="D150" s="1654"/>
      <c r="E150" s="1608"/>
      <c r="F150" s="1609"/>
      <c r="G150" s="1614"/>
      <c r="H150" s="1662"/>
      <c r="I150" s="1662"/>
      <c r="J150" s="1765"/>
      <c r="K150" s="1610"/>
      <c r="L150" s="1608"/>
      <c r="M150" s="1609"/>
      <c r="N150" s="1499"/>
      <c r="O150" s="1662"/>
      <c r="P150" s="1609"/>
      <c r="Q150" s="1610"/>
      <c r="R150" s="1608"/>
      <c r="S150" s="1609"/>
      <c r="T150" s="1499"/>
      <c r="U150" s="1662"/>
      <c r="V150" s="1609"/>
      <c r="W150" s="1691"/>
      <c r="X150" s="1608"/>
      <c r="Y150" s="1609"/>
      <c r="Z150" s="1614"/>
      <c r="AA150" s="1662"/>
      <c r="AB150" s="1765"/>
      <c r="AC150" s="1614"/>
      <c r="AD150" s="1608"/>
      <c r="AE150" s="1609"/>
      <c r="AF150" s="1692"/>
      <c r="AG150" s="1662"/>
      <c r="AH150" s="1765"/>
      <c r="AI150" s="1614"/>
      <c r="AJ150" s="1608"/>
      <c r="AK150" s="1609"/>
      <c r="AL150" s="1614"/>
      <c r="AM150" s="1618"/>
      <c r="AN150" s="1609"/>
      <c r="AO150" s="1644"/>
      <c r="AP150" s="1608"/>
      <c r="AQ150" s="1609"/>
      <c r="AR150" s="1614"/>
      <c r="AS150" s="1618"/>
      <c r="AT150" s="1609"/>
      <c r="AU150" s="1609"/>
      <c r="AV150" s="1674"/>
      <c r="AW150" s="1608"/>
      <c r="AX150" s="1609"/>
      <c r="AY150" s="1614"/>
      <c r="AZ150" s="1618"/>
      <c r="BA150" s="1609"/>
      <c r="BB150" s="1621"/>
      <c r="BC150" s="1609"/>
      <c r="BD150" s="1614"/>
      <c r="BE150" s="1663"/>
      <c r="BF150" s="1608"/>
      <c r="BG150" s="1609"/>
      <c r="BH150" s="1614"/>
      <c r="BI150" s="1662"/>
      <c r="BJ150" s="1621"/>
      <c r="BK150" s="1614"/>
      <c r="BL150" s="1663"/>
      <c r="BM150" s="1618"/>
      <c r="BN150" s="1499"/>
      <c r="BO150" s="1655"/>
      <c r="BP150" s="1608"/>
      <c r="BQ150" s="1609"/>
      <c r="BR150" s="1614"/>
      <c r="BS150" s="1662"/>
      <c r="BT150" s="1499"/>
      <c r="BU150" s="1460"/>
      <c r="BV150" s="1664"/>
      <c r="BW150" s="1664"/>
      <c r="BX150" s="1460"/>
      <c r="BY150" s="1460"/>
      <c r="BZ150" s="1460"/>
      <c r="CA150" s="1460"/>
      <c r="CB150" s="1499"/>
      <c r="CC150" s="1460"/>
      <c r="CD150" s="1664"/>
      <c r="CE150" s="1664"/>
      <c r="CF150" s="1460"/>
      <c r="CG150" s="1460"/>
      <c r="CH150" s="1460"/>
      <c r="CI150" s="1460"/>
      <c r="CJ150" s="1460"/>
      <c r="CK150" s="1700"/>
      <c r="CL150" s="1193"/>
      <c r="CM150" s="1193"/>
      <c r="CN150" s="1701"/>
    </row>
    <row r="151" spans="1:93" hidden="1" outlineLevel="1">
      <c r="A151" s="467" t="str">
        <f>$A$11</f>
        <v>1Q</v>
      </c>
      <c r="B151" s="467" t="str">
        <f>$B$11</f>
        <v>Apr</v>
      </c>
      <c r="C151" s="1667"/>
      <c r="D151" s="1607">
        <v>3277.864</v>
      </c>
      <c r="E151" s="1608">
        <f>+(D151/D144-1)*100</f>
        <v>11.556136539758066</v>
      </c>
      <c r="F151" s="1639">
        <v>10</v>
      </c>
      <c r="G151" s="1610">
        <v>468.48</v>
      </c>
      <c r="H151" s="1662"/>
      <c r="I151" s="1662">
        <f>+G151/D151*100</f>
        <v>14.292234211059398</v>
      </c>
      <c r="J151" s="1765">
        <f>I151-I144</f>
        <v>3.0384824783451059</v>
      </c>
      <c r="K151" s="1610"/>
      <c r="L151" s="1608"/>
      <c r="M151" s="1609"/>
      <c r="N151" s="1499"/>
      <c r="O151" s="1662"/>
      <c r="P151" s="1609"/>
      <c r="Q151" s="1610"/>
      <c r="R151" s="1608"/>
      <c r="S151" s="1609"/>
      <c r="T151" s="1499"/>
      <c r="U151" s="1662"/>
      <c r="V151" s="1609"/>
      <c r="W151" s="1607">
        <v>554.99800000000005</v>
      </c>
      <c r="X151" s="1608">
        <f>+(W151/W144-1)*100</f>
        <v>30.867358969280257</v>
      </c>
      <c r="Y151" s="1639">
        <v>6</v>
      </c>
      <c r="Z151" s="1610">
        <v>54.359000000000002</v>
      </c>
      <c r="AA151" s="1662">
        <f>+Z151/W151*100</f>
        <v>9.7944497097286831</v>
      </c>
      <c r="AB151" s="1770">
        <f>AA151-AA144</f>
        <v>5.1428646762925414</v>
      </c>
      <c r="AC151" s="1610">
        <v>515.24</v>
      </c>
      <c r="AD151" s="1608">
        <f>+(AC151/AC144-1)*100</f>
        <v>22.520414520585732</v>
      </c>
      <c r="AE151" s="1639">
        <v>1</v>
      </c>
      <c r="AF151" s="1610">
        <v>5.8419999999999996</v>
      </c>
      <c r="AG151" s="1662">
        <f>+AF151/AC151*100</f>
        <v>1.1338405403307197</v>
      </c>
      <c r="AH151" s="1765">
        <f>AG151-AG144</f>
        <v>-1.075968892438093</v>
      </c>
      <c r="AI151" s="1610">
        <v>457.05900000000003</v>
      </c>
      <c r="AJ151" s="1608">
        <f>+(AI151/AI144-1)*100</f>
        <v>16.627923295780779</v>
      </c>
      <c r="AK151" s="1639">
        <v>15</v>
      </c>
      <c r="AL151" s="1610">
        <v>40.593000000000004</v>
      </c>
      <c r="AM151" s="1618">
        <f>+AL151/AI151*100</f>
        <v>8.88134792225949</v>
      </c>
      <c r="AN151" s="1609">
        <f>AM151-AM144</f>
        <v>4.9075794383543618</v>
      </c>
      <c r="AO151" s="1607">
        <v>211.37899999999999</v>
      </c>
      <c r="AP151" s="1608">
        <f>+(AO151/AO144-1)*100</f>
        <v>17.829470327881648</v>
      </c>
      <c r="AQ151" s="1639">
        <v>7</v>
      </c>
      <c r="AR151" s="1610">
        <v>9.7859999999999996</v>
      </c>
      <c r="AS151" s="1618">
        <f>AR151/AO151*100</f>
        <v>4.6295989667847799</v>
      </c>
      <c r="AT151" s="1609">
        <f>AS151-AS144</f>
        <v>2.1696504735241358</v>
      </c>
      <c r="AU151" s="1609"/>
      <c r="AV151" s="1675"/>
      <c r="AW151" s="1676"/>
      <c r="AX151" s="1677"/>
      <c r="AY151" s="1678"/>
      <c r="AZ151" s="1679"/>
      <c r="BA151" s="1609"/>
      <c r="BB151" s="1614">
        <f>'qtrP&amp;L'!CH10</f>
        <v>5016.54</v>
      </c>
      <c r="BC151" s="1611">
        <f>'qtrP&amp;L'!CJ10</f>
        <v>9</v>
      </c>
      <c r="BD151" s="1680">
        <f>+D151+W151+AC151+AI151+AO151</f>
        <v>5016.54</v>
      </c>
      <c r="BE151" s="1638" t="str">
        <f>IF(ROUND(BB151,2)=ROUND(BD151,2),"y","n")</f>
        <v>y</v>
      </c>
      <c r="BF151" s="1613">
        <f>+(BD151/BD144-1)*100</f>
        <v>15.210884878683316</v>
      </c>
      <c r="BG151" s="1611">
        <f>qtrSales!F152</f>
        <v>9</v>
      </c>
      <c r="BH151" s="1614">
        <f>'qtrP&amp;L'!CH61</f>
        <v>546.50299999999993</v>
      </c>
      <c r="BI151" s="1620">
        <f>+BH151/BB151*100</f>
        <v>10.894022573327431</v>
      </c>
      <c r="BJ151" s="1610">
        <v>32.557000000000002</v>
      </c>
      <c r="BK151" s="1614">
        <f>+G151+Z151+AF151+AL151+AR151-BJ151</f>
        <v>546.50299999999993</v>
      </c>
      <c r="BL151" s="1638" t="str">
        <f>IF(ROUND(BH151,0)=ROUND(BK151,0),"y","n")</f>
        <v>y</v>
      </c>
      <c r="BM151" s="1618">
        <f>+BK151/BD151*100</f>
        <v>10.894022573327431</v>
      </c>
      <c r="BN151" s="1499"/>
      <c r="BO151" s="1655"/>
      <c r="BP151" s="1608"/>
      <c r="BQ151" s="1609"/>
      <c r="BR151" s="1614"/>
      <c r="BS151" s="1662"/>
      <c r="BT151" s="1499"/>
      <c r="BU151" s="1422">
        <f>+D151/$BD151</f>
        <v>0.65341131536876018</v>
      </c>
      <c r="BV151" s="1628"/>
      <c r="BW151" s="1628"/>
      <c r="BX151" s="1422">
        <f>+W151/$BD151</f>
        <v>0.11063362397190096</v>
      </c>
      <c r="BY151" s="1422">
        <f>+AC151/BD151</f>
        <v>0.10270824113831446</v>
      </c>
      <c r="BZ151" s="1422">
        <f>+AI151/BD151</f>
        <v>9.1110406774390321E-2</v>
      </c>
      <c r="CA151" s="1422">
        <f>+AO151/BD151</f>
        <v>4.2136412746634135E-2</v>
      </c>
      <c r="CB151" s="467"/>
      <c r="CC151" s="1422">
        <f>+G151/$BK151</f>
        <v>0.85723225673052128</v>
      </c>
      <c r="CD151" s="1628"/>
      <c r="CE151" s="1628"/>
      <c r="CF151" s="1422">
        <f>+Z151/$BK151</f>
        <v>9.9466974563726107E-2</v>
      </c>
      <c r="CG151" s="1422">
        <f>+AF151/$BK151</f>
        <v>1.0689785783426624E-2</v>
      </c>
      <c r="CH151" s="1422">
        <f>+AL151/$BK151</f>
        <v>7.4277725831331229E-2</v>
      </c>
      <c r="CI151" s="1422">
        <f>+AR151/$BK151</f>
        <v>1.7906580567718752E-2</v>
      </c>
      <c r="CJ151" s="1422"/>
      <c r="CK151" s="1697">
        <f>+SUM(D151,W151,AC151,AI151)</f>
        <v>4805.1610000000001</v>
      </c>
      <c r="CL151" s="1193"/>
      <c r="CM151" s="1698">
        <f>+SUM(G151,Z151,AF151,AL151)</f>
        <v>569.274</v>
      </c>
      <c r="CN151" s="1699">
        <f>+CM151/CK151</f>
        <v>0.11847136859722286</v>
      </c>
    </row>
    <row r="152" spans="1:93" hidden="1" outlineLevel="1">
      <c r="A152" s="467" t="str">
        <f>$A$12</f>
        <v>2Q</v>
      </c>
      <c r="B152" s="467" t="str">
        <f>$B$12</f>
        <v>Jul</v>
      </c>
      <c r="C152" s="1667"/>
      <c r="D152" s="1616">
        <v>3309.549</v>
      </c>
      <c r="E152" s="1608">
        <f>+(D152/D145-1)*100</f>
        <v>5.2152214716624234</v>
      </c>
      <c r="F152" s="1639">
        <v>3</v>
      </c>
      <c r="G152" s="1617">
        <v>416.255</v>
      </c>
      <c r="H152" s="1662"/>
      <c r="I152" s="1662">
        <f>+G152/D152*100</f>
        <v>12.577393475666925</v>
      </c>
      <c r="J152" s="1765">
        <f>I152-I145</f>
        <v>1.1849107447595735</v>
      </c>
      <c r="K152" s="1610"/>
      <c r="L152" s="1608"/>
      <c r="M152" s="1609"/>
      <c r="N152" s="1499"/>
      <c r="O152" s="1662"/>
      <c r="P152" s="1609"/>
      <c r="Q152" s="1610"/>
      <c r="R152" s="1608"/>
      <c r="S152" s="1609"/>
      <c r="T152" s="1499"/>
      <c r="U152" s="1662"/>
      <c r="V152" s="1609"/>
      <c r="W152" s="1616">
        <v>581.447</v>
      </c>
      <c r="X152" s="1608">
        <f>+(W152/W145-1)*100</f>
        <v>17.305026923100208</v>
      </c>
      <c r="Y152" s="1639">
        <v>6</v>
      </c>
      <c r="Z152" s="1617">
        <f>81.722</f>
        <v>81.721999999999994</v>
      </c>
      <c r="AA152" s="1662">
        <f>+Z152/W152*100</f>
        <v>14.054935359542659</v>
      </c>
      <c r="AB152" s="1765">
        <f>AA152-AA145</f>
        <v>4.3769433043286163</v>
      </c>
      <c r="AC152" s="1617">
        <v>528.17999999999995</v>
      </c>
      <c r="AD152" s="1608">
        <f>+(AC152/AC145-1)*100</f>
        <v>3.2430329815535508</v>
      </c>
      <c r="AE152" s="1639">
        <v>-4</v>
      </c>
      <c r="AF152" s="1617">
        <v>2.1219999999999999</v>
      </c>
      <c r="AG152" s="1662">
        <f>+AF152/AC152*100</f>
        <v>0.4017569767882162</v>
      </c>
      <c r="AH152" s="1765">
        <f>AG152-AG145</f>
        <v>-4.430246838774667</v>
      </c>
      <c r="AI152" s="1617">
        <v>455.685</v>
      </c>
      <c r="AJ152" s="1608">
        <f>+(AI152/AI145-1)*100</f>
        <v>10.37891468061245</v>
      </c>
      <c r="AK152" s="1639">
        <v>8</v>
      </c>
      <c r="AL152" s="1617">
        <v>35.176000000000002</v>
      </c>
      <c r="AM152" s="1618">
        <f>+AL152/AI152*100</f>
        <v>7.7193675455632729</v>
      </c>
      <c r="AN152" s="1609">
        <f>AM152-AM145</f>
        <v>1.7770707068593774</v>
      </c>
      <c r="AO152" s="1616">
        <v>193.21899999999999</v>
      </c>
      <c r="AP152" s="1608">
        <f>+(AO152/AO145-1)*100</f>
        <v>6.206885179220234</v>
      </c>
      <c r="AQ152" s="1639">
        <v>0</v>
      </c>
      <c r="AR152" s="1617">
        <v>2.012</v>
      </c>
      <c r="AS152" s="1618">
        <f>AR152/AO152*100</f>
        <v>1.0413054616781994</v>
      </c>
      <c r="AT152" s="1609">
        <f>AS152-AS145</f>
        <v>0.28770649066235232</v>
      </c>
      <c r="AU152" s="1609"/>
      <c r="AV152" s="1683"/>
      <c r="AW152" s="1676"/>
      <c r="AX152" s="1677"/>
      <c r="AY152" s="1684"/>
      <c r="AZ152" s="1679"/>
      <c r="BA152" s="1609"/>
      <c r="BB152" s="1621">
        <f>'qtrP&amp;L'!CH11</f>
        <v>5068.08</v>
      </c>
      <c r="BC152" s="1611">
        <f>'qtrP&amp;L'!CJ11</f>
        <v>3</v>
      </c>
      <c r="BD152" s="1670">
        <f>+D152+W152+AC152+AI152+AO152</f>
        <v>5068.0800000000008</v>
      </c>
      <c r="BE152" s="1638" t="str">
        <f>IF(ROUND(BB152,2)=ROUND(BD152,2),"y","n")</f>
        <v>y</v>
      </c>
      <c r="BF152" s="1613">
        <f>+(BD152/BD145-1)*100</f>
        <v>6.751977028887457</v>
      </c>
      <c r="BG152" s="1611">
        <f>qtrSales!F153</f>
        <v>3</v>
      </c>
      <c r="BH152" s="1621">
        <f>'qtrP&amp;L'!CH62</f>
        <v>495.06899999999985</v>
      </c>
      <c r="BI152" s="1620">
        <f>+BH152/BB152*100</f>
        <v>9.7683738220391128</v>
      </c>
      <c r="BJ152" s="1617">
        <v>42.218000000000004</v>
      </c>
      <c r="BK152" s="1621">
        <f>+G152+Z152+AF152+AL152+AR152-BJ152</f>
        <v>495.0689999999999</v>
      </c>
      <c r="BL152" s="1638" t="str">
        <f>IF(ROUND(BH152,0)=ROUND(BK152,0),"y","n")</f>
        <v>y</v>
      </c>
      <c r="BM152" s="1618">
        <f>+BK152/BD152*100</f>
        <v>9.768373822039111</v>
      </c>
      <c r="BN152" s="1499"/>
      <c r="BO152" s="1655"/>
      <c r="BP152" s="1608"/>
      <c r="BQ152" s="1609"/>
      <c r="BR152" s="1614"/>
      <c r="BS152" s="1662"/>
      <c r="BT152" s="1499"/>
      <c r="BU152" s="1422">
        <f>+D152/$BD152</f>
        <v>0.65301830278922179</v>
      </c>
      <c r="BV152" s="1628"/>
      <c r="BW152" s="1628"/>
      <c r="BX152" s="1422">
        <f>+W152/$BD152</f>
        <v>0.11472727344477592</v>
      </c>
      <c r="BY152" s="1422">
        <f>+AC152/BD152</f>
        <v>0.10421698157882273</v>
      </c>
      <c r="BZ152" s="1422">
        <f>+AI152/BD152</f>
        <v>8.9912748022919903E-2</v>
      </c>
      <c r="CA152" s="1422">
        <f>+AO152/BD152</f>
        <v>3.8124694164259433E-2</v>
      </c>
      <c r="CB152" s="467"/>
      <c r="CC152" s="1422">
        <f>+G152/$BK152</f>
        <v>0.8408019892176648</v>
      </c>
      <c r="CD152" s="1628"/>
      <c r="CE152" s="1628"/>
      <c r="CF152" s="1422">
        <f>+Z152/$BK152</f>
        <v>0.16507193946702381</v>
      </c>
      <c r="CG152" s="1422">
        <f>+AF152/$BK152</f>
        <v>4.2862712066398835E-3</v>
      </c>
      <c r="CH152" s="1422">
        <f>+AL152/$BK152</f>
        <v>7.1052721943809877E-2</v>
      </c>
      <c r="CI152" s="1422">
        <f>+AR152/$BK152</f>
        <v>4.0640799565313124E-3</v>
      </c>
      <c r="CJ152" s="1422"/>
      <c r="CK152" s="1697">
        <f>+SUM(D152,W152,AC152,AI152)</f>
        <v>4874.8610000000008</v>
      </c>
      <c r="CL152" s="1193"/>
      <c r="CM152" s="1698">
        <f>+SUM(G152,Z152,AF152,AL152)</f>
        <v>535.27499999999998</v>
      </c>
      <c r="CN152" s="1699">
        <f>+CM152/CK152</f>
        <v>0.10980313079696014</v>
      </c>
    </row>
    <row r="153" spans="1:93" ht="13.5" hidden="1" outlineLevel="1" thickBot="1">
      <c r="A153" s="467" t="str">
        <f>$A$13</f>
        <v>3Q</v>
      </c>
      <c r="B153" s="467" t="str">
        <f>$B$13</f>
        <v>Oct</v>
      </c>
      <c r="C153" s="1685"/>
      <c r="D153" s="1616">
        <v>3502.67</v>
      </c>
      <c r="E153" s="1608">
        <f>+(D153/D146-1)*100</f>
        <v>3.6126444775292033</v>
      </c>
      <c r="F153" s="1639">
        <v>1</v>
      </c>
      <c r="G153" s="1617">
        <v>453.72</v>
      </c>
      <c r="H153" s="1662"/>
      <c r="I153" s="1662">
        <f>+G153/D153*100</f>
        <v>12.953546865676755</v>
      </c>
      <c r="J153" s="1765">
        <f>I153-I146</f>
        <v>0.44804109337922604</v>
      </c>
      <c r="K153" s="1610"/>
      <c r="L153" s="1608"/>
      <c r="M153" s="1609"/>
      <c r="N153" s="1499"/>
      <c r="O153" s="1662"/>
      <c r="P153" s="1609"/>
      <c r="Q153" s="1610"/>
      <c r="R153" s="1608"/>
      <c r="S153" s="1609"/>
      <c r="T153" s="1499"/>
      <c r="U153" s="1662"/>
      <c r="V153" s="1609"/>
      <c r="W153" s="1616">
        <v>666.79899999999998</v>
      </c>
      <c r="X153" s="1608">
        <f>+(W153/W146-1)*100</f>
        <v>9.0458474042699244</v>
      </c>
      <c r="Y153" s="1639">
        <v>3</v>
      </c>
      <c r="Z153" s="1617">
        <v>113.84399999999999</v>
      </c>
      <c r="AA153" s="1662">
        <f>+Z153/W153*100</f>
        <v>17.073210967622927</v>
      </c>
      <c r="AB153" s="1765">
        <f>AA153-AA146</f>
        <v>-1.4081908656190976</v>
      </c>
      <c r="AC153" s="1617">
        <v>671.69500000000005</v>
      </c>
      <c r="AD153" s="1608">
        <f>+(AC153/AC146-1)*100</f>
        <v>11.37872197893126</v>
      </c>
      <c r="AE153" s="1639">
        <v>-3</v>
      </c>
      <c r="AF153" s="1617">
        <v>41.213999999999999</v>
      </c>
      <c r="AG153" s="1662">
        <f>+AF153/AC153*100</f>
        <v>6.1358205733256908</v>
      </c>
      <c r="AH153" s="1765">
        <f>AG153-AG146</f>
        <v>-1.9544106258823648</v>
      </c>
      <c r="AI153" s="1617">
        <v>479.85899999999998</v>
      </c>
      <c r="AJ153" s="1608">
        <f>+(AI153/AI146-1)*100</f>
        <v>6.1625560835744775</v>
      </c>
      <c r="AK153" s="1639">
        <v>3</v>
      </c>
      <c r="AL153" s="1617">
        <v>44.545000000000002</v>
      </c>
      <c r="AM153" s="1618">
        <f>+AL153/AI153*100</f>
        <v>9.2829351955470258</v>
      </c>
      <c r="AN153" s="1609">
        <f>AM153-AM146</f>
        <v>0.55425137858965456</v>
      </c>
      <c r="AO153" s="1616">
        <v>204.82400000000001</v>
      </c>
      <c r="AP153" s="1608">
        <f>+(AO153/AO146-1)*100</f>
        <v>3.5296020541748296</v>
      </c>
      <c r="AQ153" s="1639">
        <v>-2</v>
      </c>
      <c r="AR153" s="1617">
        <v>-1.1830000000000001</v>
      </c>
      <c r="AS153" s="1618">
        <f>AR153/AO153*100</f>
        <v>-0.57756903487872513</v>
      </c>
      <c r="AT153" s="1609">
        <f>AS153-AS146</f>
        <v>-1.2210150344440325</v>
      </c>
      <c r="AU153" s="1609"/>
      <c r="AV153" s="1683"/>
      <c r="AW153" s="1676"/>
      <c r="AX153" s="1677"/>
      <c r="AY153" s="1684"/>
      <c r="AZ153" s="1679"/>
      <c r="BA153" s="1609"/>
      <c r="BB153" s="1621">
        <f>'qtrP&amp;L'!CH12</f>
        <v>5525.8469999999998</v>
      </c>
      <c r="BC153" s="1611">
        <f>'qtrP&amp;L'!CJ12</f>
        <v>1</v>
      </c>
      <c r="BD153" s="1670">
        <f>+D153+W153+AC153+AI153+AO153</f>
        <v>5525.8469999999998</v>
      </c>
      <c r="BE153" s="1638" t="str">
        <f>IF(ROUND(BB153,1)=ROUND(BD153,1),"y","n")</f>
        <v>y</v>
      </c>
      <c r="BF153" s="1613">
        <f>+(BD153/BD146-1)*100</f>
        <v>5.3556509447380218</v>
      </c>
      <c r="BG153" s="1611">
        <f>qtrSales!F154</f>
        <v>1</v>
      </c>
      <c r="BH153" s="1621">
        <f>'qtrP&amp;L'!CH63</f>
        <v>606.63499999999976</v>
      </c>
      <c r="BI153" s="1620">
        <f>+BH153/BB153*100</f>
        <v>10.978136021500411</v>
      </c>
      <c r="BJ153" s="1617">
        <v>45.505000000000003</v>
      </c>
      <c r="BK153" s="1621">
        <f>+G153+Z153+AF153+AL153+AR153-BJ153</f>
        <v>606.63499999999999</v>
      </c>
      <c r="BL153" s="1638" t="str">
        <f>IF(ROUND(BH153,1)=ROUND(BK153,1),"y","n")</f>
        <v>y</v>
      </c>
      <c r="BM153" s="1618">
        <f>+BK153/BD153*100</f>
        <v>10.978136021500415</v>
      </c>
      <c r="BN153" s="1499"/>
      <c r="BO153" s="1655"/>
      <c r="BP153" s="1608"/>
      <c r="BQ153" s="1609"/>
      <c r="BR153" s="1614"/>
      <c r="BS153" s="1662"/>
      <c r="BT153" s="1499"/>
      <c r="BU153" s="1422">
        <f>+D153/$BD153</f>
        <v>0.63387024649795776</v>
      </c>
      <c r="BV153" s="1628"/>
      <c r="BW153" s="1628"/>
      <c r="BX153" s="1422">
        <f>+W153/$BD153</f>
        <v>0.12066910285427736</v>
      </c>
      <c r="BY153" s="1422">
        <f>+AC153/BD153</f>
        <v>0.12155512087106286</v>
      </c>
      <c r="BZ153" s="1422">
        <f>+AI153/BD153</f>
        <v>8.6838994999318658E-2</v>
      </c>
      <c r="CA153" s="1422">
        <f>+AO153/BD153</f>
        <v>3.7066534777383454E-2</v>
      </c>
      <c r="CB153" s="467"/>
      <c r="CC153" s="1422">
        <f>+G153/$BK153</f>
        <v>0.74792915014794736</v>
      </c>
      <c r="CD153" s="1628"/>
      <c r="CE153" s="1628"/>
      <c r="CF153" s="1422">
        <f>+Z153/$BK153</f>
        <v>0.18766474074196179</v>
      </c>
      <c r="CG153" s="1422">
        <f>+AF153/$BK153</f>
        <v>6.793871108656771E-2</v>
      </c>
      <c r="CH153" s="1422">
        <f>+AL153/$BK153</f>
        <v>7.3429657042537941E-2</v>
      </c>
      <c r="CI153" s="1422">
        <f>+AR153/$BK153</f>
        <v>-1.9501017910275537E-3</v>
      </c>
      <c r="CJ153" s="1422"/>
      <c r="CK153" s="1702">
        <f>+SUM(D153,W153,AC153,AI153)</f>
        <v>5321.0230000000001</v>
      </c>
      <c r="CL153" s="1703"/>
      <c r="CM153" s="1704">
        <f>+SUM(G153,Z153,AF153,AL153)</f>
        <v>653.32299999999998</v>
      </c>
      <c r="CN153" s="1705">
        <f>+CM153/CK153</f>
        <v>0.12278146514307492</v>
      </c>
    </row>
    <row r="154" spans="1:93" hidden="1" outlineLevel="1">
      <c r="A154" s="467" t="str">
        <f>$A$14</f>
        <v>4Q</v>
      </c>
      <c r="B154" s="467" t="str">
        <f>$B$14</f>
        <v>Jan</v>
      </c>
      <c r="C154" s="1685"/>
      <c r="D154" s="1623">
        <v>4002.076</v>
      </c>
      <c r="E154" s="1608">
        <f>+(D154/D147-1)*100</f>
        <v>5.1377549023290836</v>
      </c>
      <c r="F154" s="1639">
        <v>3</v>
      </c>
      <c r="G154" s="1624">
        <v>537.49599999999998</v>
      </c>
      <c r="H154" s="1662"/>
      <c r="I154" s="1662">
        <f>+G154/D154*100</f>
        <v>13.43042960703395</v>
      </c>
      <c r="J154" s="1765">
        <f>I154-I147</f>
        <v>0.9077414837755402</v>
      </c>
      <c r="K154" s="1610"/>
      <c r="L154" s="1608"/>
      <c r="M154" s="1609"/>
      <c r="N154" s="1499"/>
      <c r="O154" s="1662"/>
      <c r="P154" s="1609"/>
      <c r="Q154" s="1610"/>
      <c r="R154" s="1608"/>
      <c r="S154" s="1609"/>
      <c r="T154" s="1499"/>
      <c r="U154" s="1662"/>
      <c r="V154" s="1609"/>
      <c r="W154" s="1623">
        <v>706.95699999999999</v>
      </c>
      <c r="X154" s="1608">
        <f>+(W154/W147-1)*100</f>
        <v>11.040831584634914</v>
      </c>
      <c r="Y154" s="1639">
        <v>4</v>
      </c>
      <c r="Z154" s="1624">
        <v>102.06399999999999</v>
      </c>
      <c r="AA154" s="1662">
        <f>+Z154/W154*100</f>
        <v>14.437087404184412</v>
      </c>
      <c r="AB154" s="1765">
        <f>AA154-AA147</f>
        <v>2.7723788609025544</v>
      </c>
      <c r="AC154" s="1624">
        <v>778.34699999999998</v>
      </c>
      <c r="AD154" s="1608">
        <f>+(AC154/AC147-1)*100</f>
        <v>5.1460784353457356</v>
      </c>
      <c r="AE154" s="1639">
        <v>-6</v>
      </c>
      <c r="AF154" s="1624">
        <v>26.670999999999999</v>
      </c>
      <c r="AG154" s="1662">
        <f>+AF154/AC154*100</f>
        <v>3.4266207745388626</v>
      </c>
      <c r="AH154" s="1765">
        <f>AG154-AG147</f>
        <v>-7.5380088858610268</v>
      </c>
      <c r="AI154" s="1624">
        <v>565.404</v>
      </c>
      <c r="AJ154" s="1608">
        <f>+(AI154/AI147-1)*100</f>
        <v>5.1575957877743495</v>
      </c>
      <c r="AK154" s="1639">
        <v>2</v>
      </c>
      <c r="AL154" s="1624">
        <v>66.221000000000004</v>
      </c>
      <c r="AM154" s="1618">
        <f>+AL154/AI154*100</f>
        <v>11.712156263485934</v>
      </c>
      <c r="AN154" s="1609">
        <f>AM154-AM147</f>
        <v>0.93125411664203384</v>
      </c>
      <c r="AO154" s="1623">
        <v>278.94200000000001</v>
      </c>
      <c r="AP154" s="1608">
        <f>+(AO154/AO147-1)*100</f>
        <v>26.418882478506589</v>
      </c>
      <c r="AQ154" s="1639">
        <v>18</v>
      </c>
      <c r="AR154" s="1624">
        <v>-140.601</v>
      </c>
      <c r="AS154" s="1618">
        <f>AR154/AO154*100</f>
        <v>-50.405102135927891</v>
      </c>
      <c r="AT154" s="1609">
        <f>AS154-AS147</f>
        <v>-52.901374496101738</v>
      </c>
      <c r="AU154" s="1609"/>
      <c r="AV154" s="1686"/>
      <c r="AW154" s="1676"/>
      <c r="AX154" s="1677"/>
      <c r="AY154" s="1687"/>
      <c r="AZ154" s="1679"/>
      <c r="BA154" s="1609"/>
      <c r="BB154" s="1625">
        <f>'qtrP&amp;L'!CH13</f>
        <v>6052.7839999999997</v>
      </c>
      <c r="BC154" s="1611">
        <f>'qtrP&amp;L'!CJ13</f>
        <v>2</v>
      </c>
      <c r="BD154" s="1671">
        <f>+D154+W154+AC154+AI154</f>
        <v>6052.7839999999997</v>
      </c>
      <c r="BE154" s="1638" t="str">
        <f>IF(ROUND(BB154,1)=ROUND(BD154,1),"y","n")</f>
        <v>y</v>
      </c>
      <c r="BF154" s="1613">
        <f>+(BD154/BD147-1)*100</f>
        <v>1.8687772920619627</v>
      </c>
      <c r="BG154" s="1611">
        <f>qtrSales!F155</f>
        <v>2</v>
      </c>
      <c r="BH154" s="1625">
        <f>'qtrP&amp;L'!CH64</f>
        <v>684.33000000000015</v>
      </c>
      <c r="BI154" s="1643">
        <f>+BH154/BB154*100</f>
        <v>11.306037023624175</v>
      </c>
      <c r="BJ154" s="1624">
        <v>48.378999999999998</v>
      </c>
      <c r="BK154" s="1625">
        <f>+G154+Z154+AF154+AL154-BJ154</f>
        <v>684.07299999999998</v>
      </c>
      <c r="BL154" s="1638" t="str">
        <f>IF(ROUND(BH154,1)=ROUND(BK154,1),"y","n")</f>
        <v>n</v>
      </c>
      <c r="BM154" s="1618">
        <f>+BK154/BD154*100</f>
        <v>11.301791043592504</v>
      </c>
      <c r="BN154" s="1499"/>
      <c r="BO154" s="1655"/>
      <c r="BP154" s="1608"/>
      <c r="BQ154" s="1609"/>
      <c r="BR154" s="1614"/>
      <c r="BS154" s="1662"/>
      <c r="BT154" s="1499"/>
      <c r="BU154" s="1422">
        <f>+D154/$BD154</f>
        <v>0.66119590588397015</v>
      </c>
      <c r="BV154" s="1628"/>
      <c r="BW154" s="1628"/>
      <c r="BX154" s="1422">
        <f>+W154/$BD154</f>
        <v>0.11679865000964845</v>
      </c>
      <c r="BY154" s="1422">
        <f>+AC154/BD154</f>
        <v>0.12859322255676067</v>
      </c>
      <c r="BZ154" s="1422">
        <f>+AI154/BD154</f>
        <v>9.3412221549620811E-2</v>
      </c>
      <c r="CA154" s="1422">
        <f>+AO154/BD154</f>
        <v>4.6084909026986594E-2</v>
      </c>
      <c r="CB154" s="467"/>
      <c r="CC154" s="1422">
        <f>+G154/$BK154</f>
        <v>0.78572900845377613</v>
      </c>
      <c r="CD154" s="1628"/>
      <c r="CE154" s="1628"/>
      <c r="CF154" s="1422">
        <f>+Z154/$BK154</f>
        <v>0.14920045082907818</v>
      </c>
      <c r="CG154" s="1422">
        <f>+AF154/$BK154</f>
        <v>3.8988529002021717E-2</v>
      </c>
      <c r="CH154" s="1422">
        <f>+AL154/$BK154</f>
        <v>9.6803996064747488E-2</v>
      </c>
      <c r="CI154" s="1422">
        <f>+AR154/$BK154</f>
        <v>-0.20553508178220745</v>
      </c>
      <c r="CJ154" s="1422"/>
      <c r="CK154" s="1650"/>
      <c r="CM154" s="1650"/>
      <c r="CN154" s="493"/>
    </row>
    <row r="155" spans="1:93" hidden="1" outlineLevel="1">
      <c r="A155" s="1499"/>
      <c r="B155" s="1499" t="str">
        <f>$B$15</f>
        <v>Year</v>
      </c>
      <c r="C155" s="1667"/>
      <c r="D155" s="1654">
        <f>+SUM(D151:D154)</f>
        <v>14092.159</v>
      </c>
      <c r="E155" s="1608">
        <f>+(D155/D148-1)*100</f>
        <v>6.1887158355865779</v>
      </c>
      <c r="F155" s="1639">
        <v>4</v>
      </c>
      <c r="G155" s="1614">
        <f>+SUM(G151:G154)</f>
        <v>1875.951</v>
      </c>
      <c r="H155" s="1662"/>
      <c r="I155" s="1662">
        <f>+G155/D155*100</f>
        <v>13.31201982606072</v>
      </c>
      <c r="J155" s="1765"/>
      <c r="K155" s="1610"/>
      <c r="L155" s="1608"/>
      <c r="M155" s="1609"/>
      <c r="N155" s="1499"/>
      <c r="O155" s="1662"/>
      <c r="P155" s="1609"/>
      <c r="Q155" s="1610"/>
      <c r="R155" s="1608"/>
      <c r="S155" s="1609"/>
      <c r="T155" s="1499"/>
      <c r="U155" s="1662"/>
      <c r="V155" s="1609"/>
      <c r="W155" s="1654">
        <f>SegqtrSales!S296</f>
        <v>2510.201</v>
      </c>
      <c r="X155" s="1608">
        <f>+(W155/W148-1)*100</f>
        <v>15.78887888438274</v>
      </c>
      <c r="Y155" s="1639">
        <v>4</v>
      </c>
      <c r="Z155" s="1614">
        <f>+SUM(Z151:Z154)</f>
        <v>351.98899999999998</v>
      </c>
      <c r="AA155" s="1662">
        <f>+Z155/W155*100</f>
        <v>14.022343230681525</v>
      </c>
      <c r="AB155" s="1770"/>
      <c r="AC155" s="1655">
        <f>SegqtrSales!S473</f>
        <v>2493.4620000000004</v>
      </c>
      <c r="AD155" s="1608">
        <f>+(AC155/AC148-1)*100</f>
        <v>9.5810980602070384</v>
      </c>
      <c r="AE155" s="1639">
        <v>-3</v>
      </c>
      <c r="AF155" s="1614">
        <f>+SUM(AF151:AF154)</f>
        <v>75.84899999999999</v>
      </c>
      <c r="AG155" s="1662">
        <f>+AF155/AC155*100</f>
        <v>3.0419152166746466</v>
      </c>
      <c r="AH155" s="1765"/>
      <c r="AI155" s="1655">
        <f>SegqtrSales!S650</f>
        <v>1958.0070000000001</v>
      </c>
      <c r="AJ155" s="1608">
        <f>+(AI155/AI148-1)*100</f>
        <v>9.1170964924941913</v>
      </c>
      <c r="AK155" s="1639">
        <v>6</v>
      </c>
      <c r="AL155" s="1614">
        <f>+SUM(AL151:AL154)</f>
        <v>186.53500000000003</v>
      </c>
      <c r="AM155" s="1618">
        <f>+AL155/AI155*100</f>
        <v>9.5267790156010683</v>
      </c>
      <c r="AN155" s="1609"/>
      <c r="AO155" s="1654">
        <f>SegqtrSales!S807</f>
        <v>0</v>
      </c>
      <c r="AP155" s="1608" t="e">
        <f>+(AO155/AO148-1)*100</f>
        <v>#DIV/0!</v>
      </c>
      <c r="AQ155" s="1639">
        <v>6</v>
      </c>
      <c r="AR155" s="1614">
        <f>+SUM(AR151:AR154)</f>
        <v>-129.98599999999999</v>
      </c>
      <c r="AS155" s="1618" t="e">
        <f>+AR155/AO155*100</f>
        <v>#DIV/0!</v>
      </c>
      <c r="AT155" s="1609"/>
      <c r="AU155" s="1609"/>
      <c r="AV155" s="1688"/>
      <c r="AW155" s="1676"/>
      <c r="AX155" s="1677"/>
      <c r="AY155" s="1678"/>
      <c r="AZ155" s="1679"/>
      <c r="BA155" s="1609"/>
      <c r="BB155" s="1614">
        <f>'qtrP&amp;L'!CH14</f>
        <v>21663.250999999997</v>
      </c>
      <c r="BC155" s="1609">
        <f>'qtrP&amp;L'!CJ14</f>
        <v>4</v>
      </c>
      <c r="BD155" s="1614">
        <f>+D155+W155+AC155+AI155+AO155-AO154</f>
        <v>20774.887000000002</v>
      </c>
      <c r="BE155" s="1638" t="str">
        <f>IF(ROUND(BB155,2)=ROUND(BD155,2),"y","n")</f>
        <v>n</v>
      </c>
      <c r="BF155" s="1608">
        <f>+(BD155/BD148-1)*100</f>
        <v>6.490736690776866</v>
      </c>
      <c r="BG155" s="1609">
        <f>qtrSales!F156</f>
        <v>4</v>
      </c>
      <c r="BH155" s="1614">
        <f>'qtrP&amp;L'!CH65</f>
        <v>2332.5369999999994</v>
      </c>
      <c r="BI155" s="1662">
        <f>+BH155/BB155*100</f>
        <v>10.767252800606888</v>
      </c>
      <c r="BJ155" s="1621">
        <f>SUM(BJ151:BJ154)</f>
        <v>168.65899999999999</v>
      </c>
      <c r="BK155" s="1614">
        <f>+G155+Z155+AF155+AL155+(AR151+AR152+AR153)-BJ155</f>
        <v>2332.2799999999997</v>
      </c>
      <c r="BL155" s="1638" t="str">
        <f>IF(ROUND(BH155,0)=ROUND(BK155,0),"y","n")</f>
        <v>n</v>
      </c>
      <c r="BM155" s="1618">
        <f>+BK155/BD155*100</f>
        <v>11.226438921184021</v>
      </c>
      <c r="BN155" s="1499"/>
      <c r="BO155" s="1655"/>
      <c r="BP155" s="1608"/>
      <c r="BQ155" s="1609"/>
      <c r="BR155" s="1614"/>
      <c r="BS155" s="1662"/>
      <c r="BT155" s="1499"/>
      <c r="BU155" s="1460">
        <f>+D155/$BD155</f>
        <v>0.67832662579584657</v>
      </c>
      <c r="BV155" s="1664"/>
      <c r="BW155" s="1664"/>
      <c r="BX155" s="1460">
        <f>+W155/$BD155</f>
        <v>0.12082862352031083</v>
      </c>
      <c r="BY155" s="1460">
        <f>+AC155/BD155</f>
        <v>0.12002289109923919</v>
      </c>
      <c r="BZ155" s="1460">
        <f>+AI155/BD155</f>
        <v>9.424874368751078E-2</v>
      </c>
      <c r="CA155" s="1460">
        <f>+AO155/BD155</f>
        <v>0</v>
      </c>
      <c r="CB155" s="1499"/>
      <c r="CC155" s="1460">
        <f>+G155/$BK155</f>
        <v>0.80434210300650022</v>
      </c>
      <c r="CD155" s="1664"/>
      <c r="CE155" s="1664"/>
      <c r="CF155" s="1460">
        <f>+Z155/$BK155</f>
        <v>0.1509205584235169</v>
      </c>
      <c r="CG155" s="1460">
        <f>+AF155/$BK155</f>
        <v>3.2521395372768276E-2</v>
      </c>
      <c r="CH155" s="1460">
        <f>+AL155/$BK155</f>
        <v>7.997967653969508E-2</v>
      </c>
      <c r="CI155" s="1460">
        <f>+AR155/$BK155</f>
        <v>-5.5733445383916169E-2</v>
      </c>
      <c r="CJ155" s="1460"/>
      <c r="CK155" s="1650"/>
      <c r="CM155" s="1650"/>
      <c r="CN155" s="493"/>
    </row>
    <row r="156" spans="1:93" ht="7.5" hidden="1" customHeight="1" outlineLevel="1">
      <c r="A156" s="467"/>
      <c r="B156" s="467"/>
      <c r="C156" s="467"/>
      <c r="D156" s="800"/>
      <c r="E156" s="1088"/>
      <c r="F156" s="1088"/>
      <c r="G156" s="1499"/>
      <c r="H156" s="1088"/>
      <c r="I156" s="1499"/>
      <c r="J156" s="1764"/>
      <c r="K156" s="1605"/>
      <c r="L156" s="1605"/>
      <c r="M156" s="1605"/>
      <c r="N156" s="467"/>
      <c r="O156" s="467"/>
      <c r="P156" s="1605"/>
      <c r="Q156" s="1605"/>
      <c r="R156" s="1605"/>
      <c r="S156" s="1605"/>
      <c r="T156" s="467"/>
      <c r="U156" s="467"/>
      <c r="V156" s="1605"/>
      <c r="W156" s="1603"/>
      <c r="X156" s="1088"/>
      <c r="Y156" s="1088"/>
      <c r="Z156" s="1499"/>
      <c r="AA156" s="1499"/>
      <c r="AB156" s="1764"/>
      <c r="AC156" s="1768"/>
      <c r="AD156" s="1088"/>
      <c r="AE156" s="1088"/>
      <c r="AF156" s="1499"/>
      <c r="AG156" s="1499"/>
      <c r="AH156" s="1764"/>
      <c r="AI156" s="800"/>
      <c r="AJ156" s="1088"/>
      <c r="AK156" s="1088"/>
      <c r="AL156" s="1499"/>
      <c r="AM156" s="1499"/>
      <c r="AN156" s="1635"/>
      <c r="AO156" s="800"/>
      <c r="AP156" s="1088"/>
      <c r="AQ156" s="1088"/>
      <c r="AR156" s="1499"/>
      <c r="AS156" s="1499"/>
      <c r="AT156" s="702"/>
      <c r="AU156" s="702"/>
      <c r="AV156" s="1706"/>
      <c r="AW156" s="1707"/>
      <c r="AX156" s="1707"/>
      <c r="AY156" s="1708"/>
      <c r="AZ156" s="1709"/>
      <c r="BA156" s="487"/>
      <c r="BB156" s="693"/>
      <c r="BC156" s="693"/>
      <c r="BD156" s="693"/>
      <c r="BE156" s="1710"/>
      <c r="BF156" s="487"/>
      <c r="BG156" s="487"/>
      <c r="BH156" s="693"/>
      <c r="BI156" s="693"/>
      <c r="BJ156" s="693"/>
      <c r="BK156" s="693"/>
      <c r="BL156" s="1710"/>
      <c r="BM156" s="1604"/>
      <c r="BN156" s="467"/>
      <c r="BO156" s="800"/>
      <c r="BP156" s="1088"/>
      <c r="BQ156" s="1088"/>
      <c r="BR156" s="1499"/>
      <c r="BS156" s="467"/>
      <c r="BT156" s="467"/>
      <c r="BU156" s="467"/>
      <c r="BV156" s="467"/>
      <c r="BW156" s="467"/>
      <c r="BX156" s="467"/>
      <c r="BY156" s="467"/>
      <c r="BZ156" s="467"/>
      <c r="CA156" s="467"/>
      <c r="CB156" s="467"/>
      <c r="CC156" s="467"/>
      <c r="CD156" s="467"/>
      <c r="CE156" s="467"/>
      <c r="CF156" s="467"/>
      <c r="CG156" s="467"/>
      <c r="CH156" s="467"/>
      <c r="CI156" s="467"/>
      <c r="CJ156" s="467"/>
    </row>
    <row r="157" spans="1:93" hidden="1" outlineLevel="1">
      <c r="A157" s="2111">
        <f>+A150+1</f>
        <v>2011</v>
      </c>
      <c r="B157" s="2111"/>
      <c r="C157" s="1667"/>
      <c r="D157" s="1654"/>
      <c r="E157" s="1608"/>
      <c r="F157" s="1609"/>
      <c r="G157" s="1614"/>
      <c r="H157" s="1662"/>
      <c r="I157" s="1662"/>
      <c r="J157" s="1765"/>
      <c r="K157" s="1610"/>
      <c r="L157" s="1608"/>
      <c r="M157" s="1609"/>
      <c r="N157" s="1499"/>
      <c r="O157" s="1662"/>
      <c r="P157" s="1609"/>
      <c r="Q157" s="1610"/>
      <c r="R157" s="1608"/>
      <c r="S157" s="1609"/>
      <c r="T157" s="1499"/>
      <c r="U157" s="1662"/>
      <c r="V157" s="1609"/>
      <c r="W157" s="1691"/>
      <c r="X157" s="1608"/>
      <c r="Y157" s="1609"/>
      <c r="Z157" s="1614"/>
      <c r="AA157" s="1662"/>
      <c r="AB157" s="1765"/>
      <c r="AC157" s="1614"/>
      <c r="AD157" s="1608"/>
      <c r="AE157" s="1609"/>
      <c r="AF157" s="1692"/>
      <c r="AG157" s="1662"/>
      <c r="AH157" s="1765"/>
      <c r="AI157" s="1614"/>
      <c r="AJ157" s="1608"/>
      <c r="AK157" s="1609"/>
      <c r="AL157" s="1614"/>
      <c r="AM157" s="1618"/>
      <c r="AN157" s="1609"/>
      <c r="AO157" s="1644"/>
      <c r="AP157" s="1608"/>
      <c r="AQ157" s="1609"/>
      <c r="AR157" s="1614"/>
      <c r="AS157" s="1618"/>
      <c r="AT157" s="1609"/>
      <c r="AU157" s="1609"/>
      <c r="AV157" s="1674"/>
      <c r="AW157" s="1608"/>
      <c r="AX157" s="1609"/>
      <c r="AY157" s="1614"/>
      <c r="AZ157" s="1618"/>
      <c r="BA157" s="1609"/>
      <c r="BB157" s="1621"/>
      <c r="BC157" s="1609"/>
      <c r="BD157" s="1614"/>
      <c r="BE157" s="1663"/>
      <c r="BF157" s="1608"/>
      <c r="BG157" s="1609"/>
      <c r="BH157" s="1614"/>
      <c r="BI157" s="1662"/>
      <c r="BJ157" s="1621"/>
      <c r="BK157" s="1614"/>
      <c r="BL157" s="1663"/>
      <c r="BM157" s="1618"/>
      <c r="BN157" s="1499"/>
      <c r="BO157" s="1655"/>
      <c r="BP157" s="1608"/>
      <c r="BQ157" s="1609"/>
      <c r="BR157" s="1614"/>
      <c r="BS157" s="1662"/>
      <c r="BT157" s="1499"/>
      <c r="BU157" s="1460"/>
      <c r="BV157" s="1664"/>
      <c r="BW157" s="1664"/>
      <c r="BX157" s="1460"/>
      <c r="BY157" s="1460"/>
      <c r="BZ157" s="1460"/>
      <c r="CA157" s="1460"/>
      <c r="CB157" s="1499"/>
      <c r="CC157" s="1460"/>
      <c r="CD157" s="1664"/>
      <c r="CE157" s="1664"/>
      <c r="CF157" s="1460"/>
      <c r="CG157" s="1460"/>
      <c r="CH157" s="1460"/>
      <c r="CI157" s="1460"/>
      <c r="CJ157" s="1460"/>
    </row>
    <row r="158" spans="1:93" hidden="1" outlineLevel="1">
      <c r="A158" s="467" t="str">
        <f>$A$11</f>
        <v>1Q</v>
      </c>
      <c r="B158" s="467" t="str">
        <f>$B$11</f>
        <v>Apr</v>
      </c>
      <c r="C158" s="1667"/>
      <c r="D158" s="1607">
        <v>3525.2089999999998</v>
      </c>
      <c r="E158" s="1608">
        <f>+(D158/D151-1)*100</f>
        <v>7.5459201479988192</v>
      </c>
      <c r="F158" s="1639">
        <v>4</v>
      </c>
      <c r="G158" s="1610">
        <f>490.981+17</f>
        <v>507.98099999999999</v>
      </c>
      <c r="H158" s="1662"/>
      <c r="I158" s="1662">
        <f>+G158/D158*100</f>
        <v>14.409954133215933</v>
      </c>
      <c r="J158" s="1765">
        <f>I158-I151</f>
        <v>0.11771992215653526</v>
      </c>
      <c r="K158" s="1610"/>
      <c r="L158" s="1608"/>
      <c r="M158" s="1609"/>
      <c r="N158" s="1499"/>
      <c r="O158" s="1662"/>
      <c r="P158" s="1609"/>
      <c r="Q158" s="1610"/>
      <c r="R158" s="1608"/>
      <c r="S158" s="1609"/>
      <c r="T158" s="1499"/>
      <c r="U158" s="1662"/>
      <c r="V158" s="1609"/>
      <c r="W158" s="1607">
        <v>592.06899999999996</v>
      </c>
      <c r="X158" s="1608">
        <f>+(W158/W151-1)*100</f>
        <v>6.6794835296703603</v>
      </c>
      <c r="Y158" s="1639">
        <v>-3</v>
      </c>
      <c r="Z158" s="1610">
        <f>36.083</f>
        <v>36.082999999999998</v>
      </c>
      <c r="AA158" s="1662">
        <f>+Z158/W158*100</f>
        <v>6.0943910253703537</v>
      </c>
      <c r="AB158" s="1765">
        <f>AA158-AA151</f>
        <v>-3.7000586843583294</v>
      </c>
      <c r="AC158" s="1610">
        <v>590.505</v>
      </c>
      <c r="AD158" s="1608">
        <f>+(AC158/AC151-1)*100</f>
        <v>14.607755609036555</v>
      </c>
      <c r="AE158" s="1639">
        <v>-5</v>
      </c>
      <c r="AF158" s="1610">
        <v>-31.315000000000001</v>
      </c>
      <c r="AG158" s="1662">
        <f>+AF158/AC158*100</f>
        <v>-5.303088034817657</v>
      </c>
      <c r="AH158" s="1765">
        <f>AG158-AG151</f>
        <v>-6.4369285751483769</v>
      </c>
      <c r="AI158" s="1610">
        <v>503.28300000000002</v>
      </c>
      <c r="AJ158" s="1608">
        <f>+(AI158/AI151-1)*100</f>
        <v>10.113355168588733</v>
      </c>
      <c r="AK158" s="1639">
        <v>6</v>
      </c>
      <c r="AL158" s="1610">
        <f>45.459+3</f>
        <v>48.459000000000003</v>
      </c>
      <c r="AM158" s="1618">
        <f>+AL158/AI158*100</f>
        <v>9.628578751914926</v>
      </c>
      <c r="AN158" s="1609">
        <f>AM158-AM151</f>
        <v>0.74723082965543597</v>
      </c>
      <c r="AO158" s="1607">
        <v>9.2289999999999992</v>
      </c>
      <c r="AP158" s="1608">
        <f>+(AO158/AO151-1)*100</f>
        <v>-95.633908761040601</v>
      </c>
      <c r="AQ158" s="1639">
        <v>7</v>
      </c>
      <c r="AR158" s="1610">
        <v>-49.290999999999997</v>
      </c>
      <c r="AS158" s="1618" t="s">
        <v>145</v>
      </c>
      <c r="AT158" s="1609"/>
      <c r="AU158" s="1609"/>
      <c r="AV158" s="1675"/>
      <c r="AW158" s="1676"/>
      <c r="AX158" s="1677"/>
      <c r="AY158" s="1678"/>
      <c r="AZ158" s="1679"/>
      <c r="BA158" s="1609"/>
      <c r="BB158" s="1711">
        <f>'qtrP&amp;L'!CL10</f>
        <v>5211.0659999999998</v>
      </c>
      <c r="BC158" s="1611">
        <f>'qtrP&amp;L'!CN10</f>
        <v>2</v>
      </c>
      <c r="BD158" s="1712">
        <f>+D158+W158+AC158+AI158</f>
        <v>5211.0660000000007</v>
      </c>
      <c r="BE158" s="1638" t="str">
        <f>IF(ROUND(BB158,2)=ROUND(BD158,2),"y","n")</f>
        <v>y</v>
      </c>
      <c r="BF158" s="1613">
        <f>+(BD158/BD151-1)*100</f>
        <v>3.8776925929026929</v>
      </c>
      <c r="BG158" s="1611">
        <f>qtrSales!F159</f>
        <v>2</v>
      </c>
      <c r="BH158" s="1614">
        <f>'qtrP&amp;L'!CL61</f>
        <v>507.33399999999995</v>
      </c>
      <c r="BI158" s="1620">
        <f>+BH158/BB158*100</f>
        <v>9.7357047483182892</v>
      </c>
      <c r="BJ158" s="1610">
        <v>53.353999999999999</v>
      </c>
      <c r="BK158" s="1614">
        <f>+G158+Z158+AF158+AL158-BJ158</f>
        <v>507.85399999999987</v>
      </c>
      <c r="BL158" s="1638" t="str">
        <f>IF(ROUND(BH158,0)=ROUND(BK158,0),"y","n")</f>
        <v>n</v>
      </c>
      <c r="BM158" s="1618">
        <f>+BK158/BD158*100</f>
        <v>9.7456835127399994</v>
      </c>
      <c r="BN158" s="1713"/>
      <c r="BO158" s="1655"/>
      <c r="BP158" s="1608"/>
      <c r="BQ158" s="1609"/>
      <c r="BR158" s="1614"/>
      <c r="BS158" s="1662"/>
      <c r="BT158" s="1499"/>
      <c r="BU158" s="1422">
        <f>+D158/$BD158</f>
        <v>0.67648519515968508</v>
      </c>
      <c r="BV158" s="1628"/>
      <c r="BW158" s="1628"/>
      <c r="BX158" s="1422">
        <f>+W158/$BD158</f>
        <v>0.11361763600768056</v>
      </c>
      <c r="BY158" s="1422">
        <f>+AC158/BD158</f>
        <v>0.11331750547776595</v>
      </c>
      <c r="BZ158" s="1422">
        <f>+AI158/BD158</f>
        <v>9.657966335486827E-2</v>
      </c>
      <c r="CA158" s="1714">
        <v>0</v>
      </c>
      <c r="CB158" s="467"/>
      <c r="CC158" s="1422">
        <f>+G158/$BK158</f>
        <v>1.0002500718710499</v>
      </c>
      <c r="CD158" s="1628"/>
      <c r="CE158" s="1628"/>
      <c r="CF158" s="1422">
        <f>+Z158/$BK158</f>
        <v>7.1049947425834994E-2</v>
      </c>
      <c r="CG158" s="1422">
        <f>+AF158/$BK158</f>
        <v>-6.166142237729743E-2</v>
      </c>
      <c r="CH158" s="1422">
        <f>+AL158/$BK158</f>
        <v>9.5419155899136396E-2</v>
      </c>
      <c r="CI158" s="1422">
        <f>+AR158/$BK158</f>
        <v>-9.7057422014988584E-2</v>
      </c>
      <c r="CJ158" s="1422"/>
    </row>
    <row r="159" spans="1:93" hidden="1" outlineLevel="1">
      <c r="A159" s="467" t="str">
        <f>$A$12</f>
        <v>2Q</v>
      </c>
      <c r="B159" s="467" t="str">
        <f>$B$12</f>
        <v>Jul</v>
      </c>
      <c r="C159" s="1667"/>
      <c r="D159" s="1616">
        <v>3653.5859999999998</v>
      </c>
      <c r="E159" s="1608">
        <f>+(D159/D152-1)*100</f>
        <v>10.395283466115778</v>
      </c>
      <c r="F159" s="1639">
        <v>5</v>
      </c>
      <c r="G159" s="1617">
        <v>478.92200000000003</v>
      </c>
      <c r="H159" s="1662"/>
      <c r="I159" s="1662">
        <f>+G159/D159*100</f>
        <v>13.108272256353077</v>
      </c>
      <c r="J159" s="1765">
        <f>I159-I152</f>
        <v>0.53087878068615169</v>
      </c>
      <c r="K159" s="1610"/>
      <c r="L159" s="1608"/>
      <c r="M159" s="1609"/>
      <c r="N159" s="1499"/>
      <c r="O159" s="1662"/>
      <c r="P159" s="1609"/>
      <c r="Q159" s="1610"/>
      <c r="R159" s="1608"/>
      <c r="S159" s="1609"/>
      <c r="T159" s="1499"/>
      <c r="U159" s="1662"/>
      <c r="V159" s="1609"/>
      <c r="W159" s="1616">
        <v>637.69100000000003</v>
      </c>
      <c r="X159" s="1608">
        <f>+(W159/W152-1)*100</f>
        <v>9.6731086410283282</v>
      </c>
      <c r="Y159" s="1639">
        <v>-3</v>
      </c>
      <c r="Z159" s="1617">
        <f>92.309</f>
        <v>92.308999999999997</v>
      </c>
      <c r="AA159" s="1662">
        <f>+Z159/W159*100</f>
        <v>14.47550616207536</v>
      </c>
      <c r="AB159" s="1765">
        <f>AA159-AA152</f>
        <v>0.42057080253270129</v>
      </c>
      <c r="AC159" s="1617">
        <v>661.68799999999999</v>
      </c>
      <c r="AD159" s="1608">
        <f>+(AC159/AC152-1)*100</f>
        <v>25.276988905297436</v>
      </c>
      <c r="AE159" s="1639">
        <v>0</v>
      </c>
      <c r="AF159" s="1617">
        <v>7.3220000000000001</v>
      </c>
      <c r="AG159" s="1662">
        <f>+AF159/AC159*100</f>
        <v>1.1065638185972846</v>
      </c>
      <c r="AH159" s="1765">
        <f>AG159-AG152</f>
        <v>0.70480684180906839</v>
      </c>
      <c r="AI159" s="1617">
        <v>515.30899999999997</v>
      </c>
      <c r="AJ159" s="1608">
        <f>+(AI159/AI152-1)*100</f>
        <v>13.084477215620428</v>
      </c>
      <c r="AK159" s="1639">
        <v>3</v>
      </c>
      <c r="AL159" s="1617">
        <v>37.472000000000001</v>
      </c>
      <c r="AM159" s="1618">
        <f>+AL159/AI159*100</f>
        <v>7.2717534527827006</v>
      </c>
      <c r="AN159" s="1609">
        <f>AM159-AM152</f>
        <v>-0.44761409278057229</v>
      </c>
      <c r="AO159" s="1715">
        <f>+SegqtrSales!S811</f>
        <v>0</v>
      </c>
      <c r="AP159" s="1608">
        <f>+(AO159/AO152-1)*100</f>
        <v>-100</v>
      </c>
      <c r="AQ159" s="1609">
        <f>+SegqtrSales!F811</f>
        <v>0</v>
      </c>
      <c r="AR159" s="1621">
        <f>+AO159*AS159/100</f>
        <v>0</v>
      </c>
      <c r="AS159" s="1657">
        <v>0</v>
      </c>
      <c r="AT159" s="1609">
        <f>AS159-AS152</f>
        <v>-1.0413054616781994</v>
      </c>
      <c r="AU159" s="1609"/>
      <c r="AV159" s="1683"/>
      <c r="AW159" s="1676"/>
      <c r="AX159" s="1677"/>
      <c r="AY159" s="1684"/>
      <c r="AZ159" s="1679"/>
      <c r="BA159" s="1609"/>
      <c r="BB159" s="1716">
        <f>'qtrP&amp;L'!CL11</f>
        <v>5468.2740000000003</v>
      </c>
      <c r="BC159" s="1611">
        <f>'qtrP&amp;L'!CN11</f>
        <v>4</v>
      </c>
      <c r="BD159" s="1712">
        <f>+D159+W159+AC159+AI159</f>
        <v>5468.2740000000003</v>
      </c>
      <c r="BE159" s="1638" t="str">
        <f>IF(ROUND(BB159,2)=ROUND(BD159,2),"y","n")</f>
        <v>y</v>
      </c>
      <c r="BF159" s="1613">
        <f>+(BD159/BD152-1)*100</f>
        <v>7.8963631197613182</v>
      </c>
      <c r="BG159" s="1611">
        <f>qtrSales!F160</f>
        <v>4</v>
      </c>
      <c r="BH159" s="1621">
        <f>'qtrP&amp;L'!CL62</f>
        <v>568.5460000000005</v>
      </c>
      <c r="BI159" s="1620">
        <f>+BH159/BB159*100</f>
        <v>10.397174684370251</v>
      </c>
      <c r="BJ159" s="1617">
        <v>47.478999999999999</v>
      </c>
      <c r="BK159" s="1621">
        <f>+G159+Z159+AF159+AL159-BJ159</f>
        <v>568.54599999999994</v>
      </c>
      <c r="BL159" s="1638" t="str">
        <f>IF(ROUND(BH159,0)=ROUND(BK159,0),"y","n")</f>
        <v>y</v>
      </c>
      <c r="BM159" s="1618">
        <f>+BK159/BD159*100</f>
        <v>10.39717468437024</v>
      </c>
      <c r="BN159" s="1713"/>
      <c r="BO159" s="1655"/>
      <c r="BP159" s="1608"/>
      <c r="BQ159" s="1609"/>
      <c r="BR159" s="1614"/>
      <c r="BS159" s="1662"/>
      <c r="BT159" s="1499"/>
      <c r="BU159" s="1422">
        <f>+D159/$BD159</f>
        <v>0.66814245226190194</v>
      </c>
      <c r="BV159" s="1628"/>
      <c r="BW159" s="1628"/>
      <c r="BX159" s="1422">
        <f>+W159/$BD159</f>
        <v>0.11661650458627347</v>
      </c>
      <c r="BY159" s="1422">
        <f>+AC159/BD159</f>
        <v>0.1210049094101722</v>
      </c>
      <c r="BZ159" s="1422">
        <f>+AI159/BD159</f>
        <v>9.4236133741652295E-2</v>
      </c>
      <c r="CA159" s="1422">
        <f>+AO159/BD159</f>
        <v>0</v>
      </c>
      <c r="CB159" s="467"/>
      <c r="CC159" s="1422">
        <f>+G159/$BK159</f>
        <v>0.84236279914026324</v>
      </c>
      <c r="CD159" s="1628"/>
      <c r="CE159" s="1628"/>
      <c r="CF159" s="1422">
        <f>+Z159/$BK159</f>
        <v>0.16235977387933431</v>
      </c>
      <c r="CG159" s="1422">
        <f>+AF159/$BK159</f>
        <v>1.2878465418805165E-2</v>
      </c>
      <c r="CH159" s="1422">
        <f>+AL159/$BK159</f>
        <v>6.5908475303669375E-2</v>
      </c>
      <c r="CI159" s="1422">
        <f>+AR159/$BK159</f>
        <v>0</v>
      </c>
      <c r="CJ159" s="1422"/>
    </row>
    <row r="160" spans="1:93" hidden="1" outlineLevel="1">
      <c r="A160" s="467" t="str">
        <f>$A$13</f>
        <v>3Q</v>
      </c>
      <c r="B160" s="467" t="str">
        <f>$B$13</f>
        <v>Oct</v>
      </c>
      <c r="C160" s="1685"/>
      <c r="D160" s="1616">
        <v>3790.34</v>
      </c>
      <c r="E160" s="1608">
        <f>+(D160/D153-1)*100</f>
        <v>8.2128776047986296</v>
      </c>
      <c r="F160" s="1639">
        <v>4</v>
      </c>
      <c r="G160" s="1617">
        <v>501.55900000000003</v>
      </c>
      <c r="H160" s="1662"/>
      <c r="I160" s="1662">
        <f>+G160/D160*100</f>
        <v>13.232559612066463</v>
      </c>
      <c r="J160" s="1765">
        <f>I160-I153</f>
        <v>0.27901274638970897</v>
      </c>
      <c r="K160" s="1610"/>
      <c r="L160" s="1608"/>
      <c r="M160" s="1609"/>
      <c r="N160" s="1499"/>
      <c r="O160" s="1662"/>
      <c r="P160" s="1609"/>
      <c r="Q160" s="1610"/>
      <c r="R160" s="1608"/>
      <c r="S160" s="1609"/>
      <c r="T160" s="1499"/>
      <c r="U160" s="1662"/>
      <c r="V160" s="1609"/>
      <c r="W160" s="1616">
        <v>705.06100000000004</v>
      </c>
      <c r="X160" s="1608">
        <f>+(W160/W153-1)*100</f>
        <v>5.738160975046469</v>
      </c>
      <c r="Y160" s="1639">
        <v>-2</v>
      </c>
      <c r="Z160" s="1617">
        <v>125.93600000000001</v>
      </c>
      <c r="AA160" s="1662">
        <f>+Z160/W160*100</f>
        <v>17.861716929457167</v>
      </c>
      <c r="AB160" s="1765">
        <f>AA160-AA153</f>
        <v>0.7885059618342396</v>
      </c>
      <c r="AC160" s="1617">
        <v>746.66099999999994</v>
      </c>
      <c r="AD160" s="1608">
        <f>+(AC160/AC153-1)*100</f>
        <v>11.16072026738324</v>
      </c>
      <c r="AE160" s="1639">
        <v>0</v>
      </c>
      <c r="AF160" s="1617">
        <v>42.390999999999998</v>
      </c>
      <c r="AG160" s="1662">
        <f>+AF160/AC160*100</f>
        <v>5.6774091589087954</v>
      </c>
      <c r="AH160" s="1765">
        <f>AG160-AG153</f>
        <v>-0.45841141441689537</v>
      </c>
      <c r="AI160" s="1617">
        <v>551.06600000000003</v>
      </c>
      <c r="AJ160" s="1608">
        <f>+(AI160/AI153-1)*100</f>
        <v>14.839150667175161</v>
      </c>
      <c r="AK160" s="1639">
        <v>5</v>
      </c>
      <c r="AL160" s="1617">
        <v>63.128</v>
      </c>
      <c r="AM160" s="1618">
        <f>+AL160/AI160*100</f>
        <v>11.45561511688255</v>
      </c>
      <c r="AN160" s="1609">
        <f>AM160-AM153</f>
        <v>2.1726799213355239</v>
      </c>
      <c r="AO160" s="1715">
        <f>+SegqtrSales!S812</f>
        <v>0</v>
      </c>
      <c r="AP160" s="1608">
        <f>+(AO160/AO153-1)*100</f>
        <v>-100</v>
      </c>
      <c r="AQ160" s="1609">
        <f>+SegqtrSales!F812</f>
        <v>0</v>
      </c>
      <c r="AR160" s="1621">
        <f>+AO160*AS160/100</f>
        <v>0</v>
      </c>
      <c r="AS160" s="1657">
        <v>0</v>
      </c>
      <c r="AT160" s="1609">
        <f>AS160-AS153</f>
        <v>0.57756903487872513</v>
      </c>
      <c r="AU160" s="1609"/>
      <c r="AV160" s="1683"/>
      <c r="AW160" s="1676"/>
      <c r="AX160" s="1677"/>
      <c r="AY160" s="1684"/>
      <c r="AZ160" s="1679"/>
      <c r="BA160" s="1609"/>
      <c r="BB160" s="1716">
        <f>'qtrP&amp;L'!CL12</f>
        <v>5793.1279999999997</v>
      </c>
      <c r="BC160" s="1611">
        <f>'qtrP&amp;L'!CN12</f>
        <v>3</v>
      </c>
      <c r="BD160" s="1712">
        <f>+D160+W160+AC160+AI160</f>
        <v>5793.1279999999997</v>
      </c>
      <c r="BE160" s="1638" t="str">
        <f>IF(ROUND(BB160,1)=ROUND(BD160,1),"y","n")</f>
        <v>y</v>
      </c>
      <c r="BF160" s="1613">
        <f>+(BD160/BD153-1)*100</f>
        <v>4.8369236426560436</v>
      </c>
      <c r="BG160" s="1611">
        <f>qtrSales!F161</f>
        <v>3</v>
      </c>
      <c r="BH160" s="1621">
        <f>'qtrP&amp;L'!CL63</f>
        <v>672.3029999999992</v>
      </c>
      <c r="BI160" s="1620">
        <f>+BH160/BB160*100</f>
        <v>11.605181173279776</v>
      </c>
      <c r="BJ160" s="1617">
        <v>60.710999999999999</v>
      </c>
      <c r="BK160" s="1621">
        <f>+G160+Z160+AF160+AL160-BJ160</f>
        <v>672.303</v>
      </c>
      <c r="BL160" s="1638" t="str">
        <f>IF(ROUND(BH160,0)=ROUND(BK160,0),"y","n")</f>
        <v>y</v>
      </c>
      <c r="BM160" s="1618">
        <f>+BK160/BD160*100</f>
        <v>11.60518117327979</v>
      </c>
      <c r="BN160" s="1713"/>
      <c r="BO160" s="1655"/>
      <c r="BP160" s="1608"/>
      <c r="BQ160" s="1609"/>
      <c r="BR160" s="1614"/>
      <c r="BS160" s="1662"/>
      <c r="BT160" s="1499"/>
      <c r="BU160" s="1422">
        <f>+D160/$BD160</f>
        <v>0.65428210804249454</v>
      </c>
      <c r="BV160" s="1628"/>
      <c r="BW160" s="1628"/>
      <c r="BX160" s="1422">
        <f>+W160/$BD160</f>
        <v>0.12170644252983881</v>
      </c>
      <c r="BY160" s="1422">
        <f>+AC160/BD160</f>
        <v>0.12888736447736007</v>
      </c>
      <c r="BZ160" s="1422">
        <f>+AI160/BD160</f>
        <v>9.512408495030665E-2</v>
      </c>
      <c r="CA160" s="1422">
        <f>+AO160/BD160</f>
        <v>0</v>
      </c>
      <c r="CB160" s="467"/>
      <c r="CC160" s="1422">
        <f>+G160/$BK160</f>
        <v>0.74603117939381502</v>
      </c>
      <c r="CD160" s="1628"/>
      <c r="CE160" s="1628"/>
      <c r="CF160" s="1422">
        <f>+Z160/$BK160</f>
        <v>0.18732030051925994</v>
      </c>
      <c r="CG160" s="1422">
        <f>+AF160/$BK160</f>
        <v>6.3053414903696689E-2</v>
      </c>
      <c r="CH160" s="1422">
        <f>+AL160/$BK160</f>
        <v>9.3898138190667002E-2</v>
      </c>
      <c r="CI160" s="1422">
        <f>+AR160/$BK160</f>
        <v>0</v>
      </c>
      <c r="CJ160" s="1422"/>
    </row>
    <row r="161" spans="1:88" hidden="1" outlineLevel="1">
      <c r="A161" s="467" t="str">
        <f>$A$14</f>
        <v>4Q</v>
      </c>
      <c r="B161" s="467" t="str">
        <f>$B$14</f>
        <v>Jan</v>
      </c>
      <c r="C161" s="1685"/>
      <c r="D161" s="1623">
        <v>4398.384</v>
      </c>
      <c r="E161" s="1608">
        <f>+(D161/D154-1)*100</f>
        <v>9.9025605710636242</v>
      </c>
      <c r="F161" s="1639">
        <v>6</v>
      </c>
      <c r="G161" s="1624">
        <v>601.96799999999996</v>
      </c>
      <c r="H161" s="1662"/>
      <c r="I161" s="1662">
        <f>+G161/D161*100</f>
        <v>13.686117446771359</v>
      </c>
      <c r="J161" s="1765">
        <f>I161-I154</f>
        <v>0.2556878397374085</v>
      </c>
      <c r="K161" s="1610"/>
      <c r="L161" s="1608"/>
      <c r="M161" s="1609"/>
      <c r="N161" s="1499"/>
      <c r="O161" s="1662"/>
      <c r="P161" s="1609"/>
      <c r="Q161" s="1610"/>
      <c r="R161" s="1608"/>
      <c r="S161" s="1609"/>
      <c r="T161" s="1499"/>
      <c r="U161" s="1662"/>
      <c r="V161" s="1609"/>
      <c r="W161" s="1623">
        <v>745.25</v>
      </c>
      <c r="X161" s="1608">
        <f>+(W161/W154-1)*100</f>
        <v>5.4165953516267518</v>
      </c>
      <c r="Y161" s="1639">
        <v>3</v>
      </c>
      <c r="Z161" s="1624">
        <v>93.7</v>
      </c>
      <c r="AA161" s="1662">
        <f>+Z161/W161*100</f>
        <v>12.572962093257297</v>
      </c>
      <c r="AB161" s="1765">
        <f>AA161-AA154</f>
        <v>-1.8641253109271148</v>
      </c>
      <c r="AC161" s="1624">
        <v>891.79600000000005</v>
      </c>
      <c r="AD161" s="1608">
        <f>+(AC161/AC154-1)*100</f>
        <v>14.575632719082886</v>
      </c>
      <c r="AE161" s="1639">
        <v>10</v>
      </c>
      <c r="AF161" s="1624">
        <v>50.341000000000001</v>
      </c>
      <c r="AG161" s="1662">
        <f>+AF161/AC161*100</f>
        <v>5.6449008517643051</v>
      </c>
      <c r="AH161" s="1765">
        <f>AG161-AG154</f>
        <v>2.2182800772254425</v>
      </c>
      <c r="AI161" s="1624">
        <v>674.32799999999997</v>
      </c>
      <c r="AJ161" s="1608">
        <f>+(AI161/AI154-1)*100</f>
        <v>19.264808880022066</v>
      </c>
      <c r="AK161" s="1639">
        <v>10</v>
      </c>
      <c r="AL161" s="1624">
        <v>88.385999999999996</v>
      </c>
      <c r="AM161" s="1618">
        <f>+AL161/AI161*100</f>
        <v>13.107271238922305</v>
      </c>
      <c r="AN161" s="1609">
        <f>AM161-AM154</f>
        <v>1.3951149754363712</v>
      </c>
      <c r="AO161" s="1717">
        <f>+SegqtrSales!S813</f>
        <v>0</v>
      </c>
      <c r="AP161" s="1608">
        <f>+(AO161/AO154-1)*100</f>
        <v>-100</v>
      </c>
      <c r="AQ161" s="1609">
        <f>+SegqtrSales!F813</f>
        <v>0</v>
      </c>
      <c r="AR161" s="1625">
        <f>+AO161*AS161/100</f>
        <v>0</v>
      </c>
      <c r="AS161" s="1657">
        <v>0</v>
      </c>
      <c r="AT161" s="1609">
        <f>AS161-AS154</f>
        <v>50.405102135927891</v>
      </c>
      <c r="AU161" s="1609"/>
      <c r="AV161" s="1686"/>
      <c r="AW161" s="1676"/>
      <c r="AX161" s="1677"/>
      <c r="AY161" s="1687"/>
      <c r="AZ161" s="1679"/>
      <c r="BA161" s="1609"/>
      <c r="BB161" s="1718">
        <f>'qtrP&amp;L'!CL13</f>
        <v>6709.7579999999998</v>
      </c>
      <c r="BC161" s="1611">
        <f>'qtrP&amp;L'!CN13</f>
        <v>7</v>
      </c>
      <c r="BD161" s="1625">
        <f>+D161+W161+AC161+AI161</f>
        <v>6709.7579999999998</v>
      </c>
      <c r="BE161" s="1638" t="str">
        <f>IF(ROUND(BB161,1)=ROUND(BD161,1),"y","n")</f>
        <v>y</v>
      </c>
      <c r="BF161" s="1613">
        <f>+(BD161/BD154-1)*100</f>
        <v>10.854079709436192</v>
      </c>
      <c r="BG161" s="1611">
        <f>qtrSales!F162</f>
        <v>7</v>
      </c>
      <c r="BH161" s="1625">
        <f>'qtrP&amp;L'!CL64</f>
        <v>767.65000000000009</v>
      </c>
      <c r="BI161" s="1643">
        <f>+BH161/BB161*100</f>
        <v>11.440800100391103</v>
      </c>
      <c r="BJ161" s="1624">
        <v>66.745000000000005</v>
      </c>
      <c r="BK161" s="1625">
        <f>+G161+Z161+AF161+AL161-BJ161</f>
        <v>767.65</v>
      </c>
      <c r="BL161" s="1638" t="str">
        <f>IF(ROUND(BH161,0)=ROUND(BK161,0),"y","n")</f>
        <v>y</v>
      </c>
      <c r="BM161" s="1618">
        <f>+BK161/BD161*100</f>
        <v>11.440800100391101</v>
      </c>
      <c r="BN161" s="1713"/>
      <c r="BO161" s="1655"/>
      <c r="BP161" s="1608"/>
      <c r="BQ161" s="1609"/>
      <c r="BR161" s="1614"/>
      <c r="BS161" s="1662"/>
      <c r="BT161" s="1499"/>
      <c r="BU161" s="1422">
        <f>+D161/$BD161</f>
        <v>0.65552051206615802</v>
      </c>
      <c r="BV161" s="1628"/>
      <c r="BW161" s="1628"/>
      <c r="BX161" s="1422">
        <f>+W161/$BD161</f>
        <v>0.11106957955860704</v>
      </c>
      <c r="BY161" s="1422">
        <f>+AC161/BD161</f>
        <v>0.13291030764447839</v>
      </c>
      <c r="BZ161" s="1422">
        <f>+AI161/BD161</f>
        <v>0.1004996007307566</v>
      </c>
      <c r="CA161" s="1422">
        <f>+AO161/BD161</f>
        <v>0</v>
      </c>
      <c r="CB161" s="467"/>
      <c r="CC161" s="1422">
        <f>+G161/$BK161</f>
        <v>0.78416986908096131</v>
      </c>
      <c r="CD161" s="1628"/>
      <c r="CE161" s="1628"/>
      <c r="CF161" s="1422">
        <f>+Z161/$BK161</f>
        <v>0.1220608350159578</v>
      </c>
      <c r="CG161" s="1422">
        <f>+AF161/$BK161</f>
        <v>6.5578062919299157E-2</v>
      </c>
      <c r="CH161" s="1422">
        <f>+AL161/$BK161</f>
        <v>0.11513840943138148</v>
      </c>
      <c r="CI161" s="1422">
        <f>+AR161/$BK161</f>
        <v>0</v>
      </c>
      <c r="CJ161" s="1422"/>
    </row>
    <row r="162" spans="1:88" hidden="1" outlineLevel="1">
      <c r="A162" s="1499"/>
      <c r="B162" s="1499" t="str">
        <f>$B$15</f>
        <v>Year</v>
      </c>
      <c r="C162" s="1667"/>
      <c r="D162" s="1654">
        <f>+SUM(D158:D161)</f>
        <v>15367.519</v>
      </c>
      <c r="E162" s="1608">
        <f>+(D162/D155-1)*100</f>
        <v>9.0501391589464788</v>
      </c>
      <c r="F162" s="1639">
        <v>5</v>
      </c>
      <c r="G162" s="1614">
        <f>+SUM(G158:G161)</f>
        <v>2090.4299999999998</v>
      </c>
      <c r="H162" s="1662"/>
      <c r="I162" s="1662">
        <f>+G162/D162*100</f>
        <v>13.602911439380684</v>
      </c>
      <c r="J162" s="1765"/>
      <c r="K162" s="1610"/>
      <c r="L162" s="1608"/>
      <c r="M162" s="1609"/>
      <c r="N162" s="1499"/>
      <c r="O162" s="1662"/>
      <c r="P162" s="1609"/>
      <c r="Q162" s="1610"/>
      <c r="R162" s="1608"/>
      <c r="S162" s="1609"/>
      <c r="T162" s="1499"/>
      <c r="U162" s="1662"/>
      <c r="V162" s="1609"/>
      <c r="W162" s="1654">
        <f>+SegqtrSales!S303</f>
        <v>2680.0709999999999</v>
      </c>
      <c r="X162" s="1608">
        <f>+(W162/W155-1)*100</f>
        <v>6.7671871694736652</v>
      </c>
      <c r="Y162" s="1639">
        <v>-1</v>
      </c>
      <c r="Z162" s="1614">
        <f>+SUM(Z158:Z161)</f>
        <v>348.02800000000002</v>
      </c>
      <c r="AA162" s="1662">
        <f>+Z162/W162*100</f>
        <v>12.985775376846362</v>
      </c>
      <c r="AB162" s="1765"/>
      <c r="AC162" s="1655">
        <f>+SegqtrSales!S480</f>
        <v>2890.6499999999996</v>
      </c>
      <c r="AD162" s="1608">
        <f>+(AC162/AC155-1)*100</f>
        <v>15.92917798626965</v>
      </c>
      <c r="AE162" s="1639">
        <v>2</v>
      </c>
      <c r="AF162" s="1614">
        <f>+SUM(AF158:AF161)</f>
        <v>68.739000000000004</v>
      </c>
      <c r="AG162" s="1662">
        <f>+AF162/AC162*100</f>
        <v>2.3779772715479224</v>
      </c>
      <c r="AH162" s="1765"/>
      <c r="AI162" s="1655">
        <f>+SegqtrSales!S657</f>
        <v>2243.9859999999999</v>
      </c>
      <c r="AJ162" s="1608">
        <f>+(AI162/AI155-1)*100</f>
        <v>14.605616833851954</v>
      </c>
      <c r="AK162" s="1639">
        <v>6</v>
      </c>
      <c r="AL162" s="1614">
        <f>+SUM(AL158:AL161)</f>
        <v>237.44500000000002</v>
      </c>
      <c r="AM162" s="1618">
        <f>+AL162/AI162*100</f>
        <v>10.581394001566856</v>
      </c>
      <c r="AN162" s="1609"/>
      <c r="AO162" s="1654">
        <f>+SegqtrSales!S814</f>
        <v>0</v>
      </c>
      <c r="AP162" s="1608" t="e">
        <f>+(AO162/AO155-1)*100</f>
        <v>#DIV/0!</v>
      </c>
      <c r="AQ162" s="1609">
        <f>+SegqtrSales!F814</f>
        <v>0</v>
      </c>
      <c r="AR162" s="1614">
        <f>+SUM(AR158:AR161)</f>
        <v>-49.290999999999997</v>
      </c>
      <c r="AS162" s="1618"/>
      <c r="AT162" s="1609"/>
      <c r="AU162" s="1609"/>
      <c r="AV162" s="1688"/>
      <c r="AW162" s="1676"/>
      <c r="AX162" s="1677"/>
      <c r="AY162" s="1678"/>
      <c r="AZ162" s="1679"/>
      <c r="BA162" s="1609"/>
      <c r="BB162" s="1719">
        <f>'qtrP&amp;L'!CL14</f>
        <v>23182.226000000002</v>
      </c>
      <c r="BC162" s="1611">
        <f>'qtrP&amp;L'!CN14</f>
        <v>4</v>
      </c>
      <c r="BD162" s="1614">
        <f>+D162+W162+AC162+AI162+AO162</f>
        <v>23182.225999999999</v>
      </c>
      <c r="BE162" s="1638" t="str">
        <f>IF(ROUND(BB162,2)=ROUND(BD162,2),"y","n")</f>
        <v>y</v>
      </c>
      <c r="BF162" s="1608">
        <f>+(BD162/BD155-1)*100</f>
        <v>11.587735711871726</v>
      </c>
      <c r="BG162" s="1611">
        <f>qtrSales!F163</f>
        <v>4</v>
      </c>
      <c r="BH162" s="1614">
        <f>'qtrP&amp;L'!CL65</f>
        <v>2515.8329999999996</v>
      </c>
      <c r="BI162" s="1662">
        <f>+BH162/BB162*100</f>
        <v>10.852422023665886</v>
      </c>
      <c r="BJ162" s="1621">
        <f>SUM(BJ158:BJ161)</f>
        <v>228.28899999999999</v>
      </c>
      <c r="BK162" s="1614">
        <f>+G162+Z162+AF162+AL162-BJ162</f>
        <v>2516.3530000000001</v>
      </c>
      <c r="BL162" s="1638" t="str">
        <f>IF(ROUND(BH162,0)=ROUND(BK162,0),"y","n")</f>
        <v>y</v>
      </c>
      <c r="BM162" s="1618">
        <f>+BK162/BD162*100</f>
        <v>10.854665121459863</v>
      </c>
      <c r="BN162" s="1685"/>
      <c r="BO162" s="1655"/>
      <c r="BP162" s="1608"/>
      <c r="BQ162" s="1609"/>
      <c r="BR162" s="1614"/>
      <c r="BS162" s="1662"/>
      <c r="BT162" s="1499"/>
      <c r="BU162" s="1460">
        <f>+D162/$BD162</f>
        <v>0.66290092245671317</v>
      </c>
      <c r="BV162" s="1664"/>
      <c r="BW162" s="1664"/>
      <c r="BX162" s="1460">
        <f>+W162/$BD162</f>
        <v>0.11560887207294071</v>
      </c>
      <c r="BY162" s="1460">
        <f>+AC162/BD162</f>
        <v>0.12469251227211743</v>
      </c>
      <c r="BZ162" s="1460">
        <f>+AI162/BD162</f>
        <v>9.6797693198228674E-2</v>
      </c>
      <c r="CA162" s="1460">
        <f>+AO162/BD162</f>
        <v>0</v>
      </c>
      <c r="CB162" s="1499"/>
      <c r="CC162" s="1460">
        <f>+G162/$BK162</f>
        <v>0.83073797674650562</v>
      </c>
      <c r="CD162" s="1664"/>
      <c r="CE162" s="1664"/>
      <c r="CF162" s="1460">
        <f>+Z162/$BK162</f>
        <v>0.13830650946031817</v>
      </c>
      <c r="CG162" s="1460">
        <f>+AF162/$BK162</f>
        <v>2.7316914598230057E-2</v>
      </c>
      <c r="CH162" s="1460">
        <f>+AL162/$BK162</f>
        <v>9.4360767348619215E-2</v>
      </c>
      <c r="CI162" s="1460">
        <f>+AR162/$BK162</f>
        <v>-1.9588269213421168E-2</v>
      </c>
      <c r="CJ162" s="1460"/>
    </row>
    <row r="163" spans="1:88" ht="7.5" hidden="1" customHeight="1" outlineLevel="1">
      <c r="A163" s="467"/>
      <c r="B163" s="467"/>
      <c r="C163" s="467"/>
      <c r="D163" s="800"/>
      <c r="E163" s="1088"/>
      <c r="F163" s="1088"/>
      <c r="G163" s="1499"/>
      <c r="H163" s="1088"/>
      <c r="I163" s="1499"/>
      <c r="J163" s="1764"/>
      <c r="K163" s="1605"/>
      <c r="L163" s="1605"/>
      <c r="M163" s="1605"/>
      <c r="N163" s="467"/>
      <c r="O163" s="467"/>
      <c r="P163" s="1605"/>
      <c r="Q163" s="1605"/>
      <c r="R163" s="1605"/>
      <c r="S163" s="1605"/>
      <c r="T163" s="467"/>
      <c r="U163" s="467"/>
      <c r="V163" s="1605"/>
      <c r="W163" s="1603"/>
      <c r="X163" s="1088"/>
      <c r="Y163" s="1088"/>
      <c r="Z163" s="1499"/>
      <c r="AA163" s="1499"/>
      <c r="AB163" s="1764"/>
      <c r="AC163" s="1768"/>
      <c r="AD163" s="1088"/>
      <c r="AE163" s="1088"/>
      <c r="AF163" s="1499"/>
      <c r="AG163" s="1499"/>
      <c r="AH163" s="1764"/>
      <c r="AI163" s="800"/>
      <c r="AJ163" s="1088"/>
      <c r="AK163" s="1088"/>
      <c r="AL163" s="1499"/>
      <c r="AM163" s="1499"/>
      <c r="AN163" s="1635"/>
      <c r="AO163" s="1603"/>
      <c r="AP163" s="1088"/>
      <c r="AQ163" s="1088"/>
      <c r="AR163" s="1499"/>
      <c r="AS163" s="1604"/>
      <c r="AT163" s="702"/>
      <c r="AU163" s="702"/>
      <c r="AV163" s="1706"/>
      <c r="AW163" s="1707"/>
      <c r="AX163" s="1707"/>
      <c r="AY163" s="1708"/>
      <c r="AZ163" s="1709"/>
      <c r="BA163" s="487"/>
      <c r="BB163" s="693"/>
      <c r="BC163" s="693"/>
      <c r="BD163" s="693"/>
      <c r="BE163" s="1710"/>
      <c r="BF163" s="487"/>
      <c r="BG163" s="487"/>
      <c r="BH163" s="693"/>
      <c r="BI163" s="693"/>
      <c r="BJ163" s="693"/>
      <c r="BK163" s="693"/>
      <c r="BL163" s="1710"/>
      <c r="BM163" s="1604"/>
      <c r="BN163" s="467"/>
      <c r="BO163" s="800"/>
      <c r="BP163" s="1088"/>
      <c r="BQ163" s="1088"/>
      <c r="BR163" s="1499"/>
      <c r="BS163" s="467"/>
      <c r="BT163" s="467"/>
      <c r="BU163" s="467"/>
      <c r="BV163" s="467"/>
      <c r="BW163" s="467"/>
      <c r="BX163" s="467"/>
      <c r="BY163" s="467"/>
      <c r="BZ163" s="467"/>
      <c r="CA163" s="467"/>
      <c r="CB163" s="467"/>
      <c r="CC163" s="467"/>
      <c r="CD163" s="467"/>
      <c r="CE163" s="467"/>
      <c r="CF163" s="467"/>
      <c r="CG163" s="467"/>
      <c r="CH163" s="467"/>
      <c r="CI163" s="467"/>
      <c r="CJ163" s="467"/>
    </row>
    <row r="164" spans="1:88" hidden="1" outlineLevel="1">
      <c r="A164" s="2111">
        <f>+A157+1</f>
        <v>2012</v>
      </c>
      <c r="B164" s="2111"/>
      <c r="C164" s="1667"/>
      <c r="D164" s="1654"/>
      <c r="E164" s="1608"/>
      <c r="F164" s="1609"/>
      <c r="G164" s="1614"/>
      <c r="H164" s="1662"/>
      <c r="I164" s="1662"/>
      <c r="J164" s="1765"/>
      <c r="K164" s="1610"/>
      <c r="L164" s="1608"/>
      <c r="M164" s="1609"/>
      <c r="N164" s="1499"/>
      <c r="O164" s="1662"/>
      <c r="P164" s="1609"/>
      <c r="Q164" s="1610"/>
      <c r="R164" s="1608"/>
      <c r="S164" s="1609"/>
      <c r="T164" s="1499"/>
      <c r="U164" s="1662"/>
      <c r="V164" s="1609"/>
      <c r="W164" s="1691"/>
      <c r="X164" s="1608"/>
      <c r="Y164" s="1609"/>
      <c r="Z164" s="1614"/>
      <c r="AA164" s="1769"/>
      <c r="AB164" s="1765"/>
      <c r="AC164" s="1614"/>
      <c r="AD164" s="1608"/>
      <c r="AE164" s="1609"/>
      <c r="AF164" s="1692"/>
      <c r="AG164" s="1662"/>
      <c r="AH164" s="1765"/>
      <c r="AI164" s="1614"/>
      <c r="AJ164" s="1608"/>
      <c r="AK164" s="1609"/>
      <c r="AL164" s="1614"/>
      <c r="AM164" s="1618"/>
      <c r="AN164" s="1609"/>
      <c r="AO164" s="1644"/>
      <c r="AP164" s="1608"/>
      <c r="AQ164" s="1609"/>
      <c r="AR164" s="1614"/>
      <c r="AS164" s="1618"/>
      <c r="AT164" s="1609"/>
      <c r="AU164" s="1609"/>
      <c r="AV164" s="1674"/>
      <c r="AW164" s="1608"/>
      <c r="AX164" s="1609"/>
      <c r="AY164" s="1614"/>
      <c r="AZ164" s="1618"/>
      <c r="BA164" s="1609"/>
      <c r="BB164" s="1621"/>
      <c r="BC164" s="1609"/>
      <c r="BD164" s="1614"/>
      <c r="BE164" s="1663"/>
      <c r="BF164" s="1608"/>
      <c r="BG164" s="1609"/>
      <c r="BH164" s="1614"/>
      <c r="BI164" s="1662"/>
      <c r="BJ164" s="1621"/>
      <c r="BK164" s="1614"/>
      <c r="BL164" s="1663"/>
      <c r="BM164" s="1618"/>
      <c r="BN164" s="1499"/>
      <c r="BO164" s="1655"/>
      <c r="BP164" s="1608"/>
      <c r="BQ164" s="1609"/>
      <c r="BR164" s="1614"/>
      <c r="BS164" s="1662"/>
      <c r="BT164" s="1499"/>
      <c r="BU164" s="1460"/>
      <c r="BV164" s="1664"/>
      <c r="BW164" s="1664"/>
      <c r="BX164" s="1460"/>
      <c r="BY164" s="1460"/>
      <c r="BZ164" s="1460"/>
      <c r="CA164" s="1460"/>
      <c r="CB164" s="1499"/>
      <c r="CC164" s="1460"/>
      <c r="CD164" s="1664"/>
      <c r="CE164" s="1664"/>
      <c r="CF164" s="1460"/>
      <c r="CG164" s="1460"/>
      <c r="CH164" s="1460"/>
      <c r="CI164" s="1460"/>
      <c r="CJ164" s="1460"/>
    </row>
    <row r="165" spans="1:88" hidden="1" outlineLevel="1">
      <c r="A165" s="467" t="str">
        <f>$A$11</f>
        <v>1Q</v>
      </c>
      <c r="B165" s="467" t="str">
        <f>$B$11</f>
        <v>Apr</v>
      </c>
      <c r="C165" s="1667"/>
      <c r="D165" s="1607">
        <v>3889.058</v>
      </c>
      <c r="E165" s="1608">
        <f>+(D165/D158-1)*100</f>
        <v>10.321345486182532</v>
      </c>
      <c r="F165" s="1639">
        <v>8</v>
      </c>
      <c r="G165" s="1610">
        <v>604.62800000000004</v>
      </c>
      <c r="H165" s="1662"/>
      <c r="I165" s="1662">
        <f>+G165/D165*100</f>
        <v>15.546901074758978</v>
      </c>
      <c r="J165" s="1765">
        <f>I165-I158</f>
        <v>1.1369469415430444</v>
      </c>
      <c r="K165" s="1610"/>
      <c r="L165" s="1608"/>
      <c r="M165" s="1609"/>
      <c r="N165" s="1499"/>
      <c r="O165" s="1662"/>
      <c r="P165" s="1609"/>
      <c r="Q165" s="1610"/>
      <c r="R165" s="1608"/>
      <c r="S165" s="1609"/>
      <c r="T165" s="1499"/>
      <c r="U165" s="1662"/>
      <c r="V165" s="1609"/>
      <c r="W165" s="1607">
        <v>640.20899999999995</v>
      </c>
      <c r="X165" s="1608">
        <f>+(W165/W158-1)*100</f>
        <v>8.1308090779959699</v>
      </c>
      <c r="Y165" s="1639">
        <v>6</v>
      </c>
      <c r="Z165" s="1610">
        <v>71.064999999999998</v>
      </c>
      <c r="AA165" s="1662">
        <f>+Z165/W165*100</f>
        <v>11.100281314383272</v>
      </c>
      <c r="AB165" s="1765">
        <f>AA165-AA158</f>
        <v>5.0058902890129184</v>
      </c>
      <c r="AC165" s="1610">
        <v>673.09699999999998</v>
      </c>
      <c r="AD165" s="1608">
        <f>+(AC165/AC158-1)*100</f>
        <v>13.986672424450264</v>
      </c>
      <c r="AE165" s="1639">
        <v>13</v>
      </c>
      <c r="AF165" s="1610">
        <v>11.728999999999999</v>
      </c>
      <c r="AG165" s="1662">
        <f>+AF165/AC165*100</f>
        <v>1.7425423081665792</v>
      </c>
      <c r="AH165" s="1765">
        <f>AG165-AG158</f>
        <v>7.0456303429842357</v>
      </c>
      <c r="AI165" s="1610">
        <v>595.72199999999998</v>
      </c>
      <c r="AJ165" s="1608">
        <f>+(AI165/AI158-1)*100</f>
        <v>18.367200958506437</v>
      </c>
      <c r="AK165" s="1639">
        <v>9</v>
      </c>
      <c r="AL165" s="1610">
        <v>69.433000000000007</v>
      </c>
      <c r="AM165" s="1618">
        <f>+AL165/AI165*100</f>
        <v>11.65526873273104</v>
      </c>
      <c r="AN165" s="1609">
        <f>AM165-AM158</f>
        <v>2.0266899808161138</v>
      </c>
      <c r="AO165" s="1607">
        <v>9.2289999999999992</v>
      </c>
      <c r="AP165" s="1608">
        <f>+(AO165/AO158-1)*100</f>
        <v>0</v>
      </c>
      <c r="AQ165" s="1639">
        <v>7</v>
      </c>
      <c r="AR165" s="1610">
        <v>-49.290999999999997</v>
      </c>
      <c r="AS165" s="1618" t="s">
        <v>145</v>
      </c>
      <c r="AT165" s="1609"/>
      <c r="AU165" s="1609"/>
      <c r="AV165" s="1675"/>
      <c r="AW165" s="1676"/>
      <c r="AX165" s="1677"/>
      <c r="AY165" s="1678"/>
      <c r="AZ165" s="1679"/>
      <c r="BA165" s="1609"/>
      <c r="BB165" s="1711">
        <f>'qtrP&amp;L'!CP10</f>
        <v>5798.0860000000002</v>
      </c>
      <c r="BC165" s="1611">
        <f>'qtrP&amp;L'!CR10</f>
        <v>8</v>
      </c>
      <c r="BD165" s="1712">
        <f>+D165+W165+AC165+AI165</f>
        <v>5798.0859999999993</v>
      </c>
      <c r="BE165" s="1638" t="str">
        <f>IF(ROUND(BB165,2)=ROUND(BD165,2),"y","n")</f>
        <v>y</v>
      </c>
      <c r="BF165" s="1613">
        <f>+(BD165/BD158-1)*100</f>
        <v>11.264873636219509</v>
      </c>
      <c r="BG165" s="1611">
        <f>qtrSales!F166</f>
        <v>8</v>
      </c>
      <c r="BH165" s="1614">
        <f>'qtrP&amp;L'!CP61</f>
        <v>690.2320000000002</v>
      </c>
      <c r="BI165" s="1620">
        <f>+BH165/BB165*100</f>
        <v>11.904480202604793</v>
      </c>
      <c r="BJ165" s="1610">
        <v>66.623000000000005</v>
      </c>
      <c r="BK165" s="1614">
        <f>+G165+Z165+AF165+AL165-BJ165</f>
        <v>690.23199999999997</v>
      </c>
      <c r="BL165" s="1638" t="str">
        <f>IF(ROUND(BH165,0)=ROUND(BK165,0),"y","n")</f>
        <v>y</v>
      </c>
      <c r="BM165" s="1618">
        <f>+BK165/BD165*100</f>
        <v>11.904480202604791</v>
      </c>
      <c r="BN165" s="1685"/>
      <c r="BO165" s="1655"/>
      <c r="BP165" s="1608"/>
      <c r="BQ165" s="1609"/>
      <c r="BR165" s="1614"/>
      <c r="BS165" s="1662"/>
      <c r="BT165" s="1499"/>
      <c r="BU165" s="1422">
        <f>+D165/$BD165</f>
        <v>0.67074858841348683</v>
      </c>
      <c r="BV165" s="1628"/>
      <c r="BW165" s="1628"/>
      <c r="BX165" s="1422">
        <f>+W165/$BD165</f>
        <v>0.11041729977789222</v>
      </c>
      <c r="BY165" s="1422">
        <f>+AC165/BD165</f>
        <v>0.11608951643697593</v>
      </c>
      <c r="BZ165" s="1422">
        <f>+AI165/BD165</f>
        <v>0.10274459537164507</v>
      </c>
      <c r="CA165" s="1714"/>
      <c r="CB165" s="467"/>
      <c r="CC165" s="1422">
        <f>+G165/$BK165</f>
        <v>0.87597793205762708</v>
      </c>
      <c r="CD165" s="1628"/>
      <c r="CE165" s="1628"/>
      <c r="CF165" s="1422">
        <f>+Z165/$BK165</f>
        <v>0.10295813581520416</v>
      </c>
      <c r="CG165" s="1422">
        <f>+AF165/$BK165</f>
        <v>1.699283719097347E-2</v>
      </c>
      <c r="CH165" s="1422">
        <f>+AL165/$BK165</f>
        <v>0.10059371341809711</v>
      </c>
      <c r="CI165" s="1422">
        <f>+AR165/$BK165</f>
        <v>-7.1412220818507399E-2</v>
      </c>
      <c r="CJ165" s="1422"/>
    </row>
    <row r="166" spans="1:88" hidden="1" outlineLevel="1">
      <c r="A166" s="467" t="str">
        <f>$A$12</f>
        <v>2Q</v>
      </c>
      <c r="B166" s="467" t="str">
        <f>$B$12</f>
        <v>Jul</v>
      </c>
      <c r="C166" s="1720"/>
      <c r="D166" s="1616">
        <v>3976.0509999999999</v>
      </c>
      <c r="E166" s="1608">
        <f>+(D166/D159-1)*100</f>
        <v>8.8259863049617628</v>
      </c>
      <c r="F166" s="1639">
        <v>7</v>
      </c>
      <c r="G166" s="1617">
        <v>581.37900000000002</v>
      </c>
      <c r="H166" s="1662"/>
      <c r="I166" s="1662">
        <f>+G166/D166*100</f>
        <v>14.622020693396539</v>
      </c>
      <c r="J166" s="1765">
        <f>I166-I159</f>
        <v>1.5137484370434624</v>
      </c>
      <c r="K166" s="1610"/>
      <c r="L166" s="1608"/>
      <c r="M166" s="1609"/>
      <c r="N166" s="1499"/>
      <c r="O166" s="1662"/>
      <c r="P166" s="1609"/>
      <c r="Q166" s="1610"/>
      <c r="R166" s="1608"/>
      <c r="S166" s="1609"/>
      <c r="T166" s="1499"/>
      <c r="U166" s="1662"/>
      <c r="V166" s="1609"/>
      <c r="W166" s="1616">
        <v>660.70299999999997</v>
      </c>
      <c r="X166" s="1608">
        <f>+(W166/W159-1)*100</f>
        <v>3.6086443120570744</v>
      </c>
      <c r="Y166" s="1639">
        <v>5</v>
      </c>
      <c r="Z166" s="1617">
        <v>92.661000000000001</v>
      </c>
      <c r="AA166" s="1662">
        <f>+Z166/W166*100</f>
        <v>14.024607123018967</v>
      </c>
      <c r="AB166" s="1765">
        <f>AA166-AA159</f>
        <v>-0.45089903905639339</v>
      </c>
      <c r="AC166" s="1617">
        <v>711.09100000000001</v>
      </c>
      <c r="AD166" s="1608">
        <f>+(AC166/AC159-1)*100</f>
        <v>7.4662076386454057</v>
      </c>
      <c r="AE166" s="1639">
        <v>10</v>
      </c>
      <c r="AF166" s="1617">
        <v>24.724</v>
      </c>
      <c r="AG166" s="1662">
        <f>+AF166/AC166*100</f>
        <v>3.4769108313844499</v>
      </c>
      <c r="AH166" s="1765">
        <f>AG166-AG159</f>
        <v>2.3703470127871653</v>
      </c>
      <c r="AI166" s="1617">
        <v>597.71400000000006</v>
      </c>
      <c r="AJ166" s="1608">
        <f>+(AI166/AI159-1)*100</f>
        <v>15.991376048157523</v>
      </c>
      <c r="AK166" s="1639">
        <v>9</v>
      </c>
      <c r="AL166" s="1617">
        <v>60.530999999999999</v>
      </c>
      <c r="AM166" s="1618">
        <f>+AL166/AI166*100</f>
        <v>10.127084190766821</v>
      </c>
      <c r="AN166" s="1609">
        <f>AM166-AM159</f>
        <v>2.8553307379841204</v>
      </c>
      <c r="AO166" s="1715"/>
      <c r="AP166" s="1608"/>
      <c r="AQ166" s="1609"/>
      <c r="AR166" s="1621"/>
      <c r="AS166" s="1657"/>
      <c r="AT166" s="1609"/>
      <c r="AU166" s="1609"/>
      <c r="AV166" s="1683"/>
      <c r="AW166" s="1676"/>
      <c r="AX166" s="1677"/>
      <c r="AY166" s="1684"/>
      <c r="AZ166" s="1679"/>
      <c r="BA166" s="1609"/>
      <c r="BB166" s="1716">
        <f>'qtrP&amp;L'!CP11</f>
        <v>5945.5590000000002</v>
      </c>
      <c r="BC166" s="1611">
        <f>'qtrP&amp;L'!CR11</f>
        <v>7</v>
      </c>
      <c r="BD166" s="1712">
        <f>+D166+W166+AC166+AI166</f>
        <v>5945.5590000000002</v>
      </c>
      <c r="BE166" s="1638" t="str">
        <f>IF(ROUND(BB166,2)=ROUND(BD166,2),"y","n")</f>
        <v>y</v>
      </c>
      <c r="BF166" s="1613">
        <f>+(BD166/BD159-1)*100</f>
        <v>8.7282568503333824</v>
      </c>
      <c r="BG166" s="1611">
        <f>qtrSales!F167</f>
        <v>7</v>
      </c>
      <c r="BH166" s="1621">
        <f>'qtrP&amp;L'!CP62</f>
        <v>691.97199999999987</v>
      </c>
      <c r="BI166" s="1620">
        <f>+BH166/BB166*100</f>
        <v>11.63846830886717</v>
      </c>
      <c r="BJ166" s="1617">
        <v>67.322999999999993</v>
      </c>
      <c r="BK166" s="1621">
        <f>+G166+Z166+AF166+AL166-BJ166</f>
        <v>691.97199999999998</v>
      </c>
      <c r="BL166" s="1638" t="str">
        <f>IF(ROUND(BH166,0)=ROUND(BK166,0),"y","n")</f>
        <v>y</v>
      </c>
      <c r="BM166" s="1618">
        <f>+BK166/BD166*100</f>
        <v>11.638468308867173</v>
      </c>
      <c r="BN166" s="1685"/>
      <c r="BO166" s="1655"/>
      <c r="BP166" s="1608"/>
      <c r="BQ166" s="1609"/>
      <c r="BR166" s="1614"/>
      <c r="BS166" s="1662"/>
      <c r="BT166" s="1499"/>
      <c r="BU166" s="1422">
        <f>+D166/$BD166</f>
        <v>0.66874300633464401</v>
      </c>
      <c r="BV166" s="1628"/>
      <c r="BW166" s="1628"/>
      <c r="BX166" s="1422">
        <f>+W166/$BD166</f>
        <v>0.11112546356028087</v>
      </c>
      <c r="BY166" s="1422">
        <f>+AC166/BD166</f>
        <v>0.11960036053800828</v>
      </c>
      <c r="BZ166" s="1422">
        <f>+AI166/BD166</f>
        <v>0.10053116956706679</v>
      </c>
      <c r="CA166" s="1422"/>
      <c r="CB166" s="467"/>
      <c r="CC166" s="1422">
        <f>+G166/$BK166</f>
        <v>0.84017705918736596</v>
      </c>
      <c r="CD166" s="1628"/>
      <c r="CE166" s="1628"/>
      <c r="CF166" s="1422">
        <f>+Z166/$BK166</f>
        <v>0.13390859745770062</v>
      </c>
      <c r="CG166" s="1422">
        <f>+AF166/$BK166</f>
        <v>3.5729769412635191E-2</v>
      </c>
      <c r="CH166" s="1422">
        <f>+AL166/$BK166</f>
        <v>8.7476082847282838E-2</v>
      </c>
      <c r="CI166" s="1422">
        <f>+AR166/$BK166</f>
        <v>0</v>
      </c>
      <c r="CJ166" s="1422"/>
    </row>
    <row r="167" spans="1:88" hidden="1" outlineLevel="1">
      <c r="A167" s="467" t="str">
        <f>$A$13</f>
        <v>3Q</v>
      </c>
      <c r="B167" s="467" t="str">
        <f>$B$13</f>
        <v>Oct</v>
      </c>
      <c r="C167" s="1721"/>
      <c r="D167" s="1616">
        <v>4161.4089999999997</v>
      </c>
      <c r="E167" s="1608">
        <f>+(D167/D160-1)*100</f>
        <v>9.7898605402153791</v>
      </c>
      <c r="F167" s="1639">
        <v>7</v>
      </c>
      <c r="G167" s="1617">
        <v>576.505</v>
      </c>
      <c r="H167" s="1662"/>
      <c r="I167" s="1662">
        <f>+G167/D167*100</f>
        <v>13.853601027921073</v>
      </c>
      <c r="J167" s="1765">
        <f>I167-I160</f>
        <v>0.62104141585460937</v>
      </c>
      <c r="K167" s="1610"/>
      <c r="L167" s="1608"/>
      <c r="M167" s="1609"/>
      <c r="N167" s="1499"/>
      <c r="O167" s="1662"/>
      <c r="P167" s="1609"/>
      <c r="Q167" s="1610"/>
      <c r="R167" s="1608"/>
      <c r="S167" s="1609"/>
      <c r="T167" s="1499"/>
      <c r="U167" s="1662"/>
      <c r="V167" s="1609"/>
      <c r="W167" s="1616">
        <v>768.96699999999998</v>
      </c>
      <c r="X167" s="1608">
        <f>+(W167/W160-1)*100</f>
        <v>9.0638965990176743</v>
      </c>
      <c r="Y167" s="1639">
        <v>4</v>
      </c>
      <c r="Z167" s="1617">
        <v>127.212</v>
      </c>
      <c r="AA167" s="1662">
        <f>+Z167/W167*100</f>
        <v>16.543232674484081</v>
      </c>
      <c r="AB167" s="1765">
        <f>AA167-AA160</f>
        <v>-1.318484254973086</v>
      </c>
      <c r="AC167" s="1617">
        <v>843.02300000000002</v>
      </c>
      <c r="AD167" s="1608">
        <f>+(AC167/AC160-1)*100</f>
        <v>12.905722945218789</v>
      </c>
      <c r="AE167" s="1639">
        <v>11</v>
      </c>
      <c r="AF167" s="1617">
        <v>76.84</v>
      </c>
      <c r="AG167" s="1662">
        <f>+AF167/AC167*100</f>
        <v>9.1148165589788182</v>
      </c>
      <c r="AH167" s="1765">
        <f>AG167-AG160</f>
        <v>3.4374074000700228</v>
      </c>
      <c r="AI167" s="1617">
        <v>637.51400000000001</v>
      </c>
      <c r="AJ167" s="1608">
        <f>+(AI167/AI160-1)*100</f>
        <v>15.687413122929005</v>
      </c>
      <c r="AK167" s="1639">
        <v>6</v>
      </c>
      <c r="AL167" s="1617">
        <v>76.790000000000006</v>
      </c>
      <c r="AM167" s="1618">
        <f>+AL167/AI167*100</f>
        <v>12.045225673475407</v>
      </c>
      <c r="AN167" s="1609">
        <f>AM167-AM160</f>
        <v>0.58961055659285755</v>
      </c>
      <c r="AO167" s="1715"/>
      <c r="AP167" s="1608"/>
      <c r="AQ167" s="1609"/>
      <c r="AR167" s="1621"/>
      <c r="AS167" s="1657"/>
      <c r="AT167" s="1609"/>
      <c r="AU167" s="1609"/>
      <c r="AV167" s="1683"/>
      <c r="AW167" s="1676"/>
      <c r="AX167" s="1677"/>
      <c r="AY167" s="1684"/>
      <c r="AZ167" s="1679"/>
      <c r="BA167" s="1609"/>
      <c r="BB167" s="1716">
        <f>'qtrP&amp;L'!CP12</f>
        <v>6410.9129999999996</v>
      </c>
      <c r="BC167" s="1611">
        <f>'qtrP&amp;L'!CR12</f>
        <v>7</v>
      </c>
      <c r="BD167" s="1712">
        <f>+D167+W167+AC167+AI167</f>
        <v>6410.9129999999996</v>
      </c>
      <c r="BE167" s="1638" t="str">
        <f>IF(ROUND(BB167,1)=ROUND(BD167,1),"y","n")</f>
        <v>y</v>
      </c>
      <c r="BF167" s="1613">
        <f>+(BD167/BD160-1)*100</f>
        <v>10.664100637859208</v>
      </c>
      <c r="BG167" s="1611">
        <f>qtrSales!F168</f>
        <v>2</v>
      </c>
      <c r="BH167" s="1621">
        <f>'qtrP&amp;L'!CP63</f>
        <v>754.55799999999931</v>
      </c>
      <c r="BI167" s="1620">
        <f>+BH167/BB167*100</f>
        <v>11.769899232761377</v>
      </c>
      <c r="BJ167" s="1617">
        <v>102.789</v>
      </c>
      <c r="BK167" s="1621">
        <f>+G167+Z167+AF167+AL167-BJ167</f>
        <v>754.55799999999999</v>
      </c>
      <c r="BL167" s="1638" t="str">
        <f>IF(ROUND(BH167,0)=ROUND(BK167,0),"y","n")</f>
        <v>y</v>
      </c>
      <c r="BM167" s="1618">
        <f>+BK167/BD167*100</f>
        <v>11.769899232761388</v>
      </c>
      <c r="BN167" s="1722"/>
      <c r="BO167" s="1655"/>
      <c r="BP167" s="1608"/>
      <c r="BQ167" s="1609"/>
      <c r="BR167" s="1614"/>
      <c r="BS167" s="1662"/>
      <c r="BT167" s="1499"/>
      <c r="BU167" s="1422">
        <f>+D167/$BD167</f>
        <v>0.64911331662120508</v>
      </c>
      <c r="BV167" s="1628"/>
      <c r="BW167" s="1628"/>
      <c r="BX167" s="1422">
        <f>+W167/$BD167</f>
        <v>0.11994656611312617</v>
      </c>
      <c r="BY167" s="1422">
        <f>+AC167/BD167</f>
        <v>0.13149811891067623</v>
      </c>
      <c r="BZ167" s="1422">
        <f>+AI167/BD167</f>
        <v>9.9441998354992497E-2</v>
      </c>
      <c r="CA167" s="1422"/>
      <c r="CB167" s="467"/>
      <c r="CC167" s="1422">
        <f>+G167/$BK167</f>
        <v>0.76403006793381023</v>
      </c>
      <c r="CD167" s="1628"/>
      <c r="CE167" s="1628"/>
      <c r="CF167" s="1422">
        <f>+Z167/$BK167</f>
        <v>0.16859141378131304</v>
      </c>
      <c r="CG167" s="1422">
        <f>+AF167/$BK167</f>
        <v>0.10183445142719315</v>
      </c>
      <c r="CH167" s="1422">
        <f>+AL167/$BK167</f>
        <v>0.10176818746869029</v>
      </c>
      <c r="CI167" s="1422">
        <f>+AR167/$BK167</f>
        <v>0</v>
      </c>
      <c r="CJ167" s="1422"/>
    </row>
    <row r="168" spans="1:88" hidden="1" outlineLevel="1">
      <c r="A168" s="467" t="str">
        <f>$A$14</f>
        <v>4Q</v>
      </c>
      <c r="B168" s="467" t="str">
        <f>$B$14</f>
        <v>Jan</v>
      </c>
      <c r="C168" s="1720"/>
      <c r="D168" s="1623">
        <v>4984.8909999999996</v>
      </c>
      <c r="E168" s="1608">
        <f>+(D168/D161-1)*100</f>
        <v>13.334601981091222</v>
      </c>
      <c r="F168" s="1639">
        <v>4</v>
      </c>
      <c r="G168" s="1624">
        <v>723.76199999999994</v>
      </c>
      <c r="H168" s="1662"/>
      <c r="I168" s="1662">
        <f>+G168/D168*100</f>
        <v>14.51911385825688</v>
      </c>
      <c r="J168" s="1765">
        <f>I168-I161</f>
        <v>0.83299641148552084</v>
      </c>
      <c r="K168" s="1610"/>
      <c r="L168" s="1608"/>
      <c r="M168" s="1609"/>
      <c r="N168" s="1499"/>
      <c r="O168" s="1662"/>
      <c r="P168" s="1609"/>
      <c r="Q168" s="1610"/>
      <c r="R168" s="1608"/>
      <c r="S168" s="1609"/>
      <c r="T168" s="1499"/>
      <c r="U168" s="1662"/>
      <c r="V168" s="1609"/>
      <c r="W168" s="1623">
        <v>856.11199999999997</v>
      </c>
      <c r="X168" s="1608">
        <f>+(W168/W161-1)*100</f>
        <v>14.875813485407585</v>
      </c>
      <c r="Y168" s="1639">
        <v>3</v>
      </c>
      <c r="Z168" s="1624">
        <v>123.976</v>
      </c>
      <c r="AA168" s="1662">
        <f>+Z168/W168*100</f>
        <v>14.481282822808231</v>
      </c>
      <c r="AB168" s="1765">
        <f>AA168-AA161</f>
        <v>1.9083207295509332</v>
      </c>
      <c r="AC168" s="1624">
        <v>1056.6500000000001</v>
      </c>
      <c r="AD168" s="1608">
        <f>+(AC168/AC161-1)*100</f>
        <v>18.485617787027529</v>
      </c>
      <c r="AE168" s="1639">
        <v>7</v>
      </c>
      <c r="AF168" s="1624">
        <v>102.42</v>
      </c>
      <c r="AG168" s="1662">
        <f>+AF168/AC168*100</f>
        <v>9.6928973643117402</v>
      </c>
      <c r="AH168" s="1765">
        <f>AG168-AG161</f>
        <v>4.0479965125474351</v>
      </c>
      <c r="AI168" s="1624">
        <v>826.16099999999994</v>
      </c>
      <c r="AJ168" s="1608">
        <f>+(AI168/AI161-1)*100</f>
        <v>22.516193899704582</v>
      </c>
      <c r="AK168" s="1639">
        <v>5</v>
      </c>
      <c r="AL168" s="1624">
        <v>117.869</v>
      </c>
      <c r="AM168" s="1618">
        <f>+AL168/AI168*100</f>
        <v>14.267073851222706</v>
      </c>
      <c r="AN168" s="1609">
        <f>AM168-AM161</f>
        <v>1.1598026123004015</v>
      </c>
      <c r="AO168" s="1717"/>
      <c r="AP168" s="1608"/>
      <c r="AQ168" s="1609"/>
      <c r="AR168" s="1625"/>
      <c r="AS168" s="1657"/>
      <c r="AT168" s="1609"/>
      <c r="AU168" s="1609"/>
      <c r="AV168" s="1686"/>
      <c r="AW168" s="1676"/>
      <c r="AX168" s="1677"/>
      <c r="AY168" s="1687"/>
      <c r="AZ168" s="1679"/>
      <c r="BA168" s="1609"/>
      <c r="BB168" s="1718">
        <f>'qtrP&amp;L'!CP13</f>
        <v>7723.8140000000003</v>
      </c>
      <c r="BC168" s="1611">
        <f>'qtrP&amp;L'!CR13</f>
        <v>4</v>
      </c>
      <c r="BD168" s="1625">
        <f>+D168+W168+AC168+AI168</f>
        <v>7723.8140000000003</v>
      </c>
      <c r="BE168" s="1638" t="str">
        <f>IF(ROUND(BB168,1)=ROUND(BD168,1),"y","n")</f>
        <v>y</v>
      </c>
      <c r="BF168" s="1613">
        <f>+(BD168/BD161-1)*100</f>
        <v>15.113153112228495</v>
      </c>
      <c r="BG168" s="1611">
        <f>qtrSales!F169</f>
        <v>4</v>
      </c>
      <c r="BH168" s="1625">
        <f>'qtrP&amp;L'!CP64</f>
        <v>969.76400000000058</v>
      </c>
      <c r="BI168" s="1643">
        <f>+BH168/BB168*100</f>
        <v>12.55550690371364</v>
      </c>
      <c r="BJ168" s="1624">
        <v>98.263000000000005</v>
      </c>
      <c r="BK168" s="1625">
        <f>+G168+Z168+AF168+AL168-BJ168</f>
        <v>969.76399999999978</v>
      </c>
      <c r="BL168" s="1638" t="str">
        <f>IF(ROUND(BH168,0)=ROUND(BK168,0),"y","n")</f>
        <v>y</v>
      </c>
      <c r="BM168" s="1618">
        <f>+BK168/BD168*100</f>
        <v>12.555506903713628</v>
      </c>
      <c r="BN168" s="1722"/>
      <c r="BO168" s="1655"/>
      <c r="BP168" s="1608"/>
      <c r="BQ168" s="1609"/>
      <c r="BR168" s="1614"/>
      <c r="BS168" s="1662"/>
      <c r="BT168" s="1499"/>
      <c r="BU168" s="1422">
        <f>+D168/$BD168</f>
        <v>0.64539241882313569</v>
      </c>
      <c r="BV168" s="1628"/>
      <c r="BW168" s="1628"/>
      <c r="BX168" s="1422">
        <f>+W168/$BD168</f>
        <v>0.11084057694812433</v>
      </c>
      <c r="BY168" s="1422">
        <f>+AC168/BD168</f>
        <v>0.13680417472507753</v>
      </c>
      <c r="BZ168" s="1422">
        <f>+AI168/BD168</f>
        <v>0.1069628295036623</v>
      </c>
      <c r="CA168" s="1422"/>
      <c r="CB168" s="467"/>
      <c r="CC168" s="1422">
        <f>+G168/$BK168</f>
        <v>0.7463279725788956</v>
      </c>
      <c r="CD168" s="1628"/>
      <c r="CE168" s="1628"/>
      <c r="CF168" s="1422">
        <f>+Z168/$BK168</f>
        <v>0.12784141296232901</v>
      </c>
      <c r="CG168" s="1422">
        <f>+AF168/$BK168</f>
        <v>0.10561332447894542</v>
      </c>
      <c r="CH168" s="1422">
        <f>+AL168/$BK168</f>
        <v>0.12154400452068753</v>
      </c>
      <c r="CI168" s="1422">
        <f>+AR168/$BK168</f>
        <v>0</v>
      </c>
      <c r="CJ168" s="1422"/>
    </row>
    <row r="169" spans="1:88" hidden="1" outlineLevel="1">
      <c r="A169" s="1499"/>
      <c r="B169" s="1499" t="str">
        <f>$B$15</f>
        <v>Year</v>
      </c>
      <c r="C169" s="1667"/>
      <c r="D169" s="1654">
        <f>+SUM(D165:D168)</f>
        <v>17011.409</v>
      </c>
      <c r="E169" s="1608">
        <f>+(D169/D162-1)*100</f>
        <v>10.697172393279608</v>
      </c>
      <c r="F169" s="1639">
        <v>6</v>
      </c>
      <c r="G169" s="1614">
        <f>+SUM(G165:G168)</f>
        <v>2486.2740000000003</v>
      </c>
      <c r="H169" s="1662"/>
      <c r="I169" s="1662">
        <f>+G169/D169*100</f>
        <v>14.615332568865991</v>
      </c>
      <c r="J169" s="1765">
        <f>I169-I162</f>
        <v>1.0124211294853076</v>
      </c>
      <c r="K169" s="1610"/>
      <c r="L169" s="1608"/>
      <c r="M169" s="1609"/>
      <c r="N169" s="1499"/>
      <c r="O169" s="1662"/>
      <c r="P169" s="1609"/>
      <c r="Q169" s="1610"/>
      <c r="R169" s="1608"/>
      <c r="S169" s="1609"/>
      <c r="T169" s="1499"/>
      <c r="U169" s="1662"/>
      <c r="V169" s="1609"/>
      <c r="W169" s="1654">
        <f>+SUM(W165:W168)</f>
        <v>2925.991</v>
      </c>
      <c r="X169" s="1608">
        <f>+(W169/W162-1)*100</f>
        <v>9.1758763107395289</v>
      </c>
      <c r="Y169" s="1639">
        <v>5</v>
      </c>
      <c r="Z169" s="1614">
        <f>+SUM(Z165:Z168)</f>
        <v>414.91399999999999</v>
      </c>
      <c r="AA169" s="1662">
        <f>+Z169/W169*100</f>
        <v>14.180289686468619</v>
      </c>
      <c r="AB169" s="1765">
        <f>AA169-AA162</f>
        <v>1.1945143096222566</v>
      </c>
      <c r="AC169" s="1655">
        <f>+SUM(AC165:AC168)</f>
        <v>3283.8610000000003</v>
      </c>
      <c r="AD169" s="1608">
        <f>+(AC169/AC162-1)*100</f>
        <v>13.602857488800124</v>
      </c>
      <c r="AE169" s="1639">
        <v>10</v>
      </c>
      <c r="AF169" s="1614">
        <f>+SUM(AF165:AF168)</f>
        <v>215.71300000000002</v>
      </c>
      <c r="AG169" s="1662">
        <f>+AF169/AC169*100</f>
        <v>6.5688833967089355</v>
      </c>
      <c r="AH169" s="1765">
        <f>AG169-AG162</f>
        <v>4.1909061251610131</v>
      </c>
      <c r="AI169" s="1655">
        <f>+SUM(AI165:AI168)</f>
        <v>2657.1110000000003</v>
      </c>
      <c r="AJ169" s="1608">
        <f>+(AI169/AI162-1)*100</f>
        <v>18.410319850480363</v>
      </c>
      <c r="AK169" s="1639">
        <v>7</v>
      </c>
      <c r="AL169" s="1614">
        <f>+SUM(AL165:AL168)</f>
        <v>324.62300000000005</v>
      </c>
      <c r="AM169" s="1618">
        <f>+AL169/AI169*100</f>
        <v>12.217141097981981</v>
      </c>
      <c r="AN169" s="1609">
        <f>AM169-AM162</f>
        <v>1.6357470964151251</v>
      </c>
      <c r="AO169" s="1654"/>
      <c r="AP169" s="1608"/>
      <c r="AQ169" s="1609"/>
      <c r="AR169" s="1614"/>
      <c r="AS169" s="1618"/>
      <c r="AT169" s="1609"/>
      <c r="AU169" s="1609"/>
      <c r="AV169" s="1688"/>
      <c r="AW169" s="1676"/>
      <c r="AX169" s="1677"/>
      <c r="AY169" s="1678"/>
      <c r="AZ169" s="1679"/>
      <c r="BA169" s="1609"/>
      <c r="BB169" s="1719">
        <f>SUM(BB165:BB168)</f>
        <v>25878.372000000003</v>
      </c>
      <c r="BC169" s="1611">
        <f>'qtrP&amp;L'!CR14</f>
        <v>7</v>
      </c>
      <c r="BD169" s="1614">
        <f>+D169+W169+AC169+AI169+AO169</f>
        <v>25878.372000000003</v>
      </c>
      <c r="BE169" s="1638" t="str">
        <f>IF(ROUND(BB169,2)=ROUND(BD169,2),"y","n")</f>
        <v>y</v>
      </c>
      <c r="BF169" s="1608">
        <f>+(BD169/BD162-1)*100</f>
        <v>11.630229124675107</v>
      </c>
      <c r="BG169" s="1611">
        <f>qtrSales!F170</f>
        <v>7</v>
      </c>
      <c r="BH169" s="1614">
        <f>'qtrP&amp;L'!CP65</f>
        <v>3106.5260000000003</v>
      </c>
      <c r="BI169" s="1662">
        <f>+BH169/BB169*100</f>
        <v>12.004333193757319</v>
      </c>
      <c r="BJ169" s="1621">
        <f>SUM(BJ165:BJ168)</f>
        <v>334.99800000000005</v>
      </c>
      <c r="BK169" s="1614">
        <f>+G169+Z169+AF169+AL169-BJ169</f>
        <v>3106.5260000000003</v>
      </c>
      <c r="BL169" s="1638" t="str">
        <f>IF(ROUND(BH169,0)=ROUND(BK169,0),"y","n")</f>
        <v>y</v>
      </c>
      <c r="BM169" s="1618">
        <f>+BK169/BD169*100</f>
        <v>12.004333193757319</v>
      </c>
      <c r="BN169" s="1722"/>
      <c r="BO169" s="1655"/>
      <c r="BP169" s="1608"/>
      <c r="BQ169" s="1609"/>
      <c r="BR169" s="1614"/>
      <c r="BS169" s="1662"/>
      <c r="BT169" s="1499"/>
      <c r="BU169" s="1460">
        <f>+D169/$BD169</f>
        <v>0.65736009204906698</v>
      </c>
      <c r="BV169" s="1664"/>
      <c r="BW169" s="1664"/>
      <c r="BX169" s="1460">
        <f>+W169/$BD169</f>
        <v>0.11306704301182469</v>
      </c>
      <c r="BY169" s="1460">
        <f>+AC169/BD169</f>
        <v>0.1268959654803633</v>
      </c>
      <c r="BZ169" s="1460">
        <f>+AI169/BD169</f>
        <v>0.10267689945874493</v>
      </c>
      <c r="CA169" s="1460"/>
      <c r="CB169" s="1499"/>
      <c r="CC169" s="1460">
        <f>+G169/$BK169</f>
        <v>0.80033902822638536</v>
      </c>
      <c r="CD169" s="1664"/>
      <c r="CE169" s="1664"/>
      <c r="CF169" s="1460">
        <f>+Z169/$BK169</f>
        <v>0.13356205613601815</v>
      </c>
      <c r="CG169" s="1460">
        <f>+AF169/$BK169</f>
        <v>6.943865913241995E-2</v>
      </c>
      <c r="CH169" s="1460">
        <f>+AL169/$BK169</f>
        <v>0.10449711349591151</v>
      </c>
      <c r="CI169" s="1460">
        <f>+AR169/$BK169</f>
        <v>0</v>
      </c>
      <c r="CJ169" s="1460"/>
    </row>
    <row r="170" spans="1:88" ht="7.5" hidden="1" customHeight="1" outlineLevel="1">
      <c r="A170" s="467"/>
      <c r="B170" s="467"/>
      <c r="C170" s="467"/>
      <c r="D170" s="800"/>
      <c r="E170" s="1088"/>
      <c r="F170" s="1088"/>
      <c r="G170" s="1499"/>
      <c r="H170" s="1088"/>
      <c r="I170" s="1499"/>
      <c r="J170" s="1764"/>
      <c r="K170" s="1605"/>
      <c r="L170" s="1605"/>
      <c r="M170" s="1605"/>
      <c r="N170" s="467"/>
      <c r="O170" s="467"/>
      <c r="P170" s="1605"/>
      <c r="Q170" s="1605"/>
      <c r="R170" s="1605"/>
      <c r="S170" s="1605"/>
      <c r="T170" s="467"/>
      <c r="U170" s="467"/>
      <c r="V170" s="1605"/>
      <c r="W170" s="1603"/>
      <c r="X170" s="1088"/>
      <c r="Y170" s="1088"/>
      <c r="Z170" s="1499"/>
      <c r="AA170" s="1499"/>
      <c r="AB170" s="1764"/>
      <c r="AC170" s="1768"/>
      <c r="AD170" s="1088"/>
      <c r="AE170" s="1088"/>
      <c r="AF170" s="1499"/>
      <c r="AG170" s="1499"/>
      <c r="AH170" s="1764"/>
      <c r="AI170" s="800"/>
      <c r="AJ170" s="1088"/>
      <c r="AK170" s="1088"/>
      <c r="AL170" s="1499"/>
      <c r="AM170" s="1499"/>
      <c r="AN170" s="1635"/>
      <c r="AO170" s="1603"/>
      <c r="AP170" s="1088"/>
      <c r="AQ170" s="1088"/>
      <c r="AR170" s="1499"/>
      <c r="AS170" s="1604"/>
      <c r="AT170" s="702"/>
      <c r="AU170" s="702"/>
      <c r="AV170" s="1706"/>
      <c r="AW170" s="1707"/>
      <c r="AX170" s="1707"/>
      <c r="AY170" s="1708"/>
      <c r="AZ170" s="1709"/>
      <c r="BA170" s="487"/>
      <c r="BB170" s="693"/>
      <c r="BC170" s="693"/>
      <c r="BD170" s="1723"/>
      <c r="BE170" s="1710"/>
      <c r="BF170" s="487"/>
      <c r="BG170" s="487"/>
      <c r="BH170" s="693"/>
      <c r="BI170" s="693"/>
      <c r="BJ170" s="693"/>
      <c r="BK170" s="693"/>
      <c r="BL170" s="1710"/>
      <c r="BM170" s="1604"/>
      <c r="BN170" s="467"/>
      <c r="BO170" s="800"/>
      <c r="BP170" s="1088"/>
      <c r="BQ170" s="1088"/>
      <c r="BR170" s="1499"/>
      <c r="BS170" s="467"/>
      <c r="BT170" s="467"/>
      <c r="BU170" s="467"/>
      <c r="BV170" s="467"/>
      <c r="BW170" s="467"/>
      <c r="BX170" s="467"/>
      <c r="BY170" s="467"/>
      <c r="BZ170" s="467"/>
      <c r="CA170" s="467"/>
      <c r="CB170" s="467"/>
      <c r="CC170" s="467"/>
      <c r="CD170" s="467"/>
      <c r="CE170" s="467"/>
      <c r="CF170" s="467"/>
      <c r="CG170" s="467"/>
      <c r="CH170" s="467"/>
      <c r="CI170" s="467"/>
      <c r="CJ170" s="467"/>
    </row>
    <row r="171" spans="1:88" hidden="1" outlineLevel="1">
      <c r="A171" s="2111">
        <f>+A164+1</f>
        <v>2013</v>
      </c>
      <c r="B171" s="2111"/>
      <c r="C171" s="1667"/>
      <c r="D171" s="1654"/>
      <c r="E171" s="1608"/>
      <c r="F171" s="1609"/>
      <c r="G171" s="1614"/>
      <c r="H171" s="1662"/>
      <c r="I171" s="1662"/>
      <c r="J171" s="1765"/>
      <c r="K171" s="1610"/>
      <c r="L171" s="1608"/>
      <c r="M171" s="1609"/>
      <c r="N171" s="1499"/>
      <c r="O171" s="1662"/>
      <c r="P171" s="1609"/>
      <c r="Q171" s="1610"/>
      <c r="R171" s="1608"/>
      <c r="S171" s="1609"/>
      <c r="T171" s="1499"/>
      <c r="U171" s="1662"/>
      <c r="V171" s="1609"/>
      <c r="W171" s="1691"/>
      <c r="X171" s="1608"/>
      <c r="Y171" s="1609"/>
      <c r="Z171" s="1614"/>
      <c r="AA171" s="1769"/>
      <c r="AB171" s="1765"/>
      <c r="AC171" s="1614"/>
      <c r="AD171" s="1608"/>
      <c r="AE171" s="1609"/>
      <c r="AF171" s="1692"/>
      <c r="AG171" s="1662"/>
      <c r="AH171" s="1765"/>
      <c r="AI171" s="1614"/>
      <c r="AJ171" s="1608"/>
      <c r="AK171" s="1609"/>
      <c r="AL171" s="1614"/>
      <c r="AM171" s="1618"/>
      <c r="AN171" s="1609"/>
      <c r="AO171" s="1644"/>
      <c r="AP171" s="1608"/>
      <c r="AQ171" s="1609"/>
      <c r="AR171" s="1614"/>
      <c r="AS171" s="1618"/>
      <c r="AT171" s="1609"/>
      <c r="AU171" s="1609"/>
      <c r="AV171" s="1674"/>
      <c r="AW171" s="1608"/>
      <c r="AX171" s="1609"/>
      <c r="AY171" s="1614"/>
      <c r="AZ171" s="1618"/>
      <c r="BA171" s="1609"/>
      <c r="BB171" s="1621"/>
      <c r="BC171" s="1609"/>
      <c r="BD171" s="1614"/>
      <c r="BE171" s="1663"/>
      <c r="BF171" s="1608"/>
      <c r="BG171" s="1609"/>
      <c r="BH171" s="1614"/>
      <c r="BI171" s="1662"/>
      <c r="BJ171" s="1621"/>
      <c r="BK171" s="1614"/>
      <c r="BL171" s="1663"/>
      <c r="BM171" s="1618"/>
      <c r="BN171" s="1499"/>
      <c r="BO171" s="1655"/>
      <c r="BP171" s="1608"/>
      <c r="BQ171" s="1609"/>
      <c r="BR171" s="1614"/>
      <c r="BS171" s="1662"/>
      <c r="BT171" s="1499"/>
      <c r="BU171" s="1460"/>
      <c r="BV171" s="1664"/>
      <c r="BW171" s="1664"/>
      <c r="BX171" s="1460"/>
      <c r="BY171" s="1460"/>
      <c r="BZ171" s="1460"/>
      <c r="CA171" s="1460"/>
      <c r="CB171" s="1499"/>
      <c r="CC171" s="1460"/>
      <c r="CD171" s="1664"/>
      <c r="CE171" s="1664"/>
      <c r="CF171" s="1460"/>
      <c r="CG171" s="1460"/>
      <c r="CH171" s="1460"/>
      <c r="CI171" s="1460"/>
      <c r="CJ171" s="1460"/>
    </row>
    <row r="172" spans="1:88" hidden="1" outlineLevel="1">
      <c r="A172" s="467" t="str">
        <f>$A$11</f>
        <v>1Q</v>
      </c>
      <c r="B172" s="467" t="str">
        <f>$B$11</f>
        <v>Apr</v>
      </c>
      <c r="C172" s="1667"/>
      <c r="D172" s="1607">
        <v>4135.7489999999998</v>
      </c>
      <c r="E172" s="1608">
        <f>+(D172/D165-1)*100</f>
        <v>6.3432070182547928</v>
      </c>
      <c r="F172" s="1639">
        <v>1</v>
      </c>
      <c r="G172" s="1610">
        <v>634.29999999999995</v>
      </c>
      <c r="H172" s="1662"/>
      <c r="I172" s="1662">
        <f>+G172/D172*100</f>
        <v>15.337004252434081</v>
      </c>
      <c r="J172" s="1765">
        <f>I172-I165</f>
        <v>-0.2098968223248967</v>
      </c>
      <c r="K172" s="1610"/>
      <c r="L172" s="1608"/>
      <c r="M172" s="1609"/>
      <c r="N172" s="1499"/>
      <c r="O172" s="1662"/>
      <c r="P172" s="1609"/>
      <c r="Q172" s="1610"/>
      <c r="R172" s="1608"/>
      <c r="S172" s="1609"/>
      <c r="T172" s="1499"/>
      <c r="U172" s="1662"/>
      <c r="V172" s="1609"/>
      <c r="W172" s="1607">
        <v>645.49599999999998</v>
      </c>
      <c r="X172" s="1608">
        <f>+(W172/W165-1)*100</f>
        <v>0.82582406682818466</v>
      </c>
      <c r="Y172" s="1639">
        <v>-1</v>
      </c>
      <c r="Z172" s="1610">
        <v>74.305999999999997</v>
      </c>
      <c r="AA172" s="1662">
        <f>+Z172/W172*100</f>
        <v>11.511457855664482</v>
      </c>
      <c r="AB172" s="1765">
        <f>AA172-AA165</f>
        <v>0.4111765412812094</v>
      </c>
      <c r="AC172" s="1610">
        <v>718.83399999999995</v>
      </c>
      <c r="AD172" s="1608">
        <f>+(AC172/AC165-1)*100</f>
        <v>6.795008743167763</v>
      </c>
      <c r="AE172" s="1639">
        <v>4</v>
      </c>
      <c r="AF172" s="1610">
        <v>16.364000000000001</v>
      </c>
      <c r="AG172" s="1662">
        <f>+AF172/AC172*100</f>
        <v>2.2764643853796569</v>
      </c>
      <c r="AH172" s="1765">
        <f>AG172-AG165</f>
        <v>0.53392207721307772</v>
      </c>
      <c r="AI172" s="1610">
        <v>689.53</v>
      </c>
      <c r="AJ172" s="1608">
        <f>+(AI172/AI165-1)*100</f>
        <v>15.746942365734352</v>
      </c>
      <c r="AK172" s="1639">
        <v>7</v>
      </c>
      <c r="AL172" s="1610">
        <v>89.063000000000002</v>
      </c>
      <c r="AM172" s="1618">
        <f>+AL172/AI172*100</f>
        <v>12.916479341000391</v>
      </c>
      <c r="AN172" s="1609">
        <f>AM172-AM165</f>
        <v>1.2612106082693515</v>
      </c>
      <c r="AO172" s="1607"/>
      <c r="AP172" s="1608"/>
      <c r="AQ172" s="1639"/>
      <c r="AR172" s="1610"/>
      <c r="AS172" s="1618"/>
      <c r="AT172" s="1609"/>
      <c r="AU172" s="1609"/>
      <c r="AV172" s="1675"/>
      <c r="AW172" s="1676"/>
      <c r="AX172" s="1677"/>
      <c r="AY172" s="1678"/>
      <c r="AZ172" s="1679"/>
      <c r="BA172" s="1609"/>
      <c r="BB172" s="1711">
        <f>'qtrP&amp;L'!CT10</f>
        <v>6189.6090000000004</v>
      </c>
      <c r="BC172" s="1611">
        <f>'qtrP&amp;L'!CV10</f>
        <v>2</v>
      </c>
      <c r="BD172" s="1712">
        <f>+D172+W172+AC172+AI172</f>
        <v>6189.6089999999995</v>
      </c>
      <c r="BE172" s="1638" t="str">
        <f>IF(ROUND(BB172,2)=ROUND(BD172,2),"y","n")</f>
        <v>y</v>
      </c>
      <c r="BF172" s="1613">
        <f>+(BD172/BD165-1)*100</f>
        <v>6.7526249179470588</v>
      </c>
      <c r="BG172" s="1611">
        <f>qtrSales!F173</f>
        <v>2</v>
      </c>
      <c r="BH172" s="1614">
        <f>'qtrP&amp;L'!CT61</f>
        <v>737.16700000000003</v>
      </c>
      <c r="BI172" s="1620">
        <f>+BH172/BB172*100</f>
        <v>11.909750680535717</v>
      </c>
      <c r="BJ172" s="1610">
        <v>76.866</v>
      </c>
      <c r="BK172" s="1614">
        <f>+G172+Z172+AF172+AL172-BJ172</f>
        <v>737.16700000000003</v>
      </c>
      <c r="BL172" s="1638" t="str">
        <f>IF(ROUND(BH172,0)=ROUND(BK172,0),"y","n")</f>
        <v>y</v>
      </c>
      <c r="BM172" s="1618">
        <f>+BK172/BD172*100</f>
        <v>11.909750680535719</v>
      </c>
      <c r="BN172" s="1724">
        <f>BH172-BK172</f>
        <v>0</v>
      </c>
      <c r="BO172" s="1655"/>
      <c r="BP172" s="1608"/>
      <c r="BQ172" s="1609"/>
      <c r="BR172" s="1614"/>
      <c r="BS172" s="1662"/>
      <c r="BT172" s="1499"/>
      <c r="BU172" s="1422">
        <f>+D172/$BD172</f>
        <v>0.66817613196568637</v>
      </c>
      <c r="BV172" s="1628"/>
      <c r="BW172" s="1628"/>
      <c r="BX172" s="1422">
        <f>+W172/$BD172</f>
        <v>0.10428703977908783</v>
      </c>
      <c r="BY172" s="1422">
        <f>+AC172/BD172</f>
        <v>0.11613560727341582</v>
      </c>
      <c r="BZ172" s="1422">
        <f>+AI172/BD172</f>
        <v>0.11140122098181</v>
      </c>
      <c r="CA172" s="1714"/>
      <c r="CB172" s="467"/>
      <c r="CC172" s="1422">
        <f>+G172/$BK172</f>
        <v>0.86045631451217963</v>
      </c>
      <c r="CD172" s="1628"/>
      <c r="CE172" s="1628"/>
      <c r="CF172" s="1422">
        <f>+Z172/$BK172</f>
        <v>0.10079941180221035</v>
      </c>
      <c r="CG172" s="1422">
        <f>+AF172/$BK172</f>
        <v>2.2198497762379487E-2</v>
      </c>
      <c r="CH172" s="1422">
        <f>+AL172/$BK172</f>
        <v>0.12081794220305575</v>
      </c>
      <c r="CI172" s="1422">
        <f>+AR172/$BK172</f>
        <v>0</v>
      </c>
      <c r="CJ172" s="1422"/>
    </row>
    <row r="173" spans="1:88" hidden="1" outlineLevel="1">
      <c r="A173" s="467" t="str">
        <f>$A$12</f>
        <v>2Q</v>
      </c>
      <c r="B173" s="467" t="str">
        <f>$B$12</f>
        <v>Jul</v>
      </c>
      <c r="C173" s="1720"/>
      <c r="D173" s="1616">
        <v>4295.3459999999995</v>
      </c>
      <c r="E173" s="1608">
        <f>+(D173/D166-1)*100</f>
        <v>8.0304553437569037</v>
      </c>
      <c r="F173" s="1639">
        <v>4</v>
      </c>
      <c r="G173" s="1617">
        <v>647.97799999999995</v>
      </c>
      <c r="H173" s="1662"/>
      <c r="I173" s="1662">
        <f>+G173/D173*100</f>
        <v>15.085583326698245</v>
      </c>
      <c r="J173" s="1765">
        <f>I173-I166</f>
        <v>0.46356263330170577</v>
      </c>
      <c r="K173" s="1610"/>
      <c r="L173" s="1608"/>
      <c r="M173" s="1609"/>
      <c r="N173" s="1499"/>
      <c r="O173" s="1662"/>
      <c r="P173" s="1609"/>
      <c r="Q173" s="1610"/>
      <c r="R173" s="1608"/>
      <c r="S173" s="1609"/>
      <c r="T173" s="1499"/>
      <c r="U173" s="1662"/>
      <c r="V173" s="1609"/>
      <c r="W173" s="1616">
        <v>679.36400000000003</v>
      </c>
      <c r="X173" s="1608">
        <f>+(W173/W166-1)*100</f>
        <v>2.8244158116430551</v>
      </c>
      <c r="Y173" s="1639">
        <v>2</v>
      </c>
      <c r="Z173" s="1617">
        <v>90.775999999999996</v>
      </c>
      <c r="AA173" s="1662">
        <f>+Z173/W173*100</f>
        <v>13.36190907966863</v>
      </c>
      <c r="AB173" s="1765">
        <f>AA173-AA166</f>
        <v>-0.66269804335033733</v>
      </c>
      <c r="AC173" s="1617">
        <v>777.59100000000001</v>
      </c>
      <c r="AD173" s="1608">
        <f>+(AC173/AC166-1)*100</f>
        <v>9.3518269813568153</v>
      </c>
      <c r="AE173" s="1639">
        <v>6</v>
      </c>
      <c r="AF173" s="1617">
        <v>40.529000000000003</v>
      </c>
      <c r="AG173" s="1662">
        <f>+AF173/AC173*100</f>
        <v>5.2121230827002885</v>
      </c>
      <c r="AH173" s="1765">
        <f>AG173-AG166</f>
        <v>1.7352122513158386</v>
      </c>
      <c r="AI173" s="1617">
        <v>690.12300000000005</v>
      </c>
      <c r="AJ173" s="1608">
        <f>+(AI173/AI166-1)*100</f>
        <v>15.460404139772521</v>
      </c>
      <c r="AK173" s="1639">
        <v>8</v>
      </c>
      <c r="AL173" s="1617">
        <v>81.17</v>
      </c>
      <c r="AM173" s="1618">
        <f>+AL173/AI173*100</f>
        <v>11.761671470158218</v>
      </c>
      <c r="AN173" s="1609">
        <f>AM173-AM166</f>
        <v>1.6345872793913969</v>
      </c>
      <c r="AO173" s="1715"/>
      <c r="AP173" s="1608"/>
      <c r="AQ173" s="1609"/>
      <c r="AR173" s="1621"/>
      <c r="AS173" s="1657"/>
      <c r="AT173" s="1609"/>
      <c r="AU173" s="1609"/>
      <c r="AV173" s="1683"/>
      <c r="AW173" s="1676"/>
      <c r="AX173" s="1677"/>
      <c r="AY173" s="1684"/>
      <c r="AZ173" s="1679"/>
      <c r="BA173" s="1609"/>
      <c r="BB173" s="1716">
        <f>'qtrP&amp;L'!CT11</f>
        <v>6442.424</v>
      </c>
      <c r="BC173" s="1611">
        <f>'qtrP&amp;L'!CV11</f>
        <v>4</v>
      </c>
      <c r="BD173" s="1712">
        <f>+D173+W173+AC173+AI173</f>
        <v>6442.4239999999991</v>
      </c>
      <c r="BE173" s="1638" t="str">
        <f>IF(ROUND(BB173,2)=ROUND(BD173,2),"y","n")</f>
        <v>y</v>
      </c>
      <c r="BF173" s="1613">
        <f>+(BD173/BD166-1)*100</f>
        <v>8.356909753986109</v>
      </c>
      <c r="BG173" s="1611">
        <f>qtrSales!F174</f>
        <v>4</v>
      </c>
      <c r="BH173" s="1621">
        <f>'qtrP&amp;L'!CT62</f>
        <v>781.36500000000046</v>
      </c>
      <c r="BI173" s="1620">
        <f>+BH173/BB173*100</f>
        <v>12.128431782819641</v>
      </c>
      <c r="BJ173" s="1617">
        <v>79.087999999999994</v>
      </c>
      <c r="BK173" s="1621">
        <f>+G173+Z173+AF173+AL173-BJ173</f>
        <v>781.3649999999999</v>
      </c>
      <c r="BL173" s="1638" t="str">
        <f>IF(ROUND(BH173,0)=ROUND(BK173,0),"y","n")</f>
        <v>y</v>
      </c>
      <c r="BM173" s="1618">
        <f>+BK173/BD173*100</f>
        <v>12.128431782819634</v>
      </c>
      <c r="BN173" s="1724">
        <f>BH173-BK173</f>
        <v>0</v>
      </c>
      <c r="BO173" s="1655"/>
      <c r="BP173" s="1608"/>
      <c r="BQ173" s="1609"/>
      <c r="BR173" s="1614"/>
      <c r="BS173" s="1662"/>
      <c r="BT173" s="1499"/>
      <c r="BU173" s="1422">
        <f>+D173/$BD173</f>
        <v>0.66672823769438339</v>
      </c>
      <c r="BV173" s="1628"/>
      <c r="BW173" s="1628"/>
      <c r="BX173" s="1422">
        <f>+W173/$BD173</f>
        <v>0.10545161262282646</v>
      </c>
      <c r="BY173" s="1422">
        <f>+AC173/BD173</f>
        <v>0.12069851347877757</v>
      </c>
      <c r="BZ173" s="1422">
        <f>+AI173/BD173</f>
        <v>0.10712163620401267</v>
      </c>
      <c r="CA173" s="1422"/>
      <c r="CB173" s="467"/>
      <c r="CC173" s="1422">
        <f>+G173/$BK173</f>
        <v>0.82928976854607006</v>
      </c>
      <c r="CD173" s="1628"/>
      <c r="CE173" s="1628"/>
      <c r="CF173" s="1422">
        <f>+Z173/$BK173</f>
        <v>0.11617617886647087</v>
      </c>
      <c r="CG173" s="1422">
        <f>+AF173/$BK173</f>
        <v>5.186948481183571E-2</v>
      </c>
      <c r="CH173" s="1422">
        <f>+AL173/$BK173</f>
        <v>0.10388230852418526</v>
      </c>
      <c r="CI173" s="1422">
        <f>+AR173/$BK173</f>
        <v>0</v>
      </c>
      <c r="CJ173" s="1422"/>
    </row>
    <row r="174" spans="1:88" hidden="1" outlineLevel="1">
      <c r="A174" s="467" t="str">
        <f>$A$13</f>
        <v>3Q</v>
      </c>
      <c r="B174" s="467" t="str">
        <f>$B$13</f>
        <v>Oct</v>
      </c>
      <c r="C174" s="1721"/>
      <c r="D174" s="1616">
        <v>4484.174</v>
      </c>
      <c r="E174" s="1608">
        <f>+(D174/D167-1)*100</f>
        <v>7.7561470165513846</v>
      </c>
      <c r="F174" s="1639">
        <v>4</v>
      </c>
      <c r="G174" s="1617">
        <v>658.36900000000003</v>
      </c>
      <c r="H174" s="1662"/>
      <c r="I174" s="1662">
        <f>+G174/D174*100</f>
        <v>14.682057386711577</v>
      </c>
      <c r="J174" s="1765">
        <f>I174-I167</f>
        <v>0.82845635879050405</v>
      </c>
      <c r="K174" s="1610"/>
      <c r="L174" s="1608"/>
      <c r="M174" s="1609"/>
      <c r="N174" s="1499"/>
      <c r="O174" s="1662"/>
      <c r="P174" s="1609"/>
      <c r="Q174" s="1610"/>
      <c r="R174" s="1608"/>
      <c r="S174" s="1609"/>
      <c r="T174" s="1499"/>
      <c r="U174" s="1662"/>
      <c r="V174" s="1609"/>
      <c r="W174" s="1616">
        <v>785.88300000000004</v>
      </c>
      <c r="X174" s="1608">
        <f>+(W174/W167-1)*100</f>
        <v>2.1998343231894202</v>
      </c>
      <c r="Y174" s="1639">
        <v>2</v>
      </c>
      <c r="Z174" s="1617">
        <v>128.69200000000001</v>
      </c>
      <c r="AA174" s="1662">
        <f>+Z174/W174*100</f>
        <v>16.375465559122667</v>
      </c>
      <c r="AB174" s="1765">
        <f>AA174-AA167</f>
        <v>-0.1677671153614142</v>
      </c>
      <c r="AC174" s="1617">
        <v>972.28200000000004</v>
      </c>
      <c r="AD174" s="1608">
        <f>+(AC174/AC167-1)*100</f>
        <v>15.332796376848567</v>
      </c>
      <c r="AE174" s="1639">
        <v>5</v>
      </c>
      <c r="AF174" s="1617">
        <v>101.04300000000001</v>
      </c>
      <c r="AG174" s="1662">
        <f>+AF174/AC174*100</f>
        <v>10.392355304325289</v>
      </c>
      <c r="AH174" s="1765">
        <f>AG174-AG167</f>
        <v>1.2775387453464706</v>
      </c>
      <c r="AI174" s="1617">
        <v>739.53700000000003</v>
      </c>
      <c r="AJ174" s="1608">
        <f>+(AI174/AI167-1)*100</f>
        <v>16.003256399075163</v>
      </c>
      <c r="AK174" s="1639">
        <v>10</v>
      </c>
      <c r="AL174" s="1617">
        <v>96.936999999999998</v>
      </c>
      <c r="AM174" s="1618">
        <f>+AL174/AI174*100</f>
        <v>13.107795823603146</v>
      </c>
      <c r="AN174" s="1609">
        <f>AM174-AM167</f>
        <v>1.0625701501277387</v>
      </c>
      <c r="AO174" s="1715"/>
      <c r="AP174" s="1608"/>
      <c r="AQ174" s="1609"/>
      <c r="AR174" s="1621"/>
      <c r="AS174" s="1657"/>
      <c r="AT174" s="1609"/>
      <c r="AU174" s="1609"/>
      <c r="AV174" s="1683"/>
      <c r="AW174" s="1676"/>
      <c r="AX174" s="1677"/>
      <c r="AY174" s="1684"/>
      <c r="AZ174" s="1679"/>
      <c r="BA174" s="1609"/>
      <c r="BB174" s="1716">
        <f>'qtrP&amp;L'!CT12</f>
        <v>6981.8760000000002</v>
      </c>
      <c r="BC174" s="1611">
        <f>'qtrP&amp;L'!CV12</f>
        <v>5</v>
      </c>
      <c r="BD174" s="1712">
        <f>+D174+W174+AC174+AI174</f>
        <v>6981.8760000000002</v>
      </c>
      <c r="BE174" s="1638" t="str">
        <f>IF(ROUND(BB174,1)=ROUND(BD174,1),"y","n")</f>
        <v>y</v>
      </c>
      <c r="BF174" s="1613">
        <f>+(BD174/BD167-1)*100</f>
        <v>8.9061105649070669</v>
      </c>
      <c r="BG174" s="1611">
        <f>qtrSales!F175</f>
        <v>5</v>
      </c>
      <c r="BH174" s="1621">
        <f>'qtrP&amp;L'!CT63</f>
        <v>888.74300000000017</v>
      </c>
      <c r="BI174" s="1620">
        <f>+BH174/BB174*100</f>
        <v>12.729286512679403</v>
      </c>
      <c r="BJ174" s="1617">
        <v>96.298000000000002</v>
      </c>
      <c r="BK174" s="1621">
        <f>+G174+Z174+AF174+AL174-BJ174</f>
        <v>888.74300000000005</v>
      </c>
      <c r="BL174" s="1638" t="str">
        <f>IF(ROUND(BH174,0)=ROUND(BK174,0),"y","n")</f>
        <v>y</v>
      </c>
      <c r="BM174" s="1618">
        <f>+BK174/BD174*100</f>
        <v>12.729286512679399</v>
      </c>
      <c r="BN174" s="1724">
        <f>BH174-BK174</f>
        <v>0</v>
      </c>
      <c r="BO174" s="1655"/>
      <c r="BP174" s="1608"/>
      <c r="BQ174" s="1609"/>
      <c r="BR174" s="1614"/>
      <c r="BS174" s="1662"/>
      <c r="BT174" s="1499"/>
      <c r="BU174" s="1422">
        <f>+D174/$BD174</f>
        <v>0.64225918649944513</v>
      </c>
      <c r="BV174" s="1628"/>
      <c r="BW174" s="1628"/>
      <c r="BX174" s="1422">
        <f>+W174/$BD174</f>
        <v>0.11256043504639728</v>
      </c>
      <c r="BY174" s="1422">
        <f>+AC174/BD174</f>
        <v>0.13925798739479189</v>
      </c>
      <c r="BZ174" s="1422">
        <f>+AI174/BD174</f>
        <v>0.10592239105936571</v>
      </c>
      <c r="CA174" s="1422"/>
      <c r="CB174" s="467"/>
      <c r="CC174" s="1422">
        <f>+G174/$BK174</f>
        <v>0.74078670661822366</v>
      </c>
      <c r="CD174" s="1628"/>
      <c r="CE174" s="1628"/>
      <c r="CF174" s="1422">
        <f>+Z174/$BK174</f>
        <v>0.14480226567185339</v>
      </c>
      <c r="CG174" s="1422">
        <f>+AF174/$BK174</f>
        <v>0.113692034705196</v>
      </c>
      <c r="CH174" s="1422">
        <f>+AL174/$BK174</f>
        <v>0.10907202644634049</v>
      </c>
      <c r="CI174" s="1422">
        <f>+AR174/$BK174</f>
        <v>0</v>
      </c>
      <c r="CJ174" s="1422"/>
    </row>
    <row r="175" spans="1:88" hidden="1" outlineLevel="1">
      <c r="A175" s="467" t="str">
        <f>$A$14</f>
        <v>4Q</v>
      </c>
      <c r="B175" s="467" t="str">
        <f>$B$14</f>
        <v>Jan</v>
      </c>
      <c r="C175" s="1720"/>
      <c r="D175" s="1623">
        <v>5014.3069999999998</v>
      </c>
      <c r="E175" s="1608">
        <f>+(D175/D168-1)*100</f>
        <v>0.59010317377050647</v>
      </c>
      <c r="F175" s="1639">
        <v>3</v>
      </c>
      <c r="G175" s="1624">
        <v>672.04600000000005</v>
      </c>
      <c r="H175" s="1662"/>
      <c r="I175" s="1662">
        <f>+G175/D175*100</f>
        <v>13.402569886526694</v>
      </c>
      <c r="J175" s="1765">
        <f>I175-I168</f>
        <v>-1.1165439717301862</v>
      </c>
      <c r="K175" s="1610"/>
      <c r="L175" s="1608"/>
      <c r="M175" s="1609"/>
      <c r="N175" s="1499"/>
      <c r="O175" s="1662"/>
      <c r="P175" s="1609"/>
      <c r="Q175" s="1610"/>
      <c r="R175" s="1608"/>
      <c r="S175" s="1609"/>
      <c r="T175" s="1499"/>
      <c r="U175" s="1662"/>
      <c r="V175" s="1609"/>
      <c r="W175" s="1623">
        <v>767.09100000000001</v>
      </c>
      <c r="X175" s="1608">
        <f>+(W175/W168-1)*100</f>
        <v>-10.398289008914718</v>
      </c>
      <c r="Y175" s="1639">
        <v>-2</v>
      </c>
      <c r="Z175" s="1624">
        <v>111.589</v>
      </c>
      <c r="AA175" s="1662">
        <f>+Z175/W175*100</f>
        <v>14.54703548861869</v>
      </c>
      <c r="AB175" s="1765">
        <f>AA175-AA168</f>
        <v>6.5752665810459021E-2</v>
      </c>
      <c r="AC175" s="1624">
        <v>1152.8610000000001</v>
      </c>
      <c r="AD175" s="1608">
        <f>+(AC175/AC168-1)*100</f>
        <v>9.105285572327638</v>
      </c>
      <c r="AE175" s="1639">
        <v>9</v>
      </c>
      <c r="AF175" s="1624">
        <v>117.517</v>
      </c>
      <c r="AG175" s="1662">
        <f>+AF175/AC175*100</f>
        <v>10.193509885406826</v>
      </c>
      <c r="AH175" s="1765">
        <f>AG175-AG168</f>
        <v>0.50061252109508558</v>
      </c>
      <c r="AI175" s="1624">
        <v>874.52800000000002</v>
      </c>
      <c r="AJ175" s="1608">
        <f>+(AI175/AI168-1)*100</f>
        <v>5.8544278899633539</v>
      </c>
      <c r="AK175" s="1639">
        <v>4</v>
      </c>
      <c r="AL175" s="1624">
        <v>119.371</v>
      </c>
      <c r="AM175" s="1618">
        <f>+AL175/AI175*100</f>
        <v>13.649763072194371</v>
      </c>
      <c r="AN175" s="1609">
        <f>AM175-AM168</f>
        <v>-0.61731077902833498</v>
      </c>
      <c r="AO175" s="1717"/>
      <c r="AP175" s="1608"/>
      <c r="AQ175" s="1609"/>
      <c r="AR175" s="1625"/>
      <c r="AS175" s="1657"/>
      <c r="AT175" s="1609"/>
      <c r="AU175" s="1609"/>
      <c r="AV175" s="1686"/>
      <c r="AW175" s="1676"/>
      <c r="AX175" s="1677"/>
      <c r="AY175" s="1687"/>
      <c r="AZ175" s="1679"/>
      <c r="BA175" s="1609"/>
      <c r="BB175" s="1718">
        <f>'qtrP&amp;L'!CT13</f>
        <v>7808.7870000000003</v>
      </c>
      <c r="BC175" s="1611">
        <f>'qtrP&amp;L'!CV13</f>
        <v>3</v>
      </c>
      <c r="BD175" s="1625">
        <f>+D175+W175+AC175+AI175</f>
        <v>7808.7870000000003</v>
      </c>
      <c r="BE175" s="1638" t="str">
        <f>IF(ROUND(BB175,1)=ROUND(BD175,1),"y","n")</f>
        <v>y</v>
      </c>
      <c r="BF175" s="1613">
        <f>+(BD175/BD168-1)*100</f>
        <v>1.1001430122475675</v>
      </c>
      <c r="BG175" s="1611">
        <f>qtrSales!F176</f>
        <v>3</v>
      </c>
      <c r="BH175" s="1625">
        <f>'qtrP&amp;L'!CT64</f>
        <v>943.29500000000007</v>
      </c>
      <c r="BI175" s="1643">
        <f>+BH175/BB175*100</f>
        <v>12.079917149744258</v>
      </c>
      <c r="BJ175" s="1624">
        <v>77.227999999999994</v>
      </c>
      <c r="BK175" s="1625">
        <f>+G175+Z175+AF175+AL175-BJ175</f>
        <v>943.29500000000007</v>
      </c>
      <c r="BL175" s="1638" t="str">
        <f>IF(ROUND(BH175,0)=ROUND(BK175,0),"y","n")</f>
        <v>y</v>
      </c>
      <c r="BM175" s="1618">
        <f>+BK175/BD175*100</f>
        <v>12.079917149744258</v>
      </c>
      <c r="BN175" s="1724">
        <f>BH175-BK175</f>
        <v>0</v>
      </c>
      <c r="BO175" s="1655"/>
      <c r="BP175" s="1608"/>
      <c r="BQ175" s="1609"/>
      <c r="BR175" s="1614"/>
      <c r="BS175" s="1662"/>
      <c r="BT175" s="1499"/>
      <c r="BU175" s="1422">
        <f>+D175/$BD175</f>
        <v>0.64213648035219806</v>
      </c>
      <c r="BV175" s="1628"/>
      <c r="BW175" s="1628"/>
      <c r="BX175" s="1422">
        <f>+W175/$BD175</f>
        <v>9.8234335243104973E-2</v>
      </c>
      <c r="BY175" s="1422">
        <f>+AC175/BD175</f>
        <v>0.14763637425377335</v>
      </c>
      <c r="BZ175" s="1422">
        <f>+AI175/BD175</f>
        <v>0.11199281015092356</v>
      </c>
      <c r="CA175" s="1422"/>
      <c r="CB175" s="467"/>
      <c r="CC175" s="1422">
        <f>+G175/$BK175</f>
        <v>0.71244520537053624</v>
      </c>
      <c r="CD175" s="1628"/>
      <c r="CE175" s="1628"/>
      <c r="CF175" s="1422">
        <f>+Z175/$BK175</f>
        <v>0.11829703327167004</v>
      </c>
      <c r="CG175" s="1422">
        <f>+AF175/$BK175</f>
        <v>0.12458138758288763</v>
      </c>
      <c r="CH175" s="1422">
        <f>+AL175/$BK175</f>
        <v>0.12654683847576845</v>
      </c>
      <c r="CI175" s="1422">
        <f>+AR175/$BK175</f>
        <v>0</v>
      </c>
      <c r="CJ175" s="1422"/>
    </row>
    <row r="176" spans="1:88" hidden="1" outlineLevel="1">
      <c r="A176" s="1499"/>
      <c r="B176" s="1499" t="str">
        <f>$B$15</f>
        <v>Year</v>
      </c>
      <c r="C176" s="1667"/>
      <c r="D176" s="1654">
        <f>+SUM(D172:D175)</f>
        <v>17929.576000000001</v>
      </c>
      <c r="E176" s="1608">
        <f>+(D176/D169-1)*100</f>
        <v>5.3973600893376883</v>
      </c>
      <c r="F176" s="1639">
        <v>3</v>
      </c>
      <c r="G176" s="1614">
        <f>+SUM(G172:G175)</f>
        <v>2612.6930000000002</v>
      </c>
      <c r="H176" s="1662"/>
      <c r="I176" s="1662">
        <f>+G176/D176*100</f>
        <v>14.5719731464927</v>
      </c>
      <c r="J176" s="1765">
        <f>I176-I169</f>
        <v>-4.3359422373290712E-2</v>
      </c>
      <c r="K176" s="1610"/>
      <c r="L176" s="1608"/>
      <c r="M176" s="1609"/>
      <c r="N176" s="1499"/>
      <c r="O176" s="1662"/>
      <c r="P176" s="1609"/>
      <c r="Q176" s="1610"/>
      <c r="R176" s="1608"/>
      <c r="S176" s="1609"/>
      <c r="T176" s="1499"/>
      <c r="U176" s="1662"/>
      <c r="V176" s="1609"/>
      <c r="W176" s="1654">
        <f>+SUM(W172:W175)</f>
        <v>2877.8340000000003</v>
      </c>
      <c r="X176" s="1608">
        <f>+(W176/W169-1)*100</f>
        <v>-1.6458355476828057</v>
      </c>
      <c r="Y176" s="1639">
        <v>0</v>
      </c>
      <c r="Z176" s="1614">
        <f>+SUM(Z172:Z175)</f>
        <v>405.363</v>
      </c>
      <c r="AA176" s="1662">
        <f>+Z176/W176*100</f>
        <v>14.085697785209291</v>
      </c>
      <c r="AB176" s="1765">
        <f>AA176-AA169</f>
        <v>-9.4591901259327926E-2</v>
      </c>
      <c r="AC176" s="1655">
        <f>+SUM(AC172:AC175)</f>
        <v>3621.5680000000002</v>
      </c>
      <c r="AD176" s="1608">
        <f>+(AC176/AC169-1)*100</f>
        <v>10.283839663128248</v>
      </c>
      <c r="AE176" s="1639">
        <v>6</v>
      </c>
      <c r="AF176" s="1614">
        <f>+SUM(AF172:AF175)</f>
        <v>275.45299999999997</v>
      </c>
      <c r="AG176" s="1662">
        <f>+AF176/AC176*100</f>
        <v>7.6059044038383359</v>
      </c>
      <c r="AH176" s="1765">
        <f>AG176-AG169</f>
        <v>1.0370210071294004</v>
      </c>
      <c r="AI176" s="1655">
        <f>+SUM(AI172:AI175)</f>
        <v>2993.7179999999998</v>
      </c>
      <c r="AJ176" s="1608">
        <f>+(AI176/AI169-1)*100</f>
        <v>12.668157258014423</v>
      </c>
      <c r="AK176" s="1639">
        <v>7</v>
      </c>
      <c r="AL176" s="1614">
        <f>+SUM(AL172:AL175)</f>
        <v>386.541</v>
      </c>
      <c r="AM176" s="1618">
        <f>+AL176/AI176*100</f>
        <v>12.911737177649998</v>
      </c>
      <c r="AN176" s="1609">
        <f>AM176-AM169</f>
        <v>0.69459607966801684</v>
      </c>
      <c r="AO176" s="1654"/>
      <c r="AP176" s="1608"/>
      <c r="AQ176" s="1609"/>
      <c r="AR176" s="1614"/>
      <c r="AS176" s="1618"/>
      <c r="AT176" s="1609"/>
      <c r="AU176" s="1609"/>
      <c r="AV176" s="1688"/>
      <c r="AW176" s="1676"/>
      <c r="AX176" s="1677"/>
      <c r="AY176" s="1678"/>
      <c r="AZ176" s="1679"/>
      <c r="BA176" s="1609"/>
      <c r="BB176" s="1719">
        <f>'qtrP&amp;L'!CT14</f>
        <v>27422.696</v>
      </c>
      <c r="BC176" s="1611">
        <f>'qtrP&amp;L'!CV14</f>
        <v>3</v>
      </c>
      <c r="BD176" s="1614">
        <f>+D176+W176+AC176+AI176+AO176</f>
        <v>27422.696</v>
      </c>
      <c r="BE176" s="1638" t="str">
        <f>IF(ROUND(BB176,2)=ROUND(BD176,2),"y","n")</f>
        <v>y</v>
      </c>
      <c r="BF176" s="1608">
        <f>+(BD176/BD169-1)*100</f>
        <v>5.9676242384953504</v>
      </c>
      <c r="BG176" s="1611">
        <f>qtrSales!F177</f>
        <v>3.5184233891518177</v>
      </c>
      <c r="BH176" s="1614">
        <f>'qtrP&amp;L'!CT65</f>
        <v>3350.5700000000006</v>
      </c>
      <c r="BI176" s="1662">
        <f>+BH176/BB176*100</f>
        <v>12.218237039859249</v>
      </c>
      <c r="BJ176" s="1621">
        <f>SUM(BJ172:BJ175)</f>
        <v>329.48</v>
      </c>
      <c r="BK176" s="1614">
        <f>+G176+Z176+AF176+AL176-BJ176</f>
        <v>3350.57</v>
      </c>
      <c r="BL176" s="1638" t="str">
        <f>IF(ROUND(BH176,0)=ROUND(BK176,0),"y","n")</f>
        <v>y</v>
      </c>
      <c r="BM176" s="1618">
        <f>+BK176/BD176*100</f>
        <v>12.218237039859247</v>
      </c>
      <c r="BN176" s="1724"/>
      <c r="BO176" s="1655"/>
      <c r="BP176" s="1608"/>
      <c r="BQ176" s="1609"/>
      <c r="BR176" s="1614"/>
      <c r="BS176" s="1662"/>
      <c r="BT176" s="1499"/>
      <c r="BU176" s="1460">
        <f>+D176/$BD176</f>
        <v>0.65382251256404555</v>
      </c>
      <c r="BV176" s="1664"/>
      <c r="BW176" s="1664"/>
      <c r="BX176" s="1460">
        <f>+W176/$BD176</f>
        <v>0.10494351102459074</v>
      </c>
      <c r="BY176" s="1460">
        <f>+AC176/BD176</f>
        <v>0.13206462267604907</v>
      </c>
      <c r="BZ176" s="1460">
        <f>+AI176/BD176</f>
        <v>0.10916935373531471</v>
      </c>
      <c r="CA176" s="1460"/>
      <c r="CB176" s="1499"/>
      <c r="CC176" s="1460">
        <f>+G176/$BK176</f>
        <v>0.77977567995893238</v>
      </c>
      <c r="CD176" s="1664"/>
      <c r="CE176" s="1664"/>
      <c r="CF176" s="1460">
        <f>+Z176/$BK176</f>
        <v>0.12098329537959213</v>
      </c>
      <c r="CG176" s="1460">
        <f>+AF176/$BK176</f>
        <v>8.2210788015173522E-2</v>
      </c>
      <c r="CH176" s="1460">
        <f>+AL176/$BK176</f>
        <v>0.11536574373912498</v>
      </c>
      <c r="CI176" s="1460">
        <f>+AR176/$BK176</f>
        <v>0</v>
      </c>
      <c r="CJ176" s="1460"/>
    </row>
    <row r="177" spans="1:88" ht="7.5" customHeight="1" collapsed="1">
      <c r="A177" s="467"/>
      <c r="B177" s="467"/>
      <c r="C177" s="467"/>
      <c r="D177" s="1603"/>
      <c r="E177" s="1088"/>
      <c r="F177" s="1088"/>
      <c r="G177" s="1499"/>
      <c r="H177" s="1088"/>
      <c r="I177" s="1499"/>
      <c r="J177" s="1764"/>
      <c r="K177" s="1605"/>
      <c r="L177" s="1605"/>
      <c r="M177" s="1605"/>
      <c r="N177" s="467"/>
      <c r="O177" s="467"/>
      <c r="P177" s="1605"/>
      <c r="Q177" s="1605"/>
      <c r="R177" s="1605"/>
      <c r="S177" s="1605"/>
      <c r="T177" s="467"/>
      <c r="U177" s="467"/>
      <c r="V177" s="1605"/>
      <c r="W177" s="1603"/>
      <c r="X177" s="1088"/>
      <c r="Y177" s="1088"/>
      <c r="Z177" s="1499"/>
      <c r="AA177" s="1499"/>
      <c r="AB177" s="1764"/>
      <c r="AC177" s="1768"/>
      <c r="AD177" s="1088"/>
      <c r="AE177" s="1088"/>
      <c r="AF177" s="1499"/>
      <c r="AG177" s="1499"/>
      <c r="AH177" s="1764"/>
      <c r="AI177" s="800"/>
      <c r="AJ177" s="1088"/>
      <c r="AK177" s="1088"/>
      <c r="AL177" s="1499"/>
      <c r="AM177" s="1499"/>
      <c r="AN177" s="1635"/>
      <c r="AO177" s="1603"/>
      <c r="AP177" s="1088"/>
      <c r="AQ177" s="1088"/>
      <c r="AR177" s="1499"/>
      <c r="AS177" s="1604"/>
      <c r="AT177" s="702"/>
      <c r="AU177" s="702"/>
      <c r="AV177" s="1706"/>
      <c r="AW177" s="1707"/>
      <c r="AX177" s="1707"/>
      <c r="AY177" s="1708"/>
      <c r="AZ177" s="1709"/>
      <c r="BA177" s="487"/>
      <c r="BB177" s="693"/>
      <c r="BC177" s="693"/>
      <c r="BD177" s="1723"/>
      <c r="BE177" s="1710"/>
      <c r="BF177" s="487"/>
      <c r="BG177" s="487"/>
      <c r="BH177" s="693"/>
      <c r="BI177" s="693"/>
      <c r="BJ177" s="693"/>
      <c r="BK177" s="693"/>
      <c r="BL177" s="1710"/>
      <c r="BM177" s="1604"/>
      <c r="BN177" s="467"/>
      <c r="BO177" s="800"/>
      <c r="BP177" s="1088"/>
      <c r="BQ177" s="1088"/>
      <c r="BR177" s="1499"/>
      <c r="BS177" s="467"/>
      <c r="BT177" s="467"/>
      <c r="BU177" s="467"/>
      <c r="BV177" s="467"/>
      <c r="BW177" s="467"/>
      <c r="BX177" s="467"/>
      <c r="BY177" s="467"/>
      <c r="BZ177" s="467"/>
      <c r="CA177" s="467"/>
      <c r="CB177" s="467"/>
      <c r="CC177" s="467"/>
      <c r="CD177" s="467"/>
      <c r="CE177" s="467"/>
      <c r="CF177" s="467"/>
      <c r="CG177" s="467"/>
      <c r="CH177" s="467"/>
      <c r="CI177" s="467"/>
      <c r="CJ177" s="467"/>
    </row>
    <row r="178" spans="1:88">
      <c r="A178" s="2111">
        <f>+A171+1</f>
        <v>2014</v>
      </c>
      <c r="B178" s="2111"/>
      <c r="C178" s="1667"/>
      <c r="D178" s="1654"/>
      <c r="E178" s="1608"/>
      <c r="F178" s="1609"/>
      <c r="G178" s="1614"/>
      <c r="H178" s="1662"/>
      <c r="I178" s="1662"/>
      <c r="J178" s="1765"/>
      <c r="K178" s="1610"/>
      <c r="L178" s="1608"/>
      <c r="M178" s="1609"/>
      <c r="N178" s="1499"/>
      <c r="O178" s="1662"/>
      <c r="P178" s="1609"/>
      <c r="Q178" s="1610"/>
      <c r="R178" s="1608"/>
      <c r="S178" s="1609"/>
      <c r="T178" s="1499"/>
      <c r="U178" s="1662"/>
      <c r="V178" s="1609"/>
      <c r="W178" s="1691"/>
      <c r="X178" s="1608"/>
      <c r="Y178" s="1609"/>
      <c r="Z178" s="1614"/>
      <c r="AA178" s="1769"/>
      <c r="AB178" s="1765"/>
      <c r="AC178" s="1614"/>
      <c r="AD178" s="1608"/>
      <c r="AE178" s="1609"/>
      <c r="AF178" s="1692"/>
      <c r="AG178" s="1662"/>
      <c r="AH178" s="1765"/>
      <c r="AI178" s="1614"/>
      <c r="AJ178" s="1608"/>
      <c r="AK178" s="1609"/>
      <c r="AL178" s="1614"/>
      <c r="AM178" s="1618"/>
      <c r="AN178" s="1609"/>
      <c r="AO178" s="1644"/>
      <c r="AP178" s="1608"/>
      <c r="AQ178" s="1609"/>
      <c r="AR178" s="1614"/>
      <c r="AS178" s="1618"/>
      <c r="AT178" s="1609"/>
      <c r="AU178" s="1609"/>
      <c r="AV178" s="1674"/>
      <c r="AW178" s="1608"/>
      <c r="AX178" s="1609"/>
      <c r="AY178" s="1614"/>
      <c r="AZ178" s="1618"/>
      <c r="BA178" s="1609"/>
      <c r="BB178" s="1621"/>
      <c r="BC178" s="1609"/>
      <c r="BD178" s="1614"/>
      <c r="BE178" s="1663"/>
      <c r="BF178" s="1608"/>
      <c r="BG178" s="1609"/>
      <c r="BH178" s="1614"/>
      <c r="BI178" s="1662"/>
      <c r="BJ178" s="1621"/>
      <c r="BK178" s="1614">
        <f>BJ179/BJ172-1</f>
        <v>-0.17470663232118233</v>
      </c>
      <c r="BL178" s="1663"/>
      <c r="BM178" s="1618"/>
      <c r="BN178" s="1499"/>
      <c r="BO178" s="1655"/>
      <c r="BP178" s="1608"/>
      <c r="BQ178" s="1609"/>
      <c r="BR178" s="1614"/>
      <c r="BS178" s="1662"/>
      <c r="BT178" s="1499"/>
      <c r="BU178" s="1460"/>
      <c r="BV178" s="1664"/>
      <c r="BW178" s="1664"/>
      <c r="BX178" s="1460"/>
      <c r="BY178" s="1460"/>
      <c r="BZ178" s="1460"/>
      <c r="CA178" s="1460"/>
      <c r="CB178" s="1499"/>
      <c r="CC178" s="1460"/>
      <c r="CD178" s="1664"/>
      <c r="CE178" s="1664"/>
      <c r="CF178" s="1460"/>
      <c r="CG178" s="1460"/>
      <c r="CH178" s="1460"/>
      <c r="CI178" s="1460"/>
      <c r="CJ178" s="1460"/>
    </row>
    <row r="179" spans="1:88">
      <c r="A179" s="467" t="str">
        <f>$A$11</f>
        <v>1Q</v>
      </c>
      <c r="B179" s="467" t="str">
        <f>$B$11</f>
        <v>Apr</v>
      </c>
      <c r="C179" s="1667"/>
      <c r="D179" s="1607">
        <v>4234.7550000000001</v>
      </c>
      <c r="E179" s="1608">
        <f>+(D179/D172-1)*100</f>
        <v>2.3939073672024191</v>
      </c>
      <c r="F179" s="1639">
        <v>0</v>
      </c>
      <c r="G179" s="1610">
        <v>623.07399999999996</v>
      </c>
      <c r="H179" s="1662"/>
      <c r="I179" s="1662">
        <f>+G179/D179*100</f>
        <v>14.713342330311905</v>
      </c>
      <c r="J179" s="1765">
        <f>I179-I172</f>
        <v>-0.62366192212217619</v>
      </c>
      <c r="K179" s="1610"/>
      <c r="L179" s="1608"/>
      <c r="M179" s="1609"/>
      <c r="N179" s="1499"/>
      <c r="O179" s="1662"/>
      <c r="P179" s="1609"/>
      <c r="Q179" s="1610"/>
      <c r="R179" s="1608"/>
      <c r="S179" s="1609"/>
      <c r="T179" s="1499"/>
      <c r="U179" s="1662"/>
      <c r="V179" s="1609"/>
      <c r="W179" s="1607">
        <v>608.41999999999996</v>
      </c>
      <c r="X179" s="1608">
        <f>+(W179/W172-1)*100</f>
        <v>-5.743800116499564</v>
      </c>
      <c r="Y179" s="1639">
        <v>-1</v>
      </c>
      <c r="Z179" s="1610">
        <v>44.023000000000003</v>
      </c>
      <c r="AA179" s="1662">
        <f>+Z179/W179*100</f>
        <v>7.2356267052365153</v>
      </c>
      <c r="AB179" s="1765">
        <f>AA179-AA172</f>
        <v>-4.2758311504279662</v>
      </c>
      <c r="AC179" s="1610">
        <v>890.84900000000005</v>
      </c>
      <c r="AD179" s="1608">
        <f>+(AC179/AC172-1)*100</f>
        <v>23.929725082564278</v>
      </c>
      <c r="AE179" s="1639">
        <v>8</v>
      </c>
      <c r="AF179" s="1610">
        <v>38.261000000000003</v>
      </c>
      <c r="AG179" s="1662">
        <f>+AF179/AC179*100</f>
        <v>4.2948917268807616</v>
      </c>
      <c r="AH179" s="1765">
        <f>AG179-AG172</f>
        <v>2.0184273415011047</v>
      </c>
      <c r="AI179" s="1610">
        <v>757.15200000000004</v>
      </c>
      <c r="AJ179" s="1608">
        <f>+(AI179/AI172-1)*100</f>
        <v>9.8069699650486619</v>
      </c>
      <c r="AK179" s="1639">
        <v>3</v>
      </c>
      <c r="AL179" s="1610">
        <v>98.204999999999998</v>
      </c>
      <c r="AM179" s="1618">
        <f>+AL179/AI179*100</f>
        <v>12.970315075440597</v>
      </c>
      <c r="AN179" s="1609">
        <f>AM179-AM172</f>
        <v>5.383573444020584E-2</v>
      </c>
      <c r="AO179" s="1607"/>
      <c r="AP179" s="1608"/>
      <c r="AQ179" s="1639"/>
      <c r="AR179" s="1610"/>
      <c r="AS179" s="1618"/>
      <c r="AT179" s="1609"/>
      <c r="AU179" s="1609"/>
      <c r="AV179" s="1675"/>
      <c r="AW179" s="1676"/>
      <c r="AX179" s="1677"/>
      <c r="AY179" s="1678"/>
      <c r="AZ179" s="1679"/>
      <c r="BA179" s="1609"/>
      <c r="BB179" s="1711">
        <f>'qtrP&amp;L'!CX10</f>
        <v>6491.1760000000004</v>
      </c>
      <c r="BC179" s="1611">
        <f>'qtrP&amp;L'!CZ10</f>
        <v>1</v>
      </c>
      <c r="BD179" s="1712">
        <f>+D179+W179+AC179+AI179</f>
        <v>6491.1760000000004</v>
      </c>
      <c r="BE179" s="1638" t="str">
        <f>IF(ROUND(BB179,2)=ROUND(BD179,2),"y","n")</f>
        <v>y</v>
      </c>
      <c r="BF179" s="1613">
        <f>+(BD179/BD172-1)*100</f>
        <v>4.872149436256823</v>
      </c>
      <c r="BG179" s="1611">
        <f>qtrSales!F180</f>
        <v>1</v>
      </c>
      <c r="BH179" s="1614">
        <f>'qtrP&amp;L'!CX61</f>
        <v>740.12600000000043</v>
      </c>
      <c r="BI179" s="1620">
        <f>+BH179/BB179*100</f>
        <v>11.402032543871872</v>
      </c>
      <c r="BJ179" s="1610">
        <v>63.436999999999998</v>
      </c>
      <c r="BK179" s="1614">
        <f>+G179+Z179+AF179+AL179-BJ179</f>
        <v>740.12599999999998</v>
      </c>
      <c r="BL179" s="1638" t="str">
        <f>IF(ROUND(BH179,0)=ROUND(BK179,0),"y","n")</f>
        <v>y</v>
      </c>
      <c r="BM179" s="1618">
        <f>+BK179/BD179*100</f>
        <v>11.402032543871865</v>
      </c>
      <c r="BN179" s="1724">
        <f>BH179-BK179</f>
        <v>0</v>
      </c>
      <c r="BO179" s="1655"/>
      <c r="BP179" s="1608"/>
      <c r="BQ179" s="1609"/>
      <c r="BR179" s="1614"/>
      <c r="BS179" s="1662"/>
      <c r="BT179" s="1499"/>
      <c r="BU179" s="1422">
        <f>+D179/$BD179</f>
        <v>0.65238640887259869</v>
      </c>
      <c r="BV179" s="1628"/>
      <c r="BW179" s="1628"/>
      <c r="BX179" s="1422">
        <f>+W179/$BD179</f>
        <v>9.3730319436724552E-2</v>
      </c>
      <c r="BY179" s="1422">
        <f>+AC179/BD179</f>
        <v>0.13724000088735847</v>
      </c>
      <c r="BZ179" s="1422">
        <f>+AI179/BD179</f>
        <v>0.11664327080331822</v>
      </c>
      <c r="CA179" s="1714"/>
      <c r="CB179" s="467"/>
      <c r="CC179" s="1422">
        <f>+G179/$BK179</f>
        <v>0.84184855011173765</v>
      </c>
      <c r="CD179" s="1628"/>
      <c r="CE179" s="1628"/>
      <c r="CF179" s="1422">
        <f>+Z179/$BK179</f>
        <v>5.9480412794578226E-2</v>
      </c>
      <c r="CG179" s="1422">
        <f>+AF179/$BK179</f>
        <v>5.1695251889543138E-2</v>
      </c>
      <c r="CH179" s="1422">
        <f>+AL179/$BK179</f>
        <v>0.13268686683078287</v>
      </c>
      <c r="CI179" s="1422">
        <f>+AR179/$BK179</f>
        <v>0</v>
      </c>
      <c r="CJ179" s="1422"/>
    </row>
    <row r="180" spans="1:88">
      <c r="A180" s="467" t="str">
        <f>$A$12</f>
        <v>2Q</v>
      </c>
      <c r="B180" s="467" t="str">
        <f>$B$12</f>
        <v>Jul</v>
      </c>
      <c r="C180" s="1720"/>
      <c r="D180" s="1616">
        <v>4493.8779999999997</v>
      </c>
      <c r="E180" s="1608">
        <f>+(D180/D173-1)*100</f>
        <v>4.6220257925671193</v>
      </c>
      <c r="F180" s="1639">
        <v>2</v>
      </c>
      <c r="G180" s="1617">
        <v>685.61400000000003</v>
      </c>
      <c r="H180" s="1662"/>
      <c r="I180" s="1662">
        <f>+G180/D180*100</f>
        <v>15.256622453925099</v>
      </c>
      <c r="J180" s="1765">
        <f>I180-I173</f>
        <v>0.17103912722685344</v>
      </c>
      <c r="K180" s="1610"/>
      <c r="L180" s="1608"/>
      <c r="M180" s="1609"/>
      <c r="N180" s="1499"/>
      <c r="O180" s="1662"/>
      <c r="P180" s="1609"/>
      <c r="Q180" s="1610"/>
      <c r="R180" s="1608"/>
      <c r="S180" s="1609"/>
      <c r="T180" s="1499"/>
      <c r="U180" s="1662"/>
      <c r="V180" s="1609"/>
      <c r="W180" s="1616">
        <v>695.92399999999998</v>
      </c>
      <c r="X180" s="1608">
        <f>+(W180/W173-1)*100</f>
        <v>2.4375739662390039</v>
      </c>
      <c r="Y180" s="1639">
        <v>3</v>
      </c>
      <c r="Z180" s="1617">
        <v>95.024000000000001</v>
      </c>
      <c r="AA180" s="1662">
        <f>+Z180/W180*100</f>
        <v>13.654364557049334</v>
      </c>
      <c r="AB180" s="1765">
        <f>AA180-AA173</f>
        <v>0.29245547738070421</v>
      </c>
      <c r="AC180" s="1617">
        <v>954.33900000000006</v>
      </c>
      <c r="AD180" s="1608">
        <f>+(AC180/AC173-1)*100</f>
        <v>22.730201352639124</v>
      </c>
      <c r="AE180" s="1639">
        <v>6</v>
      </c>
      <c r="AF180" s="1617">
        <v>55.613999999999997</v>
      </c>
      <c r="AG180" s="1662">
        <f>+AF180/AC180*100</f>
        <v>5.8274889740438134</v>
      </c>
      <c r="AH180" s="1765">
        <f>AG180-AG173</f>
        <v>0.61536589134352493</v>
      </c>
      <c r="AI180" s="1617">
        <v>773.07100000000003</v>
      </c>
      <c r="AJ180" s="1608">
        <f>+(AI180/AI173-1)*100</f>
        <v>12.019306703297804</v>
      </c>
      <c r="AK180" s="1639">
        <v>5</v>
      </c>
      <c r="AL180" s="1617">
        <v>94.635000000000005</v>
      </c>
      <c r="AM180" s="1618">
        <f>+AL180/AI180*100</f>
        <v>12.241437073696982</v>
      </c>
      <c r="AN180" s="1609">
        <f>AM180-AM173</f>
        <v>0.4797656035387643</v>
      </c>
      <c r="AO180" s="1715"/>
      <c r="AP180" s="1608"/>
      <c r="AQ180" s="1609"/>
      <c r="AR180" s="1621"/>
      <c r="AS180" s="1657"/>
      <c r="AT180" s="1609"/>
      <c r="AU180" s="1609"/>
      <c r="AV180" s="1683"/>
      <c r="AW180" s="1676"/>
      <c r="AX180" s="1677"/>
      <c r="AY180" s="1684"/>
      <c r="AZ180" s="1679"/>
      <c r="BA180" s="1609"/>
      <c r="BB180" s="1716">
        <f>'qtrP&amp;L'!CX11</f>
        <v>6917.2120000000004</v>
      </c>
      <c r="BC180" s="1611">
        <f>'qtrP&amp;L'!CZ11</f>
        <v>3</v>
      </c>
      <c r="BD180" s="1712">
        <f>+D180+W180+AC180+AI180</f>
        <v>6917.2119999999995</v>
      </c>
      <c r="BE180" s="1638" t="str">
        <f>IF(ROUND(BB180,2)=ROUND(BD180,2),"y","n")</f>
        <v>y</v>
      </c>
      <c r="BF180" s="1613">
        <f>+(BD180/BD173-1)*100</f>
        <v>7.3697105313155431</v>
      </c>
      <c r="BG180" s="1611">
        <f>qtrSales!F181</f>
        <v>3</v>
      </c>
      <c r="BH180" s="1621">
        <f>'qtrP&amp;L'!CX62</f>
        <v>858.59800000000064</v>
      </c>
      <c r="BI180" s="1620">
        <f>+BH180/BB180*100</f>
        <v>12.412486417938334</v>
      </c>
      <c r="BJ180" s="1617">
        <v>72.289000000000001</v>
      </c>
      <c r="BK180" s="1621">
        <f>+G180+Z180+AF180+AL180-BJ180</f>
        <v>858.59800000000007</v>
      </c>
      <c r="BL180" s="1638" t="str">
        <f>IF(ROUND(BH180,0)=ROUND(BK180,0),"y","n")</f>
        <v>y</v>
      </c>
      <c r="BM180" s="1618">
        <f>+BK180/BD180*100</f>
        <v>12.412486417938327</v>
      </c>
      <c r="BN180" s="1724">
        <f>BH180-BK180</f>
        <v>0</v>
      </c>
      <c r="BO180" s="1655"/>
      <c r="BP180" s="1608"/>
      <c r="BQ180" s="1609"/>
      <c r="BR180" s="1614"/>
      <c r="BS180" s="1662"/>
      <c r="BT180" s="1499"/>
      <c r="BU180" s="1422">
        <f>+D180/$BD180</f>
        <v>0.64966607933947951</v>
      </c>
      <c r="BV180" s="1628"/>
      <c r="BW180" s="1628"/>
      <c r="BX180" s="1422">
        <f>+W180/$BD180</f>
        <v>0.10060758583082317</v>
      </c>
      <c r="BY180" s="1422">
        <f>+AC180/BD180</f>
        <v>0.13796584519890384</v>
      </c>
      <c r="BZ180" s="1422">
        <f>+AI180/BD180</f>
        <v>0.11176048963079346</v>
      </c>
      <c r="CA180" s="1422"/>
      <c r="CB180" s="467"/>
      <c r="CC180" s="1422">
        <f>+G180/$BK180</f>
        <v>0.79852736670712021</v>
      </c>
      <c r="CD180" s="1628"/>
      <c r="CE180" s="1628"/>
      <c r="CF180" s="1422">
        <f>+Z180/$BK180</f>
        <v>0.11067344671196531</v>
      </c>
      <c r="CG180" s="1422">
        <f>+AF180/$BK180</f>
        <v>6.4773036974230078E-2</v>
      </c>
      <c r="CH180" s="1422">
        <f>+AL180/$BK180</f>
        <v>0.11022038253059056</v>
      </c>
      <c r="CI180" s="1422">
        <f>+AR180/$BK180</f>
        <v>0</v>
      </c>
      <c r="CJ180" s="1422"/>
    </row>
    <row r="181" spans="1:88">
      <c r="A181" s="467" t="str">
        <f>$A$13</f>
        <v>3Q</v>
      </c>
      <c r="B181" s="467" t="str">
        <f>$B$13</f>
        <v>Oct</v>
      </c>
      <c r="C181" s="1721"/>
      <c r="D181" s="1616">
        <v>4673.7179999999998</v>
      </c>
      <c r="E181" s="1608">
        <f>+(D181/D174-1)*100</f>
        <v>4.2269546186209483</v>
      </c>
      <c r="F181" s="1639">
        <v>1</v>
      </c>
      <c r="G181" s="1617">
        <v>679.92899999999997</v>
      </c>
      <c r="H181" s="1662"/>
      <c r="I181" s="1662">
        <f>+G181/D181*100</f>
        <v>14.547925227837879</v>
      </c>
      <c r="J181" s="1765">
        <f>I181-I174</f>
        <v>-0.13413215887369745</v>
      </c>
      <c r="K181" s="1610"/>
      <c r="L181" s="1608"/>
      <c r="M181" s="1609"/>
      <c r="N181" s="1499"/>
      <c r="O181" s="1662"/>
      <c r="P181" s="1609"/>
      <c r="Q181" s="1610"/>
      <c r="R181" s="1608"/>
      <c r="S181" s="1609"/>
      <c r="T181" s="1499"/>
      <c r="U181" s="1662"/>
      <c r="V181" s="1609"/>
      <c r="W181" s="1616">
        <v>791.72500000000002</v>
      </c>
      <c r="X181" s="1608">
        <f>+(W181/W174-1)*100</f>
        <v>0.74336765141884698</v>
      </c>
      <c r="Y181" s="1639">
        <v>3</v>
      </c>
      <c r="Z181" s="1617">
        <v>136.47999999999999</v>
      </c>
      <c r="AA181" s="1662">
        <f>+Z181/W181*100</f>
        <v>17.238308756196911</v>
      </c>
      <c r="AB181" s="1765">
        <f>AA181-AA174</f>
        <v>0.86284319707424473</v>
      </c>
      <c r="AC181" s="1617">
        <v>1049.578</v>
      </c>
      <c r="AD181" s="1608">
        <f>+(AC181/AC174-1)*100</f>
        <v>7.9499569055068386</v>
      </c>
      <c r="AE181" s="1639">
        <v>-1</v>
      </c>
      <c r="AF181" s="1617">
        <v>115.313</v>
      </c>
      <c r="AG181" s="1662">
        <f>+AF181/AC181*100</f>
        <v>10.986606045477327</v>
      </c>
      <c r="AH181" s="1765">
        <f>AG181-AG174</f>
        <v>0.59425074115203813</v>
      </c>
      <c r="AI181" s="1617">
        <v>851.04499999999996</v>
      </c>
      <c r="AJ181" s="1608">
        <f>+(AI181/AI174-1)*100</f>
        <v>15.078082638191193</v>
      </c>
      <c r="AK181" s="1639">
        <v>7</v>
      </c>
      <c r="AL181" s="1617">
        <v>117.922</v>
      </c>
      <c r="AM181" s="1618">
        <f>+AL181/AI181*100</f>
        <v>13.856141567132173</v>
      </c>
      <c r="AN181" s="1609">
        <f>AM181-AM174</f>
        <v>0.74834574352902727</v>
      </c>
      <c r="AO181" s="1715"/>
      <c r="AP181" s="1608"/>
      <c r="AQ181" s="1609"/>
      <c r="AR181" s="1621"/>
      <c r="AS181" s="1657"/>
      <c r="AT181" s="1609"/>
      <c r="AU181" s="1609"/>
      <c r="AV181" s="1683"/>
      <c r="AW181" s="1676"/>
      <c r="AX181" s="1677"/>
      <c r="AY181" s="1684"/>
      <c r="AZ181" s="1679"/>
      <c r="BA181" s="1609"/>
      <c r="BB181" s="1716">
        <f>'qtrP&amp;L'!CX12</f>
        <v>7366.0659999999998</v>
      </c>
      <c r="BC181" s="1611">
        <f>'qtrP&amp;L'!CZ12</f>
        <v>2</v>
      </c>
      <c r="BD181" s="1712">
        <f>+D181+W181+AC181+AI181</f>
        <v>7366.0660000000007</v>
      </c>
      <c r="BE181" s="1638" t="str">
        <f>IF(ROUND(BB181,1)=ROUND(BD181,1),"y","n")</f>
        <v>y</v>
      </c>
      <c r="BF181" s="1613">
        <f>+(BD181/BD174-1)*100</f>
        <v>5.5026757851328378</v>
      </c>
      <c r="BG181" s="1611">
        <f>qtrSales!F182</f>
        <v>2</v>
      </c>
      <c r="BH181" s="1621">
        <f>'qtrP&amp;L'!CX63</f>
        <v>969.13999999999987</v>
      </c>
      <c r="BI181" s="1620">
        <f>+BH181/BB181*100</f>
        <v>13.156819393146895</v>
      </c>
      <c r="BJ181" s="1617">
        <v>80.504000000000005</v>
      </c>
      <c r="BK181" s="1621">
        <f>+G181+Z181+AF181+AL181-BJ181</f>
        <v>969.14</v>
      </c>
      <c r="BL181" s="1638" t="str">
        <f>IF(ROUND(BH181,0)=ROUND(BK181,0),"y","n")</f>
        <v>y</v>
      </c>
      <c r="BM181" s="1618">
        <f>+BK181/BD181*100</f>
        <v>13.156819393146895</v>
      </c>
      <c r="BN181" s="1724">
        <f>BH181-BK181</f>
        <v>0</v>
      </c>
      <c r="BO181" s="1655"/>
      <c r="BP181" s="1608"/>
      <c r="BQ181" s="1609"/>
      <c r="BR181" s="1614"/>
      <c r="BS181" s="1662"/>
      <c r="BT181" s="1499"/>
      <c r="BU181" s="1422">
        <f>+D181/$BD181</f>
        <v>0.63449309305672785</v>
      </c>
      <c r="BV181" s="1628"/>
      <c r="BW181" s="1628"/>
      <c r="BX181" s="1422">
        <f>+W181/$BD181</f>
        <v>0.10748274587819331</v>
      </c>
      <c r="BY181" s="1422">
        <f>+AC181/BD181</f>
        <v>0.14248826985802188</v>
      </c>
      <c r="BZ181" s="1422">
        <f>+AI181/BD181</f>
        <v>0.11553589120705678</v>
      </c>
      <c r="CA181" s="1422"/>
      <c r="CB181" s="467"/>
      <c r="CC181" s="1422">
        <f>+G181/$BK181</f>
        <v>0.70157975111954929</v>
      </c>
      <c r="CD181" s="1628"/>
      <c r="CE181" s="1628"/>
      <c r="CF181" s="1422">
        <f>+Z181/$BK181</f>
        <v>0.14082588686877023</v>
      </c>
      <c r="CG181" s="1422">
        <f>+AF181/$BK181</f>
        <v>0.11898487318653653</v>
      </c>
      <c r="CH181" s="1422">
        <f>+AL181/$BK181</f>
        <v>0.12167695069855748</v>
      </c>
      <c r="CI181" s="1422">
        <f>+AR181/$BK181</f>
        <v>0</v>
      </c>
      <c r="CJ181" s="1422"/>
    </row>
    <row r="182" spans="1:88">
      <c r="A182" s="467" t="str">
        <f>$A$14</f>
        <v>4Q</v>
      </c>
      <c r="B182" s="467" t="str">
        <f>$B$14</f>
        <v>Jan</v>
      </c>
      <c r="C182" s="1720"/>
      <c r="D182" s="1623">
        <v>5286</v>
      </c>
      <c r="E182" s="1608">
        <f>+(D182/D175-1)*100</f>
        <v>5.4183559163808681</v>
      </c>
      <c r="F182" s="1639">
        <v>3</v>
      </c>
      <c r="G182" s="1624">
        <v>748.077</v>
      </c>
      <c r="H182" s="1662"/>
      <c r="I182" s="1662">
        <f>+G182/D182*100</f>
        <v>14.152043132803632</v>
      </c>
      <c r="J182" s="1765">
        <f>I182-I175</f>
        <v>0.74947324627693845</v>
      </c>
      <c r="K182" s="1610"/>
      <c r="L182" s="1608"/>
      <c r="M182" s="1609"/>
      <c r="N182" s="1499"/>
      <c r="O182" s="1662"/>
      <c r="P182" s="1609"/>
      <c r="Q182" s="1610"/>
      <c r="R182" s="1608"/>
      <c r="S182" s="1609"/>
      <c r="T182" s="1499"/>
      <c r="U182" s="1662"/>
      <c r="V182" s="1609"/>
      <c r="W182" s="1623">
        <v>788</v>
      </c>
      <c r="X182" s="1608">
        <f>+(W182/W175-1)*100</f>
        <v>2.7257522249641841</v>
      </c>
      <c r="Y182" s="1639">
        <v>7</v>
      </c>
      <c r="Z182" s="1624">
        <v>118.095</v>
      </c>
      <c r="AA182" s="1662">
        <f>+Z182/W182*100</f>
        <v>14.986675126903554</v>
      </c>
      <c r="AB182" s="1765">
        <f>AA182-AA175</f>
        <v>0.43963963828486463</v>
      </c>
      <c r="AC182" s="1624">
        <v>1198</v>
      </c>
      <c r="AD182" s="1608">
        <f>+(AC182/AC175-1)*100</f>
        <v>3.915389626329624</v>
      </c>
      <c r="AE182" s="1639">
        <v>2</v>
      </c>
      <c r="AF182" s="1624">
        <v>128.21799999999999</v>
      </c>
      <c r="AG182" s="1662">
        <f>+AF182/AC182*100</f>
        <v>10.702671118530883</v>
      </c>
      <c r="AH182" s="1765">
        <f>AG182-AG175</f>
        <v>0.50916123312405759</v>
      </c>
      <c r="AI182" s="1624">
        <v>1033</v>
      </c>
      <c r="AJ182" s="1608">
        <f>+(AI182/AI175-1)*100</f>
        <v>18.120860624245296</v>
      </c>
      <c r="AK182" s="1639">
        <v>11</v>
      </c>
      <c r="AL182" s="1624">
        <v>152.43100000000001</v>
      </c>
      <c r="AM182" s="1618">
        <f>+AL182/AI182*100</f>
        <v>14.756147144240078</v>
      </c>
      <c r="AN182" s="1609">
        <f>AM182-AM175</f>
        <v>1.1063840720457065</v>
      </c>
      <c r="AO182" s="1717"/>
      <c r="AP182" s="1608"/>
      <c r="AQ182" s="1609"/>
      <c r="AR182" s="1625"/>
      <c r="AS182" s="1657"/>
      <c r="AT182" s="1609"/>
      <c r="AU182" s="1609"/>
      <c r="AV182" s="1686"/>
      <c r="AW182" s="1676"/>
      <c r="AX182" s="1677"/>
      <c r="AY182" s="1687"/>
      <c r="AZ182" s="1679"/>
      <c r="BA182" s="1609"/>
      <c r="BB182" s="1718">
        <f>'qtrP&amp;L'!CX13</f>
        <v>8303.9529999999995</v>
      </c>
      <c r="BC182" s="1611">
        <f>'qtrP&amp;L'!CZ13</f>
        <v>4</v>
      </c>
      <c r="BD182" s="1625">
        <f>+D182+W182+AC182+AI182</f>
        <v>8305</v>
      </c>
      <c r="BE182" s="1638" t="str">
        <f>IF(ROUND(BB182,1)=ROUND(BD182,1),"y","n")</f>
        <v>n</v>
      </c>
      <c r="BF182" s="1613">
        <f>+(BD182/BD175-1)*100</f>
        <v>6.3545464871816781</v>
      </c>
      <c r="BG182" s="1611">
        <f>qtrSales!F183</f>
        <v>4</v>
      </c>
      <c r="BH182" s="1625">
        <f>'qtrP&amp;L'!CX64</f>
        <v>1038.6369999999993</v>
      </c>
      <c r="BI182" s="1643">
        <f>+BH182/BB182*100</f>
        <v>12.507741794781344</v>
      </c>
      <c r="BJ182" s="1624">
        <v>108.184</v>
      </c>
      <c r="BK182" s="1625">
        <f>+G182+Z182+AF182+AL182-BJ182</f>
        <v>1038.6369999999999</v>
      </c>
      <c r="BL182" s="1638" t="str">
        <f>IF(ROUND(BH182,0)=ROUND(BK182,0),"y","n")</f>
        <v>y</v>
      </c>
      <c r="BM182" s="1618">
        <f>+BK182/BD182*100</f>
        <v>12.506164960866947</v>
      </c>
      <c r="BN182" s="1724">
        <f>BH182-BK182</f>
        <v>0</v>
      </c>
      <c r="BO182" s="1655"/>
      <c r="BP182" s="1608"/>
      <c r="BQ182" s="1609"/>
      <c r="BR182" s="1614"/>
      <c r="BS182" s="1662"/>
      <c r="BT182" s="1499"/>
      <c r="BU182" s="1422">
        <f>+D182/$BD182</f>
        <v>0.63648404575556894</v>
      </c>
      <c r="BV182" s="1628"/>
      <c r="BW182" s="1628"/>
      <c r="BX182" s="1422">
        <f>+W182/$BD182</f>
        <v>9.4882600842865747E-2</v>
      </c>
      <c r="BY182" s="1422">
        <f>+AC182/BD182</f>
        <v>0.14425045153521976</v>
      </c>
      <c r="BZ182" s="1422">
        <f>+AI182/BD182</f>
        <v>0.12438290186634557</v>
      </c>
      <c r="CA182" s="1422"/>
      <c r="CB182" s="467"/>
      <c r="CC182" s="1422">
        <f>+G182/$BK182</f>
        <v>0.72024874908172931</v>
      </c>
      <c r="CD182" s="1628"/>
      <c r="CE182" s="1628"/>
      <c r="CF182" s="1422">
        <f>+Z182/$BK182</f>
        <v>0.11370189970124307</v>
      </c>
      <c r="CG182" s="1422">
        <f>+AF182/$BK182</f>
        <v>0.12344832699008412</v>
      </c>
      <c r="CH182" s="1422">
        <f>+AL182/$BK182</f>
        <v>0.14676061029984491</v>
      </c>
      <c r="CI182" s="1422">
        <f>+AR182/$BK182</f>
        <v>0</v>
      </c>
      <c r="CJ182" s="1422"/>
    </row>
    <row r="183" spans="1:88">
      <c r="A183" s="1499"/>
      <c r="B183" s="1499" t="str">
        <f>$B$15</f>
        <v>Year</v>
      </c>
      <c r="C183" s="1667"/>
      <c r="D183" s="1654">
        <f>+SUM(D179:D182)</f>
        <v>18688.350999999999</v>
      </c>
      <c r="E183" s="1608">
        <f>+(D183/D176-1)*100</f>
        <v>4.2319740299491704</v>
      </c>
      <c r="F183" s="1639">
        <v>1</v>
      </c>
      <c r="G183" s="1614">
        <f>+SUM(G179:G182)</f>
        <v>2736.6940000000004</v>
      </c>
      <c r="H183" s="1662"/>
      <c r="I183" s="1662">
        <f>+G183/D183*100</f>
        <v>14.64384952958129</v>
      </c>
      <c r="J183" s="1765">
        <f>I183-I176</f>
        <v>7.187638308858979E-2</v>
      </c>
      <c r="K183" s="1610"/>
      <c r="L183" s="1608"/>
      <c r="M183" s="1609"/>
      <c r="N183" s="1499"/>
      <c r="O183" s="1662"/>
      <c r="P183" s="1609"/>
      <c r="Q183" s="1610"/>
      <c r="R183" s="1608"/>
      <c r="S183" s="1609"/>
      <c r="T183" s="1499"/>
      <c r="U183" s="1662"/>
      <c r="V183" s="1609"/>
      <c r="W183" s="1654">
        <f>+SUM(W179:W182)</f>
        <v>2884.069</v>
      </c>
      <c r="X183" s="1608">
        <f>+(W183/W176-1)*100</f>
        <v>0.21665599892140008</v>
      </c>
      <c r="Y183" s="1639">
        <v>3</v>
      </c>
      <c r="Z183" s="1614">
        <f>+SUM(Z179:Z182)</f>
        <v>393.62199999999996</v>
      </c>
      <c r="AA183" s="1662">
        <f>+Z183/W183*100</f>
        <v>13.648147807836775</v>
      </c>
      <c r="AB183" s="1765">
        <f>AA183-AA176</f>
        <v>-0.437549977372516</v>
      </c>
      <c r="AC183" s="1655">
        <f>+SUM(AC179:AC182)</f>
        <v>4092.7660000000001</v>
      </c>
      <c r="AD183" s="1608">
        <f>+(AC183/AC176-1)*100</f>
        <v>13.010883683531539</v>
      </c>
      <c r="AE183" s="1639">
        <v>3</v>
      </c>
      <c r="AF183" s="1614">
        <f>+SUM(AF179:AF182)</f>
        <v>337.40599999999995</v>
      </c>
      <c r="AG183" s="1662">
        <f>+AF183/AC183*100</f>
        <v>8.2439601970892049</v>
      </c>
      <c r="AH183" s="1765">
        <f>AG183-AG176</f>
        <v>0.63805579325086903</v>
      </c>
      <c r="AI183" s="1655">
        <f>+SUM(AI179:AI182)</f>
        <v>3414.268</v>
      </c>
      <c r="AJ183" s="1608">
        <f>+(AI183/AI176-1)*100</f>
        <v>14.047749320410286</v>
      </c>
      <c r="AK183" s="1639">
        <v>7</v>
      </c>
      <c r="AL183" s="1614">
        <f>+SUM(AL179:AL182)</f>
        <v>463.19299999999998</v>
      </c>
      <c r="AM183" s="1618">
        <f>+AL183/AI183*100</f>
        <v>13.566392562036722</v>
      </c>
      <c r="AN183" s="1609">
        <f>AM183-AM176</f>
        <v>0.65465538438672333</v>
      </c>
      <c r="AO183" s="1654"/>
      <c r="AP183" s="1608"/>
      <c r="AQ183" s="1609"/>
      <c r="AR183" s="1614"/>
      <c r="AS183" s="1618"/>
      <c r="AT183" s="1609"/>
      <c r="AU183" s="1609"/>
      <c r="AV183" s="1688"/>
      <c r="AW183" s="1676"/>
      <c r="AX183" s="1677"/>
      <c r="AY183" s="1678"/>
      <c r="AZ183" s="1679"/>
      <c r="BA183" s="1609"/>
      <c r="BB183" s="1719">
        <f>'qtrP&amp;L'!CX14</f>
        <v>29078.406999999999</v>
      </c>
      <c r="BC183" s="1611">
        <f>'qtrP&amp;L'!CZ14</f>
        <v>2</v>
      </c>
      <c r="BD183" s="1614">
        <f>+D183+W183+AC183+AI183+AO183</f>
        <v>29079.453999999998</v>
      </c>
      <c r="BE183" s="1638" t="str">
        <f>IF(ROUND(BB183,2)=ROUND(BD183,2),"y","n")</f>
        <v>n</v>
      </c>
      <c r="BF183" s="1608">
        <f>+(BD183/BD176-1)*100</f>
        <v>6.0415576936709625</v>
      </c>
      <c r="BG183" s="1611">
        <f>qtrSales!F184</f>
        <v>2</v>
      </c>
      <c r="BH183" s="1614">
        <f>'qtrP&amp;L'!CX65</f>
        <v>3606.5010000000002</v>
      </c>
      <c r="BI183" s="1662">
        <f>+BH183/BB183*100</f>
        <v>12.402677354368141</v>
      </c>
      <c r="BJ183" s="1621">
        <f>SUM(BJ179:BJ182)</f>
        <v>324.41399999999999</v>
      </c>
      <c r="BK183" s="1614">
        <f>+G183+Z183+AF183+AL183-BJ183</f>
        <v>3606.5010000000002</v>
      </c>
      <c r="BL183" s="1638" t="str">
        <f>IF(ROUND(BH183,0)=ROUND(BK183,0),"y","n")</f>
        <v>y</v>
      </c>
      <c r="BM183" s="1618">
        <f>+BK183/BD183*100</f>
        <v>12.402230798418707</v>
      </c>
      <c r="BN183" s="1724"/>
      <c r="BO183" s="1655"/>
      <c r="BP183" s="1608"/>
      <c r="BQ183" s="1609"/>
      <c r="BR183" s="1614"/>
      <c r="BS183" s="1662"/>
      <c r="BT183" s="1499"/>
      <c r="BU183" s="1460">
        <f>+D183/$BD183</f>
        <v>0.64266512706875445</v>
      </c>
      <c r="BV183" s="1664"/>
      <c r="BW183" s="1664"/>
      <c r="BX183" s="1460">
        <f>+W183/$BD183</f>
        <v>9.917892543649548E-2</v>
      </c>
      <c r="BY183" s="1460">
        <f>+AC183/BD183</f>
        <v>0.14074425193815537</v>
      </c>
      <c r="BZ183" s="1460">
        <f>+AI183/BD183</f>
        <v>0.11741169555659471</v>
      </c>
      <c r="CA183" s="1460"/>
      <c r="CB183" s="1499"/>
      <c r="CC183" s="1460">
        <f>+G183/$BK183</f>
        <v>0.75882247086580601</v>
      </c>
      <c r="CD183" s="1664"/>
      <c r="CE183" s="1664"/>
      <c r="CF183" s="1460">
        <f>+Z183/$BK183</f>
        <v>0.10914235154794077</v>
      </c>
      <c r="CG183" s="1460">
        <f>+AF183/$BK183</f>
        <v>9.355494425206036E-2</v>
      </c>
      <c r="CH183" s="1460">
        <f>+AL183/$BK183</f>
        <v>0.12843279400172078</v>
      </c>
      <c r="CI183" s="1460">
        <f>+AR183/$BK183</f>
        <v>0</v>
      </c>
      <c r="CJ183" s="1460"/>
    </row>
    <row r="184" spans="1:88" ht="7.5" customHeight="1">
      <c r="A184" s="467"/>
      <c r="B184" s="467"/>
      <c r="C184" s="467"/>
      <c r="D184" s="1603"/>
      <c r="E184" s="1088"/>
      <c r="F184" s="1088"/>
      <c r="G184" s="1499"/>
      <c r="H184" s="1088"/>
      <c r="I184" s="1499"/>
      <c r="J184" s="1764"/>
      <c r="K184" s="1605"/>
      <c r="L184" s="1605"/>
      <c r="M184" s="1605"/>
      <c r="N184" s="467"/>
      <c r="O184" s="467"/>
      <c r="P184" s="1605"/>
      <c r="Q184" s="1605"/>
      <c r="R184" s="1605"/>
      <c r="S184" s="1605"/>
      <c r="T184" s="467"/>
      <c r="U184" s="467"/>
      <c r="V184" s="1605"/>
      <c r="W184" s="1603"/>
      <c r="X184" s="1088"/>
      <c r="Y184" s="1088"/>
      <c r="Z184" s="1499"/>
      <c r="AA184" s="1499"/>
      <c r="AB184" s="1764"/>
      <c r="AC184" s="1768"/>
      <c r="AD184" s="1088"/>
      <c r="AE184" s="1088"/>
      <c r="AF184" s="1499"/>
      <c r="AG184" s="1499"/>
      <c r="AH184" s="1764"/>
      <c r="AI184" s="800"/>
      <c r="AJ184" s="1088"/>
      <c r="AK184" s="1088"/>
      <c r="AL184" s="1499"/>
      <c r="AM184" s="1499"/>
      <c r="AN184" s="1635"/>
      <c r="AO184" s="1603"/>
      <c r="AP184" s="1088"/>
      <c r="AQ184" s="1088"/>
      <c r="AR184" s="1499"/>
      <c r="AS184" s="1604"/>
      <c r="AT184" s="702"/>
      <c r="AU184" s="702"/>
      <c r="AV184" s="1706"/>
      <c r="AW184" s="1707"/>
      <c r="AX184" s="1707"/>
      <c r="AY184" s="1708"/>
      <c r="AZ184" s="1709"/>
      <c r="BA184" s="487"/>
      <c r="BB184" s="693"/>
      <c r="BC184" s="693"/>
      <c r="BD184" s="1723"/>
      <c r="BE184" s="1710"/>
      <c r="BF184" s="487"/>
      <c r="BG184" s="487"/>
      <c r="BH184" s="693"/>
      <c r="BI184" s="693"/>
      <c r="BJ184" s="693"/>
      <c r="BK184" s="693"/>
      <c r="BL184" s="1710"/>
      <c r="BM184" s="1604"/>
      <c r="BN184" s="467"/>
      <c r="BO184" s="800"/>
      <c r="BP184" s="1088"/>
      <c r="BQ184" s="1088"/>
      <c r="BR184" s="1499"/>
      <c r="BS184" s="467"/>
      <c r="BT184" s="467"/>
      <c r="BU184" s="467"/>
      <c r="BV184" s="467"/>
      <c r="BW184" s="467"/>
      <c r="BX184" s="467"/>
      <c r="BY184" s="467"/>
      <c r="BZ184" s="467"/>
      <c r="CA184" s="467"/>
      <c r="CB184" s="467"/>
      <c r="CC184" s="467"/>
      <c r="CD184" s="467"/>
      <c r="CE184" s="467"/>
      <c r="CF184" s="467"/>
      <c r="CG184" s="467"/>
      <c r="CH184" s="467"/>
      <c r="CI184" s="467"/>
      <c r="CJ184" s="467"/>
    </row>
    <row r="185" spans="1:88">
      <c r="A185" s="2111">
        <f>+A178+1</f>
        <v>2015</v>
      </c>
      <c r="B185" s="2111"/>
      <c r="C185" s="1667"/>
      <c r="D185" s="1654"/>
      <c r="E185" s="1608"/>
      <c r="F185" s="1609"/>
      <c r="G185" s="1614"/>
      <c r="H185" s="1662"/>
      <c r="I185" s="1662"/>
      <c r="J185" s="1765"/>
      <c r="K185" s="1610"/>
      <c r="L185" s="1608"/>
      <c r="M185" s="1609"/>
      <c r="N185" s="1499"/>
      <c r="O185" s="1662"/>
      <c r="P185" s="1609"/>
      <c r="Q185" s="1610"/>
      <c r="R185" s="1608"/>
      <c r="S185" s="1609"/>
      <c r="T185" s="1499"/>
      <c r="U185" s="1662"/>
      <c r="V185" s="1609"/>
      <c r="W185" s="1691"/>
      <c r="X185" s="1608"/>
      <c r="Y185" s="1609"/>
      <c r="Z185" s="1614"/>
      <c r="AA185" s="1769"/>
      <c r="AB185" s="1765"/>
      <c r="AC185" s="1614"/>
      <c r="AD185" s="1608"/>
      <c r="AE185" s="1609"/>
      <c r="AF185" s="1692"/>
      <c r="AG185" s="1662"/>
      <c r="AH185" s="1765"/>
      <c r="AI185" s="1614"/>
      <c r="AJ185" s="1608"/>
      <c r="AK185" s="1609"/>
      <c r="AL185" s="1614"/>
      <c r="AM185" s="1618"/>
      <c r="AN185" s="1609"/>
      <c r="AO185" s="1644"/>
      <c r="AP185" s="1608"/>
      <c r="AQ185" s="1609"/>
      <c r="AR185" s="1614"/>
      <c r="AS185" s="1618"/>
      <c r="AT185" s="1609"/>
      <c r="AU185" s="1609"/>
      <c r="AV185" s="1674"/>
      <c r="AW185" s="1608"/>
      <c r="AX185" s="1609"/>
      <c r="AY185" s="1614"/>
      <c r="AZ185" s="1618"/>
      <c r="BA185" s="1609"/>
      <c r="BB185" s="1621"/>
      <c r="BC185" s="1609"/>
      <c r="BD185" s="1614"/>
      <c r="BE185" s="1663"/>
      <c r="BF185" s="1608"/>
      <c r="BG185" s="1609"/>
      <c r="BH185" s="1614"/>
      <c r="BI185" s="1662"/>
      <c r="BJ185" s="1621"/>
      <c r="BK185" s="1614"/>
      <c r="BL185" s="1663"/>
      <c r="BM185" s="1618"/>
      <c r="BN185" s="1499"/>
      <c r="BO185" s="1655"/>
      <c r="BP185" s="1608"/>
      <c r="BQ185" s="1609"/>
      <c r="BR185" s="1614"/>
      <c r="BS185" s="1662"/>
      <c r="BT185" s="1499"/>
      <c r="BU185" s="1460"/>
      <c r="BV185" s="1664"/>
      <c r="BW185" s="1664"/>
      <c r="BX185" s="1460"/>
      <c r="BY185" s="1460"/>
      <c r="BZ185" s="1460"/>
      <c r="CA185" s="1460"/>
      <c r="CB185" s="1499"/>
      <c r="CC185" s="1460"/>
      <c r="CD185" s="1664"/>
      <c r="CE185" s="1664"/>
      <c r="CF185" s="1460"/>
      <c r="CG185" s="1460"/>
      <c r="CH185" s="1460"/>
      <c r="CI185" s="1460"/>
      <c r="CJ185" s="1460"/>
    </row>
    <row r="186" spans="1:88">
      <c r="A186" s="467" t="str">
        <f>$A$11</f>
        <v>1Q</v>
      </c>
      <c r="B186" s="467" t="str">
        <f>$B$11</f>
        <v>Apr</v>
      </c>
      <c r="C186" s="1667"/>
      <c r="D186" s="1607">
        <v>4495.41</v>
      </c>
      <c r="E186" s="1608">
        <f>+(D186/D179-1)*100</f>
        <v>6.1551376643985245</v>
      </c>
      <c r="F186" s="1639">
        <v>3</v>
      </c>
      <c r="G186" s="1610">
        <v>652.303</v>
      </c>
      <c r="H186" s="1662"/>
      <c r="I186" s="1662">
        <f>+G186/D186*100</f>
        <v>14.510422853532825</v>
      </c>
      <c r="J186" s="1765">
        <f>I186-I179</f>
        <v>-0.20291947677907984</v>
      </c>
      <c r="K186" s="1610"/>
      <c r="L186" s="1608"/>
      <c r="M186" s="1609"/>
      <c r="N186" s="1499"/>
      <c r="O186" s="1662"/>
      <c r="P186" s="1609"/>
      <c r="Q186" s="1610"/>
      <c r="R186" s="1608"/>
      <c r="S186" s="1609"/>
      <c r="T186" s="1499"/>
      <c r="U186" s="1662"/>
      <c r="V186" s="1609"/>
      <c r="W186" s="1607">
        <v>620.21199999999999</v>
      </c>
      <c r="X186" s="1608">
        <f>+(W186/W179-1)*100</f>
        <v>1.9381348410637544</v>
      </c>
      <c r="Y186" s="1639">
        <v>11</v>
      </c>
      <c r="Z186" s="1610">
        <v>45.171999999999997</v>
      </c>
      <c r="AA186" s="1662">
        <f>+Z186/W186*100</f>
        <v>7.283316027422881</v>
      </c>
      <c r="AB186" s="1765">
        <f>AA186-AA179</f>
        <v>4.7689322186365679E-2</v>
      </c>
      <c r="AC186" s="1610">
        <v>869.822</v>
      </c>
      <c r="AD186" s="1608">
        <f>+(AC186/AC179-1)*100</f>
        <v>-2.3603326714179418</v>
      </c>
      <c r="AE186" s="1639">
        <v>3</v>
      </c>
      <c r="AF186" s="1610">
        <v>26.355</v>
      </c>
      <c r="AG186" s="1662">
        <f>+AF186/AC186*100</f>
        <v>3.0299302615937513</v>
      </c>
      <c r="AH186" s="1765">
        <f>AG186-AG179</f>
        <v>-1.2649614652870103</v>
      </c>
      <c r="AI186" s="1610">
        <v>880.19299999999998</v>
      </c>
      <c r="AJ186" s="1608">
        <f>+(AI186/AI179-1)*100</f>
        <v>16.250501880732003</v>
      </c>
      <c r="AK186" s="1639">
        <v>9</v>
      </c>
      <c r="AL186" s="1610">
        <v>121.29900000000001</v>
      </c>
      <c r="AM186" s="1618">
        <f>+AL186/AI186*100</f>
        <v>13.780954858763931</v>
      </c>
      <c r="AN186" s="1609">
        <f>AM186-AM179</f>
        <v>0.81063978332333342</v>
      </c>
      <c r="AO186" s="1607"/>
      <c r="AP186" s="1608"/>
      <c r="AQ186" s="1639"/>
      <c r="AR186" s="1610"/>
      <c r="AS186" s="1618"/>
      <c r="AT186" s="1609"/>
      <c r="AU186" s="1609"/>
      <c r="AV186" s="1675"/>
      <c r="AW186" s="1676"/>
      <c r="AX186" s="1677"/>
      <c r="AY186" s="1678"/>
      <c r="AZ186" s="1679"/>
      <c r="BA186" s="1609"/>
      <c r="BB186" s="1711">
        <f>'qtrP&amp;L'!$DB10</f>
        <v>6865.6369999999997</v>
      </c>
      <c r="BC186" s="1611">
        <f>'qtrP&amp;L'!DD10</f>
        <v>5</v>
      </c>
      <c r="BD186" s="1712">
        <f>+D186+W186+AC186+AI186</f>
        <v>6865.6369999999997</v>
      </c>
      <c r="BE186" s="1638" t="str">
        <f>IF(ROUND(BB186,2)=ROUND(BD186,2),"y","n")</f>
        <v>y</v>
      </c>
      <c r="BF186" s="1613">
        <f>+(BD186/BD179-1)*100</f>
        <v>5.7687697884019729</v>
      </c>
      <c r="BG186" s="1611">
        <f>qtrSales!F187</f>
        <v>5</v>
      </c>
      <c r="BH186" s="1614">
        <f>'qtrP&amp;L'!$DB61</f>
        <v>776.73899999999981</v>
      </c>
      <c r="BI186" s="1620">
        <f>+BH186/BB186*100</f>
        <v>11.31342947493437</v>
      </c>
      <c r="BJ186" s="1610">
        <v>68.39</v>
      </c>
      <c r="BK186" s="1614">
        <f>+G186+Z186+AF186+AL186-BJ186</f>
        <v>776.73900000000003</v>
      </c>
      <c r="BL186" s="1638" t="str">
        <f>IF(ROUND(BH186,0)=ROUND(BK186,0),"y","n")</f>
        <v>y</v>
      </c>
      <c r="BM186" s="1618">
        <f>+BK186/BD186*100</f>
        <v>11.313429474934374</v>
      </c>
      <c r="BN186" s="1724">
        <f>BH186-BK186</f>
        <v>0</v>
      </c>
      <c r="BO186" s="1655"/>
      <c r="BP186" s="1608"/>
      <c r="BQ186" s="1609"/>
      <c r="BR186" s="1614"/>
      <c r="BS186" s="1662"/>
      <c r="BT186" s="1499"/>
      <c r="BU186" s="1422">
        <f>+D186/$BD186</f>
        <v>0.65476954286980216</v>
      </c>
      <c r="BV186" s="1628"/>
      <c r="BW186" s="1628"/>
      <c r="BX186" s="1422">
        <f>+W186/$BD186</f>
        <v>9.0335681889386232E-2</v>
      </c>
      <c r="BY186" s="1422">
        <f>+AC186/BD186</f>
        <v>0.12669210446168361</v>
      </c>
      <c r="BZ186" s="1422">
        <f>+AI186/BD186</f>
        <v>0.128202670779128</v>
      </c>
      <c r="CA186" s="1714"/>
      <c r="CB186" s="467"/>
      <c r="CC186" s="1422">
        <f>+G186/$BK186</f>
        <v>0.8397968944523192</v>
      </c>
      <c r="CD186" s="1628"/>
      <c r="CE186" s="1628"/>
      <c r="CF186" s="1422">
        <f>+Z186/$BK186</f>
        <v>5.8155957149055214E-2</v>
      </c>
      <c r="CG186" s="1422">
        <f>+AF186/$BK186</f>
        <v>3.3930316361094268E-2</v>
      </c>
      <c r="CH186" s="1422">
        <f>+AL186/$BK186</f>
        <v>0.15616442588823273</v>
      </c>
      <c r="CI186" s="1422">
        <f>+AR186/$BK186</f>
        <v>0</v>
      </c>
      <c r="CJ186" s="1422"/>
    </row>
    <row r="187" spans="1:88">
      <c r="A187" s="467" t="str">
        <f>$A$12</f>
        <v>2Q</v>
      </c>
      <c r="B187" s="467" t="str">
        <f>$B$12</f>
        <v>Jul</v>
      </c>
      <c r="C187" s="1720"/>
      <c r="D187" s="1616">
        <v>4805.8829999999998</v>
      </c>
      <c r="E187" s="1608">
        <f>+(D187/D180-1)*100</f>
        <v>6.9428898603834055</v>
      </c>
      <c r="F187" s="1639">
        <v>4</v>
      </c>
      <c r="G187" s="1617">
        <v>715.54600000000005</v>
      </c>
      <c r="H187" s="1662"/>
      <c r="I187" s="1662">
        <f>+G187/D187*100</f>
        <v>14.888960051670008</v>
      </c>
      <c r="J187" s="1765">
        <f>I187-I180</f>
        <v>-0.36766240225509073</v>
      </c>
      <c r="K187" s="1610"/>
      <c r="L187" s="1608"/>
      <c r="M187" s="1609"/>
      <c r="N187" s="1499"/>
      <c r="O187" s="1662"/>
      <c r="P187" s="1609"/>
      <c r="Q187" s="1610"/>
      <c r="R187" s="1608"/>
      <c r="S187" s="1609"/>
      <c r="T187" s="1499"/>
      <c r="U187" s="1662"/>
      <c r="V187" s="1609"/>
      <c r="W187" s="1616">
        <v>699.34699999999998</v>
      </c>
      <c r="X187" s="1608">
        <f>+(W187/W180-1)*100</f>
        <v>0.49186405412084966</v>
      </c>
      <c r="Y187" s="1639">
        <v>12</v>
      </c>
      <c r="Z187" s="1617">
        <v>119.681</v>
      </c>
      <c r="AA187" s="1662">
        <f>+Z187/W187*100</f>
        <v>17.11324993172202</v>
      </c>
      <c r="AB187" s="1765">
        <f>AA187-AA180</f>
        <v>3.4588853746726862</v>
      </c>
      <c r="AC187" s="1617">
        <v>963.12300000000005</v>
      </c>
      <c r="AD187" s="1608">
        <f>+(AC187/AC180-1)*100</f>
        <v>0.92042764677959799</v>
      </c>
      <c r="AE187" s="1639">
        <v>5</v>
      </c>
      <c r="AF187" s="1617">
        <v>50.874000000000002</v>
      </c>
      <c r="AG187" s="1662">
        <f>+AF187/AC187*100</f>
        <v>5.2821913711955792</v>
      </c>
      <c r="AH187" s="1765">
        <f>AG187-AG180</f>
        <v>-0.54529760284823414</v>
      </c>
      <c r="AI187" s="1617">
        <v>895.37800000000004</v>
      </c>
      <c r="AJ187" s="1608">
        <f>+(AI187/AI180-1)*100</f>
        <v>15.820927185213263</v>
      </c>
      <c r="AK187" s="1639">
        <v>9</v>
      </c>
      <c r="AL187" s="1617">
        <v>112.13500000000001</v>
      </c>
      <c r="AM187" s="1618">
        <f>+AL187/AI187*100</f>
        <v>12.523760914384763</v>
      </c>
      <c r="AN187" s="1609">
        <f>AM187-AM180</f>
        <v>0.2823238406877806</v>
      </c>
      <c r="AO187" s="1715"/>
      <c r="AP187" s="1608"/>
      <c r="AQ187" s="1609"/>
      <c r="AR187" s="1621"/>
      <c r="AS187" s="1657"/>
      <c r="AT187" s="1609"/>
      <c r="AU187" s="1609"/>
      <c r="AV187" s="1683"/>
      <c r="AW187" s="1676"/>
      <c r="AX187" s="1677"/>
      <c r="AY187" s="1684"/>
      <c r="AZ187" s="1679"/>
      <c r="BA187" s="1609"/>
      <c r="BB187" s="1725">
        <f>'qtrP&amp;L'!$DB11</f>
        <v>7363.7309999999998</v>
      </c>
      <c r="BC187" s="1611">
        <f>'qtrP&amp;L'!DD11</f>
        <v>6</v>
      </c>
      <c r="BD187" s="1726">
        <f>+D187+W187+AC187+AI187</f>
        <v>7363.7309999999989</v>
      </c>
      <c r="BE187" s="1638" t="str">
        <f>IF(ROUND(BB187,2)=ROUND(BD187,2),"y","n")</f>
        <v>y</v>
      </c>
      <c r="BF187" s="1613">
        <f>+(BD187/BD180-1)*100</f>
        <v>6.4551874367881013</v>
      </c>
      <c r="BG187" s="1611">
        <f>qtrSales!F188</f>
        <v>6</v>
      </c>
      <c r="BH187" s="1621">
        <f>'qtrP&amp;L'!$DB62</f>
        <v>897.00199999999995</v>
      </c>
      <c r="BI187" s="1620">
        <f>+BH187/BB187*100</f>
        <v>12.181352089042905</v>
      </c>
      <c r="BJ187" s="1617">
        <v>101.23399999999999</v>
      </c>
      <c r="BK187" s="1621">
        <f>+G187+Z187+AF187+AL187-BJ187</f>
        <v>897.00200000000007</v>
      </c>
      <c r="BL187" s="1638" t="str">
        <f>IF(ROUND(BH187,0)=ROUND(BK187,0),"y","n")</f>
        <v>y</v>
      </c>
      <c r="BM187" s="1618">
        <f>+BK187/BD187*100</f>
        <v>12.181352089042907</v>
      </c>
      <c r="BN187" s="1724">
        <f>BH187-BK187</f>
        <v>0</v>
      </c>
      <c r="BO187" s="1655"/>
      <c r="BP187" s="1608"/>
      <c r="BQ187" s="1609"/>
      <c r="BR187" s="1614"/>
      <c r="BS187" s="1662"/>
      <c r="BT187" s="1499"/>
      <c r="BU187" s="1422">
        <f>+D187/$BD187</f>
        <v>0.6526423901144679</v>
      </c>
      <c r="BV187" s="1628"/>
      <c r="BW187" s="1628"/>
      <c r="BX187" s="1422">
        <f>+W187/$BD187</f>
        <v>9.4971828818841988E-2</v>
      </c>
      <c r="BY187" s="1422">
        <f>+AC187/BD187</f>
        <v>0.13079280055178552</v>
      </c>
      <c r="BZ187" s="1422">
        <f>+AI187/BD187</f>
        <v>0.12159298051490476</v>
      </c>
      <c r="CA187" s="1422"/>
      <c r="CB187" s="467"/>
      <c r="CC187" s="1422">
        <f>+G187/$BK187</f>
        <v>0.79770836631356457</v>
      </c>
      <c r="CD187" s="1628"/>
      <c r="CE187" s="1628"/>
      <c r="CF187" s="1422">
        <f>+Z187/$BK187</f>
        <v>0.13342333684874727</v>
      </c>
      <c r="CG187" s="1422">
        <f>+AF187/$BK187</f>
        <v>5.671559260737434E-2</v>
      </c>
      <c r="CH187" s="1422">
        <f>+AL187/$BK187</f>
        <v>0.12501086954098206</v>
      </c>
      <c r="CI187" s="1422">
        <f>+AR187/$BK187</f>
        <v>0</v>
      </c>
      <c r="CJ187" s="1422"/>
    </row>
    <row r="188" spans="1:88">
      <c r="A188" s="467" t="str">
        <f>$A$13</f>
        <v>3Q</v>
      </c>
      <c r="B188" s="467" t="str">
        <f>$B$13</f>
        <v>Oct</v>
      </c>
      <c r="C188" s="1721"/>
      <c r="D188" s="1616">
        <v>4926.5069999999996</v>
      </c>
      <c r="E188" s="1608">
        <f>+(D188/D181-1)*100</f>
        <v>5.4087345449597146</v>
      </c>
      <c r="F188" s="1639">
        <v>3</v>
      </c>
      <c r="G188" s="1617">
        <v>678.34299999999996</v>
      </c>
      <c r="H188" s="1662"/>
      <c r="I188" s="1662">
        <f>+G188/D188*100</f>
        <v>13.769248678627676</v>
      </c>
      <c r="J188" s="1765">
        <f>I188-I181</f>
        <v>-0.77867654921020346</v>
      </c>
      <c r="K188" s="1610"/>
      <c r="L188" s="1608"/>
      <c r="M188" s="1609"/>
      <c r="N188" s="1499"/>
      <c r="O188" s="1662"/>
      <c r="P188" s="1609"/>
      <c r="Q188" s="1610"/>
      <c r="R188" s="1608"/>
      <c r="S188" s="1609"/>
      <c r="T188" s="1499"/>
      <c r="U188" s="1662"/>
      <c r="V188" s="1609"/>
      <c r="W188" s="1616">
        <v>753.63</v>
      </c>
      <c r="X188" s="1608">
        <f>+(W188/W181-1)*100</f>
        <v>-4.8116454577031176</v>
      </c>
      <c r="Y188" s="1639">
        <v>10</v>
      </c>
      <c r="Z188" s="1617">
        <v>113.152</v>
      </c>
      <c r="AA188" s="1662">
        <f>+Z188/W188*100</f>
        <v>15.014264294149648</v>
      </c>
      <c r="AB188" s="1765">
        <f>AA188-AA181</f>
        <v>-2.2240444620472637</v>
      </c>
      <c r="AC188" s="1617">
        <v>1113.5139999999999</v>
      </c>
      <c r="AD188" s="1608">
        <f>+(AC188/AC181-1)*100</f>
        <v>6.0915910966121478</v>
      </c>
      <c r="AE188" s="1639">
        <v>7</v>
      </c>
      <c r="AF188" s="1617">
        <v>115.29</v>
      </c>
      <c r="AG188" s="1662">
        <f>+AF188/AC188*100</f>
        <v>10.353709068767884</v>
      </c>
      <c r="AH188" s="1765">
        <f>AG188-AG181</f>
        <v>-0.63289697670944278</v>
      </c>
      <c r="AI188" s="1617">
        <v>959.84400000000005</v>
      </c>
      <c r="AJ188" s="1608">
        <f>+(AI188/AI181-1)*100</f>
        <v>12.784165349658384</v>
      </c>
      <c r="AK188" s="1639">
        <v>6</v>
      </c>
      <c r="AL188" s="1617">
        <v>134.55000000000001</v>
      </c>
      <c r="AM188" s="1618">
        <f>+AL188/AI188*100</f>
        <v>14.017902909222748</v>
      </c>
      <c r="AN188" s="1609">
        <f>AM188-AM181</f>
        <v>0.1617613420905748</v>
      </c>
      <c r="AO188" s="1715"/>
      <c r="AP188" s="1608"/>
      <c r="AQ188" s="1609"/>
      <c r="AR188" s="1621"/>
      <c r="AS188" s="1657"/>
      <c r="AT188" s="1609"/>
      <c r="AU188" s="1609"/>
      <c r="AV188" s="1683"/>
      <c r="AW188" s="1676"/>
      <c r="AX188" s="1677"/>
      <c r="AY188" s="1684"/>
      <c r="AZ188" s="1679"/>
      <c r="BA188" s="1609"/>
      <c r="BB188" s="1716">
        <f>'qtrP&amp;L'!$DB12</f>
        <v>7753.4949999999999</v>
      </c>
      <c r="BC188" s="1611">
        <f>'qtrP&amp;L'!DD12</f>
        <v>5</v>
      </c>
      <c r="BD188" s="1680">
        <f>+D188+W188+AC188+AI188</f>
        <v>7753.4949999999999</v>
      </c>
      <c r="BE188" s="1638" t="str">
        <f>IF(ROUND(BB188,1)=ROUND(BD188,1),"y","n")</f>
        <v>y</v>
      </c>
      <c r="BF188" s="1613">
        <f>+(BD188/BD181-1)*100</f>
        <v>5.2596460580179416</v>
      </c>
      <c r="BG188" s="1611">
        <f>qtrSales!F189</f>
        <v>5</v>
      </c>
      <c r="BH188" s="1621">
        <f>'qtrP&amp;L'!$DB63</f>
        <v>954.19499999999948</v>
      </c>
      <c r="BI188" s="1620">
        <f>+BH188/BB188*100</f>
        <v>12.306643649089857</v>
      </c>
      <c r="BJ188" s="1617">
        <v>87.14</v>
      </c>
      <c r="BK188" s="1621">
        <f>+G188+Z188+AF188+AL188-BJ188</f>
        <v>954.19500000000005</v>
      </c>
      <c r="BL188" s="1638" t="str">
        <f>IF(ROUND(BH188,0)=ROUND(BK188,0),"y","n")</f>
        <v>y</v>
      </c>
      <c r="BM188" s="1618">
        <f>+BK188/BD188*100</f>
        <v>12.306643649089862</v>
      </c>
      <c r="BN188" s="1724">
        <f>BH188-BK188</f>
        <v>0</v>
      </c>
      <c r="BO188" s="1655"/>
      <c r="BP188" s="1608"/>
      <c r="BQ188" s="1609"/>
      <c r="BR188" s="1614"/>
      <c r="BS188" s="1662"/>
      <c r="BT188" s="1499"/>
      <c r="BU188" s="1422">
        <f>+D188/$BD188</f>
        <v>0.63539178138375008</v>
      </c>
      <c r="BV188" s="1628"/>
      <c r="BW188" s="1628"/>
      <c r="BX188" s="1422">
        <f>+W188/$BD188</f>
        <v>9.7198747145642056E-2</v>
      </c>
      <c r="BY188" s="1422">
        <f>+AC188/BD188</f>
        <v>0.14361446031757291</v>
      </c>
      <c r="BZ188" s="1422">
        <f>+AI188/BD188</f>
        <v>0.12379501115303486</v>
      </c>
      <c r="CA188" s="1422"/>
      <c r="CB188" s="467"/>
      <c r="CC188" s="1422">
        <f>+G188/$BK188</f>
        <v>0.71090605169802812</v>
      </c>
      <c r="CD188" s="1628"/>
      <c r="CE188" s="1628"/>
      <c r="CF188" s="1422">
        <f>+Z188/$BK188</f>
        <v>0.11858372764476863</v>
      </c>
      <c r="CG188" s="1422">
        <f>+AF188/$BK188</f>
        <v>0.12082435980066968</v>
      </c>
      <c r="CH188" s="1422">
        <f>+AL188/$BK188</f>
        <v>0.1410089132724443</v>
      </c>
      <c r="CI188" s="1422">
        <f>+AR188/$BK188</f>
        <v>0</v>
      </c>
      <c r="CJ188" s="1422"/>
    </row>
    <row r="189" spans="1:88">
      <c r="A189" s="467" t="str">
        <f>$A$14</f>
        <v>4Q</v>
      </c>
      <c r="B189" s="467" t="str">
        <f>$B$14</f>
        <v>Jan</v>
      </c>
      <c r="C189" s="1720"/>
      <c r="D189" s="1623">
        <v>5720.4269999999997</v>
      </c>
      <c r="E189" s="1608">
        <f>+(D189/D182-1)*100</f>
        <v>8.2184449489216771</v>
      </c>
      <c r="F189" s="1639">
        <v>6</v>
      </c>
      <c r="G189" s="1624">
        <v>812.58799999999997</v>
      </c>
      <c r="H189" s="1662"/>
      <c r="I189" s="1662">
        <f>+G189/D189*100</f>
        <v>14.205023506112394</v>
      </c>
      <c r="J189" s="1765">
        <f>I189-I182</f>
        <v>5.2980373308761486E-2</v>
      </c>
      <c r="K189" s="1610"/>
      <c r="L189" s="1608"/>
      <c r="M189" s="1609"/>
      <c r="N189" s="1499"/>
      <c r="O189" s="1662"/>
      <c r="P189" s="1609"/>
      <c r="Q189" s="1610"/>
      <c r="R189" s="1608"/>
      <c r="S189" s="1609"/>
      <c r="T189" s="1499"/>
      <c r="U189" s="1662"/>
      <c r="V189" s="1609"/>
      <c r="W189" s="1623">
        <v>781.428</v>
      </c>
      <c r="X189" s="1608">
        <f>+(W189/W182-1)*100</f>
        <v>-0.83401015228425912</v>
      </c>
      <c r="Y189" s="1639">
        <v>14</v>
      </c>
      <c r="Z189" s="1617">
        <v>97.301000000000002</v>
      </c>
      <c r="AA189" s="1662">
        <f>+Z189/W189*100</f>
        <v>12.451691006721029</v>
      </c>
      <c r="AB189" s="1765">
        <f>AA189-AA182</f>
        <v>-2.5349841201825249</v>
      </c>
      <c r="AC189" s="1624">
        <v>1280.414</v>
      </c>
      <c r="AD189" s="1608">
        <f>+(AC189/AC182-1)*100</f>
        <v>6.8792988313856496</v>
      </c>
      <c r="AE189" s="1639">
        <v>1</v>
      </c>
      <c r="AF189" s="1624">
        <v>124.42</v>
      </c>
      <c r="AG189" s="1662">
        <f>+AF189/AC189*100</f>
        <v>9.7171696029565435</v>
      </c>
      <c r="AH189" s="1765">
        <f>AG189-AG182</f>
        <v>-0.98550151557433985</v>
      </c>
      <c r="AI189" s="1624">
        <v>1179.806</v>
      </c>
      <c r="AJ189" s="1608">
        <f>+(AI189/AI182-1)*100</f>
        <v>14.211616650532433</v>
      </c>
      <c r="AK189" s="1639">
        <v>7</v>
      </c>
      <c r="AL189" s="1617">
        <v>181.334</v>
      </c>
      <c r="AM189" s="1618">
        <v>14.2</v>
      </c>
      <c r="AN189" s="1609">
        <f>AM189-AM182</f>
        <v>-0.55614714424007872</v>
      </c>
      <c r="AO189" s="1717"/>
      <c r="AP189" s="1608"/>
      <c r="AQ189" s="1609"/>
      <c r="AR189" s="1625"/>
      <c r="AS189" s="1657"/>
      <c r="AT189" s="1609"/>
      <c r="AU189" s="1609"/>
      <c r="AV189" s="1686"/>
      <c r="AW189" s="1676"/>
      <c r="AX189" s="1677"/>
      <c r="AY189" s="1687"/>
      <c r="AZ189" s="1679"/>
      <c r="BA189" s="1609"/>
      <c r="BB189" s="1718">
        <f>'qtrP&amp;L'!$DB13</f>
        <v>8962.0750000000007</v>
      </c>
      <c r="BC189" s="1611">
        <f>'qtrP&amp;L'!DD13</f>
        <v>6</v>
      </c>
      <c r="BD189" s="1625">
        <f>+D189+W189+AC189+AI189</f>
        <v>8962.0749999999989</v>
      </c>
      <c r="BE189" s="1638" t="str">
        <f>IF(ROUND(BB189,1)=ROUND(BD189,1),"y","n")</f>
        <v>y</v>
      </c>
      <c r="BF189" s="1613">
        <f>+(BD189/BD182-1)*100</f>
        <v>7.9118001204093735</v>
      </c>
      <c r="BG189" s="1611">
        <f>qtrSales!F190</f>
        <v>6</v>
      </c>
      <c r="BH189" s="1625">
        <f>'qtrP&amp;L'!$DB64</f>
        <v>1076.7640000000008</v>
      </c>
      <c r="BI189" s="1643">
        <f>+BH189/BB189*100</f>
        <v>12.014672941255242</v>
      </c>
      <c r="BJ189" s="1624">
        <v>138.87899999999999</v>
      </c>
      <c r="BK189" s="1625">
        <f>+G189+Z189+AF189+AL189-BJ189</f>
        <v>1076.7640000000001</v>
      </c>
      <c r="BL189" s="1638" t="str">
        <f>IF(ROUND(BH189,0)=ROUND(BK189,0),"y","n")</f>
        <v>y</v>
      </c>
      <c r="BM189" s="1618">
        <f>+BK189/BD189*100</f>
        <v>12.014672941255236</v>
      </c>
      <c r="BN189" s="1724">
        <f>BH189-BK189</f>
        <v>0</v>
      </c>
      <c r="BO189" s="1655"/>
      <c r="BP189" s="1608"/>
      <c r="BQ189" s="1609"/>
      <c r="BR189" s="1614"/>
      <c r="BS189" s="1662"/>
      <c r="BT189" s="1499"/>
      <c r="BU189" s="1422">
        <f>+D189/$BD189</f>
        <v>0.63829269449318382</v>
      </c>
      <c r="BV189" s="1628"/>
      <c r="BW189" s="1628"/>
      <c r="BX189" s="1422">
        <f>+W189/$BD189</f>
        <v>8.719275391022728E-2</v>
      </c>
      <c r="BY189" s="1422">
        <f>+AC189/BD189</f>
        <v>0.14287026163025862</v>
      </c>
      <c r="BZ189" s="1422">
        <f>+AI189/BD189</f>
        <v>0.13164428996633037</v>
      </c>
      <c r="CA189" s="1422"/>
      <c r="CB189" s="467"/>
      <c r="CC189" s="1422">
        <f>+G189/$BK189</f>
        <v>0.75465747368968494</v>
      </c>
      <c r="CD189" s="1628"/>
      <c r="CE189" s="1628"/>
      <c r="CF189" s="1422">
        <f>+Z189/$BK189</f>
        <v>9.0364276666010365E-2</v>
      </c>
      <c r="CG189" s="1422">
        <f>+AF189/$BK189</f>
        <v>0.1155499255175693</v>
      </c>
      <c r="CH189" s="1422">
        <f>+AL189/$BK189</f>
        <v>0.16840644746666864</v>
      </c>
      <c r="CI189" s="1422">
        <f>+AR189/$BK189</f>
        <v>0</v>
      </c>
      <c r="CJ189" s="1422"/>
    </row>
    <row r="190" spans="1:88">
      <c r="A190" s="1499"/>
      <c r="B190" s="1499" t="str">
        <f>$B$15</f>
        <v>Year</v>
      </c>
      <c r="C190" s="1667"/>
      <c r="D190" s="1654">
        <f>+SUM(D186:D189)</f>
        <v>19948.226999999999</v>
      </c>
      <c r="E190" s="1608">
        <f>+(D190/D183-1)*100</f>
        <v>6.7415043734998292</v>
      </c>
      <c r="F190" s="1639">
        <v>4</v>
      </c>
      <c r="G190" s="1614">
        <f>+SUM(G186:G189)</f>
        <v>2858.7799999999997</v>
      </c>
      <c r="H190" s="1662"/>
      <c r="I190" s="1662">
        <f>+G190/D190*100</f>
        <v>14.330997937811714</v>
      </c>
      <c r="J190" s="1765">
        <f>I190-I183</f>
        <v>-0.31285159176957578</v>
      </c>
      <c r="K190" s="1610"/>
      <c r="L190" s="1608"/>
      <c r="M190" s="1609"/>
      <c r="N190" s="1499"/>
      <c r="O190" s="1662"/>
      <c r="P190" s="1609"/>
      <c r="Q190" s="1610"/>
      <c r="R190" s="1608"/>
      <c r="S190" s="1609"/>
      <c r="T190" s="1499"/>
      <c r="U190" s="1662"/>
      <c r="V190" s="1609"/>
      <c r="W190" s="1654">
        <f>+SUM(W186:W189)</f>
        <v>2854.6169999999997</v>
      </c>
      <c r="X190" s="1608">
        <f>+(W190/W183-1)*100</f>
        <v>-1.0211960948229848</v>
      </c>
      <c r="Y190" s="1639">
        <v>12</v>
      </c>
      <c r="Z190" s="1614">
        <f>+SUM(Z186:Z189)</f>
        <v>375.30599999999998</v>
      </c>
      <c r="AA190" s="1662">
        <f>+Z190/W190*100</f>
        <v>13.147332899649935</v>
      </c>
      <c r="AB190" s="1765">
        <f>AA190-AA183</f>
        <v>-0.5008149081868396</v>
      </c>
      <c r="AC190" s="1655">
        <f>+SUM(AC186:AC189)</f>
        <v>4226.8729999999996</v>
      </c>
      <c r="AD190" s="1608">
        <f>+(AC190/AC183-1)*100</f>
        <v>3.2766837879321553</v>
      </c>
      <c r="AE190" s="1639">
        <v>4</v>
      </c>
      <c r="AF190" s="1614">
        <f>+SUM(AF186:AF189)</f>
        <v>316.93900000000002</v>
      </c>
      <c r="AG190" s="1662">
        <f>+AF190/AC190*100</f>
        <v>7.4981907428966998</v>
      </c>
      <c r="AH190" s="1765">
        <f>AG190-AG183</f>
        <v>-0.74576945419250507</v>
      </c>
      <c r="AI190" s="1655">
        <f>+SUM(AI186:AI189)</f>
        <v>3915.221</v>
      </c>
      <c r="AJ190" s="1608">
        <f>+(AI190/AI183-1)*100</f>
        <v>14.672339722599403</v>
      </c>
      <c r="AK190" s="1639">
        <v>8</v>
      </c>
      <c r="AL190" s="1614">
        <f>+SUM(AL186:AL189)</f>
        <v>549.31799999999998</v>
      </c>
      <c r="AM190" s="1618">
        <f>+AL190/AI190*100</f>
        <v>14.030319105869118</v>
      </c>
      <c r="AN190" s="1609">
        <f>AM190-AM183</f>
        <v>0.46392654383239673</v>
      </c>
      <c r="AO190" s="1654"/>
      <c r="AP190" s="1608"/>
      <c r="AQ190" s="1609"/>
      <c r="AR190" s="1614"/>
      <c r="AS190" s="1618"/>
      <c r="AT190" s="1609"/>
      <c r="AU190" s="1609"/>
      <c r="AV190" s="1688"/>
      <c r="AW190" s="1676"/>
      <c r="AX190" s="1677"/>
      <c r="AY190" s="1678"/>
      <c r="AZ190" s="1679"/>
      <c r="BA190" s="1609"/>
      <c r="BB190" s="1719">
        <f>'qtrP&amp;L'!$DB14</f>
        <v>30944.937999999998</v>
      </c>
      <c r="BC190" s="1611">
        <f>'qtrP&amp;L'!DD14</f>
        <v>5</v>
      </c>
      <c r="BD190" s="1614">
        <f>+D190+W190+AC190+AI190+AO190</f>
        <v>30944.937999999998</v>
      </c>
      <c r="BE190" s="1638" t="str">
        <f>IF(ROUND(BB190,2)=ROUND(BD190,2),"y","n")</f>
        <v>y</v>
      </c>
      <c r="BF190" s="1608">
        <f>+(BD190/BD183-1)*100</f>
        <v>6.4151273266685127</v>
      </c>
      <c r="BG190" s="1611">
        <f>qtrSales!F191</f>
        <v>5.2440748790642271</v>
      </c>
      <c r="BH190" s="1614">
        <f>'qtrP&amp;L'!$DB65</f>
        <v>3704.7</v>
      </c>
      <c r="BI190" s="1662">
        <f>+BH190/BB190*100</f>
        <v>11.971909589865716</v>
      </c>
      <c r="BJ190" s="1621">
        <f>SUM(BJ186:BJ189)</f>
        <v>395.64300000000003</v>
      </c>
      <c r="BK190" s="1614">
        <f>+G190+Z190+AF190+AL190-BJ190</f>
        <v>3704.7</v>
      </c>
      <c r="BL190" s="1638" t="str">
        <f>IF(ROUND(BH190,0)=ROUND(BK190,0),"y","n")</f>
        <v>y</v>
      </c>
      <c r="BM190" s="1618">
        <f>+BK190/BD190*100</f>
        <v>11.971909589865716</v>
      </c>
      <c r="BN190" s="1724"/>
      <c r="BO190" s="1655"/>
      <c r="BP190" s="1608"/>
      <c r="BQ190" s="1609"/>
      <c r="BR190" s="1614"/>
      <c r="BS190" s="1662"/>
      <c r="BT190" s="1499"/>
      <c r="BU190" s="1460">
        <f>+D190/$BD190</f>
        <v>0.64463619219401891</v>
      </c>
      <c r="BV190" s="1664"/>
      <c r="BW190" s="1664"/>
      <c r="BX190" s="1460">
        <f>+W190/$BD190</f>
        <v>9.2248270137106098E-2</v>
      </c>
      <c r="BY190" s="1460">
        <f>+AC190/BD190</f>
        <v>0.13659335817703044</v>
      </c>
      <c r="BZ190" s="1460">
        <f>+AI190/BD190</f>
        <v>0.12652217949184452</v>
      </c>
      <c r="CA190" s="1460"/>
      <c r="CB190" s="1499"/>
      <c r="CC190" s="1460">
        <f>+G190/$BK190</f>
        <v>0.771663022646908</v>
      </c>
      <c r="CD190" s="1664"/>
      <c r="CE190" s="1664"/>
      <c r="CF190" s="1460">
        <f>+Z190/$BK190</f>
        <v>0.1013053688557778</v>
      </c>
      <c r="CG190" s="1460">
        <f>+AF190/$BK190</f>
        <v>8.5550516910950961E-2</v>
      </c>
      <c r="CH190" s="1460">
        <f>+AL190/$BK190</f>
        <v>0.14827597376305773</v>
      </c>
      <c r="CI190" s="1460">
        <f>+AR190/$BK190</f>
        <v>0</v>
      </c>
      <c r="CJ190" s="1460"/>
    </row>
    <row r="191" spans="1:88">
      <c r="A191" s="467"/>
      <c r="B191" s="467"/>
      <c r="C191" s="467"/>
      <c r="D191" s="1917"/>
      <c r="E191" s="1088"/>
      <c r="F191" s="1088"/>
      <c r="G191" s="1499"/>
      <c r="H191" s="1088"/>
      <c r="I191" s="746"/>
      <c r="J191" s="1764"/>
      <c r="K191" s="1605"/>
      <c r="L191" s="1605"/>
      <c r="M191" s="1605"/>
      <c r="N191" s="467"/>
      <c r="O191" s="467"/>
      <c r="P191" s="1605"/>
      <c r="Q191" s="1605"/>
      <c r="R191" s="1605"/>
      <c r="S191" s="1605"/>
      <c r="T191" s="467"/>
      <c r="U191" s="467"/>
      <c r="V191" s="1605"/>
      <c r="W191" s="1727"/>
      <c r="X191" s="1088"/>
      <c r="Y191" s="1088"/>
      <c r="Z191" s="1499"/>
      <c r="AA191" s="746"/>
      <c r="AB191" s="1764"/>
      <c r="AC191" s="1727"/>
      <c r="AD191" s="1088"/>
      <c r="AE191" s="1088"/>
      <c r="AF191" s="1728"/>
      <c r="AG191" s="1729"/>
      <c r="AH191" s="1764"/>
      <c r="AI191" s="1727"/>
      <c r="AJ191" s="1088"/>
      <c r="AK191" s="1088"/>
      <c r="AM191" s="1918"/>
      <c r="AN191" s="702"/>
      <c r="AO191" s="800"/>
      <c r="AP191" s="1088"/>
      <c r="AQ191" s="1088"/>
      <c r="AR191" s="1499"/>
      <c r="AS191" s="1499"/>
      <c r="AT191" s="702"/>
      <c r="AU191" s="702"/>
      <c r="AV191" s="1730"/>
      <c r="AW191" s="1707"/>
      <c r="AX191" s="1707"/>
      <c r="AY191" s="1708"/>
      <c r="AZ191" s="1708"/>
      <c r="BA191" s="487"/>
      <c r="BC191" s="693"/>
      <c r="BE191" s="1710"/>
      <c r="BF191" s="487"/>
      <c r="BG191" s="487"/>
      <c r="BH191" s="693"/>
      <c r="BI191" s="693"/>
      <c r="BL191" s="1710"/>
      <c r="BM191" s="1604"/>
      <c r="BN191" s="467"/>
      <c r="BO191" s="800"/>
      <c r="BP191" s="1088"/>
      <c r="BQ191" s="1088"/>
      <c r="BR191" s="1499"/>
      <c r="BS191" s="467"/>
      <c r="BT191" s="467"/>
      <c r="BU191" s="467"/>
      <c r="BV191" s="467"/>
      <c r="BW191" s="467"/>
      <c r="BX191" s="467"/>
      <c r="BY191" s="467"/>
      <c r="BZ191" s="467"/>
      <c r="CA191" s="467"/>
      <c r="CB191" s="467"/>
      <c r="CC191" s="467"/>
      <c r="CD191" s="467"/>
      <c r="CE191" s="467"/>
      <c r="CF191" s="467"/>
      <c r="CG191" s="467"/>
      <c r="CH191" s="467"/>
      <c r="CI191" s="467"/>
      <c r="CJ191" s="467"/>
    </row>
    <row r="192" spans="1:88">
      <c r="A192" s="2114">
        <f>+A185+1</f>
        <v>2016</v>
      </c>
      <c r="B192" s="2114"/>
      <c r="C192" s="1667"/>
      <c r="D192" s="1654"/>
      <c r="E192" s="1608"/>
      <c r="F192" s="1609"/>
      <c r="G192" s="1614"/>
      <c r="H192" s="1662"/>
      <c r="I192" s="1662"/>
      <c r="J192" s="1765"/>
      <c r="K192" s="1610"/>
      <c r="L192" s="1608"/>
      <c r="M192" s="1609"/>
      <c r="N192" s="1499"/>
      <c r="O192" s="1662"/>
      <c r="P192" s="1609"/>
      <c r="Q192" s="1610"/>
      <c r="R192" s="1608"/>
      <c r="S192" s="1609"/>
      <c r="T192" s="1499"/>
      <c r="U192" s="1662"/>
      <c r="V192" s="1609"/>
      <c r="W192" s="1691"/>
      <c r="X192" s="1608"/>
      <c r="Y192" s="1609"/>
      <c r="Z192" s="1614"/>
      <c r="AA192" s="1769"/>
      <c r="AB192" s="1765"/>
      <c r="AC192" s="1614"/>
      <c r="AD192" s="1608"/>
      <c r="AE192" s="1609"/>
      <c r="AF192" s="1692"/>
      <c r="AG192" s="1662"/>
      <c r="AH192" s="1765"/>
      <c r="AI192" s="1614"/>
      <c r="AJ192" s="1608"/>
      <c r="AK192" s="1609"/>
      <c r="AL192" s="1614"/>
      <c r="AM192" s="1618"/>
      <c r="AN192" s="1609"/>
      <c r="AO192" s="1644"/>
      <c r="AP192" s="1608"/>
      <c r="AQ192" s="1609"/>
      <c r="AR192" s="1614"/>
      <c r="AS192" s="1618"/>
      <c r="AT192" s="1609"/>
      <c r="AU192" s="1609"/>
      <c r="AV192" s="1674"/>
      <c r="AW192" s="1608"/>
      <c r="AX192" s="1609"/>
      <c r="AY192" s="1614"/>
      <c r="AZ192" s="1618"/>
      <c r="BA192" s="1609"/>
      <c r="BB192" s="1621"/>
      <c r="BC192" s="1609"/>
      <c r="BD192" s="1614"/>
      <c r="BE192" s="1663"/>
      <c r="BF192" s="1608"/>
      <c r="BG192" s="1609"/>
      <c r="BH192" s="1614"/>
      <c r="BI192" s="1662"/>
      <c r="BJ192" s="1621"/>
      <c r="BK192" s="1614"/>
      <c r="BL192" s="1663"/>
      <c r="BM192" s="1618"/>
      <c r="BN192" s="1499"/>
      <c r="BO192" s="1655"/>
      <c r="BP192" s="1608"/>
      <c r="BQ192" s="1609"/>
      <c r="BR192" s="1614"/>
      <c r="BS192" s="1662"/>
      <c r="BT192" s="1499"/>
      <c r="BU192" s="1460"/>
      <c r="BV192" s="1664"/>
      <c r="BW192" s="1664"/>
      <c r="BX192" s="1460"/>
      <c r="BY192" s="1460"/>
      <c r="BZ192" s="1460"/>
      <c r="CA192" s="1460"/>
      <c r="CB192" s="1499"/>
      <c r="CC192" s="1460"/>
      <c r="CD192" s="1664"/>
      <c r="CE192" s="1664"/>
      <c r="CF192" s="1460"/>
      <c r="CG192" s="1460"/>
      <c r="CH192" s="1460"/>
      <c r="CI192" s="1460"/>
      <c r="CJ192" s="1460"/>
    </row>
    <row r="193" spans="1:88">
      <c r="A193" s="467" t="str">
        <f>$A$11</f>
        <v>1Q</v>
      </c>
      <c r="B193" s="467" t="str">
        <f>$B$11</f>
        <v>Apr</v>
      </c>
      <c r="C193" s="1667"/>
      <c r="D193" s="1607">
        <v>4865.375</v>
      </c>
      <c r="E193" s="1608">
        <f>+(D193/D186-1)*100</f>
        <v>8.2298388801021574</v>
      </c>
      <c r="F193" s="1639">
        <v>6</v>
      </c>
      <c r="G193" s="1610">
        <v>708.85699999999997</v>
      </c>
      <c r="H193" s="1662"/>
      <c r="I193" s="1662">
        <f>+G193/D193*100</f>
        <v>14.569421678698969</v>
      </c>
      <c r="J193" s="1765">
        <f>I193-I186</f>
        <v>5.8998825166144186E-2</v>
      </c>
      <c r="K193" s="1610"/>
      <c r="L193" s="1608"/>
      <c r="M193" s="1609"/>
      <c r="N193" s="1499"/>
      <c r="O193" s="1662"/>
      <c r="P193" s="1609"/>
      <c r="Q193" s="1610"/>
      <c r="R193" s="1608"/>
      <c r="S193" s="1609"/>
      <c r="T193" s="1499"/>
      <c r="U193" s="1662"/>
      <c r="V193" s="1609"/>
      <c r="W193" s="1607">
        <v>685.577</v>
      </c>
      <c r="X193" s="1608">
        <f>+(W193/W186-1)*100</f>
        <v>10.539138230153554</v>
      </c>
      <c r="Y193" s="1639">
        <v>14</v>
      </c>
      <c r="Z193" s="1610">
        <v>57.472000000000001</v>
      </c>
      <c r="AA193" s="1662">
        <f>+Z193/W193*100</f>
        <v>8.3830116821305278</v>
      </c>
      <c r="AB193" s="1765">
        <f>AA193-AA186</f>
        <v>1.0996956547076469</v>
      </c>
      <c r="AC193" s="1610">
        <v>980.96799999999996</v>
      </c>
      <c r="AD193" s="1608">
        <f>+(AC193/AC186-1)*100</f>
        <v>12.778016651682744</v>
      </c>
      <c r="AE193" s="1639">
        <v>4</v>
      </c>
      <c r="AF193" s="1610">
        <v>14.347</v>
      </c>
      <c r="AG193" s="1662">
        <f>+AF193/AC193*100</f>
        <v>1.4625349654626858</v>
      </c>
      <c r="AH193" s="1765">
        <f>AG193-AG186</f>
        <v>-1.5673952961310655</v>
      </c>
      <c r="AI193" s="1610">
        <v>1010.436</v>
      </c>
      <c r="AJ193" s="1608">
        <f>+(AI193/AI186-1)*100</f>
        <v>14.797095636979618</v>
      </c>
      <c r="AK193" s="1639">
        <v>9</v>
      </c>
      <c r="AL193" s="1610">
        <v>138.21</v>
      </c>
      <c r="AM193" s="1618">
        <f>+AL193/AI193*100</f>
        <v>13.678253743928364</v>
      </c>
      <c r="AN193" s="1609">
        <f>AM193-AM186</f>
        <v>-0.10270111483556654</v>
      </c>
      <c r="AO193" s="1607"/>
      <c r="AP193" s="1608"/>
      <c r="AQ193" s="1639"/>
      <c r="AR193" s="1610"/>
      <c r="AS193" s="1618"/>
      <c r="AT193" s="1609"/>
      <c r="AU193" s="1609"/>
      <c r="AV193" s="1675"/>
      <c r="AW193" s="1676"/>
      <c r="AX193" s="1677"/>
      <c r="AY193" s="1678"/>
      <c r="AZ193" s="1679"/>
      <c r="BA193" s="1609"/>
      <c r="BB193" s="1711">
        <f>'qtrP&amp;L'!DF10</f>
        <v>7542.3559999999998</v>
      </c>
      <c r="BC193" s="1611">
        <f>'qtrP&amp;L'!DH10</f>
        <v>7</v>
      </c>
      <c r="BD193" s="1731">
        <f>+D193+W193+AC193+AI193</f>
        <v>7542.3559999999998</v>
      </c>
      <c r="BE193" s="1638" t="str">
        <f>IF(ROUND(BB193,2)=ROUND(BD193,2),"y","n")</f>
        <v>y</v>
      </c>
      <c r="BF193" s="1613">
        <f>+(BD193/BD186-1)*100</f>
        <v>9.8566090808471341</v>
      </c>
      <c r="BG193" s="1611">
        <f>qtrSales!F194</f>
        <v>7</v>
      </c>
      <c r="BH193" s="1614">
        <f>'qtrP&amp;L'!DF61</f>
        <v>835.16299999999978</v>
      </c>
      <c r="BI193" s="1620">
        <f>+BH193/BB193*100</f>
        <v>11.072972424001199</v>
      </c>
      <c r="BJ193" s="1610">
        <v>83.722999999999999</v>
      </c>
      <c r="BK193" s="1614">
        <f>+G193+Z193+AF193+AL193-BJ193</f>
        <v>835.16300000000001</v>
      </c>
      <c r="BL193" s="1638" t="str">
        <f>IF(ROUND(BH193,0)=ROUND(BK193,0),"y","n")</f>
        <v>y</v>
      </c>
      <c r="BM193" s="1618">
        <f>+BK193/BD193*100</f>
        <v>11.0729724240012</v>
      </c>
      <c r="BN193" s="1724">
        <f>BH193-BK193</f>
        <v>0</v>
      </c>
      <c r="BO193" s="1655"/>
      <c r="BP193" s="1608"/>
      <c r="BQ193" s="1609"/>
      <c r="BR193" s="1614"/>
      <c r="BS193" s="1662"/>
      <c r="BT193" s="1499"/>
      <c r="BU193" s="1422">
        <f>+D193/$BD193</f>
        <v>0.64507363481649505</v>
      </c>
      <c r="BV193" s="1628"/>
      <c r="BW193" s="1628"/>
      <c r="BX193" s="1422">
        <f>+W193/$BD193</f>
        <v>9.0896929288408021E-2</v>
      </c>
      <c r="BY193" s="1422">
        <f>+AC193/BD193</f>
        <v>0.13006121694600467</v>
      </c>
      <c r="BZ193" s="1422">
        <f>+AI193/BD193</f>
        <v>0.1339682189490923</v>
      </c>
      <c r="CA193" s="1714"/>
      <c r="CB193" s="467"/>
      <c r="CC193" s="1422">
        <f>+G193/$BK193</f>
        <v>0.84876485189118767</v>
      </c>
      <c r="CD193" s="1628"/>
      <c r="CE193" s="1628"/>
      <c r="CF193" s="1422">
        <f>+Z193/$BK193</f>
        <v>6.881530910732396E-2</v>
      </c>
      <c r="CG193" s="1422">
        <f>+AF193/$BK193</f>
        <v>1.7178682484736512E-2</v>
      </c>
      <c r="CH193" s="1422">
        <f>+AL193/$BK193</f>
        <v>0.16548865311322461</v>
      </c>
      <c r="CI193" s="1422">
        <f>+AR193/$BK193</f>
        <v>0</v>
      </c>
      <c r="CJ193" s="1422"/>
    </row>
    <row r="194" spans="1:88">
      <c r="A194" s="467" t="str">
        <f>$A$12</f>
        <v>2Q</v>
      </c>
      <c r="B194" s="467" t="str">
        <f>$B$12</f>
        <v>Jul</v>
      </c>
      <c r="C194" s="1720"/>
      <c r="D194" s="1616">
        <v>5098.9979999999996</v>
      </c>
      <c r="E194" s="1608">
        <f>+(D194/D187-1)*100</f>
        <v>6.099087306120432</v>
      </c>
      <c r="F194" s="1639">
        <v>4</v>
      </c>
      <c r="G194" s="1617">
        <v>742.28899999999999</v>
      </c>
      <c r="H194" s="1662"/>
      <c r="I194" s="1662">
        <f>+G194/D194*100</f>
        <v>14.557546404215104</v>
      </c>
      <c r="J194" s="1765">
        <f>I194-I187</f>
        <v>-0.33141364745490343</v>
      </c>
      <c r="K194" s="1610"/>
      <c r="L194" s="1608"/>
      <c r="M194" s="1609"/>
      <c r="N194" s="1499"/>
      <c r="O194" s="1662"/>
      <c r="P194" s="1609"/>
      <c r="Q194" s="1610"/>
      <c r="R194" s="1608"/>
      <c r="S194" s="1609"/>
      <c r="T194" s="1499"/>
      <c r="U194" s="1662"/>
      <c r="V194" s="1609"/>
      <c r="W194" s="1616">
        <v>756.78099999999995</v>
      </c>
      <c r="X194" s="1608">
        <f>+(W194/W187-1)*100</f>
        <v>8.2125182491667115</v>
      </c>
      <c r="Y194" s="1639">
        <v>9</v>
      </c>
      <c r="Z194" s="1617">
        <v>121.979</v>
      </c>
      <c r="AA194" s="1662">
        <f>+Z194/W194*100</f>
        <v>16.118137215389922</v>
      </c>
      <c r="AB194" s="1765">
        <f>AA194-AA187</f>
        <v>-0.9951127163320983</v>
      </c>
      <c r="AC194" s="1617">
        <v>1039.6110000000001</v>
      </c>
      <c r="AD194" s="1608">
        <f>+(AC194/AC187-1)*100</f>
        <v>7.9416647717892808</v>
      </c>
      <c r="AE194" s="1639">
        <v>2</v>
      </c>
      <c r="AF194" s="1617">
        <v>42.878999999999998</v>
      </c>
      <c r="AG194" s="1662">
        <f>+AF194/AC194*100</f>
        <v>4.124523499655159</v>
      </c>
      <c r="AH194" s="1765">
        <f>AG194-AG187</f>
        <v>-1.1576678715404203</v>
      </c>
      <c r="AI194" s="1617">
        <v>986.66300000000001</v>
      </c>
      <c r="AJ194" s="1608">
        <f>+(AI194/AI187-1)*100</f>
        <v>10.195135462341032</v>
      </c>
      <c r="AK194" s="1639">
        <v>5</v>
      </c>
      <c r="AL194" s="1617">
        <v>128.047</v>
      </c>
      <c r="AM194" s="1618">
        <f>+AL194/AI194*100</f>
        <v>12.977784714740492</v>
      </c>
      <c r="AN194" s="1609">
        <f>AM194-AM187</f>
        <v>0.45402380035572953</v>
      </c>
      <c r="AO194" s="1715"/>
      <c r="AP194" s="1608"/>
      <c r="AQ194" s="1609"/>
      <c r="AR194" s="1621"/>
      <c r="AS194" s="1657"/>
      <c r="AT194" s="1609"/>
      <c r="AU194" s="1609"/>
      <c r="AV194" s="1683"/>
      <c r="AW194" s="1676"/>
      <c r="AX194" s="1677"/>
      <c r="AY194" s="1684"/>
      <c r="AZ194" s="1679"/>
      <c r="BA194" s="1609"/>
      <c r="BB194" s="1716">
        <f>'qtrP&amp;L'!DF11</f>
        <v>7882.0529999999999</v>
      </c>
      <c r="BC194" s="1611">
        <f>'qtrP&amp;L'!DH11</f>
        <v>4</v>
      </c>
      <c r="BD194" s="1955">
        <f>+D194+W194+AC194+AI194</f>
        <v>7882.0529999999999</v>
      </c>
      <c r="BE194" s="1638" t="str">
        <f>IF(ROUND(BB194,2)=ROUND(BD194,2),"y","n")</f>
        <v>y</v>
      </c>
      <c r="BF194" s="1613">
        <f>+(BD194/BD187-1)*100</f>
        <v>7.0388502784797691</v>
      </c>
      <c r="BG194" s="1611">
        <f>qtrSales!F195</f>
        <v>4</v>
      </c>
      <c r="BH194" s="1621">
        <f>'qtrP&amp;L'!DF62</f>
        <v>925.8439999999996</v>
      </c>
      <c r="BI194" s="1620">
        <f>+BH194/BB194*100</f>
        <v>11.74622905986549</v>
      </c>
      <c r="BJ194" s="1617">
        <v>109.35</v>
      </c>
      <c r="BK194" s="1621">
        <f>+G194+Z194+AF194+AL194-BJ194</f>
        <v>925.84399999999994</v>
      </c>
      <c r="BL194" s="1638" t="str">
        <f>IF(ROUND(BH194,0)=ROUND(BK194,0),"y","n")</f>
        <v>y</v>
      </c>
      <c r="BM194" s="1618">
        <f>+BK194/BD194*100</f>
        <v>11.746229059865493</v>
      </c>
      <c r="BN194" s="1724">
        <f>BH194-BK194</f>
        <v>0</v>
      </c>
      <c r="BO194" s="1655"/>
      <c r="BP194" s="1608"/>
      <c r="BQ194" s="1609"/>
      <c r="BR194" s="1614"/>
      <c r="BS194" s="1662"/>
      <c r="BT194" s="1499"/>
      <c r="BU194" s="1422">
        <f>+D194/$BD194</f>
        <v>0.64691242243613434</v>
      </c>
      <c r="BV194" s="1628"/>
      <c r="BW194" s="1628"/>
      <c r="BX194" s="1422">
        <f>+W194/$BD194</f>
        <v>9.6013183367328281E-2</v>
      </c>
      <c r="BY194" s="1422">
        <f>+AC194/BD194</f>
        <v>0.13189596669801637</v>
      </c>
      <c r="BZ194" s="1422">
        <f>+AI194/BD194</f>
        <v>0.12517842749852101</v>
      </c>
      <c r="CA194" s="1422"/>
      <c r="CB194" s="467"/>
      <c r="CC194" s="1422">
        <f>+G194/$BK194</f>
        <v>0.80174305822579184</v>
      </c>
      <c r="CD194" s="1628"/>
      <c r="CE194" s="1628"/>
      <c r="CF194" s="1422">
        <f>+Z194/$BK194</f>
        <v>0.13174897714949821</v>
      </c>
      <c r="CG194" s="1422">
        <f>+AF194/$BK194</f>
        <v>4.6313417811207937E-2</v>
      </c>
      <c r="CH194" s="1422">
        <f>+AL194/$BK194</f>
        <v>0.13830299704917892</v>
      </c>
      <c r="CI194" s="1422">
        <f>+AR194/$BK194</f>
        <v>0</v>
      </c>
      <c r="CJ194" s="1422"/>
    </row>
    <row r="195" spans="1:88">
      <c r="A195" s="467" t="str">
        <f>$A$13</f>
        <v>3Q</v>
      </c>
      <c r="B195" s="467" t="str">
        <f>$B$13</f>
        <v>Oct</v>
      </c>
      <c r="C195" s="1721"/>
      <c r="D195" s="1616">
        <v>5252.8149999999996</v>
      </c>
      <c r="E195" s="1608">
        <f>+(D195/D188-1)*100</f>
        <v>6.6235164184279105</v>
      </c>
      <c r="F195" s="1639">
        <v>5</v>
      </c>
      <c r="G195" s="1617">
        <v>703.09199999999998</v>
      </c>
      <c r="H195" s="1662"/>
      <c r="I195" s="1662">
        <f>+G195/D195*100</f>
        <v>13.385051634218986</v>
      </c>
      <c r="J195" s="1765">
        <f>I195-I188</f>
        <v>-0.3841970444086904</v>
      </c>
      <c r="K195" s="1610"/>
      <c r="L195" s="1608"/>
      <c r="M195" s="1609"/>
      <c r="N195" s="1499"/>
      <c r="O195" s="1662"/>
      <c r="P195" s="1609"/>
      <c r="Q195" s="1610"/>
      <c r="R195" s="1608"/>
      <c r="S195" s="1609"/>
      <c r="T195" s="1499"/>
      <c r="U195" s="1662"/>
      <c r="V195" s="1609"/>
      <c r="W195" s="1616">
        <v>855.47299999999996</v>
      </c>
      <c r="X195" s="1608">
        <f>+(W195/W188-1)*100</f>
        <v>13.513660549606566</v>
      </c>
      <c r="Y195" s="1639">
        <v>8</v>
      </c>
      <c r="Z195" s="1617">
        <v>142.49100000000001</v>
      </c>
      <c r="AA195" s="1662">
        <f>+Z195/W195*100</f>
        <v>16.656399442179943</v>
      </c>
      <c r="AB195" s="1765">
        <f>AA195-AA188</f>
        <v>1.6421351480302953</v>
      </c>
      <c r="AC195" s="1617">
        <v>1105.027</v>
      </c>
      <c r="AD195" s="1608">
        <f>+(AC195/AC188-1)*100</f>
        <v>-0.76218170584293476</v>
      </c>
      <c r="AE195" s="1639">
        <v>0</v>
      </c>
      <c r="AF195" s="1617">
        <v>87.820999999999998</v>
      </c>
      <c r="AG195" s="1662">
        <f>+AF195/AC195*100</f>
        <v>7.9474076199043093</v>
      </c>
      <c r="AH195" s="1765">
        <f>AG195-AG188</f>
        <v>-2.4063014488635748</v>
      </c>
      <c r="AI195" s="1617">
        <v>1078.373</v>
      </c>
      <c r="AJ195" s="1608">
        <f>+(AI195/AI188-1)*100</f>
        <v>12.348777509678666</v>
      </c>
      <c r="AK195" s="1639">
        <v>6</v>
      </c>
      <c r="AL195" s="1617">
        <v>149.739</v>
      </c>
      <c r="AM195" s="1618">
        <f>+AL195/AI195*100</f>
        <v>13.885640682769321</v>
      </c>
      <c r="AN195" s="1609">
        <f>AM195-AM188</f>
        <v>-0.13226222645342744</v>
      </c>
      <c r="AO195" s="1715"/>
      <c r="AP195" s="1608"/>
      <c r="AQ195" s="1609"/>
      <c r="AR195" s="1621"/>
      <c r="AS195" s="1657"/>
      <c r="AT195" s="1609"/>
      <c r="AU195" s="1609"/>
      <c r="AV195" s="1683"/>
      <c r="AW195" s="1676"/>
      <c r="AX195" s="1677"/>
      <c r="AY195" s="1684"/>
      <c r="AZ195" s="1679"/>
      <c r="BA195" s="1609"/>
      <c r="BB195" s="1716">
        <f>'qtrP&amp;L'!DF12</f>
        <v>8291.6880000000001</v>
      </c>
      <c r="BC195" s="1611">
        <f>'qtrP&amp;L'!DH12</f>
        <v>5</v>
      </c>
      <c r="BD195" s="1955">
        <f>+D195+W195+AC195+AI195</f>
        <v>8291.6880000000001</v>
      </c>
      <c r="BE195" s="1638" t="str">
        <f>IF(ROUND(BB195,1)=ROUND(BD195,1),"y","n")</f>
        <v>y</v>
      </c>
      <c r="BF195" s="1613">
        <f>+(BD195/BD188-1)*100</f>
        <v>6.9412955060911274</v>
      </c>
      <c r="BG195" s="1611">
        <f>qtrSales!F196</f>
        <v>5</v>
      </c>
      <c r="BH195" s="1621">
        <f>'qtrP&amp;L'!DF63</f>
        <v>985.24100000000044</v>
      </c>
      <c r="BI195" s="1620">
        <f>+BH195/BB195*100</f>
        <v>11.882272946111822</v>
      </c>
      <c r="BJ195" s="1617">
        <v>97.902000000000001</v>
      </c>
      <c r="BK195" s="1621">
        <f>+G195+Z195+AF195+AL195-BJ195</f>
        <v>985.24099999999999</v>
      </c>
      <c r="BL195" s="1638" t="str">
        <f>IF(ROUND(BH195,0)=ROUND(BK195,0),"y","n")</f>
        <v>y</v>
      </c>
      <c r="BM195" s="1618">
        <f>+BK195/BD195*100</f>
        <v>11.882272946111817</v>
      </c>
      <c r="BN195" s="1724">
        <f>BH195-BK195</f>
        <v>0</v>
      </c>
      <c r="BO195" s="1655"/>
      <c r="BP195" s="1608"/>
      <c r="BQ195" s="1609"/>
      <c r="BR195" s="1614"/>
      <c r="BS195" s="1662"/>
      <c r="BT195" s="1499"/>
      <c r="BU195" s="1422">
        <f>+D195/$BD195</f>
        <v>0.63350369671410689</v>
      </c>
      <c r="BV195" s="1628"/>
      <c r="BW195" s="1628"/>
      <c r="BX195" s="1422">
        <f>+W195/$BD195</f>
        <v>0.10317235766709987</v>
      </c>
      <c r="BY195" s="1422">
        <f>+AC195/BD195</f>
        <v>0.13326924505601273</v>
      </c>
      <c r="BZ195" s="1422">
        <f>+AI195/BD195</f>
        <v>0.13005470056278046</v>
      </c>
      <c r="CA195" s="1422"/>
      <c r="CB195" s="467"/>
      <c r="CC195" s="1422">
        <f>+G195/$BK195</f>
        <v>0.71362438225774205</v>
      </c>
      <c r="CD195" s="1628"/>
      <c r="CE195" s="1628"/>
      <c r="CF195" s="1422">
        <f>+Z195/$BK195</f>
        <v>0.14462552817026494</v>
      </c>
      <c r="CG195" s="1422">
        <f>+AF195/$BK195</f>
        <v>8.9136566586246413E-2</v>
      </c>
      <c r="CH195" s="1422">
        <f>+AL195/$BK195</f>
        <v>0.15198210387103259</v>
      </c>
      <c r="CI195" s="1422">
        <f>+AR195/$BK195</f>
        <v>0</v>
      </c>
      <c r="CJ195" s="1422"/>
    </row>
    <row r="196" spans="1:88">
      <c r="A196" s="467" t="str">
        <f>$A$14</f>
        <v>4Q</v>
      </c>
      <c r="B196" s="467" t="str">
        <f>$B$14</f>
        <v>Jan</v>
      </c>
      <c r="C196" s="1720"/>
      <c r="D196" s="1922">
        <v>6028.8459999999995</v>
      </c>
      <c r="E196" s="1608">
        <f>+(D196/D189-1)*100</f>
        <v>5.3915380792377787</v>
      </c>
      <c r="F196" s="1951">
        <v>3</v>
      </c>
      <c r="G196" s="1624">
        <v>840.80700000000002</v>
      </c>
      <c r="H196" s="1662"/>
      <c r="I196" s="1662">
        <f>+G196/D196*100</f>
        <v>13.946400355889004</v>
      </c>
      <c r="J196" s="1765">
        <f>I196-I189</f>
        <v>-0.25862315022338933</v>
      </c>
      <c r="K196" s="1610"/>
      <c r="L196" s="1608"/>
      <c r="M196" s="1609"/>
      <c r="N196" s="1499"/>
      <c r="O196" s="1662"/>
      <c r="P196" s="1609"/>
      <c r="Q196" s="1610"/>
      <c r="R196" s="1608"/>
      <c r="S196" s="1609"/>
      <c r="T196" s="1499"/>
      <c r="U196" s="1662"/>
      <c r="V196" s="1609"/>
      <c r="W196" s="1922">
        <v>873.29600000000005</v>
      </c>
      <c r="X196" s="1608">
        <f>+(W196/W189-1)*100</f>
        <v>11.756425416033212</v>
      </c>
      <c r="Y196" s="1951">
        <v>4</v>
      </c>
      <c r="Z196" s="1923">
        <v>91.474999999999994</v>
      </c>
      <c r="AA196" s="1662">
        <f>+Z196/W196*100</f>
        <v>10.474684413990214</v>
      </c>
      <c r="AB196" s="1765">
        <f>AA196-AA189</f>
        <v>-1.9770065927308149</v>
      </c>
      <c r="AC196" s="1923">
        <v>1236.3699999999999</v>
      </c>
      <c r="AD196" s="1608">
        <f>+(AC196/AC189-1)*100</f>
        <v>-3.4398249316236806</v>
      </c>
      <c r="AE196" s="1951">
        <v>2</v>
      </c>
      <c r="AF196" s="1923">
        <v>90.471999999999994</v>
      </c>
      <c r="AG196" s="1662">
        <f>+AF196/AC196*100</f>
        <v>7.3175505714308819</v>
      </c>
      <c r="AH196" s="1765">
        <f>AG196-AG189</f>
        <v>-2.3996190315256616</v>
      </c>
      <c r="AI196" s="1923">
        <v>1329.135</v>
      </c>
      <c r="AJ196" s="1608">
        <f>+(AI196/AI189-1)*100</f>
        <v>12.65708090991231</v>
      </c>
      <c r="AK196" s="1951">
        <v>5</v>
      </c>
      <c r="AL196" s="1923">
        <v>197.78200000000001</v>
      </c>
      <c r="AM196" s="1618">
        <f>+AL196/AI196*100</f>
        <v>14.880504990087539</v>
      </c>
      <c r="AN196" s="1609">
        <f>AM196-AM189</f>
        <v>0.68050499008753995</v>
      </c>
      <c r="AO196" s="1717"/>
      <c r="AP196" s="1608"/>
      <c r="AQ196" s="1609"/>
      <c r="AR196" s="1625"/>
      <c r="AS196" s="1657"/>
      <c r="AT196" s="1609"/>
      <c r="AU196" s="1609"/>
      <c r="AV196" s="1686"/>
      <c r="AW196" s="1676"/>
      <c r="AX196" s="1677"/>
      <c r="AY196" s="1687"/>
      <c r="AZ196" s="1679"/>
      <c r="BA196" s="1609"/>
      <c r="BB196" s="1718">
        <f>'qtrP&amp;L'!DF13</f>
        <v>9467.6470000000008</v>
      </c>
      <c r="BC196" s="1611">
        <f>'qtrP&amp;L'!DH13</f>
        <v>3</v>
      </c>
      <c r="BD196" s="1956">
        <f>+D196+W196+AC196+AI196</f>
        <v>9467.646999999999</v>
      </c>
      <c r="BE196" s="1638" t="str">
        <f>IF(ROUND(BB196,1)=ROUND(BD196,1),"y","n")</f>
        <v>y</v>
      </c>
      <c r="BF196" s="1613">
        <f>+(BD196/BD189-1)*100</f>
        <v>5.6412382177118525</v>
      </c>
      <c r="BG196" s="1611">
        <f>qtrSales!F197</f>
        <v>3</v>
      </c>
      <c r="BH196" s="1625">
        <f>'qtrP&amp;L'!DF64</f>
        <v>1103.2750000000008</v>
      </c>
      <c r="BI196" s="1643">
        <f>+BH196/BB196*100</f>
        <v>11.653106627232729</v>
      </c>
      <c r="BJ196" s="1624">
        <v>117.2</v>
      </c>
      <c r="BK196" s="1625">
        <f>+G196+Z196+AF196+AL196-BJ196</f>
        <v>1103.336</v>
      </c>
      <c r="BL196" s="1638" t="str">
        <f>IF(ROUND(BH196,0)=ROUND(BK196,0),"y","n")</f>
        <v>y</v>
      </c>
      <c r="BM196" s="1618">
        <f>+BK196/BD196*100</f>
        <v>11.653750926708613</v>
      </c>
      <c r="BN196" s="1724">
        <f>BH196-BK196</f>
        <v>-6.0999999999239662E-2</v>
      </c>
      <c r="BO196" s="1655"/>
      <c r="BP196" s="1608"/>
      <c r="BQ196" s="1609"/>
      <c r="BR196" s="1614"/>
      <c r="BS196" s="1662"/>
      <c r="BT196" s="1499"/>
      <c r="BU196" s="1422">
        <f>+D196/$BD196</f>
        <v>0.6367839865597017</v>
      </c>
      <c r="BV196" s="1628"/>
      <c r="BW196" s="1628"/>
      <c r="BX196" s="1422">
        <f>+W196/$BD196</f>
        <v>9.2240025425536054E-2</v>
      </c>
      <c r="BY196" s="1422">
        <f>+AC196/BD196</f>
        <v>0.13058894147616615</v>
      </c>
      <c r="BZ196" s="1422">
        <f>+AI196/BD196</f>
        <v>0.14038704653859613</v>
      </c>
      <c r="CA196" s="1422"/>
      <c r="CB196" s="467"/>
      <c r="CC196" s="1422">
        <f>+G196/$BK196</f>
        <v>0.76205888324136983</v>
      </c>
      <c r="CD196" s="1628"/>
      <c r="CE196" s="1628"/>
      <c r="CF196" s="1422">
        <f>+Z196/$BK196</f>
        <v>8.2907654603855935E-2</v>
      </c>
      <c r="CG196" s="1422">
        <f>+AF196/$BK196</f>
        <v>8.1998593356874053E-2</v>
      </c>
      <c r="CH196" s="1422">
        <f>+AL196/$BK196</f>
        <v>0.17925817701951174</v>
      </c>
      <c r="CI196" s="1422">
        <f>+AR196/$BK196</f>
        <v>0</v>
      </c>
      <c r="CJ196" s="1422"/>
    </row>
    <row r="197" spans="1:88">
      <c r="A197" s="1499"/>
      <c r="B197" s="1499" t="str">
        <f>$B$15</f>
        <v>Year</v>
      </c>
      <c r="C197" s="1667"/>
      <c r="D197" s="1654">
        <f>+SUM(D193:D196)</f>
        <v>21246.034</v>
      </c>
      <c r="E197" s="1608">
        <f>+(D197/D190-1)*100</f>
        <v>6.505876437038749</v>
      </c>
      <c r="F197" s="1924">
        <v>5</v>
      </c>
      <c r="G197" s="1614">
        <f>+SUM(G193:G196)</f>
        <v>2995.0450000000001</v>
      </c>
      <c r="H197" s="1662"/>
      <c r="I197" s="1662">
        <f>+G197/D197*100</f>
        <v>14.096960402115521</v>
      </c>
      <c r="J197" s="1765">
        <f>I197-I190</f>
        <v>-0.2340375356961939</v>
      </c>
      <c r="K197" s="1610"/>
      <c r="L197" s="1608"/>
      <c r="M197" s="1609"/>
      <c r="N197" s="1499"/>
      <c r="O197" s="1662"/>
      <c r="P197" s="1609"/>
      <c r="Q197" s="1610"/>
      <c r="R197" s="1608"/>
      <c r="S197" s="1609"/>
      <c r="T197" s="1499"/>
      <c r="U197" s="1662"/>
      <c r="V197" s="1609"/>
      <c r="W197" s="1654">
        <f>+SUM(W193:W196)</f>
        <v>3171.1270000000004</v>
      </c>
      <c r="X197" s="1608">
        <f>+(W197/W190-1)*100</f>
        <v>11.087652038784924</v>
      </c>
      <c r="Y197" s="1924">
        <v>8</v>
      </c>
      <c r="Z197" s="1614">
        <f>+SUM(Z193:Z196)</f>
        <v>413.41700000000003</v>
      </c>
      <c r="AA197" s="1662">
        <f>+Z197/W197*100</f>
        <v>13.036910852198602</v>
      </c>
      <c r="AB197" s="1765">
        <f>AA197-AA190</f>
        <v>-0.11042204745133333</v>
      </c>
      <c r="AC197" s="1655">
        <f>+SUM(AC193:AC196)</f>
        <v>4361.9760000000006</v>
      </c>
      <c r="AD197" s="1608">
        <f>+(AC197/AC190-1)*100</f>
        <v>3.1962871844032348</v>
      </c>
      <c r="AE197" s="1924">
        <v>2</v>
      </c>
      <c r="AF197" s="1614">
        <f>+SUM(AF193:AF196)</f>
        <v>235.51900000000001</v>
      </c>
      <c r="AG197" s="1662">
        <f>+AF197/AC197*100</f>
        <v>5.3993648750016039</v>
      </c>
      <c r="AH197" s="1765">
        <f>AG197-AG190</f>
        <v>-2.098825867895096</v>
      </c>
      <c r="AI197" s="1655">
        <f>+SUM(AI193:AI196)</f>
        <v>4404.607</v>
      </c>
      <c r="AJ197" s="1608">
        <f>+(AI197/AI190-1)*100</f>
        <v>12.499575375183159</v>
      </c>
      <c r="AK197" s="1924">
        <v>6</v>
      </c>
      <c r="AL197" s="1614">
        <f>+SUM(AL193:AL196)</f>
        <v>613.77800000000002</v>
      </c>
      <c r="AM197" s="1618">
        <f>+AL197/AI197*100</f>
        <v>13.934909516331423</v>
      </c>
      <c r="AN197" s="1609">
        <f>AM197-AM190</f>
        <v>-9.5409589537695183E-2</v>
      </c>
      <c r="AO197" s="1654"/>
      <c r="AP197" s="1608"/>
      <c r="AQ197" s="1609"/>
      <c r="AR197" s="1614"/>
      <c r="AS197" s="1618"/>
      <c r="AT197" s="1609"/>
      <c r="AU197" s="1609"/>
      <c r="AV197" s="1688"/>
      <c r="AW197" s="1676"/>
      <c r="AX197" s="1677"/>
      <c r="AY197" s="1678"/>
      <c r="AZ197" s="1679"/>
      <c r="BA197" s="1609"/>
      <c r="BB197" s="1719">
        <f>'qtrP&amp;L'!DF14</f>
        <v>33183.744000000006</v>
      </c>
      <c r="BC197" s="1611">
        <f>'qtrP&amp;L'!DD21</f>
        <v>40.232320324311033</v>
      </c>
      <c r="BD197" s="1614">
        <f>+D197+W197+AC197+AI197+AO197</f>
        <v>33183.744000000006</v>
      </c>
      <c r="BE197" s="1638" t="str">
        <f>IF(ROUND(BB197,2)=ROUND(BD197,2),"y","n")</f>
        <v>y</v>
      </c>
      <c r="BF197" s="1608">
        <f>+(BD197/BD190-1)*100</f>
        <v>7.2348052531241436</v>
      </c>
      <c r="BG197" s="1611">
        <f>qtrSales!F198</f>
        <v>5.0250743255492809</v>
      </c>
      <c r="BH197" s="1614">
        <f>'qtrP&amp;L'!DF65</f>
        <v>3849.5230000000001</v>
      </c>
      <c r="BI197" s="1662">
        <f>+BH197/BB197*100</f>
        <v>11.600628910348391</v>
      </c>
      <c r="BJ197" s="1621">
        <f>SUM(BJ193:BJ196)</f>
        <v>408.17499999999995</v>
      </c>
      <c r="BK197" s="1614">
        <f>+G197+Z197+AF197+AL197-BJ197</f>
        <v>3849.5839999999998</v>
      </c>
      <c r="BL197" s="1638" t="str">
        <f>IF(ROUND(BH197,0)=ROUND(BK197,0),"y","n")</f>
        <v>y</v>
      </c>
      <c r="BM197" s="1618">
        <f>+BK197/BD197*100</f>
        <v>11.60081273529593</v>
      </c>
      <c r="BN197" s="1724"/>
      <c r="BO197" s="1655"/>
      <c r="BP197" s="1608"/>
      <c r="BQ197" s="1609"/>
      <c r="BR197" s="1614"/>
      <c r="BS197" s="1662"/>
      <c r="BT197" s="1499"/>
      <c r="BU197" s="1460">
        <f>+D197/$BD197</f>
        <v>0.64025427631071397</v>
      </c>
      <c r="BV197" s="1664"/>
      <c r="BW197" s="1664"/>
      <c r="BX197" s="1460">
        <f>+W197/$BD197</f>
        <v>9.5562664658936605E-2</v>
      </c>
      <c r="BY197" s="1460">
        <f>+AC197/BD197</f>
        <v>0.13144918186446952</v>
      </c>
      <c r="BZ197" s="1460">
        <f>+AI197/BD197</f>
        <v>0.13273387716587975</v>
      </c>
      <c r="CA197" s="1460"/>
      <c r="CB197" s="1499"/>
      <c r="CC197" s="1460">
        <f>+G197/$BK197</f>
        <v>0.77801783257619528</v>
      </c>
      <c r="CD197" s="1664"/>
      <c r="CE197" s="1664"/>
      <c r="CF197" s="1460">
        <f>+Z197/$BK197</f>
        <v>0.10739264294531566</v>
      </c>
      <c r="CG197" s="1460">
        <f>+AF197/$BK197</f>
        <v>6.1180376892672042E-2</v>
      </c>
      <c r="CH197" s="1460">
        <f>+AL197/$BK197</f>
        <v>0.15944008495463408</v>
      </c>
      <c r="CI197" s="1460">
        <f>+AR197/$BK197</f>
        <v>0</v>
      </c>
      <c r="CJ197" s="1460"/>
    </row>
    <row r="198" spans="1:88">
      <c r="A198" s="467"/>
      <c r="B198" s="467"/>
      <c r="C198" s="467"/>
      <c r="D198" s="1917"/>
      <c r="E198" s="1088"/>
      <c r="F198" s="1733"/>
      <c r="G198" s="1499"/>
      <c r="H198" s="1088"/>
      <c r="I198" s="1772"/>
      <c r="J198" s="1764"/>
      <c r="K198" s="1605"/>
      <c r="L198" s="1605"/>
      <c r="M198" s="1605"/>
      <c r="N198" s="467"/>
      <c r="O198" s="467"/>
      <c r="P198" s="1605"/>
      <c r="Q198" s="1605"/>
      <c r="R198" s="1605"/>
      <c r="S198" s="1605"/>
      <c r="T198" s="467"/>
      <c r="U198" s="467"/>
      <c r="V198" s="1605"/>
      <c r="W198" s="1727"/>
      <c r="X198" s="1088"/>
      <c r="Y198" s="1733"/>
      <c r="Z198" s="1499"/>
      <c r="AA198" s="746"/>
      <c r="AB198" s="1764"/>
      <c r="AC198" s="1727"/>
      <c r="AD198" s="1088"/>
      <c r="AE198" s="1733"/>
      <c r="AF198" s="1728"/>
      <c r="AG198" s="1729"/>
      <c r="AH198" s="1764"/>
      <c r="AI198" s="1727"/>
      <c r="AJ198" s="1088"/>
      <c r="AK198" s="1733"/>
      <c r="AM198" s="1918"/>
      <c r="AN198" s="702"/>
      <c r="AO198" s="800"/>
      <c r="AP198" s="1088"/>
      <c r="AQ198" s="1088"/>
      <c r="AR198" s="1499"/>
      <c r="AS198" s="1499"/>
      <c r="AT198" s="702"/>
      <c r="AU198" s="702"/>
      <c r="AV198" s="1730"/>
      <c r="AW198" s="1707"/>
      <c r="AX198" s="1707"/>
      <c r="AY198" s="1708"/>
      <c r="AZ198" s="1708"/>
      <c r="BA198" s="487"/>
      <c r="BC198" s="693"/>
      <c r="BE198" s="1710"/>
      <c r="BF198" s="487"/>
      <c r="BG198" s="487"/>
      <c r="BH198" s="693"/>
      <c r="BI198" s="693"/>
      <c r="BL198" s="1710"/>
      <c r="BM198" s="1604"/>
      <c r="BN198" s="467"/>
      <c r="BO198" s="800"/>
      <c r="BP198" s="1088"/>
      <c r="BQ198" s="1088"/>
      <c r="BR198" s="1499"/>
      <c r="BS198" s="467"/>
      <c r="BT198" s="467"/>
      <c r="BU198" s="467"/>
      <c r="BV198" s="467"/>
      <c r="BW198" s="467"/>
      <c r="BX198" s="467"/>
      <c r="BY198" s="467"/>
      <c r="BZ198" s="467"/>
      <c r="CA198" s="467"/>
      <c r="CB198" s="467"/>
      <c r="CC198" s="467"/>
      <c r="CD198" s="467"/>
      <c r="CE198" s="467"/>
      <c r="CF198" s="467"/>
      <c r="CG198" s="467"/>
      <c r="CH198" s="467"/>
      <c r="CI198" s="467"/>
      <c r="CJ198" s="467"/>
    </row>
    <row r="199" spans="1:88">
      <c r="A199" s="2115">
        <f>+A192+1</f>
        <v>2017</v>
      </c>
      <c r="B199" s="2115"/>
      <c r="C199" s="1667"/>
      <c r="D199" s="1654"/>
      <c r="E199" s="1608"/>
      <c r="F199" s="1609"/>
      <c r="G199" s="1614"/>
      <c r="H199" s="1662"/>
      <c r="I199" s="1771"/>
      <c r="J199" s="1765"/>
      <c r="K199" s="1610"/>
      <c r="L199" s="1608"/>
      <c r="M199" s="1609"/>
      <c r="N199" s="1499"/>
      <c r="O199" s="1662"/>
      <c r="P199" s="1609"/>
      <c r="Q199" s="1610"/>
      <c r="R199" s="1608"/>
      <c r="S199" s="1609"/>
      <c r="T199" s="1499"/>
      <c r="U199" s="1662"/>
      <c r="V199" s="1609"/>
      <c r="W199" s="1691"/>
      <c r="X199" s="1608"/>
      <c r="Y199" s="1609"/>
      <c r="Z199" s="1614"/>
      <c r="AA199" s="1769"/>
      <c r="AB199" s="1765"/>
      <c r="AC199" s="1614"/>
      <c r="AD199" s="1608"/>
      <c r="AE199" s="1609"/>
      <c r="AF199" s="1692"/>
      <c r="AG199" s="1662"/>
      <c r="AH199" s="1765"/>
      <c r="AI199" s="1614"/>
      <c r="AJ199" s="1608"/>
      <c r="AK199" s="1609"/>
      <c r="AL199" s="1614"/>
      <c r="AM199" s="1618"/>
      <c r="AN199" s="1609"/>
      <c r="AO199" s="1644"/>
      <c r="AP199" s="1608"/>
      <c r="AQ199" s="1609"/>
      <c r="AR199" s="1614"/>
      <c r="AS199" s="1618"/>
      <c r="AT199" s="1609"/>
      <c r="AU199" s="1609"/>
      <c r="AV199" s="1674"/>
      <c r="AW199" s="1608"/>
      <c r="AX199" s="1609"/>
      <c r="AY199" s="1614"/>
      <c r="AZ199" s="1618"/>
      <c r="BA199" s="1609"/>
      <c r="BB199" s="1621"/>
      <c r="BC199" s="1609"/>
      <c r="BD199" s="1614"/>
      <c r="BE199" s="1663"/>
      <c r="BF199" s="1608"/>
      <c r="BG199" s="1609"/>
      <c r="BH199" s="1614"/>
      <c r="BI199" s="1662"/>
      <c r="BJ199" s="1621"/>
      <c r="BK199" s="1614"/>
      <c r="BL199" s="1663"/>
      <c r="BM199" s="1618"/>
      <c r="BN199" s="1499"/>
      <c r="BO199" s="1655"/>
      <c r="BP199" s="1608"/>
      <c r="BQ199" s="1609"/>
      <c r="BR199" s="1614"/>
      <c r="BS199" s="1662"/>
      <c r="BT199" s="1499"/>
      <c r="BU199" s="1460"/>
      <c r="BV199" s="1664"/>
      <c r="BW199" s="1664"/>
      <c r="BX199" s="1460"/>
      <c r="BY199" s="1460"/>
      <c r="BZ199" s="1460"/>
      <c r="CA199" s="1460"/>
      <c r="CB199" s="1499"/>
      <c r="CC199" s="1460"/>
      <c r="CD199" s="1664"/>
      <c r="CE199" s="1664"/>
      <c r="CF199" s="1460"/>
      <c r="CG199" s="1460"/>
      <c r="CH199" s="1460"/>
      <c r="CI199" s="1460"/>
      <c r="CJ199" s="1460"/>
    </row>
    <row r="200" spans="1:88">
      <c r="A200" s="467" t="str">
        <f>$A$11</f>
        <v>1Q</v>
      </c>
      <c r="B200" s="467" t="str">
        <f>$B$11</f>
        <v>Apr</v>
      </c>
      <c r="C200" s="1667"/>
      <c r="D200" s="1607">
        <v>4967.1350000000002</v>
      </c>
      <c r="E200" s="1608">
        <f>+(D200/D193-1)*100</f>
        <v>2.0915140148498379</v>
      </c>
      <c r="F200" s="1639">
        <v>0</v>
      </c>
      <c r="G200" s="1610">
        <v>687.16499999999996</v>
      </c>
      <c r="H200" s="1662"/>
      <c r="I200" s="1662">
        <f>+G200/D200*100</f>
        <v>13.834232409628486</v>
      </c>
      <c r="J200" s="1765">
        <f>I200-I193</f>
        <v>-0.73518926907048332</v>
      </c>
      <c r="K200" s="1610"/>
      <c r="L200" s="1608"/>
      <c r="M200" s="1609"/>
      <c r="N200" s="1499"/>
      <c r="O200" s="1662"/>
      <c r="P200" s="1609"/>
      <c r="Q200" s="1610"/>
      <c r="R200" s="1608"/>
      <c r="S200" s="1609"/>
      <c r="T200" s="1499"/>
      <c r="U200" s="1662"/>
      <c r="V200" s="1609"/>
      <c r="W200" s="1607">
        <v>738.77099999999996</v>
      </c>
      <c r="X200" s="1608">
        <f>+(W200/W193-1)*100</f>
        <v>7.759011752144529</v>
      </c>
      <c r="Y200" s="1924">
        <v>3</v>
      </c>
      <c r="Z200" s="1610">
        <v>102.88</v>
      </c>
      <c r="AA200" s="1662">
        <f>+Z200/W200*100</f>
        <v>13.925830873166381</v>
      </c>
      <c r="AB200" s="1765">
        <f>AA200-AA193</f>
        <v>5.5428191910358535</v>
      </c>
      <c r="AC200" s="1610">
        <v>956.84900000000005</v>
      </c>
      <c r="AD200" s="1608">
        <f>+(AC200/AC193-1)*100</f>
        <v>-2.4586938615734577</v>
      </c>
      <c r="AE200" s="1924">
        <v>0</v>
      </c>
      <c r="AF200" s="1610">
        <v>6.86</v>
      </c>
      <c r="AG200" s="1662">
        <f>+AF200/AC200*100</f>
        <v>0.71693652812512731</v>
      </c>
      <c r="AH200" s="1765">
        <f>AG200-AG193</f>
        <v>-0.74559843733755848</v>
      </c>
      <c r="AI200" s="1610">
        <v>1121.269</v>
      </c>
      <c r="AJ200" s="1608">
        <f>+(AI200/AI193-1)*100</f>
        <v>10.968829297451798</v>
      </c>
      <c r="AK200" s="1924">
        <v>3</v>
      </c>
      <c r="AL200" s="1610">
        <v>152.09200000000001</v>
      </c>
      <c r="AM200" s="1618">
        <f>+AL200/AI200*100</f>
        <v>13.564274050205615</v>
      </c>
      <c r="AN200" s="1609">
        <f>AM200-AM193</f>
        <v>-0.11397969372274908</v>
      </c>
      <c r="AO200" s="1607"/>
      <c r="AP200" s="1608"/>
      <c r="AQ200" s="1639"/>
      <c r="AR200" s="1610"/>
      <c r="AS200" s="1618"/>
      <c r="AT200" s="1609"/>
      <c r="AU200" s="1609"/>
      <c r="AV200" s="1675"/>
      <c r="AW200" s="1676"/>
      <c r="AX200" s="1677"/>
      <c r="AY200" s="1678"/>
      <c r="AZ200" s="1679"/>
      <c r="BA200" s="1609"/>
      <c r="BB200" s="1711">
        <f>'qtrP&amp;L'!DJ10</f>
        <v>7784.0240000000003</v>
      </c>
      <c r="BC200" s="1611">
        <f>'qtrP&amp;L'!DL10</f>
        <v>1</v>
      </c>
      <c r="BD200" s="1731">
        <f>+D200+W200+AC200+AI200</f>
        <v>7784.0240000000003</v>
      </c>
      <c r="BE200" s="1638" t="str">
        <f>IF(ROUND(BB200,2)=ROUND(BD200,2),"y","n")</f>
        <v>y</v>
      </c>
      <c r="BF200" s="1613">
        <f>+(BD200/BD193-1)*100</f>
        <v>3.2041446996137646</v>
      </c>
      <c r="BG200" s="1611">
        <f>qtrSales!F201</f>
        <v>1</v>
      </c>
      <c r="BH200" s="1731">
        <f>'qtrP&amp;L'!DJ61</f>
        <v>842.34900000000016</v>
      </c>
      <c r="BI200" s="1662">
        <f>+BH200/BB200*100</f>
        <v>10.821510827818621</v>
      </c>
      <c r="BJ200" s="1610">
        <v>106.648</v>
      </c>
      <c r="BK200" s="1614">
        <f>+G200+Z200+AF200+AL200-BJ200</f>
        <v>842.34899999999993</v>
      </c>
      <c r="BL200" s="1638" t="str">
        <f>IF(ROUND(BH200,0)=ROUND(BK200,0),"y","n")</f>
        <v>y</v>
      </c>
      <c r="BM200" s="1618">
        <f>+BK200/BD200*100</f>
        <v>10.821510827818617</v>
      </c>
      <c r="BN200" s="1724">
        <f>BH200-BK200</f>
        <v>0</v>
      </c>
      <c r="BO200" s="1655"/>
      <c r="BP200" s="1608"/>
      <c r="BQ200" s="1609"/>
      <c r="BR200" s="1614"/>
      <c r="BS200" s="1662"/>
      <c r="BT200" s="1499"/>
      <c r="BU200" s="1422">
        <f>+D200/$BD200</f>
        <v>0.63811917846090915</v>
      </c>
      <c r="BV200" s="1628"/>
      <c r="BW200" s="1628"/>
      <c r="BX200" s="1422">
        <f>+W200/$BD200</f>
        <v>9.4908623097770498E-2</v>
      </c>
      <c r="BY200" s="1422">
        <f>+AC200/BD200</f>
        <v>0.12292472376755262</v>
      </c>
      <c r="BZ200" s="1422">
        <f>+AI200/BD200</f>
        <v>0.14404747467376769</v>
      </c>
      <c r="CA200" s="1714"/>
      <c r="CB200" s="467"/>
      <c r="CC200" s="1422">
        <f>+G200/$BK200</f>
        <v>0.81577232239843578</v>
      </c>
      <c r="CD200" s="1628"/>
      <c r="CE200" s="1628"/>
      <c r="CF200" s="1422">
        <f>+Z200/$BK200</f>
        <v>0.12213464965234125</v>
      </c>
      <c r="CG200" s="1422">
        <f>+AF200/$BK200</f>
        <v>8.143892852012646E-3</v>
      </c>
      <c r="CH200" s="1422">
        <f>+AL200/$BK200</f>
        <v>0.18055699003619644</v>
      </c>
      <c r="CI200" s="1422">
        <f>+AR200/$BK200</f>
        <v>0</v>
      </c>
      <c r="CJ200" s="1422"/>
    </row>
    <row r="201" spans="1:88">
      <c r="A201" s="467" t="str">
        <f>$A$12</f>
        <v>2Q</v>
      </c>
      <c r="B201" s="467" t="str">
        <f>$B$12</f>
        <v>Jul</v>
      </c>
      <c r="C201" s="1720"/>
      <c r="D201" s="1616">
        <v>5284.6390000000001</v>
      </c>
      <c r="E201" s="1608">
        <f>+(D201/D194-1)*100</f>
        <v>3.6407349051715832</v>
      </c>
      <c r="F201" s="1639">
        <v>2</v>
      </c>
      <c r="G201" s="1617">
        <v>746.88099999999997</v>
      </c>
      <c r="H201" s="1662"/>
      <c r="I201" s="1662">
        <f>+G201/D201*100</f>
        <v>14.133056203082178</v>
      </c>
      <c r="J201" s="1765">
        <f>I201-I194</f>
        <v>-0.4244902011329259</v>
      </c>
      <c r="K201" s="1610"/>
      <c r="L201" s="1608"/>
      <c r="M201" s="1609"/>
      <c r="N201" s="1499"/>
      <c r="O201" s="1662"/>
      <c r="P201" s="1609"/>
      <c r="Q201" s="1610"/>
      <c r="R201" s="1608"/>
      <c r="S201" s="1609"/>
      <c r="T201" s="1499"/>
      <c r="U201" s="1662"/>
      <c r="V201" s="1609"/>
      <c r="W201" s="1616">
        <v>832.02599999999995</v>
      </c>
      <c r="X201" s="1608">
        <f>+(W201/W194-1)*100</f>
        <v>9.9427707619509587</v>
      </c>
      <c r="Y201" s="1924">
        <v>7</v>
      </c>
      <c r="Z201" s="1617">
        <v>83.228999999999999</v>
      </c>
      <c r="AA201" s="1662">
        <f>+Z201/W201*100</f>
        <v>10.003172977767521</v>
      </c>
      <c r="AB201" s="1765">
        <f>AA201-AA194</f>
        <v>-6.1149642376224005</v>
      </c>
      <c r="AC201" s="1617">
        <v>1084.6369999999999</v>
      </c>
      <c r="AD201" s="1608">
        <f>+(AC201/AC194-1)*100</f>
        <v>4.3310430536036781</v>
      </c>
      <c r="AE201" s="1924">
        <v>1</v>
      </c>
      <c r="AF201" s="1617">
        <v>38.966999999999999</v>
      </c>
      <c r="AG201" s="1662">
        <f>+AF201/AC201*100</f>
        <v>3.592630529845469</v>
      </c>
      <c r="AH201" s="1765">
        <f>AG201-AG194</f>
        <v>-0.53189296980968992</v>
      </c>
      <c r="AI201" s="1617">
        <v>1156.3979999999999</v>
      </c>
      <c r="AJ201" s="1608">
        <f>+(AI201/AI194-1)*100</f>
        <v>17.20293555144967</v>
      </c>
      <c r="AK201" s="1924">
        <v>7</v>
      </c>
      <c r="AL201" s="1617">
        <v>141.345</v>
      </c>
      <c r="AM201" s="1618">
        <f>+AL201/AI201*100</f>
        <v>12.22286790534055</v>
      </c>
      <c r="AN201" s="1609">
        <f>AM201-AM194</f>
        <v>-0.75491680939994232</v>
      </c>
      <c r="AO201" s="1715"/>
      <c r="AP201" s="1608"/>
      <c r="AQ201" s="1609"/>
      <c r="AR201" s="1621"/>
      <c r="AS201" s="1657"/>
      <c r="AT201" s="1609"/>
      <c r="AU201" s="1609"/>
      <c r="AV201" s="1683"/>
      <c r="AW201" s="1676"/>
      <c r="AX201" s="1677"/>
      <c r="AY201" s="1684"/>
      <c r="AZ201" s="1679"/>
      <c r="BA201" s="1609"/>
      <c r="BB201" s="1711">
        <f>'qtrP&amp;L'!DJ11</f>
        <v>8357.7000000000007</v>
      </c>
      <c r="BC201" s="1611">
        <f>'qtrP&amp;L'!DL11</f>
        <v>3</v>
      </c>
      <c r="BD201" s="1955">
        <f>+D201+W201+AC201+AI201</f>
        <v>8357.6999999999989</v>
      </c>
      <c r="BE201" s="1638" t="str">
        <f>IF(ROUND(BB201,2)=ROUND(BD201,2),"y","n")</f>
        <v>y</v>
      </c>
      <c r="BF201" s="1613">
        <f>+(BD201/BD194-1)*100</f>
        <v>6.0345572403534886</v>
      </c>
      <c r="BG201" s="1611">
        <f>qtrSales!F202</f>
        <v>3</v>
      </c>
      <c r="BH201" s="1712">
        <f>'qtrP&amp;L'!DJ62</f>
        <v>901.37700000000063</v>
      </c>
      <c r="BI201" s="1662">
        <f>+BH201/BB201*100</f>
        <v>10.784988693061495</v>
      </c>
      <c r="BJ201" s="1617">
        <v>109.045</v>
      </c>
      <c r="BK201" s="1621">
        <f>+G201+Z201+AF201+AL201-BJ201</f>
        <v>901.37700000000007</v>
      </c>
      <c r="BL201" s="1638" t="str">
        <f>IF(ROUND(BH201,0)=ROUND(BK201,0),"y","n")</f>
        <v>y</v>
      </c>
      <c r="BM201" s="1618">
        <f>+BK201/BD201*100</f>
        <v>10.784988693061491</v>
      </c>
      <c r="BN201" s="1724">
        <f>BH201-BK201</f>
        <v>0</v>
      </c>
      <c r="BO201" s="1655"/>
      <c r="BP201" s="1608"/>
      <c r="BQ201" s="1609"/>
      <c r="BR201" s="1614"/>
      <c r="BS201" s="1662"/>
      <c r="BT201" s="1499"/>
      <c r="BU201" s="1422">
        <f>+D201/$BD201</f>
        <v>0.63230781195783536</v>
      </c>
      <c r="BV201" s="1628"/>
      <c r="BW201" s="1628"/>
      <c r="BX201" s="1422">
        <f>+W201/$BD201</f>
        <v>9.9552029864675692E-2</v>
      </c>
      <c r="BY201" s="1422">
        <f>+AC201/BD201</f>
        <v>0.12977697213348172</v>
      </c>
      <c r="BZ201" s="1422">
        <f>+AI201/BD201</f>
        <v>0.13836318604400732</v>
      </c>
      <c r="CA201" s="1422"/>
      <c r="CB201" s="467"/>
      <c r="CC201" s="1422">
        <f>+G201/$BK201</f>
        <v>0.82860001974756392</v>
      </c>
      <c r="CD201" s="1628"/>
      <c r="CE201" s="1628"/>
      <c r="CF201" s="1422">
        <f>+Z201/$BK201</f>
        <v>9.2335393514589331E-2</v>
      </c>
      <c r="CG201" s="1422">
        <f>+AF201/$BK201</f>
        <v>4.3230523965000212E-2</v>
      </c>
      <c r="CH201" s="1422">
        <f>+AL201/$BK201</f>
        <v>0.15681008057671761</v>
      </c>
      <c r="CI201" s="1422">
        <f>+AR201/$BK201</f>
        <v>0</v>
      </c>
      <c r="CJ201" s="1422"/>
    </row>
    <row r="202" spans="1:88">
      <c r="A202" s="467" t="str">
        <f>$A$13</f>
        <v>3Q</v>
      </c>
      <c r="B202" s="467" t="str">
        <f>$B$13</f>
        <v>Oct</v>
      </c>
      <c r="C202" s="1721"/>
      <c r="D202" s="2086">
        <v>5298.4790000000003</v>
      </c>
      <c r="E202" s="1608">
        <f>+(D202/D195-1)*100</f>
        <v>0.86932435275182129</v>
      </c>
      <c r="F202" s="1924">
        <v>-1</v>
      </c>
      <c r="G202" s="2087">
        <v>666.09199999999998</v>
      </c>
      <c r="H202" s="1662"/>
      <c r="I202" s="1662">
        <f>+G202/D202*100</f>
        <v>12.571381334152687</v>
      </c>
      <c r="J202" s="1765">
        <f>I202-I195</f>
        <v>-0.81367030006629903</v>
      </c>
      <c r="K202" s="1610"/>
      <c r="L202" s="1608"/>
      <c r="M202" s="1609"/>
      <c r="N202" s="1499"/>
      <c r="O202" s="1662"/>
      <c r="P202" s="1609"/>
      <c r="Q202" s="1610"/>
      <c r="R202" s="1608"/>
      <c r="S202" s="1609"/>
      <c r="T202" s="1499"/>
      <c r="U202" s="1662"/>
      <c r="V202" s="1609"/>
      <c r="W202" s="2086">
        <v>983.23599999999999</v>
      </c>
      <c r="X202" s="1608">
        <f>+(W202/W195-1)*100</f>
        <v>14.934778771510038</v>
      </c>
      <c r="Y202" s="1924">
        <v>4</v>
      </c>
      <c r="Z202" s="2087">
        <v>206.47200000000001</v>
      </c>
      <c r="AA202" s="1662">
        <f>+Z202/W202*100</f>
        <v>20.999231110333636</v>
      </c>
      <c r="AB202" s="1765">
        <f>AA202-AA195</f>
        <v>4.3428316681536927</v>
      </c>
      <c r="AC202" s="2087">
        <v>1251.7370000000001</v>
      </c>
      <c r="AD202" s="1608">
        <f>+(AC202/AC195-1)*100</f>
        <v>13.276598671344676</v>
      </c>
      <c r="AE202" s="1924">
        <v>1</v>
      </c>
      <c r="AF202" s="2087">
        <v>87.066000000000003</v>
      </c>
      <c r="AG202" s="1662">
        <f>+AF202/AC202*100</f>
        <v>6.9556144781212028</v>
      </c>
      <c r="AH202" s="1765">
        <f>AG202-AG195</f>
        <v>-0.99179314178310651</v>
      </c>
      <c r="AI202" s="2087">
        <v>1228.768</v>
      </c>
      <c r="AJ202" s="1608">
        <f>+(AI202/AI195-1)*100</f>
        <v>13.946473066369425</v>
      </c>
      <c r="AK202" s="1924">
        <v>3</v>
      </c>
      <c r="AL202" s="2087">
        <v>163.83500000000001</v>
      </c>
      <c r="AM202" s="1618">
        <f>+AL202/AI202*100</f>
        <v>13.333273652959713</v>
      </c>
      <c r="AN202" s="1609">
        <f>AM202-AM195</f>
        <v>-0.5523670298096075</v>
      </c>
      <c r="AO202" s="1715"/>
      <c r="AP202" s="1608"/>
      <c r="AQ202" s="1609"/>
      <c r="AR202" s="1621"/>
      <c r="AS202" s="1657"/>
      <c r="AT202" s="1609"/>
      <c r="AU202" s="1609"/>
      <c r="AV202" s="1683"/>
      <c r="AW202" s="1676"/>
      <c r="AX202" s="1677"/>
      <c r="AY202" s="1684"/>
      <c r="AZ202" s="1679"/>
      <c r="BA202" s="1609"/>
      <c r="BB202" s="1711">
        <f>'qtrP&amp;L'!DJ12</f>
        <v>8762.2199999999993</v>
      </c>
      <c r="BC202" s="1611">
        <f>'qtrP&amp;L'!DL12</f>
        <v>0</v>
      </c>
      <c r="BD202" s="1955">
        <f>+D202+W202+AC202+AI202</f>
        <v>8762.2200000000012</v>
      </c>
      <c r="BE202" s="1638" t="str">
        <f>IF(ROUND(BB202,1)=ROUND(BD202,1),"y","n")</f>
        <v>y</v>
      </c>
      <c r="BF202" s="1613">
        <f>+(BD202/BD195-1)*100</f>
        <v>5.6747431886004618</v>
      </c>
      <c r="BG202" s="1611">
        <f>qtrSales!F203</f>
        <v>0</v>
      </c>
      <c r="BH202" s="1712">
        <f>'qtrP&amp;L'!DJ63</f>
        <v>1027.9809999999989</v>
      </c>
      <c r="BI202" s="1662">
        <f>+BH202/BB202*100</f>
        <v>11.731969751957825</v>
      </c>
      <c r="BJ202" s="1617">
        <v>95.483999999999995</v>
      </c>
      <c r="BK202" s="1621">
        <f>+G202+Z202+AF202+AL202-BJ202</f>
        <v>1027.981</v>
      </c>
      <c r="BL202" s="1638" t="str">
        <f>IF(ROUND(BH202,0)=ROUND(BK202,0),"y","n")</f>
        <v>y</v>
      </c>
      <c r="BM202" s="1618">
        <f>+BK202/BD202*100</f>
        <v>11.731969751957836</v>
      </c>
      <c r="BN202" s="1724">
        <f>BH202-BK202</f>
        <v>0</v>
      </c>
      <c r="BO202" s="1655"/>
      <c r="BP202" s="1608"/>
      <c r="BQ202" s="1609"/>
      <c r="BR202" s="1614"/>
      <c r="BS202" s="1662"/>
      <c r="BT202" s="1499"/>
      <c r="BU202" s="1422">
        <f>+D202/$BD202</f>
        <v>0.60469595604766824</v>
      </c>
      <c r="BV202" s="1628"/>
      <c r="BW202" s="1628"/>
      <c r="BX202" s="1422">
        <f>+W202/$BD202</f>
        <v>0.11221311494119068</v>
      </c>
      <c r="BY202" s="1422">
        <f>+AC202/BD202</f>
        <v>0.14285614832770691</v>
      </c>
      <c r="BZ202" s="1422">
        <f>+AI202/BD202</f>
        <v>0.14023478068343409</v>
      </c>
      <c r="CA202" s="1422"/>
      <c r="CB202" s="467"/>
      <c r="CC202" s="1422">
        <f>+G202/$BK202</f>
        <v>0.64796139228254213</v>
      </c>
      <c r="CD202" s="1628"/>
      <c r="CE202" s="1628"/>
      <c r="CF202" s="1422">
        <f>+Z202/$BK202</f>
        <v>0.20085196127165775</v>
      </c>
      <c r="CG202" s="1422">
        <f>+AF202/$BK202</f>
        <v>8.4696117924358522E-2</v>
      </c>
      <c r="CH202" s="1422">
        <f>+AL202/$BK202</f>
        <v>0.15937551374976774</v>
      </c>
      <c r="CI202" s="1422">
        <f>+AR202/$BK202</f>
        <v>0</v>
      </c>
      <c r="CJ202" s="1422"/>
    </row>
    <row r="203" spans="1:88">
      <c r="A203" s="467" t="str">
        <f>$A$14</f>
        <v>4Q</v>
      </c>
      <c r="B203" s="467" t="str">
        <f>$B$14</f>
        <v>Jan</v>
      </c>
      <c r="C203" s="1720"/>
      <c r="D203" s="1922">
        <v>6698.8519999999999</v>
      </c>
      <c r="E203" s="1608">
        <f>+(D203/D196-1)*100</f>
        <v>11.113337444678484</v>
      </c>
      <c r="F203" s="1951">
        <v>3</v>
      </c>
      <c r="G203" s="1923">
        <v>849.22</v>
      </c>
      <c r="H203" s="1662"/>
      <c r="I203" s="1662">
        <f>+G203/D203*100</f>
        <v>12.67709750864775</v>
      </c>
      <c r="J203" s="1765">
        <f>I203-I196</f>
        <v>-1.2693028472412546</v>
      </c>
      <c r="K203" s="1610"/>
      <c r="L203" s="1608"/>
      <c r="M203" s="1609"/>
      <c r="N203" s="1499"/>
      <c r="O203" s="1662"/>
      <c r="P203" s="1609"/>
      <c r="Q203" s="1610"/>
      <c r="R203" s="1608"/>
      <c r="S203" s="1609"/>
      <c r="T203" s="1499"/>
      <c r="U203" s="1662"/>
      <c r="V203" s="1609"/>
      <c r="W203" s="1922">
        <v>1088.249</v>
      </c>
      <c r="X203" s="1608">
        <f>+(W203/W196-1)*100</f>
        <v>24.613991132445356</v>
      </c>
      <c r="Y203" s="1951">
        <v>7</v>
      </c>
      <c r="Z203" s="1923">
        <v>137.53200000000001</v>
      </c>
      <c r="AA203" s="1662">
        <f>+Z203/W203*100</f>
        <v>12.63791650624076</v>
      </c>
      <c r="AB203" s="1765">
        <f>AA203-AA196</f>
        <v>2.1632320922505457</v>
      </c>
      <c r="AC203" s="1923">
        <v>1563.7260000000001</v>
      </c>
      <c r="AD203" s="1608">
        <f>+(AC203/AC196-1)*100</f>
        <v>26.477187249771529</v>
      </c>
      <c r="AE203" s="1951">
        <v>3</v>
      </c>
      <c r="AF203" s="1923">
        <v>116.333</v>
      </c>
      <c r="AG203" s="1662">
        <f>+AF203/AC203*100</f>
        <v>7.4394746905787832</v>
      </c>
      <c r="AH203" s="1765">
        <f>AG203-AG196</f>
        <v>0.12192411914790124</v>
      </c>
      <c r="AI203" s="1923">
        <v>1609.893</v>
      </c>
      <c r="AJ203" s="1608">
        <f>+(AI203/AI196-1)*100</f>
        <v>21.123362186685334</v>
      </c>
      <c r="AK203" s="1951">
        <v>3</v>
      </c>
      <c r="AL203" s="1923">
        <v>217.239</v>
      </c>
      <c r="AM203" s="1618">
        <f>+AL203/AI203*100</f>
        <v>13.494002396432558</v>
      </c>
      <c r="AN203" s="1609">
        <f>AM203-AM196</f>
        <v>-1.3865025936549813</v>
      </c>
      <c r="AO203" s="1717"/>
      <c r="AP203" s="1608"/>
      <c r="AQ203" s="1609"/>
      <c r="AR203" s="1625"/>
      <c r="AS203" s="1657"/>
      <c r="AT203" s="1609"/>
      <c r="AU203" s="1609"/>
      <c r="AV203" s="1686"/>
      <c r="AW203" s="1676"/>
      <c r="AX203" s="1677"/>
      <c r="AY203" s="1687"/>
      <c r="AZ203" s="1679"/>
      <c r="BA203" s="1609"/>
      <c r="BB203" s="1732">
        <f>'qtrP&amp;L'!DJ13</f>
        <v>10960.72</v>
      </c>
      <c r="BC203" s="1611">
        <f>'qtrP&amp;L'!DL13</f>
        <v>4</v>
      </c>
      <c r="BD203" s="1956">
        <f>+D203+W203+AC203+AI203</f>
        <v>10960.72</v>
      </c>
      <c r="BE203" s="1638" t="str">
        <f>IF(ROUND(BB203,1)=ROUND(BD203,1),"y","n")</f>
        <v>y</v>
      </c>
      <c r="BF203" s="1613">
        <f>+(BD203/BD196-1)*100</f>
        <v>15.770264776453956</v>
      </c>
      <c r="BG203" s="1611">
        <f>qtrSales!F204</f>
        <v>4</v>
      </c>
      <c r="BH203" s="1625">
        <f>'qtrP&amp;L'!DJ64</f>
        <v>1215.7189999999996</v>
      </c>
      <c r="BI203" s="1643">
        <f>+BH203/BB203*100</f>
        <v>11.09159799721186</v>
      </c>
      <c r="BJ203" s="1624">
        <v>203.85499999999999</v>
      </c>
      <c r="BK203" s="1625">
        <f>+G203+Z203+AF203+AL203-BJ203</f>
        <v>1116.4690000000001</v>
      </c>
      <c r="BL203" s="1638" t="str">
        <f>IF(ROUND(BH203,0)=ROUND(BK203,0),"y","n")</f>
        <v>n</v>
      </c>
      <c r="BM203" s="1618">
        <f>+BK203/BD203*100</f>
        <v>10.186091789590467</v>
      </c>
      <c r="BN203" s="1724">
        <f>BH203-BK203</f>
        <v>99.249999999999545</v>
      </c>
      <c r="BO203" s="1655"/>
      <c r="BP203" s="1608"/>
      <c r="BQ203" s="1609"/>
      <c r="BR203" s="1614"/>
      <c r="BS203" s="1662"/>
      <c r="BT203" s="1499"/>
      <c r="BU203" s="1422">
        <f>+D203/$BD203</f>
        <v>0.6111689743009584</v>
      </c>
      <c r="BV203" s="1628"/>
      <c r="BW203" s="1628"/>
      <c r="BX203" s="1422">
        <f>+W203/$BD203</f>
        <v>9.9286269515141343E-2</v>
      </c>
      <c r="BY203" s="1422">
        <f>+AC203/BD203</f>
        <v>0.1426663576845317</v>
      </c>
      <c r="BZ203" s="1422">
        <f>+AI203/BD203</f>
        <v>0.14687839849936868</v>
      </c>
      <c r="CA203" s="1422"/>
      <c r="CB203" s="467"/>
      <c r="CC203" s="1422">
        <f>+G203/$BK203</f>
        <v>0.76063016528000327</v>
      </c>
      <c r="CD203" s="1628"/>
      <c r="CE203" s="1628"/>
      <c r="CF203" s="1422">
        <f>+Z203/$BK203</f>
        <v>0.12318479062114578</v>
      </c>
      <c r="CG203" s="1422">
        <f>+AF203/$BK203</f>
        <v>0.10419725043865974</v>
      </c>
      <c r="CH203" s="1422">
        <f>+AL203/$BK203</f>
        <v>0.19457683106293144</v>
      </c>
      <c r="CI203" s="1422">
        <f>+AR203/$BK203</f>
        <v>0</v>
      </c>
      <c r="CJ203" s="1422"/>
    </row>
    <row r="204" spans="1:88">
      <c r="A204" s="1499"/>
      <c r="B204" s="1499" t="str">
        <f>$B$15</f>
        <v>Year</v>
      </c>
      <c r="C204" s="1667"/>
      <c r="D204" s="1654">
        <f>+SUM(D200:D203)</f>
        <v>22249.105</v>
      </c>
      <c r="E204" s="1608">
        <f>+(D204/D197-1)*100</f>
        <v>4.7212152630462745</v>
      </c>
      <c r="F204" s="1924">
        <v>1</v>
      </c>
      <c r="G204" s="1614">
        <f>+SUM(G200:G203)</f>
        <v>2949.3580000000002</v>
      </c>
      <c r="H204" s="1662"/>
      <c r="I204" s="1662">
        <f>+G204/D204*100</f>
        <v>13.256074794918717</v>
      </c>
      <c r="J204" s="1765">
        <f>I204-I197</f>
        <v>-0.84088560719680316</v>
      </c>
      <c r="K204" s="1610"/>
      <c r="L204" s="1608"/>
      <c r="M204" s="1609"/>
      <c r="N204" s="1499"/>
      <c r="O204" s="1662"/>
      <c r="P204" s="1609"/>
      <c r="Q204" s="1610"/>
      <c r="R204" s="1608"/>
      <c r="S204" s="1609"/>
      <c r="T204" s="1499"/>
      <c r="U204" s="1662"/>
      <c r="V204" s="1609"/>
      <c r="W204" s="1654">
        <f>+SUM(W200:W203)</f>
        <v>3642.2820000000002</v>
      </c>
      <c r="X204" s="1608">
        <f>+(W204/W197-1)*100</f>
        <v>14.857651554163542</v>
      </c>
      <c r="Y204" s="1924">
        <v>5</v>
      </c>
      <c r="Z204" s="1614">
        <f>+SUM(Z200:Z203)</f>
        <v>530.11300000000006</v>
      </c>
      <c r="AA204" s="1662">
        <f>+Z204/W204*100</f>
        <v>14.554419454616641</v>
      </c>
      <c r="AB204" s="1765">
        <f>AA204-AA197</f>
        <v>1.5175086024180384</v>
      </c>
      <c r="AC204" s="1655">
        <f>+SUM(AC200:AC203)</f>
        <v>4856.9490000000005</v>
      </c>
      <c r="AD204" s="1608">
        <f>+(AC204/AC197-1)*100</f>
        <v>11.34744895432711</v>
      </c>
      <c r="AE204" s="1924">
        <v>2</v>
      </c>
      <c r="AF204" s="1614">
        <f>+SUM(AF200:AF203)</f>
        <v>249.226</v>
      </c>
      <c r="AG204" s="1662">
        <f>+AF204/AC204*100</f>
        <v>5.1313283297806915</v>
      </c>
      <c r="AH204" s="1765">
        <f>AG204-AG197</f>
        <v>-0.26803654522091236</v>
      </c>
      <c r="AI204" s="1655">
        <f>+SUM(AI200:AI203)</f>
        <v>5116.3279999999995</v>
      </c>
      <c r="AJ204" s="1608">
        <f>+(AI204/AI197-1)*100</f>
        <v>16.158558527469079</v>
      </c>
      <c r="AK204" s="1924">
        <v>4</v>
      </c>
      <c r="AL204" s="1614">
        <f>+SUM(AL200:AL203)</f>
        <v>674.51100000000008</v>
      </c>
      <c r="AM204" s="1618">
        <f>+AL204/AI204*100</f>
        <v>13.183498008728137</v>
      </c>
      <c r="AN204" s="1609">
        <f>AM204-AM197</f>
        <v>-0.75141150760328657</v>
      </c>
      <c r="AO204" s="1654"/>
      <c r="AP204" s="1608"/>
      <c r="AQ204" s="1609"/>
      <c r="AR204" s="1614"/>
      <c r="AS204" s="1618"/>
      <c r="AT204" s="1609"/>
      <c r="AU204" s="1609"/>
      <c r="AV204" s="1688"/>
      <c r="AW204" s="1676"/>
      <c r="AX204" s="1677"/>
      <c r="AY204" s="1678"/>
      <c r="AZ204" s="1679"/>
      <c r="BA204" s="1609"/>
      <c r="BB204" s="1711">
        <f>'qtrP&amp;L'!DJ14</f>
        <v>35864.664000000004</v>
      </c>
      <c r="BC204" s="1611">
        <f>'qtrP&amp;L'!DL14</f>
        <v>2</v>
      </c>
      <c r="BD204" s="1614">
        <f>+D204+W204+AC204+AI204+AO204</f>
        <v>35864.663999999997</v>
      </c>
      <c r="BE204" s="1638" t="str">
        <f>IF(ROUND(BB204,2)=ROUND(BD204,2),"y","n")</f>
        <v>y</v>
      </c>
      <c r="BF204" s="1608">
        <f>+(BD204/BD197-1)*100</f>
        <v>8.0790160386965191</v>
      </c>
      <c r="BG204" s="1611">
        <f>qtrSales!F205</f>
        <v>1.9696190378362393</v>
      </c>
      <c r="BH204" s="1614">
        <f>'qtrP&amp;L'!DJ65</f>
        <v>3987.425999999999</v>
      </c>
      <c r="BI204" s="1662">
        <f>+BH204/BB204*100</f>
        <v>11.117979524358567</v>
      </c>
      <c r="BJ204" s="1621">
        <f>SUM(BJ200:BJ203)</f>
        <v>515.03199999999993</v>
      </c>
      <c r="BK204" s="1614">
        <f>+G204+Z204+AF204+AL204-BJ204</f>
        <v>3888.1760000000004</v>
      </c>
      <c r="BL204" s="1638" t="str">
        <f>IF(ROUND(BH204,0)=ROUND(BK204,0),"y","n")</f>
        <v>n</v>
      </c>
      <c r="BM204" s="1618">
        <f>+BK204/BD204*100</f>
        <v>10.841244741620891</v>
      </c>
      <c r="BN204" s="1724"/>
      <c r="BO204" s="1655"/>
      <c r="BP204" s="1608"/>
      <c r="BQ204" s="1609"/>
      <c r="BR204" s="1614"/>
      <c r="BS204" s="1662"/>
      <c r="BT204" s="1499"/>
      <c r="BU204" s="1460">
        <f>+D204/$BD204</f>
        <v>0.62036284516704243</v>
      </c>
      <c r="BV204" s="1664"/>
      <c r="BW204" s="1664"/>
      <c r="BX204" s="1460">
        <f>+W204/$BD204</f>
        <v>0.10155628392336258</v>
      </c>
      <c r="BY204" s="1460">
        <f>+AC204/BD204</f>
        <v>0.13542435529299818</v>
      </c>
      <c r="BZ204" s="1460">
        <f>+AI204/BD204</f>
        <v>0.14265651561659687</v>
      </c>
      <c r="CA204" s="1460"/>
      <c r="CB204" s="1499"/>
      <c r="CC204" s="1460">
        <f>+G204/$BK204</f>
        <v>0.75854539506442087</v>
      </c>
      <c r="CD204" s="1664"/>
      <c r="CE204" s="1664"/>
      <c r="CF204" s="1460">
        <f>+Z204/$BK204</f>
        <v>0.13633976445510698</v>
      </c>
      <c r="CG204" s="1460">
        <f>+AF204/$BK204</f>
        <v>6.4098435873273213E-2</v>
      </c>
      <c r="CH204" s="1460">
        <f>+AL204/$BK204</f>
        <v>0.1734774866158322</v>
      </c>
      <c r="CI204" s="1460">
        <f>+AR204/$BK204</f>
        <v>0</v>
      </c>
      <c r="CJ204" s="1460"/>
    </row>
    <row r="205" spans="1:88">
      <c r="A205" s="467"/>
      <c r="B205" s="467"/>
      <c r="C205" s="467"/>
      <c r="D205" s="1917"/>
      <c r="E205" s="1088"/>
      <c r="F205" s="1733"/>
      <c r="G205" s="1499"/>
      <c r="H205" s="1088"/>
      <c r="I205" s="1772"/>
      <c r="J205" s="1764"/>
      <c r="K205" s="1605"/>
      <c r="L205" s="1605"/>
      <c r="M205" s="1605"/>
      <c r="N205" s="467"/>
      <c r="O205" s="467"/>
      <c r="P205" s="1605"/>
      <c r="Q205" s="1605"/>
      <c r="R205" s="1605"/>
      <c r="S205" s="1605"/>
      <c r="T205" s="467"/>
      <c r="U205" s="467"/>
      <c r="V205" s="1605"/>
      <c r="W205" s="1727"/>
      <c r="X205" s="1088"/>
      <c r="Y205" s="1733"/>
      <c r="Z205" s="1499"/>
      <c r="AA205" s="746"/>
      <c r="AB205" s="1764"/>
      <c r="AC205" s="1727"/>
      <c r="AD205" s="1088"/>
      <c r="AE205" s="1733"/>
      <c r="AF205" s="1728"/>
      <c r="AG205" s="1729"/>
      <c r="AH205" s="1764"/>
      <c r="AI205" s="1727"/>
      <c r="AJ205" s="1088"/>
      <c r="AK205" s="1733"/>
      <c r="AM205" s="1918"/>
      <c r="AN205" s="702"/>
      <c r="AO205" s="800"/>
      <c r="AP205" s="1088"/>
      <c r="AQ205" s="1088"/>
      <c r="AR205" s="1499"/>
      <c r="AS205" s="1499"/>
      <c r="AT205" s="702"/>
      <c r="AU205" s="702"/>
      <c r="AV205" s="1730"/>
      <c r="AW205" s="1707"/>
      <c r="AX205" s="1707"/>
      <c r="AY205" s="1708"/>
      <c r="AZ205" s="1708"/>
      <c r="BA205" s="487"/>
      <c r="BC205" s="693"/>
      <c r="BE205" s="1710"/>
      <c r="BF205" s="487"/>
      <c r="BG205" s="487"/>
      <c r="BH205" s="693"/>
      <c r="BI205" s="693"/>
      <c r="BL205" s="1710"/>
      <c r="BM205" s="1604"/>
      <c r="BN205" s="467"/>
      <c r="BO205" s="800"/>
      <c r="BP205" s="1088"/>
      <c r="BQ205" s="1088"/>
      <c r="BR205" s="1499"/>
      <c r="BS205" s="467"/>
      <c r="BT205" s="467"/>
      <c r="BU205" s="467"/>
      <c r="BV205" s="467"/>
      <c r="BW205" s="467"/>
      <c r="BX205" s="467"/>
      <c r="BY205" s="467"/>
      <c r="BZ205" s="467"/>
      <c r="CA205" s="467"/>
      <c r="CB205" s="467"/>
      <c r="CC205" s="467"/>
      <c r="CD205" s="467"/>
      <c r="CE205" s="467"/>
      <c r="CF205" s="467"/>
      <c r="CG205" s="467"/>
      <c r="CH205" s="467"/>
      <c r="CI205" s="467"/>
      <c r="CJ205" s="467"/>
    </row>
    <row r="206" spans="1:88" outlineLevel="1">
      <c r="A206" s="2113">
        <f>+A199+1</f>
        <v>2018</v>
      </c>
      <c r="B206" s="2113"/>
      <c r="C206" s="1667"/>
      <c r="D206" s="1654"/>
      <c r="E206" s="1608"/>
      <c r="F206" s="1609"/>
      <c r="G206" s="1614"/>
      <c r="H206" s="1662"/>
      <c r="I206" s="1771"/>
      <c r="J206" s="1765"/>
      <c r="K206" s="1610"/>
      <c r="L206" s="1608"/>
      <c r="M206" s="1609"/>
      <c r="N206" s="1499"/>
      <c r="O206" s="1662"/>
      <c r="P206" s="1609"/>
      <c r="Q206" s="1610"/>
      <c r="R206" s="1608"/>
      <c r="S206" s="1609"/>
      <c r="T206" s="1499"/>
      <c r="U206" s="1662"/>
      <c r="V206" s="1609"/>
      <c r="W206" s="1691"/>
      <c r="X206" s="1608"/>
      <c r="Y206" s="1609"/>
      <c r="Z206" s="1614"/>
      <c r="AA206" s="1769"/>
      <c r="AB206" s="1765"/>
      <c r="AC206" s="1614"/>
      <c r="AD206" s="1608"/>
      <c r="AE206" s="1609"/>
      <c r="AF206" s="1692"/>
      <c r="AG206" s="1662"/>
      <c r="AH206" s="1765"/>
      <c r="AI206" s="1614"/>
      <c r="AJ206" s="1608"/>
      <c r="AK206" s="1609"/>
      <c r="AL206" s="1614"/>
      <c r="AM206" s="1618"/>
      <c r="AN206" s="1609"/>
      <c r="AO206" s="1644"/>
      <c r="AP206" s="1608"/>
      <c r="AQ206" s="1609"/>
      <c r="AR206" s="1614"/>
      <c r="AS206" s="1618"/>
      <c r="AT206" s="1609"/>
      <c r="AU206" s="1609"/>
      <c r="AV206" s="1674"/>
      <c r="AW206" s="1608"/>
      <c r="AX206" s="1609"/>
      <c r="AY206" s="1614"/>
      <c r="AZ206" s="1618"/>
      <c r="BA206" s="1609"/>
      <c r="BB206" s="1621"/>
      <c r="BC206" s="1609"/>
      <c r="BD206" s="1614"/>
      <c r="BE206" s="1663"/>
      <c r="BF206" s="1608"/>
      <c r="BG206" s="1609"/>
      <c r="BH206" s="1614"/>
      <c r="BI206" s="1662"/>
      <c r="BJ206" s="1621"/>
      <c r="BK206" s="1614"/>
      <c r="BL206" s="1663"/>
      <c r="BM206" s="1618"/>
      <c r="BN206" s="1499"/>
      <c r="BO206" s="1655"/>
      <c r="BP206" s="1608"/>
      <c r="BQ206" s="1609"/>
      <c r="BR206" s="1614"/>
      <c r="BS206" s="1662"/>
      <c r="BT206" s="1499"/>
      <c r="BU206" s="1460"/>
      <c r="BV206" s="1664"/>
      <c r="BW206" s="1664"/>
      <c r="BX206" s="1460"/>
      <c r="BY206" s="1460"/>
      <c r="BZ206" s="1460"/>
      <c r="CA206" s="1460"/>
      <c r="CB206" s="1499"/>
      <c r="CC206" s="1460"/>
      <c r="CD206" s="1664"/>
      <c r="CE206" s="1664"/>
      <c r="CF206" s="1460"/>
      <c r="CG206" s="1460"/>
      <c r="CH206" s="1460"/>
      <c r="CI206" s="1460"/>
      <c r="CJ206" s="1460"/>
    </row>
    <row r="207" spans="1:88" outlineLevel="1">
      <c r="A207" s="467" t="str">
        <f>$A$11</f>
        <v>1Q</v>
      </c>
      <c r="B207" s="467" t="str">
        <f>$B$11</f>
        <v>Apr</v>
      </c>
      <c r="C207" s="1667"/>
      <c r="D207" s="2067">
        <f>SegqtrSales!S172</f>
        <v>5215.4917500000001</v>
      </c>
      <c r="E207" s="1608">
        <f>+(D207/D200-1)*100</f>
        <v>5.0000000000000044</v>
      </c>
      <c r="F207" s="1609">
        <f>+SegqtrSales!F172</f>
        <v>2</v>
      </c>
      <c r="G207" s="2072">
        <f>+D207*I207/100</f>
        <v>693.66040275000012</v>
      </c>
      <c r="H207" s="1662"/>
      <c r="I207" s="1954">
        <v>13.3</v>
      </c>
      <c r="J207" s="1765">
        <f>I207-I200</f>
        <v>-0.53423240962848517</v>
      </c>
      <c r="K207" s="1610"/>
      <c r="L207" s="1608"/>
      <c r="M207" s="1609"/>
      <c r="N207" s="1499"/>
      <c r="O207" s="1662"/>
      <c r="P207" s="1609"/>
      <c r="Q207" s="1610"/>
      <c r="R207" s="1608"/>
      <c r="S207" s="1609"/>
      <c r="T207" s="1499"/>
      <c r="U207" s="1662"/>
      <c r="V207" s="1609"/>
      <c r="W207" s="2067">
        <f>+SegqtrSales!S348</f>
        <v>864.3620699999999</v>
      </c>
      <c r="X207" s="1608">
        <f>+(W207/W200-1)*100</f>
        <v>16.999999999999993</v>
      </c>
      <c r="Y207" s="1609">
        <f>+SegqtrSales!F348</f>
        <v>4</v>
      </c>
      <c r="Z207" s="2072">
        <f>+W207*AA207/100</f>
        <v>120.14632773</v>
      </c>
      <c r="AA207" s="1954">
        <v>13.9</v>
      </c>
      <c r="AB207" s="1765">
        <f>AA207-AA200</f>
        <v>-2.5830873166380997E-2</v>
      </c>
      <c r="AC207" s="2072">
        <f>+SegqtrSales!S525</f>
        <v>1138.65031</v>
      </c>
      <c r="AD207" s="1608">
        <f>+(AC207/AC200-1)*100</f>
        <v>18.999999999999993</v>
      </c>
      <c r="AE207" s="1609">
        <f>+SegqtrSales!F525</f>
        <v>3</v>
      </c>
      <c r="AF207" s="2072">
        <f>+AC207*AG207/100</f>
        <v>34.159509299999996</v>
      </c>
      <c r="AG207" s="1954">
        <v>3</v>
      </c>
      <c r="AH207" s="1765">
        <f>AG207-AG200</f>
        <v>2.2830634718748728</v>
      </c>
      <c r="AI207" s="2072">
        <f>+SegqtrSales!S702</f>
        <v>1289.4593499999999</v>
      </c>
      <c r="AJ207" s="1608">
        <f>+(AI207/AI200-1)*100</f>
        <v>14.999999999999991</v>
      </c>
      <c r="AK207" s="1609">
        <f>+SegqtrSales!F702</f>
        <v>3</v>
      </c>
      <c r="AL207" s="2072">
        <f>+AI207*AM207/100</f>
        <v>159.8929594</v>
      </c>
      <c r="AM207" s="2074">
        <v>12.4</v>
      </c>
      <c r="AN207" s="1609">
        <f>AM207-AM200</f>
        <v>-1.1642740502056146</v>
      </c>
      <c r="AO207" s="1607"/>
      <c r="AP207" s="1608"/>
      <c r="AQ207" s="1639"/>
      <c r="AR207" s="1610"/>
      <c r="AS207" s="1618"/>
      <c r="AT207" s="1609"/>
      <c r="AU207" s="1609"/>
      <c r="AV207" s="1675"/>
      <c r="AW207" s="1676"/>
      <c r="AX207" s="1677"/>
      <c r="AY207" s="1678"/>
      <c r="AZ207" s="1679"/>
      <c r="BA207" s="1609"/>
      <c r="BB207" s="1711">
        <f>'qtrP&amp;L'!DN10</f>
        <v>8507.9634800000003</v>
      </c>
      <c r="BC207" s="1611">
        <f>'qtrP&amp;L'!DL17</f>
        <v>2.2229383651727379</v>
      </c>
      <c r="BD207" s="1731">
        <f>+D207+W207+AC207+AI207</f>
        <v>8507.9634800000003</v>
      </c>
      <c r="BE207" s="1638" t="str">
        <f>IF(ROUND(BB207,2)=ROUND(BD207,2),"y","n")</f>
        <v>y</v>
      </c>
      <c r="BF207" s="1613">
        <f>+(BD207/BD200-1)*100</f>
        <v>9.3003243566566631</v>
      </c>
      <c r="BG207" s="1611">
        <f>qtrSales!F208</f>
        <v>2.4885815283259771</v>
      </c>
      <c r="BH207" s="1731">
        <f>'qtrP&amp;L'!DN61</f>
        <v>877.11106988799952</v>
      </c>
      <c r="BI207" s="1662">
        <f>+BH207/BB207*100</f>
        <v>10.30929519090977</v>
      </c>
      <c r="BJ207" s="1610">
        <f>-(BH207-G207-Z207-AF207-AL207)</f>
        <v>130.74812929200058</v>
      </c>
      <c r="BK207" s="1614">
        <f>+G207+Z207+AF207+AL207-BJ207</f>
        <v>877.11106988799952</v>
      </c>
      <c r="BL207" s="1638" t="str">
        <f>IF(ROUND(BH207,0)=ROUND(BK207,0),"y","n")</f>
        <v>y</v>
      </c>
      <c r="BM207" s="1618">
        <f>+BK207/BD207*100</f>
        <v>10.30929519090977</v>
      </c>
      <c r="BN207" s="1724">
        <f>BH207-BK207</f>
        <v>0</v>
      </c>
      <c r="BO207" s="1655"/>
      <c r="BP207" s="1608"/>
      <c r="BQ207" s="1609"/>
      <c r="BR207" s="1614"/>
      <c r="BS207" s="1662"/>
      <c r="BT207" s="1499"/>
      <c r="BU207" s="1422">
        <f>+D207/$BD207</f>
        <v>0.61301294513784166</v>
      </c>
      <c r="BV207" s="1628"/>
      <c r="BW207" s="1628"/>
      <c r="BX207" s="1422">
        <f>+W207/$BD207</f>
        <v>0.10159447346381885</v>
      </c>
      <c r="BY207" s="1422">
        <f>+AC207/BD207</f>
        <v>0.13383347409479007</v>
      </c>
      <c r="BZ207" s="1422">
        <f>+AI207/BD207</f>
        <v>0.15155910730354943</v>
      </c>
      <c r="CA207" s="1714"/>
      <c r="CB207" s="467"/>
      <c r="CC207" s="1422">
        <f>+G207/$BK207</f>
        <v>0.79084670865979989</v>
      </c>
      <c r="CD207" s="1628"/>
      <c r="CE207" s="1628"/>
      <c r="CF207" s="1422">
        <f>+Z207/$BK207</f>
        <v>0.13697960481258295</v>
      </c>
      <c r="CG207" s="1422">
        <f>+AF207/$BK207</f>
        <v>3.8945477343436001E-2</v>
      </c>
      <c r="CH207" s="1422">
        <f>+AL207/$BK207</f>
        <v>0.18229499648250605</v>
      </c>
      <c r="CI207" s="1422">
        <f>+AR207/$BK207</f>
        <v>0</v>
      </c>
      <c r="CJ207" s="1422"/>
    </row>
    <row r="208" spans="1:88" outlineLevel="1">
      <c r="A208" s="467" t="str">
        <f>$A$12</f>
        <v>2Q</v>
      </c>
      <c r="B208" s="467" t="str">
        <f>$B$12</f>
        <v>Jul</v>
      </c>
      <c r="C208" s="1720"/>
      <c r="D208" s="2068">
        <f>SegqtrSales!S173</f>
        <v>5496.0245600000007</v>
      </c>
      <c r="E208" s="1608">
        <f>+(D208/D201-1)*100</f>
        <v>4.0000000000000036</v>
      </c>
      <c r="F208" s="1609">
        <f>+SegqtrSales!F173</f>
        <v>2</v>
      </c>
      <c r="G208" s="2073">
        <f>+D208*I208/100</f>
        <v>747.45934016000012</v>
      </c>
      <c r="H208" s="1662"/>
      <c r="I208" s="1954">
        <v>13.6</v>
      </c>
      <c r="J208" s="1765">
        <f>I208-I201</f>
        <v>-0.53305620308217883</v>
      </c>
      <c r="K208" s="1610"/>
      <c r="L208" s="1608"/>
      <c r="M208" s="1609"/>
      <c r="N208" s="1499"/>
      <c r="O208" s="1662"/>
      <c r="P208" s="1609"/>
      <c r="Q208" s="1610"/>
      <c r="R208" s="1608"/>
      <c r="S208" s="1609"/>
      <c r="T208" s="1499"/>
      <c r="U208" s="1662"/>
      <c r="V208" s="1609"/>
      <c r="W208" s="2068">
        <f>+SegqtrSales!S349</f>
        <v>902.74820999999997</v>
      </c>
      <c r="X208" s="1608">
        <f>+(W208/W201-1)*100</f>
        <v>8.4999999999999964</v>
      </c>
      <c r="Y208" s="1609">
        <f>+SegqtrSales!F349</f>
        <v>1</v>
      </c>
      <c r="Z208" s="2073">
        <f>+W208*AA208/100</f>
        <v>90.274820999999989</v>
      </c>
      <c r="AA208" s="1954">
        <v>10</v>
      </c>
      <c r="AB208" s="1765">
        <f>AA208-AA201</f>
        <v>-3.1729777675213455E-3</v>
      </c>
      <c r="AC208" s="2073">
        <f>+SegqtrSales!S526</f>
        <v>1231.062995</v>
      </c>
      <c r="AD208" s="1608">
        <f>+(AC208/AC201-1)*100</f>
        <v>13.5</v>
      </c>
      <c r="AE208" s="1609">
        <f>+SegqtrSales!F526</f>
        <v>3</v>
      </c>
      <c r="AF208" s="2073">
        <f>+AC208*AG208/100</f>
        <v>61.553149750000003</v>
      </c>
      <c r="AG208" s="1954">
        <v>5</v>
      </c>
      <c r="AH208" s="1765">
        <f>AG208-AG201</f>
        <v>1.407369470154531</v>
      </c>
      <c r="AI208" s="2073">
        <f>+SegqtrSales!S703</f>
        <v>1295.1657600000001</v>
      </c>
      <c r="AJ208" s="1608">
        <f>+(AI208/AI201-1)*100</f>
        <v>12.000000000000011</v>
      </c>
      <c r="AK208" s="1609">
        <f>+SegqtrSales!F703</f>
        <v>2</v>
      </c>
      <c r="AL208" s="2073">
        <f>+AI208*AM208/100</f>
        <v>143.76339935999999</v>
      </c>
      <c r="AM208" s="2074">
        <v>11.1</v>
      </c>
      <c r="AN208" s="1609">
        <f>AM208-AM201</f>
        <v>-1.1228679053405504</v>
      </c>
      <c r="AO208" s="1715"/>
      <c r="AP208" s="1608"/>
      <c r="AQ208" s="1609"/>
      <c r="AR208" s="1621"/>
      <c r="AS208" s="1657"/>
      <c r="AT208" s="1609"/>
      <c r="AU208" s="1609"/>
      <c r="AV208" s="1683"/>
      <c r="AW208" s="1676"/>
      <c r="AX208" s="1677"/>
      <c r="AY208" s="1684"/>
      <c r="AZ208" s="1679"/>
      <c r="BA208" s="1609"/>
      <c r="BB208" s="1711">
        <f>'qtrP&amp;L'!DN11</f>
        <v>8925.0015250000015</v>
      </c>
      <c r="BC208" s="1611">
        <f>'qtrP&amp;L'!DL18</f>
        <v>0</v>
      </c>
      <c r="BD208" s="1955">
        <f>+D208+W208+AC208+AI208</f>
        <v>8925.0015250000015</v>
      </c>
      <c r="BE208" s="1638" t="str">
        <f>IF(ROUND(BB208,2)=ROUND(BD208,2),"y","n")</f>
        <v>y</v>
      </c>
      <c r="BF208" s="1613">
        <f>+(BD208/BD201-1)*100</f>
        <v>6.7877708580112106</v>
      </c>
      <c r="BG208" s="1611">
        <f>qtrSales!F209</f>
        <v>2.0367859640225663</v>
      </c>
      <c r="BH208" s="1712">
        <f>'qtrP&amp;L'!DN62</f>
        <v>945.69031157500103</v>
      </c>
      <c r="BI208" s="1662">
        <f>+BH208/BB208*100</f>
        <v>10.595968067075495</v>
      </c>
      <c r="BJ208" s="1617">
        <f>-(BH208-G208-Z208-AF208-AL208)</f>
        <v>97.360398694999077</v>
      </c>
      <c r="BK208" s="1621">
        <f>+G208+Z208+AF208+AL208-BJ208</f>
        <v>945.69031157500103</v>
      </c>
      <c r="BL208" s="1638" t="str">
        <f>IF(ROUND(BH208,0)=ROUND(BK208,0),"y","n")</f>
        <v>y</v>
      </c>
      <c r="BM208" s="1618">
        <f>+BK208/BD208*100</f>
        <v>10.595968067075495</v>
      </c>
      <c r="BN208" s="1724">
        <f>BH208-BK208</f>
        <v>0</v>
      </c>
      <c r="BO208" s="1655"/>
      <c r="BP208" s="1608"/>
      <c r="BQ208" s="1609"/>
      <c r="BR208" s="1614"/>
      <c r="BS208" s="1662"/>
      <c r="BT208" s="1499"/>
      <c r="BU208" s="1422">
        <f>+D208/$BD208</f>
        <v>0.61580096592756606</v>
      </c>
      <c r="BV208" s="1628"/>
      <c r="BW208" s="1628"/>
      <c r="BX208" s="1422">
        <f>+W208/$BD208</f>
        <v>0.10114824154049652</v>
      </c>
      <c r="BY208" s="1422">
        <f>+AC208/BD208</f>
        <v>0.13793420556306288</v>
      </c>
      <c r="BZ208" s="1422">
        <f>+AI208/BD208</f>
        <v>0.14511658696887447</v>
      </c>
      <c r="CA208" s="1422"/>
      <c r="CB208" s="467"/>
      <c r="CC208" s="1422">
        <f>+G208/$BK208</f>
        <v>0.79038489768933251</v>
      </c>
      <c r="CD208" s="1628"/>
      <c r="CE208" s="1628"/>
      <c r="CF208" s="1422">
        <f>+Z208/$BK208</f>
        <v>9.5459179284232781E-2</v>
      </c>
      <c r="CG208" s="1422">
        <f>+AF208/$BK208</f>
        <v>6.508806212414954E-2</v>
      </c>
      <c r="CH208" s="1422">
        <f>+AL208/$BK208</f>
        <v>0.15201953282208111</v>
      </c>
      <c r="CI208" s="1422">
        <f>+AR208/$BK208</f>
        <v>0</v>
      </c>
      <c r="CJ208" s="1422"/>
    </row>
    <row r="209" spans="1:88" outlineLevel="1">
      <c r="A209" s="467" t="str">
        <f>$A$13</f>
        <v>3Q</v>
      </c>
      <c r="B209" s="467" t="str">
        <f>$B$13</f>
        <v>Oct</v>
      </c>
      <c r="C209" s="1721"/>
      <c r="D209" s="1715">
        <f>SegqtrSales!S174</f>
        <v>5478.6272860000008</v>
      </c>
      <c r="E209" s="1608">
        <f>+(D209/D202-1)*100</f>
        <v>3.400000000000003</v>
      </c>
      <c r="F209" s="1609">
        <f>+SegqtrSales!F174</f>
        <v>2</v>
      </c>
      <c r="G209" s="1621">
        <f>+D209*I209/100</f>
        <v>706.74291989400012</v>
      </c>
      <c r="H209" s="1662"/>
      <c r="I209" s="1954">
        <v>12.9</v>
      </c>
      <c r="J209" s="1765">
        <f>I209-I202</f>
        <v>0.32861866584731381</v>
      </c>
      <c r="K209" s="1610"/>
      <c r="L209" s="1608"/>
      <c r="M209" s="1609"/>
      <c r="N209" s="1499"/>
      <c r="O209" s="1662"/>
      <c r="P209" s="1609"/>
      <c r="Q209" s="1610"/>
      <c r="R209" s="1608"/>
      <c r="S209" s="1609"/>
      <c r="T209" s="1499"/>
      <c r="U209" s="1662"/>
      <c r="V209" s="1609"/>
      <c r="W209" s="1715">
        <f>+SegqtrSales!S350</f>
        <v>1065.827824</v>
      </c>
      <c r="X209" s="1608">
        <f>+(W209/W202-1)*100</f>
        <v>8.4000000000000075</v>
      </c>
      <c r="Y209" s="1609">
        <f>+SegqtrSales!F350</f>
        <v>4</v>
      </c>
      <c r="Z209" s="1621">
        <f>+W209*AA209/100</f>
        <v>177.99324660799996</v>
      </c>
      <c r="AA209" s="1762">
        <v>16.7</v>
      </c>
      <c r="AB209" s="1765">
        <f>AA209-AA202</f>
        <v>-4.2992311103336363</v>
      </c>
      <c r="AC209" s="1621">
        <f>+SegqtrSales!S527</f>
        <v>1394.4350180000001</v>
      </c>
      <c r="AD209" s="1608">
        <f>+(AC209/AC202-1)*100</f>
        <v>11.400000000000009</v>
      </c>
      <c r="AE209" s="1609">
        <f>+SegqtrSales!F527</f>
        <v>2</v>
      </c>
      <c r="AF209" s="1621">
        <f>+AC209*AG209/100</f>
        <v>96.216016242000009</v>
      </c>
      <c r="AG209" s="1762">
        <v>6.9</v>
      </c>
      <c r="AH209" s="1765">
        <f>AG209-AG202</f>
        <v>-5.561447812120246E-2</v>
      </c>
      <c r="AI209" s="1621">
        <f>+SegqtrSales!S704</f>
        <v>1399.9353824</v>
      </c>
      <c r="AJ209" s="1608">
        <f>+(AI209/AI202-1)*100</f>
        <v>13.929999999999998</v>
      </c>
      <c r="AK209" s="1609">
        <f>+SegqtrSales!F704</f>
        <v>3</v>
      </c>
      <c r="AL209" s="1621">
        <f>+AI209*AM209/100</f>
        <v>170.79211665279999</v>
      </c>
      <c r="AM209" s="1657">
        <v>12.2</v>
      </c>
      <c r="AN209" s="1609">
        <f>AM209-AM202</f>
        <v>-1.1332736529597138</v>
      </c>
      <c r="AO209" s="1715"/>
      <c r="AP209" s="1608"/>
      <c r="AQ209" s="1609"/>
      <c r="AR209" s="1621"/>
      <c r="AS209" s="1657"/>
      <c r="AT209" s="1609"/>
      <c r="AU209" s="1609"/>
      <c r="AV209" s="1683"/>
      <c r="AW209" s="1676"/>
      <c r="AX209" s="1677"/>
      <c r="AY209" s="1684"/>
      <c r="AZ209" s="1679"/>
      <c r="BA209" s="1609"/>
      <c r="BB209" s="1711">
        <f>'qtrP&amp;L'!DN12</f>
        <v>9338.8255104000018</v>
      </c>
      <c r="BC209" s="1611">
        <f>'qtrP&amp;L'!DL19</f>
        <v>0</v>
      </c>
      <c r="BD209" s="1955">
        <f>+D209+W209+AC209+AI209</f>
        <v>9338.8255104000018</v>
      </c>
      <c r="BE209" s="1638" t="str">
        <f>IF(ROUND(BB209,1)=ROUND(BD209,1),"y","n")</f>
        <v>y</v>
      </c>
      <c r="BF209" s="1613">
        <f>+(BD209/BD202-1)*100</f>
        <v>6.5805870019241652</v>
      </c>
      <c r="BG209" s="1611">
        <f>qtrSales!F210</f>
        <v>2.3781622246252603</v>
      </c>
      <c r="BH209" s="1712">
        <f>'qtrP&amp;L'!DN63</f>
        <v>1077.0991160784013</v>
      </c>
      <c r="BI209" s="1662">
        <f>+BH209/BB209*100</f>
        <v>11.5335607767691</v>
      </c>
      <c r="BJ209" s="1617">
        <f>-(BH209-G209-Z209-AF209-AL209)</f>
        <v>74.645183318398821</v>
      </c>
      <c r="BK209" s="1621">
        <f>+G209+Z209+AF209+AL209-BJ209</f>
        <v>1077.0991160784013</v>
      </c>
      <c r="BL209" s="1638" t="str">
        <f>IF(ROUND(BH209,0)=ROUND(BK209,0),"y","n")</f>
        <v>y</v>
      </c>
      <c r="BM209" s="1618">
        <f>+BK209/BD209*100</f>
        <v>11.5335607767691</v>
      </c>
      <c r="BN209" s="1724">
        <f>BH209-BK209</f>
        <v>0</v>
      </c>
      <c r="BO209" s="1655"/>
      <c r="BP209" s="1608"/>
      <c r="BQ209" s="1609"/>
      <c r="BR209" s="1614"/>
      <c r="BS209" s="1662"/>
      <c r="BT209" s="1499"/>
      <c r="BU209" s="1422">
        <f>+D209/$BD209</f>
        <v>0.58665056755786193</v>
      </c>
      <c r="BV209" s="1628"/>
      <c r="BW209" s="1628"/>
      <c r="BX209" s="1422">
        <f>+W209/$BD209</f>
        <v>0.11412867954466667</v>
      </c>
      <c r="BY209" s="1422">
        <f>+AC209/BD209</f>
        <v>0.14931588736154397</v>
      </c>
      <c r="BZ209" s="1422">
        <f>+AI209/BD209</f>
        <v>0.1499048655359273</v>
      </c>
      <c r="CA209" s="1422"/>
      <c r="CB209" s="467"/>
      <c r="CC209" s="1422">
        <f>+G209/$BK209</f>
        <v>0.65615402458705274</v>
      </c>
      <c r="CD209" s="1628"/>
      <c r="CE209" s="1628"/>
      <c r="CF209" s="1422">
        <f>+Z209/$BK209</f>
        <v>0.16525243030191472</v>
      </c>
      <c r="CG209" s="1422">
        <f>+AF209/$BK209</f>
        <v>8.9328841520464594E-2</v>
      </c>
      <c r="CH209" s="1422">
        <f>+AL209/$BK209</f>
        <v>0.15856675964477177</v>
      </c>
      <c r="CI209" s="1422">
        <f>+AR209/$BK209</f>
        <v>0</v>
      </c>
      <c r="CJ209" s="1422"/>
    </row>
    <row r="210" spans="1:88" outlineLevel="1">
      <c r="A210" s="467" t="str">
        <f>$A$14</f>
        <v>4Q</v>
      </c>
      <c r="B210" s="467" t="str">
        <f>$B$14</f>
        <v>Jan</v>
      </c>
      <c r="C210" s="1720"/>
      <c r="D210" s="1717">
        <f>SegqtrSales!S175</f>
        <v>6564.8749600000001</v>
      </c>
      <c r="E210" s="1608">
        <f>+(D210/D203-1)*100</f>
        <v>-2.0000000000000018</v>
      </c>
      <c r="F210" s="1952">
        <f>+SegqtrSales!F175</f>
        <v>2</v>
      </c>
      <c r="G210" s="1625">
        <f>+D210*I210/100</f>
        <v>866.56349471999999</v>
      </c>
      <c r="H210" s="1662"/>
      <c r="I210" s="1762">
        <v>13.2</v>
      </c>
      <c r="J210" s="1765">
        <f>I210-I203</f>
        <v>0.52290249135224975</v>
      </c>
      <c r="K210" s="1610"/>
      <c r="L210" s="1608"/>
      <c r="M210" s="1609"/>
      <c r="N210" s="1499"/>
      <c r="O210" s="1662"/>
      <c r="P210" s="1609"/>
      <c r="Q210" s="1610"/>
      <c r="R210" s="1608"/>
      <c r="S210" s="1609"/>
      <c r="T210" s="1499"/>
      <c r="U210" s="1662"/>
      <c r="V210" s="1609"/>
      <c r="W210" s="1717">
        <f>+SegqtrSales!S351</f>
        <v>1123.0729679999999</v>
      </c>
      <c r="X210" s="1608">
        <f>+(W210/W203-1)*100</f>
        <v>3.2000000000000028</v>
      </c>
      <c r="Y210" s="1952">
        <f>+SegqtrSales!F351</f>
        <v>4</v>
      </c>
      <c r="Z210" s="1625">
        <f>+W210*AA210/100</f>
        <v>117.92266163999999</v>
      </c>
      <c r="AA210" s="1762">
        <v>10.5</v>
      </c>
      <c r="AB210" s="1765">
        <f>AA210-AA203</f>
        <v>-2.1379165062407601</v>
      </c>
      <c r="AC210" s="1625">
        <f>+SegqtrSales!S528</f>
        <v>1646.603478</v>
      </c>
      <c r="AD210" s="1608">
        <f>+(AC210/AC203-1)*100</f>
        <v>5.2999999999999936</v>
      </c>
      <c r="AE210" s="1952">
        <f>+SegqtrSales!F528</f>
        <v>1</v>
      </c>
      <c r="AF210" s="1625">
        <f>+AC210*AG210/100</f>
        <v>108.675829548</v>
      </c>
      <c r="AG210" s="1762">
        <v>6.6</v>
      </c>
      <c r="AH210" s="1765">
        <f>AG210-AG203</f>
        <v>-0.83947469057878354</v>
      </c>
      <c r="AI210" s="1625">
        <f>+SegqtrSales!S705</f>
        <v>1735.4646540000001</v>
      </c>
      <c r="AJ210" s="1608">
        <f>+(AI210/AI203-1)*100</f>
        <v>7.8000000000000069</v>
      </c>
      <c r="AK210" s="1952">
        <f>+SegqtrSales!F705</f>
        <v>3</v>
      </c>
      <c r="AL210" s="1625">
        <f>+AI210*AM210/100</f>
        <v>225.61040502</v>
      </c>
      <c r="AM210" s="1657">
        <v>13</v>
      </c>
      <c r="AN210" s="1609">
        <f>AM210-AM203</f>
        <v>-0.49400239643255794</v>
      </c>
      <c r="AO210" s="1717"/>
      <c r="AP210" s="1608"/>
      <c r="AQ210" s="1609"/>
      <c r="AR210" s="1625"/>
      <c r="AS210" s="1657"/>
      <c r="AT210" s="1609"/>
      <c r="AU210" s="1609"/>
      <c r="AV210" s="1686"/>
      <c r="AW210" s="1676"/>
      <c r="AX210" s="1677"/>
      <c r="AY210" s="1687"/>
      <c r="AZ210" s="1679"/>
      <c r="BA210" s="1609"/>
      <c r="BB210" s="1732">
        <f>'qtrP&amp;L'!DN13</f>
        <v>11070.016059999998</v>
      </c>
      <c r="BC210" s="1611">
        <f>'qtrP&amp;L'!DL20</f>
        <v>0</v>
      </c>
      <c r="BD210" s="1956">
        <f>+D210+W210+AC210+AI210</f>
        <v>11070.016059999998</v>
      </c>
      <c r="BE210" s="1638" t="str">
        <f>IF(ROUND(BB210,1)=ROUND(BD210,1),"y","n")</f>
        <v>y</v>
      </c>
      <c r="BF210" s="1613">
        <f>+(BD210/BD203-1)*100</f>
        <v>0.99716131786962148</v>
      </c>
      <c r="BG210" s="1611">
        <f>qtrSales!F211</f>
        <v>2.2109307790832604</v>
      </c>
      <c r="BH210" s="1625">
        <f>'qtrP&amp;L'!DN64</f>
        <v>1210.3715410399993</v>
      </c>
      <c r="BI210" s="1643">
        <f>+BH210/BB210*100</f>
        <v>10.933783063003068</v>
      </c>
      <c r="BJ210" s="1624">
        <f>-(BH210-G210-Z210-AF210-AL210)</f>
        <v>108.40084988800066</v>
      </c>
      <c r="BK210" s="1625">
        <f>+G210+Z210+AF210+AL210-BJ210</f>
        <v>1210.3715410399991</v>
      </c>
      <c r="BL210" s="1638" t="str">
        <f>IF(ROUND(BH210,0)=ROUND(BK210,0),"y","n")</f>
        <v>y</v>
      </c>
      <c r="BM210" s="1618">
        <f>+BK210/BD210*100</f>
        <v>10.933783063003066</v>
      </c>
      <c r="BN210" s="1724">
        <f>BH210-BK210</f>
        <v>0</v>
      </c>
      <c r="BO210" s="1655"/>
      <c r="BP210" s="1608"/>
      <c r="BQ210" s="1609"/>
      <c r="BR210" s="1614"/>
      <c r="BS210" s="1662"/>
      <c r="BT210" s="1499"/>
      <c r="BU210" s="1422">
        <f>+D210/$BD210</f>
        <v>0.59303210803110629</v>
      </c>
      <c r="BV210" s="1628"/>
      <c r="BW210" s="1628"/>
      <c r="BX210" s="1422">
        <f>+W210/$BD210</f>
        <v>0.10145179211239555</v>
      </c>
      <c r="BY210" s="1422">
        <f>+AC210/BD210</f>
        <v>0.14874445249901475</v>
      </c>
      <c r="BZ210" s="1422">
        <f>+AI210/BD210</f>
        <v>0.15677164735748364</v>
      </c>
      <c r="CA210" s="1422"/>
      <c r="CB210" s="467"/>
      <c r="CC210" s="1422">
        <f>+G210/$BK210</f>
        <v>0.71594833928052737</v>
      </c>
      <c r="CD210" s="1628"/>
      <c r="CE210" s="1628"/>
      <c r="CF210" s="1422">
        <f>+Z210/$BK210</f>
        <v>9.7426829400397319E-2</v>
      </c>
      <c r="CG210" s="1422">
        <f>+AF210/$BK210</f>
        <v>8.978716523243882E-2</v>
      </c>
      <c r="CH210" s="1422">
        <f>+AL210/$BK210</f>
        <v>0.18639764516120944</v>
      </c>
      <c r="CI210" s="1422">
        <f>+AR210/$BK210</f>
        <v>0</v>
      </c>
      <c r="CJ210" s="1422"/>
    </row>
    <row r="211" spans="1:88" outlineLevel="1">
      <c r="A211" s="1499"/>
      <c r="B211" s="1499" t="str">
        <f>$B$15</f>
        <v>Year</v>
      </c>
      <c r="C211" s="1667"/>
      <c r="D211" s="1654">
        <f>+SUM(D207:D210)</f>
        <v>22755.018556000003</v>
      </c>
      <c r="E211" s="1608">
        <f>+(D211/D204-1)*100</f>
        <v>2.2738602564013499</v>
      </c>
      <c r="F211" s="1609">
        <f>+SegqtrSales!F176</f>
        <v>1.9999999999999998</v>
      </c>
      <c r="G211" s="1614">
        <f>+SUM(G207:G210)</f>
        <v>3014.4261575240002</v>
      </c>
      <c r="H211" s="1662"/>
      <c r="I211" s="1662">
        <f>+G211/D211*100</f>
        <v>13.247302568026964</v>
      </c>
      <c r="J211" s="1765">
        <f>I211-I204</f>
        <v>-8.7722268917538315E-3</v>
      </c>
      <c r="K211" s="1610"/>
      <c r="L211" s="1608"/>
      <c r="M211" s="1609"/>
      <c r="N211" s="1499"/>
      <c r="O211" s="1662"/>
      <c r="P211" s="1609"/>
      <c r="Q211" s="1610"/>
      <c r="R211" s="1608"/>
      <c r="S211" s="1609"/>
      <c r="T211" s="1499"/>
      <c r="U211" s="1662"/>
      <c r="V211" s="1609"/>
      <c r="W211" s="1654">
        <f>+SUM(W207:W210)</f>
        <v>3956.0110719999998</v>
      </c>
      <c r="X211" s="1608">
        <f>+(W211/W204-1)*100</f>
        <v>8.6135305283885124</v>
      </c>
      <c r="Y211" s="1609">
        <f>+SegqtrSales!F352</f>
        <v>3.3154102501965896</v>
      </c>
      <c r="Z211" s="1614">
        <f>+SUM(Z207:Z210)</f>
        <v>506.33705697799996</v>
      </c>
      <c r="AA211" s="1662">
        <f>+Z211/W211*100</f>
        <v>12.799181998295477</v>
      </c>
      <c r="AB211" s="1765">
        <f>AA211-AA204</f>
        <v>-1.7552374563211632</v>
      </c>
      <c r="AC211" s="1655">
        <f>+SUM(AC207:AC210)</f>
        <v>5410.7518010000003</v>
      </c>
      <c r="AD211" s="1608">
        <f>+(AC211/AC204-1)*100</f>
        <v>11.402277458544452</v>
      </c>
      <c r="AE211" s="1609">
        <f>+SegqtrSales!F529</f>
        <v>2.1336431338185493</v>
      </c>
      <c r="AF211" s="1614">
        <f>+SUM(AF207:AF210)</f>
        <v>300.60450484</v>
      </c>
      <c r="AG211" s="1662">
        <f>+AF211/AC211*100</f>
        <v>5.5556883016597265</v>
      </c>
      <c r="AH211" s="1765">
        <f>AG211-AG204</f>
        <v>0.42435997187903496</v>
      </c>
      <c r="AI211" s="1655">
        <f>+SUM(AI207:AI210)</f>
        <v>5720.0251464000003</v>
      </c>
      <c r="AJ211" s="1608">
        <f>+(AI211/AI204-1)*100</f>
        <v>11.799422288797757</v>
      </c>
      <c r="AK211" s="1609">
        <f>+SegqtrSales!F706</f>
        <v>2.7735734150023559</v>
      </c>
      <c r="AL211" s="1614">
        <f>+SUM(AL207:AL210)</f>
        <v>700.05888043280004</v>
      </c>
      <c r="AM211" s="1618">
        <f>+AL211/AI211*100</f>
        <v>12.238737811727884</v>
      </c>
      <c r="AN211" s="1609">
        <f>AM211-AM204</f>
        <v>-0.94476019700025304</v>
      </c>
      <c r="AO211" s="1654"/>
      <c r="AP211" s="1608"/>
      <c r="AQ211" s="1609"/>
      <c r="AR211" s="1614"/>
      <c r="AS211" s="1618"/>
      <c r="AT211" s="1609"/>
      <c r="AU211" s="1609"/>
      <c r="AV211" s="1688"/>
      <c r="AW211" s="1676"/>
      <c r="AX211" s="1677"/>
      <c r="AY211" s="1678"/>
      <c r="AZ211" s="1679"/>
      <c r="BA211" s="1609"/>
      <c r="BB211" s="1711">
        <f>'qtrP&amp;L'!DN14</f>
        <v>37841.806575399998</v>
      </c>
      <c r="BC211" s="1611">
        <f>'qtrP&amp;L'!DL21</f>
        <v>18.245364081831283</v>
      </c>
      <c r="BD211" s="1614">
        <f>+D211+W211+AC211+AI211+AO211</f>
        <v>37841.806575400005</v>
      </c>
      <c r="BE211" s="1638" t="str">
        <f>IF(ROUND(BB211,2)=ROUND(BD211,2),"y","n")</f>
        <v>y</v>
      </c>
      <c r="BF211" s="1608">
        <f>+(BD211/BD204-1)*100</f>
        <v>5.5127871138009432</v>
      </c>
      <c r="BG211" s="1611">
        <f>qtrSales!F212</f>
        <v>2.2735531853315218</v>
      </c>
      <c r="BH211" s="1614">
        <f>'qtrP&amp;L'!DN65</f>
        <v>4110.2720385814009</v>
      </c>
      <c r="BI211" s="1662">
        <f>+BH211/BB211*100</f>
        <v>10.861722551199193</v>
      </c>
      <c r="BJ211" s="1621">
        <f>SUM(BJ207:BJ210)</f>
        <v>411.15456119339916</v>
      </c>
      <c r="BK211" s="1614">
        <f>+G211+Z211+AF211+AL211-BJ211</f>
        <v>4110.2720385814018</v>
      </c>
      <c r="BL211" s="1638" t="str">
        <f>IF(ROUND(BH211,0)=ROUND(BK211,0),"y","n")</f>
        <v>y</v>
      </c>
      <c r="BM211" s="1618">
        <f>+BK211/BD211*100</f>
        <v>10.861722551199195</v>
      </c>
      <c r="BN211" s="1724"/>
      <c r="BO211" s="1655"/>
      <c r="BP211" s="1608"/>
      <c r="BQ211" s="1609"/>
      <c r="BR211" s="1614"/>
      <c r="BS211" s="1662"/>
      <c r="BT211" s="1499"/>
      <c r="BU211" s="1460">
        <f>+D211/$BD211</f>
        <v>0.60131956202092263</v>
      </c>
      <c r="BV211" s="1664"/>
      <c r="BW211" s="1664"/>
      <c r="BX211" s="1460">
        <f>+W211/$BD211</f>
        <v>0.10454075611103888</v>
      </c>
      <c r="BY211" s="1460">
        <f>+AC211/BD211</f>
        <v>0.14298344319843842</v>
      </c>
      <c r="BZ211" s="1460">
        <f>+AI211/BD211</f>
        <v>0.15115623866959996</v>
      </c>
      <c r="CA211" s="1460"/>
      <c r="CB211" s="1499"/>
      <c r="CC211" s="1460">
        <f>+G211/$BK211</f>
        <v>0.73338847872570101</v>
      </c>
      <c r="CD211" s="1664"/>
      <c r="CE211" s="1664"/>
      <c r="CF211" s="1460">
        <f>+Z211/$BK211</f>
        <v>0.1231882104700677</v>
      </c>
      <c r="CG211" s="1460">
        <f>+AF211/$BK211</f>
        <v>7.3134941438997569E-2</v>
      </c>
      <c r="CH211" s="1460">
        <f>+AL211/$BK211</f>
        <v>0.17031935450053928</v>
      </c>
      <c r="CI211" s="1460">
        <f>+AR211/$BK211</f>
        <v>0</v>
      </c>
      <c r="CJ211" s="1460"/>
    </row>
    <row r="212" spans="1:88">
      <c r="A212" s="467"/>
      <c r="B212" s="467"/>
      <c r="C212" s="467"/>
      <c r="D212" s="1727"/>
      <c r="E212" s="1088"/>
      <c r="F212" s="1088"/>
      <c r="G212" s="1460"/>
      <c r="H212" s="1088"/>
      <c r="I212" s="746"/>
      <c r="J212" s="702"/>
      <c r="K212" s="1605"/>
      <c r="L212" s="1605"/>
      <c r="M212" s="1605"/>
      <c r="N212" s="467"/>
      <c r="O212" s="467"/>
      <c r="P212" s="1605"/>
      <c r="Q212" s="1605"/>
      <c r="R212" s="1605"/>
      <c r="S212" s="1605"/>
      <c r="T212" s="467"/>
      <c r="U212" s="467"/>
      <c r="V212" s="1605"/>
      <c r="W212" s="1727"/>
      <c r="X212" s="1088"/>
      <c r="Y212" s="1088"/>
      <c r="Z212" s="1499"/>
      <c r="AA212" s="746"/>
      <c r="AB212" s="702"/>
      <c r="AC212" s="1727"/>
      <c r="AD212" s="1088"/>
      <c r="AE212" s="1088"/>
      <c r="AF212" s="1728"/>
      <c r="AG212" s="1729"/>
      <c r="AH212" s="702"/>
      <c r="AI212" s="1727"/>
      <c r="AJ212" s="1088"/>
      <c r="AM212" s="746"/>
      <c r="AN212" s="702"/>
      <c r="AO212" s="800"/>
      <c r="AP212" s="1088"/>
      <c r="AQ212" s="1088"/>
      <c r="AR212" s="1499"/>
      <c r="AS212" s="1499"/>
      <c r="AT212" s="702"/>
      <c r="AU212" s="702"/>
      <c r="AV212" s="1730"/>
      <c r="AW212" s="1707"/>
      <c r="AX212" s="1707"/>
      <c r="AY212" s="1708"/>
      <c r="AZ212" s="1708"/>
      <c r="BA212" s="487"/>
      <c r="BC212" s="693"/>
      <c r="BE212" s="1710"/>
      <c r="BF212" s="487"/>
      <c r="BG212" s="487"/>
      <c r="BH212" s="693"/>
      <c r="BI212" s="693"/>
      <c r="BL212" s="1710"/>
      <c r="BM212" s="467"/>
      <c r="BN212" s="467"/>
      <c r="BO212" s="800"/>
      <c r="BP212" s="1088"/>
      <c r="BQ212" s="1088"/>
      <c r="BR212" s="1499"/>
      <c r="BS212" s="467"/>
      <c r="BT212" s="467"/>
      <c r="BU212" s="467"/>
      <c r="BV212" s="467"/>
      <c r="BW212" s="467"/>
      <c r="BX212" s="467"/>
      <c r="BY212" s="467"/>
      <c r="BZ212" s="467"/>
      <c r="CA212" s="467"/>
      <c r="CB212" s="467"/>
      <c r="CC212" s="467"/>
      <c r="CD212" s="467"/>
      <c r="CE212" s="467"/>
      <c r="CF212" s="467"/>
      <c r="CG212" s="467"/>
      <c r="CH212" s="467"/>
      <c r="CI212" s="467"/>
      <c r="CJ212" s="467"/>
    </row>
    <row r="213" spans="1:88">
      <c r="A213" s="467"/>
      <c r="B213" s="467"/>
      <c r="C213" s="2040">
        <v>2017</v>
      </c>
      <c r="D213" s="2040" t="s">
        <v>850</v>
      </c>
      <c r="E213" s="2044" t="s">
        <v>527</v>
      </c>
      <c r="F213" s="2045">
        <f>F193+F200</f>
        <v>6</v>
      </c>
      <c r="G213" s="1460"/>
      <c r="H213" s="1088"/>
      <c r="I213" s="746"/>
      <c r="J213" s="702"/>
      <c r="K213" s="1605"/>
      <c r="L213" s="1605"/>
      <c r="M213" s="1605"/>
      <c r="N213" s="467"/>
      <c r="O213" s="467"/>
      <c r="P213" s="1605"/>
      <c r="Q213" s="1605"/>
      <c r="R213" s="1605"/>
      <c r="S213" s="1605"/>
      <c r="T213" s="467"/>
      <c r="U213" s="467"/>
      <c r="V213" s="1605"/>
      <c r="W213" s="1943"/>
      <c r="X213" s="2037" t="s">
        <v>527</v>
      </c>
      <c r="Y213" s="2039">
        <f>Y193+Y200</f>
        <v>17</v>
      </c>
      <c r="Z213" s="1499"/>
      <c r="AA213" s="746"/>
      <c r="AB213" s="702"/>
      <c r="AC213" s="1727"/>
      <c r="AD213" s="2037" t="s">
        <v>527</v>
      </c>
      <c r="AE213" s="2039">
        <f>AE193+AE200</f>
        <v>4</v>
      </c>
      <c r="AF213" s="1728"/>
      <c r="AG213" s="1729"/>
      <c r="AH213" s="702"/>
      <c r="AI213" s="1727"/>
      <c r="AJ213" s="2044" t="s">
        <v>527</v>
      </c>
      <c r="AK213" s="2045">
        <f>AK193+AK200</f>
        <v>12</v>
      </c>
      <c r="AL213" s="492"/>
      <c r="AM213" s="746"/>
      <c r="AN213" s="702"/>
      <c r="AO213" s="800"/>
      <c r="AP213" s="1088"/>
      <c r="AQ213" s="1088"/>
      <c r="AR213" s="1499"/>
      <c r="AS213" s="1499"/>
      <c r="AT213" s="702"/>
      <c r="AU213" s="702"/>
      <c r="AV213" s="1730"/>
      <c r="AW213" s="1707"/>
      <c r="AX213" s="1707"/>
      <c r="AY213" s="1708"/>
      <c r="AZ213" s="1708"/>
      <c r="BA213" s="487"/>
      <c r="BC213" s="693"/>
      <c r="BE213" s="1710"/>
      <c r="BF213" s="487"/>
      <c r="BG213" s="487"/>
      <c r="BH213" s="1734"/>
      <c r="BI213" s="693"/>
      <c r="BK213" s="1735">
        <f>BH203-BK203</f>
        <v>99.249999999999545</v>
      </c>
      <c r="BL213" s="1710"/>
      <c r="BM213" s="467"/>
      <c r="BN213" s="467"/>
      <c r="BO213" s="800"/>
      <c r="BP213" s="1088"/>
      <c r="BQ213" s="1088"/>
      <c r="BR213" s="1499"/>
      <c r="BS213" s="467"/>
      <c r="BT213" s="467"/>
      <c r="BU213" s="467"/>
      <c r="BV213" s="467"/>
      <c r="BW213" s="467"/>
      <c r="BX213" s="467"/>
      <c r="BY213" s="467"/>
      <c r="BZ213" s="467"/>
      <c r="CA213" s="467"/>
      <c r="CB213" s="467"/>
      <c r="CC213" s="467"/>
      <c r="CD213" s="467"/>
      <c r="CE213" s="467"/>
      <c r="CF213" s="467"/>
      <c r="CG213" s="467"/>
      <c r="CH213" s="467"/>
      <c r="CI213" s="467"/>
      <c r="CJ213" s="467"/>
    </row>
    <row r="214" spans="1:88">
      <c r="A214" s="467"/>
      <c r="B214" s="467"/>
      <c r="C214" s="693"/>
      <c r="D214" s="693"/>
      <c r="E214" s="2044" t="s">
        <v>528</v>
      </c>
      <c r="F214" s="2045">
        <f>F194+F201</f>
        <v>6</v>
      </c>
      <c r="G214" s="1460"/>
      <c r="H214" s="1088"/>
      <c r="I214" s="746"/>
      <c r="J214" s="702"/>
      <c r="K214" s="1605"/>
      <c r="L214" s="1605"/>
      <c r="M214" s="1605"/>
      <c r="N214" s="467"/>
      <c r="O214" s="467"/>
      <c r="P214" s="1605"/>
      <c r="Q214" s="1605"/>
      <c r="R214" s="1605"/>
      <c r="S214" s="1605"/>
      <c r="T214" s="467"/>
      <c r="U214" s="467"/>
      <c r="V214" s="1605"/>
      <c r="W214" s="1727"/>
      <c r="X214" s="2037" t="s">
        <v>528</v>
      </c>
      <c r="Y214" s="2039">
        <f>Y194+Y201</f>
        <v>16</v>
      </c>
      <c r="Z214" s="1499"/>
      <c r="AA214" s="746"/>
      <c r="AB214" s="702"/>
      <c r="AC214" s="1727"/>
      <c r="AD214" s="2037" t="s">
        <v>528</v>
      </c>
      <c r="AE214" s="2039">
        <f>AE194+AE201</f>
        <v>3</v>
      </c>
      <c r="AF214" s="2047"/>
      <c r="AG214" s="1729"/>
      <c r="AH214" s="702"/>
      <c r="AI214" s="1727"/>
      <c r="AJ214" s="2044" t="s">
        <v>528</v>
      </c>
      <c r="AK214" s="2045">
        <f>AK194+AK201</f>
        <v>12</v>
      </c>
      <c r="AM214" s="1736"/>
      <c r="AN214" s="702"/>
      <c r="AO214" s="800"/>
      <c r="AP214" s="1088"/>
      <c r="AQ214" s="1088"/>
      <c r="AR214" s="1499"/>
      <c r="AS214" s="1499"/>
      <c r="AT214" s="702"/>
      <c r="AU214" s="702"/>
      <c r="AV214" s="1730"/>
      <c r="AW214" s="1707"/>
      <c r="AX214" s="1707"/>
      <c r="AY214" s="1708"/>
      <c r="AZ214" s="1708"/>
      <c r="BA214" s="487"/>
      <c r="BC214" s="693"/>
      <c r="BE214" s="1710"/>
      <c r="BF214" s="487"/>
      <c r="BG214" s="487"/>
      <c r="BH214" s="693"/>
      <c r="BI214" s="693"/>
      <c r="BL214" s="1710"/>
      <c r="BM214" s="467"/>
      <c r="BN214" s="467"/>
      <c r="BO214" s="800"/>
      <c r="BP214" s="1088"/>
      <c r="BQ214" s="1088"/>
      <c r="BR214" s="1499"/>
      <c r="BS214" s="467"/>
      <c r="BT214" s="467"/>
      <c r="BU214" s="467"/>
      <c r="BV214" s="467"/>
      <c r="BW214" s="467"/>
      <c r="BX214" s="467"/>
      <c r="BY214" s="467"/>
      <c r="BZ214" s="467"/>
      <c r="CA214" s="467"/>
      <c r="CB214" s="467"/>
      <c r="CC214" s="467"/>
      <c r="CD214" s="467"/>
      <c r="CE214" s="467"/>
      <c r="CF214" s="467"/>
      <c r="CG214" s="467"/>
      <c r="CH214" s="467"/>
      <c r="CI214" s="467"/>
      <c r="CJ214" s="467"/>
    </row>
    <row r="215" spans="1:88">
      <c r="A215" s="467"/>
      <c r="B215" s="467"/>
      <c r="C215" s="467"/>
      <c r="E215" s="2044" t="s">
        <v>529</v>
      </c>
      <c r="F215" s="2045">
        <f>F195+F202</f>
        <v>4</v>
      </c>
      <c r="G215" s="1499"/>
      <c r="H215" s="1088"/>
      <c r="I215" s="746"/>
      <c r="J215" s="702"/>
      <c r="K215" s="1605"/>
      <c r="L215" s="1605"/>
      <c r="M215" s="1605"/>
      <c r="N215" s="467"/>
      <c r="O215" s="467"/>
      <c r="P215" s="1605"/>
      <c r="Q215" s="1605"/>
      <c r="R215" s="1605"/>
      <c r="S215" s="1605"/>
      <c r="T215" s="467"/>
      <c r="U215" s="467"/>
      <c r="V215" s="1605"/>
      <c r="W215" s="1727"/>
      <c r="X215" s="2037" t="s">
        <v>529</v>
      </c>
      <c r="Y215" s="2039">
        <f>Y195+Y202</f>
        <v>12</v>
      </c>
      <c r="Z215" s="1499"/>
      <c r="AA215" s="746"/>
      <c r="AB215" s="702"/>
      <c r="AC215" s="1727"/>
      <c r="AD215" s="2037" t="s">
        <v>529</v>
      </c>
      <c r="AE215" s="2039">
        <f>AE195+AE202</f>
        <v>1</v>
      </c>
      <c r="AF215" s="1728"/>
      <c r="AG215" s="1729"/>
      <c r="AH215" s="702"/>
      <c r="AI215" s="1727"/>
      <c r="AJ215" s="2044" t="s">
        <v>529</v>
      </c>
      <c r="AK215" s="2045">
        <f>AK195+AK202</f>
        <v>9</v>
      </c>
      <c r="AM215" s="746"/>
      <c r="AN215" s="702"/>
      <c r="AO215" s="800"/>
      <c r="AP215" s="1088"/>
      <c r="AQ215" s="1088"/>
      <c r="AR215" s="1499"/>
      <c r="AS215" s="1499"/>
      <c r="AT215" s="702"/>
      <c r="AU215" s="702"/>
      <c r="AV215" s="1730"/>
      <c r="AW215" s="1707"/>
      <c r="AX215" s="1707"/>
      <c r="AY215" s="1708"/>
      <c r="AZ215" s="1708"/>
      <c r="BA215" s="487"/>
      <c r="BC215" s="693"/>
      <c r="BE215" s="1710"/>
      <c r="BF215" s="487"/>
      <c r="BG215" s="487"/>
      <c r="BH215" s="693"/>
      <c r="BI215" s="693"/>
      <c r="BL215" s="1710"/>
      <c r="BM215" s="467"/>
      <c r="BN215" s="467"/>
      <c r="BO215" s="800"/>
      <c r="BP215" s="1088"/>
      <c r="BQ215" s="1088"/>
      <c r="BR215" s="1499"/>
      <c r="BS215" s="467"/>
      <c r="BT215" s="467"/>
      <c r="BU215" s="467"/>
      <c r="BV215" s="467"/>
      <c r="BW215" s="467"/>
      <c r="BX215" s="467"/>
      <c r="BY215" s="467"/>
      <c r="BZ215" s="467"/>
      <c r="CA215" s="467"/>
      <c r="CB215" s="467"/>
      <c r="CC215" s="467"/>
      <c r="CD215" s="467"/>
      <c r="CE215" s="467"/>
      <c r="CF215" s="467"/>
      <c r="CG215" s="467"/>
      <c r="CH215" s="467"/>
      <c r="CI215" s="467"/>
      <c r="CJ215" s="467"/>
    </row>
    <row r="216" spans="1:88">
      <c r="A216" s="467"/>
      <c r="B216" s="467"/>
      <c r="C216" s="467"/>
      <c r="E216" s="2095" t="s">
        <v>530</v>
      </c>
      <c r="F216" s="2099">
        <f>F196+F203</f>
        <v>6</v>
      </c>
      <c r="G216" s="1499"/>
      <c r="H216" s="1088"/>
      <c r="I216" s="746"/>
      <c r="J216" s="702"/>
      <c r="K216" s="1605"/>
      <c r="L216" s="1605"/>
      <c r="M216" s="1605"/>
      <c r="N216" s="467"/>
      <c r="O216" s="467"/>
      <c r="P216" s="1605"/>
      <c r="Q216" s="1605"/>
      <c r="R216" s="1605"/>
      <c r="S216" s="1605"/>
      <c r="T216" s="467"/>
      <c r="U216" s="467"/>
      <c r="V216" s="1605"/>
      <c r="W216" s="1727"/>
      <c r="X216" s="2096" t="s">
        <v>530</v>
      </c>
      <c r="Y216" s="2100">
        <f>Y196+Y203</f>
        <v>11</v>
      </c>
      <c r="Z216" s="1499"/>
      <c r="AA216" s="746"/>
      <c r="AB216" s="702"/>
      <c r="AC216" s="1727"/>
      <c r="AD216" s="2096" t="s">
        <v>530</v>
      </c>
      <c r="AE216" s="2100">
        <f>AE196+AE203</f>
        <v>5</v>
      </c>
      <c r="AF216" s="1728"/>
      <c r="AG216" s="1729"/>
      <c r="AH216" s="702"/>
      <c r="AI216" s="1727"/>
      <c r="AJ216" s="2095" t="s">
        <v>530</v>
      </c>
      <c r="AK216" s="2099">
        <f>AK196+AK203</f>
        <v>8</v>
      </c>
      <c r="AM216" s="746"/>
      <c r="AN216" s="702"/>
      <c r="AO216" s="800"/>
      <c r="AP216" s="1088"/>
      <c r="AQ216" s="1088"/>
      <c r="AR216" s="1499"/>
      <c r="AS216" s="1499"/>
      <c r="AT216" s="702"/>
      <c r="AU216" s="702"/>
      <c r="AV216" s="1730"/>
      <c r="AW216" s="1707"/>
      <c r="AX216" s="1707"/>
      <c r="AY216" s="1708"/>
      <c r="AZ216" s="1708"/>
      <c r="BA216" s="487"/>
      <c r="BC216" s="693"/>
      <c r="BE216" s="1710"/>
      <c r="BF216" s="487"/>
      <c r="BG216" s="487"/>
      <c r="BH216" s="693"/>
      <c r="BI216" s="693"/>
      <c r="BL216" s="1710"/>
      <c r="BM216" s="467"/>
      <c r="BN216" s="467"/>
      <c r="BO216" s="800"/>
      <c r="BP216" s="1088"/>
      <c r="BQ216" s="1088"/>
      <c r="BR216" s="1499"/>
      <c r="BS216" s="467"/>
      <c r="BT216" s="467"/>
      <c r="BU216" s="467"/>
      <c r="BV216" s="467"/>
      <c r="BW216" s="467"/>
      <c r="BX216" s="467"/>
      <c r="BY216" s="467"/>
      <c r="BZ216" s="467"/>
      <c r="CA216" s="467"/>
      <c r="CB216" s="467"/>
      <c r="CC216" s="467"/>
      <c r="CD216" s="467"/>
      <c r="CE216" s="467"/>
      <c r="CF216" s="467"/>
      <c r="CG216" s="467"/>
      <c r="CH216" s="467"/>
      <c r="CI216" s="467"/>
      <c r="CJ216" s="467"/>
    </row>
    <row r="217" spans="1:88">
      <c r="A217" s="467"/>
      <c r="B217" s="467"/>
      <c r="C217" s="467"/>
      <c r="E217" s="2044" t="s">
        <v>738</v>
      </c>
      <c r="F217" s="2046">
        <f>F197+F204</f>
        <v>6</v>
      </c>
      <c r="G217" s="1499"/>
      <c r="H217" s="1088"/>
      <c r="I217" s="746"/>
      <c r="J217" s="702"/>
      <c r="K217" s="1605"/>
      <c r="L217" s="1605"/>
      <c r="M217" s="1605"/>
      <c r="N217" s="467"/>
      <c r="O217" s="467"/>
      <c r="P217" s="1605"/>
      <c r="Q217" s="1605"/>
      <c r="R217" s="1605"/>
      <c r="S217" s="1605"/>
      <c r="T217" s="467"/>
      <c r="U217" s="467"/>
      <c r="V217" s="1605"/>
      <c r="W217" s="1727"/>
      <c r="X217" s="2037" t="s">
        <v>738</v>
      </c>
      <c r="Y217" s="2038">
        <f>Y197+Y204</f>
        <v>13</v>
      </c>
      <c r="Z217" s="1499"/>
      <c r="AA217" s="746"/>
      <c r="AB217" s="702"/>
      <c r="AC217" s="1727"/>
      <c r="AD217" s="2037" t="s">
        <v>738</v>
      </c>
      <c r="AE217" s="2038">
        <f>AE197+AE204</f>
        <v>4</v>
      </c>
      <c r="AF217" s="1728"/>
      <c r="AG217" s="1729"/>
      <c r="AH217" s="702"/>
      <c r="AI217" s="1727"/>
      <c r="AJ217" s="2044" t="s">
        <v>738</v>
      </c>
      <c r="AK217" s="2046">
        <f>AK197+AK204</f>
        <v>10</v>
      </c>
      <c r="AM217" s="746"/>
      <c r="AN217" s="702"/>
      <c r="AO217" s="800"/>
      <c r="AP217" s="1088"/>
      <c r="AQ217" s="1088"/>
      <c r="AR217" s="1499"/>
      <c r="AS217" s="1499"/>
      <c r="AT217" s="702"/>
      <c r="AU217" s="702"/>
      <c r="AV217" s="1730"/>
      <c r="AW217" s="1707"/>
      <c r="AX217" s="1707"/>
      <c r="AY217" s="1708"/>
      <c r="AZ217" s="1708"/>
      <c r="BA217" s="487"/>
      <c r="BC217" s="693"/>
      <c r="BE217" s="1710"/>
      <c r="BF217" s="487"/>
      <c r="BG217" s="487"/>
      <c r="BH217" s="693"/>
      <c r="BI217" s="693"/>
      <c r="BL217" s="1710"/>
      <c r="BM217" s="467"/>
      <c r="BN217" s="467"/>
      <c r="BO217" s="800"/>
      <c r="BP217" s="1088"/>
      <c r="BQ217" s="1088"/>
      <c r="BR217" s="1499"/>
      <c r="BS217" s="467"/>
      <c r="BT217" s="467"/>
      <c r="BU217" s="467"/>
      <c r="BV217" s="467"/>
      <c r="BW217" s="467"/>
      <c r="BX217" s="467"/>
      <c r="BY217" s="467"/>
      <c r="BZ217" s="467"/>
      <c r="CA217" s="467"/>
      <c r="CB217" s="467"/>
      <c r="CC217" s="467"/>
      <c r="CD217" s="467"/>
      <c r="CE217" s="467"/>
      <c r="CF217" s="467"/>
      <c r="CG217" s="467"/>
      <c r="CH217" s="467"/>
      <c r="CI217" s="467"/>
      <c r="CJ217" s="467"/>
    </row>
    <row r="218" spans="1:88">
      <c r="A218" s="467"/>
      <c r="B218" s="467"/>
      <c r="C218" s="467"/>
      <c r="D218" s="1727"/>
      <c r="E218" s="2084" t="s">
        <v>377</v>
      </c>
      <c r="F218" s="1088"/>
      <c r="G218" s="1499"/>
      <c r="H218" s="1088"/>
      <c r="I218" s="746"/>
      <c r="J218" s="702"/>
      <c r="K218" s="1605"/>
      <c r="L218" s="1605"/>
      <c r="M218" s="1605"/>
      <c r="N218" s="467"/>
      <c r="O218" s="467"/>
      <c r="P218" s="1605"/>
      <c r="Q218" s="1605"/>
      <c r="R218" s="1605"/>
      <c r="S218" s="1605"/>
      <c r="T218" s="467"/>
      <c r="U218" s="467"/>
      <c r="V218" s="1605"/>
      <c r="W218" s="1727"/>
      <c r="X218" s="2084" t="s">
        <v>755</v>
      </c>
      <c r="Y218" s="1088"/>
      <c r="Z218" s="1499"/>
      <c r="AA218" s="746"/>
      <c r="AB218" s="702"/>
      <c r="AC218" s="1727"/>
      <c r="AD218" s="2084" t="s">
        <v>861</v>
      </c>
      <c r="AE218" s="1088"/>
      <c r="AF218" s="1728"/>
      <c r="AG218" s="1729"/>
      <c r="AH218" s="702"/>
      <c r="AI218" s="1727"/>
      <c r="AJ218" s="2084" t="s">
        <v>381</v>
      </c>
      <c r="AK218" s="1088"/>
      <c r="AM218" s="746"/>
      <c r="AN218" s="702"/>
      <c r="AO218" s="800"/>
      <c r="AP218" s="1088"/>
      <c r="AQ218" s="1088"/>
      <c r="AR218" s="1499"/>
      <c r="AS218" s="1499"/>
      <c r="AT218" s="702"/>
      <c r="AU218" s="702"/>
      <c r="AV218" s="1730"/>
      <c r="AW218" s="1707"/>
      <c r="AX218" s="1707"/>
      <c r="AY218" s="1708"/>
      <c r="AZ218" s="1708"/>
      <c r="BA218" s="487"/>
      <c r="BC218" s="693"/>
      <c r="BE218" s="1710"/>
      <c r="BF218" s="487"/>
      <c r="BG218" s="487"/>
      <c r="BH218" s="693"/>
      <c r="BI218" s="693"/>
      <c r="BL218" s="1710"/>
      <c r="BM218" s="467"/>
      <c r="BN218" s="467"/>
      <c r="BO218" s="800"/>
      <c r="BP218" s="1088"/>
      <c r="BQ218" s="1088"/>
      <c r="BR218" s="1499"/>
      <c r="BS218" s="467"/>
      <c r="BT218" s="467"/>
      <c r="BU218" s="467"/>
      <c r="BV218" s="467"/>
      <c r="BW218" s="467"/>
      <c r="BX218" s="467"/>
      <c r="BY218" s="467"/>
      <c r="BZ218" s="467"/>
      <c r="CA218" s="467"/>
      <c r="CB218" s="467"/>
      <c r="CC218" s="467"/>
      <c r="CD218" s="467"/>
      <c r="CE218" s="467"/>
      <c r="CF218" s="467"/>
      <c r="CG218" s="467"/>
      <c r="CH218" s="467"/>
      <c r="CI218" s="467"/>
      <c r="CJ218" s="467"/>
    </row>
    <row r="219" spans="1:88">
      <c r="A219" s="467"/>
      <c r="B219" s="467"/>
      <c r="C219" s="467"/>
      <c r="D219" s="1727"/>
      <c r="E219" s="1088"/>
      <c r="F219" s="1088"/>
      <c r="G219" s="1499"/>
      <c r="H219" s="1088"/>
      <c r="I219" s="746"/>
      <c r="J219" s="702"/>
      <c r="K219" s="1605"/>
      <c r="L219" s="1605"/>
      <c r="M219" s="1605"/>
      <c r="N219" s="467"/>
      <c r="O219" s="467"/>
      <c r="P219" s="1605"/>
      <c r="Q219" s="1605"/>
      <c r="R219" s="1605"/>
      <c r="S219" s="1605"/>
      <c r="T219" s="467"/>
      <c r="U219" s="467"/>
      <c r="V219" s="1605"/>
      <c r="W219" s="1727"/>
      <c r="X219" s="1088"/>
      <c r="Y219" s="1088"/>
      <c r="Z219" s="1499"/>
      <c r="AA219" s="746"/>
      <c r="AB219" s="702"/>
      <c r="AC219" s="1727"/>
      <c r="AD219" s="1088"/>
      <c r="AE219" s="1088"/>
      <c r="AF219" s="1728"/>
      <c r="AG219" s="1729"/>
      <c r="AH219" s="702"/>
      <c r="AI219" s="1727"/>
      <c r="AJ219" s="1088"/>
      <c r="AK219" s="1088"/>
      <c r="AM219" s="746"/>
      <c r="AN219" s="702"/>
      <c r="AO219" s="800"/>
      <c r="AP219" s="1088"/>
      <c r="AQ219" s="1088"/>
      <c r="AR219" s="1499"/>
      <c r="AS219" s="1499"/>
      <c r="AT219" s="702"/>
      <c r="AU219" s="702"/>
      <c r="AV219" s="1730"/>
      <c r="AW219" s="1707"/>
      <c r="AX219" s="1707"/>
      <c r="AY219" s="1708"/>
      <c r="AZ219" s="1708"/>
      <c r="BA219" s="487"/>
      <c r="BC219" s="693"/>
      <c r="BE219" s="1710"/>
      <c r="BF219" s="487"/>
      <c r="BG219" s="487"/>
      <c r="BH219" s="693"/>
      <c r="BI219" s="693"/>
      <c r="BJ219" s="1737"/>
      <c r="BL219" s="1710"/>
      <c r="BM219" s="467"/>
      <c r="BN219" s="467"/>
      <c r="BO219" s="800"/>
      <c r="BP219" s="1088"/>
      <c r="BQ219" s="1088"/>
      <c r="BR219" s="1499"/>
      <c r="BS219" s="467"/>
      <c r="BT219" s="467"/>
      <c r="BU219" s="467"/>
      <c r="BV219" s="467"/>
      <c r="BW219" s="467"/>
      <c r="BX219" s="467"/>
      <c r="BY219" s="467"/>
      <c r="BZ219" s="467"/>
      <c r="CA219" s="467"/>
      <c r="CB219" s="467"/>
      <c r="CC219" s="467"/>
      <c r="CD219" s="467"/>
      <c r="CE219" s="467"/>
      <c r="CF219" s="467"/>
      <c r="CG219" s="467"/>
      <c r="CH219" s="467"/>
      <c r="CI219" s="467"/>
      <c r="CJ219" s="467"/>
    </row>
    <row r="220" spans="1:88">
      <c r="A220" s="1738"/>
      <c r="B220" s="1738"/>
      <c r="C220" s="1629"/>
      <c r="D220" s="1739"/>
      <c r="E220" s="702"/>
      <c r="F220" s="702">
        <f>+D160/(D160+D161)*F160++D161/(D160+D161)*F161</f>
        <v>5.0742538153685475</v>
      </c>
      <c r="G220" s="1740"/>
      <c r="H220" s="702"/>
      <c r="I220" s="746">
        <f>+(G160/(G160+G161))*I160+((G161/(G160+G161))*I161)</f>
        <v>13.479972953689852</v>
      </c>
      <c r="J220" s="702"/>
      <c r="K220" s="1605"/>
      <c r="L220" s="1605"/>
      <c r="M220" s="1605"/>
      <c r="N220" s="467"/>
      <c r="O220" s="467"/>
      <c r="P220" s="1605"/>
      <c r="Q220" s="1605"/>
      <c r="R220" s="1605"/>
      <c r="S220" s="1605"/>
      <c r="T220" s="467"/>
      <c r="U220" s="467"/>
      <c r="V220" s="1605"/>
      <c r="W220" s="1605"/>
      <c r="X220" s="702"/>
      <c r="Y220" s="702">
        <f>+W160/(W160+W161)*Y160++W161/(W160+W161)*Y161</f>
        <v>0.56927652069107904</v>
      </c>
      <c r="Z220" s="467"/>
      <c r="AA220" s="746">
        <f>+(Z160/(Z160+Z161)*AA160)+((Z161/(Z160+Z161))*AA161)</f>
        <v>15.605455077338535</v>
      </c>
      <c r="AB220" s="702"/>
      <c r="AC220" s="1741"/>
      <c r="AD220" s="702"/>
      <c r="AE220" s="702">
        <f>+AC160/(AC160+AC161)*AE160++AC161/(AC160+AC161)*AE161</f>
        <v>5.4429014615580398</v>
      </c>
      <c r="AF220" s="467"/>
      <c r="AG220" s="746">
        <f>+(AF160/(AF160+AF161)*AG160)+((AF161/(AF160+AF161))*AG161)</f>
        <v>5.6597615217397408</v>
      </c>
      <c r="AH220" s="702"/>
      <c r="AI220" s="1605"/>
      <c r="AJ220" s="702"/>
      <c r="AK220" s="702">
        <f>+AI160/(AI160+AI161)*AK160++AI161/(AI160+AI161)*AK161</f>
        <v>7.7514742197203521</v>
      </c>
      <c r="AM220" s="746">
        <f>+(AL160/(AL160+AL161)*AM160)+((AL161/(AL160+AL161))*AM161)</f>
        <v>12.419112074276622</v>
      </c>
      <c r="AN220" s="702"/>
      <c r="AO220" s="1605"/>
      <c r="AP220" s="487"/>
      <c r="AQ220" s="487"/>
      <c r="AR220" s="467"/>
      <c r="AS220" s="1742">
        <f>AS147-AS133</f>
        <v>-0.24187839444714232</v>
      </c>
      <c r="AT220" s="702"/>
      <c r="AU220" s="702"/>
      <c r="AV220" s="1605"/>
      <c r="AW220" s="487"/>
      <c r="AX220" s="487"/>
      <c r="AY220" s="467"/>
      <c r="AZ220" s="467"/>
      <c r="BA220" s="487"/>
      <c r="BB220" s="1743"/>
      <c r="BC220" s="1744"/>
      <c r="BE220" s="1710"/>
      <c r="BF220" s="487"/>
      <c r="BG220" s="487"/>
      <c r="BH220" s="693"/>
      <c r="BI220" s="693"/>
      <c r="BJ220" s="1737"/>
      <c r="BL220" s="1710"/>
      <c r="BM220" s="467"/>
      <c r="BN220" s="467"/>
      <c r="BO220" s="800"/>
      <c r="BP220" s="1088"/>
      <c r="BQ220" s="1088"/>
      <c r="BR220" s="1499"/>
      <c r="BS220" s="467"/>
      <c r="BT220" s="467"/>
      <c r="BU220" s="467"/>
      <c r="BV220" s="467"/>
      <c r="BW220" s="467"/>
      <c r="BX220" s="467"/>
      <c r="BY220" s="467"/>
      <c r="BZ220" s="467"/>
      <c r="CA220" s="467"/>
      <c r="CB220" s="467"/>
      <c r="CC220" s="467"/>
      <c r="CD220" s="467"/>
      <c r="CE220" s="467"/>
      <c r="CF220" s="467"/>
      <c r="CG220" s="467"/>
      <c r="CH220" s="467"/>
      <c r="CI220" s="467"/>
      <c r="CJ220" s="467"/>
    </row>
    <row r="221" spans="1:88" hidden="1" outlineLevel="1">
      <c r="A221" s="467"/>
      <c r="B221" s="1668"/>
      <c r="C221" s="1629"/>
      <c r="D221" s="1745" t="s">
        <v>713</v>
      </c>
      <c r="E221" s="702"/>
      <c r="F221" s="702"/>
      <c r="G221" s="467"/>
      <c r="H221" s="702"/>
      <c r="I221" s="467"/>
      <c r="J221" s="702"/>
      <c r="K221" s="1605"/>
      <c r="L221" s="1605"/>
      <c r="M221" s="1605"/>
      <c r="N221" s="467"/>
      <c r="O221" s="467"/>
      <c r="P221" s="1605"/>
      <c r="Q221" s="1605"/>
      <c r="R221" s="1605"/>
      <c r="S221" s="1605"/>
      <c r="T221" s="467"/>
      <c r="U221" s="467"/>
      <c r="V221" s="1605"/>
      <c r="W221" s="1605"/>
      <c r="X221" s="702"/>
      <c r="Y221" s="702"/>
      <c r="Z221" s="467"/>
      <c r="AA221" s="467"/>
      <c r="AB221" s="702"/>
      <c r="AC221" s="1605"/>
      <c r="AD221" s="702"/>
      <c r="AE221" s="702"/>
      <c r="AF221" s="693" t="s">
        <v>718</v>
      </c>
      <c r="AG221" s="467"/>
      <c r="AH221" s="702"/>
      <c r="AI221" s="1605"/>
      <c r="AJ221" s="702"/>
      <c r="AK221" s="702"/>
      <c r="AL221" s="467"/>
      <c r="AM221" s="467"/>
      <c r="AN221" s="702"/>
      <c r="AO221" s="1605"/>
      <c r="AP221" s="487"/>
      <c r="AQ221" s="487"/>
      <c r="AR221" s="467"/>
      <c r="AS221" s="467"/>
      <c r="AT221" s="702"/>
      <c r="AU221" s="702"/>
      <c r="AV221" s="1605">
        <f>235*0.9228</f>
        <v>216.85799999999998</v>
      </c>
      <c r="AW221" s="487"/>
      <c r="AX221" s="487"/>
      <c r="AY221" s="467"/>
      <c r="AZ221" s="467"/>
      <c r="BA221" s="487"/>
      <c r="BB221" s="693"/>
      <c r="BC221" s="1744"/>
      <c r="BD221" s="693"/>
      <c r="BE221" s="1710"/>
      <c r="BF221" s="487"/>
      <c r="BG221" s="487"/>
      <c r="BH221" s="693"/>
      <c r="BI221" s="693"/>
      <c r="BJ221" s="1737"/>
      <c r="BK221" s="1621"/>
      <c r="BL221" s="1710"/>
      <c r="BM221" s="467"/>
      <c r="BN221" s="467"/>
      <c r="BO221" s="800"/>
      <c r="BP221" s="1088"/>
      <c r="BQ221" s="1088"/>
      <c r="BR221" s="1499"/>
      <c r="BS221" s="467"/>
      <c r="BT221" s="467"/>
      <c r="BU221" s="467"/>
      <c r="BV221" s="467"/>
      <c r="BW221" s="467"/>
      <c r="BX221" s="467"/>
      <c r="BY221" s="467"/>
      <c r="BZ221" s="467"/>
      <c r="CA221" s="467"/>
      <c r="CB221" s="467"/>
      <c r="CC221" s="467"/>
      <c r="CD221" s="467"/>
      <c r="CE221" s="467"/>
      <c r="CF221" s="467"/>
      <c r="CG221" s="467"/>
      <c r="CH221" s="467"/>
      <c r="CI221" s="467"/>
      <c r="CJ221" s="467"/>
    </row>
    <row r="222" spans="1:88" hidden="1" outlineLevel="1">
      <c r="A222" s="467"/>
      <c r="B222" s="1668"/>
      <c r="C222" s="1629"/>
      <c r="D222" s="1745" t="s">
        <v>711</v>
      </c>
      <c r="E222" s="702"/>
      <c r="F222" s="702"/>
      <c r="G222" s="467"/>
      <c r="H222" s="702"/>
      <c r="I222" s="467"/>
      <c r="J222" s="702"/>
      <c r="K222" s="1605"/>
      <c r="L222" s="1605"/>
      <c r="M222" s="1605"/>
      <c r="N222" s="467"/>
      <c r="O222" s="467"/>
      <c r="P222" s="1605"/>
      <c r="Q222" s="1605"/>
      <c r="R222" s="1605"/>
      <c r="S222" s="1605"/>
      <c r="T222" s="467"/>
      <c r="U222" s="467"/>
      <c r="V222" s="1605"/>
      <c r="W222" s="1605"/>
      <c r="X222" s="702"/>
      <c r="Y222" s="702"/>
      <c r="Z222" s="467"/>
      <c r="AA222" s="467"/>
      <c r="AB222" s="702"/>
      <c r="AC222" s="1605"/>
      <c r="AD222" s="702"/>
      <c r="AE222" s="702"/>
      <c r="AF222" s="467"/>
      <c r="AG222" s="467"/>
      <c r="AH222" s="702"/>
      <c r="AI222" s="1605"/>
      <c r="AJ222" s="702"/>
      <c r="AK222" s="702"/>
      <c r="AL222" s="467"/>
      <c r="AM222" s="467"/>
      <c r="AN222" s="702"/>
      <c r="AO222" s="1605"/>
      <c r="AP222" s="487"/>
      <c r="AQ222" s="487"/>
      <c r="AR222" s="467"/>
      <c r="AS222" s="467"/>
      <c r="AT222" s="702"/>
      <c r="AU222" s="702"/>
      <c r="AV222" s="1605"/>
      <c r="AW222" s="487"/>
      <c r="AX222" s="487"/>
      <c r="AY222" s="467"/>
      <c r="AZ222" s="467"/>
      <c r="BA222" s="487"/>
      <c r="BB222" s="693"/>
      <c r="BC222" s="1744"/>
      <c r="BD222" s="693">
        <v>7570.2499814960638</v>
      </c>
      <c r="BE222" s="1710"/>
      <c r="BF222" s="487"/>
      <c r="BG222" s="487"/>
      <c r="BH222" s="693"/>
      <c r="BI222" s="693"/>
      <c r="BJ222" s="1737"/>
      <c r="BK222" s="1621"/>
      <c r="BL222" s="1710"/>
      <c r="BM222" s="467"/>
      <c r="BN222" s="467"/>
      <c r="BO222" s="800"/>
      <c r="BP222" s="1088"/>
      <c r="BQ222" s="1088"/>
      <c r="BR222" s="1499"/>
      <c r="BS222" s="467"/>
      <c r="BT222" s="467"/>
      <c r="BU222" s="467"/>
      <c r="BV222" s="467"/>
      <c r="BW222" s="467"/>
      <c r="BX222" s="467"/>
      <c r="BY222" s="467"/>
      <c r="BZ222" s="467"/>
      <c r="CA222" s="467"/>
      <c r="CB222" s="467"/>
      <c r="CC222" s="467"/>
      <c r="CD222" s="467"/>
      <c r="CE222" s="467"/>
      <c r="CF222" s="467"/>
      <c r="CG222" s="467"/>
      <c r="CH222" s="467"/>
      <c r="CI222" s="467"/>
      <c r="CJ222" s="467"/>
    </row>
    <row r="223" spans="1:88" hidden="1" outlineLevel="1">
      <c r="A223" s="467"/>
      <c r="B223" s="467"/>
      <c r="C223" s="1629"/>
      <c r="D223" s="1745" t="s">
        <v>712</v>
      </c>
      <c r="E223" s="702"/>
      <c r="F223" s="702"/>
      <c r="G223" s="467"/>
      <c r="H223" s="702"/>
      <c r="I223" s="467"/>
      <c r="J223" s="702"/>
      <c r="K223" s="1605"/>
      <c r="L223" s="1605"/>
      <c r="M223" s="1605"/>
      <c r="N223" s="467"/>
      <c r="O223" s="467"/>
      <c r="P223" s="1605"/>
      <c r="Q223" s="1605"/>
      <c r="R223" s="1605"/>
      <c r="S223" s="1605"/>
      <c r="T223" s="467"/>
      <c r="U223" s="467"/>
      <c r="V223" s="1605"/>
      <c r="W223" s="1605"/>
      <c r="X223" s="702"/>
      <c r="Y223" s="702"/>
      <c r="Z223" s="467"/>
      <c r="AA223" s="467"/>
      <c r="AB223" s="702"/>
      <c r="AC223" s="1605"/>
      <c r="AD223" s="702"/>
      <c r="AE223" s="702"/>
      <c r="AF223" s="1746"/>
      <c r="AG223" s="467"/>
      <c r="AH223" s="702"/>
      <c r="AI223" s="1605"/>
      <c r="AJ223" s="702"/>
      <c r="AK223" s="702"/>
      <c r="AL223" s="467"/>
      <c r="AM223" s="467"/>
      <c r="AN223" s="702"/>
      <c r="AO223" s="1605"/>
      <c r="AP223" s="487"/>
      <c r="AQ223" s="487"/>
      <c r="AR223" s="467"/>
      <c r="AS223" s="467"/>
      <c r="AT223" s="702"/>
      <c r="AU223" s="702"/>
      <c r="AV223" s="1605"/>
      <c r="AW223" s="487"/>
      <c r="AX223" s="487"/>
      <c r="AY223" s="467"/>
      <c r="AZ223" s="467"/>
      <c r="BA223" s="487"/>
      <c r="BB223" s="693"/>
      <c r="BC223" s="1744"/>
      <c r="BD223" s="693"/>
      <c r="BE223" s="1710"/>
      <c r="BF223" s="487"/>
      <c r="BG223" s="487"/>
      <c r="BH223" s="693"/>
      <c r="BI223" s="693"/>
      <c r="BJ223" s="1737"/>
      <c r="BK223" s="1621"/>
      <c r="BL223" s="1710"/>
      <c r="BM223" s="467"/>
      <c r="BN223" s="467"/>
      <c r="BO223" s="800"/>
      <c r="BP223" s="1088"/>
      <c r="BQ223" s="1088"/>
      <c r="BR223" s="1499"/>
      <c r="BS223" s="467"/>
      <c r="BT223" s="467"/>
      <c r="BU223" s="467"/>
      <c r="BV223" s="467"/>
      <c r="BW223" s="467"/>
      <c r="BX223" s="467"/>
      <c r="BY223" s="467"/>
      <c r="BZ223" s="467"/>
      <c r="CA223" s="467"/>
      <c r="CB223" s="467"/>
      <c r="CC223" s="467"/>
      <c r="CD223" s="467"/>
      <c r="CE223" s="467"/>
      <c r="CF223" s="467"/>
      <c r="CG223" s="467"/>
      <c r="CH223" s="467"/>
      <c r="CI223" s="467"/>
      <c r="CJ223" s="467"/>
    </row>
    <row r="224" spans="1:88" hidden="1" outlineLevel="1">
      <c r="A224" s="467"/>
      <c r="B224" s="467"/>
      <c r="C224" s="467"/>
      <c r="D224" s="1745" t="s">
        <v>714</v>
      </c>
      <c r="E224" s="702"/>
      <c r="F224" s="702"/>
      <c r="G224" s="467"/>
      <c r="H224" s="702"/>
      <c r="I224" s="467"/>
      <c r="J224" s="702"/>
      <c r="K224" s="1605"/>
      <c r="L224" s="1605"/>
      <c r="M224" s="1605"/>
      <c r="N224" s="467"/>
      <c r="O224" s="467"/>
      <c r="P224" s="1605"/>
      <c r="Q224" s="1605"/>
      <c r="R224" s="1605"/>
      <c r="S224" s="1605"/>
      <c r="T224" s="467"/>
      <c r="U224" s="467"/>
      <c r="V224" s="1605"/>
      <c r="W224" s="1605"/>
      <c r="X224" s="702"/>
      <c r="Y224" s="702"/>
      <c r="Z224" s="467"/>
      <c r="AA224" s="467"/>
      <c r="AB224" s="702"/>
      <c r="AC224" s="1605"/>
      <c r="AD224" s="702"/>
      <c r="AE224" s="702"/>
      <c r="AF224" s="467"/>
      <c r="AG224" s="1729"/>
      <c r="AH224" s="702"/>
      <c r="AI224" s="1605"/>
      <c r="AJ224" s="702"/>
      <c r="AK224" s="702"/>
      <c r="AL224" s="467"/>
      <c r="AM224" s="467"/>
      <c r="AN224" s="702"/>
      <c r="AO224" s="1605"/>
      <c r="AP224" s="487"/>
      <c r="AQ224" s="487"/>
      <c r="AR224" s="467"/>
      <c r="AS224" s="467"/>
      <c r="AT224" s="702"/>
      <c r="AU224" s="702"/>
      <c r="AV224" s="1605"/>
      <c r="AW224" s="487"/>
      <c r="AX224" s="487"/>
      <c r="AY224" s="467"/>
      <c r="AZ224" s="467"/>
      <c r="BA224" s="487"/>
      <c r="BB224" s="693"/>
      <c r="BC224" s="693"/>
      <c r="BD224" s="693"/>
      <c r="BE224" s="1710"/>
      <c r="BF224" s="487"/>
      <c r="BG224" s="487"/>
      <c r="BH224" s="693"/>
      <c r="BI224" s="693"/>
      <c r="BJ224" s="1737"/>
      <c r="BK224" s="693"/>
      <c r="BL224" s="1710"/>
      <c r="BM224" s="467"/>
      <c r="BN224" s="467"/>
      <c r="BO224" s="800"/>
      <c r="BP224" s="1088"/>
      <c r="BQ224" s="1088"/>
      <c r="BR224" s="1499"/>
      <c r="BS224" s="467"/>
      <c r="BT224" s="467"/>
      <c r="BU224" s="467"/>
      <c r="BV224" s="467"/>
      <c r="BW224" s="467"/>
      <c r="BX224" s="467"/>
      <c r="BY224" s="467"/>
      <c r="BZ224" s="467"/>
      <c r="CA224" s="467"/>
      <c r="CB224" s="467"/>
      <c r="CC224" s="467"/>
      <c r="CD224" s="467"/>
      <c r="CE224" s="467"/>
      <c r="CF224" s="467"/>
      <c r="CG224" s="467"/>
      <c r="CH224" s="467"/>
      <c r="CI224" s="467"/>
      <c r="CJ224" s="467"/>
    </row>
    <row r="225" spans="1:88" hidden="1" outlineLevel="1">
      <c r="A225" s="467"/>
      <c r="B225" s="467"/>
      <c r="C225" s="467"/>
      <c r="D225" s="1745" t="s">
        <v>717</v>
      </c>
      <c r="E225" s="702"/>
      <c r="F225" s="702"/>
      <c r="G225" s="467"/>
      <c r="H225" s="702"/>
      <c r="I225" s="467"/>
      <c r="J225" s="702"/>
      <c r="K225" s="1605"/>
      <c r="L225" s="1605"/>
      <c r="M225" s="1605"/>
      <c r="N225" s="467"/>
      <c r="O225" s="467"/>
      <c r="P225" s="1605"/>
      <c r="Q225" s="1605"/>
      <c r="R225" s="1605"/>
      <c r="S225" s="1605"/>
      <c r="T225" s="467"/>
      <c r="U225" s="467"/>
      <c r="V225" s="1605"/>
      <c r="W225" s="1605"/>
      <c r="X225" s="702"/>
      <c r="Y225" s="702"/>
      <c r="Z225" s="467"/>
      <c r="AA225" s="467"/>
      <c r="AB225" s="702"/>
      <c r="AC225" s="1605"/>
      <c r="AD225" s="702"/>
      <c r="AE225" s="702"/>
      <c r="AF225" s="467"/>
      <c r="AG225" s="467"/>
      <c r="AH225" s="702"/>
      <c r="AI225" s="1605"/>
      <c r="AJ225" s="702"/>
      <c r="AK225" s="702"/>
      <c r="AL225" s="467"/>
      <c r="AM225" s="467"/>
      <c r="AN225" s="702"/>
      <c r="AO225" s="1605"/>
      <c r="AP225" s="487"/>
      <c r="AQ225" s="487"/>
      <c r="AR225" s="467"/>
      <c r="AS225" s="467"/>
      <c r="AT225" s="702"/>
      <c r="AU225" s="702"/>
      <c r="AV225" s="1605"/>
      <c r="AW225" s="487"/>
      <c r="AX225" s="487"/>
      <c r="AY225" s="467"/>
      <c r="AZ225" s="467"/>
      <c r="BA225" s="487"/>
      <c r="BB225" s="693"/>
      <c r="BC225" s="693"/>
      <c r="BD225" s="693"/>
      <c r="BE225" s="1710"/>
      <c r="BF225" s="487"/>
      <c r="BG225" s="487"/>
      <c r="BH225" s="693"/>
      <c r="BI225" s="693"/>
      <c r="BJ225" s="1737"/>
      <c r="BK225" s="693"/>
      <c r="BL225" s="1710"/>
      <c r="BM225" s="467"/>
      <c r="BN225" s="467"/>
      <c r="BO225" s="800"/>
      <c r="BP225" s="1088"/>
      <c r="BQ225" s="1088"/>
      <c r="BR225" s="1499"/>
      <c r="BS225" s="467"/>
      <c r="BT225" s="467"/>
      <c r="BU225" s="467"/>
      <c r="BV225" s="467"/>
      <c r="BW225" s="467"/>
      <c r="BX225" s="467"/>
      <c r="BY225" s="467"/>
      <c r="BZ225" s="467"/>
      <c r="CA225" s="467"/>
      <c r="CB225" s="467"/>
      <c r="CC225" s="467"/>
      <c r="CD225" s="467"/>
      <c r="CE225" s="467"/>
      <c r="CF225" s="467"/>
      <c r="CG225" s="467"/>
      <c r="CH225" s="467"/>
      <c r="CI225" s="467"/>
      <c r="CJ225" s="467"/>
    </row>
    <row r="226" spans="1:88" hidden="1" outlineLevel="1">
      <c r="A226" s="467"/>
      <c r="B226" s="467"/>
      <c r="C226" s="467"/>
      <c r="D226" s="1745" t="s">
        <v>719</v>
      </c>
      <c r="E226" s="702"/>
      <c r="F226" s="702"/>
      <c r="G226" s="467"/>
      <c r="H226" s="702"/>
      <c r="I226" s="467"/>
      <c r="J226" s="702"/>
      <c r="K226" s="1605"/>
      <c r="L226" s="1605"/>
      <c r="M226" s="1605"/>
      <c r="N226" s="467"/>
      <c r="O226" s="467"/>
      <c r="P226" s="1605"/>
      <c r="Q226" s="1605"/>
      <c r="R226" s="1605"/>
      <c r="S226" s="1605"/>
      <c r="T226" s="467"/>
      <c r="U226" s="467"/>
      <c r="V226" s="1605"/>
      <c r="W226" s="1605"/>
      <c r="X226" s="702"/>
      <c r="Y226" s="702"/>
      <c r="Z226" s="467"/>
      <c r="AA226" s="467"/>
      <c r="AB226" s="702"/>
      <c r="AC226" s="1605"/>
      <c r="AD226" s="702"/>
      <c r="AE226" s="702"/>
      <c r="AF226" s="467"/>
      <c r="AH226" s="702"/>
      <c r="AI226" s="1605"/>
      <c r="AJ226" s="702"/>
      <c r="AK226" s="702"/>
      <c r="AL226" s="467"/>
      <c r="AM226" s="467"/>
      <c r="AN226" s="702"/>
      <c r="AO226" s="1605"/>
      <c r="AP226" s="487"/>
      <c r="AQ226" s="487"/>
      <c r="AR226" s="467"/>
      <c r="AS226" s="467"/>
      <c r="AT226" s="702"/>
      <c r="AU226" s="702"/>
      <c r="AV226" s="1605"/>
      <c r="AW226" s="487"/>
      <c r="AX226" s="487"/>
      <c r="AY226" s="467"/>
      <c r="AZ226" s="467"/>
      <c r="BA226" s="487"/>
      <c r="BB226" s="693"/>
      <c r="BC226" s="693"/>
      <c r="BD226" s="693"/>
      <c r="BE226" s="1710"/>
      <c r="BF226" s="487"/>
      <c r="BG226" s="487"/>
      <c r="BH226" s="693"/>
      <c r="BI226" s="693"/>
      <c r="BJ226" s="1737"/>
      <c r="BK226" s="693"/>
      <c r="BL226" s="1710"/>
      <c r="BM226" s="467"/>
      <c r="BN226" s="467"/>
      <c r="BO226" s="800"/>
      <c r="BP226" s="1088"/>
      <c r="BQ226" s="1088"/>
      <c r="BR226" s="1499"/>
      <c r="BS226" s="467"/>
      <c r="BT226" s="467"/>
      <c r="BU226" s="467"/>
      <c r="BV226" s="467"/>
      <c r="BW226" s="467"/>
      <c r="BX226" s="467"/>
      <c r="BY226" s="467"/>
      <c r="BZ226" s="467"/>
      <c r="CA226" s="467"/>
      <c r="CB226" s="467"/>
      <c r="CC226" s="467"/>
      <c r="CD226" s="467"/>
      <c r="CE226" s="467"/>
      <c r="CF226" s="467"/>
      <c r="CG226" s="467"/>
      <c r="CH226" s="467"/>
      <c r="CI226" s="467"/>
      <c r="CJ226" s="467"/>
    </row>
    <row r="227" spans="1:88" hidden="1" outlineLevel="1">
      <c r="A227" s="467"/>
      <c r="B227" s="467"/>
      <c r="C227" s="467"/>
      <c r="D227" s="1605"/>
      <c r="E227" s="702"/>
      <c r="F227" s="702"/>
      <c r="G227" s="467"/>
      <c r="H227" s="702"/>
      <c r="I227" s="467"/>
      <c r="J227" s="702"/>
      <c r="K227" s="1605"/>
      <c r="L227" s="1605"/>
      <c r="M227" s="1605"/>
      <c r="N227" s="467"/>
      <c r="O227" s="467"/>
      <c r="P227" s="1605"/>
      <c r="Q227" s="1605"/>
      <c r="R227" s="1605"/>
      <c r="S227" s="1605"/>
      <c r="T227" s="467"/>
      <c r="U227" s="467"/>
      <c r="V227" s="1605"/>
      <c r="W227" s="1605"/>
      <c r="X227" s="702"/>
      <c r="Y227" s="702"/>
      <c r="Z227" s="467"/>
      <c r="AA227" s="467"/>
      <c r="AB227" s="702"/>
      <c r="AC227" s="1605"/>
      <c r="AD227" s="702"/>
      <c r="AE227" s="702"/>
      <c r="AF227" s="467"/>
      <c r="AG227" s="467"/>
      <c r="AH227" s="702"/>
      <c r="AI227" s="1605"/>
      <c r="AJ227" s="702"/>
      <c r="AK227" s="702"/>
      <c r="AL227" s="467"/>
      <c r="AM227" s="467"/>
      <c r="AN227" s="702"/>
      <c r="AO227" s="1605"/>
      <c r="AP227" s="487"/>
      <c r="AQ227" s="487"/>
      <c r="AR227" s="467"/>
      <c r="AS227" s="467"/>
      <c r="AT227" s="702"/>
      <c r="AU227" s="702"/>
      <c r="AV227" s="1605"/>
      <c r="AW227" s="487"/>
      <c r="AX227" s="487"/>
      <c r="AY227" s="467"/>
      <c r="AZ227" s="467"/>
      <c r="BA227" s="487"/>
      <c r="BB227" s="693"/>
      <c r="BC227" s="693"/>
      <c r="BD227" s="693"/>
      <c r="BE227" s="1710"/>
      <c r="BF227" s="487"/>
      <c r="BG227" s="487"/>
      <c r="BH227" s="693"/>
      <c r="BI227" s="693"/>
      <c r="BJ227" s="1737"/>
      <c r="BK227" s="693"/>
      <c r="BL227" s="1710"/>
      <c r="BM227" s="467"/>
      <c r="BN227" s="467"/>
      <c r="BO227" s="1605"/>
      <c r="BP227" s="702"/>
      <c r="BQ227" s="702"/>
      <c r="BR227" s="467"/>
      <c r="BS227" s="467"/>
      <c r="BT227" s="467"/>
      <c r="BU227" s="467"/>
      <c r="BV227" s="467"/>
      <c r="BW227" s="467"/>
      <c r="BX227" s="467"/>
      <c r="BY227" s="467"/>
      <c r="BZ227" s="467"/>
      <c r="CA227" s="467"/>
      <c r="CB227" s="467"/>
      <c r="CC227" s="467"/>
      <c r="CD227" s="467"/>
      <c r="CE227" s="467"/>
      <c r="CF227" s="467"/>
      <c r="CG227" s="467"/>
      <c r="CH227" s="467"/>
      <c r="CI227" s="467"/>
      <c r="CJ227" s="467"/>
    </row>
    <row r="228" spans="1:88" hidden="1" outlineLevel="1">
      <c r="A228" s="467"/>
      <c r="B228" s="467"/>
      <c r="C228" s="467"/>
      <c r="D228" s="692" t="s">
        <v>346</v>
      </c>
      <c r="E228" s="702"/>
      <c r="F228" s="702"/>
      <c r="G228" s="467"/>
      <c r="H228" s="702"/>
      <c r="I228" s="467"/>
      <c r="J228" s="702"/>
      <c r="K228" s="1605"/>
      <c r="L228" s="1605"/>
      <c r="M228" s="1605"/>
      <c r="N228" s="467"/>
      <c r="O228" s="467"/>
      <c r="P228" s="1605"/>
      <c r="Q228" s="1605"/>
      <c r="R228" s="1605"/>
      <c r="S228" s="1605"/>
      <c r="T228" s="467"/>
      <c r="U228" s="467"/>
      <c r="V228" s="1605"/>
      <c r="W228" s="1605"/>
      <c r="X228" s="702"/>
      <c r="Y228" s="702"/>
      <c r="Z228" s="467"/>
      <c r="AA228" s="467"/>
      <c r="AB228" s="702"/>
      <c r="AC228" s="1605"/>
      <c r="AD228" s="702"/>
      <c r="AE228" s="702"/>
      <c r="AF228" s="467"/>
      <c r="AG228" s="467"/>
      <c r="AH228" s="702"/>
      <c r="AI228" s="1605"/>
      <c r="AJ228" s="702"/>
      <c r="AK228" s="702"/>
      <c r="AL228" s="467"/>
      <c r="AM228" s="467"/>
      <c r="AN228" s="702"/>
      <c r="AO228" s="1605"/>
      <c r="AP228" s="487"/>
      <c r="AQ228" s="487"/>
      <c r="AR228" s="467"/>
      <c r="AS228" s="467"/>
      <c r="AT228" s="702"/>
      <c r="AU228" s="702"/>
      <c r="AV228" s="1605"/>
      <c r="AW228" s="487"/>
      <c r="AX228" s="487"/>
      <c r="AY228" s="467"/>
      <c r="AZ228" s="467"/>
      <c r="BA228" s="487"/>
      <c r="BB228" s="693"/>
      <c r="BC228" s="693"/>
      <c r="BD228" s="693"/>
      <c r="BE228" s="1710"/>
      <c r="BF228" s="487"/>
      <c r="BG228" s="487"/>
      <c r="BH228" s="693"/>
      <c r="BI228" s="693"/>
      <c r="BJ228" s="1737"/>
      <c r="BK228" s="693"/>
      <c r="BL228" s="1710"/>
      <c r="BM228" s="467"/>
      <c r="BN228" s="467"/>
      <c r="BO228" s="1605"/>
      <c r="BP228" s="702"/>
      <c r="BQ228" s="702"/>
      <c r="BR228" s="467"/>
      <c r="BS228" s="467"/>
      <c r="BT228" s="467"/>
      <c r="BU228" s="467"/>
      <c r="BV228" s="467"/>
      <c r="BW228" s="467"/>
      <c r="BX228" s="467"/>
      <c r="BY228" s="467"/>
      <c r="BZ228" s="467"/>
      <c r="CA228" s="467"/>
      <c r="CB228" s="467"/>
      <c r="CC228" s="467"/>
      <c r="CD228" s="467"/>
      <c r="CE228" s="467"/>
      <c r="CF228" s="467"/>
      <c r="CG228" s="467"/>
      <c r="CH228" s="467"/>
      <c r="CI228" s="467"/>
      <c r="CJ228" s="467"/>
    </row>
    <row r="229" spans="1:88" hidden="1" outlineLevel="1">
      <c r="A229" s="467"/>
      <c r="B229" s="467"/>
      <c r="C229" s="467"/>
      <c r="D229" s="1745" t="s">
        <v>720</v>
      </c>
      <c r="E229" s="702"/>
      <c r="F229" s="702"/>
      <c r="G229" s="467"/>
      <c r="H229" s="702"/>
      <c r="I229" s="467"/>
      <c r="J229" s="702"/>
      <c r="K229" s="1605"/>
      <c r="L229" s="1605"/>
      <c r="M229" s="1605"/>
      <c r="N229" s="467"/>
      <c r="O229" s="467"/>
      <c r="P229" s="1605"/>
      <c r="Q229" s="1605"/>
      <c r="R229" s="1605"/>
      <c r="S229" s="1605"/>
      <c r="T229" s="467"/>
      <c r="U229" s="467"/>
      <c r="V229" s="1605"/>
      <c r="W229" s="1605"/>
      <c r="X229" s="702"/>
      <c r="Y229" s="702"/>
      <c r="Z229" s="467"/>
      <c r="AA229" s="467"/>
      <c r="AB229" s="702"/>
      <c r="AC229" s="1605"/>
      <c r="AD229" s="702"/>
      <c r="AE229" s="702"/>
      <c r="AF229" s="467"/>
      <c r="AG229" s="467"/>
      <c r="AH229" s="702"/>
      <c r="AI229" s="1605"/>
      <c r="AJ229" s="702"/>
      <c r="AK229" s="702"/>
      <c r="AL229" s="467"/>
      <c r="AM229" s="467"/>
      <c r="AN229" s="702"/>
      <c r="AO229" s="1605"/>
      <c r="AP229" s="487"/>
      <c r="AQ229" s="487"/>
      <c r="AR229" s="467"/>
      <c r="AS229" s="467"/>
      <c r="AT229" s="702"/>
      <c r="AU229" s="702"/>
      <c r="AV229" s="1605"/>
      <c r="AW229" s="487"/>
      <c r="AX229" s="487"/>
      <c r="AY229" s="467"/>
      <c r="AZ229" s="467"/>
      <c r="BA229" s="487"/>
      <c r="BB229" s="1747"/>
      <c r="BC229" s="693"/>
      <c r="BD229" s="693"/>
      <c r="BE229" s="1710"/>
      <c r="BF229" s="487"/>
      <c r="BG229" s="487"/>
      <c r="BH229" s="693"/>
      <c r="BI229" s="693"/>
      <c r="BJ229" s="1737"/>
      <c r="BK229" s="693"/>
      <c r="BL229" s="1710"/>
      <c r="BM229" s="467"/>
      <c r="BN229" s="467"/>
      <c r="BO229" s="1605"/>
      <c r="BP229" s="702"/>
      <c r="BQ229" s="702"/>
      <c r="BR229" s="467"/>
      <c r="BS229" s="467"/>
      <c r="BT229" s="467"/>
      <c r="BU229" s="467"/>
      <c r="BV229" s="467"/>
      <c r="BW229" s="467"/>
      <c r="BX229" s="467"/>
      <c r="BY229" s="467"/>
      <c r="BZ229" s="467"/>
      <c r="CA229" s="467"/>
      <c r="CB229" s="467"/>
      <c r="CC229" s="467"/>
      <c r="CD229" s="467"/>
      <c r="CE229" s="467"/>
      <c r="CF229" s="467"/>
      <c r="CG229" s="467"/>
      <c r="CH229" s="467"/>
      <c r="CI229" s="467"/>
      <c r="CJ229" s="467"/>
    </row>
    <row r="230" spans="1:88" collapsed="1">
      <c r="A230" s="467"/>
      <c r="B230" s="467"/>
      <c r="C230" s="467"/>
      <c r="D230" s="1605"/>
      <c r="E230" s="702"/>
      <c r="F230" s="702"/>
      <c r="G230" s="467"/>
      <c r="H230" s="702"/>
      <c r="I230" s="1515"/>
      <c r="J230" s="702"/>
      <c r="K230" s="1605"/>
      <c r="L230" s="1605"/>
      <c r="M230" s="1605"/>
      <c r="N230" s="467"/>
      <c r="O230" s="467"/>
      <c r="P230" s="1605"/>
      <c r="Q230" s="1605"/>
      <c r="R230" s="1605"/>
      <c r="S230" s="1605"/>
      <c r="T230" s="467"/>
      <c r="U230" s="467"/>
      <c r="V230" s="1605"/>
      <c r="W230" s="1605"/>
      <c r="X230" s="702"/>
      <c r="Y230" s="702"/>
      <c r="Z230" s="467"/>
      <c r="AA230" s="467"/>
      <c r="AB230" s="702"/>
      <c r="AC230" s="1605"/>
      <c r="AD230" s="702"/>
      <c r="AE230" s="702"/>
      <c r="AF230" s="467"/>
      <c r="AG230" s="467"/>
      <c r="AH230" s="702"/>
      <c r="AI230" s="1605"/>
      <c r="AJ230" s="702"/>
      <c r="AK230" s="702"/>
      <c r="AL230" s="467"/>
      <c r="AM230" s="467"/>
      <c r="AN230" s="702"/>
      <c r="AO230" s="1741"/>
      <c r="AP230" s="487"/>
      <c r="AQ230" s="487"/>
      <c r="AR230" s="467"/>
      <c r="AS230" s="467"/>
      <c r="AT230" s="702"/>
      <c r="AU230" s="702"/>
      <c r="AV230" s="1605"/>
      <c r="AW230" s="487"/>
      <c r="AX230" s="487"/>
      <c r="AY230" s="467"/>
      <c r="AZ230" s="467"/>
      <c r="BA230" s="487"/>
      <c r="BB230" s="1747"/>
      <c r="BC230" s="693"/>
      <c r="BD230" s="693"/>
      <c r="BE230" s="1710"/>
      <c r="BF230" s="487"/>
      <c r="BG230" s="487"/>
      <c r="BH230" s="693"/>
      <c r="BI230" s="693"/>
      <c r="BJ230" s="1737"/>
      <c r="BK230" s="1748"/>
      <c r="BL230" s="1710"/>
      <c r="BM230" s="467"/>
      <c r="BN230" s="467"/>
      <c r="BO230" s="1605"/>
      <c r="BP230" s="702"/>
      <c r="BQ230" s="702"/>
      <c r="BR230" s="467"/>
      <c r="BS230" s="467"/>
      <c r="BT230" s="467"/>
      <c r="BU230" s="467"/>
      <c r="BV230" s="467"/>
      <c r="BW230" s="467"/>
      <c r="BX230" s="467"/>
      <c r="BY230" s="467"/>
      <c r="BZ230" s="467"/>
      <c r="CA230" s="467"/>
      <c r="CB230" s="467"/>
      <c r="CC230" s="467"/>
      <c r="CD230" s="467"/>
      <c r="CE230" s="467"/>
      <c r="CF230" s="467"/>
      <c r="CG230" s="467"/>
      <c r="CH230" s="467"/>
      <c r="CI230" s="467"/>
      <c r="CJ230" s="467"/>
    </row>
    <row r="231" spans="1:88">
      <c r="A231" s="467"/>
      <c r="B231" s="467"/>
      <c r="C231" s="467"/>
      <c r="D231" s="1605"/>
      <c r="E231" s="702"/>
      <c r="F231" s="702"/>
      <c r="G231" s="467"/>
      <c r="H231" s="702"/>
      <c r="I231" s="467"/>
      <c r="J231" s="702"/>
      <c r="K231" s="1605"/>
      <c r="L231" s="1605"/>
      <c r="M231" s="1605"/>
      <c r="N231" s="467"/>
      <c r="O231" s="467"/>
      <c r="P231" s="1605"/>
      <c r="Q231" s="1605"/>
      <c r="R231" s="1605"/>
      <c r="S231" s="1605"/>
      <c r="T231" s="467"/>
      <c r="U231" s="467"/>
      <c r="V231" s="1605"/>
      <c r="W231" s="1749"/>
      <c r="X231" s="1195"/>
      <c r="Y231" s="702"/>
      <c r="Z231" s="1750"/>
      <c r="AA231" s="467"/>
      <c r="AB231" s="702"/>
      <c r="AC231" s="1605"/>
      <c r="AD231" s="702"/>
      <c r="AE231" s="702"/>
      <c r="AF231" s="467"/>
      <c r="AG231" s="1729"/>
      <c r="AH231" s="702"/>
      <c r="AI231" s="1605"/>
      <c r="AJ231" s="702"/>
      <c r="AK231" s="702"/>
      <c r="AL231" s="467"/>
      <c r="AM231" s="467"/>
      <c r="AN231" s="702"/>
      <c r="AO231" s="1605"/>
      <c r="AP231" s="487"/>
      <c r="AQ231" s="487"/>
      <c r="AR231" s="467"/>
      <c r="AS231" s="467"/>
      <c r="AT231" s="702"/>
      <c r="AU231" s="702"/>
      <c r="AV231" s="1605"/>
      <c r="AW231" s="487"/>
      <c r="AX231" s="487"/>
      <c r="AY231" s="467"/>
      <c r="AZ231" s="467"/>
      <c r="BA231" s="487"/>
      <c r="BB231" s="693"/>
      <c r="BC231" s="693"/>
      <c r="BD231" s="693"/>
      <c r="BE231" s="1710"/>
      <c r="BF231" s="487"/>
      <c r="BG231" s="487"/>
      <c r="BH231" s="693"/>
      <c r="BI231" s="693"/>
      <c r="BJ231" s="1737"/>
      <c r="BK231" s="1748"/>
      <c r="BL231" s="1710"/>
      <c r="BM231" s="467"/>
      <c r="BN231" s="467"/>
      <c r="BO231" s="1605"/>
      <c r="BP231" s="702"/>
      <c r="BQ231" s="702"/>
      <c r="BR231" s="467"/>
      <c r="BS231" s="467"/>
      <c r="BT231" s="467"/>
      <c r="BU231" s="467"/>
      <c r="BV231" s="467"/>
      <c r="BW231" s="467"/>
      <c r="BX231" s="467"/>
      <c r="BY231" s="467"/>
      <c r="BZ231" s="467"/>
      <c r="CA231" s="467"/>
      <c r="CB231" s="467"/>
      <c r="CC231" s="467"/>
      <c r="CD231" s="467"/>
      <c r="CE231" s="467"/>
      <c r="CF231" s="467"/>
      <c r="CG231" s="467"/>
      <c r="CH231" s="467"/>
      <c r="CI231" s="467"/>
      <c r="CJ231" s="467"/>
    </row>
    <row r="232" spans="1:88">
      <c r="A232" s="467"/>
      <c r="B232" s="467"/>
      <c r="C232" s="467"/>
      <c r="D232" s="1605"/>
      <c r="E232" s="702"/>
      <c r="F232" s="702"/>
      <c r="G232" s="467"/>
      <c r="H232" s="702"/>
      <c r="I232" s="1742"/>
      <c r="J232" s="702"/>
      <c r="K232" s="1605"/>
      <c r="L232" s="1605"/>
      <c r="M232" s="1605"/>
      <c r="N232" s="467"/>
      <c r="O232" s="467"/>
      <c r="P232" s="1605"/>
      <c r="Q232" s="1605"/>
      <c r="R232" s="1605"/>
      <c r="S232" s="1605"/>
      <c r="T232" s="467"/>
      <c r="U232" s="467"/>
      <c r="V232" s="1605"/>
      <c r="W232" s="1749"/>
      <c r="X232" s="1195"/>
      <c r="Y232" s="702"/>
      <c r="Z232" s="1750"/>
      <c r="AB232" s="702"/>
      <c r="AC232" s="1605"/>
      <c r="AD232" s="702"/>
      <c r="AE232" s="702"/>
      <c r="AF232" s="1515"/>
      <c r="AG232" s="467"/>
      <c r="AH232" s="702"/>
      <c r="AI232" s="1605"/>
      <c r="AJ232" s="702"/>
      <c r="AK232" s="702"/>
      <c r="AL232" s="467"/>
      <c r="AM232" s="467"/>
      <c r="AN232" s="702"/>
      <c r="AO232" s="1605"/>
      <c r="AP232" s="487"/>
      <c r="AQ232" s="487"/>
      <c r="AR232" s="467"/>
      <c r="AS232" s="467"/>
      <c r="AT232" s="702"/>
      <c r="AU232" s="702"/>
      <c r="AV232" s="1605"/>
      <c r="AW232" s="487"/>
      <c r="AX232" s="487"/>
      <c r="AY232" s="467"/>
      <c r="AZ232" s="467"/>
      <c r="BA232" s="487"/>
      <c r="BB232" s="693"/>
      <c r="BC232" s="693"/>
      <c r="BD232" s="693"/>
      <c r="BE232" s="1710"/>
      <c r="BF232" s="487"/>
      <c r="BG232" s="487"/>
      <c r="BH232" s="693"/>
      <c r="BI232" s="693"/>
      <c r="BJ232" s="693"/>
      <c r="BK232" s="1751"/>
      <c r="BL232" s="1710"/>
      <c r="BM232" s="467"/>
      <c r="BN232" s="467"/>
      <c r="BO232" s="1605"/>
      <c r="BP232" s="702"/>
      <c r="BQ232" s="702"/>
      <c r="BR232" s="467"/>
      <c r="BS232" s="467"/>
      <c r="BT232" s="467"/>
      <c r="BU232" s="467"/>
      <c r="BV232" s="467"/>
      <c r="BW232" s="467"/>
      <c r="BX232" s="467"/>
      <c r="BY232" s="467"/>
      <c r="BZ232" s="467"/>
      <c r="CA232" s="467"/>
      <c r="CB232" s="467"/>
      <c r="CC232" s="467"/>
      <c r="CD232" s="467"/>
      <c r="CE232" s="467"/>
      <c r="CF232" s="467"/>
      <c r="CG232" s="467"/>
      <c r="CH232" s="467"/>
      <c r="CI232" s="467"/>
      <c r="CJ232" s="467"/>
    </row>
    <row r="233" spans="1:88">
      <c r="A233" s="467"/>
      <c r="B233" s="467"/>
      <c r="C233" s="467"/>
      <c r="D233" s="1605"/>
      <c r="E233" s="702"/>
      <c r="F233" s="1733"/>
      <c r="G233" s="467"/>
      <c r="H233" s="702"/>
      <c r="I233" s="467"/>
      <c r="J233" s="702"/>
      <c r="K233" s="1605"/>
      <c r="L233" s="1605"/>
      <c r="M233" s="1605"/>
      <c r="N233" s="467"/>
      <c r="O233" s="467"/>
      <c r="P233" s="1605"/>
      <c r="Q233" s="1605"/>
      <c r="R233" s="1605"/>
      <c r="S233" s="1605"/>
      <c r="T233" s="467"/>
      <c r="U233" s="467"/>
      <c r="V233" s="1605"/>
      <c r="W233" s="1749"/>
      <c r="X233" s="1195"/>
      <c r="Y233" s="702"/>
      <c r="Z233" s="467"/>
      <c r="AA233" s="467"/>
      <c r="AB233" s="702"/>
      <c r="AC233" s="1605"/>
      <c r="AD233" s="702"/>
      <c r="AE233" s="702"/>
      <c r="AF233" s="1515"/>
      <c r="AG233" s="1729"/>
      <c r="AH233" s="702"/>
      <c r="AI233" s="1605"/>
      <c r="AJ233" s="702"/>
      <c r="AK233" s="1733"/>
      <c r="AL233" s="467"/>
      <c r="AM233" s="467"/>
      <c r="AN233" s="702"/>
      <c r="AO233" s="1605"/>
      <c r="AP233" s="487"/>
      <c r="AQ233" s="487"/>
      <c r="AR233" s="467"/>
      <c r="AS233" s="467"/>
      <c r="AT233" s="702"/>
      <c r="AU233" s="702"/>
      <c r="AV233" s="1605"/>
      <c r="AW233" s="487"/>
      <c r="AX233" s="487"/>
      <c r="AY233" s="467"/>
      <c r="AZ233" s="467"/>
      <c r="BA233" s="487"/>
      <c r="BB233" s="693"/>
      <c r="BC233" s="693"/>
      <c r="BD233" s="693"/>
      <c r="BE233" s="1710"/>
      <c r="BF233" s="487"/>
      <c r="BG233" s="487"/>
      <c r="BH233" s="693"/>
      <c r="BI233" s="693"/>
      <c r="BJ233" s="693"/>
      <c r="BK233" s="693"/>
      <c r="BL233" s="1710"/>
      <c r="BM233" s="467"/>
      <c r="BN233" s="467"/>
      <c r="BO233" s="1605"/>
      <c r="BP233" s="702"/>
      <c r="BQ233" s="702"/>
      <c r="BR233" s="467"/>
      <c r="BS233" s="467"/>
      <c r="BT233" s="467"/>
      <c r="BU233" s="467"/>
      <c r="BV233" s="467"/>
      <c r="BW233" s="467"/>
      <c r="BX233" s="467"/>
      <c r="BY233" s="467"/>
      <c r="BZ233" s="467"/>
      <c r="CA233" s="467"/>
      <c r="CB233" s="467"/>
      <c r="CC233" s="467"/>
      <c r="CD233" s="467"/>
      <c r="CE233" s="467"/>
      <c r="CF233" s="467"/>
      <c r="CG233" s="467"/>
      <c r="CH233" s="467"/>
      <c r="CI233" s="467"/>
      <c r="CJ233" s="467"/>
    </row>
    <row r="234" spans="1:88">
      <c r="F234" s="1733"/>
      <c r="Z234" s="1213"/>
      <c r="AK234" s="1733"/>
    </row>
    <row r="235" spans="1:88">
      <c r="F235" s="1733"/>
      <c r="W235" s="493"/>
      <c r="AK235" s="1733"/>
    </row>
    <row r="236" spans="1:88">
      <c r="F236" s="1733"/>
      <c r="AG236" s="746"/>
      <c r="AK236" s="1733"/>
    </row>
    <row r="237" spans="1:88">
      <c r="F237" s="1733"/>
      <c r="I237" s="1752"/>
      <c r="AA237" s="1742"/>
      <c r="AG237" s="1752"/>
      <c r="AK237" s="1733"/>
      <c r="AM237" s="1752"/>
    </row>
  </sheetData>
  <mergeCells count="29">
    <mergeCell ref="A206:B206"/>
    <mergeCell ref="A192:B192"/>
    <mergeCell ref="A150:B150"/>
    <mergeCell ref="A178:B178"/>
    <mergeCell ref="A171:B171"/>
    <mergeCell ref="A164:B164"/>
    <mergeCell ref="A157:B157"/>
    <mergeCell ref="A185:B185"/>
    <mergeCell ref="A199:B199"/>
    <mergeCell ref="A45:B45"/>
    <mergeCell ref="A52:B52"/>
    <mergeCell ref="A59:B59"/>
    <mergeCell ref="A10:B10"/>
    <mergeCell ref="A17:B17"/>
    <mergeCell ref="A24:B24"/>
    <mergeCell ref="A31:B31"/>
    <mergeCell ref="A38:B38"/>
    <mergeCell ref="A143:B143"/>
    <mergeCell ref="A66:B66"/>
    <mergeCell ref="A129:B129"/>
    <mergeCell ref="A101:B101"/>
    <mergeCell ref="A87:B87"/>
    <mergeCell ref="A136:B136"/>
    <mergeCell ref="A94:B94"/>
    <mergeCell ref="A108:B108"/>
    <mergeCell ref="A80:B80"/>
    <mergeCell ref="A73:B73"/>
    <mergeCell ref="A122:B122"/>
    <mergeCell ref="A115:B115"/>
  </mergeCells>
  <phoneticPr fontId="0" type="noConversion"/>
  <pageMargins left="0" right="0" top="0.2" bottom="0.1" header="0.5" footer="0"/>
  <pageSetup scale="51" orientation="landscape" r:id="rId1"/>
  <headerFooter alignWithMargins="0">
    <oddFooter>&amp;R&amp;9&amp;D
&amp;A</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enableFormatConditionsCalculation="0">
    <tabColor rgb="FF7030A0"/>
    <pageSetUpPr autoPageBreaks="0" fitToPage="1"/>
  </sheetPr>
  <dimension ref="A1:EB294"/>
  <sheetViews>
    <sheetView showGridLines="0" topLeftCell="A134" zoomScaleNormal="100" workbookViewId="0">
      <pane ySplit="7950" topLeftCell="A282"/>
      <selection activeCell="DJ180" sqref="DJ180"/>
      <selection pane="bottomLeft" activeCell="DR288" sqref="DR288"/>
    </sheetView>
  </sheetViews>
  <sheetFormatPr defaultRowHeight="12.75" outlineLevelRow="2" outlineLevelCol="1"/>
  <cols>
    <col min="1" max="1" width="3" style="451" customWidth="1"/>
    <col min="2" max="2" width="5.140625" style="451" customWidth="1"/>
    <col min="3" max="3" width="3.7109375" style="451" customWidth="1"/>
    <col min="4" max="4" width="9.140625" style="451" hidden="1" customWidth="1" outlineLevel="1"/>
    <col min="5" max="5" width="5.7109375" style="451" hidden="1" customWidth="1" outlineLevel="1"/>
    <col min="6" max="6" width="9.140625" style="451" hidden="1" customWidth="1" outlineLevel="1"/>
    <col min="7" max="8" width="5.7109375" style="451" hidden="1" customWidth="1" outlineLevel="1"/>
    <col min="9" max="9" width="2.42578125" style="451" hidden="1" customWidth="1" outlineLevel="1"/>
    <col min="10" max="10" width="9.140625" style="451" hidden="1" customWidth="1" outlineLevel="1"/>
    <col min="11" max="12" width="5.7109375" style="451" hidden="1" customWidth="1" outlineLevel="1"/>
    <col min="13" max="13" width="2.42578125" style="451" hidden="1" customWidth="1" outlineLevel="1"/>
    <col min="14" max="14" width="9.140625" style="451" hidden="1" customWidth="1" outlineLevel="1"/>
    <col min="15" max="16" width="5.7109375" style="451" hidden="1" customWidth="1" outlineLevel="1"/>
    <col min="17" max="17" width="2.42578125" style="451" hidden="1" customWidth="1" outlineLevel="1"/>
    <col min="18" max="18" width="9.140625" style="451" hidden="1" customWidth="1" outlineLevel="1"/>
    <col min="19" max="20" width="5.7109375" style="451" hidden="1" customWidth="1" outlineLevel="1"/>
    <col min="21" max="21" width="2.42578125" style="451" hidden="1" customWidth="1" outlineLevel="1"/>
    <col min="22" max="22" width="9.140625" style="451" hidden="1" customWidth="1" outlineLevel="1"/>
    <col min="23" max="24" width="5.7109375" style="451" hidden="1" customWidth="1" outlineLevel="1"/>
    <col min="25" max="25" width="2.42578125" style="451" hidden="1" customWidth="1" outlineLevel="1"/>
    <col min="26" max="26" width="9.140625" style="451" hidden="1" customWidth="1" outlineLevel="1"/>
    <col min="27" max="28" width="5.7109375" style="451" hidden="1" customWidth="1" outlineLevel="1"/>
    <col min="29" max="29" width="2.42578125" style="451" hidden="1" customWidth="1" outlineLevel="1"/>
    <col min="30" max="30" width="9.140625" style="451" hidden="1" customWidth="1" outlineLevel="1"/>
    <col min="31" max="32" width="5.7109375" style="451" hidden="1" customWidth="1" outlineLevel="1"/>
    <col min="33" max="33" width="2.42578125" style="451" hidden="1" customWidth="1" outlineLevel="1"/>
    <col min="34" max="34" width="9.140625" style="451" hidden="1" customWidth="1" outlineLevel="1"/>
    <col min="35" max="36" width="5.7109375" style="451" hidden="1" customWidth="1" outlineLevel="1"/>
    <col min="37" max="37" width="2.42578125" style="451" hidden="1" customWidth="1" outlineLevel="1"/>
    <col min="38" max="38" width="9.28515625" style="451" hidden="1" customWidth="1" outlineLevel="1" collapsed="1"/>
    <col min="39" max="39" width="6" style="451" hidden="1" customWidth="1" outlineLevel="1"/>
    <col min="40" max="40" width="5.7109375" style="451" hidden="1" customWidth="1" outlineLevel="1"/>
    <col min="41" max="41" width="2.42578125" style="451" hidden="1" customWidth="1" outlineLevel="1"/>
    <col min="42" max="42" width="9.42578125" style="451" hidden="1" customWidth="1" outlineLevel="1"/>
    <col min="43" max="43" width="6.28515625" style="451" hidden="1" customWidth="1" outlineLevel="1"/>
    <col min="44" max="44" width="6.42578125" style="451" hidden="1" customWidth="1" outlineLevel="1"/>
    <col min="45" max="45" width="2.42578125" style="451" hidden="1" customWidth="1" outlineLevel="1"/>
    <col min="46" max="46" width="9.28515625" style="451" hidden="1" customWidth="1" outlineLevel="1"/>
    <col min="47" max="48" width="5.7109375" style="451" hidden="1" customWidth="1" outlineLevel="1"/>
    <col min="49" max="49" width="2.42578125" style="451" hidden="1" customWidth="1" outlineLevel="1"/>
    <col min="50" max="50" width="9.28515625" style="451" hidden="1" customWidth="1" outlineLevel="1"/>
    <col min="51" max="51" width="6.140625" style="451" hidden="1" customWidth="1" outlineLevel="1"/>
    <col min="52" max="52" width="5.7109375" style="451" hidden="1" customWidth="1" outlineLevel="1"/>
    <col min="53" max="53" width="2.42578125" style="451" hidden="1" customWidth="1" outlineLevel="1"/>
    <col min="54" max="54" width="9.28515625" style="451" hidden="1" customWidth="1" outlineLevel="1"/>
    <col min="55" max="55" width="6.28515625" style="451" hidden="1" customWidth="1" outlineLevel="1"/>
    <col min="56" max="56" width="5.7109375" style="451" hidden="1" customWidth="1" outlineLevel="1"/>
    <col min="57" max="57" width="2.42578125" style="451" hidden="1" customWidth="1" outlineLevel="1" collapsed="1"/>
    <col min="58" max="58" width="9.28515625" style="451" hidden="1" customWidth="1" outlineLevel="1"/>
    <col min="59" max="59" width="6.28515625" style="451" hidden="1" customWidth="1" outlineLevel="1"/>
    <col min="60" max="60" width="6" style="451" hidden="1" customWidth="1" outlineLevel="1"/>
    <col min="61" max="61" width="3.5703125" style="451" hidden="1" customWidth="1" outlineLevel="1" collapsed="1"/>
    <col min="62" max="62" width="9.28515625" style="451" hidden="1" customWidth="1" outlineLevel="1" collapsed="1"/>
    <col min="63" max="63" width="6.28515625" style="451" hidden="1" customWidth="1" outlineLevel="1"/>
    <col min="64" max="64" width="5.7109375" style="451" hidden="1" customWidth="1" outlineLevel="1"/>
    <col min="65" max="65" width="3.5703125" style="451" hidden="1" customWidth="1" outlineLevel="1"/>
    <col min="66" max="66" width="9.28515625" style="451" hidden="1" customWidth="1" outlineLevel="1" collapsed="1"/>
    <col min="67" max="67" width="6.28515625" style="451" hidden="1" customWidth="1" outlineLevel="1"/>
    <col min="68" max="68" width="5.7109375" style="451" hidden="1" customWidth="1" outlineLevel="1"/>
    <col min="69" max="69" width="2.85546875" style="451" hidden="1" customWidth="1" outlineLevel="1"/>
    <col min="70" max="70" width="9.28515625" style="451" hidden="1" customWidth="1" outlineLevel="1"/>
    <col min="71" max="71" width="6.28515625" style="451" hidden="1" customWidth="1" outlineLevel="1"/>
    <col min="72" max="72" width="5.7109375" style="451" hidden="1" customWidth="1" outlineLevel="1"/>
    <col min="73" max="73" width="5.85546875" style="451" hidden="1" customWidth="1" outlineLevel="1"/>
    <col min="74" max="74" width="9.28515625" style="451" hidden="1" customWidth="1" outlineLevel="1"/>
    <col min="75" max="75" width="6.28515625" style="451" hidden="1" customWidth="1" outlineLevel="1"/>
    <col min="76" max="76" width="4.85546875" style="451" hidden="1" customWidth="1" outlineLevel="1"/>
    <col min="77" max="77" width="1.28515625" style="451" hidden="1" customWidth="1" outlineLevel="1"/>
    <col min="78" max="78" width="9.28515625" style="451" hidden="1" customWidth="1" outlineLevel="1" collapsed="1"/>
    <col min="79" max="79" width="6.28515625" style="451" hidden="1" customWidth="1" outlineLevel="1"/>
    <col min="80" max="80" width="4.85546875" style="451" hidden="1" customWidth="1" outlineLevel="1"/>
    <col min="81" max="81" width="1.7109375" style="451" hidden="1" customWidth="1" outlineLevel="1" collapsed="1"/>
    <col min="82" max="82" width="9.5703125" style="451" hidden="1" customWidth="1" outlineLevel="1"/>
    <col min="83" max="83" width="6.28515625" style="451" hidden="1" customWidth="1" outlineLevel="1"/>
    <col min="84" max="84" width="5" style="451" hidden="1" customWidth="1" outlineLevel="1"/>
    <col min="85" max="85" width="1.5703125" style="451" hidden="1" customWidth="1" outlineLevel="1"/>
    <col min="86" max="86" width="9.7109375" style="451" hidden="1" customWidth="1" outlineLevel="1"/>
    <col min="87" max="87" width="6.28515625" style="451" hidden="1" customWidth="1" outlineLevel="1"/>
    <col min="88" max="88" width="5" style="451" hidden="1" customWidth="1" outlineLevel="1"/>
    <col min="89" max="89" width="1.5703125" style="451" hidden="1" customWidth="1" outlineLevel="1"/>
    <col min="90" max="90" width="9.28515625" style="451" hidden="1" customWidth="1" outlineLevel="1"/>
    <col min="91" max="91" width="6.28515625" style="451" hidden="1" customWidth="1" outlineLevel="1"/>
    <col min="92" max="92" width="6.85546875" style="451" hidden="1" customWidth="1" outlineLevel="1"/>
    <col min="93" max="93" width="1.5703125" style="451" hidden="1" customWidth="1" outlineLevel="1"/>
    <col min="94" max="94" width="9.28515625" style="451" hidden="1" customWidth="1" outlineLevel="1"/>
    <col min="95" max="95" width="6.28515625" style="451" hidden="1" customWidth="1" outlineLevel="1"/>
    <col min="96" max="96" width="7.42578125" style="451" hidden="1" customWidth="1" outlineLevel="1"/>
    <col min="97" max="97" width="1.5703125" style="451" customWidth="1" collapsed="1"/>
    <col min="98" max="98" width="9.28515625" style="451" customWidth="1"/>
    <col min="99" max="99" width="6.28515625" style="451" customWidth="1"/>
    <col min="100" max="100" width="6.28515625" style="451" bestFit="1" customWidth="1"/>
    <col min="101" max="101" width="1.5703125" style="451" customWidth="1"/>
    <col min="102" max="102" width="9.28515625" style="451" customWidth="1"/>
    <col min="103" max="103" width="6.28515625" style="451" customWidth="1"/>
    <col min="104" max="104" width="7.42578125" style="451" customWidth="1"/>
    <col min="105" max="105" width="1.5703125" style="451" customWidth="1"/>
    <col min="106" max="106" width="9.28515625" style="451" customWidth="1"/>
    <col min="107" max="107" width="6.28515625" style="451" customWidth="1"/>
    <col min="108" max="108" width="7.42578125" style="451" customWidth="1"/>
    <col min="109" max="109" width="1.5703125" style="451" customWidth="1"/>
    <col min="110" max="110" width="9.28515625" style="451" customWidth="1"/>
    <col min="111" max="111" width="6.28515625" style="451" customWidth="1"/>
    <col min="112" max="112" width="7.85546875" style="451" customWidth="1"/>
    <col min="113" max="113" width="1.5703125" style="451" customWidth="1"/>
    <col min="114" max="114" width="9.28515625" style="451" customWidth="1"/>
    <col min="115" max="115" width="6.85546875" style="451" customWidth="1"/>
    <col min="116" max="116" width="7.85546875" style="451" customWidth="1"/>
    <col min="117" max="117" width="1.5703125" style="451" customWidth="1"/>
    <col min="118" max="118" width="9.28515625" style="451" customWidth="1"/>
    <col min="119" max="119" width="6.85546875" style="451" customWidth="1"/>
    <col min="120" max="120" width="7.85546875" style="451" customWidth="1"/>
    <col min="121" max="121" width="10" style="451" customWidth="1"/>
    <col min="122" max="122" width="10.42578125" style="451" customWidth="1"/>
    <col min="123" max="123" width="9.85546875" style="451" customWidth="1"/>
    <col min="124" max="124" width="7.85546875" style="451" customWidth="1"/>
    <col min="125" max="125" width="6.5703125" style="451" customWidth="1"/>
    <col min="126" max="16384" width="9.140625" style="451"/>
  </cols>
  <sheetData>
    <row r="1" spans="1:132">
      <c r="A1" s="782" t="str">
        <f>sumry!A1</f>
        <v>TJX Companies</v>
      </c>
      <c r="B1" s="693"/>
      <c r="C1" s="693"/>
      <c r="D1" s="783"/>
      <c r="E1" s="693"/>
      <c r="F1" s="783"/>
      <c r="G1" s="693"/>
      <c r="H1" s="693"/>
      <c r="I1" s="693"/>
      <c r="J1" s="783"/>
      <c r="K1" s="693"/>
      <c r="L1" s="693"/>
      <c r="M1" s="693"/>
      <c r="N1" s="783"/>
      <c r="O1" s="693"/>
      <c r="P1" s="693"/>
      <c r="Q1" s="693"/>
      <c r="R1" s="783"/>
      <c r="S1" s="693"/>
      <c r="T1" s="693"/>
      <c r="U1" s="693"/>
      <c r="V1" s="783"/>
      <c r="W1" s="693"/>
      <c r="X1" s="693"/>
      <c r="Y1" s="693"/>
      <c r="Z1" s="783"/>
      <c r="AA1" s="693"/>
      <c r="AB1" s="693"/>
      <c r="AC1" s="693"/>
      <c r="AD1" s="783"/>
      <c r="AE1" s="693"/>
      <c r="AF1" s="693"/>
      <c r="AG1" s="693"/>
      <c r="AH1" s="783"/>
      <c r="AI1" s="693"/>
      <c r="AJ1" s="693"/>
      <c r="AK1" s="783"/>
      <c r="AL1" s="783"/>
      <c r="AM1" s="693"/>
      <c r="AN1" s="693"/>
      <c r="AO1" s="693"/>
      <c r="AP1" s="693"/>
      <c r="AQ1" s="693"/>
      <c r="AR1" s="693"/>
      <c r="AS1" s="693"/>
      <c r="AT1" s="693"/>
      <c r="AU1" s="693"/>
      <c r="AV1" s="693"/>
      <c r="AW1" s="693"/>
      <c r="AX1" s="693"/>
      <c r="AY1" s="693"/>
      <c r="AZ1" s="693"/>
      <c r="BA1" s="693"/>
      <c r="BB1" s="693"/>
      <c r="BC1" s="693"/>
      <c r="BD1" s="693"/>
      <c r="BE1" s="693"/>
      <c r="BF1" s="693"/>
      <c r="BG1" s="693"/>
      <c r="BH1" s="693"/>
      <c r="BI1" s="693"/>
      <c r="BK1" s="693"/>
      <c r="BL1" s="693"/>
      <c r="BM1" s="693"/>
      <c r="BN1" s="693"/>
      <c r="BO1" s="693"/>
      <c r="BP1" s="693"/>
      <c r="BQ1" s="693"/>
      <c r="BR1" s="693"/>
      <c r="BS1" s="693"/>
      <c r="BT1" s="693"/>
      <c r="BU1" s="693"/>
      <c r="BV1" s="693"/>
      <c r="BW1" s="693"/>
      <c r="BX1" s="693"/>
      <c r="BY1" s="693"/>
      <c r="BZ1" s="693"/>
      <c r="CA1" s="693"/>
      <c r="CB1" s="693"/>
      <c r="CC1" s="693"/>
      <c r="CD1" s="693"/>
      <c r="CE1" s="693"/>
      <c r="CF1" s="693"/>
      <c r="CG1" s="693"/>
      <c r="CH1" s="693"/>
      <c r="CI1" s="693"/>
      <c r="CJ1" s="693"/>
      <c r="CK1" s="693"/>
      <c r="CL1" s="693"/>
      <c r="CM1" s="693"/>
      <c r="CN1" s="693"/>
      <c r="CO1" s="693"/>
      <c r="CP1" s="784"/>
      <c r="CQ1" s="693"/>
      <c r="CR1" s="693"/>
      <c r="CS1" s="693"/>
      <c r="CT1" s="784"/>
      <c r="CU1" s="693"/>
      <c r="CV1" s="693"/>
      <c r="CW1" s="785"/>
      <c r="CX1" s="784"/>
      <c r="CY1" s="693"/>
      <c r="CZ1" s="693"/>
      <c r="DA1" s="785"/>
      <c r="DB1" s="784"/>
      <c r="DC1" s="693"/>
      <c r="DD1" s="693"/>
      <c r="DE1" s="785"/>
      <c r="DF1" s="784"/>
      <c r="DG1" s="693"/>
      <c r="DH1" s="693"/>
      <c r="DI1" s="785"/>
      <c r="DJ1" s="784"/>
      <c r="DK1" s="693"/>
      <c r="DL1" s="693"/>
      <c r="DM1" s="785"/>
      <c r="DN1" s="784"/>
      <c r="DO1" s="693"/>
      <c r="DP1" s="693"/>
      <c r="DQ1" s="786"/>
      <c r="DR1" s="786"/>
      <c r="DS1" s="786"/>
      <c r="DT1" s="786"/>
      <c r="DU1" s="786"/>
      <c r="DV1" s="786"/>
      <c r="DW1" s="786"/>
      <c r="DX1" s="786"/>
      <c r="DY1" s="786"/>
      <c r="DZ1" s="786"/>
      <c r="EA1" s="786"/>
      <c r="EB1" s="786"/>
    </row>
    <row r="2" spans="1:132">
      <c r="A2" s="450" t="s">
        <v>525</v>
      </c>
      <c r="B2" s="450"/>
      <c r="C2" s="450"/>
      <c r="D2" s="787"/>
      <c r="E2" s="450"/>
      <c r="F2" s="787"/>
      <c r="G2" s="450"/>
      <c r="H2" s="450"/>
      <c r="I2" s="450"/>
      <c r="J2" s="787"/>
      <c r="K2" s="450"/>
      <c r="L2" s="450"/>
      <c r="M2" s="450"/>
      <c r="N2" s="787"/>
      <c r="O2" s="450"/>
      <c r="P2" s="450"/>
      <c r="Q2" s="450"/>
      <c r="R2" s="787"/>
      <c r="S2" s="450"/>
      <c r="T2" s="450"/>
      <c r="U2" s="450"/>
      <c r="V2" s="787"/>
      <c r="W2" s="450"/>
      <c r="X2" s="450"/>
      <c r="Y2" s="450"/>
      <c r="Z2" s="787"/>
      <c r="AA2" s="450"/>
      <c r="AB2" s="450"/>
      <c r="AC2" s="450"/>
      <c r="AD2" s="787"/>
      <c r="AE2" s="450"/>
      <c r="AF2" s="450"/>
      <c r="AG2" s="450"/>
      <c r="AH2" s="787"/>
      <c r="AI2" s="450"/>
      <c r="AJ2" s="450"/>
      <c r="AK2" s="787"/>
      <c r="AL2" s="787"/>
      <c r="AM2" s="450"/>
      <c r="AN2" s="450"/>
      <c r="AO2" s="450"/>
      <c r="AP2" s="450"/>
      <c r="AQ2" s="450"/>
      <c r="AR2" s="450"/>
      <c r="AS2" s="450"/>
      <c r="AT2" s="450"/>
      <c r="AU2" s="450"/>
      <c r="AV2" s="450"/>
      <c r="AW2" s="450"/>
      <c r="AX2" s="450"/>
      <c r="AY2" s="450"/>
      <c r="AZ2" s="450"/>
      <c r="BA2" s="450"/>
      <c r="BB2" s="450"/>
      <c r="BC2" s="450"/>
      <c r="BD2" s="450"/>
      <c r="BE2" s="450"/>
      <c r="BF2" s="450"/>
      <c r="BG2" s="450"/>
      <c r="BH2" s="450"/>
      <c r="BI2" s="450"/>
      <c r="BJ2" s="450"/>
      <c r="BK2" s="450"/>
      <c r="BL2" s="450"/>
      <c r="BM2" s="450"/>
      <c r="BN2" s="450"/>
      <c r="BO2" s="450"/>
      <c r="BP2" s="450"/>
      <c r="BQ2" s="450"/>
      <c r="BR2" s="788"/>
      <c r="BS2" s="450"/>
      <c r="BT2" s="450"/>
      <c r="BU2" s="450"/>
      <c r="BV2" s="450"/>
      <c r="BW2" s="450"/>
      <c r="BX2" s="450"/>
      <c r="BY2" s="450"/>
      <c r="BZ2" s="450"/>
      <c r="CA2" s="450"/>
      <c r="CB2" s="450"/>
      <c r="CC2" s="450"/>
      <c r="CD2" s="450"/>
      <c r="CE2" s="450"/>
      <c r="CF2" s="450"/>
      <c r="CG2" s="450"/>
      <c r="CH2" s="450"/>
      <c r="CI2" s="450"/>
      <c r="CJ2" s="450"/>
      <c r="CK2" s="450"/>
      <c r="CL2" s="450"/>
      <c r="CM2" s="450"/>
      <c r="CN2" s="450"/>
      <c r="CO2" s="450"/>
      <c r="CP2" s="450"/>
      <c r="CQ2" s="450"/>
      <c r="CR2" s="450"/>
      <c r="CS2" s="450"/>
      <c r="CT2" s="789"/>
      <c r="CU2" s="450"/>
      <c r="CV2" s="450"/>
      <c r="CW2" s="785"/>
      <c r="CX2" s="789"/>
      <c r="CY2" s="450"/>
      <c r="CZ2" s="450"/>
      <c r="DA2" s="785"/>
      <c r="DB2" s="789"/>
      <c r="DC2" s="450"/>
      <c r="DD2" s="450"/>
      <c r="DE2" s="785"/>
      <c r="DF2" s="789"/>
      <c r="DG2" s="450"/>
      <c r="DH2" s="450"/>
      <c r="DI2" s="785"/>
      <c r="DJ2" s="789"/>
      <c r="DK2" s="450"/>
      <c r="DL2" s="450"/>
      <c r="DM2" s="785"/>
      <c r="DN2" s="789"/>
      <c r="DO2" s="450"/>
      <c r="DP2" s="450"/>
      <c r="DQ2" s="790"/>
      <c r="DR2" s="790"/>
      <c r="DS2" s="786"/>
      <c r="DT2" s="786"/>
      <c r="DU2" s="786"/>
      <c r="DV2" s="786"/>
      <c r="DW2" s="786"/>
      <c r="DX2" s="786"/>
      <c r="DY2" s="786"/>
      <c r="DZ2" s="786"/>
      <c r="EA2" s="786"/>
      <c r="EB2" s="786"/>
    </row>
    <row r="3" spans="1:132">
      <c r="A3" s="791" t="s">
        <v>412</v>
      </c>
      <c r="B3" s="487"/>
      <c r="C3" s="487"/>
      <c r="D3" s="487"/>
      <c r="E3" s="487"/>
      <c r="F3" s="487"/>
      <c r="G3" s="487"/>
      <c r="H3" s="487"/>
      <c r="I3" s="487"/>
      <c r="J3" s="487"/>
      <c r="K3" s="487"/>
      <c r="L3" s="487"/>
      <c r="M3" s="487"/>
      <c r="N3" s="487"/>
      <c r="O3" s="487"/>
      <c r="P3" s="487"/>
      <c r="Q3" s="487"/>
      <c r="R3" s="487"/>
      <c r="S3" s="487"/>
      <c r="T3" s="487"/>
      <c r="U3" s="487"/>
      <c r="V3" s="487"/>
      <c r="W3" s="487"/>
      <c r="X3" s="487"/>
      <c r="Y3" s="487"/>
      <c r="Z3" s="487"/>
      <c r="AA3" s="487"/>
      <c r="AB3" s="487"/>
      <c r="AC3" s="487"/>
      <c r="AD3" s="487"/>
      <c r="AE3" s="487"/>
      <c r="AF3" s="487"/>
      <c r="AG3" s="487"/>
      <c r="AH3" s="487"/>
      <c r="AI3" s="487"/>
      <c r="AJ3" s="487"/>
      <c r="AK3" s="487"/>
      <c r="AL3" s="487"/>
      <c r="AM3" s="487"/>
      <c r="AN3" s="487"/>
      <c r="AO3" s="487"/>
      <c r="AP3" s="487"/>
      <c r="AQ3" s="487"/>
      <c r="AR3" s="487"/>
      <c r="AS3" s="487"/>
      <c r="AT3" s="487"/>
      <c r="AU3" s="487"/>
      <c r="AV3" s="487"/>
      <c r="AW3" s="487"/>
      <c r="AX3" s="487"/>
      <c r="AY3" s="487"/>
      <c r="AZ3" s="487"/>
      <c r="BA3" s="487"/>
      <c r="BB3" s="487"/>
      <c r="BC3" s="487"/>
      <c r="BD3" s="487"/>
      <c r="BE3" s="487"/>
      <c r="BF3" s="487"/>
      <c r="BG3" s="487"/>
      <c r="BH3" s="487"/>
      <c r="BI3" s="487"/>
      <c r="BJ3" s="487"/>
      <c r="BK3" s="487"/>
      <c r="BL3" s="487"/>
      <c r="BM3" s="487"/>
      <c r="BN3" s="487"/>
      <c r="BO3" s="487"/>
      <c r="BP3" s="487"/>
      <c r="BQ3" s="487"/>
      <c r="BR3" s="487"/>
      <c r="BS3" s="487"/>
      <c r="BT3" s="487"/>
      <c r="BU3" s="487"/>
      <c r="BV3" s="487"/>
      <c r="BW3" s="487"/>
      <c r="BX3" s="487"/>
      <c r="BY3" s="487"/>
      <c r="BZ3" s="487"/>
      <c r="CA3" s="487"/>
      <c r="CB3" s="487"/>
      <c r="CC3" s="487"/>
      <c r="CD3" s="487"/>
      <c r="CE3" s="487"/>
      <c r="CF3" s="487"/>
      <c r="CG3" s="487"/>
      <c r="CH3" s="487"/>
      <c r="CI3" s="487"/>
      <c r="CJ3" s="487"/>
      <c r="CK3" s="487"/>
      <c r="CL3" s="487"/>
      <c r="CM3" s="487"/>
      <c r="CN3" s="487"/>
      <c r="CO3" s="487"/>
      <c r="CP3" s="792"/>
      <c r="CQ3" s="792"/>
      <c r="CR3" s="792"/>
      <c r="CS3" s="487"/>
      <c r="CT3" s="793"/>
      <c r="CU3" s="792"/>
      <c r="CV3" s="793"/>
      <c r="CW3" s="785"/>
      <c r="CX3" s="793"/>
      <c r="CY3" s="792"/>
      <c r="CZ3" s="793"/>
      <c r="DA3" s="785"/>
      <c r="DB3" s="793"/>
      <c r="DC3" s="792"/>
      <c r="DD3" s="793"/>
      <c r="DE3" s="785"/>
      <c r="DF3" s="793"/>
      <c r="DG3" s="792"/>
      <c r="DH3" s="793"/>
      <c r="DI3" s="785"/>
      <c r="DJ3" s="793"/>
      <c r="DK3" s="792"/>
      <c r="DL3" s="793"/>
      <c r="DM3" s="785"/>
      <c r="DN3" s="793"/>
      <c r="DO3" s="792"/>
      <c r="DP3" s="793"/>
      <c r="DQ3" s="794"/>
      <c r="DR3" s="794"/>
      <c r="DS3" s="794"/>
      <c r="DT3" s="794"/>
      <c r="DU3" s="794"/>
      <c r="DV3" s="794"/>
      <c r="DW3" s="794"/>
      <c r="DX3" s="794"/>
      <c r="DY3" s="794"/>
      <c r="DZ3" s="794"/>
      <c r="EA3" s="794"/>
      <c r="EB3" s="794"/>
    </row>
    <row r="4" spans="1:132">
      <c r="A4" s="791" t="s">
        <v>526</v>
      </c>
      <c r="B4" s="487"/>
      <c r="C4" s="487"/>
      <c r="D4" s="487"/>
      <c r="E4" s="487"/>
      <c r="F4" s="487"/>
      <c r="G4" s="487"/>
      <c r="H4" s="487"/>
      <c r="I4" s="487"/>
      <c r="J4" s="487"/>
      <c r="K4" s="487"/>
      <c r="L4" s="487"/>
      <c r="M4" s="487"/>
      <c r="N4" s="487"/>
      <c r="O4" s="487"/>
      <c r="P4" s="487"/>
      <c r="Q4" s="487"/>
      <c r="R4" s="795"/>
      <c r="S4" s="487"/>
      <c r="T4" s="487"/>
      <c r="U4" s="487"/>
      <c r="V4" s="795"/>
      <c r="W4" s="487"/>
      <c r="X4" s="487"/>
      <c r="Y4" s="487"/>
      <c r="Z4" s="795"/>
      <c r="AA4" s="487"/>
      <c r="AB4" s="487"/>
      <c r="AC4" s="487"/>
      <c r="AD4" s="487"/>
      <c r="AE4" s="487"/>
      <c r="AF4" s="487"/>
      <c r="AG4" s="487"/>
      <c r="AH4" s="487"/>
      <c r="AI4" s="487"/>
      <c r="AJ4" s="487"/>
      <c r="AK4" s="487"/>
      <c r="AL4" s="487"/>
      <c r="AM4" s="487"/>
      <c r="AN4" s="487"/>
      <c r="AO4" s="487"/>
      <c r="AP4" s="487"/>
      <c r="AQ4" s="487"/>
      <c r="AR4" s="487"/>
      <c r="AS4" s="487"/>
      <c r="AT4" s="487"/>
      <c r="AU4" s="487"/>
      <c r="AV4" s="487"/>
      <c r="AW4" s="487"/>
      <c r="AX4" s="487"/>
      <c r="AY4" s="487"/>
      <c r="AZ4" s="487"/>
      <c r="BA4" s="487"/>
      <c r="BB4" s="487"/>
      <c r="BC4" s="487"/>
      <c r="BD4" s="487"/>
      <c r="BE4" s="487"/>
      <c r="BF4" s="487"/>
      <c r="BG4" s="487"/>
      <c r="BH4" s="487"/>
      <c r="BI4" s="487"/>
      <c r="BJ4" s="487" t="s">
        <v>611</v>
      </c>
      <c r="BK4" s="487"/>
      <c r="BL4" s="487"/>
      <c r="BM4" s="487"/>
      <c r="BN4" s="487" t="s">
        <v>611</v>
      </c>
      <c r="BO4" s="487"/>
      <c r="BP4" s="487"/>
      <c r="BQ4" s="487"/>
      <c r="BR4" s="487" t="s">
        <v>277</v>
      </c>
      <c r="BS4" s="487"/>
      <c r="BT4" s="487"/>
      <c r="BU4" s="487"/>
      <c r="BV4" s="487"/>
      <c r="BW4" s="487"/>
      <c r="BX4" s="487"/>
      <c r="BY4" s="487"/>
      <c r="BZ4" s="487"/>
      <c r="CA4" s="487"/>
      <c r="CB4" s="487"/>
      <c r="CC4" s="487"/>
      <c r="CD4" s="796" t="s">
        <v>196</v>
      </c>
      <c r="CE4" s="487"/>
      <c r="CF4" s="487"/>
      <c r="CG4" s="487"/>
      <c r="CH4" s="796"/>
      <c r="CI4" s="487"/>
      <c r="CJ4" s="487"/>
      <c r="CK4" s="487"/>
      <c r="CL4" s="796"/>
      <c r="CM4" s="487"/>
      <c r="CN4" s="487"/>
      <c r="CO4" s="487"/>
      <c r="CP4" s="793"/>
      <c r="CQ4" s="792"/>
      <c r="CR4" s="792"/>
      <c r="CS4" s="487"/>
      <c r="CU4" s="792"/>
      <c r="CV4" s="793"/>
      <c r="CW4" s="785"/>
      <c r="CY4" s="792"/>
      <c r="CZ4" s="793"/>
      <c r="DA4" s="785"/>
      <c r="DC4" s="792"/>
      <c r="DD4" s="793"/>
      <c r="DE4" s="785"/>
      <c r="DG4" s="792"/>
      <c r="DH4" s="793"/>
      <c r="DI4" s="785"/>
      <c r="DK4" s="792"/>
      <c r="DL4" s="793"/>
      <c r="DM4" s="785"/>
      <c r="DO4" s="792"/>
      <c r="DP4" s="793"/>
      <c r="DQ4" s="794"/>
      <c r="DR4" s="794"/>
      <c r="DS4" s="794"/>
      <c r="DT4" s="794"/>
      <c r="DU4" s="794"/>
      <c r="DV4" s="794"/>
      <c r="DW4" s="794"/>
      <c r="DX4" s="794"/>
      <c r="DY4" s="794"/>
      <c r="DZ4" s="794"/>
      <c r="EA4" s="794"/>
      <c r="EB4" s="794"/>
    </row>
    <row r="5" spans="1:132">
      <c r="A5" s="791"/>
      <c r="B5" s="487"/>
      <c r="C5" s="487"/>
      <c r="D5" s="487"/>
      <c r="E5" s="487"/>
      <c r="F5" s="487"/>
      <c r="G5" s="487"/>
      <c r="H5" s="487"/>
      <c r="I5" s="487"/>
      <c r="J5" s="487"/>
      <c r="K5" s="487"/>
      <c r="L5" s="487"/>
      <c r="M5" s="487"/>
      <c r="N5" s="487"/>
      <c r="O5" s="487"/>
      <c r="P5" s="487"/>
      <c r="Q5" s="487"/>
      <c r="R5" s="487" t="s">
        <v>104</v>
      </c>
      <c r="S5" s="487"/>
      <c r="T5" s="487"/>
      <c r="U5" s="487"/>
      <c r="V5" s="487"/>
      <c r="W5" s="487"/>
      <c r="X5" s="487"/>
      <c r="Y5" s="487"/>
      <c r="Z5" s="487"/>
      <c r="AA5" s="487"/>
      <c r="AB5" s="487"/>
      <c r="AC5" s="487"/>
      <c r="AD5" s="487"/>
      <c r="AE5" s="487"/>
      <c r="AF5" s="487"/>
      <c r="AG5" s="487"/>
      <c r="AH5" s="487"/>
      <c r="AI5" s="487"/>
      <c r="AJ5" s="487"/>
      <c r="AK5" s="487"/>
      <c r="AL5" s="795"/>
      <c r="AM5" s="487"/>
      <c r="AN5" s="487"/>
      <c r="AO5" s="487"/>
      <c r="AP5" s="795"/>
      <c r="AQ5" s="487"/>
      <c r="AR5" s="487"/>
      <c r="AS5" s="487"/>
      <c r="AT5" s="487"/>
      <c r="AU5" s="487"/>
      <c r="AV5" s="487"/>
      <c r="AW5" s="487"/>
      <c r="AX5" s="487"/>
      <c r="AY5" s="487"/>
      <c r="AZ5" s="487"/>
      <c r="BA5" s="487"/>
      <c r="BB5" s="487"/>
      <c r="BC5" s="487"/>
      <c r="BD5" s="487"/>
      <c r="BE5" s="487"/>
      <c r="BF5" s="487"/>
      <c r="BG5" s="487"/>
      <c r="BH5" s="487"/>
      <c r="BI5" s="487"/>
      <c r="BJ5" s="487"/>
      <c r="BK5" s="487"/>
      <c r="BL5" s="487"/>
      <c r="BM5" s="487"/>
      <c r="BN5" s="487"/>
      <c r="BO5" s="487"/>
      <c r="BP5" s="487"/>
      <c r="BQ5" s="487"/>
      <c r="BR5" s="487"/>
      <c r="BS5" s="487"/>
      <c r="BT5" s="487"/>
      <c r="BU5" s="487"/>
      <c r="BV5" s="487"/>
      <c r="BW5" s="487"/>
      <c r="BX5" s="487"/>
      <c r="BY5" s="487"/>
      <c r="BZ5" s="487"/>
      <c r="CA5" s="487"/>
      <c r="CB5" s="487"/>
      <c r="CC5" s="487"/>
      <c r="CD5" s="487"/>
      <c r="CE5" s="487"/>
      <c r="CF5" s="487"/>
      <c r="CG5" s="487"/>
      <c r="CH5" s="487"/>
      <c r="CI5" s="487"/>
      <c r="CJ5" s="487"/>
      <c r="CK5" s="487"/>
      <c r="CL5" s="487"/>
      <c r="CM5" s="487"/>
      <c r="CN5" s="487"/>
      <c r="CO5" s="487"/>
      <c r="CP5" s="793"/>
      <c r="CS5" s="487"/>
      <c r="CT5" s="793"/>
      <c r="CV5" s="793"/>
      <c r="CW5" s="785"/>
      <c r="CX5" s="793"/>
      <c r="CZ5" s="793"/>
      <c r="DA5" s="785"/>
      <c r="DB5" s="793"/>
      <c r="DD5" s="793"/>
      <c r="DE5" s="785"/>
      <c r="DF5" s="793"/>
      <c r="DH5" s="793"/>
      <c r="DI5" s="785"/>
      <c r="DJ5" s="793"/>
      <c r="DL5" s="793"/>
      <c r="DM5" s="785"/>
      <c r="DN5" s="793"/>
      <c r="DP5" s="793"/>
      <c r="DQ5" s="794"/>
      <c r="DR5" s="794"/>
      <c r="DS5" s="794"/>
      <c r="DT5" s="794"/>
      <c r="DU5" s="794"/>
      <c r="DV5" s="794"/>
      <c r="DW5" s="794"/>
      <c r="DX5" s="794"/>
      <c r="DY5" s="794"/>
      <c r="DZ5" s="794"/>
      <c r="EA5" s="794"/>
      <c r="EB5" s="794"/>
    </row>
    <row r="6" spans="1:132">
      <c r="A6" s="791"/>
      <c r="B6" s="487"/>
      <c r="C6" s="487"/>
      <c r="D6" s="797">
        <v>1989</v>
      </c>
      <c r="E6" s="487"/>
      <c r="F6" s="797">
        <v>1990</v>
      </c>
      <c r="G6" s="798"/>
      <c r="H6" s="799"/>
      <c r="I6" s="487"/>
      <c r="J6" s="797">
        <v>1991</v>
      </c>
      <c r="K6" s="798"/>
      <c r="L6" s="799"/>
      <c r="M6" s="487"/>
      <c r="N6" s="797">
        <v>1992</v>
      </c>
      <c r="O6" s="798"/>
      <c r="P6" s="799"/>
      <c r="Q6" s="487"/>
      <c r="R6" s="797">
        <v>1993</v>
      </c>
      <c r="S6" s="798"/>
      <c r="T6" s="799"/>
      <c r="U6" s="487"/>
      <c r="V6" s="797">
        <v>1994</v>
      </c>
      <c r="W6" s="798"/>
      <c r="X6" s="799"/>
      <c r="Y6" s="487"/>
      <c r="Z6" s="797">
        <v>1995</v>
      </c>
      <c r="AA6" s="798"/>
      <c r="AB6" s="799"/>
      <c r="AC6" s="487"/>
      <c r="AD6" s="799">
        <f>Z6+1</f>
        <v>1996</v>
      </c>
      <c r="AE6" s="798"/>
      <c r="AF6" s="799"/>
      <c r="AG6" s="487"/>
      <c r="AH6" s="799">
        <f>AD6+1</f>
        <v>1997</v>
      </c>
      <c r="AI6" s="798"/>
      <c r="AJ6" s="799"/>
      <c r="AK6" s="487"/>
      <c r="AL6" s="799">
        <f>AH6+1</f>
        <v>1998</v>
      </c>
      <c r="AM6" s="798"/>
      <c r="AN6" s="799"/>
      <c r="AO6" s="487"/>
      <c r="AP6" s="799">
        <f>AL6+1</f>
        <v>1999</v>
      </c>
      <c r="AQ6" s="798"/>
      <c r="AR6" s="799"/>
      <c r="AS6" s="487"/>
      <c r="AT6" s="799">
        <f>AP6+1</f>
        <v>2000</v>
      </c>
      <c r="AU6" s="798"/>
      <c r="AV6" s="799"/>
      <c r="AW6" s="487"/>
      <c r="AX6" s="799">
        <f>AT6+1</f>
        <v>2001</v>
      </c>
      <c r="AY6" s="798"/>
      <c r="AZ6" s="799"/>
      <c r="BA6" s="487"/>
      <c r="BB6" s="799">
        <v>2002</v>
      </c>
      <c r="BC6" s="798"/>
      <c r="BD6" s="799"/>
      <c r="BE6" s="487"/>
      <c r="BF6" s="799">
        <v>2003</v>
      </c>
      <c r="BG6" s="798"/>
      <c r="BH6" s="799"/>
      <c r="BI6" s="487"/>
      <c r="BJ6" s="799">
        <f>+BF6+1</f>
        <v>2004</v>
      </c>
      <c r="BK6" s="798"/>
      <c r="BL6" s="799"/>
      <c r="BM6" s="487"/>
      <c r="BN6" s="799">
        <f>+BJ6+1</f>
        <v>2005</v>
      </c>
      <c r="BO6" s="798"/>
      <c r="BP6" s="799"/>
      <c r="BQ6" s="487"/>
      <c r="BR6" s="799">
        <f>+BN6+1</f>
        <v>2006</v>
      </c>
      <c r="BS6" s="798"/>
      <c r="BT6" s="799"/>
      <c r="BU6" s="487"/>
      <c r="BV6" s="799">
        <f>+BR6+1</f>
        <v>2007</v>
      </c>
      <c r="BW6" s="799"/>
      <c r="BX6" s="799"/>
      <c r="BY6" s="800"/>
      <c r="BZ6" s="799">
        <f>+BV6+1</f>
        <v>2008</v>
      </c>
      <c r="CA6" s="799"/>
      <c r="CB6" s="799"/>
      <c r="CC6" s="800"/>
      <c r="CD6" s="799">
        <f>+BZ6+1</f>
        <v>2009</v>
      </c>
      <c r="CE6" s="799"/>
      <c r="CF6" s="799"/>
      <c r="CG6" s="800"/>
      <c r="CH6" s="799">
        <f>+CD6+1</f>
        <v>2010</v>
      </c>
      <c r="CI6" s="799"/>
      <c r="CJ6" s="799"/>
      <c r="CK6" s="800"/>
      <c r="CL6" s="799">
        <f>+CH6+1</f>
        <v>2011</v>
      </c>
      <c r="CM6" s="799"/>
      <c r="CN6" s="799"/>
      <c r="CO6" s="800"/>
      <c r="CP6" s="799">
        <f>+CL6+1</f>
        <v>2012</v>
      </c>
      <c r="CQ6" s="801"/>
      <c r="CR6" s="801"/>
      <c r="CS6" s="800"/>
      <c r="CT6" s="799">
        <f>+CP6+1</f>
        <v>2013</v>
      </c>
      <c r="CU6" s="801"/>
      <c r="CV6" s="801"/>
      <c r="CW6" s="785"/>
      <c r="CX6" s="799">
        <f>+CT6+1</f>
        <v>2014</v>
      </c>
      <c r="CY6" s="801"/>
      <c r="CZ6" s="801"/>
      <c r="DA6" s="785"/>
      <c r="DB6" s="799">
        <f>+CX6+1</f>
        <v>2015</v>
      </c>
      <c r="DC6" s="801"/>
      <c r="DD6" s="801"/>
      <c r="DE6" s="785"/>
      <c r="DF6" s="799">
        <f>+DB6+1</f>
        <v>2016</v>
      </c>
      <c r="DG6" s="801"/>
      <c r="DH6" s="801"/>
      <c r="DI6" s="785"/>
      <c r="DJ6" s="799">
        <f>+DF6+1</f>
        <v>2017</v>
      </c>
      <c r="DK6" s="801"/>
      <c r="DL6" s="801"/>
      <c r="DM6" s="785"/>
      <c r="DN6" s="802">
        <f>+DJ6+1</f>
        <v>2018</v>
      </c>
      <c r="DO6" s="801"/>
      <c r="DP6" s="801"/>
      <c r="DQ6" s="803"/>
      <c r="DR6" s="1095" t="s">
        <v>807</v>
      </c>
      <c r="DS6" s="1096"/>
      <c r="DT6" s="804"/>
      <c r="DU6" s="804"/>
      <c r="DV6" s="794"/>
      <c r="DW6" s="794"/>
      <c r="DX6" s="794"/>
      <c r="DY6" s="794"/>
      <c r="DZ6" s="794"/>
      <c r="EA6" s="794"/>
      <c r="EB6" s="794"/>
    </row>
    <row r="7" spans="1:132">
      <c r="A7" s="487"/>
      <c r="B7" s="487"/>
      <c r="C7" s="487"/>
      <c r="D7" s="487"/>
      <c r="E7" s="487"/>
      <c r="F7" s="487"/>
      <c r="G7" s="487"/>
      <c r="H7" s="487"/>
      <c r="I7" s="487"/>
      <c r="J7" s="487" t="s">
        <v>697</v>
      </c>
      <c r="K7" s="487"/>
      <c r="L7" s="487"/>
      <c r="M7" s="487"/>
      <c r="N7" s="487" t="s">
        <v>697</v>
      </c>
      <c r="O7" s="487"/>
      <c r="P7" s="487"/>
      <c r="Q7" s="487"/>
      <c r="R7" s="487"/>
      <c r="S7" s="487"/>
      <c r="T7" s="487"/>
      <c r="U7" s="487"/>
      <c r="V7" s="487"/>
      <c r="W7" s="487"/>
      <c r="X7" s="487"/>
      <c r="Y7" s="487"/>
      <c r="Z7" s="487"/>
      <c r="AA7" s="487"/>
      <c r="AB7" s="487"/>
      <c r="AC7" s="487"/>
      <c r="AD7" s="487"/>
      <c r="AE7" s="487"/>
      <c r="AF7" s="487"/>
      <c r="AG7" s="487"/>
      <c r="AH7" s="487"/>
      <c r="AI7" s="487"/>
      <c r="AJ7" s="487"/>
      <c r="AK7" s="487"/>
      <c r="AL7" s="487"/>
      <c r="AM7" s="487"/>
      <c r="AN7" s="487"/>
      <c r="AO7" s="487"/>
      <c r="AP7" s="487"/>
      <c r="AQ7" s="487"/>
      <c r="AR7" s="487"/>
      <c r="AS7" s="487"/>
      <c r="AT7" s="487"/>
      <c r="AU7" s="487"/>
      <c r="AV7" s="487"/>
      <c r="AW7" s="487"/>
      <c r="AX7" s="487"/>
      <c r="AY7" s="487"/>
      <c r="AZ7" s="487"/>
      <c r="BA7" s="487"/>
      <c r="BB7" s="487"/>
      <c r="BC7" s="487"/>
      <c r="BD7" s="487"/>
      <c r="BE7" s="487"/>
      <c r="BF7" s="487"/>
      <c r="BG7" s="487"/>
      <c r="BH7" s="487"/>
      <c r="BI7" s="487"/>
      <c r="BJ7" s="487"/>
      <c r="BK7" s="487"/>
      <c r="BL7" s="487"/>
      <c r="BM7" s="487"/>
      <c r="BN7" s="487"/>
      <c r="BO7" s="487"/>
      <c r="BP7" s="487"/>
      <c r="BQ7" s="487"/>
      <c r="BR7" s="487"/>
      <c r="BS7" s="487"/>
      <c r="BT7" s="487"/>
      <c r="BU7" s="487"/>
      <c r="BV7" s="487"/>
      <c r="BW7" s="487"/>
      <c r="BX7" s="487"/>
      <c r="BY7" s="487"/>
      <c r="BZ7" s="805"/>
      <c r="CA7" s="487"/>
      <c r="CB7" s="487"/>
      <c r="CC7" s="487"/>
      <c r="CD7" s="487"/>
      <c r="CE7" s="487"/>
      <c r="CF7" s="487"/>
      <c r="CG7" s="487"/>
      <c r="CH7" s="487"/>
      <c r="CI7" s="487"/>
      <c r="CJ7" s="487"/>
      <c r="CK7" s="487"/>
      <c r="CL7" s="487"/>
      <c r="CM7" s="487"/>
      <c r="CN7" s="487"/>
      <c r="CO7" s="487"/>
      <c r="CP7" s="487"/>
      <c r="CQ7" s="487"/>
      <c r="CR7" s="487"/>
      <c r="CS7" s="487"/>
      <c r="CT7" s="487"/>
      <c r="CU7" s="487"/>
      <c r="CV7" s="487"/>
      <c r="CW7" s="794"/>
      <c r="CX7" s="487"/>
      <c r="CY7" s="487"/>
      <c r="CZ7" s="487"/>
      <c r="DA7" s="794"/>
      <c r="DB7" s="487"/>
      <c r="DC7" s="487"/>
      <c r="DD7" s="487"/>
      <c r="DE7" s="794"/>
      <c r="DF7" s="487"/>
      <c r="DG7" s="487"/>
      <c r="DH7" s="487"/>
      <c r="DI7" s="794"/>
      <c r="DJ7" s="487"/>
      <c r="DK7" s="487"/>
      <c r="DL7" s="487"/>
      <c r="DM7" s="794"/>
      <c r="DN7" s="487"/>
      <c r="DO7" s="487"/>
      <c r="DP7" s="487"/>
      <c r="DQ7" s="794"/>
      <c r="DR7" s="1097"/>
      <c r="DS7" s="1098"/>
      <c r="DT7" s="804"/>
      <c r="DU7" s="806"/>
      <c r="DV7" s="794"/>
      <c r="DW7" s="794"/>
      <c r="DX7" s="794"/>
      <c r="DY7" s="794"/>
      <c r="DZ7" s="794"/>
      <c r="EA7" s="794"/>
      <c r="EB7" s="794"/>
    </row>
    <row r="8" spans="1:132">
      <c r="A8" s="487"/>
      <c r="B8" s="807"/>
      <c r="C8" s="808"/>
      <c r="D8" s="809"/>
      <c r="E8" s="810"/>
      <c r="F8" s="811"/>
      <c r="G8" s="811"/>
      <c r="H8" s="811"/>
      <c r="I8" s="810"/>
      <c r="J8" s="811"/>
      <c r="K8" s="811"/>
      <c r="L8" s="811"/>
      <c r="M8" s="810"/>
      <c r="N8" s="811"/>
      <c r="O8" s="811"/>
      <c r="P8" s="811"/>
      <c r="Q8" s="810"/>
      <c r="R8" s="811"/>
      <c r="S8" s="811"/>
      <c r="T8" s="811"/>
      <c r="U8" s="810"/>
      <c r="V8" s="811"/>
      <c r="W8" s="811"/>
      <c r="X8" s="487"/>
      <c r="Y8" s="810" t="s">
        <v>639</v>
      </c>
      <c r="Z8" s="811"/>
      <c r="AA8" s="811"/>
      <c r="AB8" s="811"/>
      <c r="AC8" s="810"/>
      <c r="AD8" s="811"/>
      <c r="AE8" s="811"/>
      <c r="AF8" s="811"/>
      <c r="AG8" s="810"/>
      <c r="AH8" s="811"/>
      <c r="AI8" s="811"/>
      <c r="AJ8" s="811"/>
      <c r="AK8" s="810"/>
      <c r="AL8" s="811"/>
      <c r="AM8" s="811"/>
      <c r="AN8" s="702"/>
      <c r="AO8" s="487"/>
      <c r="AP8" s="811"/>
      <c r="AQ8" s="811"/>
      <c r="AR8" s="811"/>
      <c r="AS8" s="487"/>
      <c r="AT8" s="812"/>
      <c r="AU8" s="812"/>
      <c r="AV8" s="812"/>
      <c r="AW8" s="812"/>
      <c r="AX8" s="812"/>
      <c r="AY8" s="812"/>
      <c r="AZ8" s="812"/>
      <c r="BA8" s="812"/>
      <c r="BB8" s="812"/>
      <c r="BC8" s="812"/>
      <c r="BD8" s="812"/>
      <c r="BE8" s="487"/>
      <c r="BF8" s="810"/>
      <c r="BG8" s="810"/>
      <c r="BH8" s="810"/>
      <c r="BI8" s="811"/>
      <c r="BJ8" s="810" t="s">
        <v>639</v>
      </c>
      <c r="BK8" s="810"/>
      <c r="BL8" s="810"/>
      <c r="BM8" s="810"/>
      <c r="BN8" s="810" t="s">
        <v>639</v>
      </c>
      <c r="BO8" s="810"/>
      <c r="BP8" s="810"/>
      <c r="BQ8" s="810"/>
      <c r="BR8" s="810"/>
      <c r="BS8" s="810"/>
      <c r="BT8" s="810"/>
      <c r="BU8" s="810"/>
      <c r="BV8" s="810"/>
      <c r="BW8" s="810"/>
      <c r="BX8" s="810"/>
      <c r="BY8" s="810"/>
      <c r="BZ8" s="810"/>
      <c r="CA8" s="810"/>
      <c r="CC8" s="810"/>
      <c r="CD8" s="810"/>
      <c r="CE8" s="810"/>
      <c r="CF8" s="810" t="str">
        <f>BN8</f>
        <v>1. Net Sales    (% Increase -- Total/Comparable Stores)</v>
      </c>
      <c r="CG8" s="810"/>
      <c r="CH8" s="810"/>
      <c r="CI8" s="810"/>
      <c r="CJ8" s="811"/>
      <c r="CK8" s="810"/>
      <c r="CL8" s="810"/>
      <c r="CM8" s="810"/>
      <c r="CN8" s="811"/>
      <c r="CO8" s="810"/>
      <c r="CP8" s="810"/>
      <c r="CQ8" s="810"/>
      <c r="CR8" s="811"/>
      <c r="CS8" s="810"/>
      <c r="CT8" s="810"/>
      <c r="CU8" s="810"/>
      <c r="CV8" s="811"/>
      <c r="CW8" s="794"/>
      <c r="CX8" s="810" t="str">
        <f>CF8</f>
        <v>1. Net Sales    (% Increase -- Total/Comparable Stores)</v>
      </c>
      <c r="CY8" s="810"/>
      <c r="CZ8" s="810"/>
      <c r="DA8" s="810"/>
      <c r="DB8" s="811"/>
      <c r="DC8" s="810"/>
      <c r="DD8" s="810"/>
      <c r="DE8" s="810"/>
      <c r="DF8" s="811"/>
      <c r="DG8" s="810"/>
      <c r="DH8" s="810"/>
      <c r="DI8" s="810"/>
      <c r="DJ8" s="811"/>
      <c r="DK8" s="810"/>
      <c r="DL8" s="810"/>
      <c r="DM8" s="810"/>
      <c r="DN8" s="811"/>
      <c r="DO8" s="810"/>
      <c r="DP8" s="810"/>
      <c r="DQ8" s="804"/>
      <c r="DR8" s="1099"/>
      <c r="DS8" s="1100"/>
      <c r="DT8" s="806"/>
      <c r="DU8" s="794"/>
      <c r="DV8" s="794"/>
      <c r="DW8" s="794"/>
      <c r="DX8" s="794"/>
      <c r="DY8" s="794"/>
      <c r="DZ8" s="794"/>
      <c r="EA8" s="794"/>
      <c r="EB8" s="794"/>
    </row>
    <row r="9" spans="1:132">
      <c r="A9" s="487"/>
      <c r="B9" s="487"/>
      <c r="C9" s="487"/>
      <c r="D9" s="487"/>
      <c r="E9" s="487"/>
      <c r="F9" s="487"/>
      <c r="G9" s="487"/>
      <c r="H9" s="487"/>
      <c r="I9" s="487"/>
      <c r="J9" s="487"/>
      <c r="K9" s="487"/>
      <c r="L9" s="487"/>
      <c r="M9" s="487"/>
      <c r="N9" s="487"/>
      <c r="O9" s="487"/>
      <c r="P9" s="487"/>
      <c r="Q9" s="487"/>
      <c r="R9" s="487"/>
      <c r="S9" s="487"/>
      <c r="T9" s="487"/>
      <c r="U9" s="487"/>
      <c r="V9" s="487"/>
      <c r="W9" s="487"/>
      <c r="X9" s="487"/>
      <c r="Y9" s="487"/>
      <c r="Z9" s="487"/>
      <c r="AA9" s="487"/>
      <c r="AB9" s="487"/>
      <c r="AC9" s="487"/>
      <c r="AD9" s="487"/>
      <c r="AE9" s="487"/>
      <c r="AF9" s="487"/>
      <c r="AG9" s="487"/>
      <c r="AH9" s="487"/>
      <c r="AI9" s="487"/>
      <c r="AJ9" s="487"/>
      <c r="AK9" s="487"/>
      <c r="AL9" s="487"/>
      <c r="AM9" s="487"/>
      <c r="AN9" s="487"/>
      <c r="AO9" s="487"/>
      <c r="AP9" s="487"/>
      <c r="AQ9" s="487"/>
      <c r="AR9" s="487"/>
      <c r="AS9" s="487"/>
      <c r="AT9" s="487"/>
      <c r="AU9" s="487"/>
      <c r="AV9" s="487"/>
      <c r="AW9" s="487"/>
      <c r="AX9" s="487"/>
      <c r="AY9" s="487"/>
      <c r="AZ9" s="487"/>
      <c r="BA9" s="487"/>
      <c r="BB9" s="487"/>
      <c r="BC9" s="487"/>
      <c r="BD9" s="487"/>
      <c r="BE9" s="487"/>
      <c r="BF9" s="487"/>
      <c r="BG9" s="487"/>
      <c r="BH9" s="487"/>
      <c r="BI9" s="487"/>
      <c r="BJ9" s="487"/>
      <c r="BK9" s="487"/>
      <c r="BL9" s="487"/>
      <c r="BM9" s="487"/>
      <c r="BN9" s="813"/>
      <c r="BO9" s="487"/>
      <c r="BP9" s="487"/>
      <c r="BQ9" s="487"/>
      <c r="BR9" s="813"/>
      <c r="BS9" s="487"/>
      <c r="BT9" s="487"/>
      <c r="BU9" s="487"/>
      <c r="BV9" s="813"/>
      <c r="BW9" s="487"/>
      <c r="BX9" s="487"/>
      <c r="BY9" s="487"/>
      <c r="BZ9" s="813"/>
      <c r="CA9" s="487"/>
      <c r="CB9" s="487"/>
      <c r="CC9" s="487"/>
      <c r="CD9" s="813"/>
      <c r="CE9" s="487"/>
      <c r="CF9" s="487"/>
      <c r="CG9" s="487"/>
      <c r="CH9" s="813"/>
      <c r="CI9" s="487"/>
      <c r="CJ9" s="487"/>
      <c r="CK9" s="487"/>
      <c r="CL9" s="813"/>
      <c r="CM9" s="487"/>
      <c r="CN9" s="487"/>
      <c r="CO9" s="487"/>
      <c r="CP9" s="813"/>
      <c r="CQ9" s="487"/>
      <c r="CR9" s="487"/>
      <c r="CS9" s="487"/>
      <c r="CT9" s="813"/>
      <c r="CU9" s="487"/>
      <c r="CV9" s="487"/>
      <c r="CW9" s="794"/>
      <c r="CX9" s="813"/>
      <c r="CY9" s="487"/>
      <c r="CZ9" s="487"/>
      <c r="DA9" s="794"/>
      <c r="DB9" s="813"/>
      <c r="DC9" s="487"/>
      <c r="DD9" s="487"/>
      <c r="DE9" s="794"/>
      <c r="DF9" s="813"/>
      <c r="DG9" s="487"/>
      <c r="DH9" s="487"/>
      <c r="DI9" s="794"/>
      <c r="DJ9" s="813"/>
      <c r="DK9" s="487"/>
      <c r="DL9" s="487"/>
      <c r="DM9" s="794"/>
      <c r="DN9" s="813"/>
      <c r="DO9" s="487"/>
      <c r="DP9" s="487"/>
      <c r="DQ9" s="794"/>
      <c r="DR9" s="1101" t="s">
        <v>808</v>
      </c>
      <c r="DS9" s="1102" t="s">
        <v>809</v>
      </c>
      <c r="DT9" s="804"/>
      <c r="DU9" s="804"/>
      <c r="DV9" s="2053"/>
      <c r="DW9" s="794"/>
      <c r="DX9" s="794"/>
      <c r="DY9" s="794"/>
      <c r="DZ9" s="794"/>
      <c r="EA9" s="794"/>
      <c r="EB9" s="794"/>
    </row>
    <row r="10" spans="1:132">
      <c r="A10" s="487" t="s">
        <v>527</v>
      </c>
      <c r="B10" s="487" t="s">
        <v>514</v>
      </c>
      <c r="C10" s="487"/>
      <c r="D10" s="814">
        <v>309.92500000000001</v>
      </c>
      <c r="E10" s="487"/>
      <c r="F10" s="815">
        <v>513.75699999999995</v>
      </c>
      <c r="G10" s="816">
        <f>(F10/D10-1)*100</f>
        <v>65.768169718480252</v>
      </c>
      <c r="H10" s="817">
        <v>2.4</v>
      </c>
      <c r="I10" s="487"/>
      <c r="J10" s="814">
        <v>603.29100000000005</v>
      </c>
      <c r="K10" s="816">
        <f t="shared" ref="K10:K16" si="0">(J10/F10-1)*100</f>
        <v>17.427305126742819</v>
      </c>
      <c r="L10" s="817">
        <v>5</v>
      </c>
      <c r="M10" s="487"/>
      <c r="N10" s="814">
        <v>670.93700000000001</v>
      </c>
      <c r="O10" s="816">
        <f t="shared" ref="O10:O16" si="1">(N10/J10-1)*100</f>
        <v>11.212830955542174</v>
      </c>
      <c r="P10" s="817">
        <v>2</v>
      </c>
      <c r="Q10" s="487"/>
      <c r="R10" s="818">
        <v>593.74</v>
      </c>
      <c r="S10" s="816">
        <f t="shared" ref="S10:S16" si="2">(R10/N10-1)*100</f>
        <v>-11.505849282421455</v>
      </c>
      <c r="T10" s="819">
        <v>0</v>
      </c>
      <c r="U10" s="487"/>
      <c r="V10" s="820">
        <v>653.428</v>
      </c>
      <c r="W10" s="816">
        <f t="shared" ref="W10:W16" si="3">(V10/R10-1)*100</f>
        <v>10.052885101222753</v>
      </c>
      <c r="X10" s="819">
        <v>2</v>
      </c>
      <c r="Y10" s="487"/>
      <c r="Z10" s="821">
        <v>713.81899999999996</v>
      </c>
      <c r="AA10" s="816">
        <f t="shared" ref="AA10:AA16" si="4">(Z10/V10-1)*100</f>
        <v>9.2421812349638977</v>
      </c>
      <c r="AB10" s="822">
        <v>-1</v>
      </c>
      <c r="AC10" s="487"/>
      <c r="AD10" s="821">
        <v>1472.2470000000001</v>
      </c>
      <c r="AE10" s="816">
        <f>(AD10/Z10-1)*100</f>
        <v>106.2493433209259</v>
      </c>
      <c r="AF10" s="823">
        <v>6</v>
      </c>
      <c r="AG10" s="487"/>
      <c r="AH10" s="821">
        <v>1560.15</v>
      </c>
      <c r="AI10" s="816">
        <f>(AH10/AD10-1)*100</f>
        <v>5.9706693238295028</v>
      </c>
      <c r="AJ10" s="823">
        <v>5</v>
      </c>
      <c r="AK10" s="487"/>
      <c r="AL10" s="821">
        <v>1753.748</v>
      </c>
      <c r="AM10" s="816">
        <f>(AL10/AH10-1)*100</f>
        <v>12.408935038297585</v>
      </c>
      <c r="AN10" s="823">
        <v>7</v>
      </c>
      <c r="AO10" s="487"/>
      <c r="AP10" s="821">
        <v>1930.5060000000001</v>
      </c>
      <c r="AQ10" s="816">
        <f>(AP10/AL10-1)*100</f>
        <v>10.078871080679775</v>
      </c>
      <c r="AR10" s="823">
        <v>5</v>
      </c>
      <c r="AS10" s="487"/>
      <c r="AT10" s="824">
        <v>2108.116</v>
      </c>
      <c r="AU10" s="816">
        <f>(AT10/AP10-1)*100</f>
        <v>9.2001786060234902</v>
      </c>
      <c r="AV10" s="823">
        <v>3</v>
      </c>
      <c r="AW10" s="487"/>
      <c r="AX10" s="825">
        <v>2270.895</v>
      </c>
      <c r="AY10" s="816">
        <f>(AX10/AT10-1)*100</f>
        <v>7.7215390424435926</v>
      </c>
      <c r="AZ10" s="826">
        <v>0</v>
      </c>
      <c r="BA10" s="487"/>
      <c r="BB10" s="814">
        <v>2665.6869999999999</v>
      </c>
      <c r="BC10" s="816">
        <f>(BB10/AX10-1)*100</f>
        <v>17.384863677096462</v>
      </c>
      <c r="BD10" s="826">
        <v>7</v>
      </c>
      <c r="BE10" s="487"/>
      <c r="BF10" s="814">
        <v>2788.7049999999999</v>
      </c>
      <c r="BG10" s="816">
        <f>(BF10/BB10-1)*100</f>
        <v>4.6148703880087849</v>
      </c>
      <c r="BH10" s="826">
        <v>-2</v>
      </c>
      <c r="BI10" s="487"/>
      <c r="BJ10" s="814">
        <v>3352.7370000000001</v>
      </c>
      <c r="BK10" s="816">
        <f>(BJ10/BF10-1)*100</f>
        <v>20.225588579645404</v>
      </c>
      <c r="BL10" s="826">
        <v>8</v>
      </c>
      <c r="BM10" s="487"/>
      <c r="BN10" s="814">
        <v>3651.83</v>
      </c>
      <c r="BO10" s="816">
        <f>(BN10/BJ10-1)*100</f>
        <v>8.9208607773290751</v>
      </c>
      <c r="BP10" s="826">
        <v>3</v>
      </c>
      <c r="BQ10" s="487"/>
      <c r="BR10" s="815">
        <f>3896.483-(3896.483-3871.256)</f>
        <v>3871.2559999999999</v>
      </c>
      <c r="BS10" s="816">
        <f>(BR10/BN10-1)*100</f>
        <v>6.008658672501177</v>
      </c>
      <c r="BT10" s="826">
        <v>1</v>
      </c>
      <c r="BU10" s="487"/>
      <c r="BV10" s="815">
        <f>4108.081</f>
        <v>4108.0810000000001</v>
      </c>
      <c r="BW10" s="816">
        <f>(BV10/BR10-1)*100</f>
        <v>6.1175236150748047</v>
      </c>
      <c r="BX10" s="826">
        <v>2</v>
      </c>
      <c r="BY10" s="826"/>
      <c r="BZ10" s="815">
        <f>4364.125-'SegP&amp;L'!AV137</f>
        <v>4303.5550000000003</v>
      </c>
      <c r="CA10" s="816">
        <f>(BZ10/BV10-1)*100</f>
        <v>4.7582800825981764</v>
      </c>
      <c r="CB10" s="826">
        <v>2</v>
      </c>
      <c r="CC10" s="826"/>
      <c r="CD10" s="815">
        <v>4354.2240000000002</v>
      </c>
      <c r="CE10" s="816">
        <f>(CD10/BZ10-1)*100</f>
        <v>1.1773754489021293</v>
      </c>
      <c r="CF10" s="826">
        <v>2</v>
      </c>
      <c r="CG10" s="826"/>
      <c r="CH10" s="815">
        <f>5016.54</f>
        <v>5016.54</v>
      </c>
      <c r="CI10" s="816">
        <f>(CH10/CD10-1)*100</f>
        <v>15.210884878683316</v>
      </c>
      <c r="CJ10" s="826">
        <v>9</v>
      </c>
      <c r="CK10" s="826"/>
      <c r="CL10" s="815">
        <f>5220.295-9.229</f>
        <v>5211.0659999999998</v>
      </c>
      <c r="CM10" s="816">
        <f>(CL10/CH10-1)*100</f>
        <v>3.8776925929026707</v>
      </c>
      <c r="CN10" s="826">
        <v>2</v>
      </c>
      <c r="CO10" s="826"/>
      <c r="CP10" s="815">
        <v>5798.0860000000002</v>
      </c>
      <c r="CQ10" s="816">
        <f>(CP10/CL10-1)*100</f>
        <v>11.264873636219551</v>
      </c>
      <c r="CR10" s="826">
        <v>8</v>
      </c>
      <c r="CS10" s="826"/>
      <c r="CT10" s="815">
        <v>6189.6090000000004</v>
      </c>
      <c r="CU10" s="816">
        <f>(CT10/CP10-1)*100</f>
        <v>6.7526249179470588</v>
      </c>
      <c r="CV10" s="826">
        <v>2</v>
      </c>
      <c r="CW10" s="827"/>
      <c r="CX10" s="815">
        <v>6491.1760000000004</v>
      </c>
      <c r="CY10" s="816">
        <f t="shared" ref="CY10:CY17" si="5">(CX10/CT10-1)*100</f>
        <v>4.8721494362568007</v>
      </c>
      <c r="CZ10" s="826">
        <v>1</v>
      </c>
      <c r="DA10" s="827"/>
      <c r="DB10" s="815">
        <v>6865.6369999999997</v>
      </c>
      <c r="DC10" s="816">
        <f>(DB10/CX10-1)*100</f>
        <v>5.7687697884019729</v>
      </c>
      <c r="DD10" s="828">
        <v>5</v>
      </c>
      <c r="DE10" s="827"/>
      <c r="DF10" s="815">
        <v>7542.3559999999998</v>
      </c>
      <c r="DG10" s="816">
        <f t="shared" ref="DG10:DG17" si="6">(DF10/DB10-1)*100</f>
        <v>9.8566090808471341</v>
      </c>
      <c r="DH10" s="828">
        <v>7</v>
      </c>
      <c r="DI10" s="827"/>
      <c r="DJ10" s="815">
        <v>7784.0240000000003</v>
      </c>
      <c r="DK10" s="816">
        <f t="shared" ref="DK10:DK17" si="7">(DJ10/DF10-1)*100</f>
        <v>3.2041446996137646</v>
      </c>
      <c r="DL10" s="828">
        <v>1</v>
      </c>
      <c r="DM10" s="827"/>
      <c r="DN10" s="821">
        <f>qtrSales!$S208</f>
        <v>8507.9634800000003</v>
      </c>
      <c r="DO10" s="816">
        <f t="shared" ref="DO10:DO17" si="8">(DN10/DJ10-1)*100</f>
        <v>9.3003243566566631</v>
      </c>
      <c r="DP10" s="823">
        <f>qtrSales!$F208</f>
        <v>2.4885815283259771</v>
      </c>
      <c r="DQ10" s="1940"/>
      <c r="DR10" s="1103">
        <f>DL10+DH10</f>
        <v>8</v>
      </c>
      <c r="DS10" s="1104">
        <f>DH10+DL10+DD10</f>
        <v>13</v>
      </c>
      <c r="DT10" s="830"/>
      <c r="DU10" s="804"/>
      <c r="DV10" s="794"/>
      <c r="DW10" s="794"/>
      <c r="DX10" s="794"/>
      <c r="DY10" s="794"/>
      <c r="DZ10" s="794"/>
      <c r="EA10" s="794"/>
      <c r="EB10" s="794"/>
    </row>
    <row r="11" spans="1:132">
      <c r="A11" s="487" t="s">
        <v>528</v>
      </c>
      <c r="B11" s="487" t="s">
        <v>515</v>
      </c>
      <c r="C11" s="487"/>
      <c r="D11" s="831">
        <v>325.93900000000002</v>
      </c>
      <c r="E11" s="487"/>
      <c r="F11" s="832">
        <v>572.48</v>
      </c>
      <c r="G11" s="816">
        <f t="shared" ref="G11:G16" si="9">(F11/D11-1)*100</f>
        <v>75.640227159069639</v>
      </c>
      <c r="H11" s="817">
        <v>6</v>
      </c>
      <c r="I11" s="487"/>
      <c r="J11" s="831">
        <v>649.49300000000005</v>
      </c>
      <c r="K11" s="816">
        <f t="shared" si="0"/>
        <v>13.452522358859698</v>
      </c>
      <c r="L11" s="817">
        <v>3.8</v>
      </c>
      <c r="M11" s="487"/>
      <c r="N11" s="831">
        <v>753.62199999999996</v>
      </c>
      <c r="O11" s="816">
        <f t="shared" si="1"/>
        <v>16.032351387928713</v>
      </c>
      <c r="P11" s="817">
        <v>5</v>
      </c>
      <c r="Q11" s="487"/>
      <c r="R11" s="833">
        <v>649.423</v>
      </c>
      <c r="S11" s="816">
        <f t="shared" si="2"/>
        <v>-13.826427572443478</v>
      </c>
      <c r="T11" s="819">
        <v>2</v>
      </c>
      <c r="U11" s="487"/>
      <c r="V11" s="834">
        <v>689.84900000000005</v>
      </c>
      <c r="W11" s="816">
        <f t="shared" si="3"/>
        <v>6.2249104204809669</v>
      </c>
      <c r="X11" s="835">
        <v>-1</v>
      </c>
      <c r="Y11" s="487"/>
      <c r="Z11" s="836">
        <v>761.34299999999996</v>
      </c>
      <c r="AA11" s="816">
        <f t="shared" si="4"/>
        <v>10.363717277259221</v>
      </c>
      <c r="AB11" s="822">
        <v>-2</v>
      </c>
      <c r="AC11" s="487"/>
      <c r="AD11" s="836">
        <v>1548.259</v>
      </c>
      <c r="AE11" s="816">
        <f t="shared" ref="AE11:AE16" si="10">(AD11/Z11-1)*100</f>
        <v>103.35893283316454</v>
      </c>
      <c r="AF11" s="823">
        <v>8</v>
      </c>
      <c r="AG11" s="487"/>
      <c r="AH11" s="836">
        <v>1698.3720000000001</v>
      </c>
      <c r="AI11" s="816">
        <f t="shared" ref="AI11:AI16" si="11">(AH11/AD11-1)*100</f>
        <v>9.6956000255771215</v>
      </c>
      <c r="AJ11" s="823">
        <v>8</v>
      </c>
      <c r="AK11" s="487"/>
      <c r="AL11" s="836">
        <v>1867.6679999999999</v>
      </c>
      <c r="AM11" s="816">
        <f t="shared" ref="AM11:AM16" si="12">(AL11/AH11-1)*100</f>
        <v>9.9681341896828091</v>
      </c>
      <c r="AN11" s="823">
        <v>7</v>
      </c>
      <c r="AO11" s="487"/>
      <c r="AP11" s="836">
        <v>2102.8510000000001</v>
      </c>
      <c r="AQ11" s="816">
        <f t="shared" ref="AQ11:AQ16" si="13">(AP11/AL11-1)*100</f>
        <v>12.59233439776235</v>
      </c>
      <c r="AR11" s="823">
        <v>7</v>
      </c>
      <c r="AS11" s="487"/>
      <c r="AT11" s="837">
        <v>2258.174</v>
      </c>
      <c r="AU11" s="816">
        <f t="shared" ref="AU11:AU16" si="14">(AT11/AP11-1)*100</f>
        <v>7.386305544234939</v>
      </c>
      <c r="AV11" s="823">
        <v>1</v>
      </c>
      <c r="AW11" s="487"/>
      <c r="AX11" s="838">
        <v>2487.6219999999998</v>
      </c>
      <c r="AY11" s="816">
        <f t="shared" ref="AY11:AY16" si="15">(AX11/AT11-1)*100</f>
        <v>10.160775918950439</v>
      </c>
      <c r="AZ11" s="826">
        <v>2</v>
      </c>
      <c r="BA11" s="487"/>
      <c r="BB11" s="839">
        <v>2765.0889999999999</v>
      </c>
      <c r="BC11" s="816">
        <f t="shared" ref="BC11:BC16" si="16">(BB11/AX11-1)*100</f>
        <v>11.153905215503013</v>
      </c>
      <c r="BD11" s="826">
        <v>2</v>
      </c>
      <c r="BE11" s="487"/>
      <c r="BF11" s="839">
        <v>3046.1840000000002</v>
      </c>
      <c r="BG11" s="816">
        <f t="shared" ref="BG11:BG16" si="17">(BF11/BB11-1)*100</f>
        <v>10.165857229188656</v>
      </c>
      <c r="BH11" s="826">
        <v>2</v>
      </c>
      <c r="BI11" s="487"/>
      <c r="BJ11" s="840">
        <v>3414.2869999999998</v>
      </c>
      <c r="BK11" s="816">
        <f t="shared" ref="BK11:BK16" si="18">(BJ11/BF11-1)*100</f>
        <v>12.084069773854743</v>
      </c>
      <c r="BL11" s="826">
        <v>3</v>
      </c>
      <c r="BM11" s="487"/>
      <c r="BN11" s="840">
        <v>3647.866</v>
      </c>
      <c r="BO11" s="816">
        <f t="shared" ref="BO11:BO16" si="19">(BN11/BJ11-1)*100</f>
        <v>6.8412233652296983</v>
      </c>
      <c r="BP11" s="826">
        <v>1</v>
      </c>
      <c r="BQ11" s="487"/>
      <c r="BR11" s="840">
        <v>3963.6590000000001</v>
      </c>
      <c r="BS11" s="816">
        <f t="shared" ref="BS11:BS16" si="20">(BR11/BN11-1)*100</f>
        <v>8.6569243497431216</v>
      </c>
      <c r="BT11" s="826">
        <v>4</v>
      </c>
      <c r="BU11" s="487"/>
      <c r="BV11" s="840">
        <f>4313.298</f>
        <v>4313.2979999999998</v>
      </c>
      <c r="BW11" s="816">
        <f t="shared" ref="BW11:BW16" si="21">(BV11/BR11-1)*100</f>
        <v>8.821117053712225</v>
      </c>
      <c r="BX11" s="826">
        <v>5</v>
      </c>
      <c r="BY11" s="826"/>
      <c r="BZ11" s="840">
        <v>4554.3950000000004</v>
      </c>
      <c r="CA11" s="816">
        <f t="shared" ref="CA11:CA16" si="22">(BZ11/BV11-1)*100</f>
        <v>5.5896207495981232</v>
      </c>
      <c r="CB11" s="826">
        <v>3</v>
      </c>
      <c r="CC11" s="826"/>
      <c r="CD11" s="840">
        <v>4747.5280000000002</v>
      </c>
      <c r="CE11" s="816">
        <f t="shared" ref="CE11:CE16" si="23">(CD11/BZ11-1)*100</f>
        <v>4.2405851929839145</v>
      </c>
      <c r="CF11" s="826">
        <v>4</v>
      </c>
      <c r="CG11" s="826"/>
      <c r="CH11" s="840">
        <f>5068.08</f>
        <v>5068.08</v>
      </c>
      <c r="CI11" s="816">
        <f t="shared" ref="CI11:CI16" si="24">(CH11/CD11-1)*100</f>
        <v>6.751977028887457</v>
      </c>
      <c r="CJ11" s="826">
        <v>3</v>
      </c>
      <c r="CK11" s="826"/>
      <c r="CL11" s="840">
        <v>5468.2740000000003</v>
      </c>
      <c r="CM11" s="816">
        <f t="shared" ref="CM11:CM16" si="25">(CL11/CH11-1)*100</f>
        <v>7.8963631197613404</v>
      </c>
      <c r="CN11" s="826">
        <v>4</v>
      </c>
      <c r="CO11" s="826"/>
      <c r="CP11" s="840">
        <v>5945.5590000000002</v>
      </c>
      <c r="CQ11" s="816">
        <f t="shared" ref="CQ11:CQ17" si="26">(CP11/CL11-1)*100</f>
        <v>8.7282568503333824</v>
      </c>
      <c r="CR11" s="826">
        <v>7</v>
      </c>
      <c r="CS11" s="826"/>
      <c r="CT11" s="840">
        <v>6442.424</v>
      </c>
      <c r="CU11" s="816">
        <f t="shared" ref="CU11:CU17" si="27">(CT11/CP11-1)*100</f>
        <v>8.3569097539861303</v>
      </c>
      <c r="CV11" s="826">
        <v>4</v>
      </c>
      <c r="CW11" s="827"/>
      <c r="CX11" s="840">
        <v>6917.2120000000004</v>
      </c>
      <c r="CY11" s="816">
        <f t="shared" si="5"/>
        <v>7.3697105313155431</v>
      </c>
      <c r="CZ11" s="826">
        <v>3</v>
      </c>
      <c r="DA11" s="827"/>
      <c r="DB11" s="840">
        <v>7363.7309999999998</v>
      </c>
      <c r="DC11" s="816">
        <f>(DB11/CX11-1)*100</f>
        <v>6.4551874367881013</v>
      </c>
      <c r="DD11" s="826">
        <v>6</v>
      </c>
      <c r="DE11" s="827"/>
      <c r="DF11" s="840">
        <v>7882.0529999999999</v>
      </c>
      <c r="DG11" s="816">
        <f t="shared" si="6"/>
        <v>7.0388502784797469</v>
      </c>
      <c r="DH11" s="826">
        <v>4</v>
      </c>
      <c r="DI11" s="827"/>
      <c r="DJ11" s="840">
        <v>8357.7000000000007</v>
      </c>
      <c r="DK11" s="816">
        <f t="shared" si="7"/>
        <v>6.0345572403535108</v>
      </c>
      <c r="DL11" s="828">
        <v>3</v>
      </c>
      <c r="DM11" s="827"/>
      <c r="DN11" s="737">
        <f>qtrSales!$S209</f>
        <v>8925.0015250000015</v>
      </c>
      <c r="DO11" s="816">
        <f t="shared" si="8"/>
        <v>6.7877708580111884</v>
      </c>
      <c r="DP11" s="823">
        <f>qtrSales!$F209</f>
        <v>2.0367859640225663</v>
      </c>
      <c r="DQ11" s="1940"/>
      <c r="DR11" s="1103">
        <f>DL11+DH11</f>
        <v>7</v>
      </c>
      <c r="DS11" s="1104">
        <f>DH11+DL11+DD11</f>
        <v>13</v>
      </c>
      <c r="DT11" s="830"/>
      <c r="DU11" s="843"/>
      <c r="DV11" s="844"/>
      <c r="DW11" s="794"/>
      <c r="DX11" s="794"/>
      <c r="DY11" s="794"/>
      <c r="DZ11" s="794"/>
      <c r="EA11" s="794"/>
      <c r="EB11" s="794"/>
    </row>
    <row r="12" spans="1:132">
      <c r="A12" s="487" t="s">
        <v>529</v>
      </c>
      <c r="B12" s="487" t="s">
        <v>516</v>
      </c>
      <c r="C12" s="487"/>
      <c r="D12" s="831">
        <v>405.601</v>
      </c>
      <c r="E12" s="487"/>
      <c r="F12" s="832">
        <v>645.98</v>
      </c>
      <c r="G12" s="816">
        <f t="shared" si="9"/>
        <v>59.26489333113085</v>
      </c>
      <c r="H12" s="817">
        <v>6.2</v>
      </c>
      <c r="I12" s="487"/>
      <c r="J12" s="831">
        <v>705.26900000000001</v>
      </c>
      <c r="K12" s="816">
        <f t="shared" si="0"/>
        <v>9.1781479302764701</v>
      </c>
      <c r="L12" s="817">
        <v>0</v>
      </c>
      <c r="M12" s="487"/>
      <c r="N12" s="831">
        <v>839.11599999999999</v>
      </c>
      <c r="O12" s="816">
        <f t="shared" si="1"/>
        <v>18.978148763096069</v>
      </c>
      <c r="P12" s="817">
        <v>7</v>
      </c>
      <c r="Q12" s="487"/>
      <c r="R12" s="845">
        <v>752.95299999999997</v>
      </c>
      <c r="S12" s="816">
        <f t="shared" si="2"/>
        <v>-10.268306169826346</v>
      </c>
      <c r="T12" s="819">
        <v>2</v>
      </c>
      <c r="U12" s="487"/>
      <c r="V12" s="836">
        <v>803.65300000000002</v>
      </c>
      <c r="W12" s="816">
        <f t="shared" si="3"/>
        <v>6.7334880131960428</v>
      </c>
      <c r="X12" s="835">
        <v>-1</v>
      </c>
      <c r="Y12" s="487"/>
      <c r="Z12" s="836">
        <v>861.21400000000006</v>
      </c>
      <c r="AA12" s="816">
        <f t="shared" si="4"/>
        <v>7.162419601494685</v>
      </c>
      <c r="AB12" s="822">
        <v>-4</v>
      </c>
      <c r="AC12" s="487"/>
      <c r="AD12" s="846">
        <v>1722.4290000000001</v>
      </c>
      <c r="AE12" s="816">
        <f t="shared" si="10"/>
        <v>100.00011611515838</v>
      </c>
      <c r="AF12" s="823">
        <v>8</v>
      </c>
      <c r="AG12" s="487"/>
      <c r="AH12" s="836">
        <v>1887.6980000000001</v>
      </c>
      <c r="AI12" s="816">
        <f t="shared" si="11"/>
        <v>9.5951124835914836</v>
      </c>
      <c r="AJ12" s="823">
        <v>7</v>
      </c>
      <c r="AK12" s="487"/>
      <c r="AL12" s="836">
        <v>2003.5029999999999</v>
      </c>
      <c r="AM12" s="816">
        <f t="shared" si="12"/>
        <v>6.1347207021462014</v>
      </c>
      <c r="AN12" s="823">
        <v>1</v>
      </c>
      <c r="AO12" s="487"/>
      <c r="AP12" s="836">
        <v>2235.0540000000001</v>
      </c>
      <c r="AQ12" s="816">
        <f t="shared" si="13"/>
        <v>11.557307376130721</v>
      </c>
      <c r="AR12" s="823">
        <v>5</v>
      </c>
      <c r="AS12" s="487"/>
      <c r="AT12" s="837">
        <v>2461.4110000000001</v>
      </c>
      <c r="AU12" s="816">
        <f t="shared" si="14"/>
        <v>10.127585284292895</v>
      </c>
      <c r="AV12" s="823">
        <v>3</v>
      </c>
      <c r="AW12" s="487"/>
      <c r="AX12" s="838">
        <v>2741.7689999999998</v>
      </c>
      <c r="AY12" s="816">
        <f t="shared" si="15"/>
        <v>11.390133545352633</v>
      </c>
      <c r="AZ12" s="826">
        <v>3</v>
      </c>
      <c r="BA12" s="487"/>
      <c r="BB12" s="839">
        <v>3044.95</v>
      </c>
      <c r="BC12" s="816">
        <f t="shared" si="16"/>
        <v>11.057860819055154</v>
      </c>
      <c r="BD12" s="826">
        <v>2</v>
      </c>
      <c r="BE12" s="487"/>
      <c r="BF12" s="839">
        <v>3387.4520000000002</v>
      </c>
      <c r="BG12" s="816">
        <f t="shared" si="17"/>
        <v>11.248197835760854</v>
      </c>
      <c r="BH12" s="826">
        <v>3</v>
      </c>
      <c r="BI12" s="487"/>
      <c r="BJ12" s="840">
        <v>3817.35</v>
      </c>
      <c r="BK12" s="816">
        <f t="shared" si="18"/>
        <v>12.690895693872562</v>
      </c>
      <c r="BL12" s="826">
        <v>4</v>
      </c>
      <c r="BM12" s="487"/>
      <c r="BN12" s="840">
        <v>4041.9119999999998</v>
      </c>
      <c r="BO12" s="816">
        <f t="shared" si="19"/>
        <v>5.8826672953750547</v>
      </c>
      <c r="BP12" s="826">
        <v>0</v>
      </c>
      <c r="BQ12" s="487"/>
      <c r="BR12" s="840">
        <v>4472.9430000000002</v>
      </c>
      <c r="BS12" s="816">
        <f t="shared" si="20"/>
        <v>10.664037218029488</v>
      </c>
      <c r="BT12" s="826">
        <v>6</v>
      </c>
      <c r="BU12" s="487"/>
      <c r="BV12" s="840">
        <v>4658.7179999999998</v>
      </c>
      <c r="BW12" s="816">
        <f t="shared" si="21"/>
        <v>4.1533057765323456</v>
      </c>
      <c r="BX12" s="826">
        <v>3</v>
      </c>
      <c r="BY12" s="823"/>
      <c r="BZ12" s="840">
        <v>4761.53</v>
      </c>
      <c r="CA12" s="816">
        <f t="shared" si="22"/>
        <v>2.2068732213454512</v>
      </c>
      <c r="CB12" s="826">
        <v>1</v>
      </c>
      <c r="CC12" s="823"/>
      <c r="CD12" s="840">
        <v>5244.9459999999999</v>
      </c>
      <c r="CE12" s="816">
        <f t="shared" si="23"/>
        <v>10.152535004504859</v>
      </c>
      <c r="CF12" s="826">
        <v>7</v>
      </c>
      <c r="CG12" s="823"/>
      <c r="CH12" s="840">
        <f>5525.847</f>
        <v>5525.8469999999998</v>
      </c>
      <c r="CI12" s="816">
        <f t="shared" si="24"/>
        <v>5.355650944738044</v>
      </c>
      <c r="CJ12" s="826">
        <v>1</v>
      </c>
      <c r="CK12" s="823"/>
      <c r="CL12" s="840">
        <v>5793.1279999999997</v>
      </c>
      <c r="CM12" s="816">
        <f t="shared" si="25"/>
        <v>4.8369236426560436</v>
      </c>
      <c r="CN12" s="826">
        <v>3</v>
      </c>
      <c r="CO12" s="823"/>
      <c r="CP12" s="840">
        <v>6410.9129999999996</v>
      </c>
      <c r="CQ12" s="816">
        <f t="shared" si="26"/>
        <v>10.664100637859208</v>
      </c>
      <c r="CR12" s="826">
        <v>7</v>
      </c>
      <c r="CS12" s="823"/>
      <c r="CT12" s="840">
        <v>6981.8760000000002</v>
      </c>
      <c r="CU12" s="816">
        <f>(CT12/CP12-1)*100</f>
        <v>8.9061105649070669</v>
      </c>
      <c r="CV12" s="826">
        <v>5</v>
      </c>
      <c r="CW12" s="827"/>
      <c r="CX12" s="840">
        <v>7366.0659999999998</v>
      </c>
      <c r="CY12" s="816">
        <f t="shared" si="5"/>
        <v>5.5026757851328156</v>
      </c>
      <c r="CZ12" s="826">
        <v>2</v>
      </c>
      <c r="DA12" s="827"/>
      <c r="DB12" s="840">
        <v>7753.4949999999999</v>
      </c>
      <c r="DC12" s="816">
        <f t="shared" ref="DC12:DC17" si="28">(DB12/CX12-1)*100</f>
        <v>5.2596460580179416</v>
      </c>
      <c r="DD12" s="826">
        <v>5</v>
      </c>
      <c r="DE12" s="827"/>
      <c r="DF12" s="840">
        <v>8291.6880000000001</v>
      </c>
      <c r="DG12" s="816">
        <f t="shared" si="6"/>
        <v>6.9412955060911274</v>
      </c>
      <c r="DH12" s="826">
        <v>5</v>
      </c>
      <c r="DI12" s="827"/>
      <c r="DJ12" s="2052">
        <v>8762.2199999999993</v>
      </c>
      <c r="DK12" s="816">
        <f t="shared" si="7"/>
        <v>5.6747431886004396</v>
      </c>
      <c r="DL12" s="2085">
        <v>0</v>
      </c>
      <c r="DM12" s="827"/>
      <c r="DN12" s="841">
        <f>qtrSales!$S210</f>
        <v>9338.8255104000018</v>
      </c>
      <c r="DO12" s="816">
        <f t="shared" si="8"/>
        <v>6.5805870019241874</v>
      </c>
      <c r="DP12" s="823">
        <f>qtrSales!$F210</f>
        <v>2.3781622246252603</v>
      </c>
      <c r="DQ12" s="1940"/>
      <c r="DR12" s="1103">
        <f>DL12+DH12</f>
        <v>5</v>
      </c>
      <c r="DS12" s="1104">
        <f>DH12+DL12+DD12</f>
        <v>10</v>
      </c>
      <c r="DT12" s="847"/>
      <c r="DU12" s="848"/>
      <c r="DV12" s="794"/>
      <c r="DW12" s="794"/>
      <c r="DX12" s="794"/>
      <c r="DY12" s="794"/>
      <c r="DZ12" s="794"/>
      <c r="EA12" s="794"/>
      <c r="EB12" s="794"/>
    </row>
    <row r="13" spans="1:132">
      <c r="A13" s="487" t="s">
        <v>530</v>
      </c>
      <c r="B13" s="487" t="s">
        <v>517</v>
      </c>
      <c r="C13" s="499"/>
      <c r="D13" s="849">
        <v>545.13099999999997</v>
      </c>
      <c r="E13" s="499"/>
      <c r="F13" s="850">
        <v>714.06200000000001</v>
      </c>
      <c r="G13" s="816">
        <f t="shared" si="9"/>
        <v>30.989065013730645</v>
      </c>
      <c r="H13" s="817">
        <v>6.9</v>
      </c>
      <c r="I13" s="487"/>
      <c r="J13" s="849">
        <v>799.66200000000003</v>
      </c>
      <c r="K13" s="816">
        <f t="shared" si="0"/>
        <v>11.98775456472967</v>
      </c>
      <c r="L13" s="817">
        <v>1</v>
      </c>
      <c r="M13" s="487"/>
      <c r="N13" s="851">
        <f>+N14-N12-N11-N10</f>
        <v>997.56499999999994</v>
      </c>
      <c r="O13" s="816">
        <f t="shared" si="1"/>
        <v>24.748331169919279</v>
      </c>
      <c r="P13" s="817">
        <v>5</v>
      </c>
      <c r="Q13" s="487"/>
      <c r="R13" s="851">
        <v>835.95399999999995</v>
      </c>
      <c r="S13" s="816">
        <f t="shared" si="2"/>
        <v>-16.200548335196206</v>
      </c>
      <c r="T13" s="819">
        <v>2</v>
      </c>
      <c r="U13" s="487"/>
      <c r="V13" s="852">
        <v>908.64300000000003</v>
      </c>
      <c r="W13" s="816">
        <f t="shared" si="3"/>
        <v>8.6953349107726119</v>
      </c>
      <c r="X13" s="819">
        <v>-1</v>
      </c>
      <c r="Y13" s="487"/>
      <c r="Z13" s="852">
        <v>1638.739</v>
      </c>
      <c r="AA13" s="816">
        <f t="shared" si="4"/>
        <v>80.350148518174905</v>
      </c>
      <c r="AB13" s="822">
        <v>-2</v>
      </c>
      <c r="AC13" s="487"/>
      <c r="AD13" s="852">
        <v>1946.4749999999999</v>
      </c>
      <c r="AE13" s="816">
        <f t="shared" si="10"/>
        <v>18.778829331577505</v>
      </c>
      <c r="AF13" s="823">
        <v>7</v>
      </c>
      <c r="AG13" s="487"/>
      <c r="AH13" s="852">
        <v>2242.8490000000002</v>
      </c>
      <c r="AI13" s="816">
        <f t="shared" si="11"/>
        <v>15.226190934895145</v>
      </c>
      <c r="AJ13" s="823">
        <v>5</v>
      </c>
      <c r="AK13" s="487"/>
      <c r="AL13" s="852">
        <v>2323.9520000000002</v>
      </c>
      <c r="AM13" s="816">
        <f t="shared" si="12"/>
        <v>3.6160704532494092</v>
      </c>
      <c r="AN13" s="823">
        <v>4</v>
      </c>
      <c r="AO13" s="487"/>
      <c r="AP13" s="852">
        <v>2526.9360000000001</v>
      </c>
      <c r="AQ13" s="816">
        <f t="shared" si="13"/>
        <v>8.7344316922208343</v>
      </c>
      <c r="AR13" s="823">
        <v>2</v>
      </c>
      <c r="AS13" s="487"/>
      <c r="AT13" s="853">
        <v>2751.3049999999998</v>
      </c>
      <c r="AU13" s="816">
        <f t="shared" si="14"/>
        <v>8.8790930993107651</v>
      </c>
      <c r="AV13" s="823">
        <v>2</v>
      </c>
      <c r="AW13" s="487"/>
      <c r="AX13" s="854">
        <v>3208.712</v>
      </c>
      <c r="AY13" s="816">
        <f t="shared" si="15"/>
        <v>16.62509245612538</v>
      </c>
      <c r="AZ13" s="826">
        <v>6</v>
      </c>
      <c r="BA13" s="487"/>
      <c r="BB13" s="855">
        <v>3505.4810000000002</v>
      </c>
      <c r="BC13" s="816">
        <f t="shared" si="16"/>
        <v>9.2488512524651725</v>
      </c>
      <c r="BD13" s="826">
        <v>0</v>
      </c>
      <c r="BE13" s="487"/>
      <c r="BF13" s="855">
        <v>4105.5969999999998</v>
      </c>
      <c r="BG13" s="816">
        <f t="shared" si="17"/>
        <v>17.119362506885636</v>
      </c>
      <c r="BH13" s="826">
        <v>3</v>
      </c>
      <c r="BI13" s="487"/>
      <c r="BJ13" s="856">
        <v>4329.1090000000004</v>
      </c>
      <c r="BK13" s="816">
        <f t="shared" si="18"/>
        <v>5.4440803615162681</v>
      </c>
      <c r="BL13" s="826">
        <v>4</v>
      </c>
      <c r="BM13" s="487"/>
      <c r="BN13" s="856">
        <v>4716.3270000000002</v>
      </c>
      <c r="BO13" s="816">
        <f t="shared" si="19"/>
        <v>8.9445195304622693</v>
      </c>
      <c r="BP13" s="826">
        <v>3</v>
      </c>
      <c r="BQ13" s="487"/>
      <c r="BR13" s="856">
        <v>5096.7790000000005</v>
      </c>
      <c r="BS13" s="816">
        <f t="shared" si="20"/>
        <v>8.0667010578358891</v>
      </c>
      <c r="BT13" s="826">
        <v>5</v>
      </c>
      <c r="BU13" s="487"/>
      <c r="BV13" s="856">
        <v>5391.8760000000002</v>
      </c>
      <c r="BW13" s="816">
        <f t="shared" si="21"/>
        <v>5.7898723880317249</v>
      </c>
      <c r="BX13" s="826">
        <v>4</v>
      </c>
      <c r="BY13" s="823"/>
      <c r="BZ13" s="856">
        <f>5380.025</f>
        <v>5380.0249999999996</v>
      </c>
      <c r="CA13" s="816">
        <f t="shared" si="22"/>
        <v>-0.2197936302689607</v>
      </c>
      <c r="CB13" s="826">
        <v>-2</v>
      </c>
      <c r="CC13" s="823"/>
      <c r="CD13" s="856">
        <v>5941.7460000000001</v>
      </c>
      <c r="CE13" s="816">
        <f t="shared" si="23"/>
        <v>10.440862263651196</v>
      </c>
      <c r="CF13" s="826">
        <v>12</v>
      </c>
      <c r="CG13" s="823"/>
      <c r="CH13" s="856">
        <f>6331.726-278.942</f>
        <v>6052.7839999999997</v>
      </c>
      <c r="CI13" s="816">
        <f t="shared" si="24"/>
        <v>1.8687772920619627</v>
      </c>
      <c r="CJ13" s="826">
        <v>2</v>
      </c>
      <c r="CK13" s="823"/>
      <c r="CL13" s="856">
        <v>6709.7579999999998</v>
      </c>
      <c r="CM13" s="816">
        <f t="shared" si="25"/>
        <v>10.854079709436192</v>
      </c>
      <c r="CN13" s="826">
        <v>7</v>
      </c>
      <c r="CO13" s="823"/>
      <c r="CP13" s="856">
        <v>7723.8140000000003</v>
      </c>
      <c r="CQ13" s="816">
        <f t="shared" si="26"/>
        <v>15.113153112228495</v>
      </c>
      <c r="CR13" s="826">
        <v>4</v>
      </c>
      <c r="CS13" s="823"/>
      <c r="CT13" s="856">
        <v>7808.7870000000003</v>
      </c>
      <c r="CU13" s="816">
        <f t="shared" si="27"/>
        <v>1.1001430122475675</v>
      </c>
      <c r="CV13" s="826">
        <v>3</v>
      </c>
      <c r="CW13" s="827"/>
      <c r="CX13" s="856">
        <v>8303.9529999999995</v>
      </c>
      <c r="CY13" s="816">
        <f t="shared" si="5"/>
        <v>6.3411385148551158</v>
      </c>
      <c r="CZ13" s="826">
        <v>4</v>
      </c>
      <c r="DA13" s="827"/>
      <c r="DB13" s="856">
        <v>8962.0750000000007</v>
      </c>
      <c r="DC13" s="816">
        <f t="shared" si="28"/>
        <v>7.9254061288641875</v>
      </c>
      <c r="DD13" s="826">
        <v>6</v>
      </c>
      <c r="DE13" s="827"/>
      <c r="DF13" s="856">
        <v>9467.6470000000008</v>
      </c>
      <c r="DG13" s="816">
        <f t="shared" si="6"/>
        <v>5.6412382177118525</v>
      </c>
      <c r="DH13" s="826">
        <v>3</v>
      </c>
      <c r="DI13" s="827"/>
      <c r="DJ13" s="2097">
        <v>10960.72</v>
      </c>
      <c r="DK13" s="816">
        <f t="shared" si="7"/>
        <v>15.770264776453935</v>
      </c>
      <c r="DL13" s="2085">
        <v>4</v>
      </c>
      <c r="DM13" s="827"/>
      <c r="DN13" s="857">
        <f>qtrSales!$S211</f>
        <v>11070.016059999998</v>
      </c>
      <c r="DO13" s="816">
        <f t="shared" si="8"/>
        <v>0.99716131786962148</v>
      </c>
      <c r="DP13" s="823">
        <f>qtrSales!$F211</f>
        <v>2.2109307790832604</v>
      </c>
      <c r="DQ13" s="1940"/>
      <c r="DR13" s="1105">
        <f>DL13+DH13</f>
        <v>7</v>
      </c>
      <c r="DS13" s="1106">
        <f>DH13+DL13+DD13</f>
        <v>13</v>
      </c>
      <c r="DT13" s="847"/>
      <c r="DU13" s="858"/>
      <c r="DV13" s="794"/>
      <c r="DW13" s="794"/>
      <c r="DX13" s="794"/>
      <c r="DY13" s="794"/>
      <c r="DZ13" s="794"/>
      <c r="EA13" s="794"/>
      <c r="EB13" s="794"/>
    </row>
    <row r="14" spans="1:132">
      <c r="A14" s="487"/>
      <c r="B14" s="487" t="s">
        <v>531</v>
      </c>
      <c r="C14" s="487"/>
      <c r="D14" s="859">
        <f>SUM(D10:D13)</f>
        <v>1586.596</v>
      </c>
      <c r="E14" s="487"/>
      <c r="F14" s="859">
        <f>SUM(F10:F13)</f>
        <v>2446.279</v>
      </c>
      <c r="G14" s="816">
        <f t="shared" si="9"/>
        <v>54.184114922765467</v>
      </c>
      <c r="H14" s="817">
        <v>5.5</v>
      </c>
      <c r="I14" s="487"/>
      <c r="J14" s="859">
        <f>SUM(J10:J13)</f>
        <v>2757.7150000000001</v>
      </c>
      <c r="K14" s="816">
        <f t="shared" si="0"/>
        <v>12.731009014098561</v>
      </c>
      <c r="L14" s="817">
        <v>2</v>
      </c>
      <c r="M14" s="487"/>
      <c r="N14" s="860">
        <v>3261.24</v>
      </c>
      <c r="O14" s="816">
        <f t="shared" si="1"/>
        <v>18.258775834341101</v>
      </c>
      <c r="P14" s="817">
        <v>5</v>
      </c>
      <c r="Q14" s="487"/>
      <c r="R14" s="859">
        <f>SUM(R10:R13)</f>
        <v>2832.0699999999997</v>
      </c>
      <c r="S14" s="816">
        <f t="shared" si="2"/>
        <v>-13.159718389324304</v>
      </c>
      <c r="T14" s="819">
        <v>2</v>
      </c>
      <c r="U14" s="487"/>
      <c r="V14" s="859">
        <f>SUM(V10:V13)</f>
        <v>3055.5730000000003</v>
      </c>
      <c r="W14" s="816">
        <f t="shared" si="3"/>
        <v>7.891860017584329</v>
      </c>
      <c r="X14" s="819">
        <v>0</v>
      </c>
      <c r="Y14" s="487"/>
      <c r="Z14" s="859">
        <f>SUM(Z10:Z13)</f>
        <v>3975.1149999999998</v>
      </c>
      <c r="AA14" s="816">
        <f t="shared" si="4"/>
        <v>30.093930009199553</v>
      </c>
      <c r="AB14" s="822">
        <v>-2</v>
      </c>
      <c r="AC14" s="487"/>
      <c r="AD14" s="859">
        <f>SUM(AD10:AD13)</f>
        <v>6689.41</v>
      </c>
      <c r="AE14" s="816">
        <f t="shared" si="10"/>
        <v>68.282175484231274</v>
      </c>
      <c r="AF14" s="823">
        <v>7.5263349084597895</v>
      </c>
      <c r="AG14" s="487"/>
      <c r="AH14" s="859">
        <f>SUM(AH10:AH13)</f>
        <v>7389.0690000000004</v>
      </c>
      <c r="AI14" s="816">
        <f t="shared" si="11"/>
        <v>10.459203427507058</v>
      </c>
      <c r="AJ14" s="823">
        <v>6.2</v>
      </c>
      <c r="AK14" s="487"/>
      <c r="AL14" s="861">
        <f>SUM(AL10:AL13)</f>
        <v>7948.8710000000001</v>
      </c>
      <c r="AM14" s="816">
        <f t="shared" si="12"/>
        <v>7.5760829950295427</v>
      </c>
      <c r="AN14" s="823">
        <v>4.6106199232570262</v>
      </c>
      <c r="AO14" s="487"/>
      <c r="AP14" s="862">
        <f>SUM(AP10:AP13)</f>
        <v>8795.3469999999998</v>
      </c>
      <c r="AQ14" s="816">
        <f t="shared" si="13"/>
        <v>10.649009148594812</v>
      </c>
      <c r="AR14" s="823">
        <v>5</v>
      </c>
      <c r="AS14" s="487"/>
      <c r="AT14" s="859">
        <f>SUM(AT10:AT13)</f>
        <v>9579.0059999999994</v>
      </c>
      <c r="AU14" s="816">
        <f t="shared" si="14"/>
        <v>8.9099270330096125</v>
      </c>
      <c r="AV14" s="823">
        <v>2</v>
      </c>
      <c r="AW14" s="487"/>
      <c r="AX14" s="859">
        <f>SUM(AX10:AX13)</f>
        <v>10708.998</v>
      </c>
      <c r="AY14" s="816">
        <f t="shared" si="15"/>
        <v>11.796547574978034</v>
      </c>
      <c r="AZ14" s="826">
        <v>3</v>
      </c>
      <c r="BA14" s="487"/>
      <c r="BB14" s="859">
        <f>SUM(BB10:BB13)</f>
        <v>11981.206999999999</v>
      </c>
      <c r="BC14" s="816">
        <f t="shared" si="16"/>
        <v>11.879813592270704</v>
      </c>
      <c r="BD14" s="826">
        <v>3</v>
      </c>
      <c r="BE14" s="487"/>
      <c r="BF14" s="859">
        <f>SUM(BF10:BF13)</f>
        <v>13327.938</v>
      </c>
      <c r="BG14" s="816">
        <f t="shared" si="17"/>
        <v>11.240361676415421</v>
      </c>
      <c r="BH14" s="826">
        <v>1</v>
      </c>
      <c r="BI14" s="487"/>
      <c r="BJ14" s="859">
        <f>SUM(BJ10:BJ13)</f>
        <v>14913.483</v>
      </c>
      <c r="BK14" s="816">
        <f>(BJ14/BF14-1)*100</f>
        <v>11.896401378817934</v>
      </c>
      <c r="BL14" s="826">
        <v>5</v>
      </c>
      <c r="BM14" s="487"/>
      <c r="BN14" s="859">
        <f>SUM(BN10:BN13)</f>
        <v>16057.935000000001</v>
      </c>
      <c r="BO14" s="816">
        <f t="shared" si="19"/>
        <v>7.6739417612907701</v>
      </c>
      <c r="BP14" s="826">
        <v>2</v>
      </c>
      <c r="BQ14" s="487"/>
      <c r="BR14" s="859">
        <f>SUM(BR10:BR13)</f>
        <v>17404.637000000002</v>
      </c>
      <c r="BS14" s="816">
        <f t="shared" si="20"/>
        <v>8.3865204336672328</v>
      </c>
      <c r="BT14" s="826">
        <v>3</v>
      </c>
      <c r="BU14" s="487"/>
      <c r="BV14" s="859">
        <f>SUM(BV10:BV13)</f>
        <v>18471.973000000002</v>
      </c>
      <c r="BW14" s="816">
        <f t="shared" si="21"/>
        <v>6.1324806716738678</v>
      </c>
      <c r="BX14" s="826">
        <v>2</v>
      </c>
      <c r="BY14" s="823"/>
      <c r="BZ14" s="859">
        <f>SUM(BZ10:BZ13)</f>
        <v>18999.504999999997</v>
      </c>
      <c r="CA14" s="816">
        <f t="shared" si="22"/>
        <v>2.8558508611938427</v>
      </c>
      <c r="CB14" s="826">
        <v>1</v>
      </c>
      <c r="CC14" s="823"/>
      <c r="CD14" s="859">
        <f>SUM(CD10:CD13)</f>
        <v>20288.444</v>
      </c>
      <c r="CE14" s="816">
        <f t="shared" si="23"/>
        <v>6.7840662164619703</v>
      </c>
      <c r="CF14" s="826">
        <v>6</v>
      </c>
      <c r="CG14" s="823"/>
      <c r="CH14" s="805">
        <f>SUM(CH10:CH13)</f>
        <v>21663.250999999997</v>
      </c>
      <c r="CI14" s="816">
        <f t="shared" si="24"/>
        <v>6.7763057630245038</v>
      </c>
      <c r="CJ14" s="826">
        <v>4</v>
      </c>
      <c r="CK14" s="823"/>
      <c r="CL14" s="805">
        <f>SUM(CL10:CL13)</f>
        <v>23182.226000000002</v>
      </c>
      <c r="CM14" s="816">
        <f t="shared" si="25"/>
        <v>7.0117592230270809</v>
      </c>
      <c r="CN14" s="826">
        <v>4</v>
      </c>
      <c r="CO14" s="823"/>
      <c r="CP14" s="805">
        <f>SUM(CP10:CP13)</f>
        <v>25878.372000000003</v>
      </c>
      <c r="CQ14" s="816">
        <f t="shared" si="26"/>
        <v>11.630229124675084</v>
      </c>
      <c r="CR14" s="826">
        <v>7</v>
      </c>
      <c r="CS14" s="823"/>
      <c r="CT14" s="805">
        <f>SUM(CT10:CT13)</f>
        <v>27422.696</v>
      </c>
      <c r="CU14" s="816">
        <f t="shared" si="27"/>
        <v>5.9676242384953504</v>
      </c>
      <c r="CV14" s="826">
        <v>3</v>
      </c>
      <c r="CW14" s="827"/>
      <c r="CX14" s="805">
        <f>SUM(CX10:CX13)</f>
        <v>29078.406999999999</v>
      </c>
      <c r="CY14" s="816">
        <f t="shared" si="5"/>
        <v>6.0377396883223966</v>
      </c>
      <c r="CZ14" s="826">
        <v>2</v>
      </c>
      <c r="DA14" s="827"/>
      <c r="DB14" s="805">
        <f>SUM(DB10:DB13)</f>
        <v>30944.937999999998</v>
      </c>
      <c r="DC14" s="816">
        <f t="shared" si="28"/>
        <v>6.4189589202737318</v>
      </c>
      <c r="DD14" s="826">
        <v>5</v>
      </c>
      <c r="DE14" s="827"/>
      <c r="DF14" s="805">
        <f>SUM(DF10:DF13)</f>
        <v>33183.744000000006</v>
      </c>
      <c r="DG14" s="816">
        <f t="shared" si="6"/>
        <v>7.2348052531241436</v>
      </c>
      <c r="DH14" s="826">
        <v>5</v>
      </c>
      <c r="DI14" s="827"/>
      <c r="DJ14" s="805">
        <f>SUM(DJ10:DJ13)</f>
        <v>35864.664000000004</v>
      </c>
      <c r="DK14" s="816">
        <f t="shared" si="7"/>
        <v>8.0790160386965404</v>
      </c>
      <c r="DL14" s="2085">
        <v>2</v>
      </c>
      <c r="DM14" s="827"/>
      <c r="DN14" s="805">
        <f>SUM(DN10:DN13)</f>
        <v>37841.806575399998</v>
      </c>
      <c r="DO14" s="816">
        <f t="shared" si="8"/>
        <v>5.5127871138008988</v>
      </c>
      <c r="DP14" s="823">
        <f>qtrSales!$F212</f>
        <v>2.2735531853315218</v>
      </c>
      <c r="DQ14" s="829"/>
      <c r="DR14" s="1107">
        <f>DL14+DH14</f>
        <v>7</v>
      </c>
      <c r="DS14" s="1108">
        <f>DH14+DL14+DD14</f>
        <v>12</v>
      </c>
      <c r="DT14" s="863"/>
      <c r="DU14" s="1253"/>
      <c r="DV14" s="794"/>
      <c r="DW14" s="794"/>
      <c r="DX14" s="794"/>
      <c r="DY14" s="794"/>
      <c r="DZ14" s="794"/>
      <c r="EA14" s="794"/>
      <c r="EB14" s="794"/>
    </row>
    <row r="15" spans="1:132" hidden="1" outlineLevel="1">
      <c r="A15" s="487" t="s">
        <v>532</v>
      </c>
      <c r="B15" s="487"/>
      <c r="C15" s="487"/>
      <c r="D15" s="864">
        <f>SUM(D10:D11)</f>
        <v>635.86400000000003</v>
      </c>
      <c r="E15" s="487"/>
      <c r="F15" s="864">
        <f>SUM(F10:F11)</f>
        <v>1086.2370000000001</v>
      </c>
      <c r="G15" s="816">
        <f t="shared" si="9"/>
        <v>70.828510499100446</v>
      </c>
      <c r="H15" s="822">
        <f>((F10/F15)*H10)+((F11/F15)*H11)</f>
        <v>4.2973097031310843</v>
      </c>
      <c r="I15" s="487"/>
      <c r="J15" s="864">
        <f>SUM(J10:J11)</f>
        <v>1252.7840000000001</v>
      </c>
      <c r="K15" s="816">
        <f t="shared" si="0"/>
        <v>15.332473484147568</v>
      </c>
      <c r="L15" s="822">
        <f>((J10/J15)*L10)+((J11/J15)*L11)</f>
        <v>4.3778723227627427</v>
      </c>
      <c r="M15" s="487"/>
      <c r="N15" s="864">
        <f>SUM(N10:N11)</f>
        <v>1424.559</v>
      </c>
      <c r="O15" s="816">
        <f t="shared" si="1"/>
        <v>13.711461832207306</v>
      </c>
      <c r="P15" s="822">
        <f>((N10/N15)*P10)+((N11/N15)*P11)</f>
        <v>3.5870637860558956</v>
      </c>
      <c r="Q15" s="487"/>
      <c r="R15" s="864">
        <f>SUM(R10:R11)</f>
        <v>1243.163</v>
      </c>
      <c r="S15" s="816">
        <f t="shared" si="2"/>
        <v>-12.733484538021944</v>
      </c>
      <c r="T15" s="822">
        <f>((R10/R15)*T10)+((R11/R15)*T11)</f>
        <v>1.0447913909921707</v>
      </c>
      <c r="U15" s="487"/>
      <c r="V15" s="864">
        <f>SUM(V10:V11)</f>
        <v>1343.277</v>
      </c>
      <c r="W15" s="816">
        <f t="shared" si="3"/>
        <v>8.0531676055352275</v>
      </c>
      <c r="X15" s="822">
        <f>((V10/V15)*X10)+((V11/V15)*X11)</f>
        <v>0.45932968404878516</v>
      </c>
      <c r="Y15" s="487"/>
      <c r="Z15" s="864">
        <f>SUM(Z10:Z11)</f>
        <v>1475.1619999999998</v>
      </c>
      <c r="AA15" s="816">
        <f t="shared" si="4"/>
        <v>9.8181536645084897</v>
      </c>
      <c r="AB15" s="822">
        <f>((Z10/Z15)*AB10)+((Z11/Z15)*AB11)</f>
        <v>-1.5161080613519058</v>
      </c>
      <c r="AC15" s="487"/>
      <c r="AD15" s="864">
        <f>SUM(AD10:AD11)</f>
        <v>3020.5060000000003</v>
      </c>
      <c r="AE15" s="816">
        <f t="shared" si="10"/>
        <v>104.7575791675762</v>
      </c>
      <c r="AF15" s="822">
        <f>((AD10/AD15)*AF10)+((AD11/AD15)*AF11)</f>
        <v>7.0251653199828104</v>
      </c>
      <c r="AG15" s="487"/>
      <c r="AH15" s="864">
        <f>SUM(AH10:AH11)</f>
        <v>3258.5219999999999</v>
      </c>
      <c r="AI15" s="816">
        <f t="shared" si="11"/>
        <v>7.8800042112149304</v>
      </c>
      <c r="AJ15" s="822">
        <f>((AH10/AH15)*AJ10)+((AH11/AH15)*AJ11)</f>
        <v>6.5636279270172189</v>
      </c>
      <c r="AK15" s="487"/>
      <c r="AL15" s="864">
        <f>SUM(AL10:AL11)</f>
        <v>3621.4160000000002</v>
      </c>
      <c r="AM15" s="816">
        <f t="shared" si="12"/>
        <v>11.136766914570483</v>
      </c>
      <c r="AN15" s="822">
        <f>((AL10/AL15)*AN10)+((AL11/AL15)*AN11)</f>
        <v>7</v>
      </c>
      <c r="AO15" s="487"/>
      <c r="AP15" s="864">
        <f>SUM(AP10:AP11)</f>
        <v>4033.357</v>
      </c>
      <c r="AQ15" s="816">
        <f t="shared" si="13"/>
        <v>11.375136134594865</v>
      </c>
      <c r="AR15" s="822">
        <f>((AP10/AP15)*AR10)+((AP11/AP15)*AR11)</f>
        <v>6.042729914560006</v>
      </c>
      <c r="AS15" s="487"/>
      <c r="AT15" s="864">
        <f>SUM(AT10:AT11)</f>
        <v>4366.29</v>
      </c>
      <c r="AU15" s="816">
        <f t="shared" si="14"/>
        <v>8.2544887546527548</v>
      </c>
      <c r="AV15" s="822">
        <f>((AT10/AT15)*AV10)+((AT11/AT15)*AV11)</f>
        <v>1.9656326080035913</v>
      </c>
      <c r="AW15" s="487"/>
      <c r="AX15" s="864">
        <f>SUM(AX10:AX11)</f>
        <v>4758.5169999999998</v>
      </c>
      <c r="AY15" s="816">
        <f t="shared" si="15"/>
        <v>8.98307258565052</v>
      </c>
      <c r="AZ15" s="822">
        <f>((AX10/AX15)*AZ10)+((AX11/AX15)*AZ11)</f>
        <v>1.0455450721306658</v>
      </c>
      <c r="BA15" s="487"/>
      <c r="BB15" s="864">
        <f>SUM(BB10:BB11)</f>
        <v>5430.7759999999998</v>
      </c>
      <c r="BC15" s="816">
        <f t="shared" si="16"/>
        <v>14.1274897200115</v>
      </c>
      <c r="BD15" s="822">
        <f>((BB10/BB15)*BD10)+((BB11/BB15)*BD11)</f>
        <v>4.454241345988124</v>
      </c>
      <c r="BE15" s="487"/>
      <c r="BF15" s="864">
        <f>SUM(BF10:BF11)</f>
        <v>5834.8890000000001</v>
      </c>
      <c r="BG15" s="816">
        <f t="shared" si="17"/>
        <v>7.4411649458567375</v>
      </c>
      <c r="BH15" s="822">
        <f>((BF10/BF15)*BH10)+((BF11/BF15)*BH11)</f>
        <v>8.825497794388204E-2</v>
      </c>
      <c r="BI15" s="487"/>
      <c r="BJ15" s="864">
        <f>SUM(BJ10:BJ11)</f>
        <v>6767.0239999999994</v>
      </c>
      <c r="BK15" s="816">
        <f t="shared" si="18"/>
        <v>15.975196786091384</v>
      </c>
      <c r="BL15" s="822">
        <f>((BJ10/BJ15)*BL10)+((BJ11/BJ15)*BL11)</f>
        <v>5.4772610530123735</v>
      </c>
      <c r="BM15" s="487"/>
      <c r="BN15" s="864">
        <f>SUM(BN10:BN11)</f>
        <v>7299.6959999999999</v>
      </c>
      <c r="BO15" s="816">
        <f t="shared" si="19"/>
        <v>7.8715843183059464</v>
      </c>
      <c r="BP15" s="822">
        <f>((BN10/BN15)*BP10)+((BN11/BN15)*BP11)</f>
        <v>2.0005430363127448</v>
      </c>
      <c r="BQ15" s="487"/>
      <c r="BR15" s="864">
        <f>SUM(BR10:BR11)</f>
        <v>7834.915</v>
      </c>
      <c r="BS15" s="816">
        <f t="shared" si="20"/>
        <v>7.332072458907879</v>
      </c>
      <c r="BT15" s="822">
        <f>((BR10/BR15)*BT10)+((BR11/BR15)*BT11)</f>
        <v>2.5176906194898097</v>
      </c>
      <c r="BU15" s="487"/>
      <c r="BV15" s="864">
        <f>SUM(BV10:BV11)</f>
        <v>8421.3790000000008</v>
      </c>
      <c r="BW15" s="816">
        <f t="shared" si="21"/>
        <v>7.4852630819862265</v>
      </c>
      <c r="BX15" s="822">
        <f>((BV10/BV15)*BX10)+((BV11/BV15)*BX11)</f>
        <v>3.5365528614731621</v>
      </c>
      <c r="BY15" s="822"/>
      <c r="BZ15" s="864">
        <f>SUM(BZ10:BZ11)</f>
        <v>8857.9500000000007</v>
      </c>
      <c r="CA15" s="816">
        <f t="shared" si="22"/>
        <v>5.1840797095107582</v>
      </c>
      <c r="CB15" s="822">
        <f>((BZ10/BZ15)*CB10)+((BZ11/BZ15)*CB11)</f>
        <v>2.5141590322817358</v>
      </c>
      <c r="CC15" s="822"/>
      <c r="CD15" s="864">
        <f>SUM(CD10:CD11)</f>
        <v>9101.7520000000004</v>
      </c>
      <c r="CE15" s="816">
        <f t="shared" si="23"/>
        <v>2.7523524065951932</v>
      </c>
      <c r="CF15" s="822">
        <f>((CD10/CD15)*CF10)+((CD11/CD15)*CF11)</f>
        <v>3.0432119003022713</v>
      </c>
      <c r="CG15" s="822"/>
      <c r="CH15" s="864">
        <f>SUM(CH10:CH11)</f>
        <v>10084.619999999999</v>
      </c>
      <c r="CI15" s="816">
        <f t="shared" si="24"/>
        <v>10.798668212449636</v>
      </c>
      <c r="CJ15" s="822">
        <f>((CH10/CH15)*CJ10)+((CH11/CH15)*CJ11)</f>
        <v>5.9846677415708278</v>
      </c>
      <c r="CK15" s="822"/>
      <c r="CL15" s="864">
        <f>SUM(CL10:CL11)</f>
        <v>10679.34</v>
      </c>
      <c r="CM15" s="816">
        <f t="shared" si="25"/>
        <v>5.897297072175256</v>
      </c>
      <c r="CN15" s="822">
        <f>((CL10/CL15)*CN10)+((CL11/CL15)*CN11)</f>
        <v>3.0240846344437013</v>
      </c>
      <c r="CO15" s="822"/>
      <c r="CP15" s="864">
        <f>SUM(CP10:CP11)</f>
        <v>11743.645</v>
      </c>
      <c r="CQ15" s="816">
        <f t="shared" si="26"/>
        <v>9.9660184992705467</v>
      </c>
      <c r="CR15" s="822">
        <f>((CP10/CP15)*CR10)+((CP11/CP15)*CR11)</f>
        <v>7.4937211572727209</v>
      </c>
      <c r="CS15" s="822"/>
      <c r="CT15" s="864">
        <f>SUM(CT10:CT11)</f>
        <v>12632.032999999999</v>
      </c>
      <c r="CU15" s="816">
        <f t="shared" si="27"/>
        <v>7.5648403881418247</v>
      </c>
      <c r="CV15" s="822">
        <f>((CT10/CT15)*CV10)+((CT11/CT15)*CV11)</f>
        <v>3.0200138014205633</v>
      </c>
      <c r="CW15" s="865"/>
      <c r="CX15" s="864">
        <f>SUM(CX10:CX11)</f>
        <v>13408.388000000001</v>
      </c>
      <c r="CY15" s="816">
        <f t="shared" si="5"/>
        <v>6.1459228296822932</v>
      </c>
      <c r="CZ15" s="822">
        <f>((CX10/CX15)*CZ10)+((CX11/CX15)*CZ11)</f>
        <v>2.0317738418667477</v>
      </c>
      <c r="DA15" s="865"/>
      <c r="DB15" s="864">
        <f>SUM(DB10:DB11)</f>
        <v>14229.367999999999</v>
      </c>
      <c r="DC15" s="816">
        <f t="shared" si="28"/>
        <v>6.122883675502222</v>
      </c>
      <c r="DD15" s="822">
        <f>((DB10/DB15)*DD10)+((DB11/DB15)*DD11)</f>
        <v>5.5175023233639049</v>
      </c>
      <c r="DE15" s="865"/>
      <c r="DF15" s="864">
        <f>SUM(DF10:DF11)</f>
        <v>15424.409</v>
      </c>
      <c r="DG15" s="816">
        <f t="shared" si="6"/>
        <v>8.3984123539429199</v>
      </c>
      <c r="DH15" s="822">
        <f>((DF10/DF15)*DH10)+((DF11/DF15)*DH11)</f>
        <v>5.4669649903604087</v>
      </c>
      <c r="DI15" s="865"/>
      <c r="DJ15" s="864">
        <f>SUM(DJ10:DJ11)</f>
        <v>16141.724000000002</v>
      </c>
      <c r="DK15" s="816">
        <f t="shared" si="7"/>
        <v>4.6505185385060877</v>
      </c>
      <c r="DL15" s="822">
        <f>((DJ10/DJ15)*DL10)+((DJ11/DJ15)*DL11)</f>
        <v>2.0355399460429382</v>
      </c>
      <c r="DM15" s="865"/>
      <c r="DN15" s="864">
        <f>SUM(DN10:DN11)</f>
        <v>17432.965005000002</v>
      </c>
      <c r="DO15" s="816">
        <f t="shared" si="8"/>
        <v>7.9993995994479983</v>
      </c>
      <c r="DP15" s="822">
        <f>((DN10/DN15)*DP10)+((DN11/DN15)*DP11)</f>
        <v>2.2572797331786991</v>
      </c>
      <c r="DQ15" s="865"/>
      <c r="DR15" s="1103"/>
      <c r="DS15" s="1104"/>
      <c r="DT15" s="842"/>
      <c r="DU15" s="794"/>
      <c r="DV15" s="794"/>
      <c r="DW15" s="794"/>
      <c r="DX15" s="794"/>
      <c r="DY15" s="794"/>
      <c r="DZ15" s="794"/>
      <c r="EA15" s="794"/>
      <c r="EB15" s="794"/>
    </row>
    <row r="16" spans="1:132" hidden="1" outlineLevel="1">
      <c r="A16" s="487" t="s">
        <v>533</v>
      </c>
      <c r="B16" s="487"/>
      <c r="C16" s="487"/>
      <c r="D16" s="864">
        <f>SUM(D10:D12)</f>
        <v>1041.4650000000001</v>
      </c>
      <c r="E16" s="487"/>
      <c r="F16" s="864">
        <f>SUM(F10:F12)</f>
        <v>1732.2170000000001</v>
      </c>
      <c r="G16" s="816">
        <f t="shared" si="9"/>
        <v>66.325032526297065</v>
      </c>
      <c r="H16" s="822">
        <f>((F12/F16)*H12)+((F15/F16)*H15)</f>
        <v>5.0068627660391272</v>
      </c>
      <c r="I16" s="487"/>
      <c r="J16" s="864">
        <f>SUM(J10:J12)</f>
        <v>1958.0530000000001</v>
      </c>
      <c r="K16" s="816">
        <f t="shared" si="0"/>
        <v>13.037396584838955</v>
      </c>
      <c r="L16" s="822">
        <f>((J12/J16)*L12)+((J15/J16)*L15)</f>
        <v>2.8010112085832204</v>
      </c>
      <c r="M16" s="487"/>
      <c r="N16" s="864">
        <f>SUM(N10:N12)</f>
        <v>2263.6750000000002</v>
      </c>
      <c r="O16" s="816">
        <f t="shared" si="1"/>
        <v>15.608464122268394</v>
      </c>
      <c r="P16" s="822">
        <f>((N12/N16)*P12)+((N15/N16)*P15)</f>
        <v>4.8521965388140966</v>
      </c>
      <c r="Q16" s="487"/>
      <c r="R16" s="864">
        <f>SUM(R10:R12)</f>
        <v>1996.116</v>
      </c>
      <c r="S16" s="816">
        <f t="shared" si="2"/>
        <v>-11.819673760588433</v>
      </c>
      <c r="T16" s="822">
        <f>((R12/R16)*T12)+((R15/R16)*T15)</f>
        <v>1.4051047133533321</v>
      </c>
      <c r="U16" s="487"/>
      <c r="V16" s="864">
        <f>SUM(V10:V12)</f>
        <v>2146.9300000000003</v>
      </c>
      <c r="W16" s="816">
        <f t="shared" si="3"/>
        <v>7.5553725334599919</v>
      </c>
      <c r="X16" s="822">
        <f>((V12/V16)*X12)+((V15/V16)*X15)</f>
        <v>-8.6936229872422499E-2</v>
      </c>
      <c r="Y16" s="487"/>
      <c r="Z16" s="864">
        <f>SUM(Z10:Z12)</f>
        <v>2336.3759999999997</v>
      </c>
      <c r="AA16" s="816">
        <f t="shared" si="4"/>
        <v>8.8240417712733823</v>
      </c>
      <c r="AB16" s="822">
        <f>((Z12/Z16)*AB12)+((Z15/Z16)*AB15)</f>
        <v>-2.4316980657222986</v>
      </c>
      <c r="AC16" s="487"/>
      <c r="AD16" s="864">
        <f>SUM(AD10:AD12)</f>
        <v>4742.9350000000004</v>
      </c>
      <c r="AE16" s="816">
        <f t="shared" si="10"/>
        <v>103.00392573798058</v>
      </c>
      <c r="AF16" s="822">
        <f>((AD12/AD16)*AF12)+((AD15/AD16)*AF15)</f>
        <v>7.3791831429273227</v>
      </c>
      <c r="AG16" s="487"/>
      <c r="AH16" s="864">
        <f>SUM(AH10:AH12)</f>
        <v>5146.22</v>
      </c>
      <c r="AI16" s="816">
        <f t="shared" si="11"/>
        <v>8.5028574079130337</v>
      </c>
      <c r="AJ16" s="822">
        <f>((AH12/AH16)*AJ12)+((AH15/AH16)*AJ15)</f>
        <v>6.7236946729832763</v>
      </c>
      <c r="AK16" s="487"/>
      <c r="AL16" s="864">
        <f>SUM(AL10:AL12)</f>
        <v>5624.9189999999999</v>
      </c>
      <c r="AM16" s="816">
        <f t="shared" si="12"/>
        <v>9.301953666963314</v>
      </c>
      <c r="AN16" s="822">
        <f>((AL12/AL16)*AN12)+((AL15/AL16)*AN15)</f>
        <v>4.8628993590841043</v>
      </c>
      <c r="AO16" s="487"/>
      <c r="AP16" s="864">
        <f>SUM(AP10:AP12)</f>
        <v>6268.4110000000001</v>
      </c>
      <c r="AQ16" s="816">
        <f t="shared" si="13"/>
        <v>11.440022514101988</v>
      </c>
      <c r="AR16" s="822">
        <f>((AP12/AP16)*AR12)+((AP15/AP16)*AR15)</f>
        <v>5.670935903851869</v>
      </c>
      <c r="AS16" s="487"/>
      <c r="AT16" s="864">
        <f>SUM(AT10:AT12)</f>
        <v>6827.701</v>
      </c>
      <c r="AU16" s="816">
        <f t="shared" si="14"/>
        <v>8.9223568780030469</v>
      </c>
      <c r="AV16" s="822">
        <f>((AT12/AT16)*AV12)+((AT15/AT16)*AV15)</f>
        <v>2.338525808321132</v>
      </c>
      <c r="AW16" s="487"/>
      <c r="AX16" s="864">
        <f>SUM(AX10:AX12)</f>
        <v>7500.2860000000001</v>
      </c>
      <c r="AY16" s="816">
        <f t="shared" si="15"/>
        <v>9.8508268009978686</v>
      </c>
      <c r="AZ16" s="822">
        <f>((AX12/AX16)*AZ12)+((AX15/AX16)*AZ15)</f>
        <v>1.760006351757786</v>
      </c>
      <c r="BA16" s="487"/>
      <c r="BB16" s="864">
        <f>SUM(BB10:BB12)</f>
        <v>8475.7259999999987</v>
      </c>
      <c r="BC16" s="816">
        <f t="shared" si="16"/>
        <v>13.005370728529542</v>
      </c>
      <c r="BD16" s="822">
        <f>((BB12/BB16)*BD12)+((BB15/BB16)*BD15)</f>
        <v>3.5725419863737935</v>
      </c>
      <c r="BE16" s="487"/>
      <c r="BF16" s="864">
        <f>SUM(BF10:BF12)</f>
        <v>9222.3410000000003</v>
      </c>
      <c r="BG16" s="816">
        <f t="shared" si="17"/>
        <v>8.8088619193211528</v>
      </c>
      <c r="BH16" s="822">
        <f>((BF12/BF16)*BH12)+((BF15/BF16)*BH15)</f>
        <v>1.1577661246748521</v>
      </c>
      <c r="BI16" s="487"/>
      <c r="BJ16" s="864">
        <f>SUM(BJ10:BJ12)</f>
        <v>10584.374</v>
      </c>
      <c r="BK16" s="816">
        <f t="shared" si="18"/>
        <v>14.76884231454898</v>
      </c>
      <c r="BL16" s="822">
        <f>((BJ12/BJ16)*BL12)+((BJ15/BJ16)*BL15)</f>
        <v>4.9444735229499646</v>
      </c>
      <c r="BM16" s="487"/>
      <c r="BN16" s="864">
        <f>SUM(BN10:BN12)</f>
        <v>11341.608</v>
      </c>
      <c r="BO16" s="816">
        <f t="shared" si="19"/>
        <v>7.1542634453393372</v>
      </c>
      <c r="BP16" s="822">
        <f>((BN12/BN16)*BP12)+((BN15/BN16)*BP15)</f>
        <v>1.2875913186207808</v>
      </c>
      <c r="BQ16" s="487"/>
      <c r="BR16" s="864">
        <f>SUM(BR10:BR12)</f>
        <v>12307.858</v>
      </c>
      <c r="BS16" s="816">
        <f t="shared" si="20"/>
        <v>8.5195150458383004</v>
      </c>
      <c r="BT16" s="822">
        <f>((BR12/BR16)*BT12)+((BR15/BR16)*BT15)</f>
        <v>3.7832375056650802</v>
      </c>
      <c r="BU16" s="487"/>
      <c r="BV16" s="864">
        <f>SUM(BV10:BV12)</f>
        <v>13080.097000000002</v>
      </c>
      <c r="BW16" s="816">
        <f t="shared" si="21"/>
        <v>6.2743574064634267</v>
      </c>
      <c r="BX16" s="822">
        <f>((BV12/BV16)*BX12)+((BV15/BV16)*BX15)</f>
        <v>3.3454496553045434</v>
      </c>
      <c r="BY16" s="822"/>
      <c r="BZ16" s="864">
        <f>SUM(BZ10:BZ12)</f>
        <v>13619.48</v>
      </c>
      <c r="CA16" s="816">
        <f t="shared" si="22"/>
        <v>4.1236926606889712</v>
      </c>
      <c r="CB16" s="822">
        <f>((BZ12/BZ16)*CB12)+((BZ15/BZ16)*CB15)</f>
        <v>1.9847912695638898</v>
      </c>
      <c r="CC16" s="822"/>
      <c r="CD16" s="864">
        <f>SUM(CD10:CD12)</f>
        <v>14346.698</v>
      </c>
      <c r="CE16" s="816">
        <f t="shared" si="23"/>
        <v>5.3395430662551036</v>
      </c>
      <c r="CF16" s="822">
        <f>((CD12/CD16)*CF12)+((CD15/CD16)*CF15)</f>
        <v>4.4897565976505529</v>
      </c>
      <c r="CG16" s="822"/>
      <c r="CH16" s="864">
        <f>SUM(CH10:CH12)</f>
        <v>15610.466999999999</v>
      </c>
      <c r="CI16" s="816">
        <f t="shared" si="24"/>
        <v>8.8087795533160254</v>
      </c>
      <c r="CJ16" s="822">
        <f>((CH12/CH16)*CJ12)+((CH15/CH16)*CJ15)</f>
        <v>4.2201778460567514</v>
      </c>
      <c r="CK16" s="822"/>
      <c r="CL16" s="864">
        <f>SUM(CL10:CL12)</f>
        <v>16472.468000000001</v>
      </c>
      <c r="CM16" s="816">
        <f t="shared" si="25"/>
        <v>5.5219424249127291</v>
      </c>
      <c r="CN16" s="822">
        <f>((CL12/CL16)*CN12)+((CL15/CL16)*CN15)</f>
        <v>3.0156144179487852</v>
      </c>
      <c r="CO16" s="822"/>
      <c r="CP16" s="864">
        <f>SUM(CP10:CP12)</f>
        <v>18154.558000000001</v>
      </c>
      <c r="CQ16" s="816">
        <f t="shared" si="26"/>
        <v>10.211523859084149</v>
      </c>
      <c r="CR16" s="822">
        <f>((CP12/CP16)*CR12)+((CP15/CP16)*CR15)</f>
        <v>7.3193735699872171</v>
      </c>
      <c r="CS16" s="822"/>
      <c r="CT16" s="864">
        <f>SUM(CT10:CT12)</f>
        <v>19613.909</v>
      </c>
      <c r="CU16" s="816">
        <f t="shared" si="27"/>
        <v>8.0384826774631435</v>
      </c>
      <c r="CV16" s="822">
        <f>((CT12/CT16)*CV12)+((CT15/CT16)*CV15)</f>
        <v>3.7248206871970297</v>
      </c>
      <c r="CW16" s="865"/>
      <c r="CX16" s="864">
        <f>SUM(CX10:CX12)</f>
        <v>20774.454000000002</v>
      </c>
      <c r="CY16" s="816">
        <f t="shared" si="5"/>
        <v>5.9169490385623913</v>
      </c>
      <c r="CZ16" s="822">
        <f>((CX12/CX16)*CZ12)+((CX15/CX16)*CZ15)</f>
        <v>2.0205076869890295</v>
      </c>
      <c r="DA16" s="865"/>
      <c r="DB16" s="864">
        <f>SUM(DB10:DB12)</f>
        <v>21982.862999999998</v>
      </c>
      <c r="DC16" s="816">
        <f t="shared" si="28"/>
        <v>5.8168026943090645</v>
      </c>
      <c r="DD16" s="822">
        <f>((DB12/DB16)*DD12)+((DB15/DB16)*DD15)</f>
        <v>5.3349759765140696</v>
      </c>
      <c r="DE16" s="865"/>
      <c r="DF16" s="864">
        <f>SUM(DF10:DF12)</f>
        <v>23716.097000000002</v>
      </c>
      <c r="DG16" s="816">
        <f t="shared" si="6"/>
        <v>7.8844780136236414</v>
      </c>
      <c r="DH16" s="822">
        <f>((DF12/DF16)*DH12)+((DF15/DF16)*DH15)</f>
        <v>5.3037033876189659</v>
      </c>
      <c r="DI16" s="865"/>
      <c r="DJ16" s="864">
        <f>SUM(DJ10:DJ12)</f>
        <v>24903.944000000003</v>
      </c>
      <c r="DK16" s="816">
        <f t="shared" si="7"/>
        <v>5.0086108182134659</v>
      </c>
      <c r="DL16" s="822">
        <f>((DJ12/DJ16)*DL12)+((DJ15/DJ16)*DL15)</f>
        <v>1.3193542356182619</v>
      </c>
      <c r="DM16" s="865"/>
      <c r="DN16" s="864">
        <f>SUM(DN10:DN12)</f>
        <v>26771.790515400004</v>
      </c>
      <c r="DO16" s="816">
        <f t="shared" si="8"/>
        <v>7.5002036440493081</v>
      </c>
      <c r="DP16" s="822">
        <f>((DN12/DN16)*DP12)+((DN15/DN16)*DP15)</f>
        <v>2.2994472712158904</v>
      </c>
      <c r="DQ16" s="865"/>
      <c r="DR16" s="1109"/>
      <c r="DS16" s="1110"/>
      <c r="DT16" s="794"/>
      <c r="DU16" s="794"/>
      <c r="DV16" s="794"/>
      <c r="DW16" s="794"/>
      <c r="DX16" s="794"/>
      <c r="DY16" s="794"/>
      <c r="DZ16" s="794"/>
      <c r="EA16" s="794"/>
      <c r="EB16" s="794"/>
    </row>
    <row r="17" spans="1:132" hidden="1" outlineLevel="1">
      <c r="A17" s="487" t="s">
        <v>656</v>
      </c>
      <c r="B17" s="487"/>
      <c r="C17" s="487"/>
      <c r="D17" s="487"/>
      <c r="E17" s="487"/>
      <c r="F17" s="487"/>
      <c r="G17" s="487"/>
      <c r="H17" s="487"/>
      <c r="I17" s="487"/>
      <c r="J17" s="487"/>
      <c r="K17" s="487"/>
      <c r="L17" s="487"/>
      <c r="M17" s="487"/>
      <c r="N17" s="487"/>
      <c r="O17" s="487"/>
      <c r="P17" s="487"/>
      <c r="Q17" s="487"/>
      <c r="R17" s="487"/>
      <c r="S17" s="487"/>
      <c r="T17" s="487"/>
      <c r="U17" s="487"/>
      <c r="V17" s="487"/>
      <c r="W17" s="487"/>
      <c r="X17" s="487"/>
      <c r="Y17" s="487"/>
      <c r="Z17" s="487"/>
      <c r="AA17" s="487"/>
      <c r="AB17" s="487"/>
      <c r="AC17" s="487"/>
      <c r="AD17" s="487"/>
      <c r="AE17" s="487"/>
      <c r="AF17" s="487"/>
      <c r="AG17" s="487"/>
      <c r="AH17" s="487"/>
      <c r="AI17" s="487"/>
      <c r="AJ17" s="487"/>
      <c r="AK17" s="487"/>
      <c r="AL17" s="862">
        <f>7949.101-AL14</f>
        <v>0.22999999999956344</v>
      </c>
      <c r="AM17" s="487"/>
      <c r="AN17" s="487"/>
      <c r="AO17" s="487"/>
      <c r="AP17" s="487"/>
      <c r="AQ17" s="487"/>
      <c r="AR17" s="487"/>
      <c r="AS17" s="487"/>
      <c r="AT17" s="487"/>
      <c r="AU17" s="487"/>
      <c r="AV17" s="487"/>
      <c r="AW17" s="487"/>
      <c r="AX17" s="487"/>
      <c r="AY17" s="487"/>
      <c r="AZ17" s="487"/>
      <c r="BA17" s="487"/>
      <c r="BB17" s="487"/>
      <c r="BC17" s="487"/>
      <c r="BD17" s="487"/>
      <c r="BE17" s="487"/>
      <c r="BF17" s="487"/>
      <c r="BG17" s="487"/>
      <c r="BH17" s="487"/>
      <c r="BI17" s="487"/>
      <c r="BJ17" s="866"/>
      <c r="BK17" s="487"/>
      <c r="BL17" s="487"/>
      <c r="BM17" s="487"/>
      <c r="BN17" s="866"/>
      <c r="BO17" s="487"/>
      <c r="BP17" s="487"/>
      <c r="BQ17" s="487"/>
      <c r="BR17" s="866"/>
      <c r="BS17" s="867"/>
      <c r="BT17" s="487"/>
      <c r="BU17" s="487"/>
      <c r="BV17" s="487"/>
      <c r="BW17" s="537"/>
      <c r="BX17" s="487"/>
      <c r="BY17" s="487"/>
      <c r="BZ17" s="868"/>
      <c r="CA17" s="487"/>
      <c r="CB17" s="487"/>
      <c r="CC17" s="487"/>
      <c r="CD17" s="869"/>
      <c r="CE17" s="487"/>
      <c r="CF17" s="487"/>
      <c r="CG17" s="487"/>
      <c r="CH17" s="870"/>
      <c r="CI17" s="487"/>
      <c r="CJ17" s="487"/>
      <c r="CK17" s="487"/>
      <c r="CL17" s="864">
        <f>SUM(CL12:CL13)</f>
        <v>12502.885999999999</v>
      </c>
      <c r="CM17" s="487"/>
      <c r="CN17" s="487"/>
      <c r="CO17" s="487"/>
      <c r="CP17" s="864">
        <f>SUM(CP12:CP13)</f>
        <v>14134.726999999999</v>
      </c>
      <c r="CQ17" s="816">
        <f t="shared" si="26"/>
        <v>13.051714620128507</v>
      </c>
      <c r="CR17" s="822">
        <f>((CP12/CP17)*CR12)+((CP13/CP17)*CR13)</f>
        <v>5.3606728308229794</v>
      </c>
      <c r="CS17" s="487"/>
      <c r="CT17" s="864">
        <f>SUM(CT12:CT13)</f>
        <v>14790.663</v>
      </c>
      <c r="CU17" s="816">
        <f t="shared" si="27"/>
        <v>4.6405990013107523</v>
      </c>
      <c r="CV17" s="822">
        <f>((CT12/CT17)*CV12)+((CT13/CT17)*CV13)</f>
        <v>3.9440923642165329</v>
      </c>
      <c r="CW17" s="794"/>
      <c r="CX17" s="864">
        <f>SUM(CX12:CX13)</f>
        <v>15670.019</v>
      </c>
      <c r="CY17" s="816">
        <f t="shared" si="5"/>
        <v>5.9453453844496407</v>
      </c>
      <c r="CZ17" s="822">
        <f>((CX12/CX17)*CZ12)+((CX13/CX17)*CZ13)</f>
        <v>3.0598523205364332</v>
      </c>
      <c r="DA17" s="794"/>
      <c r="DB17" s="864">
        <f>SUM(DB12:DB13)</f>
        <v>16715.57</v>
      </c>
      <c r="DC17" s="816">
        <f t="shared" si="28"/>
        <v>6.6723020565577995</v>
      </c>
      <c r="DD17" s="822">
        <f>((DB12/DB17)*DD12)+((DB13/DB17)*DD13)</f>
        <v>5.5361513247828231</v>
      </c>
      <c r="DE17" s="794"/>
      <c r="DF17" s="864">
        <f>SUM(DF12:DF13)</f>
        <v>17759.334999999999</v>
      </c>
      <c r="DG17" s="816">
        <f t="shared" si="6"/>
        <v>6.2442680686330077</v>
      </c>
      <c r="DH17" s="822">
        <f>((DF12/DF17)*DH12)+((DF13/DF17)*DH13)</f>
        <v>3.9337836129562285</v>
      </c>
      <c r="DI17" s="794"/>
      <c r="DJ17" s="864">
        <f>SUM(DJ12:DJ13)</f>
        <v>19722.939999999999</v>
      </c>
      <c r="DK17" s="816">
        <f t="shared" si="7"/>
        <v>11.056748464962229</v>
      </c>
      <c r="DL17" s="822">
        <f>((DJ12/DJ17)*DL12)+((DJ13/DJ17)*DL13)</f>
        <v>2.2229383651727379</v>
      </c>
      <c r="DM17" s="794"/>
      <c r="DN17" s="864">
        <f>SUM(DN12:DN13)</f>
        <v>20408.8415704</v>
      </c>
      <c r="DO17" s="816">
        <f t="shared" si="8"/>
        <v>3.4776842113802608</v>
      </c>
      <c r="DP17" s="822">
        <f>((DN12/DN17)*DP12)+((DN13/DN17)*DP13)</f>
        <v>2.2874537548916365</v>
      </c>
      <c r="DQ17" s="794"/>
      <c r="DR17" s="1111"/>
      <c r="DS17" s="1110"/>
      <c r="DT17" s="794"/>
      <c r="DU17" s="794"/>
      <c r="DV17" s="794"/>
      <c r="DW17" s="794"/>
      <c r="DX17" s="794"/>
      <c r="DY17" s="794"/>
      <c r="DZ17" s="794"/>
      <c r="EA17" s="794"/>
      <c r="EB17" s="794"/>
    </row>
    <row r="18" spans="1:132" collapsed="1">
      <c r="A18" s="487"/>
      <c r="B18" s="487"/>
      <c r="C18" s="487"/>
      <c r="D18" s="487"/>
      <c r="E18" s="487"/>
      <c r="F18" s="487"/>
      <c r="G18" s="487"/>
      <c r="H18" s="487"/>
      <c r="I18" s="487"/>
      <c r="J18" s="487"/>
      <c r="K18" s="487"/>
      <c r="L18" s="487"/>
      <c r="M18" s="487"/>
      <c r="N18" s="487"/>
      <c r="O18" s="487"/>
      <c r="P18" s="487"/>
      <c r="Q18" s="487"/>
      <c r="R18" s="487"/>
      <c r="S18" s="487"/>
      <c r="T18" s="487"/>
      <c r="U18" s="487"/>
      <c r="V18" s="487"/>
      <c r="W18" s="487"/>
      <c r="X18" s="487"/>
      <c r="Y18" s="487"/>
      <c r="Z18" s="487"/>
      <c r="AA18" s="487"/>
      <c r="AB18" s="487"/>
      <c r="AC18" s="487"/>
      <c r="AD18" s="487"/>
      <c r="AE18" s="487"/>
      <c r="AF18" s="487"/>
      <c r="AG18" s="487"/>
      <c r="AH18" s="487"/>
      <c r="AI18" s="487"/>
      <c r="AJ18" s="487"/>
      <c r="AK18" s="487"/>
      <c r="AL18" s="862"/>
      <c r="AM18" s="487"/>
      <c r="AN18" s="487"/>
      <c r="AO18" s="487"/>
      <c r="AP18" s="487"/>
      <c r="AQ18" s="487"/>
      <c r="AR18" s="822">
        <f>AR15+AN15</f>
        <v>13.042729914560006</v>
      </c>
      <c r="AS18" s="487"/>
      <c r="AT18" s="487"/>
      <c r="AU18" s="487"/>
      <c r="AV18" s="822">
        <f>AV15+AR15</f>
        <v>8.0083625225635977</v>
      </c>
      <c r="AW18" s="487"/>
      <c r="AX18" s="487"/>
      <c r="AY18" s="487"/>
      <c r="AZ18" s="487"/>
      <c r="BA18" s="487"/>
      <c r="BB18" s="487"/>
      <c r="BC18" s="487"/>
      <c r="BD18" s="822">
        <f>BD15+AZ15</f>
        <v>5.4997864181187897</v>
      </c>
      <c r="BE18" s="487"/>
      <c r="BF18" s="487"/>
      <c r="BG18" s="487"/>
      <c r="BH18" s="822">
        <f>BH15+BD15</f>
        <v>4.5424963239320064</v>
      </c>
      <c r="BI18" s="487"/>
      <c r="BJ18" s="866"/>
      <c r="BK18" s="487"/>
      <c r="BL18" s="822">
        <f>BL15+BH15</f>
        <v>5.5655160309562559</v>
      </c>
      <c r="BM18" s="487"/>
      <c r="BN18" s="866"/>
      <c r="BO18" s="487"/>
      <c r="BP18" s="822">
        <f>BP15+BL15</f>
        <v>7.4778040893251188</v>
      </c>
      <c r="BQ18" s="487"/>
      <c r="BR18" s="866"/>
      <c r="BS18" s="867"/>
      <c r="BT18" s="822">
        <f>BT15+BP15</f>
        <v>4.518233655802554</v>
      </c>
      <c r="BU18" s="487"/>
      <c r="BV18" s="487"/>
      <c r="BW18" s="537"/>
      <c r="BX18" s="822">
        <f>BX15+BT15</f>
        <v>6.0542434809629722</v>
      </c>
      <c r="BY18" s="487"/>
      <c r="BZ18" s="868"/>
      <c r="CA18" s="487"/>
      <c r="CB18" s="822">
        <f>CB15+BX15</f>
        <v>6.0507118937548974</v>
      </c>
      <c r="CC18" s="487"/>
      <c r="CD18" s="869"/>
      <c r="CE18" s="487"/>
      <c r="CF18" s="822">
        <f>CF15+CB15</f>
        <v>5.5573709325840071</v>
      </c>
      <c r="CG18" s="487"/>
      <c r="CH18" s="870"/>
      <c r="CI18" s="487"/>
      <c r="CJ18" s="822">
        <f>CJ15+CF15</f>
        <v>9.0278796418730991</v>
      </c>
      <c r="CK18" s="487"/>
      <c r="CL18" s="871"/>
      <c r="CM18" s="487"/>
      <c r="CN18" s="822">
        <f>CN15+CJ15</f>
        <v>9.0087523760145292</v>
      </c>
      <c r="CO18" s="487"/>
      <c r="CP18" s="864"/>
      <c r="CQ18" s="816"/>
      <c r="CR18" s="822"/>
      <c r="CS18" s="487"/>
      <c r="CT18" s="864"/>
      <c r="CU18" s="816"/>
      <c r="CV18" s="822"/>
      <c r="CW18" s="794"/>
      <c r="CX18" s="864"/>
      <c r="CY18" s="816"/>
      <c r="CZ18" s="822"/>
      <c r="DA18" s="794"/>
      <c r="DB18" s="864"/>
      <c r="DC18" s="816"/>
      <c r="DD18" s="822"/>
      <c r="DE18" s="794"/>
      <c r="DF18" s="948"/>
      <c r="DG18" s="816"/>
      <c r="DH18" s="822"/>
      <c r="DI18" s="794"/>
      <c r="DJ18" s="558"/>
      <c r="DK18" s="816"/>
      <c r="DL18" s="822"/>
      <c r="DM18" s="794"/>
      <c r="DN18" s="558"/>
      <c r="DO18" s="816"/>
      <c r="DP18" s="822"/>
      <c r="DQ18" s="794"/>
      <c r="DR18" s="1111"/>
      <c r="DS18" s="1110"/>
      <c r="DT18" s="794"/>
      <c r="DU18" s="794"/>
      <c r="DV18" s="794"/>
      <c r="DW18" s="794"/>
      <c r="DX18" s="794"/>
      <c r="DY18" s="794"/>
      <c r="DZ18" s="794"/>
      <c r="EA18" s="794"/>
      <c r="EB18" s="794"/>
    </row>
    <row r="19" spans="1:132">
      <c r="A19" s="701"/>
      <c r="B19" s="701"/>
      <c r="C19" s="872"/>
      <c r="D19" s="873"/>
      <c r="E19" s="872"/>
      <c r="F19" s="873"/>
      <c r="G19" s="701"/>
      <c r="H19" s="701"/>
      <c r="I19" s="701"/>
      <c r="J19" s="873"/>
      <c r="K19" s="701"/>
      <c r="L19" s="701"/>
      <c r="M19" s="701"/>
      <c r="N19" s="873"/>
      <c r="O19" s="701"/>
      <c r="P19" s="701"/>
      <c r="Q19" s="701"/>
      <c r="R19" s="873"/>
      <c r="S19" s="701"/>
      <c r="T19" s="701"/>
      <c r="U19" s="701"/>
      <c r="V19" s="873"/>
      <c r="W19" s="701"/>
      <c r="X19" s="701"/>
      <c r="Y19" s="701"/>
      <c r="Z19" s="873" t="s">
        <v>534</v>
      </c>
      <c r="AA19" s="701"/>
      <c r="AB19" s="701"/>
      <c r="AC19" s="701"/>
      <c r="AD19" s="873"/>
      <c r="AE19" s="701"/>
      <c r="AF19" s="701"/>
      <c r="AG19" s="701"/>
      <c r="AH19" s="873"/>
      <c r="AI19" s="701"/>
      <c r="AJ19" s="701"/>
      <c r="AK19" s="701"/>
      <c r="AL19" s="873"/>
      <c r="AM19" s="701"/>
      <c r="AN19" s="701"/>
      <c r="AO19" s="701"/>
      <c r="AP19" s="701"/>
      <c r="AQ19" s="701"/>
      <c r="AR19" s="701"/>
      <c r="AS19" s="701"/>
      <c r="AT19" s="701"/>
      <c r="AU19" s="873"/>
      <c r="AV19" s="873"/>
      <c r="AW19" s="873"/>
      <c r="AX19" s="873"/>
      <c r="AY19" s="873"/>
      <c r="AZ19" s="873"/>
      <c r="BA19" s="873"/>
      <c r="BB19" s="873"/>
      <c r="BC19" s="873"/>
      <c r="BD19" s="873"/>
      <c r="BE19" s="873"/>
      <c r="BF19" s="701"/>
      <c r="BG19" s="810"/>
      <c r="BH19" s="810"/>
      <c r="BI19" s="810"/>
      <c r="BJ19" s="810" t="s">
        <v>534</v>
      </c>
      <c r="BK19" s="810"/>
      <c r="BL19" s="810"/>
      <c r="BM19" s="810"/>
      <c r="BN19" s="810" t="s">
        <v>534</v>
      </c>
      <c r="BO19" s="810"/>
      <c r="BP19" s="810"/>
      <c r="BQ19" s="810"/>
      <c r="BR19" s="810"/>
      <c r="BS19" s="810"/>
      <c r="BT19" s="810"/>
      <c r="BU19" s="810"/>
      <c r="BV19" s="810"/>
      <c r="BW19" s="810"/>
      <c r="BX19" s="810"/>
      <c r="BY19" s="810"/>
      <c r="BZ19" s="874"/>
      <c r="CA19" s="810"/>
      <c r="CC19" s="810"/>
      <c r="CD19" s="810"/>
      <c r="CE19" s="810"/>
      <c r="CF19" s="810" t="str">
        <f>BN19</f>
        <v>2.  Cost of Goods Sold   (% Gross Margin)</v>
      </c>
      <c r="CG19" s="810"/>
      <c r="CH19" s="810"/>
      <c r="CI19" s="810"/>
      <c r="CJ19" s="810"/>
      <c r="CK19" s="810"/>
      <c r="CL19" s="810"/>
      <c r="CM19" s="810"/>
      <c r="CN19" s="810"/>
      <c r="CO19" s="810"/>
      <c r="CP19" s="810"/>
      <c r="CQ19" s="810"/>
      <c r="CR19" s="810"/>
      <c r="CS19" s="810"/>
      <c r="CT19" s="810"/>
      <c r="CU19" s="874"/>
      <c r="CV19" s="810"/>
      <c r="CW19" s="794"/>
      <c r="CX19" s="875"/>
      <c r="CY19" s="876"/>
      <c r="CZ19" s="822"/>
      <c r="DA19" s="794"/>
      <c r="DB19" s="875" t="str">
        <f>CF19</f>
        <v>2.  Cost of Goods Sold   (% Gross Margin)</v>
      </c>
      <c r="DC19" s="876"/>
      <c r="DD19" s="822"/>
      <c r="DE19" s="794"/>
      <c r="DF19" s="875"/>
      <c r="DG19" s="876"/>
      <c r="DH19" s="822"/>
      <c r="DI19" s="794"/>
      <c r="DJ19" s="2052"/>
      <c r="DK19" s="876"/>
      <c r="DL19" s="822"/>
      <c r="DM19" s="794"/>
      <c r="DN19" s="841"/>
      <c r="DO19" s="876"/>
      <c r="DP19" s="822"/>
      <c r="DQ19" s="794"/>
      <c r="DR19" s="1111"/>
      <c r="DS19" s="1110"/>
      <c r="DT19" s="794"/>
      <c r="DU19" s="794"/>
      <c r="DV19" s="794"/>
      <c r="DW19" s="794"/>
      <c r="DX19" s="794"/>
      <c r="DY19" s="794"/>
      <c r="DZ19" s="794"/>
      <c r="EA19" s="794"/>
      <c r="EB19" s="794"/>
    </row>
    <row r="20" spans="1:132">
      <c r="A20" s="487"/>
      <c r="B20" s="487"/>
      <c r="C20" s="487"/>
      <c r="D20" s="487"/>
      <c r="E20" s="487"/>
      <c r="F20" s="487"/>
      <c r="G20" s="487"/>
      <c r="H20" s="487"/>
      <c r="I20" s="487"/>
      <c r="J20" s="487"/>
      <c r="K20" s="487"/>
      <c r="L20" s="487"/>
      <c r="M20" s="487"/>
      <c r="N20" s="487"/>
      <c r="O20" s="487"/>
      <c r="P20" s="487"/>
      <c r="Q20" s="487"/>
      <c r="R20" s="487"/>
      <c r="S20" s="487"/>
      <c r="T20" s="487"/>
      <c r="U20" s="487"/>
      <c r="V20" s="487"/>
      <c r="W20" s="487"/>
      <c r="X20" s="487"/>
      <c r="Y20" s="487"/>
      <c r="Z20" s="487"/>
      <c r="AA20" s="487"/>
      <c r="AB20" s="487"/>
      <c r="AC20" s="487"/>
      <c r="AD20" s="487"/>
      <c r="AE20" s="487"/>
      <c r="AF20" s="487"/>
      <c r="AG20" s="487"/>
      <c r="AH20" s="487"/>
      <c r="AI20" s="487"/>
      <c r="AJ20" s="487"/>
      <c r="AK20" s="487"/>
      <c r="AL20" s="487"/>
      <c r="AM20" s="487"/>
      <c r="AN20" s="487"/>
      <c r="AO20" s="487"/>
      <c r="AP20" s="487"/>
      <c r="AQ20" s="487"/>
      <c r="AR20" s="487"/>
      <c r="AS20" s="487"/>
      <c r="AT20" s="487"/>
      <c r="AU20" s="487"/>
      <c r="AV20" s="487"/>
      <c r="AW20" s="487"/>
      <c r="AX20" s="487"/>
      <c r="AY20" s="487"/>
      <c r="AZ20" s="487"/>
      <c r="BA20" s="487"/>
      <c r="BB20" s="487"/>
      <c r="BC20" s="487"/>
      <c r="BD20" s="487"/>
      <c r="BE20" s="487"/>
      <c r="BF20" s="487"/>
      <c r="BG20" s="487"/>
      <c r="BH20" s="487"/>
      <c r="BI20" s="487"/>
      <c r="BJ20" s="487"/>
      <c r="BK20" s="487"/>
      <c r="BL20" s="487"/>
      <c r="BM20" s="487"/>
      <c r="BN20" s="487"/>
      <c r="BO20" s="487"/>
      <c r="BP20" s="487"/>
      <c r="BQ20" s="487"/>
      <c r="BR20" s="487"/>
      <c r="BS20" s="812"/>
      <c r="BT20" s="812"/>
      <c r="BU20" s="487"/>
      <c r="BV20" s="809"/>
      <c r="BW20" s="487"/>
      <c r="BX20" s="487"/>
      <c r="BY20" s="487"/>
      <c r="BZ20" s="867"/>
      <c r="CA20" s="859"/>
      <c r="CB20" s="487"/>
      <c r="CC20" s="487"/>
      <c r="CD20" s="487"/>
      <c r="CE20" s="487"/>
      <c r="CF20" s="487"/>
      <c r="CG20" s="487"/>
      <c r="CH20" s="487"/>
      <c r="CI20" s="487"/>
      <c r="CJ20" s="487"/>
      <c r="CK20" s="487"/>
      <c r="CL20" s="487"/>
      <c r="CM20" s="487"/>
      <c r="CN20" s="487"/>
      <c r="CO20" s="487"/>
      <c r="CP20" s="487"/>
      <c r="CQ20" s="487"/>
      <c r="CR20" s="487"/>
      <c r="CS20" s="487"/>
      <c r="CT20" s="487"/>
      <c r="CU20" s="487"/>
      <c r="CV20" s="487"/>
      <c r="CW20" s="794"/>
      <c r="CX20" s="487"/>
      <c r="CY20" s="537"/>
      <c r="CZ20" s="487"/>
      <c r="DA20" s="794"/>
      <c r="DB20" s="487"/>
      <c r="DC20" s="537"/>
      <c r="DD20" s="487"/>
      <c r="DE20" s="794"/>
      <c r="DF20" s="487"/>
      <c r="DG20" s="537"/>
      <c r="DH20" s="487"/>
      <c r="DI20" s="794"/>
      <c r="DJ20" s="487"/>
      <c r="DK20" s="537"/>
      <c r="DL20" s="487"/>
      <c r="DM20" s="794"/>
      <c r="DN20" s="487"/>
      <c r="DO20" s="537"/>
      <c r="DP20" s="487"/>
      <c r="DQ20" s="702"/>
      <c r="DR20" s="1112"/>
      <c r="DS20" s="1113"/>
      <c r="DT20" s="794"/>
      <c r="DU20" s="794"/>
      <c r="DV20" s="794"/>
      <c r="DW20" s="794"/>
      <c r="DX20" s="794"/>
      <c r="DY20" s="794"/>
      <c r="DZ20" s="794"/>
      <c r="EA20" s="794"/>
      <c r="EB20" s="794"/>
    </row>
    <row r="21" spans="1:132">
      <c r="A21" s="487" t="str">
        <f>$A$10</f>
        <v>1Q</v>
      </c>
      <c r="B21" s="487" t="str">
        <f>$B$10</f>
        <v>Apr</v>
      </c>
      <c r="C21" s="487"/>
      <c r="D21" s="814"/>
      <c r="E21" s="487"/>
      <c r="F21" s="814">
        <v>391.00299999999999</v>
      </c>
      <c r="G21" s="877">
        <f t="shared" ref="G21:G27" si="29">((F10-F21)/F10)*100</f>
        <v>23.893397072935254</v>
      </c>
      <c r="H21" s="487"/>
      <c r="I21" s="487"/>
      <c r="J21" s="814">
        <v>458.67</v>
      </c>
      <c r="K21" s="877">
        <f t="shared" ref="K21:K27" si="30">((J10-J21)/J10)*100</f>
        <v>23.972013505920035</v>
      </c>
      <c r="L21" s="487"/>
      <c r="M21" s="487"/>
      <c r="N21" s="814">
        <v>507.85</v>
      </c>
      <c r="O21" s="877">
        <f t="shared" ref="O21:O27" si="31">((N10-N21)/N10)*100</f>
        <v>24.307349274223959</v>
      </c>
      <c r="P21" s="487"/>
      <c r="Q21" s="487"/>
      <c r="R21" s="821">
        <v>454.96800000000002</v>
      </c>
      <c r="S21" s="877">
        <f t="shared" ref="S21:S27" si="32">((R10-R21)/R10)*100</f>
        <v>23.372519958230871</v>
      </c>
      <c r="T21" s="487"/>
      <c r="U21" s="487"/>
      <c r="V21" s="821">
        <v>500.85899999999998</v>
      </c>
      <c r="W21" s="877">
        <f t="shared" ref="W21:W27" si="33">((V10-V21)/V10)*100</f>
        <v>23.349014734599681</v>
      </c>
      <c r="X21" s="487"/>
      <c r="Y21" s="487"/>
      <c r="Z21" s="821">
        <v>565.29300000000001</v>
      </c>
      <c r="AA21" s="877">
        <f t="shared" ref="AA21:AA27" si="34">((Z10-Z21)/Z10)*100</f>
        <v>20.807235447641485</v>
      </c>
      <c r="AB21" s="487"/>
      <c r="AC21" s="487"/>
      <c r="AD21" s="820">
        <v>1167.3589999999999</v>
      </c>
      <c r="AE21" s="877">
        <f t="shared" ref="AE21:AE27" si="35">((AD10-AD21)/AD10)*100</f>
        <v>20.709025048106746</v>
      </c>
      <c r="AF21" s="487"/>
      <c r="AG21" s="487"/>
      <c r="AH21" s="820">
        <v>1202.6189999999999</v>
      </c>
      <c r="AI21" s="877">
        <f t="shared" ref="AI21:AI27" si="36">((AH10-AH21)/AH10)*100</f>
        <v>22.916450341313347</v>
      </c>
      <c r="AJ21" s="487"/>
      <c r="AK21" s="487"/>
      <c r="AL21" s="821">
        <v>1317.0329999999999</v>
      </c>
      <c r="AM21" s="877">
        <f t="shared" ref="AM21:AM27" si="37">((AL10-AL21)/AL10)*100</f>
        <v>24.901810294295426</v>
      </c>
      <c r="AN21" s="487"/>
      <c r="AO21" s="487"/>
      <c r="AP21" s="821">
        <v>1418.7919999999999</v>
      </c>
      <c r="AQ21" s="877">
        <f t="shared" ref="AQ21:AQ27" si="38">((AP10-AP21)/AP10)*100</f>
        <v>26.506729323814593</v>
      </c>
      <c r="AR21" s="487"/>
      <c r="AS21" s="487"/>
      <c r="AT21" s="824">
        <v>1554.04</v>
      </c>
      <c r="AU21" s="877">
        <f t="shared" ref="AU21:AU27" si="39">((AT10-AT21)/AT10)*100</f>
        <v>26.282993914945855</v>
      </c>
      <c r="AV21" s="487"/>
      <c r="AW21" s="487"/>
      <c r="AX21" s="878">
        <v>1686.616</v>
      </c>
      <c r="AY21" s="877">
        <f t="shared" ref="AY21:AY27" si="40">((AX10-AX21)/AX10)*100</f>
        <v>25.729018734904081</v>
      </c>
      <c r="AZ21" s="487"/>
      <c r="BA21" s="487"/>
      <c r="BB21" s="814">
        <v>1988.83</v>
      </c>
      <c r="BC21" s="877">
        <f t="shared" ref="BC21:BC27" si="41">((BB10-BB21)/BB10)*100</f>
        <v>25.391465689707754</v>
      </c>
      <c r="BD21" s="879"/>
      <c r="BE21" s="487"/>
      <c r="BF21" s="814">
        <f>2113.63+0.333333333333333*BF41</f>
        <v>2120.1743333333334</v>
      </c>
      <c r="BG21" s="877">
        <f t="shared" ref="BG21:BG27" si="42">((BF10-BF21)/BF10)*100</f>
        <v>23.972799800146181</v>
      </c>
      <c r="BH21" s="880">
        <f>(BG21-BC21)*100</f>
        <v>-141.86658895615736</v>
      </c>
      <c r="BI21" s="487"/>
      <c r="BJ21" s="814">
        <f>2518.346+0.333333333333333*BJ41</f>
        <v>2525.6723333333334</v>
      </c>
      <c r="BK21" s="877">
        <f t="shared" ref="BK21:BK27" si="43">((BJ10-BJ21)/BJ10)*100</f>
        <v>24.668343107934401</v>
      </c>
      <c r="BL21" s="881">
        <f>+(BK21-BG21)*100</f>
        <v>69.554330778822049</v>
      </c>
      <c r="BM21" s="487"/>
      <c r="BN21" s="814">
        <v>2788.7689999999998</v>
      </c>
      <c r="BO21" s="877">
        <f t="shared" ref="BO21:BO27" si="44">((BN10-BN21)/BN10)*100</f>
        <v>23.633657645618776</v>
      </c>
      <c r="BP21" s="881">
        <f>+(BO21-BK21)*100</f>
        <v>-103.46854623156254</v>
      </c>
      <c r="BQ21" s="487"/>
      <c r="BR21" s="814">
        <f>2942.783-(2942.783-2922.849)</f>
        <v>2922.8490000000002</v>
      </c>
      <c r="BS21" s="877">
        <f t="shared" ref="BS21:BS27" si="45">((BR10-BR21)/BR10)*100</f>
        <v>24.498689830897252</v>
      </c>
      <c r="BT21" s="881">
        <f>+(BS21-BO21)*100</f>
        <v>86.503218527847636</v>
      </c>
      <c r="BU21" s="487"/>
      <c r="BV21" s="814">
        <f>3117.215-3.275</f>
        <v>3113.94</v>
      </c>
      <c r="BW21" s="877">
        <f t="shared" ref="BW21:BW27" si="46">((BV10-BV21)/BV10)*100</f>
        <v>24.199644554233473</v>
      </c>
      <c r="BX21" s="881">
        <f>+(BW21-BS21)*100</f>
        <v>-29.904527666377945</v>
      </c>
      <c r="BY21" s="881"/>
      <c r="BZ21" s="882">
        <v>3276.9430000000002</v>
      </c>
      <c r="CA21" s="877">
        <f t="shared" ref="CA21:CA27" si="47">((BZ10-BZ21)/BZ10)*100</f>
        <v>23.854975711940476</v>
      </c>
      <c r="CB21" s="881">
        <f>+(CA21-BW21)*100</f>
        <v>-34.466884229299666</v>
      </c>
      <c r="CC21" s="881"/>
      <c r="CD21" s="882">
        <v>3273.346</v>
      </c>
      <c r="CE21" s="877">
        <f t="shared" ref="CE21:CE27" si="48">((CD10-CD21)/CD10)*100</f>
        <v>24.823665479773208</v>
      </c>
      <c r="CF21" s="881">
        <f>+(CE21-CA21)*100</f>
        <v>96.868976783273197</v>
      </c>
      <c r="CG21" s="881"/>
      <c r="CH21" s="882">
        <v>3648.674</v>
      </c>
      <c r="CI21" s="877">
        <f t="shared" ref="CI21:CI27" si="49">((CH10-CH21)/CH10)*100</f>
        <v>27.267120365829832</v>
      </c>
      <c r="CJ21" s="881">
        <f>+(CI21-CE21)*100</f>
        <v>244.34548860566247</v>
      </c>
      <c r="CK21" s="881"/>
      <c r="CL21" s="882">
        <f>3827.258-16</f>
        <v>3811.2579999999998</v>
      </c>
      <c r="CM21" s="877">
        <f t="shared" ref="CM21:CM27" si="50">((CL10-CL21)/CL10)*100</f>
        <v>26.862219745441717</v>
      </c>
      <c r="CN21" s="881">
        <f>+(CM21-CI21)*100</f>
        <v>-40.490062038811558</v>
      </c>
      <c r="CO21" s="881"/>
      <c r="CP21" s="882">
        <v>4165.7280000000001</v>
      </c>
      <c r="CQ21" s="877">
        <f t="shared" ref="CQ21:CQ27" si="51">((CP10-CP21)/CP10)*100</f>
        <v>28.153394068318409</v>
      </c>
      <c r="CR21" s="881">
        <f>+(CQ21-CM21)*100</f>
        <v>129.11743228766923</v>
      </c>
      <c r="CS21" s="881"/>
      <c r="CT21" s="882">
        <v>4433.5330000000004</v>
      </c>
      <c r="CU21" s="877">
        <f t="shared" ref="CU21:CU27" si="52">((CT10-CT21)/CT10)*100</f>
        <v>28.371355928944787</v>
      </c>
      <c r="CV21" s="881">
        <f>+(CU21-CQ21)*100</f>
        <v>21.796186062637801</v>
      </c>
      <c r="CW21" s="883"/>
      <c r="CX21" s="882">
        <v>4678</v>
      </c>
      <c r="CY21" s="877">
        <f t="shared" ref="CY21:CY27" si="53">((CX10-CX21)/CX10)*100</f>
        <v>27.932935418790066</v>
      </c>
      <c r="CZ21" s="881">
        <f>+(CY21-CU21)*100</f>
        <v>-43.842051015472094</v>
      </c>
      <c r="DA21" s="883"/>
      <c r="DB21" s="882">
        <v>4920.241</v>
      </c>
      <c r="DC21" s="877">
        <f t="shared" ref="DC21:DC26" si="54">((DB10-DB21)/DB10)*100</f>
        <v>28.335258622033177</v>
      </c>
      <c r="DD21" s="881">
        <f>+(DC21-CY21)*100</f>
        <v>40.232320324311033</v>
      </c>
      <c r="DE21" s="883"/>
      <c r="DF21" s="882">
        <v>5372.143</v>
      </c>
      <c r="DG21" s="877">
        <f t="shared" ref="DG21:DG26" si="55">((DF10-DF21)/DF10)*100</f>
        <v>28.773674963101715</v>
      </c>
      <c r="DH21" s="881">
        <f>+(DG21-DC21)*100</f>
        <v>43.841634106853888</v>
      </c>
      <c r="DI21" s="883"/>
      <c r="DJ21" s="882">
        <v>5530.0720000000001</v>
      </c>
      <c r="DK21" s="877">
        <f t="shared" ref="DK21:DK26" si="56">((DJ10-DJ21)/DJ10)*100</f>
        <v>28.956128603920028</v>
      </c>
      <c r="DL21" s="881">
        <f>+(DK21-DG21)*100</f>
        <v>18.245364081831283</v>
      </c>
      <c r="DM21" s="883"/>
      <c r="DN21" s="907">
        <f>+DN10*(1-DO21/100)</f>
        <v>6078.0891101120005</v>
      </c>
      <c r="DO21" s="952">
        <v>28.56</v>
      </c>
      <c r="DP21" s="881">
        <f>+(DO21-DK21)*100</f>
        <v>-39.612860392002958</v>
      </c>
      <c r="DQ21" s="883"/>
      <c r="DR21" s="1103">
        <f>DL21+DH21</f>
        <v>62.086998188685172</v>
      </c>
      <c r="DS21" s="1104">
        <f>DL21+DH21+DD21</f>
        <v>102.3193185129962</v>
      </c>
      <c r="DT21" s="885"/>
      <c r="DU21" s="886"/>
      <c r="DV21" s="886"/>
      <c r="DW21" s="794"/>
      <c r="DX21" s="794"/>
      <c r="DY21" s="794"/>
      <c r="DZ21" s="794"/>
      <c r="EA21" s="885"/>
      <c r="EB21" s="794"/>
    </row>
    <row r="22" spans="1:132">
      <c r="A22" s="487" t="str">
        <f>$A$11</f>
        <v>2Q</v>
      </c>
      <c r="B22" s="487" t="str">
        <f>$B$11</f>
        <v>Jul</v>
      </c>
      <c r="C22" s="487"/>
      <c r="D22" s="831"/>
      <c r="E22" s="487"/>
      <c r="F22" s="831">
        <v>439.24900000000002</v>
      </c>
      <c r="G22" s="877">
        <f t="shared" si="29"/>
        <v>23.272603409726102</v>
      </c>
      <c r="H22" s="487"/>
      <c r="I22" s="487"/>
      <c r="J22" s="831">
        <v>500.52600000000001</v>
      </c>
      <c r="K22" s="877">
        <f t="shared" si="30"/>
        <v>22.935889994195477</v>
      </c>
      <c r="L22" s="487"/>
      <c r="M22" s="487"/>
      <c r="N22" s="831">
        <v>576.56500000000005</v>
      </c>
      <c r="O22" s="877">
        <f t="shared" si="31"/>
        <v>23.49413897152683</v>
      </c>
      <c r="P22" s="487"/>
      <c r="Q22" s="487"/>
      <c r="R22" s="836">
        <v>501.416</v>
      </c>
      <c r="S22" s="877">
        <f t="shared" si="32"/>
        <v>22.790538678180479</v>
      </c>
      <c r="T22" s="487"/>
      <c r="U22" s="487"/>
      <c r="V22" s="836">
        <v>528.846</v>
      </c>
      <c r="W22" s="877">
        <f t="shared" si="33"/>
        <v>23.338875609010092</v>
      </c>
      <c r="X22" s="487"/>
      <c r="Y22" s="487"/>
      <c r="Z22" s="836">
        <v>601.72699999999998</v>
      </c>
      <c r="AA22" s="877">
        <f t="shared" si="34"/>
        <v>20.965057799178556</v>
      </c>
      <c r="AB22" s="487"/>
      <c r="AC22" s="487"/>
      <c r="AD22" s="834">
        <v>1222.19</v>
      </c>
      <c r="AE22" s="877">
        <f t="shared" si="35"/>
        <v>21.060365223131271</v>
      </c>
      <c r="AF22" s="487"/>
      <c r="AG22" s="487"/>
      <c r="AH22" s="834">
        <v>1323.261</v>
      </c>
      <c r="AI22" s="877">
        <f t="shared" si="36"/>
        <v>22.086504016787849</v>
      </c>
      <c r="AJ22" s="487"/>
      <c r="AK22" s="487"/>
      <c r="AL22" s="836">
        <v>1420.3820000000001</v>
      </c>
      <c r="AM22" s="877">
        <f t="shared" si="37"/>
        <v>23.948903124109844</v>
      </c>
      <c r="AN22" s="487"/>
      <c r="AO22" s="487"/>
      <c r="AP22" s="836">
        <v>1585.248</v>
      </c>
      <c r="AQ22" s="877">
        <f t="shared" si="38"/>
        <v>24.614345001143686</v>
      </c>
      <c r="AR22" s="487"/>
      <c r="AS22" s="487"/>
      <c r="AT22" s="837">
        <v>1702.298</v>
      </c>
      <c r="AU22" s="877">
        <f t="shared" si="39"/>
        <v>24.616172181594507</v>
      </c>
      <c r="AV22" s="487"/>
      <c r="AW22" s="487"/>
      <c r="AX22" s="887">
        <v>1894.704</v>
      </c>
      <c r="AY22" s="877">
        <f t="shared" si="40"/>
        <v>23.834730517739427</v>
      </c>
      <c r="AZ22" s="487"/>
      <c r="BA22" s="487"/>
      <c r="BB22" s="840">
        <v>2078.7359999999999</v>
      </c>
      <c r="BC22" s="877">
        <f t="shared" si="41"/>
        <v>24.822094334034098</v>
      </c>
      <c r="BD22" s="487"/>
      <c r="BE22" s="487"/>
      <c r="BF22" s="840">
        <f>2327.058+0.333333333333333*BF42</f>
        <v>2333.5970000000002</v>
      </c>
      <c r="BG22" s="877">
        <f t="shared" si="42"/>
        <v>23.392776010904132</v>
      </c>
      <c r="BH22" s="880">
        <f>(BG22-BC22)*100</f>
        <v>-142.93183231299656</v>
      </c>
      <c r="BI22" s="487"/>
      <c r="BJ22" s="840">
        <f>2629.207+0.333333333333333*BJ42</f>
        <v>2636.2019999999998</v>
      </c>
      <c r="BK22" s="877">
        <f t="shared" si="43"/>
        <v>22.789091836743662</v>
      </c>
      <c r="BL22" s="881">
        <f>+(BK22-BG22)*100</f>
        <v>-60.368417416047038</v>
      </c>
      <c r="BM22" s="487"/>
      <c r="BN22" s="840">
        <f>2807.861</f>
        <v>2807.8609999999999</v>
      </c>
      <c r="BO22" s="877">
        <f t="shared" si="44"/>
        <v>23.027298700116731</v>
      </c>
      <c r="BP22" s="881">
        <f>+(BO22-BK22)*100</f>
        <v>23.820686337306896</v>
      </c>
      <c r="BQ22" s="487"/>
      <c r="BR22" s="840">
        <v>3034.3229999999999</v>
      </c>
      <c r="BS22" s="877">
        <f t="shared" si="45"/>
        <v>23.446416556015546</v>
      </c>
      <c r="BT22" s="881">
        <f>+(BS22-BO22)*100</f>
        <v>41.911785589881489</v>
      </c>
      <c r="BU22" s="487"/>
      <c r="BV22" s="840">
        <f>3277.697-1.75</f>
        <v>3275.9470000000001</v>
      </c>
      <c r="BW22" s="877">
        <f t="shared" si="46"/>
        <v>24.050065634231618</v>
      </c>
      <c r="BX22" s="881">
        <f>+(BW22-BS22)*100</f>
        <v>60.364907821607261</v>
      </c>
      <c r="BY22" s="881"/>
      <c r="BZ22" s="840">
        <v>3447.4430000000002</v>
      </c>
      <c r="CA22" s="877">
        <f t="shared" si="47"/>
        <v>24.305138223627949</v>
      </c>
      <c r="CB22" s="881">
        <f>+(CA22-BW22)*100</f>
        <v>25.507258939633104</v>
      </c>
      <c r="CC22" s="881"/>
      <c r="CD22" s="840">
        <v>3534.3020000000001</v>
      </c>
      <c r="CE22" s="877">
        <f t="shared" si="48"/>
        <v>25.554899307597555</v>
      </c>
      <c r="CF22" s="881">
        <f>+(CE22-CA22)*100</f>
        <v>124.97610839696058</v>
      </c>
      <c r="CG22" s="881"/>
      <c r="CH22" s="840">
        <v>3719.21</v>
      </c>
      <c r="CI22" s="877">
        <f t="shared" si="49"/>
        <v>26.615010023519751</v>
      </c>
      <c r="CJ22" s="881">
        <f>+(CI22-CE22)*100</f>
        <v>106.01107159221961</v>
      </c>
      <c r="CK22" s="881"/>
      <c r="CL22" s="840">
        <v>3976.0349999999999</v>
      </c>
      <c r="CM22" s="877">
        <f t="shared" si="50"/>
        <v>27.289031237278898</v>
      </c>
      <c r="CN22" s="881">
        <f>+(CM22-CI22)*100</f>
        <v>67.402121375914703</v>
      </c>
      <c r="CO22" s="881"/>
      <c r="CP22" s="840">
        <v>4275.0730000000003</v>
      </c>
      <c r="CQ22" s="877">
        <f t="shared" si="51"/>
        <v>28.096365707581068</v>
      </c>
      <c r="CR22" s="881">
        <f>+(CQ22-CM22)*100</f>
        <v>80.733447030216965</v>
      </c>
      <c r="CS22" s="881"/>
      <c r="CT22" s="840">
        <v>4586.7389999999996</v>
      </c>
      <c r="CU22" s="877">
        <f t="shared" si="52"/>
        <v>28.804142664313936</v>
      </c>
      <c r="CV22" s="881">
        <f>+(CU22-CQ22)*100</f>
        <v>70.7776956732868</v>
      </c>
      <c r="CW22" s="883"/>
      <c r="CX22" s="840">
        <v>4935.8559999999998</v>
      </c>
      <c r="CY22" s="877">
        <f t="shared" si="53"/>
        <v>28.643852465415264</v>
      </c>
      <c r="CZ22" s="881">
        <f>+(CY22-CU22)*100</f>
        <v>-16.029019889867158</v>
      </c>
      <c r="DA22" s="883"/>
      <c r="DB22" s="840">
        <v>5219.1909999999998</v>
      </c>
      <c r="DC22" s="877">
        <f t="shared" si="54"/>
        <v>29.123008431459539</v>
      </c>
      <c r="DD22" s="881">
        <f>+(DC22-CY22)*100</f>
        <v>47.915596604427435</v>
      </c>
      <c r="DE22" s="883"/>
      <c r="DF22" s="840">
        <v>5562.9610000000002</v>
      </c>
      <c r="DG22" s="877">
        <f t="shared" si="55"/>
        <v>29.422436007471653</v>
      </c>
      <c r="DH22" s="881">
        <f>+(DG22-DC22)*100</f>
        <v>29.942757601211412</v>
      </c>
      <c r="DI22" s="883"/>
      <c r="DJ22" s="840">
        <v>5972.6750000000002</v>
      </c>
      <c r="DK22" s="877">
        <f t="shared" si="56"/>
        <v>28.536858226545586</v>
      </c>
      <c r="DL22" s="881">
        <f>+(DK22-DG22)*100</f>
        <v>-88.557778092606654</v>
      </c>
      <c r="DM22" s="883"/>
      <c r="DN22" s="737">
        <f>+DN11*(1-DO22/100)</f>
        <v>6399.2260934250007</v>
      </c>
      <c r="DO22" s="952">
        <v>28.3</v>
      </c>
      <c r="DP22" s="881">
        <f>+(DO22-DK22)*100</f>
        <v>-23.685822654558564</v>
      </c>
      <c r="DQ22" s="883"/>
      <c r="DR22" s="1103">
        <f>DL22+DH22</f>
        <v>-58.615020491395242</v>
      </c>
      <c r="DS22" s="1104">
        <f>DL22+DH22+DD22</f>
        <v>-10.699423886967807</v>
      </c>
      <c r="DT22" s="885"/>
      <c r="DU22" s="886"/>
      <c r="DV22" s="886"/>
      <c r="DW22" s="794"/>
      <c r="DX22" s="842"/>
      <c r="DY22" s="794"/>
      <c r="DZ22" s="794"/>
      <c r="EA22" s="885"/>
      <c r="EB22" s="794"/>
    </row>
    <row r="23" spans="1:132">
      <c r="A23" s="487" t="str">
        <f>$A$12</f>
        <v>3Q</v>
      </c>
      <c r="B23" s="487" t="str">
        <f>$B$12</f>
        <v>Oct</v>
      </c>
      <c r="C23" s="487"/>
      <c r="D23" s="831"/>
      <c r="E23" s="487"/>
      <c r="F23" s="831">
        <v>482.07900000000001</v>
      </c>
      <c r="G23" s="877">
        <f t="shared" si="29"/>
        <v>25.372457351620792</v>
      </c>
      <c r="H23" s="877"/>
      <c r="I23" s="487"/>
      <c r="J23" s="831">
        <v>527.55899999999997</v>
      </c>
      <c r="K23" s="877">
        <f t="shared" si="30"/>
        <v>25.197477841788029</v>
      </c>
      <c r="L23" s="877"/>
      <c r="M23" s="487"/>
      <c r="N23" s="831">
        <v>614.70399999999995</v>
      </c>
      <c r="O23" s="877">
        <f t="shared" si="31"/>
        <v>26.743859013533296</v>
      </c>
      <c r="P23" s="877"/>
      <c r="Q23" s="487"/>
      <c r="R23" s="836">
        <v>556.84100000000001</v>
      </c>
      <c r="S23" s="877">
        <f t="shared" si="32"/>
        <v>26.045716000865919</v>
      </c>
      <c r="T23" s="877"/>
      <c r="U23" s="487"/>
      <c r="V23" s="836">
        <v>610.00199999999995</v>
      </c>
      <c r="W23" s="877">
        <f t="shared" si="33"/>
        <v>24.096345064349919</v>
      </c>
      <c r="X23" s="877"/>
      <c r="Y23" s="487"/>
      <c r="Z23" s="834">
        <v>661.61800000000005</v>
      </c>
      <c r="AA23" s="877">
        <f t="shared" si="34"/>
        <v>23.176121149911637</v>
      </c>
      <c r="AB23" s="877"/>
      <c r="AC23" s="487"/>
      <c r="AD23" s="834">
        <v>1305.271</v>
      </c>
      <c r="AE23" s="877">
        <f t="shared" si="35"/>
        <v>24.219169556480999</v>
      </c>
      <c r="AF23" s="877"/>
      <c r="AG23" s="487"/>
      <c r="AH23" s="836">
        <v>1414.336</v>
      </c>
      <c r="AI23" s="877">
        <f t="shared" si="36"/>
        <v>25.076150952112048</v>
      </c>
      <c r="AJ23" s="877"/>
      <c r="AK23" s="487"/>
      <c r="AL23" s="836">
        <v>1466.28</v>
      </c>
      <c r="AM23" s="877">
        <f t="shared" si="37"/>
        <v>26.814184955051228</v>
      </c>
      <c r="AN23" s="877"/>
      <c r="AO23" s="487"/>
      <c r="AP23" s="836">
        <v>1646.27</v>
      </c>
      <c r="AQ23" s="877">
        <f t="shared" si="38"/>
        <v>26.343166652796757</v>
      </c>
      <c r="AR23" s="877"/>
      <c r="AS23" s="487"/>
      <c r="AT23" s="837">
        <v>1807.748</v>
      </c>
      <c r="AU23" s="877">
        <f t="shared" si="39"/>
        <v>26.556434500373971</v>
      </c>
      <c r="AV23" s="877"/>
      <c r="AW23" s="487"/>
      <c r="AX23" s="887">
        <v>2059.9960000000001</v>
      </c>
      <c r="AY23" s="877">
        <f t="shared" si="40"/>
        <v>24.866172168406592</v>
      </c>
      <c r="AZ23" s="877"/>
      <c r="BA23" s="487"/>
      <c r="BB23" s="840">
        <v>2290.136</v>
      </c>
      <c r="BC23" s="877">
        <f t="shared" si="41"/>
        <v>24.789044155076432</v>
      </c>
      <c r="BD23" s="877"/>
      <c r="BE23" s="487"/>
      <c r="BF23" s="840">
        <f>2528.049+0.333333333333333*BF43</f>
        <v>2535.2840000000001</v>
      </c>
      <c r="BG23" s="877">
        <f t="shared" si="42"/>
        <v>25.156607385137857</v>
      </c>
      <c r="BH23" s="880">
        <f>(BG23-BC23)*100</f>
        <v>36.756323006142466</v>
      </c>
      <c r="BI23" s="877"/>
      <c r="BJ23" s="840">
        <f>2857.105+0.333333333333333*BJ43</f>
        <v>2866.0463333333332</v>
      </c>
      <c r="BK23" s="877">
        <f t="shared" si="43"/>
        <v>24.920525146152873</v>
      </c>
      <c r="BL23" s="881">
        <f>+(BK23-BG23)*100</f>
        <v>-23.608223898498437</v>
      </c>
      <c r="BM23" s="487"/>
      <c r="BN23" s="840">
        <v>3072.0160000000001</v>
      </c>
      <c r="BO23" s="877">
        <f t="shared" si="44"/>
        <v>23.995970223992995</v>
      </c>
      <c r="BP23" s="881">
        <f>+(BO23-BK23)*100</f>
        <v>-92.455492215987789</v>
      </c>
      <c r="BQ23" s="487"/>
      <c r="BR23" s="840">
        <v>3334.085</v>
      </c>
      <c r="BS23" s="877">
        <f t="shared" si="45"/>
        <v>25.461044328085556</v>
      </c>
      <c r="BT23" s="881">
        <f>+(BS23-BO23)*100</f>
        <v>146.50741040925618</v>
      </c>
      <c r="BU23" s="487"/>
      <c r="BV23" s="840">
        <v>3480.607</v>
      </c>
      <c r="BW23" s="877">
        <f t="shared" si="46"/>
        <v>25.288308929623987</v>
      </c>
      <c r="BX23" s="881">
        <f>+(BW23-BS23)*100</f>
        <v>-17.273539846156893</v>
      </c>
      <c r="BY23" s="881"/>
      <c r="BZ23" s="840">
        <v>3536.99</v>
      </c>
      <c r="CA23" s="877">
        <f t="shared" si="47"/>
        <v>25.71736395654338</v>
      </c>
      <c r="CB23" s="881">
        <f>+(CA23-BW23)*100</f>
        <v>42.90550269193929</v>
      </c>
      <c r="CC23" s="881"/>
      <c r="CD23" s="840">
        <v>3802.1790000000001</v>
      </c>
      <c r="CE23" s="877">
        <f t="shared" si="48"/>
        <v>27.507756991206389</v>
      </c>
      <c r="CF23" s="881">
        <f>+(CE23-CA23)*100</f>
        <v>179.03930346630085</v>
      </c>
      <c r="CG23" s="881"/>
      <c r="CH23" s="840">
        <v>4006.404</v>
      </c>
      <c r="CI23" s="877">
        <f t="shared" si="49"/>
        <v>27.497015389676911</v>
      </c>
      <c r="CJ23" s="881">
        <f>+(CI23-CE23)*100</f>
        <v>-1.0741601529478118</v>
      </c>
      <c r="CK23" s="881"/>
      <c r="CL23" s="840">
        <v>4166.5870000000004</v>
      </c>
      <c r="CM23" s="877">
        <f t="shared" si="50"/>
        <v>28.077076840007663</v>
      </c>
      <c r="CN23" s="881">
        <f>+(CM23-CI23)*100</f>
        <v>58.006145033075285</v>
      </c>
      <c r="CO23" s="881"/>
      <c r="CP23" s="840">
        <v>4566.0730000000003</v>
      </c>
      <c r="CQ23" s="877">
        <f t="shared" si="51"/>
        <v>28.776556474873381</v>
      </c>
      <c r="CR23" s="881">
        <f>+(CQ23-CM23)*100</f>
        <v>69.947963486571751</v>
      </c>
      <c r="CS23" s="881"/>
      <c r="CT23" s="840">
        <v>4934.4650000000001</v>
      </c>
      <c r="CU23" s="877">
        <f t="shared" si="52"/>
        <v>29.324654290623322</v>
      </c>
      <c r="CV23" s="881">
        <f>+(CU23-CQ23)*100</f>
        <v>54.809781574994076</v>
      </c>
      <c r="CW23" s="883"/>
      <c r="CX23" s="840">
        <v>5203.6289999999999</v>
      </c>
      <c r="CY23" s="877">
        <f t="shared" si="53"/>
        <v>29.356742119877826</v>
      </c>
      <c r="CZ23" s="881">
        <f>+(CY23-CU23)*100</f>
        <v>3.208782925450393</v>
      </c>
      <c r="DA23" s="883"/>
      <c r="DB23" s="840">
        <v>5506.8990000000003</v>
      </c>
      <c r="DC23" s="877">
        <f t="shared" si="54"/>
        <v>28.975268572430878</v>
      </c>
      <c r="DD23" s="881">
        <f>+(DC23-CY23)*100</f>
        <v>-38.147354744694795</v>
      </c>
      <c r="DE23" s="883"/>
      <c r="DF23" s="840">
        <v>5843.8729999999996</v>
      </c>
      <c r="DG23" s="877">
        <f t="shared" si="55"/>
        <v>29.521310980345621</v>
      </c>
      <c r="DH23" s="881">
        <f>+(DG23-DC23)*100</f>
        <v>54.604240791474368</v>
      </c>
      <c r="DI23" s="883"/>
      <c r="DJ23" s="2052">
        <v>6150.02</v>
      </c>
      <c r="DK23" s="877">
        <f t="shared" si="56"/>
        <v>29.81207958713658</v>
      </c>
      <c r="DL23" s="881">
        <f>+(DK23-DG23)*100</f>
        <v>29.076860679095873</v>
      </c>
      <c r="DM23" s="883"/>
      <c r="DN23" s="841">
        <f>+DN12*(1-DO23/100)</f>
        <v>6574.5331593216006</v>
      </c>
      <c r="DO23" s="884">
        <v>29.6</v>
      </c>
      <c r="DP23" s="881">
        <f>+(DO23-DK23)*100</f>
        <v>-21.20795871365786</v>
      </c>
      <c r="DQ23" s="883"/>
      <c r="DR23" s="1103">
        <f>DL23+DH23</f>
        <v>83.681101470570241</v>
      </c>
      <c r="DS23" s="1104">
        <f>DL23+DH23+DD23</f>
        <v>45.533746725875446</v>
      </c>
      <c r="DT23" s="885"/>
      <c r="DU23" s="886"/>
      <c r="DV23" s="883"/>
      <c r="DW23" s="883">
        <f>29-0.4</f>
        <v>28.6</v>
      </c>
      <c r="DX23" s="842"/>
      <c r="DY23" s="794"/>
      <c r="DZ23" s="794"/>
      <c r="EA23" s="885"/>
      <c r="EB23" s="794"/>
    </row>
    <row r="24" spans="1:132">
      <c r="A24" s="487" t="str">
        <f>$A$13</f>
        <v>4Q</v>
      </c>
      <c r="B24" s="487" t="str">
        <f>$B$13</f>
        <v>Jan</v>
      </c>
      <c r="C24" s="499"/>
      <c r="D24" s="849"/>
      <c r="E24" s="499"/>
      <c r="F24" s="851">
        <f>+F25-F23-F22-F21</f>
        <v>563.23</v>
      </c>
      <c r="G24" s="877">
        <f t="shared" si="29"/>
        <v>21.123095753590025</v>
      </c>
      <c r="H24" s="487"/>
      <c r="I24" s="487"/>
      <c r="J24" s="851">
        <f>+J25-J23-J22-J21</f>
        <v>630.79999999999973</v>
      </c>
      <c r="K24" s="877">
        <f t="shared" si="30"/>
        <v>21.116671793832932</v>
      </c>
      <c r="L24" s="487"/>
      <c r="M24" s="487"/>
      <c r="N24" s="851">
        <f>+N25-N23-N22-N21</f>
        <v>768.81599999999992</v>
      </c>
      <c r="O24" s="877">
        <f t="shared" si="31"/>
        <v>22.930736342995196</v>
      </c>
      <c r="P24" s="487"/>
      <c r="Q24" s="487"/>
      <c r="R24" s="852">
        <v>652.04499999999996</v>
      </c>
      <c r="S24" s="877">
        <f t="shared" si="32"/>
        <v>21.999894731049796</v>
      </c>
      <c r="T24" s="487"/>
      <c r="U24" s="487"/>
      <c r="V24" s="852">
        <v>731.00800000000004</v>
      </c>
      <c r="W24" s="877">
        <f t="shared" si="33"/>
        <v>19.549482029796078</v>
      </c>
      <c r="X24" s="487"/>
      <c r="Y24" s="487"/>
      <c r="Z24" s="852">
        <v>1314.6189999999999</v>
      </c>
      <c r="AA24" s="877">
        <f t="shared" si="34"/>
        <v>19.778622465200382</v>
      </c>
      <c r="AB24" s="487"/>
      <c r="AC24" s="487"/>
      <c r="AD24" s="852">
        <v>1503.963</v>
      </c>
      <c r="AE24" s="877">
        <f t="shared" si="35"/>
        <v>22.734019188533118</v>
      </c>
      <c r="AF24" s="487"/>
      <c r="AG24" s="487"/>
      <c r="AH24" s="852">
        <v>1736.325</v>
      </c>
      <c r="AI24" s="877">
        <f t="shared" si="36"/>
        <v>22.583954604166401</v>
      </c>
      <c r="AJ24" s="487"/>
      <c r="AK24" s="487"/>
      <c r="AL24" s="852">
        <v>1753.99</v>
      </c>
      <c r="AM24" s="877">
        <f t="shared" si="37"/>
        <v>24.525549581058478</v>
      </c>
      <c r="AN24" s="487"/>
      <c r="AO24" s="487"/>
      <c r="AP24" s="852">
        <v>1929.09</v>
      </c>
      <c r="AQ24" s="877">
        <f t="shared" si="38"/>
        <v>23.658929232873337</v>
      </c>
      <c r="AR24" s="487"/>
      <c r="AS24" s="487"/>
      <c r="AT24" s="853">
        <v>2124.038</v>
      </c>
      <c r="AU24" s="877">
        <f t="shared" si="39"/>
        <v>22.798889981299777</v>
      </c>
      <c r="AV24" s="487"/>
      <c r="AW24" s="487"/>
      <c r="AX24" s="888">
        <v>2481.6060000000002</v>
      </c>
      <c r="AY24" s="877">
        <f t="shared" si="40"/>
        <v>22.660369643645168</v>
      </c>
      <c r="AZ24" s="487"/>
      <c r="BA24" s="487"/>
      <c r="BB24" s="856">
        <v>2721.877</v>
      </c>
      <c r="BC24" s="877">
        <f t="shared" si="41"/>
        <v>22.353679851638056</v>
      </c>
      <c r="BD24" s="487"/>
      <c r="BE24" s="487"/>
      <c r="BF24" s="856">
        <f>3108.457+0.333333333333333*BF44</f>
        <v>3115.3346666666666</v>
      </c>
      <c r="BG24" s="877">
        <f t="shared" si="42"/>
        <v>24.119813350733963</v>
      </c>
      <c r="BH24" s="880">
        <f>(BG24-BC24)*100</f>
        <v>176.61334990959077</v>
      </c>
      <c r="BI24" s="487"/>
      <c r="BJ24" s="856">
        <v>3373.3029999999999</v>
      </c>
      <c r="BK24" s="877">
        <f t="shared" si="43"/>
        <v>22.078584761899052</v>
      </c>
      <c r="BL24" s="881">
        <f>+(BK24-BG24)*100</f>
        <v>-204.12285888349118</v>
      </c>
      <c r="BM24" s="487"/>
      <c r="BN24" s="856">
        <v>3626.37</v>
      </c>
      <c r="BO24" s="877">
        <f t="shared" si="44"/>
        <v>23.110293243025776</v>
      </c>
      <c r="BP24" s="881">
        <f>+(BO24-BK24)*100</f>
        <v>103.17084811267243</v>
      </c>
      <c r="BQ24" s="487"/>
      <c r="BR24" s="856">
        <v>3922.4459999999999</v>
      </c>
      <c r="BS24" s="877">
        <f t="shared" si="45"/>
        <v>23.040689031248959</v>
      </c>
      <c r="BT24" s="881">
        <f>+(BS24-BO24)*100</f>
        <v>-6.9604211776816527</v>
      </c>
      <c r="BU24" s="487"/>
      <c r="BV24" s="856">
        <v>4072.797</v>
      </c>
      <c r="BW24" s="877">
        <f t="shared" si="46"/>
        <v>24.464193909503855</v>
      </c>
      <c r="BX24" s="881">
        <f>+(BW24-BS24)*100</f>
        <v>142.35048782548958</v>
      </c>
      <c r="BY24" s="881"/>
      <c r="BZ24" s="856">
        <v>4167.8090000000002</v>
      </c>
      <c r="CA24" s="877">
        <f t="shared" si="47"/>
        <v>22.531791209148647</v>
      </c>
      <c r="CB24" s="881">
        <f>+(CA24-BW24)*100</f>
        <v>-193.24027003552084</v>
      </c>
      <c r="CC24" s="881"/>
      <c r="CD24" s="856">
        <v>4358.6019999999999</v>
      </c>
      <c r="CE24" s="877">
        <f t="shared" si="48"/>
        <v>26.644424046399834</v>
      </c>
      <c r="CF24" s="881">
        <f>+(CE24-CA24)*100</f>
        <v>411.2632837251187</v>
      </c>
      <c r="CG24" s="881"/>
      <c r="CH24" s="856">
        <f>4666.173-242.8</f>
        <v>4423.3729999999996</v>
      </c>
      <c r="CI24" s="877">
        <f t="shared" si="49"/>
        <v>26.920025561791071</v>
      </c>
      <c r="CJ24" s="881">
        <f>+(CI24-CE24)*100</f>
        <v>27.560151539123723</v>
      </c>
      <c r="CK24" s="881"/>
      <c r="CL24" s="856">
        <v>4884.3689999999997</v>
      </c>
      <c r="CM24" s="877">
        <f t="shared" si="50"/>
        <v>27.204990105455373</v>
      </c>
      <c r="CN24" s="881">
        <f>+(CM24-CI24)*100</f>
        <v>28.496454366430157</v>
      </c>
      <c r="CO24" s="881"/>
      <c r="CP24" s="856">
        <v>5514.5259999999998</v>
      </c>
      <c r="CQ24" s="877">
        <f t="shared" si="51"/>
        <v>28.603588848721635</v>
      </c>
      <c r="CR24" s="881">
        <f>+(CQ24-CM24)*100</f>
        <v>139.85987432662625</v>
      </c>
      <c r="CS24" s="881"/>
      <c r="CT24" s="856">
        <v>5650.3</v>
      </c>
      <c r="CU24" s="877">
        <f t="shared" si="52"/>
        <v>27.641770738528276</v>
      </c>
      <c r="CV24" s="881">
        <f>+(CU24-CQ24)*100</f>
        <v>-96.181811019335939</v>
      </c>
      <c r="CW24" s="883"/>
      <c r="CX24" s="856">
        <v>5959.0370000000003</v>
      </c>
      <c r="CY24" s="877">
        <f t="shared" si="53"/>
        <v>28.238550964823609</v>
      </c>
      <c r="CZ24" s="881">
        <f>+(CY24-CU24)*100</f>
        <v>59.678022629533345</v>
      </c>
      <c r="DA24" s="883"/>
      <c r="DB24" s="856">
        <v>6388.192</v>
      </c>
      <c r="DC24" s="877">
        <f t="shared" si="54"/>
        <v>28.719721716232016</v>
      </c>
      <c r="DD24" s="881">
        <f>+(DC24-CY24)*100</f>
        <v>48.117075140840626</v>
      </c>
      <c r="DE24" s="883"/>
      <c r="DF24" s="856">
        <v>6786.777</v>
      </c>
      <c r="DG24" s="877">
        <f t="shared" si="55"/>
        <v>28.316116982392781</v>
      </c>
      <c r="DH24" s="881">
        <f>+(DG24-DC24)*100</f>
        <v>-40.360473383923434</v>
      </c>
      <c r="DI24" s="883"/>
      <c r="DJ24" s="2097">
        <v>7849.4</v>
      </c>
      <c r="DK24" s="877">
        <f t="shared" si="56"/>
        <v>28.386091424650932</v>
      </c>
      <c r="DL24" s="881">
        <f>+(DK24-DG24)*100</f>
        <v>6.9974442258150304</v>
      </c>
      <c r="DM24" s="883"/>
      <c r="DN24" s="857">
        <f>+DN13*(1-DO24/100)</f>
        <v>7926.1314989599987</v>
      </c>
      <c r="DO24" s="884">
        <v>28.4</v>
      </c>
      <c r="DP24" s="881">
        <f>+(DO24-DK24)*100</f>
        <v>1.3908575349066865</v>
      </c>
      <c r="DQ24" s="883"/>
      <c r="DR24" s="1105">
        <f>DL24+DH24</f>
        <v>-33.363029158108404</v>
      </c>
      <c r="DS24" s="1106">
        <f>DL24+DH24+DD24</f>
        <v>14.754045982732222</v>
      </c>
      <c r="DT24" s="885"/>
      <c r="DU24" s="886"/>
      <c r="DV24" s="886"/>
      <c r="DW24" s="889"/>
      <c r="DX24" s="842"/>
      <c r="DY24" s="794"/>
      <c r="DZ24" s="794"/>
      <c r="EA24" s="885"/>
      <c r="EB24" s="794"/>
    </row>
    <row r="25" spans="1:132">
      <c r="A25" s="487"/>
      <c r="B25" s="487" t="str">
        <f>$B$14</f>
        <v>Year</v>
      </c>
      <c r="C25" s="487"/>
      <c r="D25" s="859"/>
      <c r="E25" s="487"/>
      <c r="F25" s="860">
        <v>1875.5609999999999</v>
      </c>
      <c r="G25" s="877">
        <f t="shared" si="29"/>
        <v>23.330045346422061</v>
      </c>
      <c r="H25" s="487"/>
      <c r="I25" s="487"/>
      <c r="J25" s="860">
        <v>2117.5549999999998</v>
      </c>
      <c r="K25" s="877">
        <f t="shared" si="30"/>
        <v>23.213421256366239</v>
      </c>
      <c r="L25" s="487"/>
      <c r="M25" s="487"/>
      <c r="N25" s="860">
        <v>2467.9349999999999</v>
      </c>
      <c r="O25" s="877">
        <f t="shared" si="31"/>
        <v>24.325256650844459</v>
      </c>
      <c r="P25" s="487"/>
      <c r="Q25" s="487"/>
      <c r="R25" s="859">
        <f>SUM(R21:R24)</f>
        <v>2165.27</v>
      </c>
      <c r="S25" s="877">
        <f t="shared" si="32"/>
        <v>23.544615775739999</v>
      </c>
      <c r="T25" s="487"/>
      <c r="U25" s="487"/>
      <c r="V25" s="859">
        <f>SUM(V21:V24)</f>
        <v>2370.7150000000001</v>
      </c>
      <c r="W25" s="877">
        <f t="shared" si="33"/>
        <v>22.413406585278771</v>
      </c>
      <c r="X25" s="487"/>
      <c r="Y25" s="487"/>
      <c r="Z25" s="859">
        <f>SUM(Z21:Z24)</f>
        <v>3143.2569999999996</v>
      </c>
      <c r="AA25" s="877">
        <f t="shared" si="34"/>
        <v>20.926639858217943</v>
      </c>
      <c r="AB25" s="487"/>
      <c r="AC25" s="487"/>
      <c r="AD25" s="859">
        <f>SUM(AD21:AD24)</f>
        <v>5198.7829999999994</v>
      </c>
      <c r="AE25" s="877">
        <f t="shared" si="35"/>
        <v>22.283385231283486</v>
      </c>
      <c r="AF25" s="487"/>
      <c r="AG25" s="487"/>
      <c r="AH25" s="859">
        <f>SUM(AH21:AH24)</f>
        <v>5676.5410000000002</v>
      </c>
      <c r="AI25" s="877">
        <f t="shared" si="36"/>
        <v>23.176505727582192</v>
      </c>
      <c r="AJ25" s="487"/>
      <c r="AK25" s="487"/>
      <c r="AL25" s="862">
        <f>SUM(AL21:AL24)</f>
        <v>5957.6849999999995</v>
      </c>
      <c r="AM25" s="877">
        <f t="shared" si="37"/>
        <v>25.049922183917701</v>
      </c>
      <c r="AN25" s="487"/>
      <c r="AO25" s="487"/>
      <c r="AP25" s="859">
        <f>SUM(AP21:AP24)</f>
        <v>6579.4</v>
      </c>
      <c r="AQ25" s="877">
        <f t="shared" si="38"/>
        <v>25.194537520805039</v>
      </c>
      <c r="AR25" s="487"/>
      <c r="AS25" s="720"/>
      <c r="AT25" s="859">
        <f>SUM(AT21:AT24)</f>
        <v>7188.1239999999998</v>
      </c>
      <c r="AU25" s="877">
        <f t="shared" si="39"/>
        <v>24.959604368135899</v>
      </c>
      <c r="AV25" s="890"/>
      <c r="AW25" s="720"/>
      <c r="AX25" s="859">
        <f>SUM(AX21:AX24)</f>
        <v>8122.9220000000005</v>
      </c>
      <c r="AY25" s="877">
        <f t="shared" si="40"/>
        <v>24.148627163811209</v>
      </c>
      <c r="AZ25" s="487"/>
      <c r="BA25" s="720"/>
      <c r="BB25" s="859">
        <f>SUM(BB21:BB24)</f>
        <v>9079.5789999999997</v>
      </c>
      <c r="BC25" s="877">
        <f t="shared" si="41"/>
        <v>24.218160991626295</v>
      </c>
      <c r="BD25" s="487"/>
      <c r="BE25" s="720"/>
      <c r="BF25" s="859">
        <f>SUM(BF21:BF24)</f>
        <v>10104.39</v>
      </c>
      <c r="BG25" s="877">
        <f t="shared" si="42"/>
        <v>24.186397025556396</v>
      </c>
      <c r="BH25" s="880">
        <f>(BG25-BC25)*100</f>
        <v>-3.1763966069899396</v>
      </c>
      <c r="BI25" s="720"/>
      <c r="BJ25" s="859">
        <f>SUM(BJ21:BJ24)</f>
        <v>11401.223666666667</v>
      </c>
      <c r="BK25" s="877">
        <f t="shared" si="43"/>
        <v>23.550899098039896</v>
      </c>
      <c r="BL25" s="881">
        <f>+(BK25-BG25)*100</f>
        <v>-63.549792751650003</v>
      </c>
      <c r="BM25" s="720"/>
      <c r="BN25" s="859">
        <f>SUM(BN21:BN24)</f>
        <v>12295.016</v>
      </c>
      <c r="BO25" s="877">
        <f t="shared" si="44"/>
        <v>23.433392898900145</v>
      </c>
      <c r="BP25" s="881">
        <f>+(BO25-BK25)*100</f>
        <v>-11.750619913975058</v>
      </c>
      <c r="BQ25" s="487"/>
      <c r="BR25" s="859">
        <f>SUM(BR21:BR24)</f>
        <v>13213.703000000001</v>
      </c>
      <c r="BS25" s="877">
        <f t="shared" si="45"/>
        <v>24.07941056167963</v>
      </c>
      <c r="BT25" s="881">
        <f>+(BS25-BO25)*100</f>
        <v>64.601766277948514</v>
      </c>
      <c r="BU25" s="487"/>
      <c r="BV25" s="859">
        <f>SUM(BV21:BV24)</f>
        <v>13943.291000000001</v>
      </c>
      <c r="BW25" s="877">
        <f t="shared" si="46"/>
        <v>24.516504003118673</v>
      </c>
      <c r="BX25" s="881">
        <f>+(BW25-BS25)*100</f>
        <v>43.709344143904261</v>
      </c>
      <c r="BY25" s="881"/>
      <c r="BZ25" s="859">
        <f>SUM(BZ21:BZ24)</f>
        <v>14429.185000000001</v>
      </c>
      <c r="CA25" s="877">
        <f t="shared" si="47"/>
        <v>24.054942484027855</v>
      </c>
      <c r="CB25" s="881">
        <f>+(CA25-BW25)*100</f>
        <v>-46.1561519090818</v>
      </c>
      <c r="CC25" s="881"/>
      <c r="CD25" s="859">
        <f>SUM(CD21:CD24)</f>
        <v>14968.429</v>
      </c>
      <c r="CE25" s="877">
        <f t="shared" si="48"/>
        <v>26.22189754916641</v>
      </c>
      <c r="CF25" s="881">
        <f>+(CE25-CA25)*100</f>
        <v>216.69550651385555</v>
      </c>
      <c r="CG25" s="881"/>
      <c r="CH25" s="805">
        <f>SUM(CH21:CH24)</f>
        <v>15797.661</v>
      </c>
      <c r="CI25" s="877">
        <f t="shared" si="49"/>
        <v>27.076222308461446</v>
      </c>
      <c r="CJ25" s="881">
        <f>+(CI25-CE25)*100</f>
        <v>85.432475929503582</v>
      </c>
      <c r="CK25" s="881"/>
      <c r="CL25" s="805">
        <f>SUM(CL21:CL24)</f>
        <v>16838.249</v>
      </c>
      <c r="CM25" s="877">
        <f t="shared" si="50"/>
        <v>27.365693872538394</v>
      </c>
      <c r="CN25" s="881">
        <f>+(CM25-CI25)*100</f>
        <v>28.947156407694763</v>
      </c>
      <c r="CO25" s="881"/>
      <c r="CP25" s="805">
        <f>SUM(CP21:CP24)</f>
        <v>18521.400000000001</v>
      </c>
      <c r="CQ25" s="877">
        <f t="shared" si="51"/>
        <v>28.429037189820132</v>
      </c>
      <c r="CR25" s="881">
        <f>+(CQ25-CM25)*100</f>
        <v>106.33433172817384</v>
      </c>
      <c r="CS25" s="881"/>
      <c r="CT25" s="805">
        <f>SUM(CT21:CT24)</f>
        <v>19605.037</v>
      </c>
      <c r="CU25" s="877">
        <f t="shared" si="52"/>
        <v>28.507988419519364</v>
      </c>
      <c r="CV25" s="881">
        <f>+(CU25-CQ25)*100</f>
        <v>7.8951229699232073</v>
      </c>
      <c r="CW25" s="886"/>
      <c r="CX25" s="805">
        <f>SUM(CX21:CX24)</f>
        <v>20776.522000000001</v>
      </c>
      <c r="CY25" s="877">
        <f t="shared" si="53"/>
        <v>28.549999317362872</v>
      </c>
      <c r="CZ25" s="881">
        <f>+(CY25-CU25)*100</f>
        <v>4.2010897843507422</v>
      </c>
      <c r="DA25" s="886"/>
      <c r="DB25" s="805">
        <f>SUM(DB21:DB24)</f>
        <v>22034.523000000001</v>
      </c>
      <c r="DC25" s="891">
        <f t="shared" si="54"/>
        <v>28.79441865419151</v>
      </c>
      <c r="DD25" s="881">
        <f>+(DC25-CY25)*100</f>
        <v>24.441933682863848</v>
      </c>
      <c r="DE25" s="886"/>
      <c r="DF25" s="805">
        <f>SUM(DF21:DF24)</f>
        <v>23565.754000000001</v>
      </c>
      <c r="DG25" s="877">
        <f t="shared" si="55"/>
        <v>28.984041101570707</v>
      </c>
      <c r="DH25" s="881">
        <f>+(DG25-DC25)*100</f>
        <v>18.962244737919676</v>
      </c>
      <c r="DI25" s="886"/>
      <c r="DJ25" s="805">
        <f>SUM(DJ21:DJ24)</f>
        <v>25502.167000000001</v>
      </c>
      <c r="DK25" s="877">
        <f t="shared" si="56"/>
        <v>28.893333560855339</v>
      </c>
      <c r="DL25" s="881">
        <f>+(DK25-DG25)*100</f>
        <v>-9.0707540715367685</v>
      </c>
      <c r="DM25" s="886"/>
      <c r="DN25" s="805">
        <f>SUM(DN21:DN24)</f>
        <v>26977.9798618186</v>
      </c>
      <c r="DO25" s="877">
        <f>((DN14-DN25)/DN14)*100</f>
        <v>28.708530846525964</v>
      </c>
      <c r="DP25" s="881">
        <f>+(DO25-DK25)*100</f>
        <v>-18.480271432937556</v>
      </c>
      <c r="DQ25" s="886"/>
      <c r="DR25" s="1107">
        <f>DL25+DH25</f>
        <v>9.8914906663829072</v>
      </c>
      <c r="DS25" s="1108">
        <f>DL25+DH25+DD25</f>
        <v>34.333424349246755</v>
      </c>
      <c r="DT25" s="794"/>
      <c r="DU25" s="842"/>
      <c r="DV25" s="892"/>
      <c r="DW25" s="794"/>
      <c r="DX25" s="842"/>
      <c r="DY25" s="794"/>
      <c r="DZ25" s="794"/>
      <c r="EA25" s="885"/>
      <c r="EB25" s="794"/>
    </row>
    <row r="26" spans="1:132" hidden="1" outlineLevel="1">
      <c r="A26" s="487" t="str">
        <f>$A$15</f>
        <v>6 Mos</v>
      </c>
      <c r="B26" s="487"/>
      <c r="C26" s="487"/>
      <c r="D26" s="864"/>
      <c r="E26" s="487"/>
      <c r="F26" s="864">
        <f>SUM(F21:F22)</f>
        <v>830.25199999999995</v>
      </c>
      <c r="G26" s="877">
        <f t="shared" si="29"/>
        <v>23.566219894921652</v>
      </c>
      <c r="H26" s="487"/>
      <c r="I26" s="487"/>
      <c r="J26" s="864">
        <f>SUM(J21:J22)</f>
        <v>959.19600000000003</v>
      </c>
      <c r="K26" s="877">
        <f t="shared" si="30"/>
        <v>23.43484591118661</v>
      </c>
      <c r="L26" s="487"/>
      <c r="M26" s="487"/>
      <c r="N26" s="864">
        <f>SUM(N21:N22)</f>
        <v>1084.415</v>
      </c>
      <c r="O26" s="877">
        <f t="shared" si="31"/>
        <v>23.877143733604576</v>
      </c>
      <c r="P26" s="487"/>
      <c r="Q26" s="487"/>
      <c r="R26" s="864">
        <f>SUM(R21:R22)</f>
        <v>956.38400000000001</v>
      </c>
      <c r="S26" s="877">
        <f t="shared" si="32"/>
        <v>23.068495442673246</v>
      </c>
      <c r="T26" s="487"/>
      <c r="U26" s="487"/>
      <c r="V26" s="864">
        <f>SUM(V21:V22)</f>
        <v>1029.7049999999999</v>
      </c>
      <c r="W26" s="877">
        <f t="shared" si="33"/>
        <v>23.343807717991162</v>
      </c>
      <c r="X26" s="487"/>
      <c r="Y26" s="487"/>
      <c r="Z26" s="864">
        <f>SUM(Z21:Z22)</f>
        <v>1167.02</v>
      </c>
      <c r="AA26" s="877">
        <f t="shared" si="34"/>
        <v>20.888688835531273</v>
      </c>
      <c r="AB26" s="487"/>
      <c r="AC26" s="487"/>
      <c r="AD26" s="864">
        <f>SUM(AD21:AD22)</f>
        <v>2389.549</v>
      </c>
      <c r="AE26" s="877">
        <f t="shared" si="35"/>
        <v>20.889115929582669</v>
      </c>
      <c r="AF26" s="487"/>
      <c r="AG26" s="487"/>
      <c r="AH26" s="864">
        <f>SUM(AH21:AH22)</f>
        <v>2525.88</v>
      </c>
      <c r="AI26" s="877">
        <f t="shared" si="36"/>
        <v>22.483874590995544</v>
      </c>
      <c r="AJ26" s="487"/>
      <c r="AK26" s="487"/>
      <c r="AL26" s="864">
        <f>SUM(AL21:AL22)</f>
        <v>2737.415</v>
      </c>
      <c r="AM26" s="877">
        <f t="shared" si="37"/>
        <v>24.410368761832395</v>
      </c>
      <c r="AN26" s="487"/>
      <c r="AO26" s="487"/>
      <c r="AP26" s="864">
        <f>SUM(AP21:AP22)</f>
        <v>3004.04</v>
      </c>
      <c r="AQ26" s="877">
        <f t="shared" si="38"/>
        <v>25.520106452267928</v>
      </c>
      <c r="AR26" s="487"/>
      <c r="AS26" s="487"/>
      <c r="AT26" s="864">
        <f>SUM(AT21:AT22)</f>
        <v>3256.3379999999997</v>
      </c>
      <c r="AU26" s="877">
        <f t="shared" si="39"/>
        <v>25.420940890321081</v>
      </c>
      <c r="AV26" s="487"/>
      <c r="AW26" s="487"/>
      <c r="AX26" s="864">
        <f>SUM(AX21:AX22)</f>
        <v>3581.3199999999997</v>
      </c>
      <c r="AY26" s="877">
        <f t="shared" si="40"/>
        <v>24.738736879578241</v>
      </c>
      <c r="AZ26" s="487"/>
      <c r="BA26" s="487"/>
      <c r="BB26" s="864">
        <f>SUM(BB21:BB22)</f>
        <v>4067.5659999999998</v>
      </c>
      <c r="BC26" s="877">
        <f t="shared" si="41"/>
        <v>25.101569278497216</v>
      </c>
      <c r="BD26" s="487"/>
      <c r="BE26" s="487"/>
      <c r="BF26" s="864">
        <f>SUM(BF21:BF22)</f>
        <v>4453.771333333334</v>
      </c>
      <c r="BG26" s="877">
        <f t="shared" si="42"/>
        <v>23.669990408843528</v>
      </c>
      <c r="BH26" s="487"/>
      <c r="BI26" s="487"/>
      <c r="BJ26" s="864">
        <f>SUM(BJ21:BJ22)</f>
        <v>5161.8743333333332</v>
      </c>
      <c r="BK26" s="877">
        <f t="shared" si="43"/>
        <v>23.720171033332623</v>
      </c>
      <c r="BL26" s="487"/>
      <c r="BM26" s="487"/>
      <c r="BN26" s="864">
        <f>SUM(BN21:BN22)</f>
        <v>5596.6299999999992</v>
      </c>
      <c r="BO26" s="877">
        <f t="shared" si="44"/>
        <v>23.330642810330744</v>
      </c>
      <c r="BP26" s="487"/>
      <c r="BQ26" s="487"/>
      <c r="BR26" s="864">
        <f>SUM(BR21:BR22)</f>
        <v>5957.1720000000005</v>
      </c>
      <c r="BS26" s="877">
        <f t="shared" si="45"/>
        <v>23.966348071421319</v>
      </c>
      <c r="BT26" s="487"/>
      <c r="BU26" s="487"/>
      <c r="BV26" s="864">
        <f>SUM(BV21:BV22)</f>
        <v>6389.8870000000006</v>
      </c>
      <c r="BW26" s="877">
        <f t="shared" si="46"/>
        <v>24.123032581718505</v>
      </c>
      <c r="BX26" s="487"/>
      <c r="BY26" s="487"/>
      <c r="BZ26" s="864">
        <f>SUM(BZ21:BZ22)</f>
        <v>6724.3860000000004</v>
      </c>
      <c r="CA26" s="877">
        <f t="shared" si="47"/>
        <v>24.086430833319223</v>
      </c>
      <c r="CB26" s="487"/>
      <c r="CC26" s="487"/>
      <c r="CD26" s="864">
        <f>SUM(CD21:CD22)</f>
        <v>6807.6480000000001</v>
      </c>
      <c r="CE26" s="877">
        <f t="shared" si="48"/>
        <v>25.205081395318178</v>
      </c>
      <c r="CF26" s="487"/>
      <c r="CG26" s="487"/>
      <c r="CH26" s="864">
        <f>SUM(CH21:CH22)</f>
        <v>7367.884</v>
      </c>
      <c r="CI26" s="877">
        <f t="shared" si="49"/>
        <v>26.93939880729268</v>
      </c>
      <c r="CJ26" s="487"/>
      <c r="CK26" s="487"/>
      <c r="CL26" s="864">
        <f>SUM(CL21:CL22)</f>
        <v>7787.2929999999997</v>
      </c>
      <c r="CM26" s="877">
        <f t="shared" si="50"/>
        <v>27.080765290738945</v>
      </c>
      <c r="CN26" s="487"/>
      <c r="CO26" s="487"/>
      <c r="CP26" s="864">
        <f>SUM(CP21:CP22)</f>
        <v>8440.8009999999995</v>
      </c>
      <c r="CQ26" s="877">
        <f t="shared" si="51"/>
        <v>28.124521815841678</v>
      </c>
      <c r="CR26" s="487"/>
      <c r="CS26" s="487"/>
      <c r="CT26" s="864">
        <f>SUM(CT21:CT22)</f>
        <v>9020.2720000000008</v>
      </c>
      <c r="CU26" s="877">
        <f t="shared" si="52"/>
        <v>28.59208015051891</v>
      </c>
      <c r="CV26" s="487"/>
      <c r="CW26" s="794"/>
      <c r="CX26" s="864">
        <f>SUM(CX21:CX22)</f>
        <v>9613.8559999999998</v>
      </c>
      <c r="CY26" s="877">
        <f t="shared" si="53"/>
        <v>28.299688225012588</v>
      </c>
      <c r="CZ26" s="487"/>
      <c r="DA26" s="794"/>
      <c r="DB26" s="864">
        <f>SUM(DB21:DB22)</f>
        <v>10139.432000000001</v>
      </c>
      <c r="DC26" s="877">
        <f t="shared" si="54"/>
        <v>28.742920978640786</v>
      </c>
      <c r="DD26" s="487"/>
      <c r="DE26" s="794"/>
      <c r="DF26" s="864">
        <f>SUM(DF21:DF22)</f>
        <v>10935.103999999999</v>
      </c>
      <c r="DG26" s="877">
        <f t="shared" si="55"/>
        <v>29.105199427738203</v>
      </c>
      <c r="DH26" s="487"/>
      <c r="DI26" s="794"/>
      <c r="DJ26" s="864">
        <f>SUM(DJ21:DJ22)</f>
        <v>11502.746999999999</v>
      </c>
      <c r="DK26" s="877">
        <f t="shared" si="56"/>
        <v>28.739042991938174</v>
      </c>
      <c r="DL26" s="487"/>
      <c r="DM26" s="794"/>
      <c r="DN26" s="864">
        <f>SUM(DN21:DN22)</f>
        <v>12477.315203537</v>
      </c>
      <c r="DO26" s="877">
        <f>((DN15-DN26)/DN15)*100</f>
        <v>28.426890090364182</v>
      </c>
      <c r="DP26" s="487"/>
      <c r="DQ26" s="794"/>
      <c r="DR26" s="1111"/>
      <c r="DS26" s="1110"/>
      <c r="DT26" s="794"/>
      <c r="DU26" s="794"/>
      <c r="DV26" s="794"/>
      <c r="DW26" s="794"/>
      <c r="DX26" s="893"/>
      <c r="DY26" s="794"/>
      <c r="DZ26" s="794"/>
      <c r="EA26" s="794"/>
      <c r="EB26" s="794"/>
    </row>
    <row r="27" spans="1:132" hidden="1" outlineLevel="1">
      <c r="A27" s="487" t="str">
        <f>$A$16</f>
        <v>9 Mos</v>
      </c>
      <c r="B27" s="487"/>
      <c r="C27" s="487"/>
      <c r="D27" s="864"/>
      <c r="E27" s="487"/>
      <c r="F27" s="864">
        <f>SUM(F21:F23)</f>
        <v>1312.3309999999999</v>
      </c>
      <c r="G27" s="877">
        <f t="shared" si="29"/>
        <v>24.239803673558232</v>
      </c>
      <c r="H27" s="487"/>
      <c r="I27" s="487"/>
      <c r="J27" s="864">
        <f>SUM(J21:J23)</f>
        <v>1486.7550000000001</v>
      </c>
      <c r="K27" s="877">
        <f t="shared" si="30"/>
        <v>24.069726406792867</v>
      </c>
      <c r="L27" s="487"/>
      <c r="M27" s="487"/>
      <c r="N27" s="864">
        <f>SUM(N21:N23)</f>
        <v>1699.1189999999999</v>
      </c>
      <c r="O27" s="877">
        <f t="shared" si="31"/>
        <v>24.939799220294443</v>
      </c>
      <c r="P27" s="487"/>
      <c r="Q27" s="487"/>
      <c r="R27" s="864">
        <f>SUM(R21:R23)</f>
        <v>1513.2249999999999</v>
      </c>
      <c r="S27" s="877">
        <f t="shared" si="32"/>
        <v>24.191529951165165</v>
      </c>
      <c r="T27" s="487"/>
      <c r="U27" s="487"/>
      <c r="V27" s="864">
        <f>SUM(V21:V23)</f>
        <v>1639.7069999999999</v>
      </c>
      <c r="W27" s="877">
        <f t="shared" si="33"/>
        <v>23.625502461654566</v>
      </c>
      <c r="X27" s="487"/>
      <c r="Y27" s="487"/>
      <c r="Z27" s="864">
        <f>SUM(Z21:Z23)</f>
        <v>1828.6379999999999</v>
      </c>
      <c r="AA27" s="877">
        <f t="shared" si="34"/>
        <v>21.731861652405261</v>
      </c>
      <c r="AB27" s="487"/>
      <c r="AC27" s="487"/>
      <c r="AD27" s="864">
        <f>SUM(AD21:AD23)</f>
        <v>3694.8199999999997</v>
      </c>
      <c r="AE27" s="877">
        <f t="shared" si="35"/>
        <v>22.098447480304927</v>
      </c>
      <c r="AF27" s="487"/>
      <c r="AG27" s="487"/>
      <c r="AH27" s="864">
        <f>SUM(AH21:AH23)</f>
        <v>3940.2160000000003</v>
      </c>
      <c r="AI27" s="877">
        <f t="shared" si="36"/>
        <v>23.434754052489009</v>
      </c>
      <c r="AJ27" s="487"/>
      <c r="AK27" s="487"/>
      <c r="AL27" s="864">
        <f>SUM(AL21:AL23)</f>
        <v>4203.6949999999997</v>
      </c>
      <c r="AM27" s="877">
        <f t="shared" si="37"/>
        <v>25.266568283027723</v>
      </c>
      <c r="AN27" s="487"/>
      <c r="AO27" s="487"/>
      <c r="AP27" s="864">
        <f>SUM(AP21:AP23)</f>
        <v>4650.3099999999995</v>
      </c>
      <c r="AQ27" s="877">
        <f t="shared" si="38"/>
        <v>25.813575402123451</v>
      </c>
      <c r="AR27" s="487"/>
      <c r="AS27" s="487"/>
      <c r="AT27" s="864">
        <f>SUM(AT21:AT23)</f>
        <v>5064.0859999999993</v>
      </c>
      <c r="AU27" s="877">
        <f t="shared" si="39"/>
        <v>25.830290459409404</v>
      </c>
      <c r="AV27" s="487"/>
      <c r="AW27" s="487"/>
      <c r="AX27" s="864">
        <f>SUM(AX21:AX23)</f>
        <v>5641.3159999999998</v>
      </c>
      <c r="AY27" s="877">
        <f t="shared" si="40"/>
        <v>24.785321519739384</v>
      </c>
      <c r="AZ27" s="487"/>
      <c r="BA27" s="487"/>
      <c r="BB27" s="864">
        <f>SUM(BB21:BB23)</f>
        <v>6357.7019999999993</v>
      </c>
      <c r="BC27" s="877">
        <f t="shared" si="41"/>
        <v>24.989292952603705</v>
      </c>
      <c r="BD27" s="487"/>
      <c r="BE27" s="487"/>
      <c r="BF27" s="864">
        <f>SUM(BF21:BF23)</f>
        <v>6989.0553333333337</v>
      </c>
      <c r="BG27" s="877">
        <f t="shared" si="42"/>
        <v>24.216038711501415</v>
      </c>
      <c r="BH27" s="487"/>
      <c r="BI27" s="487"/>
      <c r="BJ27" s="864">
        <f>SUM(BJ21:BJ23)</f>
        <v>8027.9206666666669</v>
      </c>
      <c r="BK27" s="877">
        <f t="shared" si="43"/>
        <v>24.153089576514709</v>
      </c>
      <c r="BL27" s="487"/>
      <c r="BM27" s="487"/>
      <c r="BN27" s="864">
        <f>SUM(BN21:BN23)</f>
        <v>8668.6459999999988</v>
      </c>
      <c r="BO27" s="877">
        <f t="shared" si="44"/>
        <v>23.567751592190469</v>
      </c>
      <c r="BP27" s="487"/>
      <c r="BQ27" s="487"/>
      <c r="BR27" s="864">
        <f>SUM(BR21:BR23)</f>
        <v>9291.2570000000014</v>
      </c>
      <c r="BS27" s="877">
        <f t="shared" si="45"/>
        <v>24.509553165140506</v>
      </c>
      <c r="BT27" s="487"/>
      <c r="BU27" s="487"/>
      <c r="BV27" s="864">
        <f>SUM(BV21:BV23)</f>
        <v>9870.4940000000006</v>
      </c>
      <c r="BW27" s="877">
        <f t="shared" si="46"/>
        <v>24.538067263568465</v>
      </c>
      <c r="BX27" s="487"/>
      <c r="BY27" s="487"/>
      <c r="BZ27" s="864">
        <f>SUM(BZ21:BZ23)</f>
        <v>10261.376</v>
      </c>
      <c r="CA27" s="877">
        <f t="shared" si="47"/>
        <v>24.656624188294998</v>
      </c>
      <c r="CB27" s="487"/>
      <c r="CC27" s="487"/>
      <c r="CD27" s="864">
        <f>SUM(CD21:CD23)</f>
        <v>10609.827000000001</v>
      </c>
      <c r="CE27" s="877">
        <f t="shared" si="48"/>
        <v>26.046906403131921</v>
      </c>
      <c r="CF27" s="487"/>
      <c r="CG27" s="487"/>
      <c r="CH27" s="864">
        <f>SUM(CH21:CH23)</f>
        <v>11374.288</v>
      </c>
      <c r="CI27" s="877">
        <f t="shared" si="49"/>
        <v>27.136785850160656</v>
      </c>
      <c r="CJ27" s="487"/>
      <c r="CK27" s="487"/>
      <c r="CL27" s="864">
        <f>SUM(CL21:CL23)</f>
        <v>11953.880000000001</v>
      </c>
      <c r="CM27" s="877">
        <f t="shared" si="50"/>
        <v>27.431153607340441</v>
      </c>
      <c r="CN27" s="487"/>
      <c r="CO27" s="487"/>
      <c r="CP27" s="864">
        <f>SUM(CP21:CP23)</f>
        <v>13006.874</v>
      </c>
      <c r="CQ27" s="877">
        <f t="shared" si="51"/>
        <v>28.354774597101184</v>
      </c>
      <c r="CR27" s="487"/>
      <c r="CS27" s="487"/>
      <c r="CT27" s="864">
        <f>SUM(CT21:CT23)</f>
        <v>13954.737000000001</v>
      </c>
      <c r="CU27" s="877">
        <f t="shared" si="52"/>
        <v>28.852851310771342</v>
      </c>
      <c r="CV27" s="487"/>
      <c r="CW27" s="794"/>
      <c r="CX27" s="864">
        <f>SUM(CX21:CX23)</f>
        <v>14817.485000000001</v>
      </c>
      <c r="CY27" s="877">
        <f t="shared" si="53"/>
        <v>28.674491276641977</v>
      </c>
      <c r="CZ27" s="487"/>
      <c r="DA27" s="794"/>
      <c r="DB27" s="864">
        <f>SUM(DB23:DB24)</f>
        <v>11895.091</v>
      </c>
      <c r="DC27" s="877">
        <f>((DB17-DB27)/DB17)*100</f>
        <v>28.838256786935766</v>
      </c>
      <c r="DD27" s="487"/>
      <c r="DE27" s="794"/>
      <c r="DF27" s="864">
        <f>SUM(DF23:DF24)</f>
        <v>12630.65</v>
      </c>
      <c r="DG27" s="877">
        <f>((DF17-DF27)/DF17)*100</f>
        <v>28.878812185253555</v>
      </c>
      <c r="DH27" s="487"/>
      <c r="DI27" s="794"/>
      <c r="DJ27" s="864">
        <f>SUM(DJ23:DJ24)</f>
        <v>13999.42</v>
      </c>
      <c r="DK27" s="877">
        <f>((DJ17-DJ27)/DJ17)*100</f>
        <v>29.019608638468704</v>
      </c>
      <c r="DL27" s="487"/>
      <c r="DM27" s="794"/>
      <c r="DN27" s="864">
        <f>SUM(DN23:DN24)</f>
        <v>14500.664658281599</v>
      </c>
      <c r="DO27" s="877">
        <f>((DN17-DN27)/DN17)*100</f>
        <v>28.949104689446635</v>
      </c>
      <c r="DP27" s="487"/>
      <c r="DQ27" s="794"/>
      <c r="DR27" s="1111"/>
      <c r="DS27" s="1110"/>
      <c r="DT27" s="794"/>
      <c r="DU27" s="794"/>
      <c r="DV27" s="794"/>
      <c r="DW27" s="794"/>
      <c r="DX27" s="893"/>
      <c r="DY27" s="794"/>
      <c r="DZ27" s="794"/>
      <c r="EA27" s="794"/>
      <c r="EB27" s="794"/>
    </row>
    <row r="28" spans="1:132" collapsed="1">
      <c r="A28" s="487"/>
      <c r="B28" s="487"/>
      <c r="C28" s="487"/>
      <c r="D28" s="487"/>
      <c r="E28" s="487"/>
      <c r="F28" s="487"/>
      <c r="G28" s="487"/>
      <c r="H28" s="487"/>
      <c r="I28" s="487"/>
      <c r="J28" s="487"/>
      <c r="K28" s="487"/>
      <c r="L28" s="487"/>
      <c r="M28" s="487"/>
      <c r="N28" s="487"/>
      <c r="O28" s="487"/>
      <c r="P28" s="487"/>
      <c r="Q28" s="487"/>
      <c r="R28" s="487"/>
      <c r="S28" s="487"/>
      <c r="T28" s="487"/>
      <c r="U28" s="487"/>
      <c r="V28" s="487"/>
      <c r="W28" s="487"/>
      <c r="X28" s="487"/>
      <c r="Y28" s="487"/>
      <c r="Z28" s="487"/>
      <c r="AA28" s="487"/>
      <c r="AB28" s="487"/>
      <c r="AC28" s="487"/>
      <c r="AD28" s="487"/>
      <c r="AE28" s="487"/>
      <c r="AF28" s="487"/>
      <c r="AG28" s="487"/>
      <c r="AH28" s="813"/>
      <c r="AI28" s="487"/>
      <c r="AJ28" s="487"/>
      <c r="AK28" s="487"/>
      <c r="AL28" s="487"/>
      <c r="AM28" s="487"/>
      <c r="AN28" s="487"/>
      <c r="AO28" s="487"/>
      <c r="AP28" s="894"/>
      <c r="AQ28" s="487"/>
      <c r="AR28" s="487"/>
      <c r="AS28" s="487"/>
      <c r="AT28" s="487"/>
      <c r="AU28" s="487"/>
      <c r="AV28" s="487"/>
      <c r="AW28" s="487"/>
      <c r="AX28" s="487"/>
      <c r="AY28" s="487"/>
      <c r="AZ28" s="487"/>
      <c r="BA28" s="487"/>
      <c r="BB28" s="487"/>
      <c r="BC28" s="487"/>
      <c r="BD28" s="487"/>
      <c r="BE28" s="487"/>
      <c r="BF28" s="487"/>
      <c r="BG28" s="487"/>
      <c r="BH28" s="487"/>
      <c r="BI28" s="487"/>
      <c r="BJ28" s="487"/>
      <c r="BK28" s="487"/>
      <c r="BL28" s="487"/>
      <c r="BM28" s="487"/>
      <c r="BN28" s="487"/>
      <c r="BO28" s="487"/>
      <c r="BP28" s="487"/>
      <c r="BQ28" s="487"/>
      <c r="BR28" s="487"/>
      <c r="BS28" s="891"/>
      <c r="BT28" s="487"/>
      <c r="BU28" s="487"/>
      <c r="BV28" s="895"/>
      <c r="BW28" s="487"/>
      <c r="BX28" s="487"/>
      <c r="BY28" s="487"/>
      <c r="BZ28" s="895"/>
      <c r="CA28" s="487"/>
      <c r="CB28" s="487"/>
      <c r="CC28" s="487"/>
      <c r="CD28" s="871"/>
      <c r="CE28" s="487"/>
      <c r="CF28" s="487"/>
      <c r="CG28" s="487"/>
      <c r="CH28" s="871"/>
      <c r="CI28" s="487"/>
      <c r="CJ28" s="487"/>
      <c r="CK28" s="487"/>
      <c r="CL28" s="864"/>
      <c r="CM28" s="487"/>
      <c r="CN28" s="487"/>
      <c r="CO28" s="487"/>
      <c r="CP28" s="864"/>
      <c r="CQ28" s="877"/>
      <c r="CR28" s="487"/>
      <c r="CS28" s="487"/>
      <c r="CT28" s="864"/>
      <c r="CU28" s="877"/>
      <c r="CV28" s="487"/>
      <c r="CW28" s="794"/>
      <c r="CX28" s="864"/>
      <c r="CY28" s="877"/>
      <c r="CZ28" s="487"/>
      <c r="DA28" s="794"/>
      <c r="DB28" s="864"/>
      <c r="DC28" s="877"/>
      <c r="DD28" s="487"/>
      <c r="DE28" s="794"/>
      <c r="DF28" s="864"/>
      <c r="DG28" s="877"/>
      <c r="DH28" s="487"/>
      <c r="DI28" s="794"/>
      <c r="DJ28" s="864"/>
      <c r="DK28" s="877"/>
      <c r="DL28" s="487"/>
      <c r="DM28" s="794"/>
      <c r="DN28" s="864"/>
      <c r="DO28" s="877"/>
      <c r="DP28" s="487"/>
      <c r="DQ28" s="794"/>
      <c r="DR28" s="1114"/>
      <c r="DS28" s="1110"/>
      <c r="DT28" s="794"/>
      <c r="DU28" s="794"/>
      <c r="DV28" s="794"/>
      <c r="DW28" s="794"/>
      <c r="DX28" s="842"/>
      <c r="DY28" s="794"/>
      <c r="DZ28" s="794"/>
      <c r="EA28" s="794"/>
      <c r="EB28" s="794"/>
    </row>
    <row r="29" spans="1:132">
      <c r="A29" s="487"/>
      <c r="B29" s="487"/>
      <c r="C29" s="807"/>
      <c r="D29" s="808"/>
      <c r="E29" s="809"/>
      <c r="F29" s="809" t="str">
        <f>Z29</f>
        <v>3.  Operating Expenses - Selling, General &amp; Administrative Expenses   (% of Sales)</v>
      </c>
      <c r="G29" s="811"/>
      <c r="H29" s="811"/>
      <c r="I29" s="811"/>
      <c r="J29" s="810"/>
      <c r="K29" s="811"/>
      <c r="L29" s="811"/>
      <c r="M29" s="811"/>
      <c r="N29" s="810"/>
      <c r="O29" s="811"/>
      <c r="P29" s="811"/>
      <c r="Q29" s="811"/>
      <c r="R29" s="810"/>
      <c r="S29" s="811"/>
      <c r="T29" s="811"/>
      <c r="U29" s="811"/>
      <c r="V29" s="810"/>
      <c r="W29" s="811"/>
      <c r="X29" s="811"/>
      <c r="Y29" s="487"/>
      <c r="Z29" s="810" t="s">
        <v>155</v>
      </c>
      <c r="AA29" s="811"/>
      <c r="AB29" s="811"/>
      <c r="AC29" s="811"/>
      <c r="AD29" s="810"/>
      <c r="AE29" s="811"/>
      <c r="AF29" s="811"/>
      <c r="AG29" s="811"/>
      <c r="AH29" s="810"/>
      <c r="AI29" s="811"/>
      <c r="AJ29" s="811"/>
      <c r="AK29" s="811"/>
      <c r="AL29" s="810"/>
      <c r="AM29" s="811"/>
      <c r="AN29" s="811"/>
      <c r="AO29" s="701"/>
      <c r="AP29" s="487"/>
      <c r="AQ29" s="811"/>
      <c r="AR29" s="811"/>
      <c r="AS29" s="811"/>
      <c r="AT29" s="487"/>
      <c r="AU29" s="812"/>
      <c r="AV29" s="812"/>
      <c r="AW29" s="812"/>
      <c r="AX29" s="812"/>
      <c r="AY29" s="812"/>
      <c r="AZ29" s="812"/>
      <c r="BA29" s="812"/>
      <c r="BB29" s="812"/>
      <c r="BC29" s="812"/>
      <c r="BD29" s="812"/>
      <c r="BE29" s="812"/>
      <c r="BF29" s="487"/>
      <c r="BG29" s="810"/>
      <c r="BH29" s="810"/>
      <c r="BI29" s="810"/>
      <c r="BJ29" s="810" t="s">
        <v>155</v>
      </c>
      <c r="BK29" s="810"/>
      <c r="BL29" s="810"/>
      <c r="BM29" s="810"/>
      <c r="BN29" s="810" t="s">
        <v>155</v>
      </c>
      <c r="BO29" s="810"/>
      <c r="BP29" s="810"/>
      <c r="BQ29" s="810"/>
      <c r="BR29" s="810"/>
      <c r="BS29" s="810"/>
      <c r="BT29" s="810"/>
      <c r="BU29" s="810"/>
      <c r="BV29" s="810"/>
      <c r="BW29" s="810"/>
      <c r="BX29" s="810"/>
      <c r="BY29" s="810"/>
      <c r="BZ29" s="810"/>
      <c r="CA29" s="810"/>
      <c r="CC29" s="810"/>
      <c r="CD29" s="810"/>
      <c r="CE29" s="810"/>
      <c r="CF29" s="810" t="str">
        <f>BN29</f>
        <v>3.  Operating Expenses - Selling, General &amp; Administrative Expenses   (% of Sales)</v>
      </c>
      <c r="CG29" s="810"/>
      <c r="CH29" s="810"/>
      <c r="CI29" s="810"/>
      <c r="CJ29" s="810"/>
      <c r="CK29" s="810"/>
      <c r="CL29" s="810"/>
      <c r="CM29" s="810"/>
      <c r="CN29" s="810"/>
      <c r="CO29" s="810"/>
      <c r="CP29" s="810"/>
      <c r="CQ29" s="810"/>
      <c r="CR29" s="810"/>
      <c r="CS29" s="810"/>
      <c r="CT29" s="810"/>
      <c r="CU29" s="810"/>
      <c r="CV29" s="810"/>
      <c r="CW29" s="804"/>
      <c r="CX29" s="810"/>
      <c r="CY29" s="810"/>
      <c r="CZ29" s="810"/>
      <c r="DA29" s="804"/>
      <c r="DB29" s="810" t="str">
        <f>CF29</f>
        <v>3.  Operating Expenses - Selling, General &amp; Administrative Expenses   (% of Sales)</v>
      </c>
      <c r="DC29" s="810"/>
      <c r="DD29" s="810"/>
      <c r="DE29" s="804"/>
      <c r="DF29" s="810"/>
      <c r="DG29" s="810"/>
      <c r="DH29" s="810"/>
      <c r="DI29" s="804"/>
      <c r="DJ29" s="810"/>
      <c r="DK29" s="810"/>
      <c r="DL29" s="810"/>
      <c r="DM29" s="804"/>
      <c r="DN29" s="810"/>
      <c r="DO29" s="810"/>
      <c r="DP29" s="810"/>
      <c r="DQ29" s="794"/>
      <c r="DR29" s="1115"/>
      <c r="DS29" s="1110"/>
      <c r="DT29" s="794"/>
      <c r="DU29" s="794"/>
      <c r="DV29" s="794"/>
      <c r="DW29" s="794"/>
      <c r="DX29" s="794"/>
      <c r="DY29" s="794"/>
      <c r="DZ29" s="794"/>
      <c r="EA29" s="794"/>
      <c r="EB29" s="794"/>
    </row>
    <row r="30" spans="1:132">
      <c r="A30" s="487"/>
      <c r="B30" s="487"/>
      <c r="C30" s="487"/>
      <c r="D30" s="487"/>
      <c r="E30" s="487"/>
      <c r="F30" s="487"/>
      <c r="G30" s="487"/>
      <c r="H30" s="487"/>
      <c r="I30" s="487"/>
      <c r="J30" s="487"/>
      <c r="K30" s="487"/>
      <c r="L30" s="487"/>
      <c r="M30" s="487"/>
      <c r="N30" s="487"/>
      <c r="O30" s="487"/>
      <c r="P30" s="487"/>
      <c r="Q30" s="487"/>
      <c r="R30" s="487"/>
      <c r="S30" s="487"/>
      <c r="T30" s="487"/>
      <c r="U30" s="487"/>
      <c r="V30" s="487"/>
      <c r="W30" s="487"/>
      <c r="X30" s="487"/>
      <c r="Y30" s="487"/>
      <c r="Z30" s="487"/>
      <c r="AA30" s="487"/>
      <c r="AB30" s="487"/>
      <c r="AC30" s="487"/>
      <c r="AD30" s="487"/>
      <c r="AE30" s="487"/>
      <c r="AF30" s="487"/>
      <c r="AG30" s="487"/>
      <c r="AH30" s="487"/>
      <c r="AI30" s="487"/>
      <c r="AJ30" s="487"/>
      <c r="AK30" s="487"/>
      <c r="AL30" s="487"/>
      <c r="AM30" s="487"/>
      <c r="AN30" s="487"/>
      <c r="AO30" s="487"/>
      <c r="AP30" s="487"/>
      <c r="AQ30" s="487"/>
      <c r="AR30" s="487"/>
      <c r="AS30" s="487"/>
      <c r="AT30" s="487"/>
      <c r="AU30" s="487"/>
      <c r="AV30" s="487"/>
      <c r="AW30" s="487"/>
      <c r="AX30" s="487"/>
      <c r="AY30" s="487"/>
      <c r="AZ30" s="487"/>
      <c r="BA30" s="487"/>
      <c r="BB30" s="487"/>
      <c r="BC30" s="487"/>
      <c r="BD30" s="487"/>
      <c r="BE30" s="487"/>
      <c r="BF30" s="487"/>
      <c r="BG30" s="845"/>
      <c r="BH30" s="487"/>
      <c r="BI30" s="487"/>
      <c r="BJ30" s="487"/>
      <c r="BK30" s="487"/>
      <c r="BL30" s="487"/>
      <c r="BM30" s="487"/>
      <c r="BN30" s="487"/>
      <c r="BO30" s="487"/>
      <c r="BP30" s="487"/>
      <c r="BQ30" s="487"/>
      <c r="BR30" s="487"/>
      <c r="BS30" s="896"/>
      <c r="BT30" s="812"/>
      <c r="BU30" s="812"/>
      <c r="BV30" s="805"/>
      <c r="BW30" s="487"/>
      <c r="BX30" s="487"/>
      <c r="BY30" s="487"/>
      <c r="BZ30" s="805"/>
      <c r="CA30" s="867"/>
      <c r="CB30" s="487"/>
      <c r="CC30" s="487"/>
      <c r="CD30" s="805"/>
      <c r="CE30" s="897"/>
      <c r="CF30" s="487"/>
      <c r="CG30" s="487"/>
      <c r="CH30" s="805"/>
      <c r="CI30" s="898"/>
      <c r="CJ30" s="487"/>
      <c r="CK30" s="487"/>
      <c r="CL30" s="805"/>
      <c r="CM30" s="898"/>
      <c r="CN30" s="487"/>
      <c r="CO30" s="487"/>
      <c r="CP30" s="805"/>
      <c r="CQ30" s="898"/>
      <c r="CR30" s="487"/>
      <c r="CS30" s="487"/>
      <c r="CT30" s="805"/>
      <c r="CU30" s="898"/>
      <c r="CV30" s="487"/>
      <c r="CW30" s="804"/>
      <c r="CX30" s="805"/>
      <c r="CY30" s="898"/>
      <c r="CZ30" s="487"/>
      <c r="DA30" s="804"/>
      <c r="DB30" s="805"/>
      <c r="DC30" s="898"/>
      <c r="DD30" s="487"/>
      <c r="DE30" s="804"/>
      <c r="DF30" s="805"/>
      <c r="DG30" s="898"/>
      <c r="DH30" s="487"/>
      <c r="DI30" s="804"/>
      <c r="DJ30" s="805"/>
      <c r="DK30" s="898"/>
      <c r="DL30" s="487"/>
      <c r="DM30" s="804"/>
      <c r="DN30" s="805"/>
      <c r="DO30" s="898"/>
      <c r="DP30" s="487"/>
      <c r="DQ30" s="794"/>
      <c r="DR30" s="1103"/>
      <c r="DS30" s="1104"/>
      <c r="DT30" s="794"/>
      <c r="DU30" s="794"/>
      <c r="DV30" s="794"/>
      <c r="DW30" s="794"/>
      <c r="DX30" s="794"/>
      <c r="DY30" s="794"/>
      <c r="DZ30" s="794"/>
      <c r="EA30" s="794"/>
      <c r="EB30" s="794"/>
    </row>
    <row r="31" spans="1:132">
      <c r="A31" s="487" t="str">
        <f>$A$10</f>
        <v>1Q</v>
      </c>
      <c r="B31" s="487" t="str">
        <f>$B$10</f>
        <v>Apr</v>
      </c>
      <c r="C31" s="487"/>
      <c r="D31" s="814"/>
      <c r="E31" s="487"/>
      <c r="F31" s="814">
        <v>92.161000000000001</v>
      </c>
      <c r="G31" s="877">
        <f t="shared" ref="G31:G37" si="57">F31/F10*100</f>
        <v>17.938636359212627</v>
      </c>
      <c r="H31" s="783"/>
      <c r="I31" s="487"/>
      <c r="J31" s="814">
        <v>112.947</v>
      </c>
      <c r="K31" s="877">
        <f t="shared" ref="K31:K37" si="58">J31/J10*100</f>
        <v>18.721810867392353</v>
      </c>
      <c r="L31" s="783"/>
      <c r="M31" s="487"/>
      <c r="N31" s="814">
        <v>129.941</v>
      </c>
      <c r="O31" s="877">
        <f t="shared" ref="O31:O37" si="59">N31/N10*100</f>
        <v>19.367094078877749</v>
      </c>
      <c r="P31" s="783"/>
      <c r="Q31" s="487"/>
      <c r="R31" s="821">
        <v>102.857</v>
      </c>
      <c r="S31" s="877">
        <f t="shared" ref="S31:S37" si="60">R31/R10*100</f>
        <v>17.323575976016436</v>
      </c>
      <c r="T31" s="783"/>
      <c r="U31" s="487"/>
      <c r="V31" s="821">
        <v>115.13800000000001</v>
      </c>
      <c r="W31" s="877">
        <f t="shared" ref="W31:W37" si="61">V31/V10*100</f>
        <v>17.620610074866704</v>
      </c>
      <c r="X31" s="783"/>
      <c r="Y31" s="487"/>
      <c r="Z31" s="821">
        <v>127.869</v>
      </c>
      <c r="AA31" s="877">
        <f t="shared" ref="AA31:AA37" si="62">Z31/Z10*100</f>
        <v>17.913364592424692</v>
      </c>
      <c r="AB31" s="783">
        <f t="shared" ref="AB31:AB37" si="63">IF(V31&lt;0,"       NM",(Z31/V31-1)*100)</f>
        <v>11.05716618318886</v>
      </c>
      <c r="AC31" s="487"/>
      <c r="AD31" s="820">
        <v>251.15100000000001</v>
      </c>
      <c r="AE31" s="877">
        <f t="shared" ref="AE31:AE37" si="64">AD31/AD10*100</f>
        <v>17.059026100919205</v>
      </c>
      <c r="AF31" s="783">
        <f t="shared" ref="AF31:AF37" si="65">IF(Z31&lt;0,"       NM",(AD31/Z31-1)*100)</f>
        <v>96.412734908382802</v>
      </c>
      <c r="AG31" s="487"/>
      <c r="AH31" s="820">
        <v>273.738</v>
      </c>
      <c r="AI31" s="877">
        <f t="shared" ref="AI31:AI37" si="66">AH31/AH10*100</f>
        <v>17.545620613402559</v>
      </c>
      <c r="AJ31" s="783">
        <f t="shared" ref="AJ31:AJ37" si="67">(AH31/AD31-1)*100</f>
        <v>8.9933944121265661</v>
      </c>
      <c r="AK31" s="487"/>
      <c r="AL31" s="821">
        <v>299.83499999999998</v>
      </c>
      <c r="AM31" s="877">
        <f t="shared" ref="AM31:AM37" si="68">AL31/AL10*100</f>
        <v>17.096812084746496</v>
      </c>
      <c r="AN31" s="783">
        <f t="shared" ref="AN31:AN37" si="69">(AL31/AH31-1)*100</f>
        <v>9.5335685947877113</v>
      </c>
      <c r="AO31" s="735"/>
      <c r="AP31" s="821">
        <v>310.67599999999999</v>
      </c>
      <c r="AQ31" s="877">
        <f t="shared" ref="AQ31:AQ37" si="70">AP31/AP10*100</f>
        <v>16.092982875992096</v>
      </c>
      <c r="AR31" s="783">
        <f t="shared" ref="AR31:AR37" si="71">(AP31/AL31-1)*100</f>
        <v>3.6156552770690631</v>
      </c>
      <c r="AS31" s="487"/>
      <c r="AT31" s="821">
        <v>337.95699999999999</v>
      </c>
      <c r="AU31" s="877">
        <f t="shared" ref="AU31:AU37" si="72">AT31/AT10*100</f>
        <v>16.031233575382</v>
      </c>
      <c r="AV31" s="783">
        <f t="shared" ref="AV31:AV37" si="73">(AT31/AP31-1)*100</f>
        <v>8.7811739561472368</v>
      </c>
      <c r="AW31" s="487"/>
      <c r="AX31" s="821">
        <v>380.27100000000002</v>
      </c>
      <c r="AY31" s="877">
        <f t="shared" ref="AY31:AY37" si="74">AX31/AX10*100</f>
        <v>16.745424160958567</v>
      </c>
      <c r="AZ31" s="783">
        <f t="shared" ref="AZ31:AZ37" si="75">(AX31/AT31-1)*100</f>
        <v>12.520527759448697</v>
      </c>
      <c r="BA31" s="487"/>
      <c r="BB31" s="814">
        <v>433.01600000000002</v>
      </c>
      <c r="BC31" s="877">
        <f t="shared" ref="BC31:BC37" si="76">BB31/BB10*100</f>
        <v>16.244067664358194</v>
      </c>
      <c r="BD31" s="783">
        <f t="shared" ref="BD31:BD37" si="77">(BB31/AX31-1)*100</f>
        <v>13.870371393032865</v>
      </c>
      <c r="BE31" s="487"/>
      <c r="BF31" s="814">
        <f>482.891+0.666666666666667*BF41</f>
        <v>495.97966666666667</v>
      </c>
      <c r="BG31" s="877">
        <f t="shared" ref="BG31:BG37" si="78">BF31/BF10*100</f>
        <v>17.785304170454268</v>
      </c>
      <c r="BH31" s="783">
        <f t="shared" ref="BH31:BH37" si="79">(BF31/BB31-1)*100</f>
        <v>14.540725207998474</v>
      </c>
      <c r="BI31" s="487"/>
      <c r="BJ31" s="814">
        <f>553.474+0.666666666666667*BJ41</f>
        <v>568.12666666666667</v>
      </c>
      <c r="BK31" s="877">
        <f t="shared" ref="BK31:BK37" si="80">BJ31/BJ10*100</f>
        <v>16.945160526061741</v>
      </c>
      <c r="BL31" s="783">
        <f t="shared" ref="BL31:BL37" si="81">(BJ31/BF31-1)*100</f>
        <v>14.546362451686523</v>
      </c>
      <c r="BM31" s="487"/>
      <c r="BN31" s="814">
        <v>637.245</v>
      </c>
      <c r="BO31" s="877">
        <f t="shared" ref="BO31:BO37" si="82">BN31/BN10*100</f>
        <v>17.450018210048114</v>
      </c>
      <c r="BP31" s="783">
        <f t="shared" ref="BP31:BP37" si="83">(BN31/BJ31-1)*100</f>
        <v>12.166007580469152</v>
      </c>
      <c r="BQ31" s="877"/>
      <c r="BR31" s="814">
        <f>689.545-(689.545-684.166)</f>
        <v>684.16600000000005</v>
      </c>
      <c r="BS31" s="877">
        <f t="shared" ref="BS31:BS37" si="84">BR31/BR10*100</f>
        <v>17.672972285997105</v>
      </c>
      <c r="BT31" s="783">
        <f t="shared" ref="BT31:BT37" si="85">(BR31/BN31-1)*100</f>
        <v>7.3631021035865496</v>
      </c>
      <c r="BU31" s="880"/>
      <c r="BV31" s="814">
        <f>729.281-20.004-3.27</f>
        <v>706.00699999999995</v>
      </c>
      <c r="BW31" s="877">
        <f t="shared" ref="BW31:BW37" si="86">BV31/BV10*100</f>
        <v>17.18581011426016</v>
      </c>
      <c r="BX31" s="783">
        <f t="shared" ref="BX31:BX37" si="87">(BV31/BR31-1)*100</f>
        <v>3.192353902415479</v>
      </c>
      <c r="BY31" s="783"/>
      <c r="BZ31" s="860">
        <v>728.38599999999997</v>
      </c>
      <c r="CA31" s="877">
        <f t="shared" ref="CA31:CA37" si="88">BZ31/BZ10*100</f>
        <v>16.92521647800481</v>
      </c>
      <c r="CB31" s="783">
        <f t="shared" ref="CB31:CB37" si="89">(BZ31/BV31-1)*100</f>
        <v>3.1697985997306111</v>
      </c>
      <c r="CC31" s="783"/>
      <c r="CD31" s="860">
        <v>735.05700000000002</v>
      </c>
      <c r="CE31" s="877">
        <f t="shared" ref="CE31:CE37" si="90">CD31/CD10*100</f>
        <v>16.881469579883809</v>
      </c>
      <c r="CF31" s="783">
        <f t="shared" ref="CF31:CF37" si="91">(CD31/BZ31-1)*100</f>
        <v>0.91586054646850545</v>
      </c>
      <c r="CG31" s="783"/>
      <c r="CH31" s="860">
        <v>821.36300000000006</v>
      </c>
      <c r="CI31" s="877">
        <f t="shared" ref="CI31:CI37" si="92">CH31/CH10*100</f>
        <v>16.373097792502403</v>
      </c>
      <c r="CJ31" s="783">
        <f t="shared" ref="CJ31:CJ37" si="93">(CH31/CD31-1)*100</f>
        <v>11.741402367435461</v>
      </c>
      <c r="CK31" s="783"/>
      <c r="CL31" s="860">
        <f>954.474-62</f>
        <v>892.47400000000005</v>
      </c>
      <c r="CM31" s="877">
        <f t="shared" ref="CM31:CM37" si="94">CL31/CL10*100</f>
        <v>17.126514997123433</v>
      </c>
      <c r="CN31" s="783">
        <f t="shared" ref="CN31:CN37" si="95">(CL31/CH31-1)*100</f>
        <v>8.6576824132569961</v>
      </c>
      <c r="CO31" s="783"/>
      <c r="CP31" s="860">
        <v>942.12599999999998</v>
      </c>
      <c r="CQ31" s="877">
        <f t="shared" ref="CQ31:CQ37" si="96">CP31/CP10*100</f>
        <v>16.248913865713615</v>
      </c>
      <c r="CR31" s="783">
        <f t="shared" ref="CR31:CR37" si="97">(CP31/CL31-1)*100</f>
        <v>5.5634113710875566</v>
      </c>
      <c r="CS31" s="783"/>
      <c r="CT31" s="860">
        <v>1018.909</v>
      </c>
      <c r="CU31" s="877">
        <f t="shared" ref="CU31:CU37" si="98">CT31/CT10*100</f>
        <v>16.461605248409068</v>
      </c>
      <c r="CV31" s="783">
        <f t="shared" ref="CV31:CV37" si="99">(CT31/CP31-1)*100</f>
        <v>8.1499714475558491</v>
      </c>
      <c r="CW31" s="899"/>
      <c r="CX31" s="860">
        <v>1073.05</v>
      </c>
      <c r="CY31" s="877">
        <f t="shared" ref="CY31:CY37" si="100">CX31/CX10*100</f>
        <v>16.530902874918198</v>
      </c>
      <c r="CZ31" s="783">
        <f t="shared" ref="CZ31:CZ37" si="101">(CX31/CT31-1)*100</f>
        <v>5.3136246710942636</v>
      </c>
      <c r="DA31" s="899"/>
      <c r="DB31" s="860">
        <v>1168.6569999999999</v>
      </c>
      <c r="DC31" s="877">
        <f t="shared" ref="DC31:DC36" si="102">DB31/DB10*100</f>
        <v>17.021829147098806</v>
      </c>
      <c r="DD31" s="783">
        <f t="shared" ref="DD31:DD37" si="103">(DB31/CX31-1)*100</f>
        <v>8.9098364475094236</v>
      </c>
      <c r="DE31" s="899"/>
      <c r="DF31" s="860">
        <v>1335.05</v>
      </c>
      <c r="DG31" s="877">
        <f t="shared" ref="DG31:DG36" si="104">DF31/DF10*100</f>
        <v>17.700702539100515</v>
      </c>
      <c r="DH31" s="783">
        <f t="shared" ref="DH31:DH37" si="105">(DF31/DB31-1)*100</f>
        <v>14.237967170863651</v>
      </c>
      <c r="DI31" s="899"/>
      <c r="DJ31" s="860">
        <v>1411.6030000000001</v>
      </c>
      <c r="DK31" s="877">
        <f t="shared" ref="DK31:DK36" si="106">DJ31/DJ10*100</f>
        <v>18.134617776101411</v>
      </c>
      <c r="DL31" s="783">
        <f t="shared" ref="DL31:DL37" si="107">(DJ31/DF31-1)*100</f>
        <v>5.7340923560915469</v>
      </c>
      <c r="DM31" s="899"/>
      <c r="DN31" s="859">
        <f>DJ31*(1+DP31%)</f>
        <v>1552.7633000000003</v>
      </c>
      <c r="DO31" s="877">
        <f t="shared" ref="DO31:DO36" si="108">DN31/DN10*100</f>
        <v>18.250704809090227</v>
      </c>
      <c r="DP31" s="900">
        <v>10</v>
      </c>
      <c r="DQ31" s="883"/>
      <c r="DR31" s="1103">
        <f>DL31+DH31</f>
        <v>19.972059526955199</v>
      </c>
      <c r="DS31" s="1104">
        <f>DL31+DH31+DD31</f>
        <v>28.881895974464623</v>
      </c>
      <c r="DT31" s="794"/>
      <c r="DU31" s="794"/>
      <c r="DV31" s="794"/>
      <c r="DW31" s="794"/>
      <c r="DX31" s="794"/>
      <c r="DY31" s="794"/>
      <c r="DZ31" s="794"/>
      <c r="EA31" s="794"/>
      <c r="EB31" s="794"/>
    </row>
    <row r="32" spans="1:132">
      <c r="A32" s="487" t="str">
        <f>$A$11</f>
        <v>2Q</v>
      </c>
      <c r="B32" s="487" t="str">
        <f>$B$11</f>
        <v>Jul</v>
      </c>
      <c r="C32" s="487"/>
      <c r="D32" s="831"/>
      <c r="E32" s="487"/>
      <c r="F32" s="831">
        <v>102.491</v>
      </c>
      <c r="G32" s="877">
        <f t="shared" si="57"/>
        <v>17.902983510340974</v>
      </c>
      <c r="H32" s="783"/>
      <c r="I32" s="487"/>
      <c r="J32" s="831">
        <v>118.48699999999999</v>
      </c>
      <c r="K32" s="877">
        <f t="shared" si="58"/>
        <v>18.242998769809677</v>
      </c>
      <c r="L32" s="783"/>
      <c r="M32" s="487"/>
      <c r="N32" s="831">
        <v>137.91999999999999</v>
      </c>
      <c r="O32" s="877">
        <f t="shared" si="59"/>
        <v>18.300951936116512</v>
      </c>
      <c r="P32" s="783"/>
      <c r="Q32" s="487"/>
      <c r="R32" s="836">
        <v>110.099</v>
      </c>
      <c r="S32" s="877">
        <f t="shared" si="60"/>
        <v>16.953357056956715</v>
      </c>
      <c r="T32" s="783"/>
      <c r="U32" s="487"/>
      <c r="V32" s="836">
        <v>125.636</v>
      </c>
      <c r="W32" s="877">
        <f t="shared" si="61"/>
        <v>18.212101488876549</v>
      </c>
      <c r="X32" s="783"/>
      <c r="Y32" s="487"/>
      <c r="Z32" s="836">
        <v>134.05799999999999</v>
      </c>
      <c r="AA32" s="877">
        <f t="shared" si="62"/>
        <v>17.608095168669049</v>
      </c>
      <c r="AB32" s="783">
        <f t="shared" si="63"/>
        <v>6.7034926295010955</v>
      </c>
      <c r="AC32" s="487"/>
      <c r="AD32" s="834">
        <v>257.91399999999999</v>
      </c>
      <c r="AE32" s="877">
        <f t="shared" si="64"/>
        <v>16.658323962592821</v>
      </c>
      <c r="AF32" s="783">
        <f t="shared" si="65"/>
        <v>92.389861104894891</v>
      </c>
      <c r="AG32" s="487"/>
      <c r="AH32" s="834">
        <v>283.78800000000001</v>
      </c>
      <c r="AI32" s="877">
        <f t="shared" si="66"/>
        <v>16.709413485384829</v>
      </c>
      <c r="AJ32" s="783">
        <f t="shared" si="67"/>
        <v>10.03202617926906</v>
      </c>
      <c r="AK32" s="487"/>
      <c r="AL32" s="836">
        <v>303.33199999999999</v>
      </c>
      <c r="AM32" s="877">
        <f t="shared" si="68"/>
        <v>16.24121631896033</v>
      </c>
      <c r="AN32" s="783">
        <f t="shared" si="69"/>
        <v>6.8868310147011114</v>
      </c>
      <c r="AO32" s="487"/>
      <c r="AP32" s="836">
        <v>330.48099999999999</v>
      </c>
      <c r="AQ32" s="877">
        <f t="shared" si="70"/>
        <v>15.715854332998392</v>
      </c>
      <c r="AR32" s="783">
        <f t="shared" si="71"/>
        <v>8.9502591220181227</v>
      </c>
      <c r="AS32" s="487"/>
      <c r="AT32" s="836">
        <v>364.47399999999999</v>
      </c>
      <c r="AU32" s="877">
        <f t="shared" si="72"/>
        <v>16.140208859016177</v>
      </c>
      <c r="AV32" s="783">
        <f t="shared" si="73"/>
        <v>10.285916588245625</v>
      </c>
      <c r="AW32" s="487"/>
      <c r="AX32" s="836">
        <v>406.44200000000001</v>
      </c>
      <c r="AY32" s="877">
        <f t="shared" si="74"/>
        <v>16.338575555289349</v>
      </c>
      <c r="AZ32" s="783">
        <f t="shared" si="75"/>
        <v>11.514675943963093</v>
      </c>
      <c r="BA32" s="487"/>
      <c r="BB32" s="831">
        <v>469.52800000000002</v>
      </c>
      <c r="BC32" s="877">
        <f t="shared" si="76"/>
        <v>16.980574585483506</v>
      </c>
      <c r="BD32" s="783">
        <f t="shared" si="77"/>
        <v>15.521525826563209</v>
      </c>
      <c r="BE32" s="487"/>
      <c r="BF32" s="901">
        <f>510.818+0.666666666666667*BF42</f>
        <v>523.89599999999996</v>
      </c>
      <c r="BG32" s="877">
        <f t="shared" si="78"/>
        <v>17.198435813463661</v>
      </c>
      <c r="BH32" s="783">
        <f t="shared" si="79"/>
        <v>11.579288136170774</v>
      </c>
      <c r="BI32" s="487"/>
      <c r="BJ32" s="831">
        <f>584.751+0.666666666666667*BJ42</f>
        <v>598.74099999999999</v>
      </c>
      <c r="BK32" s="877">
        <f t="shared" si="80"/>
        <v>17.536340676691797</v>
      </c>
      <c r="BL32" s="783">
        <f t="shared" si="81"/>
        <v>14.286232381999486</v>
      </c>
      <c r="BM32" s="487"/>
      <c r="BN32" s="831">
        <f>652.143</f>
        <v>652.14300000000003</v>
      </c>
      <c r="BO32" s="877">
        <f t="shared" si="82"/>
        <v>17.877383653895183</v>
      </c>
      <c r="BP32" s="783">
        <f t="shared" si="83"/>
        <v>8.9190484700396375</v>
      </c>
      <c r="BQ32" s="877"/>
      <c r="BR32" s="831">
        <v>693.26400000000001</v>
      </c>
      <c r="BS32" s="877">
        <f t="shared" si="84"/>
        <v>17.490505616149118</v>
      </c>
      <c r="BT32" s="783">
        <f t="shared" si="85"/>
        <v>6.3055188815949847</v>
      </c>
      <c r="BU32" s="880"/>
      <c r="BV32" s="831">
        <f>944.969-195.918-1.75</f>
        <v>747.30100000000004</v>
      </c>
      <c r="BW32" s="877">
        <f t="shared" si="86"/>
        <v>17.325512867416069</v>
      </c>
      <c r="BX32" s="783">
        <f t="shared" si="87"/>
        <v>7.7945775346765389</v>
      </c>
      <c r="BY32" s="783"/>
      <c r="BZ32" s="831">
        <v>766.93600000000004</v>
      </c>
      <c r="CA32" s="877">
        <f t="shared" si="88"/>
        <v>16.839470445580588</v>
      </c>
      <c r="CB32" s="783">
        <f t="shared" si="89"/>
        <v>2.6274553359355801</v>
      </c>
      <c r="CC32" s="783"/>
      <c r="CD32" s="831">
        <v>790.87599999999998</v>
      </c>
      <c r="CE32" s="877">
        <f t="shared" si="90"/>
        <v>16.658690585921768</v>
      </c>
      <c r="CF32" s="783">
        <f t="shared" si="91"/>
        <v>3.1215120948814512</v>
      </c>
      <c r="CG32" s="783"/>
      <c r="CH32" s="831">
        <v>853.80100000000004</v>
      </c>
      <c r="CI32" s="877">
        <f t="shared" si="92"/>
        <v>16.846636201480642</v>
      </c>
      <c r="CJ32" s="783">
        <f t="shared" si="93"/>
        <v>7.95636736985319</v>
      </c>
      <c r="CK32" s="783"/>
      <c r="CL32" s="831">
        <v>923.69299999999998</v>
      </c>
      <c r="CM32" s="877">
        <f t="shared" si="94"/>
        <v>16.891856552908649</v>
      </c>
      <c r="CN32" s="783">
        <f t="shared" si="95"/>
        <v>8.1859824479006082</v>
      </c>
      <c r="CO32" s="783"/>
      <c r="CP32" s="902">
        <v>978.51400000000001</v>
      </c>
      <c r="CQ32" s="877">
        <f t="shared" si="96"/>
        <v>16.457897398713897</v>
      </c>
      <c r="CR32" s="783">
        <f t="shared" si="97"/>
        <v>5.9349805617234352</v>
      </c>
      <c r="CS32" s="783"/>
      <c r="CT32" s="902">
        <v>1074.32</v>
      </c>
      <c r="CU32" s="877">
        <f t="shared" si="98"/>
        <v>16.675710881494293</v>
      </c>
      <c r="CV32" s="783">
        <f t="shared" si="99"/>
        <v>9.7909687546626767</v>
      </c>
      <c r="CW32" s="899"/>
      <c r="CX32" s="902">
        <v>1122.758</v>
      </c>
      <c r="CY32" s="877">
        <f t="shared" si="100"/>
        <v>16.231366047476932</v>
      </c>
      <c r="CZ32" s="783">
        <f t="shared" si="101"/>
        <v>4.5087124878993246</v>
      </c>
      <c r="DA32" s="899"/>
      <c r="DB32" s="902">
        <v>1247.538</v>
      </c>
      <c r="DC32" s="877">
        <f t="shared" si="102"/>
        <v>16.941656342416636</v>
      </c>
      <c r="DD32" s="783">
        <f t="shared" si="103"/>
        <v>11.113703932637309</v>
      </c>
      <c r="DE32" s="899"/>
      <c r="DF32" s="902">
        <v>1393.248</v>
      </c>
      <c r="DG32" s="877">
        <f t="shared" si="104"/>
        <v>17.676206947606161</v>
      </c>
      <c r="DH32" s="783">
        <f t="shared" si="105"/>
        <v>11.679804543027949</v>
      </c>
      <c r="DI32" s="899"/>
      <c r="DJ32" s="2052">
        <v>1483.6479999999999</v>
      </c>
      <c r="DK32" s="877">
        <f t="shared" si="106"/>
        <v>17.75186953348409</v>
      </c>
      <c r="DL32" s="783">
        <f t="shared" si="107"/>
        <v>6.4884356553894129</v>
      </c>
      <c r="DM32" s="899"/>
      <c r="DN32" s="841">
        <f>DJ32*(1+DP32%)</f>
        <v>1580.0851199999997</v>
      </c>
      <c r="DO32" s="877">
        <f t="shared" si="108"/>
        <v>17.704031932924511</v>
      </c>
      <c r="DP32" s="900">
        <v>6.5</v>
      </c>
      <c r="DQ32" s="883"/>
      <c r="DR32" s="1103">
        <f>DL32+DH32</f>
        <v>18.168240198417362</v>
      </c>
      <c r="DS32" s="1104">
        <f>DL32+DH32+DD32</f>
        <v>29.281944131054672</v>
      </c>
      <c r="DT32" s="794"/>
      <c r="DU32" s="794"/>
      <c r="DV32" s="794"/>
      <c r="DW32" s="794"/>
      <c r="DX32" s="794"/>
      <c r="DY32" s="794"/>
      <c r="DZ32" s="794"/>
      <c r="EA32" s="794"/>
      <c r="EB32" s="794"/>
    </row>
    <row r="33" spans="1:132">
      <c r="A33" s="487" t="str">
        <f>$A$12</f>
        <v>3Q</v>
      </c>
      <c r="B33" s="487" t="str">
        <f>$B$12</f>
        <v>Oct</v>
      </c>
      <c r="C33" s="487"/>
      <c r="D33" s="831"/>
      <c r="E33" s="487"/>
      <c r="F33" s="831">
        <v>106.721</v>
      </c>
      <c r="G33" s="877">
        <f t="shared" si="57"/>
        <v>16.520790117341093</v>
      </c>
      <c r="H33" s="783"/>
      <c r="I33" s="487"/>
      <c r="J33" s="831">
        <v>123.05800000000001</v>
      </c>
      <c r="K33" s="877">
        <f t="shared" si="58"/>
        <v>17.448377852989427</v>
      </c>
      <c r="L33" s="783"/>
      <c r="M33" s="487"/>
      <c r="N33" s="831">
        <v>149.196</v>
      </c>
      <c r="O33" s="877">
        <f t="shared" si="59"/>
        <v>17.78014005215012</v>
      </c>
      <c r="P33" s="783"/>
      <c r="Q33" s="487"/>
      <c r="R33" s="836">
        <v>118.913</v>
      </c>
      <c r="S33" s="877">
        <f t="shared" si="60"/>
        <v>15.792884814855643</v>
      </c>
      <c r="T33" s="783"/>
      <c r="U33" s="487"/>
      <c r="V33" s="836">
        <v>131.07900000000001</v>
      </c>
      <c r="W33" s="877">
        <f t="shared" si="61"/>
        <v>16.310397646745546</v>
      </c>
      <c r="X33" s="783"/>
      <c r="Y33" s="487"/>
      <c r="Z33" s="834">
        <v>145.64400000000001</v>
      </c>
      <c r="AA33" s="877">
        <f t="shared" si="62"/>
        <v>16.911476125562285</v>
      </c>
      <c r="AB33" s="783">
        <f t="shared" si="63"/>
        <v>11.111619710251075</v>
      </c>
      <c r="AC33" s="487"/>
      <c r="AD33" s="834">
        <v>266.91800000000001</v>
      </c>
      <c r="AE33" s="877">
        <f t="shared" si="64"/>
        <v>15.49660392387727</v>
      </c>
      <c r="AF33" s="783">
        <f t="shared" si="65"/>
        <v>83.267419186509571</v>
      </c>
      <c r="AG33" s="487"/>
      <c r="AH33" s="836">
        <v>287.20499999999998</v>
      </c>
      <c r="AI33" s="877">
        <f t="shared" si="66"/>
        <v>15.21456292267089</v>
      </c>
      <c r="AJ33" s="783">
        <f t="shared" si="67"/>
        <v>7.6004615649750029</v>
      </c>
      <c r="AK33" s="487"/>
      <c r="AL33" s="836">
        <v>322.53100000000001</v>
      </c>
      <c r="AM33" s="877">
        <f t="shared" si="68"/>
        <v>16.098353733435889</v>
      </c>
      <c r="AN33" s="783">
        <f t="shared" si="69"/>
        <v>12.299925140579028</v>
      </c>
      <c r="AO33" s="487"/>
      <c r="AP33" s="836">
        <v>338.31900000000002</v>
      </c>
      <c r="AQ33" s="877">
        <f t="shared" si="70"/>
        <v>15.136949711282144</v>
      </c>
      <c r="AR33" s="783">
        <f t="shared" si="71"/>
        <v>4.8950333456319051</v>
      </c>
      <c r="AS33" s="487"/>
      <c r="AT33" s="836">
        <v>385.666</v>
      </c>
      <c r="AU33" s="877">
        <f t="shared" si="72"/>
        <v>15.668492584131622</v>
      </c>
      <c r="AV33" s="783">
        <f t="shared" si="73"/>
        <v>13.994780074426782</v>
      </c>
      <c r="AW33" s="487"/>
      <c r="AX33" s="836">
        <v>431.721</v>
      </c>
      <c r="AY33" s="877">
        <f t="shared" si="74"/>
        <v>15.746074888147032</v>
      </c>
      <c r="AZ33" s="783">
        <f t="shared" si="75"/>
        <v>11.941680106620755</v>
      </c>
      <c r="BA33" s="487"/>
      <c r="BB33" s="831">
        <f>508.341</f>
        <v>508.34100000000001</v>
      </c>
      <c r="BC33" s="877">
        <f t="shared" si="76"/>
        <v>16.694559844989246</v>
      </c>
      <c r="BD33" s="783">
        <f t="shared" si="77"/>
        <v>17.74757308539543</v>
      </c>
      <c r="BE33" s="487"/>
      <c r="BF33" s="831">
        <f>552.142+0.666666666666667*BF43</f>
        <v>566.61200000000008</v>
      </c>
      <c r="BG33" s="877">
        <f t="shared" si="78"/>
        <v>16.72679051983615</v>
      </c>
      <c r="BH33" s="783">
        <f t="shared" si="79"/>
        <v>11.462974656775682</v>
      </c>
      <c r="BI33" s="487"/>
      <c r="BJ33" s="831">
        <f>625.987+0.666666666666667*BJ43</f>
        <v>643.8696666666666</v>
      </c>
      <c r="BK33" s="877">
        <f t="shared" si="80"/>
        <v>16.866927755292718</v>
      </c>
      <c r="BL33" s="783">
        <f t="shared" si="81"/>
        <v>13.635021260874547</v>
      </c>
      <c r="BM33" s="487"/>
      <c r="BN33" s="831">
        <v>702.46100000000001</v>
      </c>
      <c r="BO33" s="877">
        <f t="shared" si="82"/>
        <v>17.379423401598057</v>
      </c>
      <c r="BP33" s="783">
        <f t="shared" si="83"/>
        <v>9.0998747676160221</v>
      </c>
      <c r="BQ33" s="487"/>
      <c r="BR33" s="831">
        <v>756.34799999999996</v>
      </c>
      <c r="BS33" s="877">
        <f t="shared" si="84"/>
        <v>16.909403942773245</v>
      </c>
      <c r="BT33" s="783">
        <f t="shared" si="85"/>
        <v>7.6711732039216329</v>
      </c>
      <c r="BU33" s="880"/>
      <c r="BV33" s="831">
        <v>771.73699999999997</v>
      </c>
      <c r="BW33" s="877">
        <f t="shared" si="86"/>
        <v>16.56543710093635</v>
      </c>
      <c r="BX33" s="783">
        <f t="shared" si="87"/>
        <v>2.0346454277660575</v>
      </c>
      <c r="BY33" s="783"/>
      <c r="BZ33" s="831">
        <v>807.83299999999997</v>
      </c>
      <c r="CA33" s="877">
        <f t="shared" si="88"/>
        <v>16.965828210680183</v>
      </c>
      <c r="CB33" s="783">
        <f t="shared" si="89"/>
        <v>4.6772410808345377</v>
      </c>
      <c r="CC33" s="783"/>
      <c r="CD33" s="831">
        <f>864.097</f>
        <v>864.09699999999998</v>
      </c>
      <c r="CE33" s="877">
        <f t="shared" si="90"/>
        <v>16.474850265379281</v>
      </c>
      <c r="CF33" s="783">
        <f t="shared" si="91"/>
        <v>6.9648058447723704</v>
      </c>
      <c r="CG33" s="783"/>
      <c r="CH33" s="831">
        <v>912.80799999999999</v>
      </c>
      <c r="CI33" s="877">
        <f t="shared" si="92"/>
        <v>16.518879368176499</v>
      </c>
      <c r="CJ33" s="783">
        <f t="shared" si="93"/>
        <v>5.6372143405196473</v>
      </c>
      <c r="CK33" s="783"/>
      <c r="CL33" s="840">
        <v>954.23800000000006</v>
      </c>
      <c r="CM33" s="877">
        <f t="shared" si="94"/>
        <v>16.471895666727889</v>
      </c>
      <c r="CN33" s="783">
        <f t="shared" si="95"/>
        <v>4.5387419917441552</v>
      </c>
      <c r="CO33" s="783"/>
      <c r="CP33" s="902">
        <v>1090.2819999999999</v>
      </c>
      <c r="CQ33" s="877">
        <f t="shared" si="96"/>
        <v>17.006657242112006</v>
      </c>
      <c r="CR33" s="783">
        <f t="shared" si="97"/>
        <v>14.256820625462385</v>
      </c>
      <c r="CS33" s="783"/>
      <c r="CT33" s="902">
        <v>1158.6679999999999</v>
      </c>
      <c r="CU33" s="877">
        <f>CT33/CT12*100</f>
        <v>16.59536777794392</v>
      </c>
      <c r="CV33" s="783">
        <f t="shared" si="99"/>
        <v>6.2723222065483863</v>
      </c>
      <c r="CW33" s="899"/>
      <c r="CX33" s="902">
        <v>1193.297</v>
      </c>
      <c r="CY33" s="877">
        <f>CX33/CX12*100</f>
        <v>16.199922726730932</v>
      </c>
      <c r="CZ33" s="783">
        <f t="shared" si="101"/>
        <v>2.9886904618061649</v>
      </c>
      <c r="DA33" s="899"/>
      <c r="DB33" s="902">
        <v>1292.4010000000001</v>
      </c>
      <c r="DC33" s="877">
        <f t="shared" si="102"/>
        <v>16.668624923341024</v>
      </c>
      <c r="DD33" s="783">
        <f t="shared" si="103"/>
        <v>8.305057332751197</v>
      </c>
      <c r="DE33" s="899"/>
      <c r="DF33" s="902">
        <v>1462.5740000000001</v>
      </c>
      <c r="DG33" s="877">
        <f t="shared" si="104"/>
        <v>17.639038034233803</v>
      </c>
      <c r="DH33" s="783">
        <f t="shared" si="105"/>
        <v>13.167198106470046</v>
      </c>
      <c r="DI33" s="899"/>
      <c r="DJ33" s="2052">
        <v>1584.2190000000001</v>
      </c>
      <c r="DK33" s="877">
        <f t="shared" si="106"/>
        <v>18.08010983517876</v>
      </c>
      <c r="DL33" s="783">
        <f t="shared" si="107"/>
        <v>8.3171860022125408</v>
      </c>
      <c r="DM33" s="899"/>
      <c r="DN33" s="841">
        <f>DJ33*(1+DP33%)</f>
        <v>1687.193235</v>
      </c>
      <c r="DO33" s="877">
        <f t="shared" si="108"/>
        <v>18.066439223230908</v>
      </c>
      <c r="DP33" s="900">
        <v>6.5</v>
      </c>
      <c r="DQ33" s="883"/>
      <c r="DR33" s="1103">
        <f>DL33+DH33</f>
        <v>21.484384108682587</v>
      </c>
      <c r="DS33" s="1104">
        <f>DL33+DH33+DD33</f>
        <v>29.789441441433784</v>
      </c>
      <c r="DT33" s="794"/>
      <c r="DU33" s="794"/>
      <c r="DV33" s="794"/>
      <c r="DW33" s="794"/>
      <c r="DX33" s="794"/>
      <c r="DY33" s="794"/>
      <c r="DZ33" s="794"/>
      <c r="EA33" s="794"/>
      <c r="EB33" s="794"/>
    </row>
    <row r="34" spans="1:132">
      <c r="A34" s="487" t="str">
        <f>$A$13</f>
        <v>4Q</v>
      </c>
      <c r="B34" s="487" t="str">
        <f>$B$13</f>
        <v>Jan</v>
      </c>
      <c r="C34" s="499"/>
      <c r="D34" s="849"/>
      <c r="E34" s="499"/>
      <c r="F34" s="851">
        <f>+F35-F33-F32-F31</f>
        <v>120.21100000000001</v>
      </c>
      <c r="G34" s="877">
        <f t="shared" si="57"/>
        <v>16.834812663326154</v>
      </c>
      <c r="H34" s="783"/>
      <c r="I34" s="487"/>
      <c r="J34" s="851">
        <f>+J35-J33-J32-J31</f>
        <v>137.155</v>
      </c>
      <c r="K34" s="877">
        <f t="shared" si="58"/>
        <v>17.151621560109145</v>
      </c>
      <c r="L34" s="783"/>
      <c r="M34" s="487"/>
      <c r="N34" s="851">
        <f>+N35-N33-N32-N31</f>
        <v>176.83200000000002</v>
      </c>
      <c r="O34" s="877">
        <f t="shared" si="59"/>
        <v>17.726363695598788</v>
      </c>
      <c r="P34" s="783"/>
      <c r="Q34" s="487"/>
      <c r="R34" s="852">
        <v>134.089</v>
      </c>
      <c r="S34" s="877">
        <f t="shared" si="60"/>
        <v>16.040236663739872</v>
      </c>
      <c r="T34" s="783"/>
      <c r="U34" s="487"/>
      <c r="V34" s="852">
        <v>145.596</v>
      </c>
      <c r="W34" s="877">
        <f t="shared" si="61"/>
        <v>16.023454756158358</v>
      </c>
      <c r="X34" s="783"/>
      <c r="Y34" s="487"/>
      <c r="Z34" s="852">
        <f>262.305+35</f>
        <v>297.30500000000001</v>
      </c>
      <c r="AA34" s="877">
        <f t="shared" si="62"/>
        <v>18.142303319808704</v>
      </c>
      <c r="AB34" s="783">
        <f t="shared" si="63"/>
        <v>104.19860435726255</v>
      </c>
      <c r="AC34" s="487"/>
      <c r="AD34" s="852">
        <v>311.154</v>
      </c>
      <c r="AE34" s="877">
        <f t="shared" si="64"/>
        <v>15.985512272184335</v>
      </c>
      <c r="AF34" s="783">
        <f t="shared" si="65"/>
        <v>4.6581793108087632</v>
      </c>
      <c r="AG34" s="487"/>
      <c r="AH34" s="852">
        <v>341.024</v>
      </c>
      <c r="AI34" s="877">
        <f t="shared" si="66"/>
        <v>15.20494692241876</v>
      </c>
      <c r="AJ34" s="783">
        <f t="shared" si="67"/>
        <v>9.5997480347352226</v>
      </c>
      <c r="AK34" s="487"/>
      <c r="AL34" s="852">
        <v>360.29</v>
      </c>
      <c r="AM34" s="877">
        <f t="shared" si="68"/>
        <v>15.503332254710939</v>
      </c>
      <c r="AN34" s="783">
        <f t="shared" si="69"/>
        <v>5.6494557567795978</v>
      </c>
      <c r="AO34" s="487"/>
      <c r="AP34" s="852">
        <v>375.18900000000002</v>
      </c>
      <c r="AQ34" s="877">
        <f t="shared" si="70"/>
        <v>14.847586167595855</v>
      </c>
      <c r="AR34" s="783">
        <f t="shared" si="71"/>
        <v>4.1352799134031004</v>
      </c>
      <c r="AS34" s="487"/>
      <c r="AT34" s="852">
        <v>414.93900000000002</v>
      </c>
      <c r="AU34" s="877">
        <f t="shared" si="72"/>
        <v>15.081534035666714</v>
      </c>
      <c r="AV34" s="783">
        <f t="shared" si="73"/>
        <v>10.594660291213231</v>
      </c>
      <c r="AW34" s="487"/>
      <c r="AX34" s="852">
        <v>467.95499999999998</v>
      </c>
      <c r="AY34" s="877">
        <f t="shared" si="74"/>
        <v>14.583889111892869</v>
      </c>
      <c r="AZ34" s="783">
        <f t="shared" si="75"/>
        <v>12.776817797314767</v>
      </c>
      <c r="BA34" s="487"/>
      <c r="BB34" s="849">
        <v>527.64599999999996</v>
      </c>
      <c r="BC34" s="877">
        <f t="shared" si="76"/>
        <v>15.052028523332458</v>
      </c>
      <c r="BD34" s="783">
        <f t="shared" si="77"/>
        <v>12.755713690418947</v>
      </c>
      <c r="BE34" s="487"/>
      <c r="BF34" s="849">
        <f>609.315+0.666666666666667*BF44</f>
        <v>623.07033333333334</v>
      </c>
      <c r="BG34" s="877">
        <f t="shared" si="78"/>
        <v>15.17612014363157</v>
      </c>
      <c r="BH34" s="783">
        <f t="shared" si="79"/>
        <v>18.084915517853517</v>
      </c>
      <c r="BI34" s="487"/>
      <c r="BJ34" s="849">
        <v>686.81399999999996</v>
      </c>
      <c r="BK34" s="877">
        <f t="shared" si="80"/>
        <v>15.865019799686261</v>
      </c>
      <c r="BL34" s="783">
        <f t="shared" si="81"/>
        <v>10.230573220465743</v>
      </c>
      <c r="BM34" s="487"/>
      <c r="BN34" s="849">
        <v>732.11099999999999</v>
      </c>
      <c r="BO34" s="877">
        <f t="shared" si="82"/>
        <v>15.522905854492278</v>
      </c>
      <c r="BP34" s="783">
        <f t="shared" si="83"/>
        <v>6.5952353912412942</v>
      </c>
      <c r="BQ34" s="487"/>
      <c r="BR34" s="849">
        <f>789.782</f>
        <v>789.78200000000004</v>
      </c>
      <c r="BS34" s="877">
        <f t="shared" si="84"/>
        <v>15.495708171768877</v>
      </c>
      <c r="BT34" s="783">
        <f t="shared" si="85"/>
        <v>7.8773573952583664</v>
      </c>
      <c r="BU34" s="880"/>
      <c r="BV34" s="849">
        <v>848.12599999999998</v>
      </c>
      <c r="BW34" s="877">
        <f t="shared" si="86"/>
        <v>15.729701499070082</v>
      </c>
      <c r="BX34" s="783">
        <f t="shared" si="87"/>
        <v>7.3873549916305903</v>
      </c>
      <c r="BY34" s="783"/>
      <c r="BZ34" s="849">
        <f>832.434</f>
        <v>832.43399999999997</v>
      </c>
      <c r="CA34" s="877">
        <f t="shared" si="88"/>
        <v>15.472679030301903</v>
      </c>
      <c r="CB34" s="783">
        <f t="shared" si="89"/>
        <v>-1.8501967867981861</v>
      </c>
      <c r="CC34" s="903"/>
      <c r="CD34" s="849">
        <v>938.91399999999999</v>
      </c>
      <c r="CE34" s="877">
        <f t="shared" si="90"/>
        <v>15.801988169807327</v>
      </c>
      <c r="CF34" s="783">
        <f t="shared" si="91"/>
        <v>12.791404483718827</v>
      </c>
      <c r="CG34" s="903"/>
      <c r="CH34" s="849">
        <f>1122.081-177</f>
        <v>945.0809999999999</v>
      </c>
      <c r="CI34" s="877">
        <f t="shared" si="92"/>
        <v>15.613988538166899</v>
      </c>
      <c r="CJ34" s="783">
        <f t="shared" si="93"/>
        <v>0.65682266959485869</v>
      </c>
      <c r="CK34" s="903"/>
      <c r="CL34" s="856">
        <v>1057.739</v>
      </c>
      <c r="CM34" s="877">
        <f t="shared" si="94"/>
        <v>15.764190005064266</v>
      </c>
      <c r="CN34" s="783">
        <f t="shared" si="95"/>
        <v>11.920459727790544</v>
      </c>
      <c r="CO34" s="903"/>
      <c r="CP34" s="856">
        <v>1239.5239999999999</v>
      </c>
      <c r="CQ34" s="877">
        <f t="shared" si="96"/>
        <v>16.048081945007993</v>
      </c>
      <c r="CR34" s="783">
        <f t="shared" si="97"/>
        <v>17.186186762518908</v>
      </c>
      <c r="CS34" s="903"/>
      <c r="CT34" s="856">
        <v>1215.192</v>
      </c>
      <c r="CU34" s="877">
        <f t="shared" si="98"/>
        <v>15.56185358878402</v>
      </c>
      <c r="CV34" s="783">
        <f t="shared" si="99"/>
        <v>-1.9630116076816528</v>
      </c>
      <c r="CW34" s="899"/>
      <c r="CX34" s="856">
        <v>1306.279</v>
      </c>
      <c r="CY34" s="877">
        <f t="shared" si="100"/>
        <v>15.730809170042267</v>
      </c>
      <c r="CZ34" s="783">
        <f t="shared" si="101"/>
        <v>7.4956879242128016</v>
      </c>
      <c r="DA34" s="899"/>
      <c r="DB34" s="856">
        <v>1497.1189999999999</v>
      </c>
      <c r="DC34" s="877">
        <f t="shared" si="102"/>
        <v>16.705048774976774</v>
      </c>
      <c r="DD34" s="783">
        <f t="shared" si="103"/>
        <v>14.609436422081345</v>
      </c>
      <c r="DE34" s="899"/>
      <c r="DF34" s="945">
        <v>1577.595</v>
      </c>
      <c r="DG34" s="877">
        <f t="shared" si="104"/>
        <v>16.663010355160051</v>
      </c>
      <c r="DH34" s="783">
        <f t="shared" si="105"/>
        <v>5.3753910009825656</v>
      </c>
      <c r="DI34" s="899"/>
      <c r="DJ34" s="2097">
        <v>1895.6010000000001</v>
      </c>
      <c r="DK34" s="877">
        <f t="shared" si="106"/>
        <v>17.294493427439075</v>
      </c>
      <c r="DL34" s="783">
        <f t="shared" si="107"/>
        <v>20.157645022962178</v>
      </c>
      <c r="DM34" s="899"/>
      <c r="DN34" s="857">
        <f>DJ34*(1+DP34%)</f>
        <v>1933.5130200000001</v>
      </c>
      <c r="DO34" s="877">
        <f t="shared" si="108"/>
        <v>17.466216936996933</v>
      </c>
      <c r="DP34" s="900">
        <v>2</v>
      </c>
      <c r="DQ34" s="883"/>
      <c r="DR34" s="1105">
        <f>DL34+DH34</f>
        <v>25.533036023944746</v>
      </c>
      <c r="DS34" s="1106">
        <f>DL34+DH34+DD34</f>
        <v>40.14247244602609</v>
      </c>
      <c r="DT34" s="794"/>
      <c r="DU34" s="794"/>
      <c r="DV34" s="794"/>
      <c r="DW34" s="794"/>
      <c r="DX34" s="794"/>
      <c r="DY34" s="794"/>
      <c r="DZ34" s="794"/>
      <c r="EA34" s="794"/>
      <c r="EB34" s="794"/>
    </row>
    <row r="35" spans="1:132">
      <c r="A35" s="487"/>
      <c r="B35" s="487" t="str">
        <f>$B$14</f>
        <v>Year</v>
      </c>
      <c r="C35" s="487"/>
      <c r="D35" s="859"/>
      <c r="E35" s="487"/>
      <c r="F35" s="860">
        <v>421.584</v>
      </c>
      <c r="G35" s="877">
        <f t="shared" si="57"/>
        <v>17.233684301749719</v>
      </c>
      <c r="H35" s="783"/>
      <c r="I35" s="487"/>
      <c r="J35" s="860">
        <v>491.64699999999999</v>
      </c>
      <c r="K35" s="877">
        <f t="shared" si="58"/>
        <v>17.828056923938838</v>
      </c>
      <c r="L35" s="783"/>
      <c r="M35" s="487"/>
      <c r="N35" s="860">
        <v>593.88900000000001</v>
      </c>
      <c r="O35" s="877">
        <f t="shared" si="59"/>
        <v>18.210527284100529</v>
      </c>
      <c r="P35" s="783"/>
      <c r="Q35" s="487"/>
      <c r="R35" s="859">
        <f>SUM(R31:R34)</f>
        <v>465.95800000000003</v>
      </c>
      <c r="S35" s="877">
        <f t="shared" si="60"/>
        <v>16.452912533941607</v>
      </c>
      <c r="T35" s="783"/>
      <c r="U35" s="487"/>
      <c r="V35" s="859">
        <f>SUM(V31:V34)</f>
        <v>517.44900000000007</v>
      </c>
      <c r="W35" s="877">
        <f t="shared" si="61"/>
        <v>16.934597864295831</v>
      </c>
      <c r="X35" s="783"/>
      <c r="Y35" s="487"/>
      <c r="Z35" s="859">
        <f>SUM(Z31:Z34)</f>
        <v>704.87599999999998</v>
      </c>
      <c r="AA35" s="877">
        <f t="shared" si="62"/>
        <v>17.732216552225534</v>
      </c>
      <c r="AB35" s="783">
        <f t="shared" si="63"/>
        <v>36.221347417813135</v>
      </c>
      <c r="AC35" s="487"/>
      <c r="AD35" s="859">
        <f>SUM(AD31:AD34)</f>
        <v>1087.1369999999999</v>
      </c>
      <c r="AE35" s="877">
        <f t="shared" si="64"/>
        <v>16.251612623534811</v>
      </c>
      <c r="AF35" s="783">
        <f t="shared" si="65"/>
        <v>54.230956934269294</v>
      </c>
      <c r="AG35" s="487"/>
      <c r="AH35" s="859">
        <f>SUM(AH31:AH34)</f>
        <v>1185.7550000000001</v>
      </c>
      <c r="AI35" s="877">
        <f t="shared" si="66"/>
        <v>16.047420859109586</v>
      </c>
      <c r="AJ35" s="783">
        <f t="shared" si="67"/>
        <v>9.0713497930803744</v>
      </c>
      <c r="AK35" s="487"/>
      <c r="AL35" s="904">
        <f>SUM(AL31:AL34)</f>
        <v>1285.9879999999998</v>
      </c>
      <c r="AM35" s="877">
        <f t="shared" si="68"/>
        <v>16.178247200136973</v>
      </c>
      <c r="AN35" s="783">
        <f t="shared" si="69"/>
        <v>8.4530952852823518</v>
      </c>
      <c r="AO35" s="487"/>
      <c r="AP35" s="859">
        <f>SUM(AP31:AP34)</f>
        <v>1354.665</v>
      </c>
      <c r="AQ35" s="877">
        <f t="shared" si="70"/>
        <v>15.402064296041987</v>
      </c>
      <c r="AR35" s="783">
        <f t="shared" si="71"/>
        <v>5.3404075310189647</v>
      </c>
      <c r="AS35" s="487"/>
      <c r="AT35" s="859">
        <f>SUM(AT31:AT34)</f>
        <v>1503.0360000000001</v>
      </c>
      <c r="AU35" s="877">
        <f t="shared" si="72"/>
        <v>15.690939122493505</v>
      </c>
      <c r="AV35" s="783">
        <f t="shared" si="73"/>
        <v>10.952597136561447</v>
      </c>
      <c r="AW35" s="487"/>
      <c r="AX35" s="859">
        <f>SUM(AX31:AX34)</f>
        <v>1686.3889999999999</v>
      </c>
      <c r="AY35" s="877">
        <f t="shared" si="74"/>
        <v>15.747402324661932</v>
      </c>
      <c r="AZ35" s="783">
        <f t="shared" si="75"/>
        <v>12.198842875353598</v>
      </c>
      <c r="BA35" s="487"/>
      <c r="BB35" s="859">
        <f>SUM(BB31:BB34)</f>
        <v>1938.5310000000002</v>
      </c>
      <c r="BC35" s="877">
        <f t="shared" si="76"/>
        <v>16.179763858516093</v>
      </c>
      <c r="BD35" s="783">
        <f t="shared" si="77"/>
        <v>14.951591833201029</v>
      </c>
      <c r="BE35" s="487"/>
      <c r="BF35" s="859">
        <f>SUM(BF31:BF34)</f>
        <v>2209.558</v>
      </c>
      <c r="BG35" s="877">
        <f t="shared" si="78"/>
        <v>16.57839344690829</v>
      </c>
      <c r="BH35" s="783">
        <f t="shared" si="79"/>
        <v>13.981050599655088</v>
      </c>
      <c r="BI35" s="487"/>
      <c r="BJ35" s="859">
        <f>SUM(BJ31:BJ34)</f>
        <v>2497.5513333333329</v>
      </c>
      <c r="BK35" s="877">
        <f t="shared" si="80"/>
        <v>16.746935195040173</v>
      </c>
      <c r="BL35" s="783">
        <f t="shared" si="81"/>
        <v>13.033979344888568</v>
      </c>
      <c r="BM35" s="487"/>
      <c r="BN35" s="859">
        <f>SUM(BN31:BN34)</f>
        <v>2723.96</v>
      </c>
      <c r="BO35" s="877">
        <f t="shared" si="82"/>
        <v>16.963326853670786</v>
      </c>
      <c r="BP35" s="783">
        <f t="shared" si="83"/>
        <v>9.0652257531176783</v>
      </c>
      <c r="BQ35" s="487"/>
      <c r="BR35" s="859">
        <f>SUM(BR31:BR34)</f>
        <v>2923.5600000000004</v>
      </c>
      <c r="BS35" s="877">
        <f t="shared" si="84"/>
        <v>16.797592503652904</v>
      </c>
      <c r="BT35" s="783">
        <f t="shared" si="85"/>
        <v>7.3275672183145346</v>
      </c>
      <c r="BU35" s="487"/>
      <c r="BV35" s="859">
        <f>SUM(BV31:BV34)</f>
        <v>3073.1710000000003</v>
      </c>
      <c r="BW35" s="877">
        <f t="shared" si="86"/>
        <v>16.636939649056437</v>
      </c>
      <c r="BX35" s="783">
        <f t="shared" si="87"/>
        <v>5.1174253307611162</v>
      </c>
      <c r="BY35" s="783"/>
      <c r="BZ35" s="859">
        <f>SUM(BZ31:BZ34)</f>
        <v>3135.5889999999999</v>
      </c>
      <c r="CA35" s="877">
        <f t="shared" si="88"/>
        <v>16.503529960385812</v>
      </c>
      <c r="CB35" s="783">
        <f t="shared" si="89"/>
        <v>2.0310617274469811</v>
      </c>
      <c r="CC35" s="783"/>
      <c r="CD35" s="859">
        <f>SUM(CD31:CD34)</f>
        <v>3328.9439999999995</v>
      </c>
      <c r="CE35" s="877">
        <f t="shared" si="90"/>
        <v>16.408079397316026</v>
      </c>
      <c r="CF35" s="783">
        <f t="shared" si="91"/>
        <v>6.1664650564853929</v>
      </c>
      <c r="CG35" s="783"/>
      <c r="CH35" s="859">
        <f>SUM(CH31:CH34)</f>
        <v>3533.0529999999999</v>
      </c>
      <c r="CI35" s="877">
        <f t="shared" si="92"/>
        <v>16.30896950785457</v>
      </c>
      <c r="CJ35" s="783">
        <f t="shared" si="93"/>
        <v>6.1313437534545656</v>
      </c>
      <c r="CK35" s="783"/>
      <c r="CL35" s="859">
        <f>SUM(CL31:CL34)</f>
        <v>3828.1439999999998</v>
      </c>
      <c r="CM35" s="877">
        <f t="shared" si="94"/>
        <v>16.513271848872492</v>
      </c>
      <c r="CN35" s="783">
        <f t="shared" si="95"/>
        <v>8.3522947433848351</v>
      </c>
      <c r="CO35" s="783"/>
      <c r="CP35" s="859">
        <f>SUM(CP31:CP34)</f>
        <v>4250.4459999999999</v>
      </c>
      <c r="CQ35" s="877">
        <f t="shared" si="96"/>
        <v>16.42470399606281</v>
      </c>
      <c r="CR35" s="783">
        <f t="shared" si="97"/>
        <v>11.031507696680176</v>
      </c>
      <c r="CS35" s="783"/>
      <c r="CT35" s="859">
        <f>SUM(CT31:CT34)</f>
        <v>4467.0889999999999</v>
      </c>
      <c r="CU35" s="877">
        <f t="shared" si="98"/>
        <v>16.289751379660117</v>
      </c>
      <c r="CV35" s="783">
        <f t="shared" si="99"/>
        <v>5.0969474732769138</v>
      </c>
      <c r="CW35" s="905"/>
      <c r="CX35" s="859">
        <f>SUM(CX31:CX34)</f>
        <v>4695.384</v>
      </c>
      <c r="CY35" s="877">
        <f t="shared" si="100"/>
        <v>16.147321962994742</v>
      </c>
      <c r="CZ35" s="783">
        <f t="shared" si="101"/>
        <v>5.1105988709873484</v>
      </c>
      <c r="DA35" s="905"/>
      <c r="DB35" s="859">
        <f>SUM(DB31:DB34)</f>
        <v>5205.7149999999992</v>
      </c>
      <c r="DC35" s="891">
        <f t="shared" si="102"/>
        <v>16.822509064325804</v>
      </c>
      <c r="DD35" s="783">
        <f t="shared" si="103"/>
        <v>10.86878091333956</v>
      </c>
      <c r="DE35" s="905"/>
      <c r="DF35" s="859">
        <f>SUM(DF31:DF34)</f>
        <v>5768.4669999999996</v>
      </c>
      <c r="DG35" s="877">
        <f t="shared" si="104"/>
        <v>17.383412191222298</v>
      </c>
      <c r="DH35" s="783">
        <f t="shared" si="105"/>
        <v>10.810272940412613</v>
      </c>
      <c r="DI35" s="905"/>
      <c r="DJ35" s="859">
        <f>SUM(DJ31:DJ34)</f>
        <v>6375.0709999999999</v>
      </c>
      <c r="DK35" s="877">
        <f t="shared" si="106"/>
        <v>17.775354036496758</v>
      </c>
      <c r="DL35" s="783">
        <f t="shared" si="107"/>
        <v>10.515861493183554</v>
      </c>
      <c r="DM35" s="905"/>
      <c r="DN35" s="859">
        <f>SUM(DN31:DN34)</f>
        <v>6753.5546750000003</v>
      </c>
      <c r="DO35" s="877">
        <f t="shared" si="108"/>
        <v>17.846808295326777</v>
      </c>
      <c r="DP35" s="783">
        <f>(DN35/DJ35-1)*100</f>
        <v>5.936932702396569</v>
      </c>
      <c r="DQ35" s="883"/>
      <c r="DR35" s="1107">
        <f>DL35+DH35</f>
        <v>21.326134433596167</v>
      </c>
      <c r="DS35" s="1108">
        <f>DL35+DH35+DD35</f>
        <v>32.19491534693573</v>
      </c>
      <c r="DT35" s="794"/>
      <c r="DU35" s="794"/>
      <c r="DV35" s="794"/>
      <c r="DW35" s="794"/>
      <c r="DX35" s="794"/>
      <c r="DY35" s="794"/>
      <c r="DZ35" s="794"/>
      <c r="EA35" s="794"/>
      <c r="EB35" s="794"/>
    </row>
    <row r="36" spans="1:132" hidden="1" outlineLevel="1">
      <c r="A36" s="487" t="str">
        <f>$A$15</f>
        <v>6 Mos</v>
      </c>
      <c r="B36" s="487"/>
      <c r="C36" s="487"/>
      <c r="D36" s="864"/>
      <c r="E36" s="487"/>
      <c r="F36" s="864">
        <f>SUM(F31:F32)</f>
        <v>194.65199999999999</v>
      </c>
      <c r="G36" s="877">
        <f t="shared" si="57"/>
        <v>17.919846221404718</v>
      </c>
      <c r="H36" s="783"/>
      <c r="I36" s="487"/>
      <c r="J36" s="864">
        <f>SUM(J31:J32)</f>
        <v>231.434</v>
      </c>
      <c r="K36" s="877">
        <f t="shared" si="58"/>
        <v>18.473575652307179</v>
      </c>
      <c r="L36" s="783"/>
      <c r="M36" s="487"/>
      <c r="N36" s="864">
        <f>SUM(N31:N32)</f>
        <v>267.86099999999999</v>
      </c>
      <c r="O36" s="877">
        <f t="shared" si="59"/>
        <v>18.803082217022951</v>
      </c>
      <c r="P36" s="783"/>
      <c r="Q36" s="487"/>
      <c r="R36" s="864">
        <f>SUM(R31:R32)</f>
        <v>212.95600000000002</v>
      </c>
      <c r="S36" s="877">
        <f t="shared" si="60"/>
        <v>17.130175206308426</v>
      </c>
      <c r="T36" s="783"/>
      <c r="U36" s="487"/>
      <c r="V36" s="864">
        <f>SUM(V31:V32)</f>
        <v>240.774</v>
      </c>
      <c r="W36" s="877">
        <f t="shared" si="61"/>
        <v>17.924374496101699</v>
      </c>
      <c r="X36" s="783"/>
      <c r="Y36" s="487"/>
      <c r="Z36" s="864">
        <f>SUM(Z31:Z32)</f>
        <v>261.92700000000002</v>
      </c>
      <c r="AA36" s="877">
        <f t="shared" si="62"/>
        <v>17.755812581940155</v>
      </c>
      <c r="AB36" s="783">
        <f t="shared" si="63"/>
        <v>8.7854170300780012</v>
      </c>
      <c r="AC36" s="487"/>
      <c r="AD36" s="864">
        <f>SUM(AD31:AD32)</f>
        <v>509.065</v>
      </c>
      <c r="AE36" s="877">
        <f t="shared" si="64"/>
        <v>16.853633132991622</v>
      </c>
      <c r="AF36" s="783">
        <f t="shared" si="65"/>
        <v>94.353770325319644</v>
      </c>
      <c r="AG36" s="487"/>
      <c r="AH36" s="864">
        <f>SUM(AH31:AH32)</f>
        <v>557.52600000000007</v>
      </c>
      <c r="AI36" s="877">
        <f t="shared" si="66"/>
        <v>17.109781674022763</v>
      </c>
      <c r="AJ36" s="783">
        <f t="shared" si="67"/>
        <v>9.5196094801253359</v>
      </c>
      <c r="AK36" s="487"/>
      <c r="AL36" s="864">
        <f>SUM(AL31:AL32)</f>
        <v>603.16699999999992</v>
      </c>
      <c r="AM36" s="877">
        <f t="shared" si="68"/>
        <v>16.655556831913259</v>
      </c>
      <c r="AN36" s="783">
        <f t="shared" si="69"/>
        <v>8.1863446727147959</v>
      </c>
      <c r="AO36" s="487"/>
      <c r="AP36" s="864">
        <f>SUM(AP31:AP32)</f>
        <v>641.15699999999993</v>
      </c>
      <c r="AQ36" s="877">
        <f t="shared" si="70"/>
        <v>15.896361269285112</v>
      </c>
      <c r="AR36" s="783">
        <f t="shared" si="71"/>
        <v>6.2984214985236209</v>
      </c>
      <c r="AS36" s="487"/>
      <c r="AT36" s="864">
        <f>SUM(AT31:AT32)</f>
        <v>702.43100000000004</v>
      </c>
      <c r="AU36" s="877">
        <f t="shared" si="72"/>
        <v>16.087593815344377</v>
      </c>
      <c r="AV36" s="783">
        <f t="shared" si="73"/>
        <v>9.5567856234900503</v>
      </c>
      <c r="AW36" s="487"/>
      <c r="AX36" s="864">
        <f>SUM(AX31:AX32)</f>
        <v>786.71299999999997</v>
      </c>
      <c r="AY36" s="877">
        <f t="shared" si="74"/>
        <v>16.532734883578222</v>
      </c>
      <c r="AZ36" s="783">
        <f t="shared" si="75"/>
        <v>11.998616234192383</v>
      </c>
      <c r="BA36" s="487"/>
      <c r="BB36" s="864">
        <f>SUM(BB31:BB32)</f>
        <v>902.5440000000001</v>
      </c>
      <c r="BC36" s="877">
        <f t="shared" si="76"/>
        <v>16.619061437997075</v>
      </c>
      <c r="BD36" s="783">
        <f t="shared" si="77"/>
        <v>14.723412476977016</v>
      </c>
      <c r="BE36" s="487"/>
      <c r="BF36" s="864">
        <f>SUM(BF31:BF32)</f>
        <v>1019.8756666666666</v>
      </c>
      <c r="BG36" s="877">
        <f t="shared" si="78"/>
        <v>17.478921478483421</v>
      </c>
      <c r="BH36" s="783">
        <f t="shared" si="79"/>
        <v>13.000104888699781</v>
      </c>
      <c r="BI36" s="487"/>
      <c r="BJ36" s="864">
        <f>SUM(BJ31:BJ32)</f>
        <v>1166.8676666666665</v>
      </c>
      <c r="BK36" s="877">
        <f t="shared" si="80"/>
        <v>17.243439164197831</v>
      </c>
      <c r="BL36" s="783">
        <f t="shared" si="81"/>
        <v>14.412737238885654</v>
      </c>
      <c r="BM36" s="487"/>
      <c r="BN36" s="864">
        <f>SUM(BN31:BN32)</f>
        <v>1289.3879999999999</v>
      </c>
      <c r="BO36" s="877">
        <f t="shared" si="82"/>
        <v>17.663584894494235</v>
      </c>
      <c r="BP36" s="783">
        <f t="shared" si="83"/>
        <v>10.49993386853636</v>
      </c>
      <c r="BQ36" s="487"/>
      <c r="BR36" s="864">
        <f>SUM(BR31:BR32)</f>
        <v>1377.43</v>
      </c>
      <c r="BS36" s="877">
        <f t="shared" si="84"/>
        <v>17.580662968264495</v>
      </c>
      <c r="BT36" s="783">
        <f t="shared" si="85"/>
        <v>6.8282006657422123</v>
      </c>
      <c r="BU36" s="487"/>
      <c r="BV36" s="864">
        <f>SUM(BV31:BV32)</f>
        <v>1453.308</v>
      </c>
      <c r="BW36" s="877">
        <f t="shared" si="86"/>
        <v>17.257363669299288</v>
      </c>
      <c r="BX36" s="783">
        <f t="shared" si="87"/>
        <v>5.5086646871347345</v>
      </c>
      <c r="BY36" s="783"/>
      <c r="BZ36" s="864">
        <f>SUM(BZ31:BZ32)</f>
        <v>1495.3220000000001</v>
      </c>
      <c r="CA36" s="877">
        <f t="shared" si="88"/>
        <v>16.881129380951574</v>
      </c>
      <c r="CB36" s="783">
        <f t="shared" si="89"/>
        <v>2.8909219518505447</v>
      </c>
      <c r="CC36" s="783"/>
      <c r="CD36" s="864">
        <f>SUM(CD31:CD32)</f>
        <v>1525.933</v>
      </c>
      <c r="CE36" s="877">
        <f t="shared" si="90"/>
        <v>16.765266731064525</v>
      </c>
      <c r="CF36" s="783">
        <f t="shared" si="91"/>
        <v>2.04711761078884</v>
      </c>
      <c r="CG36" s="783"/>
      <c r="CH36" s="864">
        <f>SUM(CH31:CH32)</f>
        <v>1675.1640000000002</v>
      </c>
      <c r="CI36" s="877">
        <f t="shared" si="92"/>
        <v>16.611077065868624</v>
      </c>
      <c r="CJ36" s="783">
        <f t="shared" si="93"/>
        <v>9.7796561185845121</v>
      </c>
      <c r="CK36" s="783"/>
      <c r="CL36" s="864">
        <f>SUM(CL31:CL32)</f>
        <v>1816.1669999999999</v>
      </c>
      <c r="CM36" s="877">
        <f t="shared" si="94"/>
        <v>17.00635994359202</v>
      </c>
      <c r="CN36" s="783">
        <f t="shared" si="95"/>
        <v>8.4172654140131762</v>
      </c>
      <c r="CO36" s="783"/>
      <c r="CP36" s="864">
        <f>SUM(CP31:CP32)</f>
        <v>1920.6399999999999</v>
      </c>
      <c r="CQ36" s="877">
        <f t="shared" si="96"/>
        <v>16.354717806950056</v>
      </c>
      <c r="CR36" s="783">
        <f t="shared" si="97"/>
        <v>5.7523895104359957</v>
      </c>
      <c r="CS36" s="783"/>
      <c r="CT36" s="864">
        <f>SUM(CT31:CT32)</f>
        <v>2093.2289999999998</v>
      </c>
      <c r="CU36" s="877">
        <f t="shared" si="98"/>
        <v>16.570800598763476</v>
      </c>
      <c r="CV36" s="783">
        <f t="shared" si="99"/>
        <v>8.9860150783072292</v>
      </c>
      <c r="CW36" s="883"/>
      <c r="CX36" s="864">
        <f>SUM(CX31:CX32)</f>
        <v>2195.808</v>
      </c>
      <c r="CY36" s="877">
        <f t="shared" si="100"/>
        <v>16.37637574330337</v>
      </c>
      <c r="CZ36" s="783">
        <f t="shared" si="101"/>
        <v>4.9005149460474851</v>
      </c>
      <c r="DA36" s="883"/>
      <c r="DB36" s="864">
        <f>SUM(DB31:DB32)</f>
        <v>2416.1949999999997</v>
      </c>
      <c r="DC36" s="877">
        <f t="shared" si="102"/>
        <v>16.980339534405182</v>
      </c>
      <c r="DD36" s="783">
        <f t="shared" si="103"/>
        <v>10.036715414098119</v>
      </c>
      <c r="DE36" s="883"/>
      <c r="DF36" s="864">
        <f>SUM(DF31:DF32)</f>
        <v>2728.2979999999998</v>
      </c>
      <c r="DG36" s="877">
        <f t="shared" si="104"/>
        <v>17.688185005986291</v>
      </c>
      <c r="DH36" s="783">
        <f t="shared" si="105"/>
        <v>12.917127963595654</v>
      </c>
      <c r="DI36" s="883"/>
      <c r="DJ36" s="864">
        <f>SUM(DJ31:DJ32)</f>
        <v>2895.2510000000002</v>
      </c>
      <c r="DK36" s="877">
        <f t="shared" si="106"/>
        <v>17.936442228847426</v>
      </c>
      <c r="DL36" s="783">
        <f t="shared" si="107"/>
        <v>6.1193095475641002</v>
      </c>
      <c r="DM36" s="883"/>
      <c r="DN36" s="864">
        <f>SUM(DN31:DN32)</f>
        <v>3132.8484200000003</v>
      </c>
      <c r="DO36" s="877">
        <f t="shared" si="108"/>
        <v>17.970829512371868</v>
      </c>
      <c r="DP36" s="783">
        <f>(DN36/DJ36-1)*100</f>
        <v>8.2064532574205096</v>
      </c>
      <c r="DQ36" s="883"/>
      <c r="DR36" s="1116"/>
      <c r="DS36" s="1117"/>
      <c r="DT36" s="794"/>
      <c r="DU36" s="794"/>
      <c r="DV36" s="794"/>
      <c r="DW36" s="794"/>
      <c r="DX36" s="794"/>
      <c r="DY36" s="794"/>
      <c r="DZ36" s="794"/>
      <c r="EA36" s="794"/>
      <c r="EB36" s="794"/>
    </row>
    <row r="37" spans="1:132" hidden="1" outlineLevel="1">
      <c r="A37" s="487" t="str">
        <f>$A$16</f>
        <v>9 Mos</v>
      </c>
      <c r="B37" s="487"/>
      <c r="C37" s="487"/>
      <c r="D37" s="864"/>
      <c r="E37" s="487"/>
      <c r="F37" s="864">
        <f>SUM(F31:F33)</f>
        <v>301.37299999999999</v>
      </c>
      <c r="G37" s="877">
        <f t="shared" si="57"/>
        <v>17.398108897441833</v>
      </c>
      <c r="H37" s="783"/>
      <c r="I37" s="487"/>
      <c r="J37" s="864">
        <f>SUM(J31:J33)</f>
        <v>354.49200000000002</v>
      </c>
      <c r="K37" s="877">
        <f t="shared" si="58"/>
        <v>18.104310761761809</v>
      </c>
      <c r="L37" s="783"/>
      <c r="M37" s="487"/>
      <c r="N37" s="864">
        <f>SUM(N31:N33)</f>
        <v>417.05700000000002</v>
      </c>
      <c r="O37" s="877">
        <f t="shared" si="59"/>
        <v>18.423890355285099</v>
      </c>
      <c r="P37" s="783"/>
      <c r="Q37" s="487"/>
      <c r="R37" s="864">
        <f>SUM(R31:R33)</f>
        <v>331.86900000000003</v>
      </c>
      <c r="S37" s="877">
        <f t="shared" si="60"/>
        <v>16.625737181606681</v>
      </c>
      <c r="T37" s="783"/>
      <c r="U37" s="487"/>
      <c r="V37" s="864">
        <f>SUM(V31:V33)</f>
        <v>371.85300000000001</v>
      </c>
      <c r="W37" s="877">
        <f t="shared" si="61"/>
        <v>17.320220035119913</v>
      </c>
      <c r="X37" s="783"/>
      <c r="Y37" s="487"/>
      <c r="Z37" s="864">
        <f>SUM(Z31:Z33)</f>
        <v>407.57100000000003</v>
      </c>
      <c r="AA37" s="877">
        <f t="shared" si="62"/>
        <v>17.444580838015803</v>
      </c>
      <c r="AB37" s="783">
        <f t="shared" si="63"/>
        <v>9.6054085888778609</v>
      </c>
      <c r="AC37" s="487"/>
      <c r="AD37" s="864">
        <f>SUM(AD31:AD33)</f>
        <v>775.98299999999995</v>
      </c>
      <c r="AE37" s="877">
        <f t="shared" si="64"/>
        <v>16.360818775715877</v>
      </c>
      <c r="AF37" s="783">
        <f t="shared" si="65"/>
        <v>90.392103461728126</v>
      </c>
      <c r="AG37" s="487"/>
      <c r="AH37" s="864">
        <f>SUM(AH31:AH33)</f>
        <v>844.73099999999999</v>
      </c>
      <c r="AI37" s="877">
        <f t="shared" si="66"/>
        <v>16.414591680884222</v>
      </c>
      <c r="AJ37" s="783">
        <f t="shared" si="67"/>
        <v>8.8594724368961764</v>
      </c>
      <c r="AK37" s="487"/>
      <c r="AL37" s="864">
        <f>SUM(AL31:AL33)</f>
        <v>925.69799999999987</v>
      </c>
      <c r="AM37" s="877">
        <f t="shared" si="68"/>
        <v>16.457090315433874</v>
      </c>
      <c r="AN37" s="783">
        <f t="shared" si="69"/>
        <v>9.5849447930761222</v>
      </c>
      <c r="AO37" s="487"/>
      <c r="AP37" s="864">
        <f>SUM(AP31:AP33)</f>
        <v>979.47599999999989</v>
      </c>
      <c r="AQ37" s="877">
        <f t="shared" si="70"/>
        <v>15.625586771511948</v>
      </c>
      <c r="AR37" s="783">
        <f t="shared" si="71"/>
        <v>5.8094540552102281</v>
      </c>
      <c r="AS37" s="487"/>
      <c r="AT37" s="864">
        <f>SUM(AT31:AT33)</f>
        <v>1088.097</v>
      </c>
      <c r="AU37" s="877">
        <f t="shared" si="72"/>
        <v>15.93650629985115</v>
      </c>
      <c r="AV37" s="783">
        <f t="shared" si="73"/>
        <v>11.089705107628989</v>
      </c>
      <c r="AW37" s="487"/>
      <c r="AX37" s="864">
        <f>SUM(AX31:AX33)</f>
        <v>1218.434</v>
      </c>
      <c r="AY37" s="877">
        <f t="shared" si="74"/>
        <v>16.245167184291372</v>
      </c>
      <c r="AZ37" s="783">
        <f t="shared" si="75"/>
        <v>11.978435746077775</v>
      </c>
      <c r="BA37" s="487"/>
      <c r="BB37" s="864">
        <f>SUM(BB31:BB33)</f>
        <v>1410.8850000000002</v>
      </c>
      <c r="BC37" s="877">
        <f t="shared" si="76"/>
        <v>16.646184645421531</v>
      </c>
      <c r="BD37" s="783">
        <f t="shared" si="77"/>
        <v>15.794946628212948</v>
      </c>
      <c r="BE37" s="487"/>
      <c r="BF37" s="864">
        <f>SUM(BF31:BF33)</f>
        <v>1586.4876666666667</v>
      </c>
      <c r="BG37" s="877">
        <f t="shared" si="78"/>
        <v>17.20265675132449</v>
      </c>
      <c r="BH37" s="783">
        <f t="shared" si="79"/>
        <v>12.446277809081984</v>
      </c>
      <c r="BI37" s="487"/>
      <c r="BJ37" s="864">
        <f>SUM(BJ31:BJ33)</f>
        <v>1810.737333333333</v>
      </c>
      <c r="BK37" s="877">
        <f t="shared" si="80"/>
        <v>17.107646926812421</v>
      </c>
      <c r="BL37" s="783">
        <f t="shared" si="81"/>
        <v>14.134976992152248</v>
      </c>
      <c r="BM37" s="487"/>
      <c r="BN37" s="864">
        <f>SUM(BN31:BN33)</f>
        <v>1991.8489999999999</v>
      </c>
      <c r="BO37" s="877">
        <f t="shared" si="82"/>
        <v>17.562315678693885</v>
      </c>
      <c r="BP37" s="783">
        <f t="shared" si="83"/>
        <v>10.002094910876092</v>
      </c>
      <c r="BQ37" s="487"/>
      <c r="BR37" s="864">
        <f>SUM(BR31:BR33)</f>
        <v>2133.7780000000002</v>
      </c>
      <c r="BS37" s="877">
        <f t="shared" si="84"/>
        <v>17.336712854503197</v>
      </c>
      <c r="BT37" s="783">
        <f t="shared" si="85"/>
        <v>7.1254899342269473</v>
      </c>
      <c r="BU37" s="487"/>
      <c r="BV37" s="864">
        <f>SUM(BV31:BV33)</f>
        <v>2225.0450000000001</v>
      </c>
      <c r="BW37" s="877">
        <f t="shared" si="86"/>
        <v>17.010921249284312</v>
      </c>
      <c r="BX37" s="783">
        <f t="shared" si="87"/>
        <v>4.2772490858936418</v>
      </c>
      <c r="BY37" s="783"/>
      <c r="BZ37" s="864">
        <f>SUM(BZ31:BZ33)</f>
        <v>2303.1550000000002</v>
      </c>
      <c r="CA37" s="877">
        <f t="shared" si="88"/>
        <v>16.910741085562737</v>
      </c>
      <c r="CB37" s="783">
        <f t="shared" si="89"/>
        <v>3.5104907990624934</v>
      </c>
      <c r="CC37" s="783"/>
      <c r="CD37" s="864">
        <f>SUM(CD31:CD33)</f>
        <v>2390.0299999999997</v>
      </c>
      <c r="CE37" s="877">
        <f t="shared" si="90"/>
        <v>16.659094657181743</v>
      </c>
      <c r="CF37" s="783">
        <f t="shared" si="91"/>
        <v>3.7719997134365579</v>
      </c>
      <c r="CG37" s="783"/>
      <c r="CH37" s="864">
        <f>SUM(CH31:CH33)</f>
        <v>2587.9720000000002</v>
      </c>
      <c r="CI37" s="877">
        <f t="shared" si="92"/>
        <v>16.578440606549442</v>
      </c>
      <c r="CJ37" s="783">
        <f t="shared" si="93"/>
        <v>8.2819880921997111</v>
      </c>
      <c r="CK37" s="783"/>
      <c r="CL37" s="864">
        <f>SUM(CL31:CL33)</f>
        <v>2770.4049999999997</v>
      </c>
      <c r="CM37" s="877">
        <f t="shared" si="94"/>
        <v>16.81839661184954</v>
      </c>
      <c r="CN37" s="783">
        <f t="shared" si="95"/>
        <v>7.0492648297585614</v>
      </c>
      <c r="CO37" s="783"/>
      <c r="CP37" s="864">
        <f>SUM(CP31:CP33)</f>
        <v>3010.9219999999996</v>
      </c>
      <c r="CQ37" s="877">
        <f t="shared" si="96"/>
        <v>16.584936961836245</v>
      </c>
      <c r="CR37" s="783">
        <f t="shared" si="97"/>
        <v>8.6816548482983471</v>
      </c>
      <c r="CS37" s="783"/>
      <c r="CT37" s="864">
        <f>SUM(CT31:CT33)</f>
        <v>3251.8969999999999</v>
      </c>
      <c r="CU37" s="877">
        <f t="shared" si="98"/>
        <v>16.57954566833159</v>
      </c>
      <c r="CV37" s="783">
        <f t="shared" si="99"/>
        <v>8.0033624251973468</v>
      </c>
      <c r="CW37" s="883"/>
      <c r="CX37" s="864">
        <f>SUM(CX31:CX33)</f>
        <v>3389.105</v>
      </c>
      <c r="CY37" s="877">
        <f t="shared" si="100"/>
        <v>16.313810220956949</v>
      </c>
      <c r="CZ37" s="783">
        <f t="shared" si="101"/>
        <v>4.2193218296889601</v>
      </c>
      <c r="DA37" s="883"/>
      <c r="DB37" s="864">
        <f>SUM(DB33:DB34)</f>
        <v>2789.52</v>
      </c>
      <c r="DC37" s="877">
        <f>DB37/DB17*100</f>
        <v>16.688153619649228</v>
      </c>
      <c r="DD37" s="783">
        <f t="shared" si="103"/>
        <v>-17.691543932690191</v>
      </c>
      <c r="DE37" s="883"/>
      <c r="DF37" s="864">
        <f>SUM(DF33:DF34)</f>
        <v>3040.1689999999999</v>
      </c>
      <c r="DG37" s="877">
        <f>DF37/DF17*100</f>
        <v>17.118709681415435</v>
      </c>
      <c r="DH37" s="783">
        <f t="shared" si="105"/>
        <v>8.9853809974475887</v>
      </c>
      <c r="DI37" s="883"/>
      <c r="DJ37" s="864">
        <f>SUM(DJ33:DJ34)</f>
        <v>3479.82</v>
      </c>
      <c r="DK37" s="877">
        <f>DJ37/DJ17*100</f>
        <v>17.643515621910325</v>
      </c>
      <c r="DL37" s="783">
        <f t="shared" si="107"/>
        <v>14.461400007696955</v>
      </c>
      <c r="DM37" s="883"/>
      <c r="DN37" s="864">
        <f>SUM(DN33:DN34)</f>
        <v>3620.7062550000001</v>
      </c>
      <c r="DO37" s="877">
        <f>DN37/DN17*100</f>
        <v>17.74087099706481</v>
      </c>
      <c r="DP37" s="783">
        <f>(DN37/DJ37-1)*100</f>
        <v>4.0486650171560612</v>
      </c>
      <c r="DQ37" s="883"/>
      <c r="DR37" s="883"/>
      <c r="DS37" s="794"/>
      <c r="DT37" s="794"/>
      <c r="DU37" s="794"/>
      <c r="DV37" s="794"/>
      <c r="DW37" s="794"/>
      <c r="DX37" s="794"/>
      <c r="DY37" s="794"/>
      <c r="DZ37" s="794"/>
      <c r="EA37" s="794"/>
      <c r="EB37" s="794"/>
    </row>
    <row r="38" spans="1:132" hidden="1" outlineLevel="1" collapsed="1">
      <c r="A38" s="487"/>
      <c r="B38" s="487"/>
      <c r="C38" s="487"/>
      <c r="D38" s="864"/>
      <c r="E38" s="487"/>
      <c r="F38" s="864"/>
      <c r="G38" s="877"/>
      <c r="H38" s="783"/>
      <c r="I38" s="487"/>
      <c r="J38" s="864"/>
      <c r="K38" s="877"/>
      <c r="L38" s="783"/>
      <c r="M38" s="487"/>
      <c r="N38" s="864"/>
      <c r="O38" s="877"/>
      <c r="P38" s="783"/>
      <c r="Q38" s="487"/>
      <c r="R38" s="864"/>
      <c r="S38" s="877"/>
      <c r="T38" s="783"/>
      <c r="U38" s="487"/>
      <c r="V38" s="864"/>
      <c r="W38" s="877"/>
      <c r="X38" s="783"/>
      <c r="Y38" s="487"/>
      <c r="Z38" s="864"/>
      <c r="AA38" s="877"/>
      <c r="AB38" s="783"/>
      <c r="AC38" s="487"/>
      <c r="AD38" s="864"/>
      <c r="AE38" s="877"/>
      <c r="AF38" s="783"/>
      <c r="AG38" s="487"/>
      <c r="AH38" s="864"/>
      <c r="AI38" s="877"/>
      <c r="AJ38" s="783"/>
      <c r="AK38" s="487"/>
      <c r="AL38" s="864"/>
      <c r="AM38" s="877"/>
      <c r="AN38" s="783"/>
      <c r="AO38" s="487"/>
      <c r="AP38" s="864"/>
      <c r="AQ38" s="877"/>
      <c r="AR38" s="783"/>
      <c r="AS38" s="487"/>
      <c r="AT38" s="864"/>
      <c r="AU38" s="877"/>
      <c r="AV38" s="783"/>
      <c r="AW38" s="487"/>
      <c r="AX38" s="864"/>
      <c r="AY38" s="877"/>
      <c r="AZ38" s="783"/>
      <c r="BA38" s="487"/>
      <c r="BB38" s="864"/>
      <c r="BC38" s="877"/>
      <c r="BD38" s="783"/>
      <c r="BE38" s="487"/>
      <c r="BF38" s="864"/>
      <c r="BG38" s="877"/>
      <c r="BH38" s="783"/>
      <c r="BI38" s="487"/>
      <c r="BJ38" s="864"/>
      <c r="BK38" s="877"/>
      <c r="BL38" s="783"/>
      <c r="BM38" s="487"/>
      <c r="BN38" s="864"/>
      <c r="BO38" s="877"/>
      <c r="BP38" s="783"/>
      <c r="BQ38" s="487"/>
      <c r="BR38" s="864"/>
      <c r="BS38" s="877"/>
      <c r="BT38" s="783"/>
      <c r="BU38" s="487"/>
      <c r="BV38" s="567"/>
      <c r="BW38" s="877"/>
      <c r="BX38" s="906"/>
      <c r="BY38" s="783"/>
      <c r="BZ38" s="756"/>
      <c r="CA38" s="877"/>
      <c r="CB38" s="783"/>
      <c r="CC38" s="783"/>
      <c r="CD38" s="907"/>
      <c r="CE38" s="877"/>
      <c r="CF38" s="783"/>
      <c r="CG38" s="783"/>
      <c r="CH38" s="907"/>
      <c r="CI38" s="877"/>
      <c r="CJ38" s="783"/>
      <c r="CK38" s="783"/>
      <c r="CL38" s="907"/>
      <c r="CM38" s="877"/>
      <c r="CN38" s="783"/>
      <c r="CO38" s="783"/>
      <c r="CP38" s="907"/>
      <c r="CQ38" s="877"/>
      <c r="CR38" s="783"/>
      <c r="CS38" s="783"/>
      <c r="CT38" s="558"/>
      <c r="CU38" s="877"/>
      <c r="CV38" s="783"/>
      <c r="CW38" s="883"/>
      <c r="CX38" s="907"/>
      <c r="CY38" s="877"/>
      <c r="CZ38" s="783"/>
      <c r="DA38" s="883"/>
      <c r="DB38" s="907"/>
      <c r="DC38" s="877"/>
      <c r="DD38" s="783"/>
      <c r="DE38" s="883"/>
      <c r="DF38" s="907"/>
      <c r="DG38" s="877"/>
      <c r="DH38" s="783"/>
      <c r="DI38" s="883"/>
      <c r="DJ38" s="907"/>
      <c r="DK38" s="877"/>
      <c r="DL38" s="783"/>
      <c r="DM38" s="883"/>
      <c r="DN38" s="907"/>
      <c r="DO38" s="877"/>
      <c r="DP38" s="783"/>
      <c r="DQ38" s="883"/>
      <c r="DR38" s="883"/>
      <c r="DS38" s="794"/>
      <c r="DT38" s="794"/>
      <c r="DU38" s="794"/>
      <c r="DV38" s="794"/>
      <c r="DW38" s="794"/>
      <c r="DX38" s="794"/>
      <c r="DY38" s="794"/>
      <c r="DZ38" s="794"/>
      <c r="EA38" s="794"/>
      <c r="EB38" s="794"/>
    </row>
    <row r="39" spans="1:132" hidden="1" outlineLevel="1">
      <c r="A39" s="487"/>
      <c r="B39" s="487"/>
      <c r="C39" s="807"/>
      <c r="D39" s="808"/>
      <c r="E39" s="809"/>
      <c r="F39" s="809" t="str">
        <f>Z39</f>
        <v>3.  Operating Expenses - Selling, General &amp; Administrative Expenses   (% of Sales)</v>
      </c>
      <c r="G39" s="811"/>
      <c r="H39" s="811"/>
      <c r="I39" s="811"/>
      <c r="J39" s="810"/>
      <c r="K39" s="811"/>
      <c r="L39" s="811"/>
      <c r="M39" s="811"/>
      <c r="N39" s="810"/>
      <c r="O39" s="811"/>
      <c r="P39" s="811"/>
      <c r="Q39" s="811"/>
      <c r="R39" s="810"/>
      <c r="S39" s="811"/>
      <c r="T39" s="811"/>
      <c r="U39" s="811"/>
      <c r="V39" s="810"/>
      <c r="W39" s="811"/>
      <c r="X39" s="811"/>
      <c r="Y39" s="487"/>
      <c r="Z39" s="810" t="s">
        <v>155</v>
      </c>
      <c r="AA39" s="811"/>
      <c r="AC39" s="811"/>
      <c r="AD39" s="810"/>
      <c r="AE39" s="811"/>
      <c r="AF39" s="811"/>
      <c r="AG39" s="811"/>
      <c r="AH39" s="810"/>
      <c r="AI39" s="811"/>
      <c r="AJ39" s="811"/>
      <c r="AK39" s="811"/>
      <c r="AL39" s="810"/>
      <c r="AM39" s="811"/>
      <c r="AN39" s="811"/>
      <c r="AO39" s="701"/>
      <c r="AP39" s="487"/>
      <c r="AQ39" s="811"/>
      <c r="AR39" s="811"/>
      <c r="AS39" s="811"/>
      <c r="AT39" s="487"/>
      <c r="AU39" s="810"/>
      <c r="AV39" s="810"/>
      <c r="AW39" s="810"/>
      <c r="AX39" s="810"/>
      <c r="AY39" s="810"/>
      <c r="AZ39" s="810"/>
      <c r="BA39" s="810"/>
      <c r="BB39" s="810"/>
      <c r="BC39" s="810"/>
      <c r="BD39" s="810"/>
      <c r="BE39" s="810"/>
      <c r="BF39" s="487"/>
      <c r="BG39" s="810"/>
      <c r="BH39" s="810"/>
      <c r="BI39" s="810"/>
      <c r="BJ39" s="810" t="s">
        <v>155</v>
      </c>
      <c r="BK39" s="810"/>
      <c r="BL39" s="810"/>
      <c r="BM39" s="810"/>
      <c r="BN39" s="810"/>
      <c r="BO39" s="810"/>
      <c r="BP39" s="810"/>
      <c r="BQ39" s="810"/>
      <c r="BR39" s="810"/>
      <c r="BS39" s="810"/>
      <c r="BT39" s="810"/>
      <c r="BU39" s="810"/>
      <c r="BV39" s="810"/>
      <c r="BW39" s="810"/>
      <c r="BX39" s="810"/>
      <c r="BY39" s="810"/>
      <c r="BZ39" s="810"/>
      <c r="CA39" s="810"/>
      <c r="CB39" s="810"/>
      <c r="CC39" s="810"/>
      <c r="CD39" s="810"/>
      <c r="CE39" s="810"/>
      <c r="CF39" s="810" t="s">
        <v>155</v>
      </c>
      <c r="CG39" s="810"/>
      <c r="CH39" s="810"/>
      <c r="CI39" s="810"/>
      <c r="CJ39" s="810"/>
      <c r="CK39" s="810"/>
      <c r="CL39" s="810"/>
      <c r="CM39" s="810"/>
      <c r="CN39" s="810"/>
      <c r="CO39" s="810"/>
      <c r="CP39" s="810"/>
      <c r="CQ39" s="810"/>
      <c r="CR39" s="810"/>
      <c r="CS39" s="810"/>
      <c r="CT39" s="810"/>
      <c r="CU39" s="810"/>
      <c r="CV39" s="810"/>
      <c r="CW39" s="794"/>
      <c r="CX39" s="810"/>
      <c r="CY39" s="810"/>
      <c r="CZ39" s="810"/>
      <c r="DA39" s="794"/>
      <c r="DB39" s="810"/>
      <c r="DC39" s="810"/>
      <c r="DD39" s="810"/>
      <c r="DE39" s="794"/>
      <c r="DF39" s="810"/>
      <c r="DG39" s="810"/>
      <c r="DH39" s="810"/>
      <c r="DI39" s="794"/>
      <c r="DJ39" s="810"/>
      <c r="DK39" s="810"/>
      <c r="DL39" s="810"/>
      <c r="DM39" s="794"/>
      <c r="DN39" s="810"/>
      <c r="DO39" s="810"/>
      <c r="DP39" s="810"/>
      <c r="DQ39" s="794"/>
      <c r="DR39" s="794"/>
      <c r="DS39" s="794"/>
      <c r="DT39" s="794"/>
      <c r="DU39" s="794"/>
      <c r="DV39" s="794"/>
      <c r="DW39" s="794"/>
      <c r="DX39" s="794"/>
      <c r="DY39" s="794"/>
      <c r="DZ39" s="794"/>
      <c r="EA39" s="794"/>
      <c r="EB39" s="794"/>
    </row>
    <row r="40" spans="1:132" hidden="1" outlineLevel="1">
      <c r="A40" s="487"/>
      <c r="B40" s="487"/>
      <c r="C40" s="487"/>
      <c r="D40" s="487"/>
      <c r="E40" s="487"/>
      <c r="F40" s="487"/>
      <c r="G40" s="487"/>
      <c r="H40" s="487"/>
      <c r="I40" s="487"/>
      <c r="J40" s="487"/>
      <c r="K40" s="487"/>
      <c r="L40" s="487"/>
      <c r="M40" s="487"/>
      <c r="N40" s="487"/>
      <c r="O40" s="487"/>
      <c r="P40" s="487"/>
      <c r="Q40" s="487"/>
      <c r="R40" s="487"/>
      <c r="S40" s="487"/>
      <c r="T40" s="487"/>
      <c r="U40" s="487"/>
      <c r="V40" s="487"/>
      <c r="W40" s="487"/>
      <c r="X40" s="487"/>
      <c r="Y40" s="487"/>
      <c r="Z40" s="487"/>
      <c r="AA40" s="487"/>
      <c r="AB40" s="487"/>
      <c r="AC40" s="487"/>
      <c r="AD40" s="487"/>
      <c r="AE40" s="487"/>
      <c r="AF40" s="487"/>
      <c r="AG40" s="487"/>
      <c r="AH40" s="487"/>
      <c r="AI40" s="487"/>
      <c r="AJ40" s="487"/>
      <c r="AK40" s="487"/>
      <c r="AL40" s="487"/>
      <c r="AM40" s="487"/>
      <c r="AN40" s="487"/>
      <c r="AO40" s="487"/>
      <c r="AP40" s="487"/>
      <c r="AQ40" s="487"/>
      <c r="AR40" s="487"/>
      <c r="AS40" s="487"/>
      <c r="AT40" s="487"/>
      <c r="AU40" s="487"/>
      <c r="AV40" s="487"/>
      <c r="AW40" s="487"/>
      <c r="AX40" s="487"/>
      <c r="AY40" s="487"/>
      <c r="AZ40" s="487"/>
      <c r="BA40" s="487"/>
      <c r="BB40" s="487"/>
      <c r="BC40" s="487"/>
      <c r="BD40" s="487"/>
      <c r="BE40" s="487"/>
      <c r="BF40" s="487"/>
      <c r="BG40" s="845"/>
      <c r="BH40" s="487"/>
      <c r="BI40" s="487"/>
      <c r="BJ40" s="487"/>
      <c r="BK40" s="487"/>
      <c r="BL40" s="487"/>
      <c r="BM40" s="487"/>
      <c r="BN40" s="487"/>
      <c r="BO40" s="487"/>
      <c r="BP40" s="487"/>
      <c r="BQ40" s="487"/>
      <c r="BR40" s="487"/>
      <c r="BS40" s="487"/>
      <c r="BT40" s="487"/>
      <c r="BU40" s="487"/>
      <c r="BV40" s="487"/>
      <c r="BW40" s="487"/>
      <c r="BX40" s="487"/>
      <c r="BY40" s="487"/>
      <c r="BZ40" s="487"/>
      <c r="CA40" s="487"/>
      <c r="CB40" s="487"/>
      <c r="CC40" s="487"/>
      <c r="CD40" s="487"/>
      <c r="CE40" s="487"/>
      <c r="CF40" s="487"/>
      <c r="CG40" s="487"/>
      <c r="CH40" s="487"/>
      <c r="CI40" s="487"/>
      <c r="CJ40" s="487"/>
      <c r="CK40" s="487"/>
      <c r="CL40" s="487"/>
      <c r="CM40" s="487"/>
      <c r="CN40" s="487"/>
      <c r="CO40" s="487"/>
      <c r="CP40" s="487"/>
      <c r="CQ40" s="487"/>
      <c r="CR40" s="487"/>
      <c r="CS40" s="487"/>
      <c r="CT40" s="487"/>
      <c r="CU40" s="487"/>
      <c r="CV40" s="487"/>
      <c r="CW40" s="794"/>
      <c r="CX40" s="487"/>
      <c r="CY40" s="487"/>
      <c r="CZ40" s="487"/>
      <c r="DA40" s="794"/>
      <c r="DB40" s="487"/>
      <c r="DC40" s="487"/>
      <c r="DD40" s="487"/>
      <c r="DE40" s="794"/>
      <c r="DF40" s="487"/>
      <c r="DG40" s="487"/>
      <c r="DH40" s="487"/>
      <c r="DI40" s="794"/>
      <c r="DJ40" s="487"/>
      <c r="DK40" s="487"/>
      <c r="DL40" s="487"/>
      <c r="DM40" s="794"/>
      <c r="DN40" s="487"/>
      <c r="DO40" s="487"/>
      <c r="DP40" s="487"/>
      <c r="DQ40" s="794"/>
      <c r="DR40" s="794"/>
      <c r="DS40" s="794"/>
      <c r="DT40" s="794"/>
      <c r="DU40" s="794"/>
      <c r="DV40" s="794"/>
      <c r="DW40" s="794"/>
      <c r="DX40" s="794"/>
      <c r="DY40" s="794"/>
      <c r="DZ40" s="794"/>
      <c r="EA40" s="794"/>
      <c r="EB40" s="794"/>
    </row>
    <row r="41" spans="1:132" hidden="1" outlineLevel="1">
      <c r="A41" s="487" t="str">
        <f>$A$10</f>
        <v>1Q</v>
      </c>
      <c r="B41" s="487" t="str">
        <f>$B$10</f>
        <v>Apr</v>
      </c>
      <c r="C41" s="487"/>
      <c r="D41" s="814"/>
      <c r="E41" s="487"/>
      <c r="F41" s="814">
        <v>92.161000000000001</v>
      </c>
      <c r="G41" s="877">
        <f t="shared" ref="G41:G47" si="109">F41/F21*100</f>
        <v>23.570407388178609</v>
      </c>
      <c r="H41" s="783"/>
      <c r="I41" s="487"/>
      <c r="J41" s="814">
        <v>112.947</v>
      </c>
      <c r="K41" s="877">
        <f t="shared" ref="K41:K47" si="110">J41/J21*100</f>
        <v>24.624893714435213</v>
      </c>
      <c r="L41" s="783"/>
      <c r="M41" s="487"/>
      <c r="N41" s="814">
        <v>129.941</v>
      </c>
      <c r="O41" s="877">
        <f t="shared" ref="O41:O47" si="111">N41/N21*100</f>
        <v>25.586492074431426</v>
      </c>
      <c r="P41" s="783"/>
      <c r="Q41" s="487"/>
      <c r="R41" s="821">
        <v>102.857</v>
      </c>
      <c r="S41" s="877">
        <f t="shared" ref="S41:S47" si="112">R41/R21*100</f>
        <v>22.607524045647164</v>
      </c>
      <c r="T41" s="783"/>
      <c r="U41" s="487"/>
      <c r="V41" s="821">
        <v>115.13800000000001</v>
      </c>
      <c r="W41" s="877">
        <f t="shared" ref="W41:W47" si="113">V41/V21*100</f>
        <v>22.988106433147852</v>
      </c>
      <c r="X41" s="783"/>
      <c r="Y41" s="487"/>
      <c r="Z41" s="821">
        <v>127.869</v>
      </c>
      <c r="AA41" s="877">
        <f t="shared" ref="AA41:AA47" si="114">Z41/Z21*100</f>
        <v>22.619951069622303</v>
      </c>
      <c r="AB41" s="783">
        <f t="shared" ref="AB41:AB47" si="115">IF(V41&lt;0,"       NM",(Z41/V41-1)*100)</f>
        <v>11.05716618318886</v>
      </c>
      <c r="AC41" s="487"/>
      <c r="AD41" s="820">
        <v>251.15100000000001</v>
      </c>
      <c r="AE41" s="877">
        <f t="shared" ref="AE41:AE47" si="116">AD41/AD21*100</f>
        <v>21.514461275408852</v>
      </c>
      <c r="AF41" s="783">
        <f t="shared" ref="AF41:AF47" si="117">IF(Z41&lt;0,"       NM",(AD41/Z41-1)*100)</f>
        <v>96.412734908382802</v>
      </c>
      <c r="AG41" s="487"/>
      <c r="AH41" s="820">
        <v>273.738</v>
      </c>
      <c r="AI41" s="877">
        <f t="shared" ref="AI41:AI47" si="118">AH41/AH21*100</f>
        <v>22.761822322780535</v>
      </c>
      <c r="AJ41" s="783">
        <f t="shared" ref="AJ41:AJ47" si="119">(AH41/AD41-1)*100</f>
        <v>8.9933944121265661</v>
      </c>
      <c r="AK41" s="487"/>
      <c r="AL41" s="821">
        <v>299.83499999999998</v>
      </c>
      <c r="AM41" s="877">
        <f t="shared" ref="AM41:AM47" si="120">AL41/AL21*100</f>
        <v>22.765944361303021</v>
      </c>
      <c r="AN41" s="783">
        <f t="shared" ref="AN41:AN47" si="121">(AL41/AH41-1)*100</f>
        <v>9.5335685947877113</v>
      </c>
      <c r="AO41" s="735"/>
      <c r="AP41" s="821">
        <v>310.67599999999999</v>
      </c>
      <c r="AQ41" s="877">
        <f t="shared" ref="AQ41:AQ47" si="122">AP41/AP21*100</f>
        <v>21.897219606538521</v>
      </c>
      <c r="AR41" s="783">
        <f t="shared" ref="AR41:AR47" si="123">(AP41/AL41-1)*100</f>
        <v>3.6156552770690631</v>
      </c>
      <c r="AS41" s="487"/>
      <c r="AT41" s="908"/>
      <c r="AU41" s="909"/>
      <c r="AV41" s="910"/>
      <c r="AW41" s="499"/>
      <c r="AX41" s="908"/>
      <c r="AY41" s="909"/>
      <c r="AZ41" s="910"/>
      <c r="BA41" s="499"/>
      <c r="BB41" s="911"/>
      <c r="BC41" s="909"/>
      <c r="BD41" s="910"/>
      <c r="BE41" s="499"/>
      <c r="BF41" s="912">
        <v>19.632999999999999</v>
      </c>
      <c r="BG41" s="877">
        <f t="shared" ref="BG41:BG47" si="124">BF41/BF10*100</f>
        <v>0.70401853189921482</v>
      </c>
      <c r="BH41" s="910"/>
      <c r="BI41" s="487"/>
      <c r="BJ41" s="912">
        <v>21.978999999999999</v>
      </c>
      <c r="BK41" s="877">
        <f t="shared" ref="BK41:BK47" si="125">BJ41/BJ10*100</f>
        <v>0.65555395487328705</v>
      </c>
      <c r="BL41" s="783"/>
      <c r="BM41" s="487"/>
      <c r="BN41" s="912">
        <v>22.937999999999999</v>
      </c>
      <c r="BO41" s="877">
        <f t="shared" ref="BO41:BO47" si="126">BN41/BN10*100</f>
        <v>0.62812343400432102</v>
      </c>
      <c r="BP41" s="783"/>
      <c r="BQ41" s="877"/>
      <c r="BR41" s="912">
        <v>19.5</v>
      </c>
      <c r="BS41" s="877">
        <f t="shared" ref="BS41:BS47" si="127">BR41/BR10*100</f>
        <v>0.50371249020989572</v>
      </c>
      <c r="BT41" s="783">
        <f t="shared" ref="BT41:BT47" si="128">(BR41/BN41-1)*100</f>
        <v>-14.988229139419296</v>
      </c>
      <c r="BU41" s="877"/>
      <c r="BV41" s="912">
        <f>30-BV42</f>
        <v>14.4</v>
      </c>
      <c r="BW41" s="877">
        <f t="shared" ref="BW41:BW47" si="129">BV41/BV10*100</f>
        <v>0.35052862881720198</v>
      </c>
      <c r="BX41" s="783">
        <f t="shared" ref="BX41:BX47" si="130">(BV41/BR41-1)*100</f>
        <v>-26.15384615384615</v>
      </c>
      <c r="BY41" s="783"/>
      <c r="BZ41" s="912">
        <f>24.7-BZ42</f>
        <v>12.2</v>
      </c>
      <c r="CA41" s="877">
        <f t="shared" ref="CA41:CA47" si="131">BZ41/BZ10*100</f>
        <v>0.28348655936777845</v>
      </c>
      <c r="CB41" s="783">
        <f t="shared" ref="CB41:CB47" si="132">(BZ41/BV41-1)*100</f>
        <v>-15.277777777777789</v>
      </c>
      <c r="CC41" s="783"/>
      <c r="CD41" s="912">
        <v>12</v>
      </c>
      <c r="CE41" s="877">
        <f t="shared" ref="CE41:CE47" si="133">CD41/CD10*100</f>
        <v>0.27559445724427589</v>
      </c>
      <c r="CF41" s="783">
        <f t="shared" ref="CF41:CF47" si="134">(CD41/BZ41-1)*100</f>
        <v>-1.6393442622950727</v>
      </c>
      <c r="CG41" s="783"/>
      <c r="CH41" s="912">
        <v>12</v>
      </c>
      <c r="CI41" s="877">
        <f t="shared" ref="CI41:CI47" si="135">CH41/CH10*100</f>
        <v>0.23920869762824576</v>
      </c>
      <c r="CJ41" s="783">
        <f t="shared" ref="CJ41:CJ47" si="136">(CH41/CD41-1)*100</f>
        <v>0</v>
      </c>
      <c r="CK41" s="783"/>
      <c r="CL41" s="912">
        <v>12</v>
      </c>
      <c r="CM41" s="877">
        <f t="shared" ref="CM41:CM47" si="137">CL41/CL10*100</f>
        <v>0.23027917896261532</v>
      </c>
      <c r="CN41" s="783">
        <f t="shared" ref="CN41:CN47" si="138">(CL41/CH41-1)*100</f>
        <v>0</v>
      </c>
      <c r="CO41" s="783"/>
      <c r="CP41" s="912">
        <v>12</v>
      </c>
      <c r="CQ41" s="877">
        <f t="shared" ref="CQ41:CQ47" si="139">CP41/CP10*100</f>
        <v>0.20696485012467905</v>
      </c>
      <c r="CR41" s="783">
        <f t="shared" ref="CR41:CR47" si="140">(CP41/CL41-1)*100</f>
        <v>0</v>
      </c>
      <c r="CS41" s="783"/>
      <c r="CT41" s="912">
        <v>12</v>
      </c>
      <c r="CU41" s="877">
        <f t="shared" ref="CU41:CU47" si="141">CT41/CT10*100</f>
        <v>0.19387331251457079</v>
      </c>
      <c r="CV41" s="783">
        <f t="shared" ref="CV41:CV47" si="142">(CT41/CP41-1)*100</f>
        <v>0</v>
      </c>
      <c r="CW41" s="883"/>
      <c r="CX41" s="912">
        <v>12</v>
      </c>
      <c r="CY41" s="877">
        <f t="shared" ref="CY41:CY47" si="143">CX41/CX10*100</f>
        <v>0.18486634779275743</v>
      </c>
      <c r="CZ41" s="783">
        <f t="shared" ref="CZ41:CZ47" si="144">(CX41/CT41-1)*100</f>
        <v>0</v>
      </c>
      <c r="DA41" s="883"/>
      <c r="DB41" s="912">
        <v>12</v>
      </c>
      <c r="DC41" s="877">
        <f t="shared" ref="DC41:DC47" si="145">DB41/DB10*100</f>
        <v>0.17478349059235146</v>
      </c>
      <c r="DD41" s="783">
        <f t="shared" ref="DD41:DD47" si="146">(DB41/CX41-1)*100</f>
        <v>0</v>
      </c>
      <c r="DE41" s="883"/>
      <c r="DF41" s="912">
        <v>12</v>
      </c>
      <c r="DG41" s="877">
        <f t="shared" ref="DG41:DG47" si="147">DF41/DF10*100</f>
        <v>0.15910147969679503</v>
      </c>
      <c r="DH41" s="783">
        <f t="shared" ref="DH41:DH47" si="148">(DF41/DB41-1)*100</f>
        <v>0</v>
      </c>
      <c r="DI41" s="883"/>
      <c r="DJ41" s="912">
        <v>12</v>
      </c>
      <c r="DK41" s="877">
        <f t="shared" ref="DK41:DK47" si="149">DJ41/DJ10*100</f>
        <v>0.1541619090588621</v>
      </c>
      <c r="DL41" s="783">
        <f t="shared" ref="DL41:DL47" si="150">(DJ41/DF41-1)*100</f>
        <v>0</v>
      </c>
      <c r="DM41" s="883"/>
      <c r="DN41" s="912">
        <v>12</v>
      </c>
      <c r="DO41" s="877">
        <f t="shared" ref="DO41:DO47" si="151">DN41/DN10*100</f>
        <v>0.14104432897730304</v>
      </c>
      <c r="DP41" s="783">
        <f t="shared" ref="DP41:DP47" si="152">(DN41/DJ41-1)*100</f>
        <v>0</v>
      </c>
      <c r="DQ41" s="883"/>
      <c r="DR41" s="883"/>
      <c r="DS41" s="794"/>
      <c r="DT41" s="794"/>
      <c r="DU41" s="794"/>
      <c r="DV41" s="794">
        <f>202/996</f>
        <v>0.20281124497991967</v>
      </c>
      <c r="DW41" s="794"/>
      <c r="DX41" s="794"/>
      <c r="DY41" s="794"/>
      <c r="DZ41" s="794"/>
      <c r="EA41" s="794"/>
      <c r="EB41" s="794"/>
    </row>
    <row r="42" spans="1:132" hidden="1" outlineLevel="1">
      <c r="A42" s="487" t="str">
        <f>$A$11</f>
        <v>2Q</v>
      </c>
      <c r="B42" s="487" t="str">
        <f>$B$11</f>
        <v>Jul</v>
      </c>
      <c r="C42" s="487"/>
      <c r="D42" s="831"/>
      <c r="E42" s="487"/>
      <c r="F42" s="831">
        <v>102.491</v>
      </c>
      <c r="G42" s="877">
        <f t="shared" si="109"/>
        <v>23.333234680101718</v>
      </c>
      <c r="H42" s="783"/>
      <c r="I42" s="487"/>
      <c r="J42" s="831">
        <v>118.48699999999999</v>
      </c>
      <c r="K42" s="877">
        <f t="shared" si="110"/>
        <v>23.672496533646601</v>
      </c>
      <c r="L42" s="783"/>
      <c r="M42" s="487"/>
      <c r="N42" s="831">
        <v>137.91999999999999</v>
      </c>
      <c r="O42" s="877">
        <f t="shared" si="111"/>
        <v>23.92098028843235</v>
      </c>
      <c r="P42" s="783"/>
      <c r="Q42" s="487"/>
      <c r="R42" s="836">
        <v>110.099</v>
      </c>
      <c r="S42" s="877">
        <f t="shared" si="112"/>
        <v>21.95761603139908</v>
      </c>
      <c r="T42" s="783"/>
      <c r="U42" s="487"/>
      <c r="V42" s="836">
        <v>125.636</v>
      </c>
      <c r="W42" s="877">
        <f t="shared" si="113"/>
        <v>23.756632365565778</v>
      </c>
      <c r="X42" s="783"/>
      <c r="Y42" s="487"/>
      <c r="Z42" s="836">
        <v>134.05799999999999</v>
      </c>
      <c r="AA42" s="877">
        <f t="shared" si="114"/>
        <v>22.27887397441032</v>
      </c>
      <c r="AB42" s="783">
        <f t="shared" si="115"/>
        <v>6.7034926295010955</v>
      </c>
      <c r="AC42" s="487"/>
      <c r="AD42" s="834">
        <v>257.91399999999999</v>
      </c>
      <c r="AE42" s="877">
        <f t="shared" si="116"/>
        <v>21.102610887014293</v>
      </c>
      <c r="AF42" s="783">
        <f t="shared" si="117"/>
        <v>92.389861104894891</v>
      </c>
      <c r="AG42" s="487"/>
      <c r="AH42" s="834">
        <v>283.78800000000001</v>
      </c>
      <c r="AI42" s="877">
        <f t="shared" si="118"/>
        <v>21.44610927096015</v>
      </c>
      <c r="AJ42" s="783">
        <f t="shared" si="119"/>
        <v>10.03202617926906</v>
      </c>
      <c r="AK42" s="487"/>
      <c r="AL42" s="836">
        <v>303.33199999999999</v>
      </c>
      <c r="AM42" s="877">
        <f t="shared" si="120"/>
        <v>21.355663476445066</v>
      </c>
      <c r="AN42" s="783">
        <f t="shared" si="121"/>
        <v>6.8868310147011114</v>
      </c>
      <c r="AO42" s="487"/>
      <c r="AP42" s="836">
        <v>330.48099999999999</v>
      </c>
      <c r="AQ42" s="877">
        <f t="shared" si="122"/>
        <v>20.847274369688527</v>
      </c>
      <c r="AR42" s="783">
        <f t="shared" si="123"/>
        <v>8.9502591220181227</v>
      </c>
      <c r="AS42" s="487"/>
      <c r="AT42" s="846"/>
      <c r="AU42" s="909"/>
      <c r="AV42" s="910"/>
      <c r="AW42" s="499"/>
      <c r="AX42" s="846"/>
      <c r="AY42" s="909"/>
      <c r="AZ42" s="910"/>
      <c r="BA42" s="499"/>
      <c r="BB42" s="913"/>
      <c r="BC42" s="909"/>
      <c r="BD42" s="910"/>
      <c r="BE42" s="499"/>
      <c r="BF42" s="914">
        <v>19.617000000000001</v>
      </c>
      <c r="BG42" s="877">
        <f t="shared" si="124"/>
        <v>0.64398604943102578</v>
      </c>
      <c r="BH42" s="910"/>
      <c r="BI42" s="487"/>
      <c r="BJ42" s="914">
        <v>20.984999999999999</v>
      </c>
      <c r="BK42" s="877">
        <f t="shared" si="125"/>
        <v>0.61462319951427635</v>
      </c>
      <c r="BL42" s="783"/>
      <c r="BM42" s="487"/>
      <c r="BN42" s="914">
        <v>20.545999999999999</v>
      </c>
      <c r="BO42" s="877">
        <f t="shared" si="126"/>
        <v>0.5632334082447108</v>
      </c>
      <c r="BP42" s="783"/>
      <c r="BQ42" s="877"/>
      <c r="BR42" s="914">
        <v>19.43</v>
      </c>
      <c r="BS42" s="877">
        <f t="shared" si="127"/>
        <v>0.49020362246096338</v>
      </c>
      <c r="BT42" s="783">
        <f t="shared" si="128"/>
        <v>-5.4317142022778153</v>
      </c>
      <c r="BU42" s="877"/>
      <c r="BV42" s="914">
        <v>15.6</v>
      </c>
      <c r="BW42" s="877">
        <f t="shared" si="129"/>
        <v>0.36167220535191402</v>
      </c>
      <c r="BX42" s="783">
        <f t="shared" si="130"/>
        <v>-19.711785898095723</v>
      </c>
      <c r="BY42" s="783"/>
      <c r="BZ42" s="914">
        <v>12.5</v>
      </c>
      <c r="CA42" s="877">
        <f t="shared" si="131"/>
        <v>0.27446016430283271</v>
      </c>
      <c r="CB42" s="783">
        <f t="shared" si="132"/>
        <v>-19.871794871794869</v>
      </c>
      <c r="CC42" s="783"/>
      <c r="CD42" s="914">
        <v>12</v>
      </c>
      <c r="CE42" s="877">
        <f t="shared" si="133"/>
        <v>0.25276312219748887</v>
      </c>
      <c r="CF42" s="783">
        <f t="shared" si="134"/>
        <v>-4.0000000000000036</v>
      </c>
      <c r="CG42" s="783"/>
      <c r="CH42" s="914">
        <v>12</v>
      </c>
      <c r="CI42" s="877">
        <f t="shared" si="135"/>
        <v>0.23677605720509542</v>
      </c>
      <c r="CJ42" s="783">
        <f t="shared" si="136"/>
        <v>0</v>
      </c>
      <c r="CK42" s="783"/>
      <c r="CL42" s="914">
        <v>12</v>
      </c>
      <c r="CM42" s="877">
        <f t="shared" si="137"/>
        <v>0.21944767215395572</v>
      </c>
      <c r="CN42" s="783">
        <f t="shared" si="138"/>
        <v>0</v>
      </c>
      <c r="CO42" s="783"/>
      <c r="CP42" s="914">
        <v>12</v>
      </c>
      <c r="CQ42" s="877">
        <f t="shared" si="139"/>
        <v>0.20183131644980731</v>
      </c>
      <c r="CR42" s="783">
        <f t="shared" si="140"/>
        <v>0</v>
      </c>
      <c r="CS42" s="783"/>
      <c r="CT42" s="914">
        <v>12</v>
      </c>
      <c r="CU42" s="877">
        <f t="shared" si="141"/>
        <v>0.18626529393284266</v>
      </c>
      <c r="CV42" s="783">
        <f t="shared" si="142"/>
        <v>0</v>
      </c>
      <c r="CW42" s="883"/>
      <c r="CX42" s="914">
        <v>12</v>
      </c>
      <c r="CY42" s="877">
        <f t="shared" si="143"/>
        <v>0.17348029813167501</v>
      </c>
      <c r="CZ42" s="783">
        <f t="shared" si="144"/>
        <v>0</v>
      </c>
      <c r="DA42" s="883"/>
      <c r="DB42" s="914">
        <v>12</v>
      </c>
      <c r="DC42" s="877">
        <f t="shared" si="145"/>
        <v>0.1629608686140219</v>
      </c>
      <c r="DD42" s="783">
        <f t="shared" si="146"/>
        <v>0</v>
      </c>
      <c r="DE42" s="883"/>
      <c r="DF42" s="914">
        <v>12</v>
      </c>
      <c r="DG42" s="877">
        <f t="shared" si="147"/>
        <v>0.1522445992179956</v>
      </c>
      <c r="DH42" s="783">
        <f t="shared" si="148"/>
        <v>0</v>
      </c>
      <c r="DI42" s="883"/>
      <c r="DJ42" s="914">
        <v>12</v>
      </c>
      <c r="DK42" s="877">
        <f t="shared" si="149"/>
        <v>0.14358017157830502</v>
      </c>
      <c r="DL42" s="783">
        <f t="shared" si="150"/>
        <v>0</v>
      </c>
      <c r="DM42" s="883"/>
      <c r="DN42" s="914">
        <v>12</v>
      </c>
      <c r="DO42" s="877">
        <f t="shared" si="151"/>
        <v>0.1344537585387135</v>
      </c>
      <c r="DP42" s="783">
        <f t="shared" si="152"/>
        <v>0</v>
      </c>
      <c r="DQ42" s="883"/>
      <c r="DR42" s="883"/>
      <c r="DS42" s="794"/>
      <c r="DT42" s="794"/>
      <c r="DU42" s="794"/>
      <c r="DV42" s="794"/>
      <c r="DW42" s="794"/>
      <c r="DX42" s="794"/>
      <c r="DY42" s="794"/>
      <c r="DZ42" s="794"/>
      <c r="EA42" s="794"/>
      <c r="EB42" s="794"/>
    </row>
    <row r="43" spans="1:132" hidden="1" outlineLevel="1">
      <c r="A43" s="487" t="str">
        <f>$A$12</f>
        <v>3Q</v>
      </c>
      <c r="B43" s="487" t="str">
        <f>$B$12</f>
        <v>Oct</v>
      </c>
      <c r="C43" s="487"/>
      <c r="D43" s="831"/>
      <c r="E43" s="487"/>
      <c r="F43" s="831">
        <v>106.721</v>
      </c>
      <c r="G43" s="877">
        <f t="shared" si="109"/>
        <v>22.137657935732523</v>
      </c>
      <c r="H43" s="783"/>
      <c r="I43" s="487"/>
      <c r="J43" s="831">
        <v>123.05800000000001</v>
      </c>
      <c r="K43" s="877">
        <f t="shared" si="110"/>
        <v>23.325921840021689</v>
      </c>
      <c r="L43" s="783"/>
      <c r="M43" s="487"/>
      <c r="N43" s="831">
        <v>149.196</v>
      </c>
      <c r="O43" s="877">
        <f t="shared" si="111"/>
        <v>24.271193940498193</v>
      </c>
      <c r="P43" s="783"/>
      <c r="Q43" s="487"/>
      <c r="R43" s="836">
        <v>118.913</v>
      </c>
      <c r="S43" s="877">
        <f t="shared" si="112"/>
        <v>21.354928965359949</v>
      </c>
      <c r="T43" s="783"/>
      <c r="U43" s="487"/>
      <c r="V43" s="836">
        <v>131.07900000000001</v>
      </c>
      <c r="W43" s="877">
        <f t="shared" si="113"/>
        <v>21.48829020232721</v>
      </c>
      <c r="X43" s="783"/>
      <c r="Y43" s="487"/>
      <c r="Z43" s="834">
        <v>145.64400000000001</v>
      </c>
      <c r="AA43" s="877">
        <f t="shared" si="114"/>
        <v>22.013306772185761</v>
      </c>
      <c r="AB43" s="783">
        <f t="shared" si="115"/>
        <v>11.111619710251075</v>
      </c>
      <c r="AC43" s="487"/>
      <c r="AD43" s="834">
        <v>266.91800000000001</v>
      </c>
      <c r="AE43" s="877">
        <f t="shared" si="116"/>
        <v>20.449240042872326</v>
      </c>
      <c r="AF43" s="783">
        <f t="shared" si="117"/>
        <v>83.267419186509571</v>
      </c>
      <c r="AG43" s="487"/>
      <c r="AH43" s="836">
        <v>287.20499999999998</v>
      </c>
      <c r="AI43" s="877">
        <f t="shared" si="118"/>
        <v>20.306702226345084</v>
      </c>
      <c r="AJ43" s="783">
        <f t="shared" si="119"/>
        <v>7.6004615649750029</v>
      </c>
      <c r="AK43" s="487"/>
      <c r="AL43" s="836">
        <v>322.53100000000001</v>
      </c>
      <c r="AM43" s="877">
        <f t="shared" si="120"/>
        <v>21.996549090214693</v>
      </c>
      <c r="AN43" s="783">
        <f t="shared" si="121"/>
        <v>12.299925140579028</v>
      </c>
      <c r="AO43" s="487"/>
      <c r="AP43" s="836">
        <v>338.31900000000002</v>
      </c>
      <c r="AQ43" s="877">
        <f t="shared" si="122"/>
        <v>20.550638716613921</v>
      </c>
      <c r="AR43" s="783">
        <f t="shared" si="123"/>
        <v>4.8950333456319051</v>
      </c>
      <c r="AS43" s="487"/>
      <c r="AT43" s="846"/>
      <c r="AU43" s="909"/>
      <c r="AV43" s="910"/>
      <c r="AW43" s="499"/>
      <c r="AX43" s="846"/>
      <c r="AY43" s="909"/>
      <c r="AZ43" s="910"/>
      <c r="BA43" s="499"/>
      <c r="BB43" s="913"/>
      <c r="BC43" s="909"/>
      <c r="BD43" s="910"/>
      <c r="BE43" s="499"/>
      <c r="BF43" s="914">
        <v>21.704999999999998</v>
      </c>
      <c r="BG43" s="877">
        <f t="shared" si="124"/>
        <v>0.64074708660078417</v>
      </c>
      <c r="BH43" s="910"/>
      <c r="BI43" s="487"/>
      <c r="BJ43" s="914">
        <v>26.824000000000002</v>
      </c>
      <c r="BK43" s="877">
        <f t="shared" si="125"/>
        <v>0.70268641858881165</v>
      </c>
      <c r="BL43" s="783"/>
      <c r="BM43" s="487"/>
      <c r="BN43" s="914">
        <v>22.027999999999999</v>
      </c>
      <c r="BO43" s="877">
        <f t="shared" si="126"/>
        <v>0.54498959898186794</v>
      </c>
      <c r="BP43" s="783"/>
      <c r="BQ43" s="487"/>
      <c r="BR43" s="914">
        <v>23.8</v>
      </c>
      <c r="BS43" s="877">
        <f t="shared" si="127"/>
        <v>0.53208815761792627</v>
      </c>
      <c r="BT43" s="783">
        <f t="shared" si="128"/>
        <v>8.0443072453241449</v>
      </c>
      <c r="BU43" s="487"/>
      <c r="BV43" s="914">
        <v>15</v>
      </c>
      <c r="BW43" s="877">
        <f t="shared" si="129"/>
        <v>0.32197699023636978</v>
      </c>
      <c r="BX43" s="783">
        <f t="shared" si="130"/>
        <v>-36.97478991596639</v>
      </c>
      <c r="BY43" s="783"/>
      <c r="BZ43" s="914">
        <v>12.5</v>
      </c>
      <c r="CA43" s="877">
        <f t="shared" si="131"/>
        <v>0.2625206603759716</v>
      </c>
      <c r="CB43" s="783">
        <f t="shared" si="132"/>
        <v>-16.666666666666664</v>
      </c>
      <c r="CC43" s="783"/>
      <c r="CD43" s="914">
        <v>12</v>
      </c>
      <c r="CE43" s="877">
        <f t="shared" si="133"/>
        <v>0.22879167869411812</v>
      </c>
      <c r="CF43" s="783">
        <f t="shared" si="134"/>
        <v>-4.0000000000000036</v>
      </c>
      <c r="CG43" s="783"/>
      <c r="CH43" s="914">
        <v>12</v>
      </c>
      <c r="CI43" s="877">
        <f t="shared" si="135"/>
        <v>0.2171612786238924</v>
      </c>
      <c r="CJ43" s="783">
        <f t="shared" si="136"/>
        <v>0</v>
      </c>
      <c r="CK43" s="783"/>
      <c r="CL43" s="914">
        <v>12</v>
      </c>
      <c r="CM43" s="877">
        <f t="shared" si="137"/>
        <v>0.20714197925542124</v>
      </c>
      <c r="CN43" s="783">
        <f t="shared" si="138"/>
        <v>0</v>
      </c>
      <c r="CO43" s="783"/>
      <c r="CP43" s="914">
        <v>12</v>
      </c>
      <c r="CQ43" s="877">
        <f t="shared" si="139"/>
        <v>0.18718082744220677</v>
      </c>
      <c r="CR43" s="783">
        <f t="shared" si="140"/>
        <v>0</v>
      </c>
      <c r="CS43" s="783"/>
      <c r="CT43" s="914">
        <v>12</v>
      </c>
      <c r="CU43" s="877">
        <f t="shared" si="141"/>
        <v>0.17187357667194317</v>
      </c>
      <c r="CV43" s="783">
        <f t="shared" si="142"/>
        <v>0</v>
      </c>
      <c r="CW43" s="883"/>
      <c r="CX43" s="914">
        <v>12</v>
      </c>
      <c r="CY43" s="877">
        <f t="shared" si="143"/>
        <v>0.16290921096824276</v>
      </c>
      <c r="CZ43" s="783">
        <f t="shared" si="144"/>
        <v>0</v>
      </c>
      <c r="DA43" s="883"/>
      <c r="DB43" s="914">
        <v>12</v>
      </c>
      <c r="DC43" s="877">
        <f t="shared" si="145"/>
        <v>0.15476891388980066</v>
      </c>
      <c r="DD43" s="783">
        <f t="shared" si="146"/>
        <v>0</v>
      </c>
      <c r="DE43" s="883"/>
      <c r="DF43" s="914">
        <v>12</v>
      </c>
      <c r="DG43" s="877">
        <f t="shared" si="147"/>
        <v>0.14472324573717679</v>
      </c>
      <c r="DH43" s="783">
        <f t="shared" si="148"/>
        <v>0</v>
      </c>
      <c r="DI43" s="883"/>
      <c r="DJ43" s="914">
        <v>12</v>
      </c>
      <c r="DK43" s="877">
        <f t="shared" si="149"/>
        <v>0.13695159445893851</v>
      </c>
      <c r="DL43" s="783">
        <f t="shared" si="150"/>
        <v>0</v>
      </c>
      <c r="DM43" s="883"/>
      <c r="DN43" s="914">
        <v>12</v>
      </c>
      <c r="DO43" s="877">
        <f t="shared" si="151"/>
        <v>0.12849581552451572</v>
      </c>
      <c r="DP43" s="783">
        <f t="shared" si="152"/>
        <v>0</v>
      </c>
      <c r="DQ43" s="883"/>
      <c r="DR43" s="883"/>
      <c r="DS43" s="794"/>
      <c r="DT43" s="794"/>
      <c r="DU43" s="794"/>
      <c r="DV43" s="794"/>
      <c r="DW43" s="794"/>
      <c r="DX43" s="794"/>
      <c r="DY43" s="794"/>
      <c r="DZ43" s="794"/>
      <c r="EA43" s="794"/>
      <c r="EB43" s="794"/>
    </row>
    <row r="44" spans="1:132" hidden="1" outlineLevel="1">
      <c r="A44" s="487" t="str">
        <f>$A$13</f>
        <v>4Q</v>
      </c>
      <c r="B44" s="487" t="str">
        <f>$B$13</f>
        <v>Jan</v>
      </c>
      <c r="C44" s="499"/>
      <c r="D44" s="849"/>
      <c r="E44" s="499"/>
      <c r="F44" s="851">
        <f>+F45-F43-F42-F41</f>
        <v>120.21100000000001</v>
      </c>
      <c r="G44" s="877">
        <f t="shared" si="109"/>
        <v>21.343145784137921</v>
      </c>
      <c r="H44" s="783"/>
      <c r="I44" s="487"/>
      <c r="J44" s="851">
        <f>+J45-J43-J42-J41</f>
        <v>137.155</v>
      </c>
      <c r="K44" s="877">
        <f t="shared" si="110"/>
        <v>21.743024730500959</v>
      </c>
      <c r="L44" s="783"/>
      <c r="M44" s="487"/>
      <c r="N44" s="851">
        <f>+N45-N43-N42-N41</f>
        <v>176.83200000000002</v>
      </c>
      <c r="O44" s="877">
        <f t="shared" si="111"/>
        <v>23.000561902978092</v>
      </c>
      <c r="P44" s="783"/>
      <c r="Q44" s="487"/>
      <c r="R44" s="852">
        <v>134.089</v>
      </c>
      <c r="S44" s="877">
        <f t="shared" si="112"/>
        <v>20.564378225429227</v>
      </c>
      <c r="T44" s="783"/>
      <c r="U44" s="487"/>
      <c r="V44" s="852">
        <v>145.596</v>
      </c>
      <c r="W44" s="877">
        <f t="shared" si="113"/>
        <v>19.917155489406408</v>
      </c>
      <c r="X44" s="783"/>
      <c r="Y44" s="487"/>
      <c r="Z44" s="852">
        <f>262.305+35</f>
        <v>297.30500000000001</v>
      </c>
      <c r="AA44" s="877">
        <f t="shared" si="114"/>
        <v>22.615297664190159</v>
      </c>
      <c r="AB44" s="783">
        <f t="shared" si="115"/>
        <v>104.19860435726255</v>
      </c>
      <c r="AC44" s="487"/>
      <c r="AD44" s="852">
        <v>311.154</v>
      </c>
      <c r="AE44" s="877">
        <f t="shared" si="116"/>
        <v>20.688939820992939</v>
      </c>
      <c r="AF44" s="783">
        <f t="shared" si="117"/>
        <v>4.6581793108087632</v>
      </c>
      <c r="AG44" s="487"/>
      <c r="AH44" s="852">
        <v>341.024</v>
      </c>
      <c r="AI44" s="877">
        <f t="shared" si="118"/>
        <v>19.640562682677494</v>
      </c>
      <c r="AJ44" s="783">
        <f t="shared" si="119"/>
        <v>9.5997480347352226</v>
      </c>
      <c r="AK44" s="487"/>
      <c r="AL44" s="852">
        <v>360.29</v>
      </c>
      <c r="AM44" s="877">
        <f t="shared" si="120"/>
        <v>20.541166141198069</v>
      </c>
      <c r="AN44" s="783">
        <f t="shared" si="121"/>
        <v>5.6494557567795978</v>
      </c>
      <c r="AO44" s="487"/>
      <c r="AP44" s="852">
        <v>375.18900000000002</v>
      </c>
      <c r="AQ44" s="877">
        <f t="shared" si="122"/>
        <v>19.449014820459389</v>
      </c>
      <c r="AR44" s="783">
        <f t="shared" si="123"/>
        <v>4.1352799134031004</v>
      </c>
      <c r="AS44" s="487"/>
      <c r="AT44" s="915"/>
      <c r="AU44" s="909"/>
      <c r="AV44" s="910"/>
      <c r="AW44" s="499"/>
      <c r="AX44" s="915"/>
      <c r="AY44" s="909"/>
      <c r="AZ44" s="910"/>
      <c r="BA44" s="499"/>
      <c r="BB44" s="913"/>
      <c r="BC44" s="909"/>
      <c r="BD44" s="910"/>
      <c r="BE44" s="499"/>
      <c r="BF44" s="916">
        <v>20.632999999999999</v>
      </c>
      <c r="BG44" s="877">
        <f t="shared" si="124"/>
        <v>0.50255784968665951</v>
      </c>
      <c r="BH44" s="910"/>
      <c r="BI44" s="487"/>
      <c r="BJ44" s="849"/>
      <c r="BK44" s="877">
        <f t="shared" si="125"/>
        <v>0</v>
      </c>
      <c r="BL44" s="783"/>
      <c r="BM44" s="487"/>
      <c r="BN44" s="916">
        <v>22.9</v>
      </c>
      <c r="BO44" s="877">
        <f t="shared" si="126"/>
        <v>0.48554733376205678</v>
      </c>
      <c r="BP44" s="783"/>
      <c r="BQ44" s="487"/>
      <c r="BR44" s="916">
        <v>23.8</v>
      </c>
      <c r="BS44" s="877">
        <f t="shared" si="127"/>
        <v>0.46696158495394835</v>
      </c>
      <c r="BT44" s="783">
        <f>(BR44/BN44-1)*100</f>
        <v>3.9301310043668325</v>
      </c>
      <c r="BU44" s="487"/>
      <c r="BV44" s="916">
        <v>15</v>
      </c>
      <c r="BW44" s="877">
        <f t="shared" si="129"/>
        <v>0.27819630866881956</v>
      </c>
      <c r="BX44" s="783">
        <f t="shared" si="130"/>
        <v>-36.97478991596639</v>
      </c>
      <c r="BY44" s="783"/>
      <c r="BZ44" s="916">
        <v>12.55</v>
      </c>
      <c r="CA44" s="877">
        <f t="shared" si="131"/>
        <v>0.23327029149492803</v>
      </c>
      <c r="CB44" s="783">
        <f t="shared" si="132"/>
        <v>-16.333333333333332</v>
      </c>
      <c r="CC44" s="783"/>
      <c r="CD44" s="916">
        <v>12</v>
      </c>
      <c r="CE44" s="877">
        <f t="shared" si="133"/>
        <v>0.20196083777394724</v>
      </c>
      <c r="CF44" s="783">
        <f t="shared" si="134"/>
        <v>-4.3824701195219191</v>
      </c>
      <c r="CG44" s="783"/>
      <c r="CH44" s="916">
        <v>12</v>
      </c>
      <c r="CI44" s="877">
        <f t="shared" si="135"/>
        <v>0.19825587696504621</v>
      </c>
      <c r="CJ44" s="783">
        <f t="shared" si="136"/>
        <v>0</v>
      </c>
      <c r="CK44" s="783"/>
      <c r="CL44" s="916">
        <v>12</v>
      </c>
      <c r="CM44" s="877">
        <f t="shared" si="137"/>
        <v>0.17884400599842795</v>
      </c>
      <c r="CN44" s="783">
        <f t="shared" si="138"/>
        <v>0</v>
      </c>
      <c r="CO44" s="783"/>
      <c r="CP44" s="916">
        <v>12</v>
      </c>
      <c r="CQ44" s="877">
        <f t="shared" si="139"/>
        <v>0.15536365842056785</v>
      </c>
      <c r="CR44" s="783">
        <f t="shared" si="140"/>
        <v>0</v>
      </c>
      <c r="CS44" s="783"/>
      <c r="CT44" s="916">
        <v>12</v>
      </c>
      <c r="CU44" s="877">
        <f t="shared" si="141"/>
        <v>0.15367303526143047</v>
      </c>
      <c r="CV44" s="783">
        <f t="shared" si="142"/>
        <v>0</v>
      </c>
      <c r="CW44" s="883"/>
      <c r="CX44" s="916">
        <v>12</v>
      </c>
      <c r="CY44" s="877">
        <f t="shared" si="143"/>
        <v>0.14450948843279823</v>
      </c>
      <c r="CZ44" s="783">
        <f t="shared" si="144"/>
        <v>0</v>
      </c>
      <c r="DA44" s="883"/>
      <c r="DB44" s="916">
        <v>12</v>
      </c>
      <c r="DC44" s="877">
        <f t="shared" si="145"/>
        <v>0.13389756278540402</v>
      </c>
      <c r="DD44" s="783">
        <f t="shared" si="146"/>
        <v>0</v>
      </c>
      <c r="DE44" s="883"/>
      <c r="DF44" s="916">
        <v>12</v>
      </c>
      <c r="DG44" s="877">
        <f t="shared" si="147"/>
        <v>0.12674743787976039</v>
      </c>
      <c r="DH44" s="783">
        <f t="shared" si="148"/>
        <v>0</v>
      </c>
      <c r="DI44" s="883"/>
      <c r="DJ44" s="916">
        <v>12</v>
      </c>
      <c r="DK44" s="877">
        <f t="shared" si="149"/>
        <v>0.10948185885598757</v>
      </c>
      <c r="DL44" s="783">
        <f t="shared" si="150"/>
        <v>0</v>
      </c>
      <c r="DM44" s="883"/>
      <c r="DN44" s="916">
        <v>12</v>
      </c>
      <c r="DO44" s="877">
        <f t="shared" si="151"/>
        <v>0.10840092674626167</v>
      </c>
      <c r="DP44" s="783">
        <f t="shared" si="152"/>
        <v>0</v>
      </c>
      <c r="DQ44" s="883"/>
      <c r="DR44" s="883"/>
      <c r="DS44" s="794"/>
      <c r="DT44" s="794"/>
      <c r="DU44" s="794"/>
      <c r="DV44" s="794"/>
      <c r="DW44" s="794"/>
      <c r="DX44" s="794"/>
      <c r="DY44" s="794"/>
      <c r="DZ44" s="794"/>
      <c r="EA44" s="794"/>
      <c r="EB44" s="794"/>
    </row>
    <row r="45" spans="1:132" hidden="1" outlineLevel="1">
      <c r="A45" s="487"/>
      <c r="B45" s="487" t="str">
        <f>$B$14</f>
        <v>Year</v>
      </c>
      <c r="C45" s="487"/>
      <c r="D45" s="859"/>
      <c r="E45" s="487"/>
      <c r="F45" s="860">
        <v>421.584</v>
      </c>
      <c r="G45" s="877">
        <f t="shared" si="109"/>
        <v>22.477754655806983</v>
      </c>
      <c r="H45" s="783"/>
      <c r="I45" s="487"/>
      <c r="J45" s="860">
        <v>491.64699999999999</v>
      </c>
      <c r="K45" s="877">
        <f t="shared" si="110"/>
        <v>23.217673212738276</v>
      </c>
      <c r="L45" s="783"/>
      <c r="M45" s="487"/>
      <c r="N45" s="860">
        <v>593.88900000000001</v>
      </c>
      <c r="O45" s="877">
        <f t="shared" si="111"/>
        <v>24.064207525724949</v>
      </c>
      <c r="P45" s="783"/>
      <c r="Q45" s="487"/>
      <c r="R45" s="859">
        <f>SUM(R41:R44)</f>
        <v>465.95800000000003</v>
      </c>
      <c r="S45" s="877">
        <f t="shared" si="112"/>
        <v>21.51962572796926</v>
      </c>
      <c r="T45" s="783"/>
      <c r="U45" s="487"/>
      <c r="V45" s="859">
        <f>SUM(V41:V44)</f>
        <v>517.44900000000007</v>
      </c>
      <c r="W45" s="877">
        <f t="shared" si="113"/>
        <v>21.826706289030948</v>
      </c>
      <c r="X45" s="783"/>
      <c r="Y45" s="487"/>
      <c r="Z45" s="859">
        <f>SUM(Z41:Z44)</f>
        <v>704.87599999999998</v>
      </c>
      <c r="AA45" s="877">
        <f t="shared" si="114"/>
        <v>22.425019653181401</v>
      </c>
      <c r="AB45" s="783">
        <f t="shared" si="115"/>
        <v>36.221347417813135</v>
      </c>
      <c r="AC45" s="487"/>
      <c r="AD45" s="859">
        <f>SUM(AD41:AD44)</f>
        <v>1087.1369999999999</v>
      </c>
      <c r="AE45" s="877">
        <f t="shared" si="116"/>
        <v>20.91137483522586</v>
      </c>
      <c r="AF45" s="783">
        <f t="shared" si="117"/>
        <v>54.230956934269294</v>
      </c>
      <c r="AG45" s="487"/>
      <c r="AH45" s="859">
        <f>SUM(AH41:AH44)</f>
        <v>1185.7550000000001</v>
      </c>
      <c r="AI45" s="877">
        <f t="shared" si="118"/>
        <v>20.888689080198663</v>
      </c>
      <c r="AJ45" s="783">
        <f t="shared" si="119"/>
        <v>9.0713497930803744</v>
      </c>
      <c r="AK45" s="487"/>
      <c r="AL45" s="904">
        <f>SUM(AL41:AL44)</f>
        <v>1285.9879999999998</v>
      </c>
      <c r="AM45" s="877">
        <f t="shared" si="120"/>
        <v>21.585364113745523</v>
      </c>
      <c r="AN45" s="783">
        <f t="shared" si="121"/>
        <v>8.4530952852823518</v>
      </c>
      <c r="AO45" s="487"/>
      <c r="AP45" s="859">
        <f>SUM(AP41:AP44)</f>
        <v>1354.665</v>
      </c>
      <c r="AQ45" s="877">
        <f t="shared" si="122"/>
        <v>20.589491442988724</v>
      </c>
      <c r="AR45" s="783">
        <f t="shared" si="123"/>
        <v>5.3404075310189647</v>
      </c>
      <c r="AS45" s="487"/>
      <c r="AT45" s="917"/>
      <c r="AU45" s="909"/>
      <c r="AV45" s="910"/>
      <c r="AW45" s="499"/>
      <c r="AX45" s="917"/>
      <c r="AY45" s="909"/>
      <c r="AZ45" s="910"/>
      <c r="BA45" s="499"/>
      <c r="BB45" s="917"/>
      <c r="BC45" s="909"/>
      <c r="BD45" s="910"/>
      <c r="BE45" s="499"/>
      <c r="BF45" s="859">
        <f>SUM(BF41:BF44)</f>
        <v>81.587999999999994</v>
      </c>
      <c r="BG45" s="877">
        <f t="shared" si="124"/>
        <v>0.61215770961719662</v>
      </c>
      <c r="BH45" s="910"/>
      <c r="BI45" s="487"/>
      <c r="BJ45" s="859">
        <f>SUM(BJ41:BJ44)</f>
        <v>69.787999999999997</v>
      </c>
      <c r="BK45" s="877">
        <f t="shared" si="125"/>
        <v>0.46795238912331877</v>
      </c>
      <c r="BL45" s="783"/>
      <c r="BM45" s="487"/>
      <c r="BN45" s="859">
        <f>SUM(BN41:BN44)</f>
        <v>88.412000000000006</v>
      </c>
      <c r="BO45" s="877">
        <f t="shared" si="126"/>
        <v>0.55058137923711858</v>
      </c>
      <c r="BP45" s="783"/>
      <c r="BQ45" s="487"/>
      <c r="BR45" s="859">
        <f>SUM(BR41:BR44)</f>
        <v>86.53</v>
      </c>
      <c r="BS45" s="877">
        <f t="shared" si="127"/>
        <v>0.49716635859742425</v>
      </c>
      <c r="BT45" s="783">
        <f t="shared" si="128"/>
        <v>-2.1286703162466725</v>
      </c>
      <c r="BU45" s="487"/>
      <c r="BV45" s="859">
        <f>SUM(BV41:BV44)</f>
        <v>60</v>
      </c>
      <c r="BW45" s="877">
        <f t="shared" si="129"/>
        <v>0.32481641241030396</v>
      </c>
      <c r="BX45" s="783">
        <f t="shared" si="130"/>
        <v>-30.659886744481678</v>
      </c>
      <c r="BY45" s="783"/>
      <c r="BZ45" s="859">
        <f>SUM(BZ41:BZ44)</f>
        <v>49.75</v>
      </c>
      <c r="CA45" s="877">
        <f t="shared" si="131"/>
        <v>0.26184892711678548</v>
      </c>
      <c r="CB45" s="783">
        <f t="shared" si="132"/>
        <v>-17.083333333333329</v>
      </c>
      <c r="CC45" s="783"/>
      <c r="CD45" s="859">
        <f>SUM(CD41:CD44)</f>
        <v>48</v>
      </c>
      <c r="CE45" s="877">
        <f t="shared" si="133"/>
        <v>0.23658788224469063</v>
      </c>
      <c r="CF45" s="783">
        <f t="shared" si="134"/>
        <v>-3.5175879396984966</v>
      </c>
      <c r="CG45" s="783"/>
      <c r="CH45" s="859">
        <f>SUM(CH41:CH44)</f>
        <v>48</v>
      </c>
      <c r="CI45" s="877">
        <f t="shared" si="135"/>
        <v>0.22157339173146268</v>
      </c>
      <c r="CJ45" s="783">
        <f t="shared" si="136"/>
        <v>0</v>
      </c>
      <c r="CK45" s="783"/>
      <c r="CL45" s="859">
        <f>SUM(CL41:CL44)</f>
        <v>48</v>
      </c>
      <c r="CM45" s="877">
        <f t="shared" si="137"/>
        <v>0.20705518098218864</v>
      </c>
      <c r="CN45" s="783">
        <f t="shared" si="138"/>
        <v>0</v>
      </c>
      <c r="CO45" s="783"/>
      <c r="CP45" s="859">
        <f>SUM(CP41:CP44)</f>
        <v>48</v>
      </c>
      <c r="CQ45" s="877">
        <f t="shared" si="139"/>
        <v>0.1854830744376037</v>
      </c>
      <c r="CR45" s="783">
        <f t="shared" si="140"/>
        <v>0</v>
      </c>
      <c r="CS45" s="783"/>
      <c r="CT45" s="859">
        <f>SUM(CT41:CT44)</f>
        <v>48</v>
      </c>
      <c r="CU45" s="877">
        <f t="shared" si="141"/>
        <v>0.17503749448996553</v>
      </c>
      <c r="CV45" s="783">
        <f t="shared" si="142"/>
        <v>0</v>
      </c>
      <c r="CW45" s="883"/>
      <c r="CX45" s="859">
        <f>SUM(CX41:CX44)</f>
        <v>48</v>
      </c>
      <c r="CY45" s="877">
        <f t="shared" si="143"/>
        <v>0.16507094078434215</v>
      </c>
      <c r="CZ45" s="783">
        <f t="shared" si="144"/>
        <v>0</v>
      </c>
      <c r="DA45" s="883"/>
      <c r="DB45" s="859">
        <f>SUM(DB41:DB44)</f>
        <v>48</v>
      </c>
      <c r="DC45" s="877">
        <f t="shared" si="145"/>
        <v>0.15511422255879137</v>
      </c>
      <c r="DD45" s="783">
        <f t="shared" si="146"/>
        <v>0</v>
      </c>
      <c r="DE45" s="883"/>
      <c r="DF45" s="859">
        <f>SUM(DF41:DF44)</f>
        <v>48</v>
      </c>
      <c r="DG45" s="877">
        <f t="shared" si="147"/>
        <v>0.14464913904832435</v>
      </c>
      <c r="DH45" s="783">
        <f t="shared" si="148"/>
        <v>0</v>
      </c>
      <c r="DI45" s="883"/>
      <c r="DJ45" s="859">
        <f>SUM(DJ41:DJ44)</f>
        <v>48</v>
      </c>
      <c r="DK45" s="877">
        <f t="shared" si="149"/>
        <v>0.13383646923333783</v>
      </c>
      <c r="DL45" s="783">
        <f t="shared" si="150"/>
        <v>0</v>
      </c>
      <c r="DM45" s="883"/>
      <c r="DN45" s="859">
        <f>SUM(DN41:DN44)</f>
        <v>48</v>
      </c>
      <c r="DO45" s="877">
        <f t="shared" si="151"/>
        <v>0.12684383845247912</v>
      </c>
      <c r="DP45" s="783">
        <f t="shared" si="152"/>
        <v>0</v>
      </c>
      <c r="DQ45" s="883"/>
      <c r="DR45" s="883"/>
      <c r="DS45" s="794"/>
      <c r="DT45" s="794"/>
      <c r="DU45" s="794"/>
      <c r="DV45" s="794"/>
      <c r="DW45" s="794"/>
      <c r="DX45" s="794"/>
      <c r="DY45" s="794"/>
      <c r="DZ45" s="794"/>
      <c r="EA45" s="794"/>
      <c r="EB45" s="794"/>
    </row>
    <row r="46" spans="1:132" hidden="1" outlineLevel="1">
      <c r="A46" s="487" t="str">
        <f>$A$15</f>
        <v>6 Mos</v>
      </c>
      <c r="B46" s="487"/>
      <c r="C46" s="487"/>
      <c r="D46" s="864"/>
      <c r="E46" s="487"/>
      <c r="F46" s="864">
        <f>SUM(F41:F42)</f>
        <v>194.65199999999999</v>
      </c>
      <c r="G46" s="877">
        <f t="shared" si="109"/>
        <v>23.444929973068419</v>
      </c>
      <c r="H46" s="783"/>
      <c r="I46" s="487"/>
      <c r="J46" s="864">
        <f>SUM(J41:J42)</f>
        <v>231.434</v>
      </c>
      <c r="K46" s="877">
        <f t="shared" si="110"/>
        <v>24.127915462533203</v>
      </c>
      <c r="L46" s="783"/>
      <c r="M46" s="487"/>
      <c r="N46" s="864">
        <f>SUM(N41:N42)</f>
        <v>267.86099999999999</v>
      </c>
      <c r="O46" s="877">
        <f t="shared" si="111"/>
        <v>24.700967802916779</v>
      </c>
      <c r="P46" s="783"/>
      <c r="Q46" s="487"/>
      <c r="R46" s="864">
        <f>SUM(R41:R42)</f>
        <v>212.95600000000002</v>
      </c>
      <c r="S46" s="877">
        <f t="shared" si="112"/>
        <v>22.266788235687759</v>
      </c>
      <c r="T46" s="783"/>
      <c r="U46" s="487"/>
      <c r="V46" s="864">
        <f>SUM(V41:V42)</f>
        <v>240.774</v>
      </c>
      <c r="W46" s="877">
        <f t="shared" si="113"/>
        <v>23.382813524261806</v>
      </c>
      <c r="X46" s="783"/>
      <c r="Y46" s="487"/>
      <c r="Z46" s="864">
        <f>SUM(Z41:Z42)</f>
        <v>261.92700000000002</v>
      </c>
      <c r="AA46" s="877">
        <f t="shared" si="114"/>
        <v>22.444088361810426</v>
      </c>
      <c r="AB46" s="783">
        <f t="shared" si="115"/>
        <v>8.7854170300780012</v>
      </c>
      <c r="AC46" s="487"/>
      <c r="AD46" s="864">
        <f>SUM(AD41:AD42)</f>
        <v>509.065</v>
      </c>
      <c r="AE46" s="877">
        <f t="shared" si="116"/>
        <v>21.303810886489458</v>
      </c>
      <c r="AF46" s="783">
        <f t="shared" si="117"/>
        <v>94.353770325319644</v>
      </c>
      <c r="AG46" s="487"/>
      <c r="AH46" s="864">
        <f>SUM(AH41:AH42)</f>
        <v>557.52600000000007</v>
      </c>
      <c r="AI46" s="877">
        <f t="shared" si="118"/>
        <v>22.072545014014917</v>
      </c>
      <c r="AJ46" s="783">
        <f t="shared" si="119"/>
        <v>9.5196094801253359</v>
      </c>
      <c r="AK46" s="487"/>
      <c r="AL46" s="864">
        <f>SUM(AL41:AL42)</f>
        <v>603.16699999999992</v>
      </c>
      <c r="AM46" s="877">
        <f t="shared" si="120"/>
        <v>22.034181883273085</v>
      </c>
      <c r="AN46" s="783">
        <f t="shared" si="121"/>
        <v>8.1863446727147959</v>
      </c>
      <c r="AO46" s="487"/>
      <c r="AP46" s="864">
        <f>SUM(AP41:AP42)</f>
        <v>641.15699999999993</v>
      </c>
      <c r="AQ46" s="877">
        <f t="shared" si="122"/>
        <v>21.343157880720629</v>
      </c>
      <c r="AR46" s="783">
        <f t="shared" si="123"/>
        <v>6.2984214985236209</v>
      </c>
      <c r="AS46" s="487"/>
      <c r="AT46" s="918"/>
      <c r="AU46" s="909"/>
      <c r="AV46" s="910"/>
      <c r="AW46" s="499"/>
      <c r="AX46" s="918"/>
      <c r="AY46" s="909"/>
      <c r="AZ46" s="910"/>
      <c r="BA46" s="499"/>
      <c r="BB46" s="918"/>
      <c r="BC46" s="909"/>
      <c r="BD46" s="910"/>
      <c r="BE46" s="499"/>
      <c r="BF46" s="864">
        <f>SUM(BF41:BF42)</f>
        <v>39.25</v>
      </c>
      <c r="BG46" s="877">
        <f t="shared" si="124"/>
        <v>0.67267774931108371</v>
      </c>
      <c r="BH46" s="910"/>
      <c r="BI46" s="487"/>
      <c r="BJ46" s="864">
        <f>SUM(BJ41:BJ42)</f>
        <v>42.963999999999999</v>
      </c>
      <c r="BK46" s="877">
        <f t="shared" si="125"/>
        <v>0.63490243273852731</v>
      </c>
      <c r="BL46" s="783"/>
      <c r="BM46" s="487"/>
      <c r="BN46" s="864">
        <f>SUM(BN41:BN42)</f>
        <v>43.483999999999995</v>
      </c>
      <c r="BO46" s="877">
        <f t="shared" si="126"/>
        <v>0.59569603994467701</v>
      </c>
      <c r="BP46" s="783"/>
      <c r="BQ46" s="487"/>
      <c r="BR46" s="864">
        <f>SUM(BR41:BR42)</f>
        <v>38.93</v>
      </c>
      <c r="BS46" s="877">
        <f t="shared" si="127"/>
        <v>0.49687839625573471</v>
      </c>
      <c r="BT46" s="783">
        <f t="shared" si="128"/>
        <v>-10.472817588078364</v>
      </c>
      <c r="BU46" s="487"/>
      <c r="BV46" s="864">
        <f>SUM(BV41:BV42)</f>
        <v>30</v>
      </c>
      <c r="BW46" s="877">
        <f t="shared" si="129"/>
        <v>0.35623619362102094</v>
      </c>
      <c r="BX46" s="783">
        <f t="shared" si="130"/>
        <v>-22.938607757513484</v>
      </c>
      <c r="BY46" s="783"/>
      <c r="BZ46" s="864">
        <f>SUM(BZ41:BZ42)</f>
        <v>24.7</v>
      </c>
      <c r="CA46" s="877">
        <f t="shared" si="131"/>
        <v>0.27884555681619333</v>
      </c>
      <c r="CB46" s="783">
        <f t="shared" si="132"/>
        <v>-17.666666666666664</v>
      </c>
      <c r="CC46" s="783"/>
      <c r="CD46" s="864">
        <f>SUM(CD41:CD42)</f>
        <v>24</v>
      </c>
      <c r="CE46" s="877">
        <f t="shared" si="133"/>
        <v>0.26368549703397759</v>
      </c>
      <c r="CF46" s="783">
        <f t="shared" si="134"/>
        <v>-2.8340080971659853</v>
      </c>
      <c r="CG46" s="783"/>
      <c r="CH46" s="864">
        <f>SUM(CH41:CH42)</f>
        <v>24</v>
      </c>
      <c r="CI46" s="877">
        <f t="shared" si="135"/>
        <v>0.23798616110473178</v>
      </c>
      <c r="CJ46" s="783">
        <f t="shared" si="136"/>
        <v>0</v>
      </c>
      <c r="CK46" s="783"/>
      <c r="CL46" s="864">
        <f>SUM(CL41:CL42)</f>
        <v>24</v>
      </c>
      <c r="CM46" s="877">
        <f t="shared" si="137"/>
        <v>0.22473298911730499</v>
      </c>
      <c r="CN46" s="783">
        <f t="shared" si="138"/>
        <v>0</v>
      </c>
      <c r="CO46" s="783"/>
      <c r="CP46" s="864">
        <f>SUM(CP41:CP42)</f>
        <v>24</v>
      </c>
      <c r="CQ46" s="877">
        <f t="shared" si="139"/>
        <v>0.20436585063666346</v>
      </c>
      <c r="CR46" s="783">
        <f t="shared" si="140"/>
        <v>0</v>
      </c>
      <c r="CS46" s="783"/>
      <c r="CT46" s="864">
        <f>SUM(CT41:CT42)</f>
        <v>24</v>
      </c>
      <c r="CU46" s="877">
        <f t="shared" si="141"/>
        <v>0.18999317053715742</v>
      </c>
      <c r="CV46" s="783">
        <f t="shared" si="142"/>
        <v>0</v>
      </c>
      <c r="CW46" s="883"/>
      <c r="CX46" s="864">
        <f>SUM(CX41:CX42)</f>
        <v>24</v>
      </c>
      <c r="CY46" s="877">
        <f t="shared" si="143"/>
        <v>0.17899243369150711</v>
      </c>
      <c r="CZ46" s="783">
        <f t="shared" si="144"/>
        <v>0</v>
      </c>
      <c r="DA46" s="883"/>
      <c r="DB46" s="864">
        <f>SUM(DB41:DB42)</f>
        <v>24</v>
      </c>
      <c r="DC46" s="877">
        <f t="shared" si="145"/>
        <v>0.16866525625031276</v>
      </c>
      <c r="DD46" s="783">
        <f t="shared" si="146"/>
        <v>0</v>
      </c>
      <c r="DE46" s="883"/>
      <c r="DF46" s="864">
        <f>SUM(DF41:DF42)</f>
        <v>24</v>
      </c>
      <c r="DG46" s="877">
        <f t="shared" si="147"/>
        <v>0.15559753375315707</v>
      </c>
      <c r="DH46" s="783">
        <f t="shared" si="148"/>
        <v>0</v>
      </c>
      <c r="DI46" s="883"/>
      <c r="DJ46" s="864">
        <f>SUM(DJ41:DJ42)</f>
        <v>24</v>
      </c>
      <c r="DK46" s="877">
        <f t="shared" si="149"/>
        <v>0.14868300312903379</v>
      </c>
      <c r="DL46" s="783">
        <f t="shared" si="150"/>
        <v>0</v>
      </c>
      <c r="DM46" s="883"/>
      <c r="DN46" s="864">
        <f>SUM(DN41:DN42)</f>
        <v>24</v>
      </c>
      <c r="DO46" s="877">
        <f t="shared" si="151"/>
        <v>0.13767021268680621</v>
      </c>
      <c r="DP46" s="783">
        <f t="shared" si="152"/>
        <v>0</v>
      </c>
      <c r="DQ46" s="883"/>
      <c r="DR46" s="883"/>
      <c r="DS46" s="794"/>
      <c r="DT46" s="794"/>
      <c r="DU46" s="919"/>
      <c r="DV46" s="919"/>
      <c r="DW46" s="794"/>
      <c r="DX46" s="794"/>
      <c r="DY46" s="794"/>
      <c r="DZ46" s="794"/>
      <c r="EA46" s="794"/>
      <c r="EB46" s="794"/>
    </row>
    <row r="47" spans="1:132" hidden="1" outlineLevel="1">
      <c r="A47" s="487" t="str">
        <f>$A$16</f>
        <v>9 Mos</v>
      </c>
      <c r="B47" s="487"/>
      <c r="C47" s="487"/>
      <c r="D47" s="864"/>
      <c r="E47" s="487"/>
      <c r="F47" s="864">
        <f>SUM(F41:F43)</f>
        <v>301.37299999999999</v>
      </c>
      <c r="G47" s="877">
        <f t="shared" si="109"/>
        <v>22.964709360671964</v>
      </c>
      <c r="H47" s="783"/>
      <c r="I47" s="487"/>
      <c r="J47" s="864">
        <f>SUM(J41:J43)</f>
        <v>354.49200000000002</v>
      </c>
      <c r="K47" s="877">
        <f t="shared" si="110"/>
        <v>23.843336662731922</v>
      </c>
      <c r="L47" s="783"/>
      <c r="M47" s="487"/>
      <c r="N47" s="864">
        <f>SUM(N41:N43)</f>
        <v>417.05700000000002</v>
      </c>
      <c r="O47" s="877">
        <f t="shared" si="111"/>
        <v>24.545485042542637</v>
      </c>
      <c r="P47" s="783"/>
      <c r="Q47" s="487"/>
      <c r="R47" s="864">
        <f>SUM(R41:R43)</f>
        <v>331.86900000000003</v>
      </c>
      <c r="S47" s="877">
        <f t="shared" si="112"/>
        <v>21.931239571114673</v>
      </c>
      <c r="T47" s="783"/>
      <c r="U47" s="487"/>
      <c r="V47" s="864">
        <f>SUM(V41:V43)</f>
        <v>371.85300000000001</v>
      </c>
      <c r="W47" s="877">
        <f t="shared" si="113"/>
        <v>22.678015035613072</v>
      </c>
      <c r="X47" s="783"/>
      <c r="Y47" s="487"/>
      <c r="Z47" s="864">
        <f>SUM(Z41:Z43)</f>
        <v>407.57100000000003</v>
      </c>
      <c r="AA47" s="877">
        <f t="shared" si="114"/>
        <v>22.288227631712783</v>
      </c>
      <c r="AB47" s="783">
        <f t="shared" si="115"/>
        <v>9.6054085888778609</v>
      </c>
      <c r="AC47" s="487"/>
      <c r="AD47" s="864">
        <f>SUM(AD41:AD43)</f>
        <v>775.98299999999995</v>
      </c>
      <c r="AE47" s="877">
        <f t="shared" si="116"/>
        <v>21.001916196188176</v>
      </c>
      <c r="AF47" s="783">
        <f t="shared" si="117"/>
        <v>90.392103461728126</v>
      </c>
      <c r="AG47" s="487"/>
      <c r="AH47" s="864">
        <f>SUM(AH41:AH43)</f>
        <v>844.73099999999999</v>
      </c>
      <c r="AI47" s="877">
        <f t="shared" si="118"/>
        <v>21.43869777697466</v>
      </c>
      <c r="AJ47" s="783">
        <f t="shared" si="119"/>
        <v>8.8594724368961764</v>
      </c>
      <c r="AK47" s="487"/>
      <c r="AL47" s="864">
        <f>SUM(AL41:AL43)</f>
        <v>925.69799999999987</v>
      </c>
      <c r="AM47" s="877">
        <f t="shared" si="120"/>
        <v>22.021055285885392</v>
      </c>
      <c r="AN47" s="783">
        <f t="shared" si="121"/>
        <v>9.5849447930761222</v>
      </c>
      <c r="AO47" s="487"/>
      <c r="AP47" s="864">
        <f>SUM(AP41:AP43)</f>
        <v>979.47599999999989</v>
      </c>
      <c r="AQ47" s="877">
        <f t="shared" si="122"/>
        <v>21.062595826944872</v>
      </c>
      <c r="AR47" s="783">
        <f t="shared" si="123"/>
        <v>5.8094540552102281</v>
      </c>
      <c r="AS47" s="487"/>
      <c r="AT47" s="918"/>
      <c r="AU47" s="909"/>
      <c r="AV47" s="910"/>
      <c r="AW47" s="499"/>
      <c r="AX47" s="918"/>
      <c r="AY47" s="909"/>
      <c r="AZ47" s="910"/>
      <c r="BA47" s="499"/>
      <c r="BB47" s="918"/>
      <c r="BC47" s="909"/>
      <c r="BD47" s="910"/>
      <c r="BE47" s="499"/>
      <c r="BF47" s="864">
        <f>SUM(BF41:BF43)</f>
        <v>60.954999999999998</v>
      </c>
      <c r="BG47" s="877">
        <f t="shared" si="124"/>
        <v>0.66094931861660711</v>
      </c>
      <c r="BH47" s="910"/>
      <c r="BI47" s="487"/>
      <c r="BJ47" s="864">
        <f>SUM(BJ41:BJ43)</f>
        <v>69.787999999999997</v>
      </c>
      <c r="BK47" s="877">
        <f t="shared" si="125"/>
        <v>0.659349338940593</v>
      </c>
      <c r="BL47" s="783"/>
      <c r="BM47" s="487"/>
      <c r="BN47" s="864">
        <f>SUM(BN41:BN43)</f>
        <v>65.512</v>
      </c>
      <c r="BO47" s="877">
        <f t="shared" si="126"/>
        <v>0.57762532438081093</v>
      </c>
      <c r="BP47" s="783"/>
      <c r="BQ47" s="487"/>
      <c r="BR47" s="864">
        <f>SUM(BR41:BR43)</f>
        <v>62.730000000000004</v>
      </c>
      <c r="BS47" s="877">
        <f t="shared" si="127"/>
        <v>0.50967438850854474</v>
      </c>
      <c r="BT47" s="783">
        <f t="shared" si="128"/>
        <v>-4.2465502503358117</v>
      </c>
      <c r="BU47" s="487"/>
      <c r="BV47" s="864">
        <f>SUM(BV41:BV43)</f>
        <v>45</v>
      </c>
      <c r="BW47" s="877">
        <f t="shared" si="129"/>
        <v>0.34403414592414716</v>
      </c>
      <c r="BX47" s="783">
        <f t="shared" si="130"/>
        <v>-28.263988522238172</v>
      </c>
      <c r="BY47" s="783"/>
      <c r="BZ47" s="864">
        <f>SUM(BZ41:BZ43)</f>
        <v>37.200000000000003</v>
      </c>
      <c r="CA47" s="877">
        <f t="shared" si="131"/>
        <v>0.27313818148710528</v>
      </c>
      <c r="CB47" s="783">
        <f t="shared" si="132"/>
        <v>-17.333333333333321</v>
      </c>
      <c r="CC47" s="783"/>
      <c r="CD47" s="864">
        <f>SUM(CD41:CD43)</f>
        <v>36</v>
      </c>
      <c r="CE47" s="877">
        <f t="shared" si="133"/>
        <v>0.25092881999746564</v>
      </c>
      <c r="CF47" s="783">
        <f t="shared" si="134"/>
        <v>-3.2258064516129115</v>
      </c>
      <c r="CG47" s="783"/>
      <c r="CH47" s="864">
        <f>SUM(CH41:CH43)</f>
        <v>36</v>
      </c>
      <c r="CI47" s="877">
        <f t="shared" si="135"/>
        <v>0.23061449731132325</v>
      </c>
      <c r="CJ47" s="783">
        <f t="shared" si="136"/>
        <v>0</v>
      </c>
      <c r="CK47" s="783"/>
      <c r="CL47" s="864">
        <f>SUM(CL41:CL43)</f>
        <v>36</v>
      </c>
      <c r="CM47" s="877">
        <f t="shared" si="137"/>
        <v>0.21854648617317088</v>
      </c>
      <c r="CN47" s="783">
        <f t="shared" si="138"/>
        <v>0</v>
      </c>
      <c r="CO47" s="783"/>
      <c r="CP47" s="864">
        <f>SUM(CP41:CP43)</f>
        <v>36</v>
      </c>
      <c r="CQ47" s="877">
        <f t="shared" si="139"/>
        <v>0.19829730913856455</v>
      </c>
      <c r="CR47" s="783">
        <f t="shared" si="140"/>
        <v>0</v>
      </c>
      <c r="CS47" s="783"/>
      <c r="CT47" s="864">
        <f>SUM(CT41:CT43)</f>
        <v>36</v>
      </c>
      <c r="CU47" s="877">
        <f t="shared" si="141"/>
        <v>0.18354321925323505</v>
      </c>
      <c r="CV47" s="783">
        <f t="shared" si="142"/>
        <v>0</v>
      </c>
      <c r="CW47" s="883"/>
      <c r="CX47" s="864">
        <f>SUM(CX41:CX43)</f>
        <v>36</v>
      </c>
      <c r="CY47" s="877">
        <f t="shared" si="143"/>
        <v>0.17328975288592421</v>
      </c>
      <c r="CZ47" s="783">
        <f t="shared" si="144"/>
        <v>0</v>
      </c>
      <c r="DA47" s="883"/>
      <c r="DB47" s="864">
        <f>SUM(DB41:DB43)</f>
        <v>36</v>
      </c>
      <c r="DC47" s="877">
        <f t="shared" si="145"/>
        <v>0.16376392829268874</v>
      </c>
      <c r="DD47" s="783">
        <f t="shared" si="146"/>
        <v>0</v>
      </c>
      <c r="DE47" s="883"/>
      <c r="DF47" s="864">
        <f>SUM(DF41:DF43)</f>
        <v>36</v>
      </c>
      <c r="DG47" s="877">
        <f t="shared" si="147"/>
        <v>0.15179563483822822</v>
      </c>
      <c r="DH47" s="783">
        <f t="shared" si="148"/>
        <v>0</v>
      </c>
      <c r="DI47" s="883"/>
      <c r="DJ47" s="864">
        <f>SUM(DJ41:DJ43)</f>
        <v>36</v>
      </c>
      <c r="DK47" s="877">
        <f t="shared" si="149"/>
        <v>0.14455541660389212</v>
      </c>
      <c r="DL47" s="783">
        <f t="shared" si="150"/>
        <v>0</v>
      </c>
      <c r="DM47" s="883"/>
      <c r="DN47" s="864">
        <f>SUM(DN41:DN43)</f>
        <v>36</v>
      </c>
      <c r="DO47" s="877">
        <f t="shared" si="151"/>
        <v>0.13446990024552757</v>
      </c>
      <c r="DP47" s="783">
        <f t="shared" si="152"/>
        <v>0</v>
      </c>
      <c r="DQ47" s="883"/>
      <c r="DR47" s="883"/>
      <c r="DS47" s="794"/>
      <c r="DT47" s="794"/>
      <c r="DU47" s="842"/>
      <c r="DV47" s="842"/>
      <c r="DW47" s="920"/>
      <c r="DX47" s="794"/>
      <c r="DY47" s="794"/>
      <c r="DZ47" s="794"/>
      <c r="EA47" s="794"/>
      <c r="EB47" s="794"/>
    </row>
    <row r="48" spans="1:132" ht="10.5" customHeight="1" collapsed="1">
      <c r="A48" s="487"/>
      <c r="B48" s="487"/>
      <c r="C48" s="487"/>
      <c r="D48" s="487"/>
      <c r="E48" s="487"/>
      <c r="F48" s="487"/>
      <c r="G48" s="487"/>
      <c r="H48" s="487"/>
      <c r="I48" s="487"/>
      <c r="J48" s="487"/>
      <c r="K48" s="487"/>
      <c r="L48" s="487"/>
      <c r="M48" s="487"/>
      <c r="N48" s="487"/>
      <c r="O48" s="487"/>
      <c r="P48" s="487"/>
      <c r="Q48" s="487"/>
      <c r="R48" s="487"/>
      <c r="S48" s="487"/>
      <c r="T48" s="487"/>
      <c r="U48" s="487"/>
      <c r="V48" s="487"/>
      <c r="W48" s="487"/>
      <c r="X48" s="487"/>
      <c r="Y48" s="487"/>
      <c r="Z48" s="487"/>
      <c r="AA48" s="487"/>
      <c r="AB48" s="487"/>
      <c r="AC48" s="487"/>
      <c r="AD48" s="487"/>
      <c r="AE48" s="487"/>
      <c r="AF48" s="487"/>
      <c r="AG48" s="487"/>
      <c r="AH48" s="487"/>
      <c r="AI48" s="487"/>
      <c r="AJ48" s="487"/>
      <c r="AK48" s="487"/>
      <c r="AL48" s="487"/>
      <c r="AM48" s="487"/>
      <c r="AN48" s="487"/>
      <c r="AO48" s="487"/>
      <c r="AP48" s="487"/>
      <c r="AQ48" s="487"/>
      <c r="AR48" s="487"/>
      <c r="AS48" s="487"/>
      <c r="AT48" s="487"/>
      <c r="AU48" s="487"/>
      <c r="AV48" s="487"/>
      <c r="AW48" s="487"/>
      <c r="AX48" s="487"/>
      <c r="AY48" s="487"/>
      <c r="AZ48" s="487"/>
      <c r="BA48" s="487"/>
      <c r="BB48" s="487"/>
      <c r="BC48" s="487"/>
      <c r="BD48" s="487"/>
      <c r="BE48" s="487"/>
      <c r="BF48" s="487"/>
      <c r="BG48" s="487"/>
      <c r="BH48" s="487"/>
      <c r="BI48" s="487"/>
      <c r="BJ48" s="487"/>
      <c r="BK48" s="891"/>
      <c r="BL48" s="487"/>
      <c r="BM48" s="487"/>
      <c r="BN48" s="487"/>
      <c r="BO48" s="487"/>
      <c r="BP48" s="487"/>
      <c r="BQ48" s="487"/>
      <c r="BR48" s="487"/>
      <c r="BS48" s="487"/>
      <c r="BT48" s="487"/>
      <c r="BU48" s="487"/>
      <c r="BV48" s="487"/>
      <c r="BW48" s="487"/>
      <c r="BX48" s="487"/>
      <c r="BY48" s="487"/>
      <c r="BZ48" s="487"/>
      <c r="CA48" s="487"/>
      <c r="CB48" s="487"/>
      <c r="CC48" s="487"/>
      <c r="CD48" s="487"/>
      <c r="CE48" s="487"/>
      <c r="CF48" s="487"/>
      <c r="CG48" s="487"/>
      <c r="CH48" s="487"/>
      <c r="CI48" s="487"/>
      <c r="CJ48" s="487"/>
      <c r="CK48" s="487"/>
      <c r="CL48" s="487"/>
      <c r="CM48" s="487"/>
      <c r="CN48" s="487"/>
      <c r="CO48" s="487"/>
      <c r="CP48" s="487"/>
      <c r="CQ48" s="487"/>
      <c r="CR48" s="487"/>
      <c r="CS48" s="487"/>
      <c r="CT48" s="487"/>
      <c r="CU48" s="487"/>
      <c r="CV48" s="487"/>
      <c r="CW48" s="794"/>
      <c r="CX48" s="487"/>
      <c r="CY48" s="487"/>
      <c r="CZ48" s="487"/>
      <c r="DA48" s="794"/>
      <c r="DB48" s="487"/>
      <c r="DC48" s="487"/>
      <c r="DD48" s="487"/>
      <c r="DE48" s="794"/>
      <c r="DF48" s="487"/>
      <c r="DG48" s="487"/>
      <c r="DH48" s="487"/>
      <c r="DI48" s="794"/>
      <c r="DJ48" s="487"/>
      <c r="DK48" s="487"/>
      <c r="DL48" s="487"/>
      <c r="DM48" s="794"/>
      <c r="DN48" s="487"/>
      <c r="DO48" s="487"/>
      <c r="DP48" s="487"/>
      <c r="DQ48" s="794"/>
      <c r="DR48" s="794"/>
      <c r="DS48" s="794"/>
      <c r="DT48" s="794"/>
      <c r="DU48" s="794"/>
      <c r="DV48" s="794"/>
      <c r="DW48" s="794"/>
      <c r="DX48" s="794"/>
      <c r="DY48" s="794"/>
      <c r="DZ48" s="794"/>
      <c r="EA48" s="794"/>
      <c r="EB48" s="794"/>
    </row>
    <row r="49" spans="1:132">
      <c r="A49" s="487"/>
      <c r="B49" s="487"/>
      <c r="C49" s="807"/>
      <c r="D49" s="807"/>
      <c r="E49" s="809"/>
      <c r="F49" s="809"/>
      <c r="G49" s="811"/>
      <c r="H49" s="811"/>
      <c r="I49" s="811"/>
      <c r="J49" s="809"/>
      <c r="K49" s="811"/>
      <c r="L49" s="811"/>
      <c r="M49" s="811"/>
      <c r="N49" s="809"/>
      <c r="O49" s="811"/>
      <c r="P49" s="811"/>
      <c r="Q49" s="811"/>
      <c r="R49" s="809"/>
      <c r="S49" s="811"/>
      <c r="T49" s="811"/>
      <c r="U49" s="811"/>
      <c r="V49" s="809"/>
      <c r="W49" s="811"/>
      <c r="X49" s="811"/>
      <c r="Y49" s="487"/>
      <c r="Z49" s="809" t="s">
        <v>177</v>
      </c>
      <c r="AA49" s="811"/>
      <c r="AB49" s="811"/>
      <c r="AC49" s="811"/>
      <c r="AD49" s="809"/>
      <c r="AE49" s="811"/>
      <c r="AF49" s="811"/>
      <c r="AG49" s="811"/>
      <c r="AH49" s="809"/>
      <c r="AI49" s="811"/>
      <c r="AJ49" s="811"/>
      <c r="AK49" s="811"/>
      <c r="AL49" s="809"/>
      <c r="AM49" s="811"/>
      <c r="AN49" s="811"/>
      <c r="AO49" s="702"/>
      <c r="AP49" s="702"/>
      <c r="AQ49" s="811"/>
      <c r="AR49" s="811"/>
      <c r="AS49" s="811"/>
      <c r="AT49" s="702"/>
      <c r="AU49" s="921"/>
      <c r="AV49" s="921"/>
      <c r="AW49" s="921"/>
      <c r="AX49" s="921"/>
      <c r="AY49" s="921"/>
      <c r="AZ49" s="921"/>
      <c r="BA49" s="921"/>
      <c r="BB49" s="921"/>
      <c r="BC49" s="921"/>
      <c r="BD49" s="921"/>
      <c r="BE49" s="921"/>
      <c r="BF49" s="702"/>
      <c r="BG49" s="809"/>
      <c r="BH49" s="809"/>
      <c r="BI49" s="809"/>
      <c r="BJ49" s="809" t="s">
        <v>746</v>
      </c>
      <c r="BK49" s="809"/>
      <c r="BL49" s="809"/>
      <c r="BM49" s="809"/>
      <c r="BN49" s="809"/>
      <c r="BO49" s="809"/>
      <c r="BP49" s="809"/>
      <c r="BQ49" s="809"/>
      <c r="BR49" s="809"/>
      <c r="BS49" s="809"/>
      <c r="BT49" s="809"/>
      <c r="BU49" s="809"/>
      <c r="BV49" s="809"/>
      <c r="BW49" s="809"/>
      <c r="BX49" s="809"/>
      <c r="BY49" s="809"/>
      <c r="BZ49" s="809"/>
      <c r="CB49" s="809"/>
      <c r="CC49" s="809"/>
      <c r="CD49" s="809"/>
      <c r="CE49" s="809"/>
      <c r="CF49" s="810" t="s">
        <v>746</v>
      </c>
      <c r="CG49" s="809"/>
      <c r="CH49" s="809"/>
      <c r="CI49" s="809"/>
      <c r="CJ49" s="809"/>
      <c r="CK49" s="809"/>
      <c r="CL49" s="809"/>
      <c r="CM49" s="809"/>
      <c r="CN49" s="809"/>
      <c r="CO49" s="809"/>
      <c r="CP49" s="809"/>
      <c r="CQ49" s="922"/>
      <c r="CR49" s="809"/>
      <c r="CS49" s="809"/>
      <c r="CT49" s="809"/>
      <c r="CU49" s="809"/>
      <c r="CV49" s="809"/>
      <c r="CW49" s="794"/>
      <c r="CX49" s="923"/>
      <c r="CY49" s="809"/>
      <c r="CZ49" s="809"/>
      <c r="DA49" s="794"/>
      <c r="DB49" s="809" t="str">
        <f>CF49</f>
        <v>Depreciation Expense   (% of Sales)</v>
      </c>
      <c r="DC49" s="809"/>
      <c r="DD49" s="809"/>
      <c r="DE49" s="794"/>
      <c r="DF49" s="809"/>
      <c r="DG49" s="809"/>
      <c r="DH49" s="2102"/>
      <c r="DI49" s="794"/>
      <c r="DJ49" s="2102"/>
      <c r="DK49" s="809"/>
      <c r="DL49" s="809"/>
      <c r="DM49" s="794"/>
      <c r="DN49" s="809"/>
      <c r="DO49" s="809"/>
      <c r="DP49" s="809"/>
      <c r="DQ49" s="794"/>
      <c r="DR49" s="794"/>
      <c r="DS49" s="794"/>
      <c r="DT49" s="794"/>
      <c r="DU49" s="794"/>
      <c r="DV49" s="794"/>
      <c r="DW49" s="794"/>
      <c r="DX49" s="794"/>
      <c r="DY49" s="794"/>
      <c r="DZ49" s="794"/>
      <c r="EA49" s="794"/>
      <c r="EB49" s="794"/>
    </row>
    <row r="50" spans="1:132" ht="10.5" customHeight="1" outlineLevel="1">
      <c r="A50" s="487"/>
      <c r="B50" s="487"/>
      <c r="C50" s="487"/>
      <c r="D50" s="487"/>
      <c r="E50" s="487"/>
      <c r="F50" s="487"/>
      <c r="G50" s="487"/>
      <c r="H50" s="487"/>
      <c r="I50" s="487"/>
      <c r="J50" s="487"/>
      <c r="K50" s="487"/>
      <c r="L50" s="487"/>
      <c r="M50" s="487"/>
      <c r="N50" s="487"/>
      <c r="O50" s="487"/>
      <c r="P50" s="487"/>
      <c r="Q50" s="487"/>
      <c r="R50" s="487"/>
      <c r="S50" s="487"/>
      <c r="T50" s="487"/>
      <c r="U50" s="487"/>
      <c r="V50" s="487"/>
      <c r="W50" s="487"/>
      <c r="X50" s="487"/>
      <c r="Y50" s="487"/>
      <c r="Z50" s="487"/>
      <c r="AA50" s="487"/>
      <c r="AB50" s="487"/>
      <c r="AC50" s="487"/>
      <c r="AD50" s="487"/>
      <c r="AE50" s="487"/>
      <c r="AF50" s="487"/>
      <c r="AG50" s="487"/>
      <c r="AH50" s="487"/>
      <c r="AI50" s="487"/>
      <c r="AJ50" s="487"/>
      <c r="AK50" s="487"/>
      <c r="AL50" s="487"/>
      <c r="AM50" s="487"/>
      <c r="AN50" s="487"/>
      <c r="AO50" s="487"/>
      <c r="AP50" s="487"/>
      <c r="AQ50" s="487"/>
      <c r="AR50" s="487"/>
      <c r="AS50" s="487"/>
      <c r="AT50" s="487"/>
      <c r="AU50" s="487"/>
      <c r="AV50" s="487"/>
      <c r="AW50" s="487"/>
      <c r="AX50" s="487"/>
      <c r="AY50" s="487"/>
      <c r="AZ50" s="487"/>
      <c r="BA50" s="487"/>
      <c r="BB50" s="487"/>
      <c r="BC50" s="487"/>
      <c r="BD50" s="487"/>
      <c r="BE50" s="487"/>
      <c r="BF50" s="487"/>
      <c r="BG50" s="487"/>
      <c r="BH50" s="487"/>
      <c r="BI50" s="487"/>
      <c r="BJ50" s="487"/>
      <c r="BK50" s="487"/>
      <c r="BL50" s="487"/>
      <c r="BM50" s="487"/>
      <c r="BN50" s="487"/>
      <c r="BO50" s="487"/>
      <c r="BP50" s="487"/>
      <c r="BQ50" s="487"/>
      <c r="BR50" s="487"/>
      <c r="BS50" s="487"/>
      <c r="BT50" s="487"/>
      <c r="BU50" s="487"/>
      <c r="BV50" s="487"/>
      <c r="BW50" s="487"/>
      <c r="BX50" s="487"/>
      <c r="BY50" s="487"/>
      <c r="BZ50" s="487"/>
      <c r="CA50" s="487"/>
      <c r="CB50" s="487"/>
      <c r="CC50" s="487"/>
      <c r="CD50" s="487"/>
      <c r="CE50" s="487"/>
      <c r="CF50" s="487"/>
      <c r="CG50" s="487"/>
      <c r="CH50" s="487"/>
      <c r="CI50" s="487"/>
      <c r="CJ50" s="487"/>
      <c r="CK50" s="487"/>
      <c r="CL50" s="487"/>
      <c r="CM50" s="487"/>
      <c r="CN50" s="487"/>
      <c r="CO50" s="487"/>
      <c r="CP50" s="487"/>
      <c r="CQ50" s="487"/>
      <c r="CR50" s="487"/>
      <c r="CS50" s="487"/>
      <c r="CT50" s="487"/>
      <c r="CU50" s="487"/>
      <c r="CV50" s="487"/>
      <c r="CW50" s="794"/>
      <c r="CX50" s="487"/>
      <c r="CY50" s="487"/>
      <c r="CZ50" s="487"/>
      <c r="DA50" s="794"/>
      <c r="DB50" s="813"/>
      <c r="DC50" s="487"/>
      <c r="DD50" s="487"/>
      <c r="DE50" s="794"/>
      <c r="DF50" s="487"/>
      <c r="DG50" s="487"/>
      <c r="DH50" s="487"/>
      <c r="DI50" s="794"/>
      <c r="DJ50" s="487"/>
      <c r="DK50" s="487"/>
      <c r="DL50" s="487"/>
      <c r="DM50" s="794"/>
      <c r="DN50" s="487"/>
      <c r="DO50" s="487"/>
      <c r="DP50" s="487"/>
      <c r="DQ50" s="794"/>
      <c r="DR50" s="794"/>
      <c r="DS50" s="794"/>
      <c r="DT50" s="794"/>
      <c r="DU50" s="794"/>
      <c r="DV50" s="794"/>
      <c r="DW50" s="794"/>
      <c r="DX50" s="794"/>
      <c r="DY50" s="794"/>
      <c r="DZ50" s="794"/>
      <c r="EA50" s="794"/>
      <c r="EB50" s="794"/>
    </row>
    <row r="51" spans="1:132" ht="10.5" customHeight="1" outlineLevel="1">
      <c r="A51" s="487" t="str">
        <f>$A$10</f>
        <v>1Q</v>
      </c>
      <c r="B51" s="487" t="str">
        <f>$B$10</f>
        <v>Apr</v>
      </c>
      <c r="C51" s="487"/>
      <c r="D51" s="814"/>
      <c r="E51" s="487"/>
      <c r="F51" s="814"/>
      <c r="G51" s="877">
        <f t="shared" ref="G51:G57" si="153">F51/F21*100</f>
        <v>0</v>
      </c>
      <c r="H51" s="783"/>
      <c r="I51" s="487"/>
      <c r="J51" s="814"/>
      <c r="K51" s="877">
        <f t="shared" ref="K51:K57" si="154">J51/J21*100</f>
        <v>0</v>
      </c>
      <c r="L51" s="783"/>
      <c r="M51" s="487"/>
      <c r="N51" s="814"/>
      <c r="O51" s="877">
        <f t="shared" ref="O51:O57" si="155">N51/N21*100</f>
        <v>0</v>
      </c>
      <c r="P51" s="783"/>
      <c r="Q51" s="487"/>
      <c r="R51" s="814"/>
      <c r="S51" s="877">
        <f t="shared" ref="S51:S57" si="156">R51/R21*100</f>
        <v>0</v>
      </c>
      <c r="T51" s="783"/>
      <c r="U51" s="487"/>
      <c r="V51" s="814"/>
      <c r="W51" s="877">
        <f t="shared" ref="W51:W57" si="157">V51/V21*100</f>
        <v>0</v>
      </c>
      <c r="X51" s="783"/>
      <c r="Y51" s="487"/>
      <c r="Z51" s="814"/>
      <c r="AA51" s="877">
        <f t="shared" ref="AA51:AA57" si="158">Z51/Z21*100</f>
        <v>0</v>
      </c>
      <c r="AB51" s="783"/>
      <c r="AC51" s="487"/>
      <c r="AD51" s="814"/>
      <c r="AE51" s="877">
        <f t="shared" ref="AE51:AE57" si="159">AD51/AD21*100</f>
        <v>0</v>
      </c>
      <c r="AF51" s="783"/>
      <c r="AG51" s="487"/>
      <c r="AH51" s="814"/>
      <c r="AI51" s="877">
        <f t="shared" ref="AI51:AI57" si="160">AH51/AH21*100</f>
        <v>0</v>
      </c>
      <c r="AJ51" s="783"/>
      <c r="AK51" s="487"/>
      <c r="AL51" s="814"/>
      <c r="AM51" s="877">
        <f t="shared" ref="AM51:AM57" si="161">AL51/AL21*100</f>
        <v>0</v>
      </c>
      <c r="AN51" s="783"/>
      <c r="AO51" s="735"/>
      <c r="AP51" s="814"/>
      <c r="AQ51" s="877">
        <f t="shared" ref="AQ51:AQ57" si="162">AP51/AP21*100</f>
        <v>0</v>
      </c>
      <c r="AR51" s="783"/>
      <c r="AS51" s="487"/>
      <c r="AT51" s="814"/>
      <c r="AU51" s="877">
        <f t="shared" ref="AU51:AU57" si="163">AT51/AT21*100</f>
        <v>0</v>
      </c>
      <c r="AV51" s="783"/>
      <c r="AW51" s="487"/>
      <c r="AX51" s="814">
        <v>48.716000000000001</v>
      </c>
      <c r="AY51" s="877">
        <f t="shared" ref="AY51:AY57" si="164">AX51/AX21*100</f>
        <v>2.8883871610372487</v>
      </c>
      <c r="AZ51" s="783"/>
      <c r="BA51" s="487"/>
      <c r="BB51" s="814">
        <v>49.456000000000003</v>
      </c>
      <c r="BC51" s="877">
        <f t="shared" ref="BC51:BC57" si="165">BB51/BB21*100</f>
        <v>2.486688153336384</v>
      </c>
      <c r="BD51" s="783"/>
      <c r="BE51" s="487"/>
      <c r="BF51" s="814">
        <v>55.557000000000002</v>
      </c>
      <c r="BG51" s="877">
        <f>BF51/BF10*100</f>
        <v>1.9922150245364785</v>
      </c>
      <c r="BH51" s="783"/>
      <c r="BI51" s="487"/>
      <c r="BJ51" s="924">
        <v>67.356999999999999</v>
      </c>
      <c r="BK51" s="877">
        <f>BJ51/BJ10*100</f>
        <v>2.0090153209154193</v>
      </c>
      <c r="BL51" s="558">
        <f>+BJ51/BF51-1</f>
        <v>0.21239447774357867</v>
      </c>
      <c r="BM51" s="487"/>
      <c r="BN51" s="924">
        <v>78.805000000000007</v>
      </c>
      <c r="BO51" s="877">
        <f>BN51/BN10*100</f>
        <v>2.1579591602018713</v>
      </c>
      <c r="BP51" s="558">
        <f>+BN51/BJ51-1</f>
        <v>0.16996006354202242</v>
      </c>
      <c r="BQ51" s="487"/>
      <c r="BR51" s="814">
        <v>86.024000000000001</v>
      </c>
      <c r="BS51" s="877">
        <f>BR51/BR10*100</f>
        <v>2.2221211927085163</v>
      </c>
      <c r="BT51" s="558">
        <f>+BR51/BN51-1</f>
        <v>9.1605862572171626E-2</v>
      </c>
      <c r="BU51" s="487"/>
      <c r="BV51" s="814">
        <v>90.5</v>
      </c>
      <c r="BW51" s="877">
        <f>BV51/BV10*100</f>
        <v>2.2029750630525542</v>
      </c>
      <c r="BX51" s="558">
        <f>+BV51/BR51-1</f>
        <v>5.2031991072258865E-2</v>
      </c>
      <c r="BY51" s="558"/>
      <c r="BZ51" s="814">
        <v>99.676000000000002</v>
      </c>
      <c r="CA51" s="877">
        <f>BZ51/BZ10*100</f>
        <v>2.3161316632412041</v>
      </c>
      <c r="CB51" s="925">
        <f>+BZ51/BV51-1</f>
        <v>0.10139226519337008</v>
      </c>
      <c r="CC51" s="558"/>
      <c r="CD51" s="814">
        <v>104.14700000000001</v>
      </c>
      <c r="CE51" s="877">
        <f>CD51/CD10*100</f>
        <v>2.3918613282183001</v>
      </c>
      <c r="CF51" s="558">
        <f>+CD51/BZ51-1</f>
        <v>4.4855331273325527E-2</v>
      </c>
      <c r="CG51" s="558"/>
      <c r="CH51" s="814">
        <v>113.6</v>
      </c>
      <c r="CI51" s="877">
        <f>CH51/CH10*100</f>
        <v>2.2645090042140597</v>
      </c>
      <c r="CJ51" s="558">
        <f>+CH51/CD51-1</f>
        <v>9.0765936608831588E-2</v>
      </c>
      <c r="CK51" s="558"/>
      <c r="CL51" s="814">
        <v>116.22799999999999</v>
      </c>
      <c r="CM51" s="877">
        <f>CL51/CL10*100</f>
        <v>2.2304073677055709</v>
      </c>
      <c r="CN51" s="558">
        <f>+CL51/CH51-1</f>
        <v>2.3133802816901472E-2</v>
      </c>
      <c r="CO51" s="558"/>
      <c r="CP51" s="814">
        <v>120.63800000000001</v>
      </c>
      <c r="CQ51" s="877">
        <f>CP51/CP10*100</f>
        <v>2.0806521324450862</v>
      </c>
      <c r="CR51" s="558">
        <f>+CP51/CL51-1</f>
        <v>3.7942664418212591E-2</v>
      </c>
      <c r="CS51" s="558"/>
      <c r="CT51" s="814">
        <v>120.6</v>
      </c>
      <c r="CU51" s="877">
        <f>CT51/CT10*100</f>
        <v>1.9484267907714361</v>
      </c>
      <c r="CV51" s="558">
        <f>+CT51/CP51-1</f>
        <v>-3.1499195941586677E-4</v>
      </c>
      <c r="CX51" s="814">
        <v>144.19999999999999</v>
      </c>
      <c r="CY51" s="877">
        <f>CX51/CX10*100</f>
        <v>2.2214772793096351</v>
      </c>
      <c r="CZ51" s="558">
        <f>+CX51/CT51-1</f>
        <v>0.19568822553897181</v>
      </c>
      <c r="DB51" s="814">
        <v>148.5</v>
      </c>
      <c r="DC51" s="877">
        <f>DB51/DB10*100</f>
        <v>2.162945696080349</v>
      </c>
      <c r="DD51" s="558">
        <f>+DB51/CX51-1</f>
        <v>2.9819694868238544E-2</v>
      </c>
      <c r="DF51" s="814">
        <v>157</v>
      </c>
      <c r="DG51" s="877">
        <f>DF51/DF10*100</f>
        <v>2.0815776926997347</v>
      </c>
      <c r="DH51" s="558">
        <f>+DF51/DB51-1</f>
        <v>5.7239057239057312E-2</v>
      </c>
      <c r="DJ51" s="814">
        <v>172.5</v>
      </c>
      <c r="DK51" s="877">
        <f>DJ51/DJ10*100</f>
        <v>2.2160774427211427</v>
      </c>
      <c r="DL51" s="558">
        <f>+DJ51/DF51-1</f>
        <v>9.8726114649681618E-2</v>
      </c>
      <c r="DN51" s="2069">
        <v>180</v>
      </c>
      <c r="DO51" s="877">
        <f>DN51/DN10*100</f>
        <v>2.1156649346595455</v>
      </c>
      <c r="DP51" s="558">
        <f>+DN51/DJ51-1</f>
        <v>4.3478260869565188E-2</v>
      </c>
      <c r="DQ51" s="842"/>
      <c r="DR51" s="842"/>
      <c r="DS51" s="794"/>
      <c r="DT51" s="794"/>
      <c r="DU51" s="794"/>
      <c r="DV51" s="794"/>
      <c r="DW51" s="794"/>
      <c r="DX51" s="794"/>
      <c r="DY51" s="794"/>
      <c r="DZ51" s="794"/>
      <c r="EA51" s="794"/>
      <c r="EB51" s="794"/>
    </row>
    <row r="52" spans="1:132" ht="10.5" customHeight="1" outlineLevel="1">
      <c r="A52" s="487" t="str">
        <f>$A$11</f>
        <v>2Q</v>
      </c>
      <c r="B52" s="487" t="str">
        <f>$B$11</f>
        <v>Jul</v>
      </c>
      <c r="C52" s="487"/>
      <c r="D52" s="831"/>
      <c r="E52" s="487"/>
      <c r="F52" s="831"/>
      <c r="G52" s="877">
        <f t="shared" si="153"/>
        <v>0</v>
      </c>
      <c r="H52" s="783"/>
      <c r="I52" s="487"/>
      <c r="J52" s="831"/>
      <c r="K52" s="877">
        <f t="shared" si="154"/>
        <v>0</v>
      </c>
      <c r="L52" s="783"/>
      <c r="M52" s="487"/>
      <c r="N52" s="831"/>
      <c r="O52" s="877">
        <f t="shared" si="155"/>
        <v>0</v>
      </c>
      <c r="P52" s="783"/>
      <c r="Q52" s="487"/>
      <c r="R52" s="831"/>
      <c r="S52" s="877">
        <f t="shared" si="156"/>
        <v>0</v>
      </c>
      <c r="T52" s="783"/>
      <c r="U52" s="487"/>
      <c r="V52" s="831"/>
      <c r="W52" s="877">
        <f t="shared" si="157"/>
        <v>0</v>
      </c>
      <c r="X52" s="783"/>
      <c r="Y52" s="487"/>
      <c r="Z52" s="831"/>
      <c r="AA52" s="877">
        <f t="shared" si="158"/>
        <v>0</v>
      </c>
      <c r="AB52" s="783"/>
      <c r="AC52" s="487"/>
      <c r="AD52" s="831"/>
      <c r="AE52" s="877">
        <f t="shared" si="159"/>
        <v>0</v>
      </c>
      <c r="AF52" s="783"/>
      <c r="AG52" s="487"/>
      <c r="AH52" s="831"/>
      <c r="AI52" s="877">
        <f t="shared" si="160"/>
        <v>0</v>
      </c>
      <c r="AJ52" s="783"/>
      <c r="AK52" s="487"/>
      <c r="AL52" s="831"/>
      <c r="AM52" s="877">
        <f t="shared" si="161"/>
        <v>0</v>
      </c>
      <c r="AN52" s="783"/>
      <c r="AO52" s="487"/>
      <c r="AP52" s="831"/>
      <c r="AQ52" s="877">
        <f t="shared" si="162"/>
        <v>0</v>
      </c>
      <c r="AR52" s="783"/>
      <c r="AS52" s="487"/>
      <c r="AT52" s="831"/>
      <c r="AU52" s="877">
        <f t="shared" si="163"/>
        <v>0</v>
      </c>
      <c r="AV52" s="783"/>
      <c r="AW52" s="487"/>
      <c r="AX52" s="845">
        <f>+AX56-AX51</f>
        <v>51.160999999999994</v>
      </c>
      <c r="AY52" s="877">
        <f t="shared" si="164"/>
        <v>2.7002106925408929</v>
      </c>
      <c r="AZ52" s="783"/>
      <c r="BA52" s="487"/>
      <c r="BB52" s="845">
        <f>+BB56-BB51</f>
        <v>52.05</v>
      </c>
      <c r="BC52" s="877">
        <f t="shared" si="165"/>
        <v>2.5039254623963796</v>
      </c>
      <c r="BD52" s="783"/>
      <c r="BE52" s="487"/>
      <c r="BF52" s="845">
        <f>+BF56-BF51</f>
        <v>56.591999999999999</v>
      </c>
      <c r="BG52" s="877">
        <f>BF52/BF11*100</f>
        <v>1.8577997914768114</v>
      </c>
      <c r="BH52" s="783"/>
      <c r="BI52" s="487"/>
      <c r="BJ52" s="845">
        <f>+BJ56-BJ51</f>
        <v>68.358000000000004</v>
      </c>
      <c r="BK52" s="877">
        <f>BJ52/BJ11*100</f>
        <v>2.0021164008766692</v>
      </c>
      <c r="BL52" s="558">
        <f>+BJ52/BF52-1</f>
        <v>0.20790924512298559</v>
      </c>
      <c r="BM52" s="487"/>
      <c r="BN52" s="845">
        <f>+BN56-BN51</f>
        <v>77.847999999999985</v>
      </c>
      <c r="BO52" s="877">
        <f>BN52/BN11*100</f>
        <v>2.1340696176888074</v>
      </c>
      <c r="BP52" s="558">
        <f>+BN52/BJ52-1</f>
        <v>0.13882793528189796</v>
      </c>
      <c r="BQ52" s="487"/>
      <c r="BR52" s="845">
        <f>+BR56-BR51</f>
        <v>86.557999999999993</v>
      </c>
      <c r="BS52" s="877">
        <f>BR52/BR11*100</f>
        <v>2.1837902806472504</v>
      </c>
      <c r="BT52" s="558">
        <f>+BR52/BN52-1</f>
        <v>0.11188469838659976</v>
      </c>
      <c r="BU52" s="487"/>
      <c r="BV52" s="831">
        <f>181.144-BV51</f>
        <v>90.644000000000005</v>
      </c>
      <c r="BW52" s="877">
        <f>BV52/BV11*100</f>
        <v>2.1015009860204423</v>
      </c>
      <c r="BX52" s="558">
        <f>+BV52/BR52-1</f>
        <v>4.7205342082765389E-2</v>
      </c>
      <c r="BY52" s="558"/>
      <c r="BZ52" s="831">
        <f>199.795-BZ51</f>
        <v>100.11899999999999</v>
      </c>
      <c r="CA52" s="877">
        <f>BZ52/BZ11*100</f>
        <v>2.1982941751868244</v>
      </c>
      <c r="CB52" s="925">
        <f>+BZ52/BV52-1</f>
        <v>0.10452980892281882</v>
      </c>
      <c r="CC52" s="558"/>
      <c r="CD52" s="831">
        <f>209.42-CD51</f>
        <v>105.27299999999998</v>
      </c>
      <c r="CE52" s="877">
        <f>CD52/CD11*100</f>
        <v>2.21742768025802</v>
      </c>
      <c r="CF52" s="558">
        <f>+CD52/BZ52-1</f>
        <v>5.1478740299044201E-2</v>
      </c>
      <c r="CG52" s="558"/>
      <c r="CH52" s="831">
        <f>227.2-CH51</f>
        <v>113.6</v>
      </c>
      <c r="CI52" s="877">
        <f>CH52/CH11*100</f>
        <v>2.2414800082082369</v>
      </c>
      <c r="CJ52" s="558">
        <f>+CH52/CD52-1</f>
        <v>7.9099104233754325E-2</v>
      </c>
      <c r="CK52" s="558"/>
      <c r="CL52" s="831">
        <v>120.17200000000001</v>
      </c>
      <c r="CM52" s="877">
        <f>CL52/CL11*100</f>
        <v>2.197622138173764</v>
      </c>
      <c r="CN52" s="558">
        <f>+CL52/CH52-1</f>
        <v>5.78521126760565E-2</v>
      </c>
      <c r="CO52" s="558"/>
      <c r="CP52" s="831">
        <f>246.5-CP51</f>
        <v>125.86199999999999</v>
      </c>
      <c r="CQ52" s="877">
        <f>CP52/CP11*100</f>
        <v>2.116907762583804</v>
      </c>
      <c r="CR52" s="558">
        <f>+CP52/CL52-1</f>
        <v>4.7348800053256923E-2</v>
      </c>
      <c r="CS52" s="558"/>
      <c r="CT52" s="831">
        <f>266-CT51</f>
        <v>145.4</v>
      </c>
      <c r="CU52" s="877">
        <f>CT52/CT11*100</f>
        <v>2.256914478152944</v>
      </c>
      <c r="CV52" s="558">
        <f>+CT52/CP52-1</f>
        <v>0.15523350971699168</v>
      </c>
      <c r="CX52" s="831">
        <f>291.7-CX51</f>
        <v>147.5</v>
      </c>
      <c r="CY52" s="877">
        <f>CX52/CX11*100</f>
        <v>2.1323619978685051</v>
      </c>
      <c r="CZ52" s="558">
        <f>+CX52/CT52-1</f>
        <v>1.4442916093535096E-2</v>
      </c>
      <c r="DB52" s="831">
        <f>298.5-DB51</f>
        <v>150</v>
      </c>
      <c r="DC52" s="877">
        <f>DB52/DB11*100</f>
        <v>2.0370108576752739</v>
      </c>
      <c r="DD52" s="558">
        <f>+DB52/CX52-1</f>
        <v>1.6949152542372836E-2</v>
      </c>
      <c r="DF52" s="831">
        <f>324.8-DF51</f>
        <v>167.8</v>
      </c>
      <c r="DG52" s="877">
        <f>DF52/DF11*100</f>
        <v>2.1288869790649723</v>
      </c>
      <c r="DH52" s="558">
        <f>+DF52/DB52-1</f>
        <v>0.1186666666666667</v>
      </c>
      <c r="DJ52" s="2051">
        <f>348.1-DJ51</f>
        <v>175.60000000000002</v>
      </c>
      <c r="DK52" s="877">
        <f>DJ52/DJ11*100</f>
        <v>2.1010565107625303</v>
      </c>
      <c r="DL52" s="558">
        <f>+DJ52/DF52-1</f>
        <v>4.6483909415971469E-2</v>
      </c>
      <c r="DN52" s="2070">
        <v>180</v>
      </c>
      <c r="DO52" s="877">
        <f>DN52/DN11*100</f>
        <v>2.0168063780807026</v>
      </c>
      <c r="DP52" s="558">
        <f>+DN52/DJ52-1</f>
        <v>2.505694760820032E-2</v>
      </c>
      <c r="DQ52" s="842"/>
      <c r="DR52" s="842"/>
      <c r="DS52" s="794"/>
      <c r="DT52" s="794"/>
      <c r="DU52" s="794"/>
      <c r="DV52" s="794"/>
      <c r="DW52" s="794"/>
      <c r="DX52" s="794"/>
      <c r="DY52" s="794"/>
      <c r="DZ52" s="794"/>
      <c r="EA52" s="794"/>
      <c r="EB52" s="794"/>
    </row>
    <row r="53" spans="1:132" ht="10.5" customHeight="1" outlineLevel="1">
      <c r="A53" s="487" t="str">
        <f>$A$12</f>
        <v>3Q</v>
      </c>
      <c r="B53" s="487" t="str">
        <f>$B$12</f>
        <v>Oct</v>
      </c>
      <c r="C53" s="487"/>
      <c r="D53" s="831"/>
      <c r="E53" s="487"/>
      <c r="F53" s="831"/>
      <c r="G53" s="877">
        <f t="shared" si="153"/>
        <v>0</v>
      </c>
      <c r="H53" s="783"/>
      <c r="I53" s="487"/>
      <c r="J53" s="831"/>
      <c r="K53" s="877">
        <f t="shared" si="154"/>
        <v>0</v>
      </c>
      <c r="L53" s="783"/>
      <c r="M53" s="487"/>
      <c r="N53" s="831"/>
      <c r="O53" s="877">
        <f t="shared" si="155"/>
        <v>0</v>
      </c>
      <c r="P53" s="783"/>
      <c r="Q53" s="487"/>
      <c r="R53" s="831"/>
      <c r="S53" s="877">
        <f t="shared" si="156"/>
        <v>0</v>
      </c>
      <c r="T53" s="783"/>
      <c r="U53" s="487"/>
      <c r="V53" s="831"/>
      <c r="W53" s="877">
        <f t="shared" si="157"/>
        <v>0</v>
      </c>
      <c r="X53" s="783"/>
      <c r="Y53" s="487"/>
      <c r="Z53" s="831"/>
      <c r="AA53" s="877">
        <f t="shared" si="158"/>
        <v>0</v>
      </c>
      <c r="AB53" s="783"/>
      <c r="AC53" s="487"/>
      <c r="AD53" s="831"/>
      <c r="AE53" s="877">
        <f t="shared" si="159"/>
        <v>0</v>
      </c>
      <c r="AF53" s="783"/>
      <c r="AG53" s="487"/>
      <c r="AH53" s="831"/>
      <c r="AI53" s="877">
        <f t="shared" si="160"/>
        <v>0</v>
      </c>
      <c r="AJ53" s="783"/>
      <c r="AK53" s="487"/>
      <c r="AL53" s="831"/>
      <c r="AM53" s="877">
        <f t="shared" si="161"/>
        <v>0</v>
      </c>
      <c r="AN53" s="783"/>
      <c r="AO53" s="487"/>
      <c r="AP53" s="831"/>
      <c r="AQ53" s="877">
        <f t="shared" si="162"/>
        <v>0</v>
      </c>
      <c r="AR53" s="783"/>
      <c r="AS53" s="487"/>
      <c r="AT53" s="831"/>
      <c r="AU53" s="877">
        <f t="shared" si="163"/>
        <v>0</v>
      </c>
      <c r="AV53" s="783"/>
      <c r="AW53" s="487"/>
      <c r="AX53" s="845">
        <f>+AX57-AX56</f>
        <v>52.509</v>
      </c>
      <c r="AY53" s="877">
        <f t="shared" si="164"/>
        <v>2.5489855320107413</v>
      </c>
      <c r="AZ53" s="783"/>
      <c r="BA53" s="487"/>
      <c r="BB53" s="845">
        <f>+BB57-BB56</f>
        <v>52.233000000000004</v>
      </c>
      <c r="BC53" s="877">
        <f t="shared" si="165"/>
        <v>2.2807815780372871</v>
      </c>
      <c r="BD53" s="783"/>
      <c r="BE53" s="487"/>
      <c r="BF53" s="845">
        <f>+BF57-BF56</f>
        <v>58.905000000000001</v>
      </c>
      <c r="BG53" s="877">
        <f>BF53/BF12*100</f>
        <v>1.7389176289435246</v>
      </c>
      <c r="BH53" s="783"/>
      <c r="BI53" s="487"/>
      <c r="BJ53" s="845">
        <f>+BJ57-BJ56</f>
        <v>69.36699999999999</v>
      </c>
      <c r="BK53" s="877">
        <f>BJ53/BJ12*100</f>
        <v>1.8171506411515839</v>
      </c>
      <c r="BL53" s="558">
        <f>+BJ53/BF53-1</f>
        <v>0.17760801290213046</v>
      </c>
      <c r="BM53" s="487"/>
      <c r="BN53" s="845">
        <f>+BN57-BN56</f>
        <v>76.282000000000011</v>
      </c>
      <c r="BO53" s="877">
        <f>BN53/BN12*100</f>
        <v>1.8872751311755431</v>
      </c>
      <c r="BP53" s="558">
        <f>+BN53/BJ53-1</f>
        <v>9.9687171133248098E-2</v>
      </c>
      <c r="BQ53" s="487"/>
      <c r="BR53" s="845">
        <f>+BR57-BR56</f>
        <v>88.988</v>
      </c>
      <c r="BS53" s="877">
        <f>BR53/BR12*100</f>
        <v>1.9894731500043707</v>
      </c>
      <c r="BT53" s="558">
        <f>+BR53/BN53-1</f>
        <v>0.16656616239741995</v>
      </c>
      <c r="BU53" s="487"/>
      <c r="BV53" s="831">
        <f>272.34-BV52-BV51</f>
        <v>91.19599999999997</v>
      </c>
      <c r="BW53" s="877">
        <f>BV53/BV12*100</f>
        <v>1.9575342401063975</v>
      </c>
      <c r="BX53" s="558">
        <f>+BV53/BR53-1</f>
        <v>2.4812334247313883E-2</v>
      </c>
      <c r="BY53" s="558"/>
      <c r="BZ53" s="831">
        <f>301.025-BZ52-BZ51</f>
        <v>101.23</v>
      </c>
      <c r="CA53" s="877">
        <f>BZ53/BZ12*100</f>
        <v>2.1259973159887684</v>
      </c>
      <c r="CB53" s="925">
        <f>+BZ53/BV53-1</f>
        <v>0.11002675555945474</v>
      </c>
      <c r="CC53" s="558"/>
      <c r="CD53" s="831">
        <f>318.94-CD52-CD51</f>
        <v>109.52000000000002</v>
      </c>
      <c r="CE53" s="877">
        <f>CD53/CD12*100</f>
        <v>2.0881053875483184</v>
      </c>
      <c r="CF53" s="558">
        <f>+CD53/BZ53-1</f>
        <v>8.1892719549540915E-2</v>
      </c>
      <c r="CG53" s="558"/>
      <c r="CH53" s="831">
        <f>341.1-CH52-CH51</f>
        <v>113.90000000000003</v>
      </c>
      <c r="CI53" s="877">
        <f>CH53/CH12*100</f>
        <v>2.0612224696051129</v>
      </c>
      <c r="CJ53" s="558">
        <f>+CH53/CD53-1</f>
        <v>3.9992695398100908E-2</v>
      </c>
      <c r="CK53" s="558"/>
      <c r="CL53" s="831">
        <v>120.5</v>
      </c>
      <c r="CM53" s="877">
        <f>CL53/CL12*100</f>
        <v>2.0800507083565218</v>
      </c>
      <c r="CN53" s="558">
        <f>+CL53/CH53-1</f>
        <v>5.7945566286215611E-2</v>
      </c>
      <c r="CO53" s="558"/>
      <c r="CP53" s="831">
        <f>372.367-CP52-CP51</f>
        <v>125.86700000000002</v>
      </c>
      <c r="CQ53" s="877">
        <f>CP53/CP12*100</f>
        <v>1.9633241006390201</v>
      </c>
      <c r="CR53" s="558">
        <f>+CP53/CL53-1</f>
        <v>4.45394190871371E-2</v>
      </c>
      <c r="CS53" s="558"/>
      <c r="CT53" s="831">
        <f>411.9-CT51-CT52</f>
        <v>145.89999999999995</v>
      </c>
      <c r="CU53" s="877">
        <f>CT53/CT12*100</f>
        <v>2.0896962363697082</v>
      </c>
      <c r="CV53" s="558">
        <f>+CT53/CP53-1</f>
        <v>0.15916006578372355</v>
      </c>
      <c r="CX53" s="831">
        <f>438.2-CX51-CX52</f>
        <v>146.5</v>
      </c>
      <c r="CY53" s="877">
        <f>CX53/CX12*100</f>
        <v>1.9888499505706303</v>
      </c>
      <c r="CZ53" s="558">
        <f>+CX53/CT53-1</f>
        <v>4.1124057573684869E-3</v>
      </c>
      <c r="DB53" s="831">
        <v>155.19999999999999</v>
      </c>
      <c r="DC53" s="877">
        <f>DB53/DB12*100</f>
        <v>2.001677952974755</v>
      </c>
      <c r="DD53" s="558">
        <f>+DB53/CX53-1</f>
        <v>5.9385665529010145E-2</v>
      </c>
      <c r="DF53" s="831">
        <f>492.4-SUM(DF51:DF52)</f>
        <v>167.59999999999997</v>
      </c>
      <c r="DG53" s="877">
        <f>DF53/DF12*100</f>
        <v>2.0213013321292355</v>
      </c>
      <c r="DH53" s="558">
        <f>+DF53/DB53-1</f>
        <v>7.9896907216494784E-2</v>
      </c>
      <c r="DJ53" s="2051">
        <f>532.4-DJ52-DJ51</f>
        <v>184.29999999999995</v>
      </c>
      <c r="DK53" s="877">
        <f>DJ53/DJ12*100</f>
        <v>2.1033482382318631</v>
      </c>
      <c r="DL53" s="558">
        <f>+DJ53/DF53-1</f>
        <v>9.9642004773269566E-2</v>
      </c>
      <c r="DN53" s="926">
        <v>180</v>
      </c>
      <c r="DO53" s="877">
        <f>DN53/DN12*100</f>
        <v>1.9274372328677358</v>
      </c>
      <c r="DP53" s="558">
        <f>+DN53/DJ53-1</f>
        <v>-2.3331524688008476E-2</v>
      </c>
      <c r="DQ53" s="842"/>
      <c r="DR53" s="842"/>
      <c r="DS53" s="794"/>
      <c r="DT53" s="794"/>
      <c r="DU53" s="794"/>
      <c r="DV53" s="794"/>
      <c r="DW53" s="794"/>
      <c r="DX53" s="794"/>
      <c r="DY53" s="794"/>
      <c r="DZ53" s="794"/>
      <c r="EA53" s="794"/>
      <c r="EB53" s="794"/>
    </row>
    <row r="54" spans="1:132" ht="10.5" customHeight="1" outlineLevel="1">
      <c r="A54" s="487" t="str">
        <f>$A$13</f>
        <v>4Q</v>
      </c>
      <c r="B54" s="487" t="str">
        <f>$B$13</f>
        <v>Jan</v>
      </c>
      <c r="C54" s="499"/>
      <c r="D54" s="849"/>
      <c r="E54" s="499"/>
      <c r="F54" s="849"/>
      <c r="G54" s="877">
        <f t="shared" si="153"/>
        <v>0</v>
      </c>
      <c r="H54" s="783"/>
      <c r="I54" s="487"/>
      <c r="J54" s="849"/>
      <c r="K54" s="877">
        <f t="shared" si="154"/>
        <v>0</v>
      </c>
      <c r="L54" s="783"/>
      <c r="M54" s="487"/>
      <c r="N54" s="849"/>
      <c r="O54" s="877">
        <f t="shared" si="155"/>
        <v>0</v>
      </c>
      <c r="P54" s="783"/>
      <c r="Q54" s="487"/>
      <c r="R54" s="849"/>
      <c r="S54" s="877">
        <f t="shared" si="156"/>
        <v>0</v>
      </c>
      <c r="T54" s="783"/>
      <c r="U54" s="487"/>
      <c r="V54" s="849"/>
      <c r="W54" s="877">
        <f t="shared" si="157"/>
        <v>0</v>
      </c>
      <c r="X54" s="783"/>
      <c r="Y54" s="487"/>
      <c r="Z54" s="849"/>
      <c r="AA54" s="877">
        <f t="shared" si="158"/>
        <v>0</v>
      </c>
      <c r="AB54" s="783"/>
      <c r="AC54" s="487"/>
      <c r="AD54" s="849"/>
      <c r="AE54" s="877">
        <f t="shared" si="159"/>
        <v>0</v>
      </c>
      <c r="AF54" s="783"/>
      <c r="AG54" s="487"/>
      <c r="AH54" s="849"/>
      <c r="AI54" s="877">
        <f t="shared" si="160"/>
        <v>0</v>
      </c>
      <c r="AJ54" s="783"/>
      <c r="AK54" s="487"/>
      <c r="AL54" s="849"/>
      <c r="AM54" s="877">
        <f t="shared" si="161"/>
        <v>0</v>
      </c>
      <c r="AN54" s="783"/>
      <c r="AO54" s="487"/>
      <c r="AP54" s="849"/>
      <c r="AQ54" s="877">
        <f t="shared" si="162"/>
        <v>0</v>
      </c>
      <c r="AR54" s="783"/>
      <c r="AS54" s="487"/>
      <c r="AT54" s="849"/>
      <c r="AU54" s="877">
        <f t="shared" si="163"/>
        <v>0</v>
      </c>
      <c r="AV54" s="783"/>
      <c r="AW54" s="487"/>
      <c r="AX54" s="851">
        <f>+AX55-AX57</f>
        <v>51.694999999999993</v>
      </c>
      <c r="AY54" s="877">
        <f t="shared" si="164"/>
        <v>2.0831268138455497</v>
      </c>
      <c r="AZ54" s="783"/>
      <c r="BA54" s="487"/>
      <c r="BB54" s="851">
        <f>+BB55-BB57</f>
        <v>54.137</v>
      </c>
      <c r="BC54" s="877">
        <f t="shared" si="165"/>
        <v>1.9889583548411631</v>
      </c>
      <c r="BD54" s="783"/>
      <c r="BE54" s="487"/>
      <c r="BF54" s="851">
        <f>+BF55-BF57</f>
        <v>67.330999999999989</v>
      </c>
      <c r="BG54" s="877">
        <f>BF54/BF13*100</f>
        <v>1.6399807384894327</v>
      </c>
      <c r="BH54" s="783"/>
      <c r="BI54" s="487"/>
      <c r="BJ54" s="851">
        <f>+BJ55-BJ57</f>
        <v>73.977000000000032</v>
      </c>
      <c r="BK54" s="877">
        <f>BJ54/BJ13*100</f>
        <v>1.7088273822627249</v>
      </c>
      <c r="BL54" s="558">
        <f>+BJ54/BF54-1</f>
        <v>9.8706390815523903E-2</v>
      </c>
      <c r="BM54" s="487"/>
      <c r="BN54" s="851">
        <f>+BN55-BN57</f>
        <v>81.350000000000023</v>
      </c>
      <c r="BO54" s="877">
        <f>BN54/BN13*100</f>
        <v>1.7248591965739444</v>
      </c>
      <c r="BP54" s="558">
        <f>+BN54/BJ54-1</f>
        <v>9.9666112440352839E-2</v>
      </c>
      <c r="BQ54" s="487"/>
      <c r="BR54" s="851">
        <f>+BR55-BR57</f>
        <v>91.54000000000002</v>
      </c>
      <c r="BS54" s="877">
        <f>BR54/BR13*100</f>
        <v>1.7960362809531276</v>
      </c>
      <c r="BT54" s="558">
        <f>+BR54/BN54-1</f>
        <v>0.12526121696373682</v>
      </c>
      <c r="BU54" s="487"/>
      <c r="BV54" s="851">
        <f>BV55-SUM(BV51:BV53)</f>
        <v>97.05600000000004</v>
      </c>
      <c r="BW54" s="877">
        <f>BV54/BV13*100</f>
        <v>1.8000413956107304</v>
      </c>
      <c r="BX54" s="558">
        <f>+BV54/BR54-1</f>
        <v>6.0257810793096223E-2</v>
      </c>
      <c r="BY54" s="558"/>
      <c r="BZ54" s="849">
        <f>BZ55-BZ53-BZ52-BZ51</f>
        <v>100.682</v>
      </c>
      <c r="CA54" s="877">
        <f>BZ54/BZ13*100</f>
        <v>1.8714039432902265</v>
      </c>
      <c r="CB54" s="558">
        <f>+BZ54/BV54-1</f>
        <v>3.7359874711506258E-2</v>
      </c>
      <c r="CC54" s="558"/>
      <c r="CD54" s="851">
        <f>CD55-CD53-CD52-CD51</f>
        <v>116.27800000000001</v>
      </c>
      <c r="CE54" s="877">
        <f>CD54/CD13*100</f>
        <v>1.9569668578899202</v>
      </c>
      <c r="CF54" s="558">
        <f>+CD54/BZ54-1</f>
        <v>0.15490355773623898</v>
      </c>
      <c r="CG54" s="558"/>
      <c r="CH54" s="851">
        <f>CH55-CH53-CH52-CH51</f>
        <v>116.952</v>
      </c>
      <c r="CI54" s="877">
        <f>CH54/CH13*100</f>
        <v>1.9322017769013402</v>
      </c>
      <c r="CJ54" s="558">
        <f>+CH54/CD54-1</f>
        <v>5.7964533273704433E-3</v>
      </c>
      <c r="CK54" s="558"/>
      <c r="CL54" s="849">
        <f>+CL55-SUM(CL51:CL53)</f>
        <v>128.80100000000004</v>
      </c>
      <c r="CM54" s="877">
        <f>CL54/CL13*100</f>
        <v>1.9196072347169606</v>
      </c>
      <c r="CN54" s="558">
        <f>+CL54/CH54-1</f>
        <v>0.10131506943019408</v>
      </c>
      <c r="CO54" s="558"/>
      <c r="CP54" s="849">
        <f>485.7-SUM(CP51:CP53)</f>
        <v>113.33299999999997</v>
      </c>
      <c r="CQ54" s="877">
        <f>CP54/CP13*100</f>
        <v>1.4673191249815178</v>
      </c>
      <c r="CR54" s="558">
        <f>+CP54/CL54-1</f>
        <v>-0.12009223530873259</v>
      </c>
      <c r="CS54" s="558"/>
      <c r="CT54" s="849">
        <f>548.8-CT52-CT53-CT51</f>
        <v>136.9</v>
      </c>
      <c r="CU54" s="877">
        <f>CT54/CT13*100</f>
        <v>1.7531532106074863</v>
      </c>
      <c r="CV54" s="558">
        <f>+CT54/CP54-1</f>
        <v>0.20794472924920404</v>
      </c>
      <c r="CX54" s="927">
        <f>589-SUM(CX51:CX53)</f>
        <v>150.80000000000001</v>
      </c>
      <c r="CY54" s="877">
        <f>CX54/CX13*100</f>
        <v>1.8160025713054977</v>
      </c>
      <c r="CZ54" s="558">
        <f>+CX54/CT54-1</f>
        <v>0.10153396639883128</v>
      </c>
      <c r="DB54" s="927">
        <f>616.7-SUM(DB51:DB53)</f>
        <v>163.00000000000006</v>
      </c>
      <c r="DC54" s="877">
        <f>DB54/DB13*100</f>
        <v>1.8187752278350722</v>
      </c>
      <c r="DD54" s="558">
        <f>+DB54/CX54-1</f>
        <v>8.0901856763925917E-2</v>
      </c>
      <c r="DF54" s="849">
        <f>658.8-SUM(DF51:DF53)</f>
        <v>166.39999999999998</v>
      </c>
      <c r="DG54" s="877">
        <f>DF54/DF13*100</f>
        <v>1.7575644719326773</v>
      </c>
      <c r="DH54" s="558">
        <f>+DF54/DB54-1</f>
        <v>2.0858895705520908E-2</v>
      </c>
      <c r="DJ54" s="2098">
        <f>726-SUM(DJ51:DJ53)</f>
        <v>193.60000000000002</v>
      </c>
      <c r="DK54" s="877">
        <f>DJ54/DJ13*100</f>
        <v>1.7663073228765998</v>
      </c>
      <c r="DL54" s="558">
        <f>+DJ54/DF54-1</f>
        <v>0.16346153846153877</v>
      </c>
      <c r="DN54" s="928">
        <v>180</v>
      </c>
      <c r="DO54" s="877">
        <f>DN54/DN13*100</f>
        <v>1.6260139011939252</v>
      </c>
      <c r="DP54" s="558">
        <f>+DN54/DJ54-1</f>
        <v>-7.024793388429762E-2</v>
      </c>
      <c r="DQ54" s="842"/>
      <c r="DR54" s="842"/>
      <c r="DS54" s="794"/>
      <c r="DT54" s="794"/>
      <c r="DU54" s="794"/>
      <c r="DV54" s="794"/>
      <c r="DW54" s="794"/>
      <c r="DX54" s="794"/>
      <c r="DY54" s="794"/>
      <c r="DZ54" s="794"/>
      <c r="EA54" s="794"/>
      <c r="EB54" s="794"/>
    </row>
    <row r="55" spans="1:132" ht="10.5" customHeight="1" outlineLevel="1">
      <c r="A55" s="487"/>
      <c r="B55" s="487" t="str">
        <f>$B$14</f>
        <v>Year</v>
      </c>
      <c r="C55" s="487"/>
      <c r="D55" s="859"/>
      <c r="E55" s="487"/>
      <c r="F55" s="859">
        <f>SUM(F51:F54)</f>
        <v>0</v>
      </c>
      <c r="G55" s="877">
        <f t="shared" si="153"/>
        <v>0</v>
      </c>
      <c r="H55" s="783"/>
      <c r="I55" s="487"/>
      <c r="J55" s="859">
        <f>SUM(J51:J54)</f>
        <v>0</v>
      </c>
      <c r="K55" s="877">
        <f t="shared" si="154"/>
        <v>0</v>
      </c>
      <c r="L55" s="783"/>
      <c r="M55" s="487"/>
      <c r="N55" s="859">
        <f>SUM(N51:N54)</f>
        <v>0</v>
      </c>
      <c r="O55" s="877">
        <f t="shared" si="155"/>
        <v>0</v>
      </c>
      <c r="P55" s="783"/>
      <c r="Q55" s="487"/>
      <c r="R55" s="859">
        <f>SUM(R51:R54)</f>
        <v>0</v>
      </c>
      <c r="S55" s="877">
        <f t="shared" si="156"/>
        <v>0</v>
      </c>
      <c r="T55" s="783"/>
      <c r="U55" s="487"/>
      <c r="V55" s="859">
        <f>SUM(V51:V54)</f>
        <v>0</v>
      </c>
      <c r="W55" s="877">
        <f t="shared" si="157"/>
        <v>0</v>
      </c>
      <c r="X55" s="783"/>
      <c r="Y55" s="487"/>
      <c r="Z55" s="859"/>
      <c r="AA55" s="877">
        <f t="shared" si="158"/>
        <v>0</v>
      </c>
      <c r="AB55" s="783"/>
      <c r="AC55" s="487"/>
      <c r="AD55" s="859"/>
      <c r="AE55" s="877">
        <f t="shared" si="159"/>
        <v>0</v>
      </c>
      <c r="AF55" s="783"/>
      <c r="AG55" s="487"/>
      <c r="AH55" s="859">
        <f>SUM(AH51:AH54)</f>
        <v>0</v>
      </c>
      <c r="AI55" s="877">
        <f t="shared" si="160"/>
        <v>0</v>
      </c>
      <c r="AJ55" s="783"/>
      <c r="AK55" s="487"/>
      <c r="AL55" s="859"/>
      <c r="AM55" s="877">
        <f t="shared" si="161"/>
        <v>0</v>
      </c>
      <c r="AN55" s="783"/>
      <c r="AO55" s="487"/>
      <c r="AP55" s="859"/>
      <c r="AQ55" s="877">
        <f t="shared" si="162"/>
        <v>0</v>
      </c>
      <c r="AR55" s="783"/>
      <c r="AS55" s="487"/>
      <c r="AT55" s="860">
        <v>175.78100000000001</v>
      </c>
      <c r="AU55" s="877">
        <f t="shared" si="163"/>
        <v>2.445436389244259</v>
      </c>
      <c r="AV55" s="783"/>
      <c r="AW55" s="487"/>
      <c r="AX55" s="860">
        <v>204.08099999999999</v>
      </c>
      <c r="AY55" s="877">
        <f t="shared" si="164"/>
        <v>2.5124087120373675</v>
      </c>
      <c r="AZ55" s="783"/>
      <c r="BA55" s="487"/>
      <c r="BB55" s="860">
        <v>207.876</v>
      </c>
      <c r="BC55" s="877">
        <f t="shared" si="165"/>
        <v>2.2894894135510029</v>
      </c>
      <c r="BD55" s="783"/>
      <c r="BE55" s="487"/>
      <c r="BF55" s="860">
        <v>238.38499999999999</v>
      </c>
      <c r="BG55" s="877">
        <f>BF55/BF25*100</f>
        <v>2.3592220806995772</v>
      </c>
      <c r="BH55" s="783"/>
      <c r="BI55" s="487"/>
      <c r="BJ55" s="860">
        <v>279.05900000000003</v>
      </c>
      <c r="BK55" s="877">
        <f>BJ55/BJ25*100</f>
        <v>2.4476232390377048</v>
      </c>
      <c r="BL55" s="558">
        <f>+BJ55/BF55-1</f>
        <v>0.17062315162447317</v>
      </c>
      <c r="BM55" s="487"/>
      <c r="BN55" s="860">
        <v>314.28500000000003</v>
      </c>
      <c r="BO55" s="877">
        <f>BN55/BN25*100</f>
        <v>2.5561983815230502</v>
      </c>
      <c r="BP55" s="558">
        <f>+BN55/BJ55-1</f>
        <v>0.12623137042704236</v>
      </c>
      <c r="BQ55" s="487"/>
      <c r="BR55" s="860">
        <v>353.11</v>
      </c>
      <c r="BS55" s="877">
        <f>BR55/BR14*100</f>
        <v>2.0288271453176527</v>
      </c>
      <c r="BT55" s="558">
        <f>+BR55/BN55-1</f>
        <v>0.12353437166902648</v>
      </c>
      <c r="BU55" s="487"/>
      <c r="BV55" s="860">
        <v>369.39600000000002</v>
      </c>
      <c r="BW55" s="877">
        <f>BV55/BV14*100</f>
        <v>1.9997647246452774</v>
      </c>
      <c r="BX55" s="558">
        <f>+BV55/BR55-1</f>
        <v>4.61216051655291E-2</v>
      </c>
      <c r="BY55" s="558"/>
      <c r="BZ55" s="859">
        <f>flow!AN9</f>
        <v>401.70699999999999</v>
      </c>
      <c r="CA55" s="877">
        <f>BZ55/BZ14*100</f>
        <v>2.1143024515638698</v>
      </c>
      <c r="CB55" s="558">
        <f>+BZ55/BV55-1</f>
        <v>8.7469815590856426E-2</v>
      </c>
      <c r="CC55" s="558"/>
      <c r="CD55" s="859">
        <f>flow!$AP$9</f>
        <v>435.21800000000002</v>
      </c>
      <c r="CE55" s="877">
        <f>CD55/CD14*100</f>
        <v>2.1451521861410368</v>
      </c>
      <c r="CF55" s="558">
        <f>+CD55/BZ55-1</f>
        <v>8.3421498754067125E-2</v>
      </c>
      <c r="CG55" s="558"/>
      <c r="CH55" s="859">
        <f>flow!$AR$9</f>
        <v>458.05200000000002</v>
      </c>
      <c r="CI55" s="877">
        <f>CH55/CH14*100</f>
        <v>2.1144194839454156</v>
      </c>
      <c r="CJ55" s="558">
        <f>+CH55/CD55-1</f>
        <v>5.2465660887187626E-2</v>
      </c>
      <c r="CK55" s="558"/>
      <c r="CL55" s="859">
        <f>flow!$AT$9</f>
        <v>485.70100000000002</v>
      </c>
      <c r="CM55" s="877">
        <f>CL55/CL14*100</f>
        <v>2.0951439262131255</v>
      </c>
      <c r="CN55" s="558">
        <f>+CL55/CH55-1</f>
        <v>6.0362142289521747E-2</v>
      </c>
      <c r="CO55" s="558"/>
      <c r="CP55" s="859">
        <f>SUM(CP51:CP54)</f>
        <v>485.7</v>
      </c>
      <c r="CQ55" s="877">
        <f>CP55/CP14*100</f>
        <v>1.8768568594655026</v>
      </c>
      <c r="CR55" s="558">
        <f>+CP55/CL55-1</f>
        <v>-2.0588798459453272E-6</v>
      </c>
      <c r="CS55" s="558"/>
      <c r="CT55" s="859">
        <f>SUM(CT51:CT54)</f>
        <v>548.79999999999995</v>
      </c>
      <c r="CU55" s="877">
        <f>CT55/CT14*100</f>
        <v>2.0012620203352727</v>
      </c>
      <c r="CV55" s="558">
        <f>+CT55/CP55-1</f>
        <v>0.12991558575252204</v>
      </c>
      <c r="CW55" s="842"/>
      <c r="CX55" s="859">
        <f>SUM(CX51:CX54)</f>
        <v>589</v>
      </c>
      <c r="CY55" s="877">
        <f>CX55/CX14*100</f>
        <v>2.0255580025411986</v>
      </c>
      <c r="CZ55" s="558">
        <f>+CX55/CT55-1</f>
        <v>7.3250728862973791E-2</v>
      </c>
      <c r="DA55" s="842"/>
      <c r="DB55" s="859">
        <f>SUM(DB51:DB54)</f>
        <v>616.70000000000005</v>
      </c>
      <c r="DC55" s="877">
        <f>DB55/DB14*100</f>
        <v>1.9928946052501384</v>
      </c>
      <c r="DD55" s="558">
        <f>+DB55/CX55-1</f>
        <v>4.7028862478777578E-2</v>
      </c>
      <c r="DE55" s="842"/>
      <c r="DF55" s="859">
        <f>SUM(DF51:DF54)</f>
        <v>658.8</v>
      </c>
      <c r="DG55" s="877">
        <f>DF55/DF14*100</f>
        <v>1.9853094334382517</v>
      </c>
      <c r="DH55" s="558">
        <f>+DF55/DB55-1</f>
        <v>6.8266580184854764E-2</v>
      </c>
      <c r="DI55" s="842"/>
      <c r="DJ55" s="859">
        <f>SUM(DJ51:DJ54)</f>
        <v>726</v>
      </c>
      <c r="DK55" s="877">
        <f>DJ55/DJ14*100</f>
        <v>2.0242765971542349</v>
      </c>
      <c r="DL55" s="558">
        <f>+DJ55/DF55-1</f>
        <v>0.10200364298724951</v>
      </c>
      <c r="DM55" s="842"/>
      <c r="DN55" s="859">
        <f>SUM(DN51:DN54)</f>
        <v>720</v>
      </c>
      <c r="DO55" s="877">
        <f>DN55/DN14*100</f>
        <v>1.9026575767871872</v>
      </c>
      <c r="DP55" s="558">
        <f>+DN55/DJ55-1</f>
        <v>-8.2644628099173278E-3</v>
      </c>
      <c r="DQ55" s="842"/>
      <c r="DR55" s="842"/>
      <c r="DS55" s="794"/>
      <c r="DT55" s="794"/>
      <c r="DU55" s="794"/>
      <c r="DV55" s="794"/>
      <c r="DW55" s="794"/>
      <c r="DX55" s="794"/>
      <c r="DY55" s="794"/>
      <c r="DZ55" s="794"/>
      <c r="EA55" s="794"/>
      <c r="EB55" s="794"/>
    </row>
    <row r="56" spans="1:132" ht="10.5" customHeight="1" outlineLevel="1">
      <c r="A56" s="487" t="str">
        <f>$A$15</f>
        <v>6 Mos</v>
      </c>
      <c r="B56" s="487"/>
      <c r="C56" s="487"/>
      <c r="D56" s="864"/>
      <c r="E56" s="487"/>
      <c r="F56" s="864">
        <f>SUM(F51:F52)</f>
        <v>0</v>
      </c>
      <c r="G56" s="877">
        <f t="shared" si="153"/>
        <v>0</v>
      </c>
      <c r="H56" s="783"/>
      <c r="I56" s="487"/>
      <c r="J56" s="864">
        <f>SUM(J51:J52)</f>
        <v>0</v>
      </c>
      <c r="K56" s="877">
        <f t="shared" si="154"/>
        <v>0</v>
      </c>
      <c r="L56" s="783"/>
      <c r="M56" s="487"/>
      <c r="N56" s="864">
        <f>SUM(N51:N52)</f>
        <v>0</v>
      </c>
      <c r="O56" s="877">
        <f t="shared" si="155"/>
        <v>0</v>
      </c>
      <c r="P56" s="783"/>
      <c r="Q56" s="487"/>
      <c r="R56" s="839"/>
      <c r="S56" s="877">
        <f t="shared" si="156"/>
        <v>0</v>
      </c>
      <c r="T56" s="783"/>
      <c r="U56" s="487"/>
      <c r="V56" s="839"/>
      <c r="W56" s="877">
        <f t="shared" si="157"/>
        <v>0</v>
      </c>
      <c r="X56" s="783"/>
      <c r="Y56" s="487"/>
      <c r="Z56" s="839"/>
      <c r="AA56" s="877">
        <f t="shared" si="158"/>
        <v>0</v>
      </c>
      <c r="AB56" s="783"/>
      <c r="AC56" s="487"/>
      <c r="AD56" s="839"/>
      <c r="AE56" s="877">
        <f t="shared" si="159"/>
        <v>0</v>
      </c>
      <c r="AF56" s="783"/>
      <c r="AG56" s="487"/>
      <c r="AH56" s="839"/>
      <c r="AI56" s="877">
        <f t="shared" si="160"/>
        <v>0</v>
      </c>
      <c r="AJ56" s="783"/>
      <c r="AK56" s="487"/>
      <c r="AL56" s="839"/>
      <c r="AM56" s="877">
        <f t="shared" si="161"/>
        <v>0</v>
      </c>
      <c r="AN56" s="783"/>
      <c r="AO56" s="487"/>
      <c r="AP56" s="839"/>
      <c r="AQ56" s="877">
        <f t="shared" si="162"/>
        <v>0</v>
      </c>
      <c r="AR56" s="783"/>
      <c r="AS56" s="487"/>
      <c r="AT56" s="839"/>
      <c r="AU56" s="877">
        <f t="shared" si="163"/>
        <v>0</v>
      </c>
      <c r="AV56" s="783"/>
      <c r="AW56" s="487"/>
      <c r="AX56" s="929">
        <v>99.876999999999995</v>
      </c>
      <c r="AY56" s="877">
        <f t="shared" si="164"/>
        <v>2.7888320507522364</v>
      </c>
      <c r="AZ56" s="783"/>
      <c r="BA56" s="487"/>
      <c r="BB56" s="839">
        <v>101.506</v>
      </c>
      <c r="BC56" s="877">
        <f t="shared" si="165"/>
        <v>2.4954973072348428</v>
      </c>
      <c r="BD56" s="783"/>
      <c r="BE56" s="487"/>
      <c r="BF56" s="929">
        <v>112.149</v>
      </c>
      <c r="BG56" s="877">
        <f>BF56/BF26*100</f>
        <v>2.5180682079621803</v>
      </c>
      <c r="BH56" s="783"/>
      <c r="BI56" s="487"/>
      <c r="BJ56" s="929">
        <v>135.715</v>
      </c>
      <c r="BK56" s="877">
        <f>BJ56/BJ26*100</f>
        <v>2.6291806277345122</v>
      </c>
      <c r="BL56" s="783"/>
      <c r="BM56" s="487"/>
      <c r="BN56" s="929">
        <v>156.65299999999999</v>
      </c>
      <c r="BO56" s="877">
        <f>BN56/BN26*100</f>
        <v>2.7990594339808066</v>
      </c>
      <c r="BP56" s="783"/>
      <c r="BQ56" s="487"/>
      <c r="BR56" s="929">
        <v>172.58199999999999</v>
      </c>
      <c r="BS56" s="877">
        <f>BR56/BR26*100</f>
        <v>2.8970457794403113</v>
      </c>
      <c r="BT56" s="783"/>
      <c r="BU56" s="487"/>
      <c r="BV56" s="845">
        <f>SUM(BV51:BV52)</f>
        <v>181.14400000000001</v>
      </c>
      <c r="BW56" s="877">
        <f>BV56/BV26*100</f>
        <v>2.8348545130766785</v>
      </c>
      <c r="BX56" s="783"/>
      <c r="BY56" s="783"/>
      <c r="BZ56" s="845">
        <f>SUM(BZ51:BZ52)</f>
        <v>199.79499999999999</v>
      </c>
      <c r="CA56" s="877">
        <f>BZ56/BZ26*100</f>
        <v>2.971200641961957</v>
      </c>
      <c r="CB56" s="783"/>
      <c r="CC56" s="783"/>
      <c r="CD56" s="845">
        <f>SUM(CD51:CD52)</f>
        <v>209.42</v>
      </c>
      <c r="CE56" s="877">
        <f>CD56/CD26*100</f>
        <v>3.0762460103695135</v>
      </c>
      <c r="CF56" s="783"/>
      <c r="CG56" s="783"/>
      <c r="CH56" s="845">
        <f>SUM(CH51:CH52)</f>
        <v>227.2</v>
      </c>
      <c r="CI56" s="877">
        <f>CH56/CH26*100</f>
        <v>3.0836533257038248</v>
      </c>
      <c r="CJ56" s="783"/>
      <c r="CK56" s="783"/>
      <c r="CL56" s="845">
        <f>SUM(CL51:CL52)</f>
        <v>236.4</v>
      </c>
      <c r="CM56" s="877">
        <f>CL56/CL26*100</f>
        <v>3.0357147214057569</v>
      </c>
      <c r="CN56" s="783"/>
      <c r="CO56" s="783"/>
      <c r="CP56" s="845">
        <f>SUM(CP51:CP52)</f>
        <v>246.5</v>
      </c>
      <c r="CQ56" s="877">
        <f>CP56/CP26*100</f>
        <v>2.9203389583524126</v>
      </c>
      <c r="CR56" s="783"/>
      <c r="CS56" s="783"/>
      <c r="CT56" s="845">
        <f>SUM(CT51:CT52)</f>
        <v>266</v>
      </c>
      <c r="CU56" s="877">
        <f>CT56/CT26*100</f>
        <v>2.9489132921934056</v>
      </c>
      <c r="CV56" s="783"/>
      <c r="CW56" s="883"/>
      <c r="CX56" s="845">
        <f>SUM(CX51:CX52)</f>
        <v>291.7</v>
      </c>
      <c r="CY56" s="877">
        <f>CX56/CX26*100</f>
        <v>3.0341623589951836</v>
      </c>
      <c r="CZ56" s="783"/>
      <c r="DA56" s="883"/>
      <c r="DB56" s="845">
        <f>SUM(DB51:DB52)</f>
        <v>298.5</v>
      </c>
      <c r="DC56" s="877">
        <f>DB56/DB26*100</f>
        <v>2.9439518900072508</v>
      </c>
      <c r="DD56" s="783"/>
      <c r="DE56" s="883"/>
      <c r="DF56" s="845">
        <f>SUM(DF51:DF52)</f>
        <v>324.8</v>
      </c>
      <c r="DG56" s="877">
        <f>DF56/DF26*100</f>
        <v>2.9702506715985511</v>
      </c>
      <c r="DH56" s="783"/>
      <c r="DI56" s="883"/>
      <c r="DJ56" s="845">
        <f>SUM(DJ51:DJ52)</f>
        <v>348.1</v>
      </c>
      <c r="DK56" s="877">
        <f>DJ56/DJ26*100</f>
        <v>3.0262336466237154</v>
      </c>
      <c r="DL56" s="783"/>
      <c r="DM56" s="883"/>
      <c r="DN56" s="845">
        <f>SUM(DN51:DN52)</f>
        <v>360</v>
      </c>
      <c r="DO56" s="877">
        <f>DN56/DN26*100</f>
        <v>2.8852360794568144</v>
      </c>
      <c r="DP56" s="783"/>
      <c r="DQ56" s="883"/>
      <c r="DR56" s="883"/>
      <c r="DS56" s="794"/>
      <c r="DT56" s="794"/>
      <c r="DU56" s="794"/>
      <c r="DV56" s="794"/>
      <c r="DW56" s="794"/>
      <c r="DX56" s="794"/>
      <c r="DY56" s="794"/>
      <c r="DZ56" s="794"/>
      <c r="EA56" s="794"/>
      <c r="EB56" s="794"/>
    </row>
    <row r="57" spans="1:132" ht="10.5" customHeight="1" outlineLevel="1">
      <c r="A57" s="487" t="str">
        <f>$A$16</f>
        <v>9 Mos</v>
      </c>
      <c r="B57" s="487"/>
      <c r="C57" s="487"/>
      <c r="D57" s="864"/>
      <c r="E57" s="487"/>
      <c r="F57" s="864">
        <f>SUM(F51:F53)</f>
        <v>0</v>
      </c>
      <c r="G57" s="877">
        <f t="shared" si="153"/>
        <v>0</v>
      </c>
      <c r="H57" s="783"/>
      <c r="I57" s="487"/>
      <c r="J57" s="864">
        <f>SUM(J51:J53)</f>
        <v>0</v>
      </c>
      <c r="K57" s="877">
        <f t="shared" si="154"/>
        <v>0</v>
      </c>
      <c r="L57" s="783"/>
      <c r="M57" s="487"/>
      <c r="N57" s="864">
        <f>SUM(N51:N53)</f>
        <v>0</v>
      </c>
      <c r="O57" s="877">
        <f t="shared" si="155"/>
        <v>0</v>
      </c>
      <c r="P57" s="783"/>
      <c r="Q57" s="487"/>
      <c r="R57" s="839"/>
      <c r="S57" s="877">
        <f t="shared" si="156"/>
        <v>0</v>
      </c>
      <c r="T57" s="783"/>
      <c r="U57" s="487"/>
      <c r="V57" s="839"/>
      <c r="W57" s="877">
        <f t="shared" si="157"/>
        <v>0</v>
      </c>
      <c r="X57" s="783"/>
      <c r="Y57" s="487"/>
      <c r="Z57" s="839"/>
      <c r="AA57" s="877">
        <f t="shared" si="158"/>
        <v>0</v>
      </c>
      <c r="AB57" s="783"/>
      <c r="AC57" s="487"/>
      <c r="AD57" s="839"/>
      <c r="AE57" s="877">
        <f t="shared" si="159"/>
        <v>0</v>
      </c>
      <c r="AF57" s="783"/>
      <c r="AG57" s="487"/>
      <c r="AH57" s="839"/>
      <c r="AI57" s="877">
        <f t="shared" si="160"/>
        <v>0</v>
      </c>
      <c r="AJ57" s="783"/>
      <c r="AK57" s="487"/>
      <c r="AL57" s="839"/>
      <c r="AM57" s="877">
        <f t="shared" si="161"/>
        <v>0</v>
      </c>
      <c r="AN57" s="783"/>
      <c r="AO57" s="487"/>
      <c r="AP57" s="839"/>
      <c r="AQ57" s="877">
        <f t="shared" si="162"/>
        <v>0</v>
      </c>
      <c r="AR57" s="783"/>
      <c r="AS57" s="487"/>
      <c r="AT57" s="839"/>
      <c r="AU57" s="877">
        <f t="shared" si="163"/>
        <v>0</v>
      </c>
      <c r="AV57" s="783"/>
      <c r="AW57" s="487"/>
      <c r="AX57" s="929">
        <v>152.386</v>
      </c>
      <c r="AY57" s="877">
        <f t="shared" si="164"/>
        <v>2.7012491411578434</v>
      </c>
      <c r="AZ57" s="783"/>
      <c r="BA57" s="487"/>
      <c r="BB57" s="839">
        <v>153.739</v>
      </c>
      <c r="BC57" s="877">
        <f t="shared" si="165"/>
        <v>2.4181536032988022</v>
      </c>
      <c r="BD57" s="783"/>
      <c r="BE57" s="487"/>
      <c r="BF57" s="929">
        <v>171.054</v>
      </c>
      <c r="BG57" s="877">
        <f>BF57/BF27*100</f>
        <v>2.447455225947083</v>
      </c>
      <c r="BH57" s="783"/>
      <c r="BI57" s="487"/>
      <c r="BJ57" s="929">
        <v>205.08199999999999</v>
      </c>
      <c r="BK57" s="877">
        <f>BJ57/BJ27*100</f>
        <v>2.5546092010043946</v>
      </c>
      <c r="BL57" s="783"/>
      <c r="BM57" s="487"/>
      <c r="BN57" s="929">
        <v>232.935</v>
      </c>
      <c r="BO57" s="877">
        <f>BN57/BN27*100</f>
        <v>2.6870978466533302</v>
      </c>
      <c r="BP57" s="783"/>
      <c r="BQ57" s="487"/>
      <c r="BR57" s="929">
        <v>261.57</v>
      </c>
      <c r="BS57" s="877">
        <f>BR57/BR27*100</f>
        <v>2.8152272614997083</v>
      </c>
      <c r="BT57" s="783"/>
      <c r="BU57" s="487"/>
      <c r="BV57" s="845">
        <f>SUM(BV51:BV53)</f>
        <v>272.33999999999997</v>
      </c>
      <c r="BW57" s="877">
        <f>BV57/BV27*100</f>
        <v>2.7591324203226297</v>
      </c>
      <c r="BX57" s="783"/>
      <c r="BY57" s="783"/>
      <c r="BZ57" s="845">
        <f>SUM(BZ51:BZ53)</f>
        <v>301.02499999999998</v>
      </c>
      <c r="CA57" s="877">
        <f>BZ57/BZ27*100</f>
        <v>2.9335734310876043</v>
      </c>
      <c r="CB57" s="783"/>
      <c r="CC57" s="783"/>
      <c r="CD57" s="845">
        <f>SUM(CD51:CD53)</f>
        <v>318.94</v>
      </c>
      <c r="CE57" s="877">
        <f>CD57/CD27*100</f>
        <v>3.0060810605111654</v>
      </c>
      <c r="CF57" s="783"/>
      <c r="CG57" s="783"/>
      <c r="CH57" s="845">
        <f>SUM(CH51:CH53)</f>
        <v>341.1</v>
      </c>
      <c r="CI57" s="877">
        <f>CH57/CH27*100</f>
        <v>2.9988690281097155</v>
      </c>
      <c r="CJ57" s="783"/>
      <c r="CK57" s="783"/>
      <c r="CL57" s="845">
        <f>SUM(CL51:CL53)</f>
        <v>356.9</v>
      </c>
      <c r="CM57" s="877">
        <f>CL57/CL27*100</f>
        <v>2.9856414820961894</v>
      </c>
      <c r="CN57" s="783"/>
      <c r="CO57" s="783"/>
      <c r="CP57" s="845">
        <f>SUM(CP51:CP53)</f>
        <v>372.36700000000002</v>
      </c>
      <c r="CQ57" s="877">
        <f>CP57/CP27*100</f>
        <v>2.8628477526575562</v>
      </c>
      <c r="CR57" s="783"/>
      <c r="CS57" s="783"/>
      <c r="CT57" s="845">
        <f>SUM(CT51:CT53)</f>
        <v>411.9</v>
      </c>
      <c r="CU57" s="877">
        <f>CT57/CT27*100</f>
        <v>2.9516858683900669</v>
      </c>
      <c r="CV57" s="783"/>
      <c r="CW57" s="883"/>
      <c r="CX57" s="845">
        <f>SUM(CX51:CX53)</f>
        <v>438.2</v>
      </c>
      <c r="CY57" s="877">
        <f>CX57/CX27*100</f>
        <v>2.9573169805807122</v>
      </c>
      <c r="CZ57" s="783"/>
      <c r="DA57" s="883"/>
      <c r="DB57" s="845">
        <f>SUM(DB51:DB53)</f>
        <v>453.7</v>
      </c>
      <c r="DC57" s="877">
        <f>DB57/DB27*100</f>
        <v>3.8141784707657971</v>
      </c>
      <c r="DD57" s="783"/>
      <c r="DE57" s="883"/>
      <c r="DF57" s="845">
        <f>SUM(DF51:DF53)</f>
        <v>492.4</v>
      </c>
      <c r="DG57" s="877">
        <f>DF57/DF27*100</f>
        <v>3.8984533654245821</v>
      </c>
      <c r="DH57" s="783"/>
      <c r="DI57" s="883"/>
      <c r="DJ57" s="845">
        <f>SUM(DJ51:DJ53)</f>
        <v>532.4</v>
      </c>
      <c r="DK57" s="877">
        <f>DJ57/DJ27*100</f>
        <v>3.803014696323133</v>
      </c>
      <c r="DL57" s="783"/>
      <c r="DM57" s="883"/>
      <c r="DN57" s="845">
        <f>SUM(DN51:DN53)</f>
        <v>540</v>
      </c>
      <c r="DO57" s="877">
        <f>DN57/DN27*100</f>
        <v>3.7239672299544968</v>
      </c>
      <c r="DP57" s="783"/>
      <c r="DQ57" s="883"/>
      <c r="DR57" s="883"/>
      <c r="DS57" s="794"/>
      <c r="DT57" s="794"/>
      <c r="DU57" s="794"/>
      <c r="DV57" s="794"/>
      <c r="DW57" s="794"/>
      <c r="DX57" s="794"/>
      <c r="DY57" s="794"/>
      <c r="DZ57" s="794"/>
      <c r="EA57" s="794"/>
      <c r="EB57" s="794"/>
    </row>
    <row r="58" spans="1:132" ht="10.5" customHeight="1">
      <c r="A58" s="487"/>
      <c r="B58" s="487"/>
      <c r="C58" s="487"/>
      <c r="D58" s="487"/>
      <c r="E58" s="487"/>
      <c r="F58" s="487"/>
      <c r="G58" s="487"/>
      <c r="H58" s="487"/>
      <c r="I58" s="487"/>
      <c r="J58" s="487"/>
      <c r="K58" s="487"/>
      <c r="L58" s="487"/>
      <c r="M58" s="487"/>
      <c r="N58" s="487"/>
      <c r="O58" s="487"/>
      <c r="P58" s="487"/>
      <c r="Q58" s="487"/>
      <c r="R58" s="487"/>
      <c r="S58" s="487"/>
      <c r="T58" s="487"/>
      <c r="U58" s="487"/>
      <c r="V58" s="487"/>
      <c r="W58" s="487"/>
      <c r="X58" s="487"/>
      <c r="Y58" s="487"/>
      <c r="Z58" s="487"/>
      <c r="AA58" s="487"/>
      <c r="AB58" s="487"/>
      <c r="AC58" s="487"/>
      <c r="AD58" s="487"/>
      <c r="AE58" s="487"/>
      <c r="AF58" s="487"/>
      <c r="AG58" s="487"/>
      <c r="AH58" s="487"/>
      <c r="AI58" s="487"/>
      <c r="AJ58" s="487"/>
      <c r="AK58" s="487"/>
      <c r="AL58" s="487"/>
      <c r="AM58" s="487"/>
      <c r="AN58" s="487"/>
      <c r="AO58" s="487"/>
      <c r="AP58" s="487"/>
      <c r="AQ58" s="487"/>
      <c r="AR58" s="487"/>
      <c r="AS58" s="487"/>
      <c r="AT58" s="487"/>
      <c r="AU58" s="487"/>
      <c r="AV58" s="487"/>
      <c r="AW58" s="487"/>
      <c r="AX58" s="487"/>
      <c r="AY58" s="487"/>
      <c r="AZ58" s="487"/>
      <c r="BA58" s="487"/>
      <c r="BB58" s="487"/>
      <c r="BC58" s="487"/>
      <c r="BD58" s="487"/>
      <c r="BE58" s="487"/>
      <c r="BF58" s="487"/>
      <c r="BG58" s="487"/>
      <c r="BH58" s="487"/>
      <c r="BI58" s="487"/>
      <c r="BJ58" s="487"/>
      <c r="BK58" s="487"/>
      <c r="BL58" s="487"/>
      <c r="BM58" s="487"/>
      <c r="BN58" s="487"/>
      <c r="BO58" s="487"/>
      <c r="BP58" s="487"/>
      <c r="BQ58" s="487"/>
      <c r="BR58" s="487"/>
      <c r="BS58" s="487"/>
      <c r="BT58" s="487"/>
      <c r="BU58" s="487"/>
      <c r="BV58" s="487"/>
      <c r="BW58" s="487"/>
      <c r="BX58" s="487"/>
      <c r="BY58" s="487"/>
      <c r="BZ58" s="871"/>
      <c r="CA58" s="754"/>
      <c r="CB58" s="487"/>
      <c r="CC58" s="487"/>
      <c r="CD58" s="871"/>
      <c r="CE58" s="487"/>
      <c r="CF58" s="487"/>
      <c r="CG58" s="487"/>
      <c r="CH58" s="871"/>
      <c r="CI58" s="487"/>
      <c r="CJ58" s="487"/>
      <c r="CK58" s="487"/>
      <c r="CL58" s="871"/>
      <c r="CM58" s="487"/>
      <c r="CN58" s="487"/>
      <c r="CO58" s="487"/>
      <c r="CP58" s="871"/>
      <c r="CQ58" s="487"/>
      <c r="CR58" s="487"/>
      <c r="CS58" s="487"/>
      <c r="CT58" s="871"/>
      <c r="CU58" s="487"/>
      <c r="CV58" s="487"/>
      <c r="CW58" s="794"/>
      <c r="CX58" s="871"/>
      <c r="CY58" s="487"/>
      <c r="CZ58" s="487"/>
      <c r="DA58" s="794"/>
      <c r="DB58" s="871"/>
      <c r="DC58" s="487"/>
      <c r="DD58" s="487"/>
      <c r="DE58" s="794"/>
      <c r="DF58" s="871"/>
      <c r="DG58" s="487"/>
      <c r="DH58" s="487"/>
      <c r="DI58" s="794"/>
      <c r="DJ58" s="871"/>
      <c r="DK58" s="487"/>
      <c r="DL58" s="487"/>
      <c r="DM58" s="794"/>
      <c r="DN58" s="871"/>
      <c r="DO58" s="487"/>
      <c r="DP58" s="487"/>
      <c r="DQ58" s="794"/>
      <c r="DR58" s="794"/>
      <c r="DS58" s="794"/>
      <c r="DT58" s="794"/>
      <c r="DU58" s="794"/>
      <c r="DV58" s="794"/>
      <c r="DW58" s="794"/>
      <c r="DX58" s="794"/>
      <c r="DY58" s="794"/>
      <c r="DZ58" s="794"/>
      <c r="EA58" s="794"/>
      <c r="EB58" s="794"/>
    </row>
    <row r="59" spans="1:132">
      <c r="A59" s="487"/>
      <c r="B59" s="487"/>
      <c r="C59" s="807"/>
      <c r="D59" s="807"/>
      <c r="E59" s="809"/>
      <c r="F59" s="809" t="str">
        <f>Z59</f>
        <v xml:space="preserve">4.  Operating Income (% Operating Margin) </v>
      </c>
      <c r="G59" s="811"/>
      <c r="H59" s="811"/>
      <c r="I59" s="811"/>
      <c r="J59" s="809"/>
      <c r="K59" s="811"/>
      <c r="L59" s="811"/>
      <c r="M59" s="811"/>
      <c r="N59" s="809"/>
      <c r="O59" s="811"/>
      <c r="P59" s="811"/>
      <c r="Q59" s="811"/>
      <c r="R59" s="809"/>
      <c r="S59" s="811"/>
      <c r="T59" s="811"/>
      <c r="U59" s="811"/>
      <c r="V59" s="809"/>
      <c r="W59" s="811"/>
      <c r="X59" s="811"/>
      <c r="Y59" s="487"/>
      <c r="Z59" s="809" t="s">
        <v>156</v>
      </c>
      <c r="AA59" s="811"/>
      <c r="AB59" s="811"/>
      <c r="AC59" s="811"/>
      <c r="AD59" s="809"/>
      <c r="AE59" s="811"/>
      <c r="AF59" s="811"/>
      <c r="AG59" s="811"/>
      <c r="AH59" s="809"/>
      <c r="AI59" s="811"/>
      <c r="AJ59" s="811"/>
      <c r="AK59" s="811"/>
      <c r="AL59" s="809"/>
      <c r="AM59" s="811"/>
      <c r="AN59" s="811"/>
      <c r="AO59" s="702"/>
      <c r="AP59" s="702"/>
      <c r="AQ59" s="811"/>
      <c r="AR59" s="811"/>
      <c r="AS59" s="811"/>
      <c r="AT59" s="702"/>
      <c r="AU59" s="921"/>
      <c r="AV59" s="921"/>
      <c r="AW59" s="921"/>
      <c r="AX59" s="921"/>
      <c r="AY59" s="921"/>
      <c r="AZ59" s="921"/>
      <c r="BA59" s="921"/>
      <c r="BB59" s="921"/>
      <c r="BC59" s="921"/>
      <c r="BD59" s="921"/>
      <c r="BE59" s="921"/>
      <c r="BF59" s="702"/>
      <c r="BG59" s="809"/>
      <c r="BH59" s="809"/>
      <c r="BI59" s="809"/>
      <c r="BJ59" s="809" t="s">
        <v>156</v>
      </c>
      <c r="BK59" s="809"/>
      <c r="BL59" s="809"/>
      <c r="BM59" s="809"/>
      <c r="BN59" s="809" t="s">
        <v>156</v>
      </c>
      <c r="BO59" s="809"/>
      <c r="BP59" s="809"/>
      <c r="BQ59" s="809"/>
      <c r="BR59" s="809"/>
      <c r="BS59" s="809"/>
      <c r="BT59" s="809"/>
      <c r="BU59" s="809"/>
      <c r="BV59" s="809"/>
      <c r="BW59" s="809"/>
      <c r="BX59" s="809"/>
      <c r="BY59" s="809"/>
      <c r="BZ59" s="809"/>
      <c r="CA59" s="809"/>
      <c r="CC59" s="809"/>
      <c r="CD59" s="809"/>
      <c r="CE59" s="809"/>
      <c r="CF59" s="810" t="str">
        <f>BN59</f>
        <v xml:space="preserve">4.  Operating Income (% Operating Margin) </v>
      </c>
      <c r="CG59" s="809"/>
      <c r="CH59" s="809"/>
      <c r="CI59" s="809"/>
      <c r="CJ59" s="809"/>
      <c r="CK59" s="809"/>
      <c r="CL59" s="809"/>
      <c r="CM59" s="809"/>
      <c r="CN59" s="809"/>
      <c r="CO59" s="809"/>
      <c r="CP59" s="809"/>
      <c r="CQ59" s="809"/>
      <c r="CR59" s="809"/>
      <c r="CS59" s="809"/>
      <c r="CT59" s="809"/>
      <c r="CU59" s="809"/>
      <c r="CV59" s="809"/>
      <c r="CW59" s="794"/>
      <c r="CX59" s="809"/>
      <c r="CY59" s="809"/>
      <c r="CZ59" s="809"/>
      <c r="DA59" s="794"/>
      <c r="DB59" s="809" t="str">
        <f>CF59</f>
        <v xml:space="preserve">4.  Operating Income (% Operating Margin) </v>
      </c>
      <c r="DC59" s="809"/>
      <c r="DD59" s="809"/>
      <c r="DE59" s="794"/>
      <c r="DF59" s="809"/>
      <c r="DG59" s="809"/>
      <c r="DH59" s="809"/>
      <c r="DI59" s="794"/>
      <c r="DJ59" s="809"/>
      <c r="DK59" s="809"/>
      <c r="DL59" s="809"/>
      <c r="DM59" s="794"/>
      <c r="DN59" s="809"/>
      <c r="DO59" s="809"/>
      <c r="DP59" s="809"/>
      <c r="DQ59" s="794"/>
      <c r="DR59" s="794"/>
      <c r="DS59" s="794"/>
      <c r="DT59" s="794"/>
      <c r="DU59" s="794"/>
      <c r="DV59" s="794"/>
      <c r="DW59" s="794"/>
      <c r="DX59" s="794"/>
      <c r="DY59" s="794"/>
      <c r="DZ59" s="794"/>
      <c r="EA59" s="794"/>
      <c r="EB59" s="794"/>
    </row>
    <row r="60" spans="1:132">
      <c r="A60" s="487"/>
      <c r="B60" s="487"/>
      <c r="C60" s="487"/>
      <c r="D60" s="487"/>
      <c r="E60" s="487"/>
      <c r="F60" s="487"/>
      <c r="G60" s="487"/>
      <c r="H60" s="487"/>
      <c r="I60" s="487"/>
      <c r="J60" s="487"/>
      <c r="K60" s="487"/>
      <c r="L60" s="487"/>
      <c r="M60" s="487"/>
      <c r="N60" s="487"/>
      <c r="O60" s="487"/>
      <c r="P60" s="487"/>
      <c r="Q60" s="487"/>
      <c r="R60" s="487"/>
      <c r="S60" s="487"/>
      <c r="T60" s="487"/>
      <c r="U60" s="487"/>
      <c r="V60" s="487"/>
      <c r="W60" s="487"/>
      <c r="X60" s="487"/>
      <c r="Y60" s="487"/>
      <c r="Z60" s="487"/>
      <c r="AA60" s="487"/>
      <c r="AB60" s="487"/>
      <c r="AC60" s="487"/>
      <c r="AD60" s="487"/>
      <c r="AE60" s="487"/>
      <c r="AF60" s="487"/>
      <c r="AG60" s="487"/>
      <c r="AH60" s="487"/>
      <c r="AI60" s="487"/>
      <c r="AJ60" s="487"/>
      <c r="AK60" s="487"/>
      <c r="AL60" s="487"/>
      <c r="AM60" s="487"/>
      <c r="AN60" s="487"/>
      <c r="AO60" s="487"/>
      <c r="AP60" s="487"/>
      <c r="AQ60" s="487"/>
      <c r="AR60" s="487"/>
      <c r="AS60" s="487"/>
      <c r="AT60" s="487"/>
      <c r="AU60" s="487"/>
      <c r="AV60" s="487"/>
      <c r="AW60" s="487"/>
      <c r="AX60" s="487"/>
      <c r="AY60" s="487"/>
      <c r="AZ60" s="487"/>
      <c r="BA60" s="487"/>
      <c r="BB60" s="487"/>
      <c r="BC60" s="487"/>
      <c r="BD60" s="487"/>
      <c r="BE60" s="487"/>
      <c r="BF60" s="487"/>
      <c r="BG60" s="487"/>
      <c r="BH60" s="487"/>
      <c r="BI60" s="487"/>
      <c r="BJ60" s="487"/>
      <c r="BK60" s="487"/>
      <c r="BL60" s="487"/>
      <c r="BM60" s="487"/>
      <c r="BN60" s="487"/>
      <c r="BO60" s="487"/>
      <c r="BP60" s="487"/>
      <c r="BQ60" s="487"/>
      <c r="BR60" s="487"/>
      <c r="BS60" s="487"/>
      <c r="BT60" s="487"/>
      <c r="BU60" s="487"/>
      <c r="BV60" s="487"/>
      <c r="BW60" s="487"/>
      <c r="BX60" s="487"/>
      <c r="BY60" s="487"/>
      <c r="BZ60" s="487"/>
      <c r="CA60" s="897"/>
      <c r="CB60" s="487"/>
      <c r="CC60" s="487"/>
      <c r="CD60" s="487"/>
      <c r="CE60" s="897"/>
      <c r="CF60" s="487"/>
      <c r="CG60" s="487"/>
      <c r="CH60" s="487"/>
      <c r="CI60" s="897"/>
      <c r="CJ60" s="487"/>
      <c r="CK60" s="487"/>
      <c r="CL60" s="487"/>
      <c r="CM60" s="897"/>
      <c r="CN60" s="487"/>
      <c r="CO60" s="487"/>
      <c r="CP60" s="487"/>
      <c r="CQ60" s="897"/>
      <c r="CR60" s="487"/>
      <c r="CS60" s="487"/>
      <c r="CT60" s="487"/>
      <c r="CU60" s="897"/>
      <c r="CV60" s="487"/>
      <c r="CW60" s="794"/>
      <c r="CX60" s="487"/>
      <c r="CY60" s="897"/>
      <c r="CZ60" s="487"/>
      <c r="DA60" s="794"/>
      <c r="DB60" s="487"/>
      <c r="DC60" s="897"/>
      <c r="DD60" s="487"/>
      <c r="DE60" s="794"/>
      <c r="DF60" s="487"/>
      <c r="DG60" s="897"/>
      <c r="DH60" s="487"/>
      <c r="DI60" s="794"/>
      <c r="DJ60" s="487"/>
      <c r="DK60" s="897"/>
      <c r="DL60" s="487"/>
      <c r="DM60" s="794"/>
      <c r="DN60" s="487"/>
      <c r="DO60" s="897"/>
      <c r="DP60" s="487"/>
      <c r="DQ60" s="794"/>
      <c r="DR60" s="794"/>
      <c r="DS60" s="794"/>
      <c r="DT60" s="794"/>
      <c r="DU60" s="794"/>
      <c r="DV60" s="794"/>
      <c r="DW60" s="794"/>
      <c r="DX60" s="794"/>
      <c r="DY60" s="794"/>
      <c r="DZ60" s="794"/>
      <c r="EA60" s="794"/>
      <c r="EB60" s="794"/>
    </row>
    <row r="61" spans="1:132">
      <c r="A61" s="487" t="str">
        <f>$A$10</f>
        <v>1Q</v>
      </c>
      <c r="B61" s="487" t="str">
        <f>$B$10</f>
        <v>Apr</v>
      </c>
      <c r="C61" s="487"/>
      <c r="D61" s="859"/>
      <c r="E61" s="487"/>
      <c r="F61" s="859">
        <f>F10-F21-F31</f>
        <v>30.592999999999961</v>
      </c>
      <c r="G61" s="877">
        <f t="shared" ref="G61:G67" si="166">F61/F10*100</f>
        <v>5.9547607137226279</v>
      </c>
      <c r="H61" s="783"/>
      <c r="I61" s="487"/>
      <c r="J61" s="859">
        <f>J10-J21-J31</f>
        <v>31.674000000000035</v>
      </c>
      <c r="K61" s="877">
        <f t="shared" ref="K61:K67" si="167">J61/J10*100</f>
        <v>5.2502026385276812</v>
      </c>
      <c r="L61" s="783">
        <f t="shared" ref="L61:L67" si="168">IF(F61&lt;0,"       NM",(J61/F61-1)*100)</f>
        <v>3.5334880528227863</v>
      </c>
      <c r="M61" s="487"/>
      <c r="N61" s="859">
        <f>N10-N21-N31</f>
        <v>33.145999999999987</v>
      </c>
      <c r="O61" s="877">
        <f t="shared" ref="O61:O67" si="169">N61/N10*100</f>
        <v>4.9402551953462073</v>
      </c>
      <c r="P61" s="783">
        <f t="shared" ref="P61:P67" si="170">IF(J61&lt;0,"       NM",(N61/J61-1)*100)</f>
        <v>4.6473448254086946</v>
      </c>
      <c r="Q61" s="487"/>
      <c r="R61" s="859">
        <f>R10-R21-R31</f>
        <v>35.914999999999992</v>
      </c>
      <c r="S61" s="877">
        <f t="shared" ref="S61:S67" si="171">R61/R10*100</f>
        <v>6.0489439822144355</v>
      </c>
      <c r="T61" s="783">
        <f t="shared" ref="T61:T67" si="172">IF(N61&lt;0,"       NM",(R61/N61-1)*100)</f>
        <v>8.353949194472964</v>
      </c>
      <c r="U61" s="487"/>
      <c r="V61" s="859">
        <f>V10-V21-V31</f>
        <v>37.431000000000012</v>
      </c>
      <c r="W61" s="877">
        <f t="shared" ref="W61:W67" si="173">V61/V10*100</f>
        <v>5.7284046597329796</v>
      </c>
      <c r="X61" s="783">
        <f t="shared" ref="X61:X67" si="174">IF(R61&lt;0,"       NM",(V61/R61-1)*100)</f>
        <v>4.2210775442016457</v>
      </c>
      <c r="Y61" s="487"/>
      <c r="Z61" s="859">
        <f>Z10-Z21-Z31</f>
        <v>20.656999999999954</v>
      </c>
      <c r="AA61" s="877">
        <f t="shared" ref="AA61:AA67" si="175">Z61/Z10*100</f>
        <v>2.8938708552167922</v>
      </c>
      <c r="AB61" s="783">
        <f t="shared" ref="AB61:AB67" si="176">IF(V61&lt;0,"       NM",(Z61/V61-1)*100)</f>
        <v>-44.813122812642071</v>
      </c>
      <c r="AC61" s="487"/>
      <c r="AD61" s="859">
        <f>AD10-AD21-AD31</f>
        <v>53.737000000000137</v>
      </c>
      <c r="AE61" s="877">
        <f t="shared" ref="AE61:AE67" si="177">AD61/AD10*100</f>
        <v>3.6499989471875396</v>
      </c>
      <c r="AF61" s="783">
        <f t="shared" ref="AF61:AF67" si="178">IF(Z61&lt;0,"       NM",(AD61/Z61-1)*100)</f>
        <v>160.1394200513156</v>
      </c>
      <c r="AG61" s="487"/>
      <c r="AH61" s="859">
        <f>AH10-AH21-AH31</f>
        <v>83.793000000000177</v>
      </c>
      <c r="AI61" s="877">
        <f t="shared" ref="AI61:AI67" si="179">AH61/AH10*100</f>
        <v>5.3708297279107891</v>
      </c>
      <c r="AJ61" s="783">
        <f t="shared" ref="AJ61:AJ67" si="180">IF(AD61&lt;0,"       NM",(AH61/AD61-1)*100)</f>
        <v>55.931667193925904</v>
      </c>
      <c r="AK61" s="487"/>
      <c r="AL61" s="859">
        <f>AL10-AL21-AL31</f>
        <v>136.88000000000017</v>
      </c>
      <c r="AM61" s="877">
        <f t="shared" ref="AM61:AM67" si="181">AL61/AL10*100</f>
        <v>7.8049982095489305</v>
      </c>
      <c r="AN61" s="783">
        <f t="shared" ref="AN61:AN67" si="182">IF(AH61&lt;0,"       NM",(AL61/AH61-1)*100)</f>
        <v>63.354934183046161</v>
      </c>
      <c r="AO61" s="487"/>
      <c r="AP61" s="859">
        <f>AP10-AP21-AP31</f>
        <v>201.03800000000018</v>
      </c>
      <c r="AQ61" s="877">
        <f t="shared" ref="AQ61:AQ67" si="183">AP61/AP10*100</f>
        <v>10.413746447822497</v>
      </c>
      <c r="AR61" s="783">
        <f t="shared" ref="AR61:AR67" si="184">IF(AL61&lt;0,"       NM",(AP61/AL61-1)*100)</f>
        <v>46.871712448860279</v>
      </c>
      <c r="AS61" s="487"/>
      <c r="AT61" s="859">
        <f>AT10-AT21-AT31</f>
        <v>216.11900000000003</v>
      </c>
      <c r="AU61" s="877">
        <f t="shared" ref="AU61:AU67" si="185">AT61/AT10*100</f>
        <v>10.251760339563859</v>
      </c>
      <c r="AV61" s="783">
        <f t="shared" ref="AV61:AV67" si="186">IF(AP61&lt;0,"       NM",(AT61/AP61-1)*100)</f>
        <v>7.5015668679552228</v>
      </c>
      <c r="AW61" s="487"/>
      <c r="AX61" s="859">
        <f>AX10-AX21-AX31</f>
        <v>204.00799999999998</v>
      </c>
      <c r="AY61" s="877">
        <f t="shared" ref="AY61:AY67" si="187">AX61/AX10*100</f>
        <v>8.9835945739455134</v>
      </c>
      <c r="AZ61" s="783">
        <f t="shared" ref="AZ61:AZ67" si="188">IF(AT61&lt;0,"       NM",(AX61/AT61-1)*100)</f>
        <v>-5.603857134264012</v>
      </c>
      <c r="BA61" s="487"/>
      <c r="BB61" s="859">
        <f>BB10-BB21-BB31</f>
        <v>243.84099999999995</v>
      </c>
      <c r="BC61" s="877">
        <f t="shared" ref="BC61:BC67" si="189">BB61/BB10*100</f>
        <v>9.1473980253495615</v>
      </c>
      <c r="BD61" s="783">
        <f t="shared" ref="BD61:BD67" si="190">IF(AX61&lt;0,"       NM",(BB61/AX61-1)*100)</f>
        <v>19.525214697462822</v>
      </c>
      <c r="BE61" s="487"/>
      <c r="BF61" s="859">
        <f>BF10-BF21-BF31</f>
        <v>172.55099999999987</v>
      </c>
      <c r="BG61" s="877">
        <f t="shared" ref="BG61:BG67" si="191">BF61/BF10*100</f>
        <v>6.1874956296919139</v>
      </c>
      <c r="BH61" s="783">
        <f t="shared" ref="BH61:BH67" si="192">IF(BB61&lt;0,"       NM",(BF61/BB61-1)*100)</f>
        <v>-29.236264615056573</v>
      </c>
      <c r="BI61" s="487"/>
      <c r="BJ61" s="859">
        <f>BJ10-BJ21-BJ31</f>
        <v>258.93799999999999</v>
      </c>
      <c r="BK61" s="877">
        <f t="shared" ref="BK61:BK67" si="193">BJ61/BJ10*100</f>
        <v>7.7231825818726607</v>
      </c>
      <c r="BL61" s="783">
        <f t="shared" ref="BL61:BL67" si="194">IF(BF61&lt;0,"       NM",(BJ61/BF61-1)*100)</f>
        <v>50.064618576536901</v>
      </c>
      <c r="BM61" s="487"/>
      <c r="BN61" s="859">
        <f>BN10-BN21-BN31</f>
        <v>225.81600000000014</v>
      </c>
      <c r="BO61" s="877">
        <f t="shared" ref="BO61:BO67" si="195">BN61/BN10*100</f>
        <v>6.1836394355706634</v>
      </c>
      <c r="BP61" s="783">
        <f t="shared" ref="BP61:BP67" si="196">IF(BJ61&lt;0,"       NM",(BN61/BJ61-1)*100)</f>
        <v>-12.791479041314846</v>
      </c>
      <c r="BQ61" s="487"/>
      <c r="BR61" s="859">
        <f>BR10-BR21-BR31</f>
        <v>264.24099999999964</v>
      </c>
      <c r="BS61" s="877">
        <f t="shared" ref="BS61:BS67" si="197">BR61/BR10*100</f>
        <v>6.8257175449001481</v>
      </c>
      <c r="BT61" s="783">
        <f t="shared" ref="BT61:BT67" si="198">IF(BN61&lt;0,"       NM",(BR61/BN61-1)*100)</f>
        <v>17.016066177772828</v>
      </c>
      <c r="BU61" s="487"/>
      <c r="BV61" s="859">
        <f>BV10-BV21-BV31</f>
        <v>288.13400000000013</v>
      </c>
      <c r="BW61" s="877">
        <f t="shared" ref="BW61:BW67" si="199">BV61/BV10*100</f>
        <v>7.0138344399733139</v>
      </c>
      <c r="BX61" s="783">
        <f t="shared" ref="BX61:BX67" si="200">IF(BR61&lt;0,"       NM",(BV61/BR61-1)*100)</f>
        <v>9.0421244242946841</v>
      </c>
      <c r="BY61" s="783"/>
      <c r="BZ61" s="859">
        <f>BZ10-BZ21-BZ31</f>
        <v>298.22600000000011</v>
      </c>
      <c r="CA61" s="877">
        <f t="shared" ref="CA61:CA67" si="201">BZ61/BZ10*100</f>
        <v>6.9297592339356671</v>
      </c>
      <c r="CB61" s="783">
        <f t="shared" ref="CB61:CB67" si="202">IF(BV61&lt;0,"       NM",(BZ61/BV61-1)*100)</f>
        <v>3.5025370140281842</v>
      </c>
      <c r="CC61" s="783"/>
      <c r="CD61" s="859">
        <f>CD10-CD21-CD31</f>
        <v>345.82100000000014</v>
      </c>
      <c r="CE61" s="877">
        <f t="shared" ref="CE61:CE67" si="203">CD61/CD10*100</f>
        <v>7.9421958998893984</v>
      </c>
      <c r="CF61" s="783">
        <f t="shared" ref="CF61:CF67" si="204">IF(BZ61&lt;0,"       NM",(CD61/BZ61-1)*100)</f>
        <v>15.959373092889283</v>
      </c>
      <c r="CG61" s="783"/>
      <c r="CH61" s="859">
        <f>CH10-CH21-CH31</f>
        <v>546.50299999999993</v>
      </c>
      <c r="CI61" s="877">
        <f t="shared" ref="CI61:CI67" si="205">CH61/CH10*100</f>
        <v>10.894022573327431</v>
      </c>
      <c r="CJ61" s="783">
        <f t="shared" ref="CJ61:CJ67" si="206">IF(CD61&lt;0,"       NM",(CH61/CD61-1)*100)</f>
        <v>58.030599645481253</v>
      </c>
      <c r="CK61" s="783"/>
      <c r="CL61" s="859">
        <f>CL10-CL21-CL31</f>
        <v>507.33399999999995</v>
      </c>
      <c r="CM61" s="877">
        <f t="shared" ref="CM61:CM67" si="207">CL61/CL10*100</f>
        <v>9.7357047483182892</v>
      </c>
      <c r="CN61" s="783">
        <f t="shared" ref="CN61:CN67" si="208">IF(CH61&lt;0,"       NM",(CL61/CH61-1)*100)</f>
        <v>-7.1672067673919422</v>
      </c>
      <c r="CO61" s="783"/>
      <c r="CP61" s="859">
        <f>CP10-CP21-CP31</f>
        <v>690.2320000000002</v>
      </c>
      <c r="CQ61" s="877">
        <f t="shared" ref="CQ61:CQ67" si="209">CP61/CP10*100</f>
        <v>11.904480202604793</v>
      </c>
      <c r="CR61" s="783">
        <f t="shared" ref="CR61:CR67" si="210">IF(CL61&lt;0,"       NM",(CP61/CL61-1)*100)</f>
        <v>36.050806766351215</v>
      </c>
      <c r="CS61" s="783"/>
      <c r="CT61" s="859">
        <f>CT10-CT21-CT31</f>
        <v>737.16700000000003</v>
      </c>
      <c r="CU61" s="877">
        <f t="shared" ref="CU61:CU67" si="211">CT61/CT10*100</f>
        <v>11.909750680535717</v>
      </c>
      <c r="CV61" s="783">
        <f t="shared" ref="CV61:CV67" si="212">IF(CP61&lt;0,"       NM",(CT61/CP61-1)*100)</f>
        <v>6.7998875740330478</v>
      </c>
      <c r="CW61" s="930"/>
      <c r="CX61" s="859">
        <f>CX10-CX21-CX31</f>
        <v>740.12600000000043</v>
      </c>
      <c r="CY61" s="877">
        <f t="shared" ref="CY61:CY67" si="213">CX61/CX10*100</f>
        <v>11.402032543871872</v>
      </c>
      <c r="CZ61" s="783">
        <f t="shared" ref="CZ61:CZ67" si="214">IF(CT61&lt;0,"       NM",(CX61/CT61-1)*100)</f>
        <v>0.40140158200250298</v>
      </c>
      <c r="DA61" s="930"/>
      <c r="DB61" s="859">
        <f>DB10-DB21-DB31</f>
        <v>776.73899999999981</v>
      </c>
      <c r="DC61" s="877">
        <f t="shared" ref="DC61:DC67" si="215">DB61/DB10*100</f>
        <v>11.31342947493437</v>
      </c>
      <c r="DD61" s="783">
        <f t="shared" ref="DD61:DD67" si="216">IF(CX61&lt;0,"       NM",(DB61/CX61-1)*100)</f>
        <v>4.9468603994454075</v>
      </c>
      <c r="DE61" s="930"/>
      <c r="DF61" s="859">
        <f>DF10-DF21-DF31</f>
        <v>835.16299999999978</v>
      </c>
      <c r="DG61" s="877">
        <f t="shared" ref="DG61:DG67" si="217">DF61/DF10*100</f>
        <v>11.072972424001199</v>
      </c>
      <c r="DH61" s="783">
        <f t="shared" ref="DH61:DH67" si="218">IF(DB61&lt;0,"       NM",(DF61/DB61-1)*100)</f>
        <v>7.5217029143637593</v>
      </c>
      <c r="DI61" s="930"/>
      <c r="DJ61" s="859">
        <f>DJ10-DJ21-DJ31</f>
        <v>842.34900000000016</v>
      </c>
      <c r="DK61" s="877">
        <f t="shared" ref="DK61:DK67" si="219">DJ61/DJ10*100</f>
        <v>10.821510827818621</v>
      </c>
      <c r="DL61" s="783">
        <f t="shared" ref="DL61:DL67" si="220">IF(DF61&lt;0,"       NM",(DJ61/DF61-1)*100)</f>
        <v>0.86043083805202869</v>
      </c>
      <c r="DM61" s="930"/>
      <c r="DN61" s="859">
        <f>DN10-DN21-DN31</f>
        <v>877.11106988799952</v>
      </c>
      <c r="DO61" s="877">
        <f t="shared" ref="DO61:DO67" si="221">DN61/DN10*100</f>
        <v>10.30929519090977</v>
      </c>
      <c r="DP61" s="783">
        <f t="shared" ref="DP61:DP67" si="222">IF(DJ61&lt;0,"       NM",(DN61/DJ61-1)*100)</f>
        <v>4.1268013481347232</v>
      </c>
      <c r="DQ61" s="883"/>
      <c r="DR61" s="883"/>
      <c r="DS61" s="794"/>
      <c r="DT61" s="794"/>
      <c r="DU61" s="794" t="s">
        <v>703</v>
      </c>
      <c r="DV61" s="794"/>
      <c r="DW61" s="794"/>
      <c r="DX61" s="794"/>
      <c r="DY61" s="794"/>
      <c r="DZ61" s="794"/>
      <c r="EA61" s="794"/>
      <c r="EB61" s="794"/>
    </row>
    <row r="62" spans="1:132">
      <c r="A62" s="487" t="str">
        <f>$A$11</f>
        <v>2Q</v>
      </c>
      <c r="B62" s="487" t="str">
        <f>$B$11</f>
        <v>Jul</v>
      </c>
      <c r="C62" s="487"/>
      <c r="D62" s="864"/>
      <c r="E62" s="487"/>
      <c r="F62" s="864">
        <f>F11-F22-F32</f>
        <v>30.739999999999995</v>
      </c>
      <c r="G62" s="877">
        <f t="shared" si="166"/>
        <v>5.3696198993851301</v>
      </c>
      <c r="H62" s="783"/>
      <c r="I62" s="487"/>
      <c r="J62" s="864">
        <f>J11-J22-J32</f>
        <v>30.480000000000047</v>
      </c>
      <c r="K62" s="877">
        <f t="shared" si="167"/>
        <v>4.6928912243857974</v>
      </c>
      <c r="L62" s="783">
        <f t="shared" si="168"/>
        <v>-0.84580351333750636</v>
      </c>
      <c r="M62" s="487"/>
      <c r="N62" s="864">
        <f>N11-N22-N32</f>
        <v>39.136999999999915</v>
      </c>
      <c r="O62" s="877">
        <f t="shared" si="169"/>
        <v>5.1931870354103138</v>
      </c>
      <c r="P62" s="783">
        <f t="shared" si="170"/>
        <v>28.402230971128127</v>
      </c>
      <c r="Q62" s="487"/>
      <c r="R62" s="864">
        <f>R11-R22-R32</f>
        <v>37.908000000000001</v>
      </c>
      <c r="S62" s="877">
        <f t="shared" si="171"/>
        <v>5.8371816212237633</v>
      </c>
      <c r="T62" s="783">
        <f t="shared" si="172"/>
        <v>-3.1402509134576428</v>
      </c>
      <c r="U62" s="487"/>
      <c r="V62" s="864">
        <f>V11-V22-V32</f>
        <v>35.367000000000047</v>
      </c>
      <c r="W62" s="877">
        <f t="shared" si="173"/>
        <v>5.1267741201335424</v>
      </c>
      <c r="X62" s="783">
        <f t="shared" si="174"/>
        <v>-6.7030705919593592</v>
      </c>
      <c r="Y62" s="487"/>
      <c r="Z62" s="864">
        <f>Z11-Z22-Z32</f>
        <v>25.557999999999993</v>
      </c>
      <c r="AA62" s="877">
        <f t="shared" si="175"/>
        <v>3.3569626305095066</v>
      </c>
      <c r="AB62" s="783">
        <f t="shared" si="176"/>
        <v>-27.734894110328955</v>
      </c>
      <c r="AC62" s="487"/>
      <c r="AD62" s="864">
        <f>AD11-AD22-AD32</f>
        <v>68.154999999999973</v>
      </c>
      <c r="AE62" s="877">
        <f t="shared" si="177"/>
        <v>4.4020412605384482</v>
      </c>
      <c r="AF62" s="783">
        <f t="shared" si="178"/>
        <v>166.66797088974096</v>
      </c>
      <c r="AG62" s="487"/>
      <c r="AH62" s="864">
        <f>AH11-AH22-AH32</f>
        <v>91.323000000000093</v>
      </c>
      <c r="AI62" s="877">
        <f t="shared" si="179"/>
        <v>5.3770905314030193</v>
      </c>
      <c r="AJ62" s="783">
        <f t="shared" si="180"/>
        <v>33.993103954222192</v>
      </c>
      <c r="AK62" s="487"/>
      <c r="AL62" s="864">
        <f>AL11-AL22-AL32</f>
        <v>143.95399999999984</v>
      </c>
      <c r="AM62" s="877">
        <f t="shared" si="181"/>
        <v>7.7076868051495149</v>
      </c>
      <c r="AN62" s="783">
        <f t="shared" si="182"/>
        <v>57.631702856892232</v>
      </c>
      <c r="AO62" s="725"/>
      <c r="AP62" s="864">
        <f>AP11-AP22-AP32</f>
        <v>187.12200000000007</v>
      </c>
      <c r="AQ62" s="877">
        <f t="shared" si="183"/>
        <v>8.8984906681452962</v>
      </c>
      <c r="AR62" s="783">
        <f t="shared" si="184"/>
        <v>29.987357072398325</v>
      </c>
      <c r="AS62" s="487"/>
      <c r="AT62" s="864">
        <f>AT11-AT22-AT32</f>
        <v>191.40199999999999</v>
      </c>
      <c r="AU62" s="877">
        <f t="shared" si="185"/>
        <v>8.4759633225783304</v>
      </c>
      <c r="AV62" s="783">
        <f t="shared" si="186"/>
        <v>2.2872778187492226</v>
      </c>
      <c r="AW62" s="487"/>
      <c r="AX62" s="864">
        <f>AX11-AX22-AX32</f>
        <v>186.47599999999989</v>
      </c>
      <c r="AY62" s="877">
        <f t="shared" si="187"/>
        <v>7.4961549624500785</v>
      </c>
      <c r="AZ62" s="783">
        <f t="shared" si="188"/>
        <v>-2.5736408188002713</v>
      </c>
      <c r="BA62" s="487"/>
      <c r="BB62" s="864">
        <f>BB11-BB22-BB32</f>
        <v>216.82500000000005</v>
      </c>
      <c r="BC62" s="877">
        <f t="shared" si="189"/>
        <v>7.8415197485505903</v>
      </c>
      <c r="BD62" s="783">
        <f t="shared" si="190"/>
        <v>16.275016624123317</v>
      </c>
      <c r="BE62" s="487"/>
      <c r="BF62" s="864">
        <f>BF11-BF22-BF32</f>
        <v>188.69100000000003</v>
      </c>
      <c r="BG62" s="877">
        <f t="shared" si="191"/>
        <v>6.1943401974404706</v>
      </c>
      <c r="BH62" s="783">
        <f t="shared" si="192"/>
        <v>-12.975441023867173</v>
      </c>
      <c r="BI62" s="487"/>
      <c r="BJ62" s="864">
        <f>BJ11-BJ22-BJ32</f>
        <v>179.34400000000005</v>
      </c>
      <c r="BK62" s="877">
        <f t="shared" si="193"/>
        <v>5.2527511600518659</v>
      </c>
      <c r="BL62" s="783">
        <f t="shared" si="194"/>
        <v>-4.9536013906333558</v>
      </c>
      <c r="BM62" s="487"/>
      <c r="BN62" s="864">
        <f>BN11-BN22-BN32</f>
        <v>187.86200000000008</v>
      </c>
      <c r="BO62" s="877">
        <f t="shared" si="195"/>
        <v>5.1499150462215466</v>
      </c>
      <c r="BP62" s="783">
        <f t="shared" si="196"/>
        <v>4.7495316263716836</v>
      </c>
      <c r="BQ62" s="487"/>
      <c r="BR62" s="864">
        <f>BR11-BR22-BR32</f>
        <v>236.07200000000023</v>
      </c>
      <c r="BS62" s="877">
        <f t="shared" si="197"/>
        <v>5.9559109398664267</v>
      </c>
      <c r="BT62" s="783">
        <f t="shared" si="198"/>
        <v>25.66245435479242</v>
      </c>
      <c r="BU62" s="487"/>
      <c r="BV62" s="864">
        <f>BV11-BV22-BV32</f>
        <v>290.04999999999961</v>
      </c>
      <c r="BW62" s="877">
        <f t="shared" si="199"/>
        <v>6.7245527668155463</v>
      </c>
      <c r="BX62" s="783">
        <f t="shared" si="200"/>
        <v>22.865058117862059</v>
      </c>
      <c r="BY62" s="783"/>
      <c r="BZ62" s="864">
        <f>BZ11-BZ22-BZ32</f>
        <v>340.01600000000019</v>
      </c>
      <c r="CA62" s="877">
        <f t="shared" si="201"/>
        <v>7.4656677780473624</v>
      </c>
      <c r="CB62" s="783">
        <f t="shared" si="202"/>
        <v>17.226685054301207</v>
      </c>
      <c r="CC62" s="783"/>
      <c r="CD62" s="864">
        <f>CD11-CD22-CD32</f>
        <v>422.35000000000014</v>
      </c>
      <c r="CE62" s="877">
        <f t="shared" si="203"/>
        <v>8.896208721675789</v>
      </c>
      <c r="CF62" s="783">
        <f t="shared" si="204"/>
        <v>24.214742835631231</v>
      </c>
      <c r="CG62" s="783"/>
      <c r="CH62" s="864">
        <f>CH11-CH22-CH32</f>
        <v>495.06899999999985</v>
      </c>
      <c r="CI62" s="877">
        <f t="shared" si="205"/>
        <v>9.7683738220391128</v>
      </c>
      <c r="CJ62" s="783">
        <f t="shared" si="206"/>
        <v>17.217710429738297</v>
      </c>
      <c r="CK62" s="783"/>
      <c r="CL62" s="864">
        <f>CL11-CL22-CL32</f>
        <v>568.5460000000005</v>
      </c>
      <c r="CM62" s="877">
        <f t="shared" si="207"/>
        <v>10.397174684370251</v>
      </c>
      <c r="CN62" s="783">
        <f t="shared" si="208"/>
        <v>14.841769531116</v>
      </c>
      <c r="CO62" s="783"/>
      <c r="CP62" s="864">
        <f>CP11-CP22-CP32</f>
        <v>691.97199999999987</v>
      </c>
      <c r="CQ62" s="877">
        <f t="shared" si="209"/>
        <v>11.63846830886717</v>
      </c>
      <c r="CR62" s="783">
        <f t="shared" si="210"/>
        <v>21.709061360030546</v>
      </c>
      <c r="CS62" s="783"/>
      <c r="CT62" s="864">
        <f>CT11-CT22-CT32</f>
        <v>781.36500000000046</v>
      </c>
      <c r="CU62" s="877">
        <f t="shared" si="211"/>
        <v>12.128431782819641</v>
      </c>
      <c r="CV62" s="783">
        <f t="shared" si="212"/>
        <v>12.918586301179902</v>
      </c>
      <c r="CW62" s="930"/>
      <c r="CX62" s="864">
        <f>CX11-CX22-CX32</f>
        <v>858.59800000000064</v>
      </c>
      <c r="CY62" s="877">
        <f t="shared" si="213"/>
        <v>12.412486417938334</v>
      </c>
      <c r="CZ62" s="783">
        <f t="shared" si="214"/>
        <v>9.8843690208801469</v>
      </c>
      <c r="DA62" s="930"/>
      <c r="DB62" s="864">
        <f>DB11-DB22-DB32</f>
        <v>897.00199999999995</v>
      </c>
      <c r="DC62" s="877">
        <f t="shared" si="215"/>
        <v>12.181352089042905</v>
      </c>
      <c r="DD62" s="783">
        <f t="shared" si="216"/>
        <v>4.4728732188986431</v>
      </c>
      <c r="DE62" s="930"/>
      <c r="DF62" s="864">
        <f>DF11-DF22-DF32</f>
        <v>925.8439999999996</v>
      </c>
      <c r="DG62" s="877">
        <f t="shared" si="217"/>
        <v>11.74622905986549</v>
      </c>
      <c r="DH62" s="783">
        <f t="shared" si="218"/>
        <v>3.215377446204104</v>
      </c>
      <c r="DI62" s="930"/>
      <c r="DJ62" s="864">
        <f>DJ11-DJ22-DJ32</f>
        <v>901.37700000000063</v>
      </c>
      <c r="DK62" s="877">
        <f t="shared" si="219"/>
        <v>10.784988693061495</v>
      </c>
      <c r="DL62" s="783">
        <f t="shared" si="220"/>
        <v>-2.6426698234258694</v>
      </c>
      <c r="DM62" s="930"/>
      <c r="DN62" s="864">
        <f>DN11-DN22-DN32</f>
        <v>945.69031157500103</v>
      </c>
      <c r="DO62" s="877">
        <f t="shared" si="221"/>
        <v>10.595968067075495</v>
      </c>
      <c r="DP62" s="783">
        <f t="shared" si="222"/>
        <v>4.9161795314280665</v>
      </c>
      <c r="DQ62" s="883"/>
      <c r="DR62" s="883"/>
      <c r="DS62" s="794"/>
      <c r="DT62" s="794"/>
      <c r="DU62" s="931">
        <v>1997</v>
      </c>
      <c r="DV62" s="932">
        <v>1998</v>
      </c>
      <c r="DW62" s="932">
        <v>1999</v>
      </c>
      <c r="DX62" s="932">
        <v>2000</v>
      </c>
      <c r="DY62" s="932">
        <v>2001</v>
      </c>
      <c r="DZ62" s="932">
        <v>2002</v>
      </c>
      <c r="EA62" s="932">
        <v>2003</v>
      </c>
      <c r="EB62" s="933">
        <v>2004</v>
      </c>
    </row>
    <row r="63" spans="1:132">
      <c r="A63" s="487" t="str">
        <f>$A$12</f>
        <v>3Q</v>
      </c>
      <c r="B63" s="487" t="str">
        <f>$B$12</f>
        <v>Oct</v>
      </c>
      <c r="C63" s="487"/>
      <c r="D63" s="864"/>
      <c r="E63" s="487"/>
      <c r="F63" s="864">
        <f>F12-F23-F33</f>
        <v>57.180000000000007</v>
      </c>
      <c r="G63" s="877">
        <f t="shared" si="166"/>
        <v>8.8516672342797005</v>
      </c>
      <c r="H63" s="783"/>
      <c r="I63" s="487"/>
      <c r="J63" s="864">
        <f>J12-J23-J33</f>
        <v>54.652000000000029</v>
      </c>
      <c r="K63" s="877">
        <f t="shared" si="167"/>
        <v>7.7490999887986041</v>
      </c>
      <c r="L63" s="783">
        <f t="shared" si="168"/>
        <v>-4.4211262679258123</v>
      </c>
      <c r="M63" s="487"/>
      <c r="N63" s="864">
        <f>N12-N23-N33</f>
        <v>75.216000000000037</v>
      </c>
      <c r="O63" s="877">
        <f t="shared" si="169"/>
        <v>8.963718961383174</v>
      </c>
      <c r="P63" s="783">
        <f t="shared" si="170"/>
        <v>37.627168264656376</v>
      </c>
      <c r="Q63" s="487"/>
      <c r="R63" s="864">
        <f>R12-R23-R33</f>
        <v>77.19899999999997</v>
      </c>
      <c r="S63" s="877">
        <f t="shared" si="171"/>
        <v>10.25283118601028</v>
      </c>
      <c r="T63" s="783">
        <f t="shared" si="172"/>
        <v>2.6364071474153539</v>
      </c>
      <c r="U63" s="487"/>
      <c r="V63" s="864">
        <f>V12-V23-V33</f>
        <v>62.57200000000006</v>
      </c>
      <c r="W63" s="877">
        <f t="shared" si="173"/>
        <v>7.7859474176043717</v>
      </c>
      <c r="X63" s="783">
        <f t="shared" si="174"/>
        <v>-18.947136620940576</v>
      </c>
      <c r="Y63" s="487"/>
      <c r="Z63" s="864">
        <f>Z12-Z23-Z33</f>
        <v>53.951999999999998</v>
      </c>
      <c r="AA63" s="877">
        <f t="shared" si="175"/>
        <v>6.2646450243493481</v>
      </c>
      <c r="AB63" s="783">
        <f t="shared" si="176"/>
        <v>-13.776129898357182</v>
      </c>
      <c r="AC63" s="487"/>
      <c r="AD63" s="864">
        <f>AD12-AD23-AD33</f>
        <v>150.24000000000012</v>
      </c>
      <c r="AE63" s="877">
        <f t="shared" si="177"/>
        <v>8.7225656326037306</v>
      </c>
      <c r="AF63" s="783">
        <f t="shared" si="178"/>
        <v>178.46975088967994</v>
      </c>
      <c r="AG63" s="487"/>
      <c r="AH63" s="864">
        <f>AH12-AH23-AH33</f>
        <v>186.1570000000001</v>
      </c>
      <c r="AI63" s="877">
        <f t="shared" si="179"/>
        <v>9.8615880294411546</v>
      </c>
      <c r="AJ63" s="783">
        <f t="shared" si="180"/>
        <v>23.906416400425947</v>
      </c>
      <c r="AK63" s="487"/>
      <c r="AL63" s="864">
        <f>AL12-AL23-AL33</f>
        <v>214.69199999999995</v>
      </c>
      <c r="AM63" s="877">
        <f t="shared" si="181"/>
        <v>10.715831221615339</v>
      </c>
      <c r="AN63" s="783">
        <f t="shared" si="182"/>
        <v>15.32845931122646</v>
      </c>
      <c r="AO63" s="725"/>
      <c r="AP63" s="864">
        <f>AP12-AP23-AP33</f>
        <v>250.46500000000009</v>
      </c>
      <c r="AQ63" s="877">
        <f t="shared" si="183"/>
        <v>11.206216941514615</v>
      </c>
      <c r="AR63" s="783">
        <f t="shared" si="184"/>
        <v>16.662474614797084</v>
      </c>
      <c r="AS63" s="487"/>
      <c r="AT63" s="864">
        <f>AT12-AT23-AT33</f>
        <v>267.99700000000001</v>
      </c>
      <c r="AU63" s="877">
        <f t="shared" si="185"/>
        <v>10.887941916242351</v>
      </c>
      <c r="AV63" s="783">
        <f t="shared" si="186"/>
        <v>6.9997804084402704</v>
      </c>
      <c r="AW63" s="487"/>
      <c r="AX63" s="864">
        <f>AX12-AX23-AX33</f>
        <v>250.05199999999968</v>
      </c>
      <c r="AY63" s="877">
        <f t="shared" si="187"/>
        <v>9.120097280259559</v>
      </c>
      <c r="AZ63" s="783">
        <f t="shared" si="188"/>
        <v>-6.6959704772815876</v>
      </c>
      <c r="BA63" s="487"/>
      <c r="BB63" s="864">
        <f>BB12-BB23-BB33</f>
        <v>246.47299999999984</v>
      </c>
      <c r="BC63" s="877">
        <f t="shared" si="189"/>
        <v>8.0944843100871875</v>
      </c>
      <c r="BD63" s="881">
        <f t="shared" si="190"/>
        <v>-1.4313022891238036</v>
      </c>
      <c r="BE63" s="487"/>
      <c r="BF63" s="864">
        <f>BF12-BF23-BF33</f>
        <v>285.55600000000004</v>
      </c>
      <c r="BG63" s="877">
        <f t="shared" si="191"/>
        <v>8.4298168653017083</v>
      </c>
      <c r="BH63" s="783">
        <f t="shared" si="192"/>
        <v>15.856909276066844</v>
      </c>
      <c r="BI63" s="487"/>
      <c r="BJ63" s="864">
        <f>BJ12-BJ23-BJ33</f>
        <v>307.43400000000008</v>
      </c>
      <c r="BK63" s="877">
        <f t="shared" si="193"/>
        <v>8.053597390860153</v>
      </c>
      <c r="BL63" s="783">
        <f t="shared" si="194"/>
        <v>7.6615444956505963</v>
      </c>
      <c r="BM63" s="487"/>
      <c r="BN63" s="864">
        <f>BN12-BN23-BN33</f>
        <v>267.43499999999972</v>
      </c>
      <c r="BO63" s="877">
        <f t="shared" si="195"/>
        <v>6.6165468223949393</v>
      </c>
      <c r="BP63" s="783">
        <f t="shared" si="196"/>
        <v>-13.010597396514489</v>
      </c>
      <c r="BQ63" s="487"/>
      <c r="BR63" s="864">
        <f>BR12-BR23-BR33</f>
        <v>382.51000000000022</v>
      </c>
      <c r="BS63" s="877">
        <f t="shared" si="197"/>
        <v>8.5516403853123144</v>
      </c>
      <c r="BT63" s="783">
        <f t="shared" si="198"/>
        <v>43.02914726943019</v>
      </c>
      <c r="BU63" s="487"/>
      <c r="BV63" s="864">
        <f>BV12-BV23-BV33</f>
        <v>406.37399999999991</v>
      </c>
      <c r="BW63" s="877">
        <f t="shared" si="199"/>
        <v>8.7228718286876319</v>
      </c>
      <c r="BX63" s="783">
        <f t="shared" si="200"/>
        <v>6.2387911427151499</v>
      </c>
      <c r="BY63" s="783"/>
      <c r="BZ63" s="864">
        <f>BZ12-BZ23-BZ33</f>
        <v>416.70699999999999</v>
      </c>
      <c r="CA63" s="877">
        <f t="shared" si="201"/>
        <v>8.7515357458631993</v>
      </c>
      <c r="CB63" s="783">
        <f t="shared" si="202"/>
        <v>2.5427315723939303</v>
      </c>
      <c r="CC63" s="783"/>
      <c r="CD63" s="864">
        <f>CD12-CD23-CD33</f>
        <v>578.66999999999985</v>
      </c>
      <c r="CE63" s="877">
        <f t="shared" si="203"/>
        <v>11.032906725827107</v>
      </c>
      <c r="CF63" s="783">
        <f t="shared" si="204"/>
        <v>38.867357639780444</v>
      </c>
      <c r="CG63" s="783"/>
      <c r="CH63" s="864">
        <f>CH12-CH23-CH33</f>
        <v>606.63499999999976</v>
      </c>
      <c r="CI63" s="877">
        <f t="shared" si="205"/>
        <v>10.978136021500411</v>
      </c>
      <c r="CJ63" s="783">
        <f t="shared" si="206"/>
        <v>4.8326334525722547</v>
      </c>
      <c r="CK63" s="783"/>
      <c r="CL63" s="864">
        <f>CL12-CL23-CL33</f>
        <v>672.3029999999992</v>
      </c>
      <c r="CM63" s="877">
        <f t="shared" si="207"/>
        <v>11.605181173279776</v>
      </c>
      <c r="CN63" s="783">
        <f t="shared" si="208"/>
        <v>10.824960643549986</v>
      </c>
      <c r="CO63" s="783"/>
      <c r="CP63" s="864">
        <f>CP12-CP23-CP33</f>
        <v>754.55799999999931</v>
      </c>
      <c r="CQ63" s="877">
        <f t="shared" si="209"/>
        <v>11.769899232761377</v>
      </c>
      <c r="CR63" s="783">
        <f t="shared" si="210"/>
        <v>12.234810792157734</v>
      </c>
      <c r="CS63" s="783"/>
      <c r="CT63" s="864">
        <f>CT12-CT23-CT33</f>
        <v>888.74300000000017</v>
      </c>
      <c r="CU63" s="877">
        <f t="shared" si="211"/>
        <v>12.729286512679403</v>
      </c>
      <c r="CV63" s="783">
        <f t="shared" si="212"/>
        <v>17.783258543412295</v>
      </c>
      <c r="CW63" s="883"/>
      <c r="CX63" s="864">
        <f>CX12-CX23-CX33</f>
        <v>969.13999999999987</v>
      </c>
      <c r="CY63" s="877">
        <f t="shared" si="213"/>
        <v>13.156819393146895</v>
      </c>
      <c r="CZ63" s="783">
        <f t="shared" si="214"/>
        <v>9.0461471989089937</v>
      </c>
      <c r="DA63" s="883"/>
      <c r="DB63" s="864">
        <f>DB12-DB23-DB33</f>
        <v>954.19499999999948</v>
      </c>
      <c r="DC63" s="877">
        <f t="shared" si="215"/>
        <v>12.306643649089857</v>
      </c>
      <c r="DD63" s="783">
        <f t="shared" si="216"/>
        <v>-1.5420888622903139</v>
      </c>
      <c r="DE63" s="883"/>
      <c r="DF63" s="864">
        <f>DF12-DF23-DF33</f>
        <v>985.24100000000044</v>
      </c>
      <c r="DG63" s="877">
        <f t="shared" si="217"/>
        <v>11.882272946111822</v>
      </c>
      <c r="DH63" s="783">
        <f t="shared" si="218"/>
        <v>3.2536326432229146</v>
      </c>
      <c r="DI63" s="883"/>
      <c r="DJ63" s="864">
        <f>DJ12-DJ23-DJ33</f>
        <v>1027.9809999999989</v>
      </c>
      <c r="DK63" s="877">
        <f t="shared" si="219"/>
        <v>11.731969751957825</v>
      </c>
      <c r="DL63" s="783">
        <f t="shared" si="220"/>
        <v>4.338024909641236</v>
      </c>
      <c r="DM63" s="883"/>
      <c r="DN63" s="864">
        <f>DN12-DN23-DN33</f>
        <v>1077.0991160784013</v>
      </c>
      <c r="DO63" s="877">
        <f t="shared" si="221"/>
        <v>11.5335607767691</v>
      </c>
      <c r="DP63" s="783">
        <f t="shared" si="222"/>
        <v>4.7781151673428335</v>
      </c>
      <c r="DQ63" s="883"/>
      <c r="DR63" s="883"/>
      <c r="DS63" s="858"/>
      <c r="DT63" s="794"/>
      <c r="DU63" s="934">
        <f>+AH63+AH64</f>
        <v>351.65700000000021</v>
      </c>
      <c r="DV63" s="935">
        <f>+AL63+AL64</f>
        <v>424.36400000000015</v>
      </c>
      <c r="DW63" s="935">
        <f>+AP63+AP64</f>
        <v>473.1220000000003</v>
      </c>
      <c r="DX63" s="935">
        <f>+AT63+AT64</f>
        <v>480.32499999999982</v>
      </c>
      <c r="DY63" s="935">
        <f>+AX63+AX64</f>
        <v>509.20299999999946</v>
      </c>
      <c r="DZ63" s="935">
        <f>+BB63+BB64</f>
        <v>502.43100000000015</v>
      </c>
      <c r="EA63" s="935">
        <f>+BF63+BF64</f>
        <v>652.74799999999982</v>
      </c>
      <c r="EB63" s="936">
        <f>+BJ63+BJ64</f>
        <v>576.42600000000061</v>
      </c>
    </row>
    <row r="64" spans="1:132">
      <c r="A64" s="487" t="str">
        <f>$A$13</f>
        <v>4Q</v>
      </c>
      <c r="B64" s="487" t="str">
        <f>$B$13</f>
        <v>Jan</v>
      </c>
      <c r="C64" s="499"/>
      <c r="D64" s="937"/>
      <c r="E64" s="499"/>
      <c r="F64" s="937">
        <f>F13-F24-F34</f>
        <v>30.620999999999981</v>
      </c>
      <c r="G64" s="877">
        <f t="shared" si="166"/>
        <v>4.2882830902638673</v>
      </c>
      <c r="H64" s="783"/>
      <c r="I64" s="487"/>
      <c r="J64" s="937">
        <f>J13-J24-J34</f>
        <v>31.707000000000306</v>
      </c>
      <c r="K64" s="877">
        <f t="shared" si="167"/>
        <v>3.9650502337237867</v>
      </c>
      <c r="L64" s="783">
        <f t="shared" si="168"/>
        <v>3.5465856764975934</v>
      </c>
      <c r="M64" s="487"/>
      <c r="N64" s="937">
        <f>N13-N24-N34</f>
        <v>51.917000000000002</v>
      </c>
      <c r="O64" s="877">
        <f t="shared" si="169"/>
        <v>5.2043726473964114</v>
      </c>
      <c r="P64" s="783">
        <f t="shared" si="170"/>
        <v>63.739868167910863</v>
      </c>
      <c r="Q64" s="487"/>
      <c r="R64" s="937">
        <f>R13-R24-R34</f>
        <v>49.819999999999993</v>
      </c>
      <c r="S64" s="877">
        <f t="shared" si="171"/>
        <v>5.9596580673099231</v>
      </c>
      <c r="T64" s="783">
        <f t="shared" si="172"/>
        <v>-4.0391393955737209</v>
      </c>
      <c r="U64" s="487"/>
      <c r="V64" s="937">
        <f>V13-V24-V34</f>
        <v>32.038999999999987</v>
      </c>
      <c r="W64" s="877">
        <f t="shared" si="173"/>
        <v>3.5260272736377196</v>
      </c>
      <c r="X64" s="783">
        <f t="shared" si="174"/>
        <v>-35.690485748695323</v>
      </c>
      <c r="Y64" s="487"/>
      <c r="Z64" s="937">
        <f>Z13-Z24-Z34</f>
        <v>26.815000000000111</v>
      </c>
      <c r="AA64" s="877">
        <f t="shared" si="175"/>
        <v>1.6363191453916768</v>
      </c>
      <c r="AB64" s="783">
        <f t="shared" si="176"/>
        <v>-16.305128125097156</v>
      </c>
      <c r="AC64" s="487"/>
      <c r="AD64" s="937">
        <f>AD13-AD24-AD34</f>
        <v>131.35799999999995</v>
      </c>
      <c r="AE64" s="877">
        <f t="shared" si="177"/>
        <v>6.7485069163487816</v>
      </c>
      <c r="AF64" s="783">
        <f t="shared" si="178"/>
        <v>389.86761141152112</v>
      </c>
      <c r="AG64" s="487"/>
      <c r="AH64" s="937">
        <f>AH13-AH24-AH34</f>
        <v>165.50000000000011</v>
      </c>
      <c r="AI64" s="877">
        <f t="shared" si="179"/>
        <v>7.3790076817476384</v>
      </c>
      <c r="AJ64" s="783">
        <f t="shared" si="180"/>
        <v>25.991565036008613</v>
      </c>
      <c r="AK64" s="487"/>
      <c r="AL64" s="937">
        <f>AL13-AL24-AL34</f>
        <v>209.6720000000002</v>
      </c>
      <c r="AM64" s="877">
        <f t="shared" si="181"/>
        <v>9.0222173263475405</v>
      </c>
      <c r="AN64" s="783">
        <f t="shared" si="182"/>
        <v>26.690030211480398</v>
      </c>
      <c r="AO64" s="725"/>
      <c r="AP64" s="937">
        <f>AP13-AP24-AP34</f>
        <v>222.65700000000021</v>
      </c>
      <c r="AQ64" s="877">
        <f t="shared" si="183"/>
        <v>8.811343065277482</v>
      </c>
      <c r="AR64" s="783">
        <f t="shared" si="184"/>
        <v>6.1930062192376623</v>
      </c>
      <c r="AS64" s="487"/>
      <c r="AT64" s="937">
        <f>AT13-AT24-AT34</f>
        <v>212.3279999999998</v>
      </c>
      <c r="AU64" s="877">
        <f t="shared" si="185"/>
        <v>7.7173559456330656</v>
      </c>
      <c r="AV64" s="783">
        <f t="shared" si="186"/>
        <v>-4.6389738476672164</v>
      </c>
      <c r="AW64" s="487"/>
      <c r="AX64" s="937">
        <f>AX13-AX24-AX34</f>
        <v>259.15099999999978</v>
      </c>
      <c r="AY64" s="877">
        <f t="shared" si="187"/>
        <v>8.0764805317522974</v>
      </c>
      <c r="AZ64" s="783">
        <f t="shared" si="188"/>
        <v>22.052202253117837</v>
      </c>
      <c r="BA64" s="487"/>
      <c r="BB64" s="937">
        <f>BB13-BB24-BB34</f>
        <v>255.95800000000031</v>
      </c>
      <c r="BC64" s="877">
        <f t="shared" si="189"/>
        <v>7.3016513283055957</v>
      </c>
      <c r="BD64" s="783">
        <f t="shared" si="190"/>
        <v>-1.232100204127895</v>
      </c>
      <c r="BE64" s="487"/>
      <c r="BF64" s="937">
        <f>BF13-BF24-BF34</f>
        <v>367.19199999999978</v>
      </c>
      <c r="BG64" s="877">
        <f t="shared" si="191"/>
        <v>8.9436932071023971</v>
      </c>
      <c r="BH64" s="783">
        <f t="shared" si="192"/>
        <v>43.457911063533608</v>
      </c>
      <c r="BI64" s="487"/>
      <c r="BJ64" s="937">
        <f>BJ13-BJ24-BJ34</f>
        <v>268.99200000000053</v>
      </c>
      <c r="BK64" s="877">
        <f t="shared" si="193"/>
        <v>6.2135649622127902</v>
      </c>
      <c r="BL64" s="783">
        <f t="shared" si="194"/>
        <v>-26.743502037081235</v>
      </c>
      <c r="BM64" s="487"/>
      <c r="BN64" s="938">
        <f>BN13-BN24-BN34</f>
        <v>357.84600000000034</v>
      </c>
      <c r="BO64" s="877">
        <f t="shared" si="195"/>
        <v>7.5873873885334993</v>
      </c>
      <c r="BP64" s="783">
        <f t="shared" si="196"/>
        <v>33.032209136331048</v>
      </c>
      <c r="BQ64" s="487"/>
      <c r="BR64" s="937">
        <f>BR13-BR24-BR34</f>
        <v>384.5510000000005</v>
      </c>
      <c r="BS64" s="877">
        <f t="shared" si="197"/>
        <v>7.5449808594800842</v>
      </c>
      <c r="BT64" s="783">
        <f t="shared" si="198"/>
        <v>7.462707421628334</v>
      </c>
      <c r="BU64" s="487"/>
      <c r="BV64" s="937">
        <f>BV13-BV24-BV34</f>
        <v>470.9530000000002</v>
      </c>
      <c r="BW64" s="877">
        <f t="shared" si="199"/>
        <v>8.7344924104337753</v>
      </c>
      <c r="BX64" s="783">
        <f t="shared" si="200"/>
        <v>22.468281190271156</v>
      </c>
      <c r="BY64" s="783"/>
      <c r="BZ64" s="937">
        <f>BZ13-BZ24-BZ34</f>
        <v>379.78199999999947</v>
      </c>
      <c r="CA64" s="877">
        <f t="shared" si="201"/>
        <v>7.0591121788467435</v>
      </c>
      <c r="CB64" s="783">
        <f t="shared" si="202"/>
        <v>-19.358831985357494</v>
      </c>
      <c r="CC64" s="783"/>
      <c r="CD64" s="937">
        <f>CD13-CD24-CD34</f>
        <v>644.23000000000025</v>
      </c>
      <c r="CE64" s="877">
        <f t="shared" si="203"/>
        <v>10.842435876592507</v>
      </c>
      <c r="CF64" s="783">
        <f t="shared" si="204"/>
        <v>69.631525454076581</v>
      </c>
      <c r="CG64" s="783"/>
      <c r="CH64" s="937">
        <f>CH13-CH24-CH34</f>
        <v>684.33000000000015</v>
      </c>
      <c r="CI64" s="877">
        <f t="shared" si="205"/>
        <v>11.306037023624175</v>
      </c>
      <c r="CJ64" s="783">
        <f t="shared" si="206"/>
        <v>6.2244850441612209</v>
      </c>
      <c r="CK64" s="783"/>
      <c r="CL64" s="937">
        <f>CL13-CL24-CL34</f>
        <v>767.65000000000009</v>
      </c>
      <c r="CM64" s="877">
        <f t="shared" si="207"/>
        <v>11.440800100391103</v>
      </c>
      <c r="CN64" s="783">
        <f t="shared" si="208"/>
        <v>12.175412447211119</v>
      </c>
      <c r="CO64" s="783"/>
      <c r="CP64" s="937">
        <f>CP13-CP24-CP34</f>
        <v>969.76400000000058</v>
      </c>
      <c r="CQ64" s="877">
        <f t="shared" si="209"/>
        <v>12.55550690371364</v>
      </c>
      <c r="CR64" s="783">
        <f t="shared" si="210"/>
        <v>26.328925942812532</v>
      </c>
      <c r="CS64" s="783"/>
      <c r="CT64" s="937">
        <f>CT13-CT24-CT34</f>
        <v>943.29500000000007</v>
      </c>
      <c r="CU64" s="877">
        <f t="shared" si="211"/>
        <v>12.079917149744258</v>
      </c>
      <c r="CV64" s="783">
        <f t="shared" si="212"/>
        <v>-2.729426953361902</v>
      </c>
      <c r="CW64" s="883"/>
      <c r="CX64" s="937">
        <f>CX13-CX24-CX34</f>
        <v>1038.6369999999993</v>
      </c>
      <c r="CY64" s="877">
        <f t="shared" si="213"/>
        <v>12.507741794781344</v>
      </c>
      <c r="CZ64" s="783">
        <f t="shared" si="214"/>
        <v>10.107336517208211</v>
      </c>
      <c r="DA64" s="883"/>
      <c r="DB64" s="937">
        <f>DB13-DB24-DB34</f>
        <v>1076.7640000000008</v>
      </c>
      <c r="DC64" s="877">
        <f t="shared" si="215"/>
        <v>12.014672941255242</v>
      </c>
      <c r="DD64" s="783">
        <f t="shared" si="216"/>
        <v>3.6708686480456221</v>
      </c>
      <c r="DE64" s="883"/>
      <c r="DF64" s="937">
        <f>DF13-DF24-DF34</f>
        <v>1103.2750000000008</v>
      </c>
      <c r="DG64" s="877">
        <f t="shared" si="217"/>
        <v>11.653106627232729</v>
      </c>
      <c r="DH64" s="783">
        <f t="shared" si="218"/>
        <v>2.4620994015401632</v>
      </c>
      <c r="DI64" s="883"/>
      <c r="DJ64" s="937">
        <f>DJ13-DJ24-DJ34</f>
        <v>1215.7189999999996</v>
      </c>
      <c r="DK64" s="877">
        <f t="shared" si="219"/>
        <v>11.09159799721186</v>
      </c>
      <c r="DL64" s="783">
        <f t="shared" si="220"/>
        <v>10.191837937050941</v>
      </c>
      <c r="DM64" s="883"/>
      <c r="DN64" s="937">
        <f>DN13-DN24-DN34</f>
        <v>1210.3715410399993</v>
      </c>
      <c r="DO64" s="877">
        <f t="shared" si="221"/>
        <v>10.933783063003068</v>
      </c>
      <c r="DP64" s="783">
        <f t="shared" si="222"/>
        <v>-0.43985978338746401</v>
      </c>
      <c r="DQ64" s="883"/>
      <c r="DR64" s="883"/>
      <c r="DS64" s="858"/>
      <c r="DT64" s="794"/>
      <c r="DU64" s="939">
        <f>+DU63/(AH12+AH13)</f>
        <v>8.5135697523838899E-2</v>
      </c>
      <c r="DV64" s="940">
        <f>+DV63/(AL12+AL13)</f>
        <v>9.806318032192135E-2</v>
      </c>
      <c r="DW64" s="940">
        <f>+DW63/(AP12+AP13)</f>
        <v>9.9353841566236029E-2</v>
      </c>
      <c r="DX64" s="940">
        <f>+DX63/(AT12+AT13)</f>
        <v>9.2144862678112477E-2</v>
      </c>
      <c r="DY64" s="940">
        <f>+DY63/(AX12+AX13)</f>
        <v>8.557341835055006E-2</v>
      </c>
      <c r="DZ64" s="940">
        <f>+DZ63/(BB12+BB13)</f>
        <v>7.6701975793653898E-2</v>
      </c>
      <c r="EA64" s="940">
        <f>+EA63/(BF12+BF13)</f>
        <v>8.711380373997285E-2</v>
      </c>
      <c r="EB64" s="941">
        <f>+EB63/(BJ12+BJ13)</f>
        <v>7.0757859334957748E-2</v>
      </c>
    </row>
    <row r="65" spans="1:132">
      <c r="A65" s="487"/>
      <c r="B65" s="487" t="str">
        <f>$B$14</f>
        <v>Year</v>
      </c>
      <c r="C65" s="487"/>
      <c r="D65" s="859"/>
      <c r="E65" s="487"/>
      <c r="F65" s="859">
        <f>SUM(F61:F64)</f>
        <v>149.13399999999996</v>
      </c>
      <c r="G65" s="877">
        <f t="shared" si="166"/>
        <v>6.0963610446723351</v>
      </c>
      <c r="H65" s="783"/>
      <c r="I65" s="487"/>
      <c r="J65" s="859">
        <f>SUM(J61:J64)</f>
        <v>148.51300000000043</v>
      </c>
      <c r="K65" s="877">
        <f t="shared" si="167"/>
        <v>5.3853643324274048</v>
      </c>
      <c r="L65" s="783">
        <f t="shared" si="168"/>
        <v>-0.41640403932002856</v>
      </c>
      <c r="M65" s="487"/>
      <c r="N65" s="859">
        <f>SUM(N61:N64)</f>
        <v>199.41599999999994</v>
      </c>
      <c r="O65" s="877">
        <f t="shared" si="169"/>
        <v>6.1147293667439362</v>
      </c>
      <c r="P65" s="783">
        <f t="shared" si="170"/>
        <v>34.27511396308698</v>
      </c>
      <c r="Q65" s="487"/>
      <c r="R65" s="859">
        <f>SUM(R61:R64)</f>
        <v>200.84199999999996</v>
      </c>
      <c r="S65" s="877">
        <f t="shared" si="171"/>
        <v>7.0917032417984016</v>
      </c>
      <c r="T65" s="783">
        <f t="shared" si="172"/>
        <v>0.71508805712681145</v>
      </c>
      <c r="U65" s="487"/>
      <c r="V65" s="859">
        <f>SUM(V61:V64)</f>
        <v>167.40900000000011</v>
      </c>
      <c r="W65" s="877">
        <f t="shared" si="173"/>
        <v>5.4788087209829408</v>
      </c>
      <c r="X65" s="783">
        <f t="shared" si="174"/>
        <v>-16.646418577787447</v>
      </c>
      <c r="Y65" s="487"/>
      <c r="Z65" s="859">
        <f>SUM(Z61:Z64)</f>
        <v>126.98200000000006</v>
      </c>
      <c r="AA65" s="877">
        <f t="shared" si="175"/>
        <v>3.194423305992407</v>
      </c>
      <c r="AB65" s="783">
        <f t="shared" si="176"/>
        <v>-24.14864194876024</v>
      </c>
      <c r="AC65" s="487"/>
      <c r="AD65" s="859">
        <f>SUM(AD61:AD64)</f>
        <v>403.49000000000018</v>
      </c>
      <c r="AE65" s="877">
        <f t="shared" si="177"/>
        <v>6.0317726077486684</v>
      </c>
      <c r="AF65" s="783">
        <f t="shared" si="178"/>
        <v>217.75369737443106</v>
      </c>
      <c r="AG65" s="487"/>
      <c r="AH65" s="859">
        <f>SUM(AH61:AH64)</f>
        <v>526.77300000000048</v>
      </c>
      <c r="AI65" s="877">
        <f t="shared" si="179"/>
        <v>7.1290848684726109</v>
      </c>
      <c r="AJ65" s="783">
        <f t="shared" si="180"/>
        <v>30.554164911150284</v>
      </c>
      <c r="AK65" s="487"/>
      <c r="AL65" s="859">
        <f>SUM(AL61:AL64)</f>
        <v>705.19800000000009</v>
      </c>
      <c r="AM65" s="877">
        <f t="shared" si="181"/>
        <v>8.8716749837807161</v>
      </c>
      <c r="AN65" s="783">
        <f t="shared" si="182"/>
        <v>33.871325979121835</v>
      </c>
      <c r="AO65" s="487"/>
      <c r="AP65" s="859">
        <f>SUM(AP61:AP64)</f>
        <v>861.28200000000061</v>
      </c>
      <c r="AQ65" s="877">
        <f t="shared" si="183"/>
        <v>9.7924732247630555</v>
      </c>
      <c r="AR65" s="783">
        <f t="shared" si="184"/>
        <v>22.133358290863072</v>
      </c>
      <c r="AS65" s="487"/>
      <c r="AT65" s="859">
        <f>SUM(AT61:AT64)</f>
        <v>887.84599999999978</v>
      </c>
      <c r="AU65" s="877">
        <f t="shared" si="185"/>
        <v>9.2686652456423957</v>
      </c>
      <c r="AV65" s="783">
        <f t="shared" si="186"/>
        <v>3.0842395405917156</v>
      </c>
      <c r="AW65" s="487"/>
      <c r="AX65" s="859">
        <f>SUM(AX61:AX64)</f>
        <v>899.68699999999944</v>
      </c>
      <c r="AY65" s="877">
        <f t="shared" si="187"/>
        <v>8.401224839149279</v>
      </c>
      <c r="AZ65" s="783">
        <f t="shared" si="188"/>
        <v>1.3336772368180538</v>
      </c>
      <c r="BA65" s="487"/>
      <c r="BB65" s="859">
        <f>SUM(BB61:BB64)</f>
        <v>963.09700000000021</v>
      </c>
      <c r="BC65" s="877">
        <f t="shared" si="189"/>
        <v>8.0383971331102142</v>
      </c>
      <c r="BD65" s="783">
        <f t="shared" si="190"/>
        <v>7.0480066956620346</v>
      </c>
      <c r="BE65" s="487"/>
      <c r="BF65" s="859">
        <f>SUM(BF61:BF64)</f>
        <v>1013.9899999999998</v>
      </c>
      <c r="BG65" s="877">
        <f t="shared" si="191"/>
        <v>7.6080035786480984</v>
      </c>
      <c r="BH65" s="783">
        <f t="shared" si="192"/>
        <v>5.2843067728379989</v>
      </c>
      <c r="BI65" s="487"/>
      <c r="BJ65" s="859">
        <f>SUM(BJ61:BJ64)</f>
        <v>1014.7080000000007</v>
      </c>
      <c r="BK65" s="877">
        <f t="shared" si="193"/>
        <v>6.803963902999727</v>
      </c>
      <c r="BL65" s="783">
        <f t="shared" si="194"/>
        <v>7.0809376818403713E-2</v>
      </c>
      <c r="BM65" s="487"/>
      <c r="BN65" s="859">
        <f>SUM(BN61:BN64)</f>
        <v>1038.9590000000003</v>
      </c>
      <c r="BO65" s="877">
        <f t="shared" si="195"/>
        <v>6.4700660452293528</v>
      </c>
      <c r="BP65" s="783">
        <f t="shared" si="196"/>
        <v>2.3899486354694854</v>
      </c>
      <c r="BQ65" s="487"/>
      <c r="BR65" s="859">
        <f>SUM(BR61:BR64)</f>
        <v>1267.3740000000007</v>
      </c>
      <c r="BS65" s="877">
        <f t="shared" si="197"/>
        <v>7.2818180580267233</v>
      </c>
      <c r="BT65" s="783">
        <f t="shared" si="198"/>
        <v>21.984986895536807</v>
      </c>
      <c r="BU65" s="487"/>
      <c r="BV65" s="859">
        <f>SUM(BV61:BV64)</f>
        <v>1455.511</v>
      </c>
      <c r="BW65" s="877">
        <f t="shared" si="199"/>
        <v>7.8795643540622313</v>
      </c>
      <c r="BX65" s="783">
        <f t="shared" si="200"/>
        <v>14.844631497884532</v>
      </c>
      <c r="BY65" s="783"/>
      <c r="BZ65" s="859">
        <f>SUM(BZ61:BZ64)</f>
        <v>1434.7309999999998</v>
      </c>
      <c r="CA65" s="877">
        <f t="shared" si="201"/>
        <v>7.5514125236420631</v>
      </c>
      <c r="CB65" s="783">
        <f t="shared" si="202"/>
        <v>-1.4276772899689649</v>
      </c>
      <c r="CC65" s="783"/>
      <c r="CD65" s="859">
        <f>SUM(CD61:CD64)</f>
        <v>1991.0710000000004</v>
      </c>
      <c r="CE65" s="877">
        <f t="shared" si="203"/>
        <v>9.813818151850386</v>
      </c>
      <c r="CF65" s="783">
        <f t="shared" si="204"/>
        <v>38.776606904012013</v>
      </c>
      <c r="CG65" s="783"/>
      <c r="CH65" s="859">
        <f>SUM(CH61:CH64)</f>
        <v>2332.5369999999994</v>
      </c>
      <c r="CI65" s="877">
        <f t="shared" si="205"/>
        <v>10.767252800606888</v>
      </c>
      <c r="CJ65" s="783">
        <f t="shared" si="206"/>
        <v>17.149865574858914</v>
      </c>
      <c r="CK65" s="783"/>
      <c r="CL65" s="859">
        <f>SUM(CL61:CL64)</f>
        <v>2515.8329999999996</v>
      </c>
      <c r="CM65" s="877">
        <f t="shared" si="207"/>
        <v>10.852422023665886</v>
      </c>
      <c r="CN65" s="783">
        <f t="shared" si="208"/>
        <v>7.8582247569920716</v>
      </c>
      <c r="CO65" s="783"/>
      <c r="CP65" s="859">
        <f>SUM(CP61:CP64)</f>
        <v>3106.5260000000003</v>
      </c>
      <c r="CQ65" s="877">
        <f t="shared" si="209"/>
        <v>12.004333193757319</v>
      </c>
      <c r="CR65" s="783">
        <f t="shared" si="210"/>
        <v>23.47902265372943</v>
      </c>
      <c r="CS65" s="783"/>
      <c r="CT65" s="859">
        <f>SUM(CT61:CT64)</f>
        <v>3350.5700000000006</v>
      </c>
      <c r="CU65" s="877">
        <f t="shared" si="211"/>
        <v>12.218237039859249</v>
      </c>
      <c r="CV65" s="783">
        <f t="shared" si="212"/>
        <v>7.8558492669947189</v>
      </c>
      <c r="CW65" s="883"/>
      <c r="CX65" s="859">
        <f>SUM(CX61:CX64)</f>
        <v>3606.5010000000002</v>
      </c>
      <c r="CY65" s="877">
        <f t="shared" si="213"/>
        <v>12.402677354368141</v>
      </c>
      <c r="CZ65" s="783">
        <f t="shared" si="214"/>
        <v>7.6384316698352661</v>
      </c>
      <c r="DA65" s="883"/>
      <c r="DB65" s="859">
        <f>SUM(DB61:DB64)</f>
        <v>3704.7</v>
      </c>
      <c r="DC65" s="877">
        <f t="shared" si="215"/>
        <v>11.971909589865716</v>
      </c>
      <c r="DD65" s="783">
        <f t="shared" si="216"/>
        <v>2.7228330173761028</v>
      </c>
      <c r="DE65" s="883"/>
      <c r="DF65" s="859">
        <f>SUM(DF61:DF64)</f>
        <v>3849.5230000000001</v>
      </c>
      <c r="DG65" s="877">
        <f t="shared" si="217"/>
        <v>11.600628910348391</v>
      </c>
      <c r="DH65" s="783">
        <f t="shared" si="218"/>
        <v>3.9091694334224103</v>
      </c>
      <c r="DI65" s="883"/>
      <c r="DJ65" s="859">
        <f>SUM(DJ61:DJ64)</f>
        <v>3987.425999999999</v>
      </c>
      <c r="DK65" s="877">
        <f t="shared" si="219"/>
        <v>11.117979524358567</v>
      </c>
      <c r="DL65" s="783">
        <f t="shared" si="220"/>
        <v>3.582339941857704</v>
      </c>
      <c r="DM65" s="883"/>
      <c r="DN65" s="859">
        <f>SUM(DN61:DN64)</f>
        <v>4110.2720385814009</v>
      </c>
      <c r="DO65" s="877">
        <f t="shared" si="221"/>
        <v>10.861722551199193</v>
      </c>
      <c r="DP65" s="783">
        <f t="shared" si="222"/>
        <v>3.0808355711529734</v>
      </c>
      <c r="DQ65" s="883"/>
      <c r="DR65" s="883"/>
      <c r="DS65" s="794"/>
      <c r="DT65" s="794"/>
      <c r="DU65" s="794"/>
      <c r="DV65" s="794"/>
      <c r="DW65" s="794"/>
      <c r="DX65" s="794"/>
      <c r="DY65" s="794"/>
      <c r="DZ65" s="794"/>
      <c r="EA65" s="794"/>
      <c r="EB65" s="794"/>
    </row>
    <row r="66" spans="1:132" hidden="1" outlineLevel="1">
      <c r="A66" s="487" t="str">
        <f>$A$15</f>
        <v>6 Mos</v>
      </c>
      <c r="B66" s="487"/>
      <c r="C66" s="487"/>
      <c r="D66" s="864"/>
      <c r="E66" s="487"/>
      <c r="F66" s="864">
        <f>SUM(F61:F62)</f>
        <v>61.332999999999956</v>
      </c>
      <c r="G66" s="877">
        <f t="shared" si="166"/>
        <v>5.6463736735169165</v>
      </c>
      <c r="H66" s="783"/>
      <c r="I66" s="487"/>
      <c r="J66" s="864">
        <f>SUM(J61:J62)</f>
        <v>62.154000000000082</v>
      </c>
      <c r="K66" s="877">
        <f t="shared" si="167"/>
        <v>4.9612702588794297</v>
      </c>
      <c r="L66" s="783">
        <f t="shared" si="168"/>
        <v>1.3385942314905863</v>
      </c>
      <c r="M66" s="487"/>
      <c r="N66" s="864">
        <f>SUM(N61:N62)</f>
        <v>72.282999999999902</v>
      </c>
      <c r="O66" s="877">
        <f t="shared" si="169"/>
        <v>5.0740615165816161</v>
      </c>
      <c r="P66" s="783">
        <f t="shared" si="170"/>
        <v>16.296618077677707</v>
      </c>
      <c r="Q66" s="487"/>
      <c r="R66" s="864">
        <f>SUM(R61:R62)</f>
        <v>73.822999999999993</v>
      </c>
      <c r="S66" s="877">
        <f t="shared" si="171"/>
        <v>5.9383202363648202</v>
      </c>
      <c r="T66" s="783">
        <f t="shared" si="172"/>
        <v>2.1305147821757409</v>
      </c>
      <c r="U66" s="487"/>
      <c r="V66" s="864">
        <f>SUM(V61:V62)</f>
        <v>72.798000000000059</v>
      </c>
      <c r="W66" s="877">
        <f t="shared" si="173"/>
        <v>5.4194332218894576</v>
      </c>
      <c r="X66" s="783">
        <f t="shared" si="174"/>
        <v>-1.3884561721955735</v>
      </c>
      <c r="Y66" s="487"/>
      <c r="Z66" s="864">
        <f>SUM(Z61:Z62)</f>
        <v>46.214999999999947</v>
      </c>
      <c r="AA66" s="877">
        <f t="shared" si="175"/>
        <v>3.1328762535911276</v>
      </c>
      <c r="AB66" s="783">
        <f t="shared" si="176"/>
        <v>-36.516113080029797</v>
      </c>
      <c r="AC66" s="487"/>
      <c r="AD66" s="864">
        <f>SUM(AD61:AD62)</f>
        <v>121.89200000000011</v>
      </c>
      <c r="AE66" s="877">
        <f t="shared" si="177"/>
        <v>4.0354827965910385</v>
      </c>
      <c r="AF66" s="783">
        <f t="shared" si="178"/>
        <v>163.74986476252352</v>
      </c>
      <c r="AG66" s="487"/>
      <c r="AH66" s="864">
        <f>SUM(AH61:AH62)</f>
        <v>175.11600000000027</v>
      </c>
      <c r="AI66" s="877">
        <f t="shared" si="179"/>
        <v>5.3740929169727956</v>
      </c>
      <c r="AJ66" s="783">
        <f t="shared" si="180"/>
        <v>43.664883667509024</v>
      </c>
      <c r="AK66" s="487"/>
      <c r="AL66" s="864">
        <f>SUM(AL61:AL62)</f>
        <v>280.834</v>
      </c>
      <c r="AM66" s="877">
        <f t="shared" si="181"/>
        <v>7.7548119299191249</v>
      </c>
      <c r="AN66" s="783">
        <f t="shared" si="182"/>
        <v>60.370268850361811</v>
      </c>
      <c r="AO66" s="487"/>
      <c r="AP66" s="864">
        <f>SUM(AP61:AP62)</f>
        <v>388.16000000000025</v>
      </c>
      <c r="AQ66" s="877">
        <f t="shared" si="183"/>
        <v>9.623745182982816</v>
      </c>
      <c r="AR66" s="783">
        <f t="shared" si="184"/>
        <v>38.216882571198731</v>
      </c>
      <c r="AS66" s="487"/>
      <c r="AT66" s="864">
        <f>SUM(AT61:AT62)</f>
        <v>407.52100000000002</v>
      </c>
      <c r="AU66" s="877">
        <f t="shared" si="185"/>
        <v>9.3333470749766967</v>
      </c>
      <c r="AV66" s="783">
        <f t="shared" si="186"/>
        <v>4.9878915910963828</v>
      </c>
      <c r="AW66" s="487"/>
      <c r="AX66" s="864">
        <f>SUM(AX61:AX62)</f>
        <v>390.48399999999987</v>
      </c>
      <c r="AY66" s="877">
        <f t="shared" si="187"/>
        <v>8.2060019960000119</v>
      </c>
      <c r="AZ66" s="783">
        <f t="shared" si="188"/>
        <v>-4.1806434515031521</v>
      </c>
      <c r="BA66" s="487"/>
      <c r="BB66" s="864">
        <f>SUM(BB61:BB62)</f>
        <v>460.666</v>
      </c>
      <c r="BC66" s="877">
        <f t="shared" si="189"/>
        <v>8.4825078405001424</v>
      </c>
      <c r="BD66" s="783">
        <f t="shared" si="190"/>
        <v>17.973079562799033</v>
      </c>
      <c r="BE66" s="487"/>
      <c r="BF66" s="864">
        <f>SUM(BF61:BF62)</f>
        <v>361.2419999999999</v>
      </c>
      <c r="BG66" s="877">
        <f t="shared" si="191"/>
        <v>6.191068930360113</v>
      </c>
      <c r="BH66" s="783">
        <f t="shared" si="192"/>
        <v>-21.58266509792346</v>
      </c>
      <c r="BI66" s="487"/>
      <c r="BJ66" s="864">
        <f>SUM(BJ61:BJ62)</f>
        <v>438.28200000000004</v>
      </c>
      <c r="BK66" s="877">
        <f t="shared" si="193"/>
        <v>6.4767318691347944</v>
      </c>
      <c r="BL66" s="783">
        <f t="shared" si="194"/>
        <v>21.326423837759776</v>
      </c>
      <c r="BM66" s="487"/>
      <c r="BN66" s="864">
        <f>SUM(BN61:BN62)</f>
        <v>413.67800000000022</v>
      </c>
      <c r="BO66" s="877">
        <f t="shared" si="195"/>
        <v>5.667057915836498</v>
      </c>
      <c r="BP66" s="783">
        <f t="shared" si="196"/>
        <v>-5.6137372741750351</v>
      </c>
      <c r="BQ66" s="487"/>
      <c r="BR66" s="864">
        <f>SUM(BR61:BR62)</f>
        <v>500.31299999999987</v>
      </c>
      <c r="BS66" s="877">
        <f t="shared" si="197"/>
        <v>6.3856851031568294</v>
      </c>
      <c r="BT66" s="783">
        <f t="shared" si="198"/>
        <v>20.942617204685664</v>
      </c>
      <c r="BU66" s="487"/>
      <c r="BV66" s="864">
        <f>SUM(BV61:BV62)</f>
        <v>578.18399999999974</v>
      </c>
      <c r="BW66" s="877">
        <f t="shared" si="199"/>
        <v>6.8656689124192098</v>
      </c>
      <c r="BX66" s="783">
        <f t="shared" si="200"/>
        <v>15.564456650136993</v>
      </c>
      <c r="BY66" s="783"/>
      <c r="BZ66" s="864">
        <f>SUM(BZ61:BZ62)</f>
        <v>638.2420000000003</v>
      </c>
      <c r="CA66" s="877">
        <f t="shared" si="201"/>
        <v>7.2053014523676504</v>
      </c>
      <c r="CB66" s="783">
        <f t="shared" si="202"/>
        <v>10.387350739557055</v>
      </c>
      <c r="CC66" s="783"/>
      <c r="CD66" s="864">
        <f>SUM(CD61:CD62)</f>
        <v>768.17100000000028</v>
      </c>
      <c r="CE66" s="877">
        <f t="shared" si="203"/>
        <v>8.4398146642536549</v>
      </c>
      <c r="CF66" s="783">
        <f t="shared" si="204"/>
        <v>20.35732527787264</v>
      </c>
      <c r="CG66" s="783"/>
      <c r="CH66" s="864">
        <f>SUM(CH61:CH62)</f>
        <v>1041.5719999999997</v>
      </c>
      <c r="CI66" s="877">
        <f t="shared" si="205"/>
        <v>10.328321741424066</v>
      </c>
      <c r="CJ66" s="783">
        <f t="shared" si="206"/>
        <v>35.591163946569097</v>
      </c>
      <c r="CK66" s="783"/>
      <c r="CL66" s="864">
        <f>SUM(CL61:CL62)</f>
        <v>1075.8800000000006</v>
      </c>
      <c r="CM66" s="877">
        <f t="shared" si="207"/>
        <v>10.074405347146927</v>
      </c>
      <c r="CN66" s="783">
        <f t="shared" si="208"/>
        <v>3.2938673466645474</v>
      </c>
      <c r="CO66" s="783"/>
      <c r="CP66" s="864">
        <f>SUM(CP61:CP62)</f>
        <v>1382.2040000000002</v>
      </c>
      <c r="CQ66" s="877">
        <f t="shared" si="209"/>
        <v>11.769804008891619</v>
      </c>
      <c r="CR66" s="783">
        <f t="shared" si="210"/>
        <v>28.47194854444728</v>
      </c>
      <c r="CS66" s="783"/>
      <c r="CT66" s="864">
        <f>SUM(CT61:CT62)</f>
        <v>1518.5320000000006</v>
      </c>
      <c r="CU66" s="877">
        <f t="shared" si="211"/>
        <v>12.021279551755452</v>
      </c>
      <c r="CV66" s="783">
        <f t="shared" si="212"/>
        <v>9.863088227208161</v>
      </c>
      <c r="CW66" s="883"/>
      <c r="CX66" s="864">
        <f>SUM(CX61:CX62)</f>
        <v>1598.7240000000011</v>
      </c>
      <c r="CY66" s="877">
        <f t="shared" si="213"/>
        <v>11.923312481709218</v>
      </c>
      <c r="CZ66" s="783">
        <f t="shared" si="214"/>
        <v>5.2808897013695066</v>
      </c>
      <c r="DA66" s="883"/>
      <c r="DB66" s="864">
        <f>SUM(DB61:DB62)</f>
        <v>1673.7409999999998</v>
      </c>
      <c r="DC66" s="877">
        <f t="shared" si="215"/>
        <v>11.762581444235613</v>
      </c>
      <c r="DD66" s="783">
        <f t="shared" si="216"/>
        <v>4.6923046129287327</v>
      </c>
      <c r="DE66" s="883"/>
      <c r="DF66" s="864">
        <f>SUM(DF61:DF62)</f>
        <v>1761.0069999999994</v>
      </c>
      <c r="DG66" s="877">
        <f t="shared" si="217"/>
        <v>11.417014421751908</v>
      </c>
      <c r="DH66" s="783">
        <f t="shared" si="218"/>
        <v>5.2138293798144275</v>
      </c>
      <c r="DI66" s="883"/>
      <c r="DJ66" s="864">
        <f>SUM(DJ61:DJ62)</f>
        <v>1743.7260000000008</v>
      </c>
      <c r="DK66" s="877">
        <f t="shared" si="219"/>
        <v>10.802600763090735</v>
      </c>
      <c r="DL66" s="783">
        <f t="shared" si="220"/>
        <v>-0.98131353254123921</v>
      </c>
      <c r="DM66" s="883"/>
      <c r="DN66" s="864">
        <f>SUM(DN61:DN62)</f>
        <v>1822.8013814630006</v>
      </c>
      <c r="DO66" s="877">
        <f t="shared" si="221"/>
        <v>10.456060577992311</v>
      </c>
      <c r="DP66" s="783">
        <f t="shared" si="222"/>
        <v>4.5348513162618342</v>
      </c>
      <c r="DQ66" s="883"/>
      <c r="DR66" s="883"/>
      <c r="DS66" s="858"/>
      <c r="DT66" s="794"/>
      <c r="DU66" s="794"/>
      <c r="DV66" s="794"/>
      <c r="DW66" s="794"/>
      <c r="DX66" s="794"/>
      <c r="DY66" s="794"/>
      <c r="DZ66" s="794"/>
      <c r="EA66" s="794"/>
      <c r="EB66" s="794"/>
    </row>
    <row r="67" spans="1:132" hidden="1" outlineLevel="1">
      <c r="A67" s="487" t="str">
        <f>$A$16</f>
        <v>9 Mos</v>
      </c>
      <c r="B67" s="487"/>
      <c r="C67" s="487"/>
      <c r="D67" s="864"/>
      <c r="E67" s="487"/>
      <c r="F67" s="864">
        <f>SUM(F61:F63)</f>
        <v>118.51299999999996</v>
      </c>
      <c r="G67" s="877">
        <f t="shared" si="166"/>
        <v>6.8416947761163849</v>
      </c>
      <c r="H67" s="783"/>
      <c r="I67" s="487"/>
      <c r="J67" s="864">
        <f>SUM(J61:J63)</f>
        <v>116.80600000000011</v>
      </c>
      <c r="K67" s="877">
        <f t="shared" si="167"/>
        <v>5.9654156450310643</v>
      </c>
      <c r="L67" s="783">
        <f t="shared" si="168"/>
        <v>-1.4403483162183539</v>
      </c>
      <c r="M67" s="487"/>
      <c r="N67" s="864">
        <f>SUM(N61:N63)</f>
        <v>147.49899999999994</v>
      </c>
      <c r="O67" s="877">
        <f t="shared" si="169"/>
        <v>6.5159088650093286</v>
      </c>
      <c r="P67" s="783">
        <f t="shared" si="170"/>
        <v>26.276903583719836</v>
      </c>
      <c r="Q67" s="487"/>
      <c r="R67" s="864">
        <f>SUM(R61:R63)</f>
        <v>151.02199999999996</v>
      </c>
      <c r="S67" s="877">
        <f t="shared" si="171"/>
        <v>7.565792769558481</v>
      </c>
      <c r="T67" s="783">
        <f t="shared" si="172"/>
        <v>2.3884907694289526</v>
      </c>
      <c r="U67" s="487"/>
      <c r="V67" s="864">
        <f>SUM(V61:V63)</f>
        <v>135.37000000000012</v>
      </c>
      <c r="W67" s="877">
        <f t="shared" si="173"/>
        <v>6.3052824265346379</v>
      </c>
      <c r="X67" s="783">
        <f t="shared" si="174"/>
        <v>-10.364052919442102</v>
      </c>
      <c r="Y67" s="487"/>
      <c r="Z67" s="864">
        <f>SUM(Z61:Z63)</f>
        <v>100.16699999999994</v>
      </c>
      <c r="AA67" s="877">
        <f t="shared" si="175"/>
        <v>4.2872808143894634</v>
      </c>
      <c r="AB67" s="783">
        <f t="shared" si="176"/>
        <v>-26.005023269557615</v>
      </c>
      <c r="AC67" s="487"/>
      <c r="AD67" s="864">
        <f>SUM(AD61:AD63)</f>
        <v>272.13200000000023</v>
      </c>
      <c r="AE67" s="877">
        <f t="shared" si="177"/>
        <v>5.7376287045890404</v>
      </c>
      <c r="AF67" s="783">
        <f t="shared" si="178"/>
        <v>171.67829724360354</v>
      </c>
      <c r="AG67" s="487"/>
      <c r="AH67" s="864">
        <f>SUM(AH61:AH63)</f>
        <v>361.27300000000037</v>
      </c>
      <c r="AI67" s="877">
        <f t="shared" si="179"/>
        <v>7.0201623716047958</v>
      </c>
      <c r="AJ67" s="783">
        <f t="shared" si="180"/>
        <v>32.756529919303887</v>
      </c>
      <c r="AK67" s="487"/>
      <c r="AL67" s="864">
        <f>SUM(AL61:AL63)</f>
        <v>495.52599999999995</v>
      </c>
      <c r="AM67" s="877">
        <f t="shared" si="181"/>
        <v>8.8094779675938444</v>
      </c>
      <c r="AN67" s="783">
        <f t="shared" si="182"/>
        <v>37.161094241750533</v>
      </c>
      <c r="AO67" s="487"/>
      <c r="AP67" s="864">
        <f>SUM(AP61:AP63)</f>
        <v>638.62500000000034</v>
      </c>
      <c r="AQ67" s="877">
        <f t="shared" si="183"/>
        <v>10.187988630611496</v>
      </c>
      <c r="AR67" s="783">
        <f t="shared" si="184"/>
        <v>28.878202152863896</v>
      </c>
      <c r="AS67" s="487"/>
      <c r="AT67" s="864">
        <f>SUM(AT61:AT63)</f>
        <v>675.51800000000003</v>
      </c>
      <c r="AU67" s="877">
        <f t="shared" si="185"/>
        <v>9.8937841595582476</v>
      </c>
      <c r="AV67" s="783">
        <f t="shared" si="186"/>
        <v>5.7769426502250365</v>
      </c>
      <c r="AW67" s="487"/>
      <c r="AX67" s="864">
        <f>SUM(AX61:AX63)</f>
        <v>640.5359999999996</v>
      </c>
      <c r="AY67" s="877">
        <f t="shared" si="187"/>
        <v>8.540154335448003</v>
      </c>
      <c r="AZ67" s="783">
        <f t="shared" si="188"/>
        <v>-5.1785444651364472</v>
      </c>
      <c r="BA67" s="487"/>
      <c r="BB67" s="864">
        <f>SUM(BB61:BB63)</f>
        <v>707.1389999999999</v>
      </c>
      <c r="BC67" s="877">
        <f t="shared" si="189"/>
        <v>8.343108307182181</v>
      </c>
      <c r="BD67" s="783">
        <f t="shared" si="190"/>
        <v>10.398010416276415</v>
      </c>
      <c r="BE67" s="487"/>
      <c r="BF67" s="864">
        <f>SUM(BF61:BF63)</f>
        <v>646.798</v>
      </c>
      <c r="BG67" s="877">
        <f t="shared" si="191"/>
        <v>7.0133819601769218</v>
      </c>
      <c r="BH67" s="783">
        <f t="shared" si="192"/>
        <v>-8.5331172513466118</v>
      </c>
      <c r="BI67" s="487"/>
      <c r="BJ67" s="864">
        <f>SUM(BJ61:BJ63)</f>
        <v>745.71600000000012</v>
      </c>
      <c r="BK67" s="877">
        <f t="shared" si="193"/>
        <v>7.045442649702288</v>
      </c>
      <c r="BL67" s="783">
        <f t="shared" si="194"/>
        <v>15.293491940296677</v>
      </c>
      <c r="BM67" s="487"/>
      <c r="BN67" s="864">
        <f>SUM(BN61:BN63)</f>
        <v>681.11299999999994</v>
      </c>
      <c r="BO67" s="877">
        <f t="shared" si="195"/>
        <v>6.0054359134965685</v>
      </c>
      <c r="BP67" s="783">
        <f t="shared" si="196"/>
        <v>-8.6632176324499035</v>
      </c>
      <c r="BQ67" s="487"/>
      <c r="BR67" s="864">
        <f>SUM(BR61:BR63)</f>
        <v>882.82300000000009</v>
      </c>
      <c r="BS67" s="877">
        <f t="shared" si="197"/>
        <v>7.1728403106373184</v>
      </c>
      <c r="BT67" s="783">
        <f t="shared" si="198"/>
        <v>29.614762895437341</v>
      </c>
      <c r="BU67" s="487"/>
      <c r="BV67" s="864">
        <f>SUM(BV61:BV63)</f>
        <v>984.55799999999965</v>
      </c>
      <c r="BW67" s="877">
        <f t="shared" si="199"/>
        <v>7.527146014284142</v>
      </c>
      <c r="BX67" s="783">
        <f t="shared" si="200"/>
        <v>11.523827539608678</v>
      </c>
      <c r="BY67" s="783"/>
      <c r="BZ67" s="864">
        <f>SUM(BZ61:BZ63)</f>
        <v>1054.9490000000003</v>
      </c>
      <c r="CA67" s="877">
        <f t="shared" si="201"/>
        <v>7.7458831027322645</v>
      </c>
      <c r="CB67" s="783">
        <f t="shared" si="202"/>
        <v>7.1495026194495992</v>
      </c>
      <c r="CC67" s="783"/>
      <c r="CD67" s="864">
        <f>SUM(CD61:CD63)</f>
        <v>1346.8410000000001</v>
      </c>
      <c r="CE67" s="877">
        <f t="shared" si="203"/>
        <v>9.3878117459501844</v>
      </c>
      <c r="CF67" s="783">
        <f t="shared" si="204"/>
        <v>27.668825696787213</v>
      </c>
      <c r="CG67" s="783"/>
      <c r="CH67" s="864">
        <f>SUM(CH61:CH63)</f>
        <v>1648.2069999999994</v>
      </c>
      <c r="CI67" s="877">
        <f t="shared" si="205"/>
        <v>10.558345243611223</v>
      </c>
      <c r="CJ67" s="783">
        <f t="shared" si="206"/>
        <v>22.375766701488843</v>
      </c>
      <c r="CK67" s="783"/>
      <c r="CL67" s="864">
        <f>SUM(CL61:CL63)</f>
        <v>1748.1829999999998</v>
      </c>
      <c r="CM67" s="877">
        <f t="shared" si="207"/>
        <v>10.6127569954909</v>
      </c>
      <c r="CN67" s="783">
        <f t="shared" si="208"/>
        <v>6.0657429558302001</v>
      </c>
      <c r="CO67" s="783"/>
      <c r="CP67" s="864">
        <f>SUM(CP61:CP63)</f>
        <v>2136.7619999999997</v>
      </c>
      <c r="CQ67" s="877">
        <f t="shared" si="209"/>
        <v>11.769837635264926</v>
      </c>
      <c r="CR67" s="783">
        <f t="shared" si="210"/>
        <v>22.227592877862335</v>
      </c>
      <c r="CS67" s="783"/>
      <c r="CT67" s="864">
        <f>SUM(CT61:CT63)</f>
        <v>2407.2750000000005</v>
      </c>
      <c r="CU67" s="877">
        <f t="shared" si="211"/>
        <v>12.273305642439764</v>
      </c>
      <c r="CV67" s="783">
        <f t="shared" si="212"/>
        <v>12.659949961671014</v>
      </c>
      <c r="CW67" s="883"/>
      <c r="CX67" s="864">
        <f>SUM(CX61:CX63)</f>
        <v>2567.8640000000009</v>
      </c>
      <c r="CY67" s="877">
        <f t="shared" si="213"/>
        <v>12.360681055685028</v>
      </c>
      <c r="CZ67" s="783">
        <f t="shared" si="214"/>
        <v>6.6709869042797409</v>
      </c>
      <c r="DA67" s="883"/>
      <c r="DB67" s="864">
        <f>SUM(DB61:DB63)</f>
        <v>2627.9359999999992</v>
      </c>
      <c r="DC67" s="877">
        <f t="shared" si="215"/>
        <v>11.954475629493754</v>
      </c>
      <c r="DD67" s="783">
        <f t="shared" si="216"/>
        <v>2.3393762286475495</v>
      </c>
      <c r="DE67" s="883"/>
      <c r="DF67" s="864">
        <f>SUM(DF61:DF63)</f>
        <v>2746.2479999999996</v>
      </c>
      <c r="DG67" s="877">
        <f t="shared" si="217"/>
        <v>11.579679405089292</v>
      </c>
      <c r="DH67" s="783">
        <f t="shared" si="218"/>
        <v>4.5020883309182747</v>
      </c>
      <c r="DI67" s="883"/>
      <c r="DJ67" s="864">
        <f>SUM(DJ61:DJ63)</f>
        <v>2771.7069999999994</v>
      </c>
      <c r="DK67" s="877">
        <f t="shared" si="219"/>
        <v>11.129590558025665</v>
      </c>
      <c r="DL67" s="783">
        <f t="shared" si="220"/>
        <v>0.9270466469160743</v>
      </c>
      <c r="DM67" s="883"/>
      <c r="DN67" s="864">
        <f>SUM(DN61:DN63)</f>
        <v>2899.9004975414018</v>
      </c>
      <c r="DO67" s="877">
        <f t="shared" si="221"/>
        <v>10.831925850731892</v>
      </c>
      <c r="DP67" s="783">
        <f t="shared" si="222"/>
        <v>4.6250739180368816</v>
      </c>
      <c r="DQ67" s="883"/>
      <c r="DR67" s="883"/>
      <c r="DS67" s="942"/>
      <c r="DT67" s="942"/>
      <c r="DU67" s="794"/>
      <c r="DV67" s="794"/>
      <c r="DW67" s="794"/>
      <c r="DX67" s="794"/>
      <c r="DY67" s="794"/>
      <c r="DZ67" s="794"/>
      <c r="EA67" s="794"/>
      <c r="EB67" s="794"/>
    </row>
    <row r="68" spans="1:132" collapsed="1">
      <c r="A68" s="487"/>
      <c r="B68" s="487"/>
      <c r="C68" s="487"/>
      <c r="D68" s="487"/>
      <c r="E68" s="487"/>
      <c r="F68" s="487"/>
      <c r="G68" s="487"/>
      <c r="H68" s="487"/>
      <c r="I68" s="487"/>
      <c r="J68" s="487"/>
      <c r="K68" s="487"/>
      <c r="L68" s="487"/>
      <c r="M68" s="487"/>
      <c r="N68" s="487"/>
      <c r="O68" s="487"/>
      <c r="P68" s="487"/>
      <c r="Q68" s="487"/>
      <c r="R68" s="487"/>
      <c r="S68" s="487"/>
      <c r="T68" s="487"/>
      <c r="U68" s="487"/>
      <c r="V68" s="487"/>
      <c r="W68" s="487"/>
      <c r="X68" s="487"/>
      <c r="Y68" s="487"/>
      <c r="Z68" s="487"/>
      <c r="AA68" s="487"/>
      <c r="AB68" s="487"/>
      <c r="AC68" s="487"/>
      <c r="AD68" s="487"/>
      <c r="AE68" s="487"/>
      <c r="AF68" s="487"/>
      <c r="AG68" s="487"/>
      <c r="AH68" s="487"/>
      <c r="AI68" s="487"/>
      <c r="AJ68" s="487"/>
      <c r="AK68" s="487"/>
      <c r="AL68" s="487"/>
      <c r="AM68" s="487"/>
      <c r="AN68" s="487"/>
      <c r="AO68" s="487"/>
      <c r="AP68" s="487"/>
      <c r="AQ68" s="487"/>
      <c r="AR68" s="487"/>
      <c r="AS68" s="487"/>
      <c r="AT68" s="487"/>
      <c r="AU68" s="487"/>
      <c r="AV68" s="487"/>
      <c r="AW68" s="487"/>
      <c r="AX68" s="487"/>
      <c r="AY68" s="487"/>
      <c r="AZ68" s="487"/>
      <c r="BA68" s="487"/>
      <c r="BB68" s="487"/>
      <c r="BC68" s="487"/>
      <c r="BD68" s="487"/>
      <c r="BE68" s="487"/>
      <c r="BF68" s="487"/>
      <c r="BG68" s="487"/>
      <c r="BH68" s="487"/>
      <c r="BI68" s="487"/>
      <c r="BJ68" s="487"/>
      <c r="BK68" s="880"/>
      <c r="BL68" s="487"/>
      <c r="BM68" s="487"/>
      <c r="BN68" s="859"/>
      <c r="BO68" s="487"/>
      <c r="BP68" s="487"/>
      <c r="BQ68" s="487"/>
      <c r="BR68" s="487"/>
      <c r="BS68" s="891"/>
      <c r="BT68" s="487"/>
      <c r="BU68" s="487"/>
      <c r="BV68" s="487"/>
      <c r="BW68" s="891"/>
      <c r="BX68" s="891"/>
      <c r="BY68" s="487"/>
      <c r="BZ68" s="487"/>
      <c r="CA68" s="891"/>
      <c r="CB68" s="487"/>
      <c r="CC68" s="487"/>
      <c r="CD68" s="487"/>
      <c r="CE68" s="891"/>
      <c r="CF68" s="487"/>
      <c r="CG68" s="487"/>
      <c r="CH68" s="487"/>
      <c r="CI68" s="891"/>
      <c r="CJ68" s="487"/>
      <c r="CK68" s="487"/>
      <c r="CL68" s="487"/>
      <c r="CM68" s="891"/>
      <c r="CN68" s="487"/>
      <c r="CO68" s="487"/>
      <c r="CP68" s="487"/>
      <c r="CQ68" s="891"/>
      <c r="CR68" s="487"/>
      <c r="CS68" s="487"/>
      <c r="CT68" s="487"/>
      <c r="CU68" s="891"/>
      <c r="CV68" s="487"/>
      <c r="CW68" s="794"/>
      <c r="CX68" s="487"/>
      <c r="CY68" s="891"/>
      <c r="CZ68" s="487"/>
      <c r="DA68" s="794"/>
      <c r="DB68" s="487"/>
      <c r="DC68" s="891"/>
      <c r="DD68" s="487"/>
      <c r="DE68" s="794"/>
      <c r="DF68" s="487"/>
      <c r="DG68" s="891"/>
      <c r="DH68" s="487"/>
      <c r="DI68" s="794"/>
      <c r="DJ68" s="487"/>
      <c r="DK68" s="891"/>
      <c r="DL68" s="487"/>
      <c r="DM68" s="794"/>
      <c r="DN68" s="487"/>
      <c r="DO68" s="891"/>
      <c r="DP68" s="487"/>
      <c r="DQ68" s="794"/>
      <c r="DR68" s="794"/>
      <c r="DS68" s="794"/>
      <c r="DT68" s="794"/>
      <c r="DU68" s="794"/>
      <c r="DV68" s="794"/>
      <c r="DW68" s="794"/>
      <c r="DX68" s="794"/>
      <c r="DY68" s="794"/>
      <c r="DZ68" s="794"/>
      <c r="EA68" s="794"/>
      <c r="EB68" s="794"/>
    </row>
    <row r="69" spans="1:132">
      <c r="A69" s="487"/>
      <c r="B69" s="487"/>
      <c r="C69" s="487"/>
      <c r="D69" s="487"/>
      <c r="E69" s="487"/>
      <c r="F69" s="487"/>
      <c r="G69" s="487"/>
      <c r="H69" s="487"/>
      <c r="I69" s="487"/>
      <c r="J69" s="487"/>
      <c r="K69" s="487"/>
      <c r="L69" s="487"/>
      <c r="M69" s="487"/>
      <c r="N69" s="487"/>
      <c r="O69" s="487"/>
      <c r="P69" s="487"/>
      <c r="Q69" s="487"/>
      <c r="R69" s="487"/>
      <c r="S69" s="487"/>
      <c r="T69" s="487"/>
      <c r="U69" s="487"/>
      <c r="V69" s="487"/>
      <c r="W69" s="487"/>
      <c r="X69" s="487"/>
      <c r="Y69" s="487"/>
      <c r="Z69" s="487"/>
      <c r="AA69" s="487"/>
      <c r="AB69" s="487"/>
      <c r="AC69" s="487"/>
      <c r="AD69" s="487"/>
      <c r="AE69" s="487"/>
      <c r="AF69" s="487"/>
      <c r="AG69" s="487"/>
      <c r="AH69" s="487"/>
      <c r="AI69" s="487"/>
      <c r="AJ69" s="487"/>
      <c r="AK69" s="487"/>
      <c r="AL69" s="487"/>
      <c r="AM69" s="487"/>
      <c r="AN69" s="487"/>
      <c r="AO69" s="487"/>
      <c r="AP69" s="487"/>
      <c r="AQ69" s="487"/>
      <c r="AR69" s="487"/>
      <c r="AS69" s="487"/>
      <c r="AT69" s="487"/>
      <c r="AU69" s="487"/>
      <c r="AV69" s="487"/>
      <c r="AW69" s="487"/>
      <c r="AX69" s="487"/>
      <c r="AY69" s="487"/>
      <c r="AZ69" s="487"/>
      <c r="BA69" s="487"/>
      <c r="BB69" s="487"/>
      <c r="BC69" s="487"/>
      <c r="BD69" s="487"/>
      <c r="BE69" s="487"/>
      <c r="BF69" s="487"/>
      <c r="BG69" s="487"/>
      <c r="BH69" s="487"/>
      <c r="BI69" s="487"/>
      <c r="BJ69" s="487"/>
      <c r="BK69" s="880"/>
      <c r="BL69" s="487"/>
      <c r="BM69" s="487"/>
      <c r="BN69" s="859"/>
      <c r="BO69" s="487"/>
      <c r="BP69" s="487"/>
      <c r="BQ69" s="487"/>
      <c r="BR69" s="487"/>
      <c r="BS69" s="891"/>
      <c r="BT69" s="487"/>
      <c r="BU69" s="487"/>
      <c r="BV69" s="487"/>
      <c r="BW69" s="891"/>
      <c r="BX69" s="891"/>
      <c r="BY69" s="487"/>
      <c r="BZ69" s="487"/>
      <c r="CA69" s="891"/>
      <c r="CB69" s="487"/>
      <c r="CC69" s="487"/>
      <c r="CD69" s="487"/>
      <c r="CE69" s="891"/>
      <c r="CF69" s="487"/>
      <c r="CG69" s="487"/>
      <c r="CH69" s="487"/>
      <c r="CI69" s="891"/>
      <c r="CJ69" s="487"/>
      <c r="CK69" s="487"/>
      <c r="CL69" s="864"/>
      <c r="CM69" s="891"/>
      <c r="CN69" s="487"/>
      <c r="CO69" s="487"/>
      <c r="CP69" s="864"/>
      <c r="CQ69" s="891"/>
      <c r="CR69" s="487"/>
      <c r="CS69" s="487"/>
      <c r="CT69" s="864"/>
      <c r="CU69" s="891"/>
      <c r="CV69" s="487"/>
      <c r="CW69" s="794"/>
      <c r="CX69" s="864"/>
      <c r="CY69" s="891"/>
      <c r="CZ69" s="487"/>
      <c r="DA69" s="794"/>
      <c r="DB69" s="864"/>
      <c r="DC69" s="891"/>
      <c r="DD69" s="487"/>
      <c r="DE69" s="794"/>
      <c r="DF69" s="864"/>
      <c r="DG69" s="891"/>
      <c r="DH69" s="487"/>
      <c r="DI69" s="794"/>
      <c r="DJ69" s="864"/>
      <c r="DK69" s="891"/>
      <c r="DL69" s="487"/>
      <c r="DM69" s="794"/>
      <c r="DN69" s="864"/>
      <c r="DO69" s="891"/>
      <c r="DP69" s="487"/>
      <c r="DQ69" s="794"/>
      <c r="DR69" s="794"/>
      <c r="DS69" s="794"/>
      <c r="DT69" s="794"/>
      <c r="DU69" s="794"/>
      <c r="DV69" s="794"/>
      <c r="DW69" s="794"/>
      <c r="DX69" s="794"/>
      <c r="DY69" s="794"/>
      <c r="DZ69" s="794"/>
      <c r="EA69" s="794"/>
      <c r="EB69" s="794"/>
    </row>
    <row r="70" spans="1:132">
      <c r="A70" s="487"/>
      <c r="B70" s="487"/>
      <c r="C70" s="807"/>
      <c r="D70" s="807"/>
      <c r="E70" s="809"/>
      <c r="F70" s="809" t="str">
        <f>Z70</f>
        <v xml:space="preserve">4.  Operating Income (% Operating Margin) </v>
      </c>
      <c r="G70" s="811"/>
      <c r="H70" s="811"/>
      <c r="I70" s="811"/>
      <c r="J70" s="809"/>
      <c r="K70" s="811"/>
      <c r="L70" s="811"/>
      <c r="M70" s="811"/>
      <c r="N70" s="809"/>
      <c r="O70" s="811"/>
      <c r="P70" s="811"/>
      <c r="Q70" s="811"/>
      <c r="R70" s="809"/>
      <c r="S70" s="811"/>
      <c r="T70" s="811"/>
      <c r="U70" s="811"/>
      <c r="V70" s="809"/>
      <c r="W70" s="811"/>
      <c r="X70" s="811"/>
      <c r="Y70" s="487"/>
      <c r="Z70" s="809" t="s">
        <v>156</v>
      </c>
      <c r="AA70" s="811"/>
      <c r="AB70" s="811"/>
      <c r="AC70" s="811"/>
      <c r="AD70" s="809"/>
      <c r="AE70" s="811"/>
      <c r="AF70" s="811"/>
      <c r="AG70" s="811"/>
      <c r="AH70" s="809"/>
      <c r="AI70" s="811"/>
      <c r="AJ70" s="811"/>
      <c r="AK70" s="811"/>
      <c r="AL70" s="809"/>
      <c r="AM70" s="811"/>
      <c r="AN70" s="811"/>
      <c r="AO70" s="702"/>
      <c r="AP70" s="702"/>
      <c r="AQ70" s="811"/>
      <c r="AR70" s="811"/>
      <c r="AS70" s="811"/>
      <c r="AT70" s="702"/>
      <c r="AU70" s="812"/>
      <c r="AV70" s="812"/>
      <c r="AW70" s="812"/>
      <c r="AX70" s="812"/>
      <c r="AY70" s="812"/>
      <c r="AZ70" s="812"/>
      <c r="BA70" s="812"/>
      <c r="BB70" s="812"/>
      <c r="BC70" s="812"/>
      <c r="BD70" s="812"/>
      <c r="BE70" s="812"/>
      <c r="BF70" s="702"/>
      <c r="BG70" s="810"/>
      <c r="BH70" s="810"/>
      <c r="BI70" s="810"/>
      <c r="BJ70" s="810" t="s">
        <v>294</v>
      </c>
      <c r="BK70" s="810"/>
      <c r="BL70" s="810"/>
      <c r="BM70" s="810"/>
      <c r="BN70" s="810" t="s">
        <v>294</v>
      </c>
      <c r="BO70" s="810"/>
      <c r="BP70" s="810"/>
      <c r="BQ70" s="810"/>
      <c r="BR70" s="810"/>
      <c r="BS70" s="810"/>
      <c r="BT70" s="810"/>
      <c r="BU70" s="810"/>
      <c r="BV70" s="810"/>
      <c r="BW70" s="810"/>
      <c r="BX70" s="810"/>
      <c r="BY70" s="810"/>
      <c r="BZ70" s="810"/>
      <c r="CA70" s="810"/>
      <c r="CC70" s="810"/>
      <c r="CD70" s="810"/>
      <c r="CE70" s="810"/>
      <c r="CF70" s="810" t="str">
        <f>BN70</f>
        <v>Non-Recurring Charges  (Pre-Tax)</v>
      </c>
      <c r="CG70" s="810"/>
      <c r="CH70" s="810"/>
      <c r="CI70" s="810"/>
      <c r="CJ70" s="810"/>
      <c r="CK70" s="810"/>
      <c r="CL70" s="810"/>
      <c r="CM70" s="810"/>
      <c r="CN70" s="810"/>
      <c r="CO70" s="810"/>
      <c r="CP70" s="810"/>
      <c r="CQ70" s="810"/>
      <c r="CR70" s="810"/>
      <c r="CS70" s="810"/>
      <c r="CT70" s="810"/>
      <c r="CU70" s="810"/>
      <c r="CV70" s="810"/>
      <c r="CW70" s="794"/>
      <c r="CX70" s="810"/>
      <c r="CY70" s="810"/>
      <c r="CZ70" s="810"/>
      <c r="DA70" s="794"/>
      <c r="DB70" s="810" t="str">
        <f>CF70</f>
        <v>Non-Recurring Charges  (Pre-Tax)</v>
      </c>
      <c r="DC70" s="810"/>
      <c r="DD70" s="810"/>
      <c r="DE70" s="794"/>
      <c r="DF70" s="810"/>
      <c r="DG70" s="810"/>
      <c r="DH70" s="810"/>
      <c r="DI70" s="794"/>
      <c r="DJ70" s="810"/>
      <c r="DK70" s="810"/>
      <c r="DL70" s="810"/>
      <c r="DM70" s="794"/>
      <c r="DN70" s="810"/>
      <c r="DO70" s="810"/>
      <c r="DP70" s="810"/>
      <c r="DQ70" s="794"/>
      <c r="DR70" s="794"/>
      <c r="DS70" s="794"/>
      <c r="DT70" s="794"/>
      <c r="DU70" s="794"/>
      <c r="DV70" s="794"/>
      <c r="DW70" s="794"/>
      <c r="DX70" s="794"/>
      <c r="DY70" s="794"/>
      <c r="DZ70" s="794"/>
      <c r="EA70" s="794"/>
      <c r="EB70" s="794"/>
    </row>
    <row r="71" spans="1:132">
      <c r="A71" s="487"/>
      <c r="B71" s="487"/>
      <c r="C71" s="807"/>
      <c r="D71" s="807"/>
      <c r="E71" s="809"/>
      <c r="F71" s="809"/>
      <c r="G71" s="811"/>
      <c r="H71" s="811"/>
      <c r="I71" s="811"/>
      <c r="J71" s="809"/>
      <c r="K71" s="811"/>
      <c r="L71" s="811"/>
      <c r="M71" s="811"/>
      <c r="N71" s="809"/>
      <c r="O71" s="811"/>
      <c r="P71" s="811"/>
      <c r="Q71" s="811"/>
      <c r="R71" s="809"/>
      <c r="S71" s="811"/>
      <c r="T71" s="811"/>
      <c r="U71" s="811"/>
      <c r="V71" s="809"/>
      <c r="W71" s="811"/>
      <c r="X71" s="811"/>
      <c r="Y71" s="487"/>
      <c r="Z71" s="809"/>
      <c r="AA71" s="811"/>
      <c r="AB71" s="811"/>
      <c r="AC71" s="811"/>
      <c r="AD71" s="809"/>
      <c r="AE71" s="811"/>
      <c r="AF71" s="811"/>
      <c r="AG71" s="811"/>
      <c r="AH71" s="809"/>
      <c r="AI71" s="811"/>
      <c r="AJ71" s="811"/>
      <c r="AK71" s="811"/>
      <c r="AL71" s="809"/>
      <c r="AM71" s="811"/>
      <c r="AN71" s="811"/>
      <c r="AO71" s="702"/>
      <c r="AP71" s="702"/>
      <c r="AQ71" s="811"/>
      <c r="AR71" s="811"/>
      <c r="AS71" s="811"/>
      <c r="AT71" s="702"/>
      <c r="AU71" s="812"/>
      <c r="AV71" s="812"/>
      <c r="AW71" s="812"/>
      <c r="AX71" s="812"/>
      <c r="AY71" s="812"/>
      <c r="AZ71" s="812"/>
      <c r="BA71" s="812"/>
      <c r="BB71" s="812"/>
      <c r="BC71" s="812"/>
      <c r="BD71" s="812"/>
      <c r="BE71" s="812"/>
      <c r="BF71" s="810"/>
      <c r="BG71" s="810"/>
      <c r="BH71" s="810"/>
      <c r="BI71" s="810"/>
      <c r="BJ71" s="810"/>
      <c r="BK71" s="810"/>
      <c r="BL71" s="810"/>
      <c r="BM71" s="810"/>
      <c r="BN71" s="810"/>
      <c r="BO71" s="810"/>
      <c r="BP71" s="810"/>
      <c r="BQ71" s="810"/>
      <c r="BR71" s="810"/>
      <c r="BS71" s="810"/>
      <c r="BT71" s="810"/>
      <c r="BU71" s="810"/>
      <c r="BV71" s="810"/>
      <c r="BW71" s="810"/>
      <c r="BX71" s="810"/>
      <c r="BY71" s="810"/>
      <c r="BZ71" s="810"/>
      <c r="CA71" s="810"/>
      <c r="CB71" s="810"/>
      <c r="CC71" s="810"/>
      <c r="CD71" s="810"/>
      <c r="CE71" s="810"/>
      <c r="CF71" s="810"/>
      <c r="CG71" s="810"/>
      <c r="CH71" s="810"/>
      <c r="CI71" s="810"/>
      <c r="CJ71" s="810"/>
      <c r="CK71" s="810"/>
      <c r="CL71" s="810"/>
      <c r="CM71" s="810"/>
      <c r="CN71" s="810"/>
      <c r="CO71" s="810"/>
      <c r="CP71" s="810"/>
      <c r="CQ71" s="810"/>
      <c r="CR71" s="810"/>
      <c r="CS71" s="810"/>
      <c r="CT71" s="810"/>
      <c r="CU71" s="810"/>
      <c r="CV71" s="810"/>
      <c r="CW71" s="794"/>
      <c r="CX71" s="810"/>
      <c r="CY71" s="810"/>
      <c r="CZ71" s="810"/>
      <c r="DA71" s="794"/>
      <c r="DB71" s="810"/>
      <c r="DC71" s="810"/>
      <c r="DD71" s="810"/>
      <c r="DE71" s="794"/>
      <c r="DF71" s="810"/>
      <c r="DG71" s="810"/>
      <c r="DH71" s="810"/>
      <c r="DI71" s="794"/>
      <c r="DJ71" s="810"/>
      <c r="DK71" s="810"/>
      <c r="DL71" s="810"/>
      <c r="DM71" s="794"/>
      <c r="DN71" s="810"/>
      <c r="DO71" s="810"/>
      <c r="DP71" s="810"/>
      <c r="DQ71" s="794"/>
      <c r="DR71" s="794"/>
      <c r="DS71" s="794"/>
      <c r="DT71" s="794"/>
      <c r="DU71" s="794"/>
      <c r="DV71" s="794"/>
      <c r="DW71" s="794"/>
      <c r="DX71" s="794"/>
      <c r="DY71" s="794"/>
      <c r="DZ71" s="794"/>
      <c r="EA71" s="794"/>
      <c r="EB71" s="794"/>
    </row>
    <row r="72" spans="1:132">
      <c r="A72" s="487" t="str">
        <f>$A$10</f>
        <v>1Q</v>
      </c>
      <c r="B72" s="487" t="str">
        <f>$B$10</f>
        <v>Apr</v>
      </c>
      <c r="C72" s="487"/>
      <c r="D72" s="487"/>
      <c r="E72" s="487"/>
      <c r="F72" s="487"/>
      <c r="G72" s="487"/>
      <c r="H72" s="487"/>
      <c r="I72" s="487"/>
      <c r="J72" s="487"/>
      <c r="K72" s="487"/>
      <c r="L72" s="487"/>
      <c r="M72" s="487"/>
      <c r="N72" s="487"/>
      <c r="O72" s="487"/>
      <c r="P72" s="487"/>
      <c r="Q72" s="487"/>
      <c r="R72" s="487"/>
      <c r="S72" s="487"/>
      <c r="T72" s="487"/>
      <c r="U72" s="487"/>
      <c r="V72" s="487"/>
      <c r="W72" s="487"/>
      <c r="X72" s="487"/>
      <c r="Y72" s="487"/>
      <c r="Z72" s="487"/>
      <c r="AA72" s="487"/>
      <c r="AB72" s="487"/>
      <c r="AC72" s="487"/>
      <c r="AD72" s="487"/>
      <c r="AE72" s="487"/>
      <c r="AF72" s="487"/>
      <c r="AG72" s="487"/>
      <c r="AH72" s="487"/>
      <c r="AI72" s="487"/>
      <c r="AJ72" s="487"/>
      <c r="AK72" s="487"/>
      <c r="AL72" s="487"/>
      <c r="AM72" s="487"/>
      <c r="AN72" s="487"/>
      <c r="AO72" s="487"/>
      <c r="AP72" s="487"/>
      <c r="AQ72" s="487"/>
      <c r="AR72" s="487"/>
      <c r="AS72" s="487"/>
      <c r="AT72" s="487"/>
      <c r="AU72" s="487"/>
      <c r="AV72" s="487"/>
      <c r="AW72" s="487"/>
      <c r="AX72" s="487"/>
      <c r="AY72" s="487"/>
      <c r="AZ72" s="487"/>
      <c r="BA72" s="487"/>
      <c r="BB72" s="487"/>
      <c r="BC72" s="487"/>
      <c r="BD72" s="487"/>
      <c r="BE72" s="487"/>
      <c r="BF72" s="487"/>
      <c r="BG72" s="487"/>
      <c r="BH72" s="487"/>
      <c r="BI72" s="487"/>
      <c r="BJ72" s="487"/>
      <c r="BK72" s="487"/>
      <c r="BL72" s="487"/>
      <c r="BM72" s="487"/>
      <c r="BN72" s="487"/>
      <c r="BO72" s="487"/>
      <c r="BP72" s="487"/>
      <c r="BQ72" s="487"/>
      <c r="BR72" s="814">
        <v>0</v>
      </c>
      <c r="BS72" s="487"/>
      <c r="BT72" s="487"/>
      <c r="BU72" s="487"/>
      <c r="BV72" s="814">
        <v>20.004000000000001</v>
      </c>
      <c r="BW72" s="567">
        <v>0.4</v>
      </c>
      <c r="BX72" s="487"/>
      <c r="BY72" s="487"/>
      <c r="BZ72" s="487"/>
      <c r="CA72" s="487"/>
      <c r="CB72" s="487"/>
      <c r="CC72" s="487"/>
      <c r="CD72" s="487"/>
      <c r="CE72" s="487"/>
      <c r="CF72" s="487"/>
      <c r="CG72" s="487"/>
      <c r="CH72" s="814">
        <v>0</v>
      </c>
      <c r="CI72" s="487"/>
      <c r="CJ72" s="487"/>
      <c r="CK72" s="487"/>
      <c r="CL72" s="814">
        <f>(-9.229+16+62)*(1-CM110/100)</f>
        <v>42.569248999999999</v>
      </c>
      <c r="CM72" s="487"/>
      <c r="CN72" s="487"/>
      <c r="CO72" s="487"/>
      <c r="CP72" s="814">
        <v>0</v>
      </c>
      <c r="CQ72" s="487"/>
      <c r="CR72" s="487"/>
      <c r="CS72" s="487"/>
      <c r="CT72" s="814">
        <v>0</v>
      </c>
      <c r="CU72" s="487"/>
      <c r="CV72" s="487"/>
      <c r="CW72" s="794"/>
      <c r="CX72" s="814">
        <v>0</v>
      </c>
      <c r="CY72" s="487"/>
      <c r="CZ72" s="487"/>
      <c r="DA72" s="794"/>
      <c r="DB72" s="814">
        <v>0</v>
      </c>
      <c r="DC72" s="487"/>
      <c r="DD72" s="487"/>
      <c r="DE72" s="794"/>
      <c r="DF72" s="814">
        <v>0</v>
      </c>
      <c r="DG72" s="487"/>
      <c r="DH72" s="487"/>
      <c r="DI72" s="794"/>
      <c r="DJ72" s="814">
        <v>0</v>
      </c>
      <c r="DK72" s="487"/>
      <c r="DL72" s="487"/>
      <c r="DM72" s="794"/>
      <c r="DN72" s="814">
        <v>0</v>
      </c>
      <c r="DO72" s="487"/>
      <c r="DP72" s="487"/>
      <c r="DQ72" s="794"/>
      <c r="DR72" s="794"/>
      <c r="DS72" s="794"/>
      <c r="DT72" s="794"/>
      <c r="DU72" s="794"/>
      <c r="DV72" s="794"/>
      <c r="DW72" s="794"/>
      <c r="DX72" s="794"/>
      <c r="DY72" s="794"/>
      <c r="DZ72" s="794"/>
      <c r="EA72" s="794"/>
      <c r="EB72" s="794"/>
    </row>
    <row r="73" spans="1:132">
      <c r="A73" s="487" t="str">
        <f>$A$11</f>
        <v>2Q</v>
      </c>
      <c r="B73" s="487" t="str">
        <f>$B$11</f>
        <v>Jul</v>
      </c>
      <c r="C73" s="487"/>
      <c r="D73" s="859"/>
      <c r="E73" s="487"/>
      <c r="F73" s="859">
        <f>F22-F32-F42</f>
        <v>234.26700000000005</v>
      </c>
      <c r="G73" s="877">
        <f>F73/F22*100</f>
        <v>53.333530639796564</v>
      </c>
      <c r="H73" s="783"/>
      <c r="I73" s="487"/>
      <c r="J73" s="859">
        <f>J22-J32-J42</f>
        <v>263.55200000000002</v>
      </c>
      <c r="K73" s="877">
        <f>J73/J22*100</f>
        <v>52.655006932706797</v>
      </c>
      <c r="L73" s="783">
        <f>IF(F73&lt;0,"       NM",(J73/F73-1)*100)</f>
        <v>12.500693652968597</v>
      </c>
      <c r="M73" s="487"/>
      <c r="N73" s="859">
        <f>N22-N32-N42</f>
        <v>300.72500000000014</v>
      </c>
      <c r="O73" s="877">
        <f>N73/N22*100</f>
        <v>52.158039423135314</v>
      </c>
      <c r="P73" s="783">
        <f>IF(J73&lt;0,"       NM",(N73/J73-1)*100)</f>
        <v>14.104616925692138</v>
      </c>
      <c r="Q73" s="487"/>
      <c r="R73" s="859">
        <f>R22-R32-R42</f>
        <v>281.21800000000002</v>
      </c>
      <c r="S73" s="877">
        <f>R73/R22*100</f>
        <v>56.084767937201853</v>
      </c>
      <c r="T73" s="783">
        <f>IF(N73&lt;0,"       NM",(R73/N73-1)*100)</f>
        <v>-6.4866572449913118</v>
      </c>
      <c r="U73" s="487"/>
      <c r="V73" s="859">
        <f>V22-V32-V42</f>
        <v>277.57400000000007</v>
      </c>
      <c r="W73" s="877">
        <f>V73/V22*100</f>
        <v>52.486735268868458</v>
      </c>
      <c r="X73" s="783">
        <f>IF(R73&lt;0,"       NM",(V73/R73-1)*100)</f>
        <v>-1.2957918767646293</v>
      </c>
      <c r="Y73" s="487"/>
      <c r="Z73" s="859">
        <f>Z22-Z32-Z42</f>
        <v>333.61099999999999</v>
      </c>
      <c r="AA73" s="877">
        <f>Z73/Z22*100</f>
        <v>55.442252051179352</v>
      </c>
      <c r="AB73" s="783">
        <f>IF(V73&lt;0,"       NM",(Z73/V73-1)*100)</f>
        <v>20.188130012176899</v>
      </c>
      <c r="AC73" s="487"/>
      <c r="AD73" s="859">
        <f>AD22-AD32-AD42</f>
        <v>706.36200000000008</v>
      </c>
      <c r="AE73" s="877">
        <f>AD73/AD22*100</f>
        <v>57.794778225971413</v>
      </c>
      <c r="AF73" s="783">
        <f>IF(Z73&lt;0,"       NM",(AD73/Z73-1)*100)</f>
        <v>111.73222705486334</v>
      </c>
      <c r="AG73" s="487"/>
      <c r="AH73" s="859">
        <f>AH22-AH32-AH42</f>
        <v>755.68499999999995</v>
      </c>
      <c r="AI73" s="877">
        <f>AH73/AH22*100</f>
        <v>57.1077814580797</v>
      </c>
      <c r="AJ73" s="783">
        <f>IF(AD73&lt;0,"       NM",(AH73/AD73-1)*100)</f>
        <v>6.9826802687573686</v>
      </c>
      <c r="AK73" s="487"/>
      <c r="AL73" s="859">
        <f>AL22-AL32-AL42</f>
        <v>813.71800000000019</v>
      </c>
      <c r="AM73" s="877">
        <f>AL73/AL22*100</f>
        <v>57.288673047109874</v>
      </c>
      <c r="AN73" s="783">
        <f>IF(AH73&lt;0,"       NM",(AL73/AH73-1)*100)</f>
        <v>7.6795225523862864</v>
      </c>
      <c r="AO73" s="487"/>
      <c r="AP73" s="859">
        <f>AP22-AP32-AP42</f>
        <v>924.28600000000006</v>
      </c>
      <c r="AQ73" s="877">
        <f>AP73/AP22*100</f>
        <v>58.305451260622945</v>
      </c>
      <c r="AR73" s="783">
        <f>IF(AL73&lt;0,"       NM",(AP73/AL73-1)*100)</f>
        <v>13.587999773877414</v>
      </c>
      <c r="AS73" s="487"/>
      <c r="AT73" s="859">
        <f>AT22-AT32-AT42</f>
        <v>1337.8240000000001</v>
      </c>
      <c r="AU73" s="877">
        <f>AT73/AT22*100</f>
        <v>78.589295176285233</v>
      </c>
      <c r="AV73" s="783">
        <f>IF(AP73&lt;0,"       NM",(AT73/AP73-1)*100)</f>
        <v>44.741346293246885</v>
      </c>
      <c r="AW73" s="487"/>
      <c r="AX73" s="859">
        <f>AX22-AX32-AX42</f>
        <v>1488.2619999999999</v>
      </c>
      <c r="AY73" s="877">
        <f>AX73/AX22*100</f>
        <v>78.5485226188365</v>
      </c>
      <c r="AZ73" s="783">
        <f>IF(AT73&lt;0,"       NM",(AX73/AT73-1)*100)</f>
        <v>11.244976917741045</v>
      </c>
      <c r="BA73" s="487"/>
      <c r="BB73" s="859">
        <f>BB22-BB32-BB42</f>
        <v>1609.2079999999999</v>
      </c>
      <c r="BC73" s="877">
        <f>BB73/BB22*100</f>
        <v>77.412812401382382</v>
      </c>
      <c r="BD73" s="783">
        <f>IF(AX73&lt;0,"       NM",(BB73/AX73-1)*100)</f>
        <v>8.1266604939184148</v>
      </c>
      <c r="BE73" s="487"/>
      <c r="BF73" s="859"/>
      <c r="BG73" s="877"/>
      <c r="BH73" s="783"/>
      <c r="BI73" s="487"/>
      <c r="BJ73" s="859"/>
      <c r="BK73" s="877"/>
      <c r="BL73" s="783"/>
      <c r="BM73" s="487"/>
      <c r="BN73" s="859"/>
      <c r="BO73" s="877"/>
      <c r="BP73" s="783"/>
      <c r="BQ73" s="487"/>
      <c r="BR73" s="831">
        <v>0</v>
      </c>
      <c r="BS73" s="877"/>
      <c r="BT73" s="783"/>
      <c r="BU73" s="487"/>
      <c r="BV73" s="831">
        <v>195.91800000000001</v>
      </c>
      <c r="BW73" s="756">
        <f>178*0.6</f>
        <v>106.8</v>
      </c>
      <c r="BX73" s="783"/>
      <c r="BY73" s="783"/>
      <c r="BZ73" s="859"/>
      <c r="CA73" s="877"/>
      <c r="CB73" s="783"/>
      <c r="CC73" s="783"/>
      <c r="CD73" s="859"/>
      <c r="CE73" s="877"/>
      <c r="CF73" s="783"/>
      <c r="CG73" s="783"/>
      <c r="CH73" s="831">
        <v>-11.55</v>
      </c>
      <c r="CI73" s="877"/>
      <c r="CJ73" s="783"/>
      <c r="CK73" s="783"/>
      <c r="CL73" s="831">
        <v>0</v>
      </c>
      <c r="CM73" s="877"/>
      <c r="CN73" s="783"/>
      <c r="CO73" s="783"/>
      <c r="CP73" s="831">
        <v>0</v>
      </c>
      <c r="CQ73" s="877"/>
      <c r="CR73" s="783"/>
      <c r="CS73" s="783"/>
      <c r="CT73" s="831">
        <v>0</v>
      </c>
      <c r="CU73" s="877"/>
      <c r="CV73" s="783"/>
      <c r="CX73" s="831">
        <v>16.829999999999998</v>
      </c>
      <c r="CY73" s="877"/>
      <c r="CZ73" s="783"/>
      <c r="DB73" s="831">
        <v>0</v>
      </c>
      <c r="DC73" s="877"/>
      <c r="DD73" s="783"/>
      <c r="DF73" s="831">
        <v>0</v>
      </c>
      <c r="DG73" s="877"/>
      <c r="DH73" s="783"/>
      <c r="DJ73" s="831">
        <v>0</v>
      </c>
      <c r="DK73" s="877"/>
      <c r="DL73" s="783"/>
      <c r="DN73" s="831">
        <v>0</v>
      </c>
      <c r="DO73" s="877"/>
      <c r="DP73" s="783"/>
      <c r="DQ73" s="883"/>
      <c r="DR73" s="883"/>
      <c r="DS73" s="794"/>
      <c r="DT73" s="794"/>
      <c r="DU73" s="794" t="s">
        <v>703</v>
      </c>
      <c r="DV73" s="794"/>
      <c r="DW73" s="794"/>
      <c r="DX73" s="794"/>
      <c r="DY73" s="794"/>
      <c r="DZ73" s="794"/>
      <c r="EA73" s="794"/>
      <c r="EB73" s="794"/>
    </row>
    <row r="74" spans="1:132">
      <c r="A74" s="487" t="str">
        <f>$A$12</f>
        <v>3Q</v>
      </c>
      <c r="B74" s="487" t="str">
        <f>$B$12</f>
        <v>Oct</v>
      </c>
      <c r="C74" s="487"/>
      <c r="D74" s="864"/>
      <c r="E74" s="487"/>
      <c r="F74" s="864">
        <f>F23-F33-F43</f>
        <v>268.637</v>
      </c>
      <c r="G74" s="877">
        <f>F74/F23*100</f>
        <v>55.724684128534953</v>
      </c>
      <c r="H74" s="783"/>
      <c r="I74" s="487"/>
      <c r="J74" s="864">
        <f>J23-J33-J43</f>
        <v>281.44299999999998</v>
      </c>
      <c r="K74" s="877">
        <f>J74/J23*100</f>
        <v>53.34815631995663</v>
      </c>
      <c r="L74" s="783">
        <f>IF(F74&lt;0,"       NM",(J74/F74-1)*100)</f>
        <v>4.7670276246384535</v>
      </c>
      <c r="M74" s="487"/>
      <c r="N74" s="864">
        <f>N23-N33-N43</f>
        <v>316.3119999999999</v>
      </c>
      <c r="O74" s="877">
        <f>N74/N23*100</f>
        <v>51.457612119003606</v>
      </c>
      <c r="P74" s="783">
        <f>IF(J74&lt;0,"       NM",(N74/J74-1)*100)</f>
        <v>12.38936480921533</v>
      </c>
      <c r="Q74" s="487"/>
      <c r="R74" s="864">
        <f>R23-R33-R43</f>
        <v>319.01499999999999</v>
      </c>
      <c r="S74" s="877">
        <f>R74/R23*100</f>
        <v>57.290142069280094</v>
      </c>
      <c r="T74" s="783">
        <f>IF(N74&lt;0,"       NM",(R74/N74-1)*100)</f>
        <v>0.8545360277194991</v>
      </c>
      <c r="U74" s="487"/>
      <c r="V74" s="864">
        <f>V23-V33-V43</f>
        <v>347.84399999999994</v>
      </c>
      <c r="W74" s="877">
        <f>V74/V23*100</f>
        <v>57.02341959534558</v>
      </c>
      <c r="X74" s="783">
        <f>IF(R74&lt;0,"       NM",(V74/R74-1)*100)</f>
        <v>9.0368791436139304</v>
      </c>
      <c r="Y74" s="487"/>
      <c r="Z74" s="864">
        <f>Z23-Z33-Z43</f>
        <v>370.33000000000004</v>
      </c>
      <c r="AA74" s="877">
        <f>Z74/Z23*100</f>
        <v>55.973386455628471</v>
      </c>
      <c r="AB74" s="783">
        <f>IF(V74&lt;0,"       NM",(Z74/V74-1)*100)</f>
        <v>6.4643920838077129</v>
      </c>
      <c r="AC74" s="487"/>
      <c r="AD74" s="864">
        <f>AD23-AD33-AD43</f>
        <v>771.43500000000006</v>
      </c>
      <c r="AE74" s="877">
        <f>AD74/AD23*100</f>
        <v>59.101519914255363</v>
      </c>
      <c r="AF74" s="783">
        <f>IF(Z74&lt;0,"       NM",(AD74/Z74-1)*100)</f>
        <v>108.31015580698295</v>
      </c>
      <c r="AG74" s="487"/>
      <c r="AH74" s="864">
        <f>AH23-AH33-AH43</f>
        <v>839.92600000000016</v>
      </c>
      <c r="AI74" s="877">
        <f>AH74/AH23*100</f>
        <v>59.386595547309838</v>
      </c>
      <c r="AJ74" s="783">
        <f>IF(AD74&lt;0,"       NM",(AH74/AD74-1)*100)</f>
        <v>8.8783889763881731</v>
      </c>
      <c r="AK74" s="487"/>
      <c r="AL74" s="864">
        <f>AL23-AL33-AL43</f>
        <v>821.21800000000007</v>
      </c>
      <c r="AM74" s="877">
        <f>AL74/AL23*100</f>
        <v>56.006901819570622</v>
      </c>
      <c r="AN74" s="783">
        <f>IF(AH74&lt;0,"       NM",(AL74/AH74-1)*100)</f>
        <v>-2.2273390751090028</v>
      </c>
      <c r="AO74" s="725"/>
      <c r="AP74" s="864">
        <f>AP23-AP33-AP43</f>
        <v>969.63200000000006</v>
      </c>
      <c r="AQ74" s="877">
        <f>AP74/AP23*100</f>
        <v>58.898722566772165</v>
      </c>
      <c r="AR74" s="783">
        <f>IF(AL74&lt;0,"       NM",(AP74/AL74-1)*100)</f>
        <v>18.072424130985929</v>
      </c>
      <c r="AS74" s="487"/>
      <c r="AT74" s="864">
        <f>AT23-AT33-AT43</f>
        <v>1422.0820000000001</v>
      </c>
      <c r="AU74" s="877">
        <f>AT74/AT23*100</f>
        <v>78.665942376924221</v>
      </c>
      <c r="AV74" s="783">
        <f>IF(AP74&lt;0,"       NM",(AT74/AP74-1)*100)</f>
        <v>46.662032606184624</v>
      </c>
      <c r="AW74" s="487"/>
      <c r="AX74" s="864">
        <f>AX23-AX33-AX43</f>
        <v>1628.2750000000001</v>
      </c>
      <c r="AY74" s="877">
        <f>AX74/AX23*100</f>
        <v>79.042629208988757</v>
      </c>
      <c r="AZ74" s="783">
        <f>IF(AT74&lt;0,"       NM",(AX74/AT74-1)*100)</f>
        <v>14.499374860240133</v>
      </c>
      <c r="BA74" s="487"/>
      <c r="BB74" s="864">
        <f>BB23-BB33-BB43</f>
        <v>1781.7950000000001</v>
      </c>
      <c r="BC74" s="877">
        <f>BB74/BB23*100</f>
        <v>77.803021305284929</v>
      </c>
      <c r="BD74" s="783">
        <f>IF(AX74&lt;0,"       NM",(BB74/AX74-1)*100)</f>
        <v>9.428382797746071</v>
      </c>
      <c r="BE74" s="487"/>
      <c r="BF74" s="864"/>
      <c r="BG74" s="877"/>
      <c r="BH74" s="783"/>
      <c r="BI74" s="487"/>
      <c r="BJ74" s="864"/>
      <c r="BK74" s="877"/>
      <c r="BL74" s="783"/>
      <c r="BM74" s="487"/>
      <c r="BN74" s="864"/>
      <c r="BO74" s="877"/>
      <c r="BP74" s="783"/>
      <c r="BQ74" s="487"/>
      <c r="BR74" s="831">
        <v>0</v>
      </c>
      <c r="BS74" s="877"/>
      <c r="BT74" s="783"/>
      <c r="BU74" s="487"/>
      <c r="BV74" s="831">
        <v>0</v>
      </c>
      <c r="BW74" s="877"/>
      <c r="BX74" s="783"/>
      <c r="BY74" s="783"/>
      <c r="BZ74" s="864">
        <v>-7</v>
      </c>
      <c r="CA74" s="877"/>
      <c r="CB74" s="783"/>
      <c r="CC74" s="783"/>
      <c r="CD74" s="864"/>
      <c r="CE74" s="877"/>
      <c r="CF74" s="783"/>
      <c r="CG74" s="783"/>
      <c r="CH74" s="831">
        <v>0</v>
      </c>
      <c r="CI74" s="877"/>
      <c r="CJ74" s="783"/>
      <c r="CK74" s="783"/>
      <c r="CL74" s="831">
        <v>0</v>
      </c>
      <c r="CM74" s="877"/>
      <c r="CN74" s="783"/>
      <c r="CO74" s="783"/>
      <c r="CP74" s="831">
        <v>0</v>
      </c>
      <c r="CQ74" s="877"/>
      <c r="CR74" s="783"/>
      <c r="CS74" s="783"/>
      <c r="CT74" s="831">
        <v>0</v>
      </c>
      <c r="CU74" s="877"/>
      <c r="CV74" s="783"/>
      <c r="CW74" s="943"/>
      <c r="CX74" s="831">
        <v>0</v>
      </c>
      <c r="CY74" s="877"/>
      <c r="CZ74" s="783"/>
      <c r="DA74" s="943"/>
      <c r="DB74" s="831">
        <v>0</v>
      </c>
      <c r="DC74" s="877"/>
      <c r="DD74" s="783"/>
      <c r="DE74" s="943"/>
      <c r="DF74" s="831">
        <f>51.773+31.173-51.773-31.173</f>
        <v>0</v>
      </c>
      <c r="DG74" s="877"/>
      <c r="DH74" s="783"/>
      <c r="DI74" s="943"/>
      <c r="DJ74" s="831">
        <f>51.773+31.173-51.773-31.173</f>
        <v>0</v>
      </c>
      <c r="DK74" s="877"/>
      <c r="DL74" s="783"/>
      <c r="DM74" s="943"/>
      <c r="DN74" s="831">
        <f>51.773+31.173-51.773-31.173</f>
        <v>0</v>
      </c>
      <c r="DO74" s="877"/>
      <c r="DP74" s="783"/>
      <c r="DQ74" s="883"/>
      <c r="DR74" s="883"/>
      <c r="DS74" s="794"/>
      <c r="DT74" s="794"/>
      <c r="DU74" s="931">
        <v>1997</v>
      </c>
      <c r="DV74" s="932">
        <v>1998</v>
      </c>
      <c r="DW74" s="932">
        <v>1999</v>
      </c>
      <c r="DX74" s="932">
        <v>2000</v>
      </c>
      <c r="DY74" s="932">
        <v>2001</v>
      </c>
      <c r="DZ74" s="932">
        <v>2002</v>
      </c>
      <c r="EA74" s="932">
        <v>2003</v>
      </c>
      <c r="EB74" s="933">
        <v>2004</v>
      </c>
    </row>
    <row r="75" spans="1:132">
      <c r="A75" s="487" t="str">
        <f>$A$13</f>
        <v>4Q</v>
      </c>
      <c r="B75" s="487" t="str">
        <f>$B$13</f>
        <v>Jan</v>
      </c>
      <c r="C75" s="487"/>
      <c r="D75" s="864"/>
      <c r="E75" s="487"/>
      <c r="F75" s="864">
        <f>F24-F34-F44</f>
        <v>322.80799999999999</v>
      </c>
      <c r="G75" s="877">
        <f>F75/F24*100</f>
        <v>57.313708431724166</v>
      </c>
      <c r="H75" s="783"/>
      <c r="I75" s="487"/>
      <c r="J75" s="864">
        <f>J24-J34-J44</f>
        <v>356.48999999999978</v>
      </c>
      <c r="K75" s="877">
        <f>J75/J24*100</f>
        <v>56.513950538998095</v>
      </c>
      <c r="L75" s="783">
        <f>IF(F75&lt;0,"       NM",(J75/F75-1)*100)</f>
        <v>10.434066070233627</v>
      </c>
      <c r="M75" s="487"/>
      <c r="N75" s="864">
        <f>N24-N34-N44</f>
        <v>415.15199999999993</v>
      </c>
      <c r="O75" s="877">
        <f>N75/N24*100</f>
        <v>53.998876194043824</v>
      </c>
      <c r="P75" s="783">
        <f>IF(J75&lt;0,"       NM",(N75/J75-1)*100)</f>
        <v>16.45544054531689</v>
      </c>
      <c r="Q75" s="487"/>
      <c r="R75" s="864">
        <f>R24-R34-R44</f>
        <v>383.8669999999999</v>
      </c>
      <c r="S75" s="877">
        <f>R75/R24*100</f>
        <v>58.871243549141539</v>
      </c>
      <c r="T75" s="783">
        <f>IF(N75&lt;0,"       NM",(R75/N75-1)*100)</f>
        <v>-7.5357941187806032</v>
      </c>
      <c r="U75" s="487"/>
      <c r="V75" s="864">
        <f>V24-V34-V44</f>
        <v>439.81600000000003</v>
      </c>
      <c r="W75" s="877">
        <f>V75/V24*100</f>
        <v>60.165689021187184</v>
      </c>
      <c r="X75" s="783">
        <f>IF(R75&lt;0,"       NM",(V75/R75-1)*100)</f>
        <v>14.575100230027616</v>
      </c>
      <c r="Y75" s="487"/>
      <c r="Z75" s="864">
        <f>Z24-Z34-Z44</f>
        <v>720.00899999999979</v>
      </c>
      <c r="AA75" s="877">
        <f>Z75/Z24*100</f>
        <v>54.769404671619668</v>
      </c>
      <c r="AB75" s="783">
        <f>IF(V75&lt;0,"       NM",(Z75/V75-1)*100)</f>
        <v>63.706868326754758</v>
      </c>
      <c r="AC75" s="487"/>
      <c r="AD75" s="864">
        <f>AD24-AD34-AD44</f>
        <v>881.65499999999997</v>
      </c>
      <c r="AE75" s="877">
        <f>AD75/AD24*100</f>
        <v>58.622120358014129</v>
      </c>
      <c r="AF75" s="783">
        <f>IF(Z75&lt;0,"       NM",(AD75/Z75-1)*100)</f>
        <v>22.450552701424598</v>
      </c>
      <c r="AG75" s="487"/>
      <c r="AH75" s="864">
        <f>AH24-AH34-AH44</f>
        <v>1054.277</v>
      </c>
      <c r="AI75" s="877">
        <f>AH75/AH24*100</f>
        <v>60.718874634645012</v>
      </c>
      <c r="AJ75" s="783">
        <f>IF(AD75&lt;0,"       NM",(AH75/AD75-1)*100)</f>
        <v>19.579313903964703</v>
      </c>
      <c r="AK75" s="487"/>
      <c r="AL75" s="864">
        <f>AL24-AL34-AL44</f>
        <v>1033.4100000000001</v>
      </c>
      <c r="AM75" s="877">
        <f>AL75/AL24*100</f>
        <v>58.917667717603869</v>
      </c>
      <c r="AN75" s="783">
        <f>IF(AH75&lt;0,"       NM",(AL75/AH75-1)*100)</f>
        <v>-1.9792711023763121</v>
      </c>
      <c r="AO75" s="725"/>
      <c r="AP75" s="864">
        <f>AP24-AP34-AP44</f>
        <v>1178.7119999999998</v>
      </c>
      <c r="AQ75" s="877">
        <f>AP75/AP24*100</f>
        <v>61.101970359081214</v>
      </c>
      <c r="AR75" s="783">
        <f>IF(AL75&lt;0,"       NM",(AP75/AL75-1)*100)</f>
        <v>14.060440676982001</v>
      </c>
      <c r="AS75" s="487"/>
      <c r="AT75" s="864">
        <f>AT24-AT34-AT44</f>
        <v>1709.0989999999999</v>
      </c>
      <c r="AU75" s="877">
        <f>AT75/AT24*100</f>
        <v>80.464615039843906</v>
      </c>
      <c r="AV75" s="783">
        <f>IF(AP75&lt;0,"       NM",(AT75/AP75-1)*100)</f>
        <v>44.997166398577448</v>
      </c>
      <c r="AW75" s="487"/>
      <c r="AX75" s="864">
        <f>AX24-AX34-AX44</f>
        <v>2013.6510000000003</v>
      </c>
      <c r="AY75" s="877">
        <f>AX75/AX24*100</f>
        <v>81.143058164752986</v>
      </c>
      <c r="AZ75" s="783">
        <f>IF(AT75&lt;0,"       NM",(AX75/AT75-1)*100)</f>
        <v>17.819447556870639</v>
      </c>
      <c r="BA75" s="487"/>
      <c r="BB75" s="864">
        <f>BB24-BB34-BB44</f>
        <v>2194.2309999999998</v>
      </c>
      <c r="BC75" s="877">
        <f>BB75/BB24*100</f>
        <v>80.614627332535591</v>
      </c>
      <c r="BD75" s="881">
        <f>IF(AX75&lt;0,"       NM",(BB75/AX75-1)*100)</f>
        <v>8.9677903469866251</v>
      </c>
      <c r="BE75" s="487"/>
      <c r="BF75" s="937"/>
      <c r="BG75" s="877"/>
      <c r="BH75" s="783"/>
      <c r="BI75" s="487"/>
      <c r="BJ75" s="937"/>
      <c r="BK75" s="877"/>
      <c r="BL75" s="783"/>
      <c r="BM75" s="487"/>
      <c r="BN75" s="938"/>
      <c r="BO75" s="877"/>
      <c r="BP75" s="783"/>
      <c r="BQ75" s="487"/>
      <c r="BR75" s="849">
        <v>4.96</v>
      </c>
      <c r="BS75" s="877"/>
      <c r="BT75" s="783"/>
      <c r="BU75" s="487"/>
      <c r="BV75" s="849">
        <v>-18.899999999999999</v>
      </c>
      <c r="BW75" s="877"/>
      <c r="BX75" s="783"/>
      <c r="BY75" s="783"/>
      <c r="BZ75" s="937">
        <v>-23.5</v>
      </c>
      <c r="CA75" s="877"/>
      <c r="CB75" s="783"/>
      <c r="CC75" s="783"/>
      <c r="CD75" s="937"/>
      <c r="CE75" s="877"/>
      <c r="CF75" s="783"/>
      <c r="CG75" s="783"/>
      <c r="CH75" s="849">
        <f>88.763</f>
        <v>88.763000000000005</v>
      </c>
      <c r="CI75" s="877"/>
      <c r="CJ75" s="783"/>
      <c r="CK75" s="783"/>
      <c r="CL75" s="849">
        <v>0</v>
      </c>
      <c r="CM75" s="877"/>
      <c r="CN75" s="783"/>
      <c r="CO75" s="783"/>
      <c r="CP75" s="849">
        <v>0</v>
      </c>
      <c r="CQ75" s="877"/>
      <c r="CR75" s="783"/>
      <c r="CS75" s="783"/>
      <c r="CT75" s="849">
        <v>0</v>
      </c>
      <c r="CU75" s="877"/>
      <c r="CV75" s="783"/>
      <c r="CW75" s="943"/>
      <c r="CX75" s="849">
        <v>0</v>
      </c>
      <c r="CY75" s="877"/>
      <c r="CZ75" s="783"/>
      <c r="DA75" s="943"/>
      <c r="DB75" s="849">
        <v>0</v>
      </c>
      <c r="DC75" s="877"/>
      <c r="DD75" s="783"/>
      <c r="DE75" s="943"/>
      <c r="DF75" s="849">
        <v>0</v>
      </c>
      <c r="DG75" s="877"/>
      <c r="DH75" s="783"/>
      <c r="DI75" s="943"/>
      <c r="DJ75" s="849">
        <v>99.25</v>
      </c>
      <c r="DK75" s="877"/>
      <c r="DL75" s="783"/>
      <c r="DM75" s="943"/>
      <c r="DN75" s="849">
        <v>0</v>
      </c>
      <c r="DO75" s="877"/>
      <c r="DP75" s="783"/>
      <c r="DQ75" s="883"/>
      <c r="DR75" s="883"/>
      <c r="DS75" s="858"/>
      <c r="DT75" s="794"/>
      <c r="DU75" s="934">
        <f>+AH75+AH76</f>
        <v>4359.308</v>
      </c>
      <c r="DV75" s="935">
        <f>+AL75+AL76</f>
        <v>4419.1190000000006</v>
      </c>
      <c r="DW75" s="935">
        <f>+AP75+AP76</f>
        <v>5048.7819999999992</v>
      </c>
      <c r="DX75" s="935">
        <f>+AT75+AT76</f>
        <v>7394.1869999999999</v>
      </c>
      <c r="DY75" s="935">
        <f>+AX75+AX76</f>
        <v>8450.1840000000011</v>
      </c>
      <c r="DZ75" s="935">
        <f>+BB75+BB76</f>
        <v>9335.2789999999986</v>
      </c>
      <c r="EA75" s="935"/>
      <c r="EB75" s="936"/>
    </row>
    <row r="76" spans="1:132">
      <c r="A76" s="487"/>
      <c r="B76" s="487" t="str">
        <f>$B$14</f>
        <v>Year</v>
      </c>
      <c r="C76" s="499"/>
      <c r="D76" s="937"/>
      <c r="E76" s="499"/>
      <c r="F76" s="937">
        <f>F25-F35-F45</f>
        <v>1032.3929999999998</v>
      </c>
      <c r="G76" s="877">
        <f>F76/F25*100</f>
        <v>55.044490688386027</v>
      </c>
      <c r="H76" s="783"/>
      <c r="I76" s="487"/>
      <c r="J76" s="937">
        <f>J25-J35-J45</f>
        <v>1134.261</v>
      </c>
      <c r="K76" s="877">
        <f>J76/J25*100</f>
        <v>53.564653574523447</v>
      </c>
      <c r="L76" s="783">
        <f>IF(F76&lt;0,"       NM",(J76/F76-1)*100)</f>
        <v>9.8671726755218394</v>
      </c>
      <c r="M76" s="487"/>
      <c r="N76" s="937">
        <f>N25-N35-N45</f>
        <v>1280.1569999999997</v>
      </c>
      <c r="O76" s="877">
        <f>N76/N25*100</f>
        <v>51.871584948550101</v>
      </c>
      <c r="P76" s="783">
        <f>IF(J76&lt;0,"       NM",(N76/J76-1)*100)</f>
        <v>12.862648014874868</v>
      </c>
      <c r="Q76" s="487"/>
      <c r="R76" s="937">
        <f>R25-R35-R45</f>
        <v>1233.3539999999998</v>
      </c>
      <c r="S76" s="877">
        <f>R76/R25*100</f>
        <v>56.960748544061467</v>
      </c>
      <c r="T76" s="783">
        <f>IF(N76&lt;0,"       NM",(R76/N76-1)*100)</f>
        <v>-3.6560359393418063</v>
      </c>
      <c r="U76" s="487"/>
      <c r="V76" s="937">
        <f>V25-V35-V45</f>
        <v>1335.817</v>
      </c>
      <c r="W76" s="877">
        <f>V76/V25*100</f>
        <v>56.346587421938096</v>
      </c>
      <c r="X76" s="783">
        <f>IF(R76&lt;0,"       NM",(V76/R76-1)*100)</f>
        <v>8.3076716011786012</v>
      </c>
      <c r="Y76" s="487"/>
      <c r="Z76" s="937">
        <f>Z25-Z35-Z45</f>
        <v>1733.5049999999994</v>
      </c>
      <c r="AA76" s="877">
        <f>Z76/Z25*100</f>
        <v>55.14996069363719</v>
      </c>
      <c r="AB76" s="783">
        <f>IF(V76&lt;0,"       NM",(Z76/V76-1)*100)</f>
        <v>29.771143801882992</v>
      </c>
      <c r="AC76" s="487"/>
      <c r="AD76" s="937">
        <f>AD25-AD35-AD45</f>
        <v>3024.509</v>
      </c>
      <c r="AE76" s="877">
        <f>AD76/AD25*100</f>
        <v>58.177250329548293</v>
      </c>
      <c r="AF76" s="783">
        <f>IF(Z76&lt;0,"       NM",(AD76/Z76-1)*100)</f>
        <v>74.473624246829459</v>
      </c>
      <c r="AG76" s="487"/>
      <c r="AH76" s="937">
        <f>AH25-AH35-AH45</f>
        <v>3305.0309999999999</v>
      </c>
      <c r="AI76" s="877">
        <f>AH76/AH25*100</f>
        <v>58.222621839602674</v>
      </c>
      <c r="AJ76" s="783">
        <f>IF(AD76&lt;0,"       NM",(AH76/AD76-1)*100)</f>
        <v>9.2749600017721932</v>
      </c>
      <c r="AK76" s="487"/>
      <c r="AL76" s="937">
        <f>AL25-AL35-AL45</f>
        <v>3385.7090000000003</v>
      </c>
      <c r="AM76" s="877">
        <f>AL76/AL25*100</f>
        <v>56.82927177250896</v>
      </c>
      <c r="AN76" s="783">
        <f>IF(AH76&lt;0,"       NM",(AL76/AH76-1)*100)</f>
        <v>2.441066362161215</v>
      </c>
      <c r="AO76" s="725"/>
      <c r="AP76" s="937">
        <f>AP25-AP35-AP45</f>
        <v>3870.0699999999997</v>
      </c>
      <c r="AQ76" s="877">
        <f>AP76/AP25*100</f>
        <v>58.821017114022553</v>
      </c>
      <c r="AR76" s="783">
        <f>IF(AL76&lt;0,"       NM",(AP76/AL76-1)*100)</f>
        <v>14.306043431375803</v>
      </c>
      <c r="AS76" s="487"/>
      <c r="AT76" s="937">
        <f>AT25-AT35-AT45</f>
        <v>5685.0879999999997</v>
      </c>
      <c r="AU76" s="877">
        <f>AT76/AT25*100</f>
        <v>79.090010133381114</v>
      </c>
      <c r="AV76" s="783">
        <f>IF(AP76&lt;0,"       NM",(AT76/AP76-1)*100)</f>
        <v>46.898841623019734</v>
      </c>
      <c r="AW76" s="487"/>
      <c r="AX76" s="937">
        <f>AX25-AX35-AX45</f>
        <v>6436.5330000000004</v>
      </c>
      <c r="AY76" s="877">
        <f>AX76/AX25*100</f>
        <v>79.239133405442033</v>
      </c>
      <c r="AZ76" s="783">
        <f>IF(AT76&lt;0,"       NM",(AX76/AT76-1)*100)</f>
        <v>13.217825300153674</v>
      </c>
      <c r="BA76" s="487"/>
      <c r="BB76" s="937">
        <f>BB25-BB35-BB45</f>
        <v>7141.0479999999998</v>
      </c>
      <c r="BC76" s="877">
        <f>BB76/BB25*100</f>
        <v>78.649549720311924</v>
      </c>
      <c r="BD76" s="783">
        <f>IF(AX76&lt;0,"       NM",(BB76/AX76-1)*100)</f>
        <v>10.945566502960503</v>
      </c>
      <c r="BE76" s="487"/>
      <c r="BF76" s="487"/>
      <c r="BG76" s="487"/>
      <c r="BH76" s="487"/>
      <c r="BI76" s="487"/>
      <c r="BJ76" s="487"/>
      <c r="BK76" s="487"/>
      <c r="BL76" s="487"/>
      <c r="BM76" s="487"/>
      <c r="BN76" s="487"/>
      <c r="BO76" s="877"/>
      <c r="BP76" s="783"/>
      <c r="BQ76" s="487"/>
      <c r="BR76" s="859">
        <f>SUM(BR72:BR75)</f>
        <v>4.96</v>
      </c>
      <c r="BS76" s="877"/>
      <c r="BT76" s="783"/>
      <c r="BU76" s="487"/>
      <c r="BV76" s="859">
        <f>SUM(BV72:BV75)</f>
        <v>197.02199999999999</v>
      </c>
      <c r="BW76" s="877"/>
      <c r="BX76" s="783"/>
      <c r="BY76" s="783"/>
      <c r="BZ76" s="864">
        <f>BZ75+BZ74</f>
        <v>-30.5</v>
      </c>
      <c r="CA76" s="877"/>
      <c r="CB76" s="783"/>
      <c r="CC76" s="783"/>
      <c r="CD76" s="487"/>
      <c r="CE76" s="877"/>
      <c r="CF76" s="783"/>
      <c r="CG76" s="783"/>
      <c r="CH76" s="859">
        <f>SUM(CH72:CH75)</f>
        <v>77.213000000000008</v>
      </c>
      <c r="CI76" s="877"/>
      <c r="CJ76" s="783"/>
      <c r="CK76" s="783"/>
      <c r="CL76" s="859">
        <f>SUM(CL72:CL75)</f>
        <v>42.569248999999999</v>
      </c>
      <c r="CM76" s="877"/>
      <c r="CN76" s="783"/>
      <c r="CO76" s="783"/>
      <c r="CP76" s="859">
        <f>SUM(CP72:CP75)</f>
        <v>0</v>
      </c>
      <c r="CQ76" s="877"/>
      <c r="CR76" s="783"/>
      <c r="CS76" s="783"/>
      <c r="CT76" s="859">
        <f>SUM(CT72:CT75)</f>
        <v>0</v>
      </c>
      <c r="CU76" s="877"/>
      <c r="CV76" s="783"/>
      <c r="CW76" s="883"/>
      <c r="CX76" s="859">
        <f>SUM(CX72:CX75)</f>
        <v>16.829999999999998</v>
      </c>
      <c r="CY76" s="877"/>
      <c r="CZ76" s="783"/>
      <c r="DA76" s="883"/>
      <c r="DB76" s="859">
        <f>SUM(DB72:DB75)</f>
        <v>0</v>
      </c>
      <c r="DC76" s="877"/>
      <c r="DD76" s="783"/>
      <c r="DE76" s="883"/>
      <c r="DF76" s="859">
        <f>SUM(DF72:DF75)</f>
        <v>0</v>
      </c>
      <c r="DG76" s="877"/>
      <c r="DH76" s="783"/>
      <c r="DI76" s="883"/>
      <c r="DJ76" s="859">
        <f>SUM(DJ72:DJ75)</f>
        <v>99.25</v>
      </c>
      <c r="DK76" s="877"/>
      <c r="DL76" s="783"/>
      <c r="DM76" s="883"/>
      <c r="DN76" s="859">
        <f>SUM(DN72:DN75)</f>
        <v>0</v>
      </c>
      <c r="DO76" s="877"/>
      <c r="DP76" s="783"/>
      <c r="DQ76" s="883"/>
      <c r="DR76" s="883"/>
      <c r="DS76" s="858"/>
      <c r="DT76" s="794"/>
      <c r="DU76" s="939">
        <f>+DU75/(AH24+AH25)</f>
        <v>0.58807322296126763</v>
      </c>
      <c r="DV76" s="940">
        <f>+DV75/(AL24+AL25)</f>
        <v>0.5730426917628143</v>
      </c>
      <c r="DW76" s="940">
        <f>+DW75/(AP24+AP25)</f>
        <v>0.59338166936789016</v>
      </c>
      <c r="DX76" s="940">
        <f>+DX75/(AT24+AT25)</f>
        <v>0.79403547747558512</v>
      </c>
      <c r="DY76" s="940">
        <f>+DY75/(AX24+AX25)</f>
        <v>0.79684678092226269</v>
      </c>
      <c r="DZ76" s="940">
        <f>+DZ75/(BB24+BB25)</f>
        <v>0.79102773420499961</v>
      </c>
      <c r="EA76" s="940"/>
      <c r="EB76" s="941"/>
    </row>
    <row r="77" spans="1:132">
      <c r="A77" s="487"/>
      <c r="B77" s="487"/>
      <c r="C77" s="487"/>
      <c r="D77" s="859"/>
      <c r="E77" s="487"/>
      <c r="F77" s="859">
        <f>SUM(F73:F76)</f>
        <v>1858.1049999999998</v>
      </c>
      <c r="G77" s="877">
        <f>F77/F26*100</f>
        <v>223.80012333604736</v>
      </c>
      <c r="H77" s="783"/>
      <c r="I77" s="487"/>
      <c r="J77" s="859">
        <f>SUM(J73:J76)</f>
        <v>2035.7459999999996</v>
      </c>
      <c r="K77" s="877">
        <f>J77/J26*100</f>
        <v>212.23462149550244</v>
      </c>
      <c r="L77" s="783">
        <f>IF(F77&lt;0,"       NM",(J77/F77-1)*100)</f>
        <v>9.5603316281910757</v>
      </c>
      <c r="M77" s="487"/>
      <c r="N77" s="859">
        <f>SUM(N73:N76)</f>
        <v>2312.3459999999995</v>
      </c>
      <c r="O77" s="877">
        <f>N77/N26*100</f>
        <v>213.23441671315865</v>
      </c>
      <c r="P77" s="783">
        <f>IF(J77&lt;0,"       NM",(N77/J77-1)*100)</f>
        <v>13.587156747452767</v>
      </c>
      <c r="Q77" s="487"/>
      <c r="R77" s="859">
        <f>SUM(R73:R76)</f>
        <v>2217.4539999999997</v>
      </c>
      <c r="S77" s="877">
        <f>R77/R26*100</f>
        <v>231.85812393348274</v>
      </c>
      <c r="T77" s="783">
        <f>IF(N77&lt;0,"       NM",(R77/N77-1)*100)</f>
        <v>-4.1037111228163887</v>
      </c>
      <c r="U77" s="487"/>
      <c r="V77" s="859">
        <f>SUM(V73:V76)</f>
        <v>2401.0509999999999</v>
      </c>
      <c r="W77" s="877">
        <f>V77/V26*100</f>
        <v>233.17853171539423</v>
      </c>
      <c r="X77" s="783">
        <f>IF(R77&lt;0,"       NM",(V77/R77-1)*100)</f>
        <v>8.2796306033857014</v>
      </c>
      <c r="Y77" s="487"/>
      <c r="Z77" s="859">
        <f>SUM(Z73:Z76)</f>
        <v>3157.454999999999</v>
      </c>
      <c r="AA77" s="877">
        <f>Z77/Z26*100</f>
        <v>270.55705986187036</v>
      </c>
      <c r="AB77" s="783">
        <f>IF(V77&lt;0,"       NM",(Z77/V77-1)*100)</f>
        <v>31.503037628105311</v>
      </c>
      <c r="AC77" s="487"/>
      <c r="AD77" s="859">
        <f>SUM(AD73:AD76)</f>
        <v>5383.9610000000002</v>
      </c>
      <c r="AE77" s="877">
        <f>AD77/AD26*100</f>
        <v>225.31285192310349</v>
      </c>
      <c r="AF77" s="783">
        <f>IF(Z77&lt;0,"       NM",(AD77/Z77-1)*100)</f>
        <v>70.515842664424412</v>
      </c>
      <c r="AG77" s="487"/>
      <c r="AH77" s="859">
        <f>SUM(AH73:AH76)</f>
        <v>5954.9189999999999</v>
      </c>
      <c r="AI77" s="877">
        <f>AH77/AH26*100</f>
        <v>235.75621169651762</v>
      </c>
      <c r="AJ77" s="783">
        <f>IF(AD77&lt;0,"       NM",(AH77/AD77-1)*100)</f>
        <v>10.604794499811554</v>
      </c>
      <c r="AK77" s="487"/>
      <c r="AL77" s="859">
        <f>SUM(AL73:AL76)</f>
        <v>6054.0550000000003</v>
      </c>
      <c r="AM77" s="877">
        <f>AL77/AL26*100</f>
        <v>221.15956111879274</v>
      </c>
      <c r="AN77" s="783">
        <f>IF(AH77&lt;0,"       NM",(AL77/AH77-1)*100)</f>
        <v>1.6647749532781253</v>
      </c>
      <c r="AO77" s="487"/>
      <c r="AP77" s="859">
        <f>SUM(AP73:AP76)</f>
        <v>6942.7</v>
      </c>
      <c r="AQ77" s="877">
        <f>AP77/AP26*100</f>
        <v>231.11210236880999</v>
      </c>
      <c r="AR77" s="783">
        <f>IF(AL77&lt;0,"       NM",(AP77/AL77-1)*100)</f>
        <v>14.678508867197259</v>
      </c>
      <c r="AS77" s="487"/>
      <c r="AT77" s="859">
        <f>SUM(AT73:AT76)</f>
        <v>10154.093000000001</v>
      </c>
      <c r="AU77" s="877">
        <f>AT77/AT26*100</f>
        <v>311.82552302617239</v>
      </c>
      <c r="AV77" s="783">
        <f>IF(AP77&lt;0,"       NM",(AT77/AP77-1)*100)</f>
        <v>46.255678626470974</v>
      </c>
      <c r="AW77" s="487"/>
      <c r="AX77" s="859">
        <f>SUM(AX73:AX76)</f>
        <v>11566.721000000001</v>
      </c>
      <c r="AY77" s="877">
        <f>AX77/AX26*100</f>
        <v>322.97368009560728</v>
      </c>
      <c r="AZ77" s="783">
        <f>IF(AT77&lt;0,"       NM",(AX77/AT77-1)*100)</f>
        <v>13.911907247648813</v>
      </c>
      <c r="BA77" s="487"/>
      <c r="BB77" s="859">
        <f>SUM(BB73:BB76)</f>
        <v>12726.281999999999</v>
      </c>
      <c r="BC77" s="877">
        <f>BB77/BB26*100</f>
        <v>312.87216974475643</v>
      </c>
      <c r="BD77" s="783">
        <f>IF(AX77&lt;0,"       NM",(BB77/AX77-1)*100)</f>
        <v>10.024975963369375</v>
      </c>
      <c r="BE77" s="487"/>
      <c r="BF77" s="859"/>
      <c r="BG77" s="877"/>
      <c r="BH77" s="783"/>
      <c r="BI77" s="487"/>
      <c r="BJ77" s="859"/>
      <c r="BK77" s="877"/>
      <c r="BL77" s="783"/>
      <c r="BM77" s="487"/>
      <c r="BN77" s="859"/>
      <c r="BO77" s="877"/>
      <c r="BP77" s="783"/>
      <c r="BQ77" s="487"/>
      <c r="BR77" s="859"/>
      <c r="BS77" s="877"/>
      <c r="BT77" s="783"/>
      <c r="BU77" s="487"/>
      <c r="BV77" s="859"/>
      <c r="BW77" s="877"/>
      <c r="BX77" s="783"/>
      <c r="BY77" s="783"/>
      <c r="BZ77" s="859"/>
      <c r="CA77" s="877"/>
      <c r="CB77" s="783"/>
      <c r="CC77" s="783"/>
      <c r="CD77" s="859"/>
      <c r="CE77" s="877"/>
      <c r="CF77" s="783"/>
      <c r="CG77" s="783"/>
      <c r="CH77" s="859"/>
      <c r="CI77" s="877"/>
      <c r="CJ77" s="783"/>
      <c r="CK77" s="783"/>
      <c r="CL77" s="859"/>
      <c r="CM77" s="877"/>
      <c r="CN77" s="783"/>
      <c r="CO77" s="783"/>
      <c r="CP77" s="859"/>
      <c r="CQ77" s="877"/>
      <c r="CR77" s="783"/>
      <c r="CS77" s="783"/>
      <c r="CT77" s="859"/>
      <c r="CU77" s="877"/>
      <c r="CV77" s="783"/>
      <c r="CW77" s="883"/>
      <c r="CX77" s="859"/>
      <c r="CY77" s="877"/>
      <c r="CZ77" s="783"/>
      <c r="DA77" s="883"/>
      <c r="DB77" s="859"/>
      <c r="DC77" s="877"/>
      <c r="DD77" s="783"/>
      <c r="DE77" s="883"/>
      <c r="DF77" s="859"/>
      <c r="DG77" s="877"/>
      <c r="DH77" s="783"/>
      <c r="DI77" s="883"/>
      <c r="DJ77" s="859"/>
      <c r="DK77" s="877"/>
      <c r="DL77" s="783"/>
      <c r="DM77" s="883"/>
      <c r="DN77" s="859"/>
      <c r="DO77" s="877"/>
      <c r="DP77" s="783"/>
      <c r="DQ77" s="883"/>
      <c r="DR77" s="883"/>
      <c r="DS77" s="794"/>
      <c r="DT77" s="794"/>
      <c r="DU77" s="794"/>
      <c r="DV77" s="794"/>
      <c r="DW77" s="794"/>
      <c r="DX77" s="794"/>
      <c r="DY77" s="794"/>
      <c r="DZ77" s="794"/>
      <c r="EA77" s="794"/>
      <c r="EB77" s="794"/>
    </row>
    <row r="78" spans="1:132">
      <c r="A78" s="487"/>
      <c r="B78" s="487"/>
      <c r="C78" s="487"/>
      <c r="D78" s="487"/>
      <c r="E78" s="487"/>
      <c r="F78" s="487"/>
      <c r="G78" s="487"/>
      <c r="H78" s="487"/>
      <c r="I78" s="487"/>
      <c r="J78" s="487"/>
      <c r="K78" s="487"/>
      <c r="L78" s="487"/>
      <c r="M78" s="487"/>
      <c r="N78" s="487"/>
      <c r="O78" s="487"/>
      <c r="P78" s="487"/>
      <c r="Q78" s="487"/>
      <c r="R78" s="487"/>
      <c r="S78" s="487"/>
      <c r="T78" s="487"/>
      <c r="U78" s="487"/>
      <c r="V78" s="487"/>
      <c r="W78" s="487"/>
      <c r="X78" s="487"/>
      <c r="Y78" s="487"/>
      <c r="Z78" s="487"/>
      <c r="AA78" s="487"/>
      <c r="AB78" s="487"/>
      <c r="AC78" s="487"/>
      <c r="AD78" s="487"/>
      <c r="AE78" s="487"/>
      <c r="AF78" s="487"/>
      <c r="AG78" s="487"/>
      <c r="AH78" s="487"/>
      <c r="AI78" s="487"/>
      <c r="AJ78" s="487"/>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487"/>
      <c r="BJ78" s="487"/>
      <c r="BK78" s="880"/>
      <c r="BL78" s="487"/>
      <c r="BM78" s="487"/>
      <c r="BN78" s="859"/>
      <c r="BO78" s="487"/>
      <c r="BP78" s="487"/>
      <c r="BQ78" s="487"/>
      <c r="BR78" s="487"/>
      <c r="BS78" s="891"/>
      <c r="BT78" s="487"/>
      <c r="BU78" s="487"/>
      <c r="BV78" s="487"/>
      <c r="BW78" s="891"/>
      <c r="BX78" s="891"/>
      <c r="BY78" s="487"/>
      <c r="BZ78" s="487"/>
      <c r="CA78" s="891"/>
      <c r="CB78" s="487"/>
      <c r="CC78" s="487"/>
      <c r="CD78" s="487"/>
      <c r="CE78" s="891"/>
      <c r="CF78" s="487"/>
      <c r="CG78" s="487"/>
      <c r="CH78" s="487"/>
      <c r="CI78" s="891"/>
      <c r="CJ78" s="487"/>
      <c r="CK78" s="487"/>
      <c r="CL78" s="487"/>
      <c r="CM78" s="891"/>
      <c r="CN78" s="487"/>
      <c r="CO78" s="487"/>
      <c r="CP78" s="487"/>
      <c r="CQ78" s="891"/>
      <c r="CR78" s="487"/>
      <c r="CS78" s="487"/>
      <c r="CT78" s="487"/>
      <c r="CU78" s="891"/>
      <c r="CV78" s="487"/>
      <c r="CW78" s="794"/>
      <c r="CX78" s="487"/>
      <c r="CY78" s="891"/>
      <c r="CZ78" s="487"/>
      <c r="DA78" s="794"/>
      <c r="DB78" s="487"/>
      <c r="DC78" s="891"/>
      <c r="DD78" s="487"/>
      <c r="DE78" s="794"/>
      <c r="DF78" s="487"/>
      <c r="DG78" s="891"/>
      <c r="DH78" s="487"/>
      <c r="DI78" s="794"/>
      <c r="DJ78" s="487"/>
      <c r="DK78" s="891"/>
      <c r="DL78" s="487"/>
      <c r="DM78" s="794"/>
      <c r="DN78" s="487"/>
      <c r="DO78" s="891"/>
      <c r="DP78" s="487"/>
      <c r="DQ78" s="794"/>
      <c r="DR78" s="794"/>
      <c r="DS78" s="794"/>
      <c r="DT78" s="794"/>
      <c r="DU78" s="794"/>
      <c r="DV78" s="794"/>
      <c r="DW78" s="794"/>
      <c r="DX78" s="794"/>
      <c r="DY78" s="794"/>
      <c r="DZ78" s="794"/>
      <c r="EA78" s="794"/>
      <c r="EB78" s="794"/>
    </row>
    <row r="79" spans="1:132">
      <c r="A79" s="487"/>
      <c r="B79" s="487"/>
      <c r="C79" s="807"/>
      <c r="D79" s="808"/>
      <c r="E79" s="809"/>
      <c r="F79" s="809" t="str">
        <f>Z79</f>
        <v>5.  Net Interest (Income) / Expense   (% of Sales)</v>
      </c>
      <c r="G79" s="811"/>
      <c r="H79" s="811"/>
      <c r="I79" s="811"/>
      <c r="J79" s="810"/>
      <c r="K79" s="811"/>
      <c r="L79" s="811"/>
      <c r="M79" s="811"/>
      <c r="N79" s="810"/>
      <c r="O79" s="811"/>
      <c r="P79" s="811"/>
      <c r="Q79" s="811"/>
      <c r="R79" s="810"/>
      <c r="S79" s="811"/>
      <c r="T79" s="811"/>
      <c r="U79" s="811"/>
      <c r="V79" s="810"/>
      <c r="W79" s="811"/>
      <c r="X79" s="811"/>
      <c r="Y79" s="487"/>
      <c r="Z79" s="810" t="s">
        <v>162</v>
      </c>
      <c r="AA79" s="811"/>
      <c r="AB79" s="811"/>
      <c r="AC79" s="811"/>
      <c r="AD79" s="810"/>
      <c r="AE79" s="811"/>
      <c r="AF79" s="811"/>
      <c r="AG79" s="811"/>
      <c r="AH79" s="810"/>
      <c r="AI79" s="811"/>
      <c r="AJ79" s="811"/>
      <c r="AK79" s="811"/>
      <c r="AL79" s="810"/>
      <c r="AM79" s="811"/>
      <c r="AN79" s="811"/>
      <c r="AO79" s="702"/>
      <c r="AP79" s="702"/>
      <c r="AQ79" s="811"/>
      <c r="AR79" s="811"/>
      <c r="AS79" s="811"/>
      <c r="AT79" s="702"/>
      <c r="AU79" s="812"/>
      <c r="AV79" s="812"/>
      <c r="AW79" s="812"/>
      <c r="AX79" s="812"/>
      <c r="AY79" s="812"/>
      <c r="AZ79" s="812"/>
      <c r="BA79" s="812"/>
      <c r="BB79" s="812"/>
      <c r="BC79" s="812"/>
      <c r="BD79" s="812"/>
      <c r="BE79" s="812"/>
      <c r="BF79" s="702"/>
      <c r="BG79" s="810"/>
      <c r="BH79" s="810"/>
      <c r="BI79" s="810"/>
      <c r="BJ79" s="810" t="s">
        <v>162</v>
      </c>
      <c r="BK79" s="810"/>
      <c r="BL79" s="810"/>
      <c r="BM79" s="810"/>
      <c r="BN79" s="810" t="s">
        <v>162</v>
      </c>
      <c r="BO79" s="810"/>
      <c r="BP79" s="810"/>
      <c r="BQ79" s="810"/>
      <c r="BR79" s="810"/>
      <c r="BS79" s="810"/>
      <c r="BT79" s="810"/>
      <c r="BU79" s="810"/>
      <c r="BV79" s="810"/>
      <c r="BW79" s="810"/>
      <c r="BX79" s="810"/>
      <c r="BY79" s="810"/>
      <c r="BZ79" s="810"/>
      <c r="CA79" s="810"/>
      <c r="CC79" s="810"/>
      <c r="CD79" s="810"/>
      <c r="CE79" s="810"/>
      <c r="CF79" s="810" t="str">
        <f>BN79</f>
        <v>5.  Net Interest (Income) / Expense   (% of Sales)</v>
      </c>
      <c r="CG79" s="810"/>
      <c r="CH79" s="810"/>
      <c r="CI79" s="810"/>
      <c r="CJ79" s="810"/>
      <c r="CK79" s="810"/>
      <c r="CL79" s="810"/>
      <c r="CM79" s="810"/>
      <c r="CN79" s="810"/>
      <c r="CO79" s="810"/>
      <c r="CP79" s="810"/>
      <c r="CQ79" s="810"/>
      <c r="CR79" s="810"/>
      <c r="CS79" s="810"/>
      <c r="CT79" s="810"/>
      <c r="CU79" s="810"/>
      <c r="CV79" s="810"/>
      <c r="CW79" s="794"/>
      <c r="CX79" s="810"/>
      <c r="CY79" s="810"/>
      <c r="CZ79" s="810"/>
      <c r="DA79" s="794"/>
      <c r="DB79" s="810" t="str">
        <f>CF79</f>
        <v>5.  Net Interest (Income) / Expense   (% of Sales)</v>
      </c>
      <c r="DC79" s="810"/>
      <c r="DD79" s="810"/>
      <c r="DE79" s="794"/>
      <c r="DF79" s="810"/>
      <c r="DG79" s="810"/>
      <c r="DH79" s="810"/>
      <c r="DI79" s="794"/>
      <c r="DJ79" s="810"/>
      <c r="DK79" s="810"/>
      <c r="DL79" s="810"/>
      <c r="DM79" s="794"/>
      <c r="DN79" s="810"/>
      <c r="DO79" s="810"/>
      <c r="DP79" s="810"/>
      <c r="DQ79" s="794"/>
      <c r="DR79" s="794"/>
      <c r="DS79" s="842"/>
      <c r="DT79" s="794"/>
      <c r="DU79" s="794"/>
      <c r="DV79" s="794"/>
      <c r="DW79" s="794"/>
      <c r="DX79" s="794"/>
      <c r="DY79" s="794"/>
      <c r="DZ79" s="794"/>
      <c r="EA79" s="794"/>
      <c r="EB79" s="794"/>
    </row>
    <row r="80" spans="1:132">
      <c r="A80" s="487"/>
      <c r="B80" s="487"/>
      <c r="C80" s="487"/>
      <c r="D80" s="487"/>
      <c r="E80" s="487"/>
      <c r="F80" s="487"/>
      <c r="G80" s="487"/>
      <c r="H80" s="487"/>
      <c r="I80" s="487"/>
      <c r="J80" s="487"/>
      <c r="K80" s="487"/>
      <c r="L80" s="487"/>
      <c r="M80" s="487"/>
      <c r="N80" s="487"/>
      <c r="O80" s="487"/>
      <c r="P80" s="487"/>
      <c r="Q80" s="487"/>
      <c r="R80" s="487"/>
      <c r="S80" s="487"/>
      <c r="T80" s="487"/>
      <c r="U80" s="487"/>
      <c r="V80" s="487"/>
      <c r="W80" s="487"/>
      <c r="X80" s="487"/>
      <c r="Y80" s="487"/>
      <c r="Z80" s="487"/>
      <c r="AA80" s="487"/>
      <c r="AB80" s="487"/>
      <c r="AC80" s="487"/>
      <c r="AD80" s="487"/>
      <c r="AE80" s="487"/>
      <c r="AF80" s="487"/>
      <c r="AG80" s="487"/>
      <c r="AH80" s="487"/>
      <c r="AI80" s="487"/>
      <c r="AJ80" s="487"/>
      <c r="AK80" s="487"/>
      <c r="AL80" s="487"/>
      <c r="AM80" s="487"/>
      <c r="AN80" s="487"/>
      <c r="AO80" s="487"/>
      <c r="AP80" s="487"/>
      <c r="AQ80" s="487"/>
      <c r="AR80" s="487"/>
      <c r="AS80" s="487"/>
      <c r="AT80" s="487"/>
      <c r="AU80" s="487"/>
      <c r="AV80" s="487"/>
      <c r="AW80" s="487"/>
      <c r="AX80" s="487"/>
      <c r="AY80" s="487"/>
      <c r="AZ80" s="487"/>
      <c r="BA80" s="487"/>
      <c r="BB80" s="487"/>
      <c r="BC80" s="487"/>
      <c r="BD80" s="487"/>
      <c r="BE80" s="487"/>
      <c r="BF80" s="487"/>
      <c r="BG80" s="487"/>
      <c r="BH80" s="487"/>
      <c r="BI80" s="487"/>
      <c r="BJ80" s="487"/>
      <c r="BK80" s="487"/>
      <c r="BL80" s="487"/>
      <c r="BM80" s="487"/>
      <c r="BN80" s="487"/>
      <c r="BO80" s="487"/>
      <c r="BP80" s="487"/>
      <c r="BQ80" s="487"/>
      <c r="BR80" s="487"/>
      <c r="BS80" s="487"/>
      <c r="BT80" s="487"/>
      <c r="BU80" s="487"/>
      <c r="BV80" s="487"/>
      <c r="BW80" s="487"/>
      <c r="BX80" s="487"/>
      <c r="BY80" s="487"/>
      <c r="BZ80" s="487"/>
      <c r="CA80" s="487"/>
      <c r="CB80" s="487"/>
      <c r="CC80" s="487"/>
      <c r="CD80" s="487"/>
      <c r="CE80" s="487"/>
      <c r="CF80" s="487"/>
      <c r="CG80" s="487"/>
      <c r="CH80" s="487"/>
      <c r="CI80" s="487"/>
      <c r="CJ80" s="487"/>
      <c r="CK80" s="487"/>
      <c r="CL80" s="487"/>
      <c r="CM80" s="487"/>
      <c r="CN80" s="487"/>
      <c r="CO80" s="487"/>
      <c r="CP80" s="487"/>
      <c r="CQ80" s="487"/>
      <c r="CR80" s="487"/>
      <c r="CS80" s="487"/>
      <c r="CT80" s="487"/>
      <c r="CU80" s="487"/>
      <c r="CV80" s="487"/>
      <c r="CW80" s="794"/>
      <c r="CX80" s="487"/>
      <c r="CY80" s="487"/>
      <c r="CZ80" s="487"/>
      <c r="DA80" s="794"/>
      <c r="DB80" s="487"/>
      <c r="DC80" s="487"/>
      <c r="DD80" s="487"/>
      <c r="DE80" s="794"/>
      <c r="DF80" s="487"/>
      <c r="DG80" s="487"/>
      <c r="DH80" s="487"/>
      <c r="DI80" s="794"/>
      <c r="DJ80" s="487"/>
      <c r="DK80" s="487"/>
      <c r="DL80" s="487"/>
      <c r="DM80" s="794"/>
      <c r="DN80" s="487"/>
      <c r="DO80" s="487"/>
      <c r="DP80" s="487"/>
      <c r="DQ80" s="794"/>
      <c r="DR80" s="794"/>
      <c r="DS80" s="842"/>
      <c r="DT80" s="794"/>
      <c r="DU80" s="794"/>
      <c r="DV80" s="794"/>
      <c r="DW80" s="794"/>
      <c r="DX80" s="794"/>
      <c r="DY80" s="794"/>
      <c r="DZ80" s="794"/>
      <c r="EA80" s="794"/>
      <c r="EB80" s="794"/>
    </row>
    <row r="81" spans="1:132">
      <c r="A81" s="487" t="str">
        <f>$A$10</f>
        <v>1Q</v>
      </c>
      <c r="B81" s="487" t="str">
        <f>$B$10</f>
        <v>Apr</v>
      </c>
      <c r="C81" s="487"/>
      <c r="D81" s="814"/>
      <c r="E81" s="487"/>
      <c r="F81" s="814">
        <v>5.99</v>
      </c>
      <c r="G81" s="877">
        <f t="shared" ref="G81:G87" si="223">F81/F31*100</f>
        <v>6.4994954481830707</v>
      </c>
      <c r="H81" s="735"/>
      <c r="I81" s="487"/>
      <c r="J81" s="814">
        <v>6.7919999999999998</v>
      </c>
      <c r="K81" s="877">
        <f t="shared" ref="K81:K87" si="224">J81/J31*100</f>
        <v>6.0134399320035055</v>
      </c>
      <c r="L81" s="735"/>
      <c r="M81" s="487"/>
      <c r="N81" s="814">
        <v>7.1070000000000002</v>
      </c>
      <c r="O81" s="877">
        <f t="shared" ref="O81:O87" si="225">N81/N31*100</f>
        <v>5.4694053455029588</v>
      </c>
      <c r="P81" s="735"/>
      <c r="Q81" s="487"/>
      <c r="R81" s="814">
        <v>3.911</v>
      </c>
      <c r="S81" s="877">
        <f t="shared" ref="S81:S87" si="226">R81/R31*100</f>
        <v>3.8023663921755451</v>
      </c>
      <c r="T81" s="735"/>
      <c r="U81" s="487"/>
      <c r="V81" s="814">
        <v>4.5810000000000004</v>
      </c>
      <c r="W81" s="877">
        <f t="shared" ref="W81:W87" si="227">V81/V31*100</f>
        <v>3.9787038162900177</v>
      </c>
      <c r="X81" s="735"/>
      <c r="Y81" s="487"/>
      <c r="Z81" s="814">
        <v>6.9390000000000001</v>
      </c>
      <c r="AA81" s="877">
        <f t="shared" ref="AA81:AA87" si="228">Z81/Z10*100</f>
        <v>0.97209516698210618</v>
      </c>
      <c r="AB81" s="735"/>
      <c r="AC81" s="487"/>
      <c r="AD81" s="814">
        <v>14.362</v>
      </c>
      <c r="AE81" s="877">
        <f t="shared" ref="AE81:AE87" si="229">AD81/AD10*100</f>
        <v>0.97551565735912515</v>
      </c>
      <c r="AF81" s="735"/>
      <c r="AG81" s="487"/>
      <c r="AH81" s="814">
        <v>0.85499999999999998</v>
      </c>
      <c r="AI81" s="877">
        <f t="shared" ref="AI81:AI87" si="230">AH81/AH10*100</f>
        <v>5.480242284395731E-2</v>
      </c>
      <c r="AJ81" s="735"/>
      <c r="AK81" s="487"/>
      <c r="AL81" s="814">
        <v>-4.2000000000000003E-2</v>
      </c>
      <c r="AM81" s="877">
        <f t="shared" ref="AM81:AM87" si="231">AL81/AL10*100</f>
        <v>-2.3948708708434736E-3</v>
      </c>
      <c r="AN81" s="735"/>
      <c r="AO81" s="735"/>
      <c r="AP81" s="814">
        <v>-0.73399999999999999</v>
      </c>
      <c r="AQ81" s="877">
        <f t="shared" ref="AQ81:AQ87" si="232">AP81/AP10*100</f>
        <v>-3.8021119851479351E-2</v>
      </c>
      <c r="AR81" s="487"/>
      <c r="AS81" s="487"/>
      <c r="AT81" s="814">
        <v>2.7530000000000001</v>
      </c>
      <c r="AU81" s="877">
        <f t="shared" ref="AU81:AU87" si="233">AT81/AT10*100</f>
        <v>0.13059053676363161</v>
      </c>
      <c r="AV81" s="487"/>
      <c r="AW81" s="487"/>
      <c r="AX81" s="814">
        <v>4.2160000000000002</v>
      </c>
      <c r="AY81" s="877">
        <f t="shared" ref="AY81:AY87" si="234">AX81/AX10*100</f>
        <v>0.18565367399197233</v>
      </c>
      <c r="AZ81" s="487"/>
      <c r="BA81" s="487"/>
      <c r="BB81" s="814">
        <v>6.194</v>
      </c>
      <c r="BC81" s="877">
        <f t="shared" ref="BC81:BC87" si="235">BB81/BB10*100</f>
        <v>0.23236036338849989</v>
      </c>
      <c r="BD81" s="487"/>
      <c r="BE81" s="487"/>
      <c r="BF81" s="814">
        <v>6.9779999999999998</v>
      </c>
      <c r="BG81" s="877">
        <f t="shared" ref="BG81:BG87" si="236">BF81/BF10*100</f>
        <v>0.25022367012645658</v>
      </c>
      <c r="BH81" s="487"/>
      <c r="BI81" s="487"/>
      <c r="BJ81" s="814">
        <v>6.5830000000000002</v>
      </c>
      <c r="BK81" s="877">
        <f t="shared" ref="BK81:BK87" si="237">BJ81/BJ10*100</f>
        <v>0.19634704422088584</v>
      </c>
      <c r="BL81" s="487"/>
      <c r="BM81" s="487"/>
      <c r="BN81" s="814">
        <v>6.0359999999999996</v>
      </c>
      <c r="BO81" s="877">
        <f t="shared" ref="BO81:BO87" si="238">BN81/BN10*100</f>
        <v>0.16528699309661185</v>
      </c>
      <c r="BP81" s="487"/>
      <c r="BQ81" s="487"/>
      <c r="BR81" s="814">
        <v>3.7589999999999999</v>
      </c>
      <c r="BS81" s="877">
        <f t="shared" ref="BS81:BS87" si="239">BR81/BR10*100</f>
        <v>9.7100269266615288E-2</v>
      </c>
      <c r="BT81" s="487"/>
      <c r="BU81" s="487"/>
      <c r="BV81" s="814">
        <v>-2.0760000000000001</v>
      </c>
      <c r="BW81" s="877">
        <f t="shared" ref="BW81:BW87" si="240">BV81/BV10*100</f>
        <v>-5.0534543987813284E-2</v>
      </c>
      <c r="BX81" s="487"/>
      <c r="BY81" s="487"/>
      <c r="BZ81" s="814">
        <v>1.6739999999999999</v>
      </c>
      <c r="CA81" s="877">
        <f t="shared" ref="CA81:CA87" si="241">BZ81/BZ10*100</f>
        <v>3.8898073801775505E-2</v>
      </c>
      <c r="CB81" s="487"/>
      <c r="CC81" s="487"/>
      <c r="CD81" s="814">
        <v>6.601</v>
      </c>
      <c r="CE81" s="877">
        <f t="shared" ref="CE81:CE87" si="242">CD81/CD10*100</f>
        <v>0.15159991768912209</v>
      </c>
      <c r="CF81" s="487"/>
      <c r="CG81" s="487"/>
      <c r="CH81" s="814">
        <v>10.202</v>
      </c>
      <c r="CI81" s="877">
        <f t="shared" ref="CI81:CI87" si="243">CH81/CH10*100</f>
        <v>0.20336726110028028</v>
      </c>
      <c r="CJ81" s="487"/>
      <c r="CK81" s="487"/>
      <c r="CL81" s="814">
        <v>8.9169999999999998</v>
      </c>
      <c r="CM81" s="877">
        <f t="shared" ref="CM81:CM87" si="244">CL81/CL10*100</f>
        <v>0.1711166199008034</v>
      </c>
      <c r="CN81" s="487"/>
      <c r="CO81" s="487"/>
      <c r="CP81" s="814">
        <v>8.827</v>
      </c>
      <c r="CQ81" s="877">
        <f t="shared" ref="CQ81:CQ87" si="245">CP81/CP10*100</f>
        <v>0.15223989433754517</v>
      </c>
      <c r="CR81" s="487"/>
      <c r="CS81" s="487"/>
      <c r="CT81" s="814">
        <v>5.282</v>
      </c>
      <c r="CU81" s="877">
        <f t="shared" ref="CU81:CU87" si="246">CT81/CT10*100</f>
        <v>8.5336569725163569E-2</v>
      </c>
      <c r="CV81" s="487"/>
      <c r="CW81" s="794"/>
      <c r="CX81" s="814">
        <v>9.5950000000000006</v>
      </c>
      <c r="CY81" s="877">
        <f t="shared" ref="CY81:CY87" si="247">CX81/CX10*100</f>
        <v>0.14781605058929229</v>
      </c>
      <c r="CZ81" s="487"/>
      <c r="DA81" s="794"/>
      <c r="DB81" s="814">
        <v>11.624000000000001</v>
      </c>
      <c r="DC81" s="877">
        <f t="shared" ref="DC81:DC87" si="248">DB81/DB10*100</f>
        <v>0.16930694122045778</v>
      </c>
      <c r="DD81" s="487"/>
      <c r="DE81" s="794"/>
      <c r="DF81" s="814">
        <v>10.194000000000001</v>
      </c>
      <c r="DG81" s="877">
        <f t="shared" ref="DG81:DG87" si="249">DF81/DF10*100</f>
        <v>0.13515670700242738</v>
      </c>
      <c r="DH81" s="487"/>
      <c r="DI81" s="794"/>
      <c r="DJ81" s="814">
        <v>9.8409999999999993</v>
      </c>
      <c r="DK81" s="877">
        <f t="shared" ref="DK81:DK87" si="250">DJ81/DJ10*100</f>
        <v>0.1264256122540218</v>
      </c>
      <c r="DL81" s="487"/>
      <c r="DM81" s="794"/>
      <c r="DN81" s="2071">
        <v>5</v>
      </c>
      <c r="DO81" s="877">
        <f t="shared" ref="DO81:DO87" si="251">DN81/DN10*100</f>
        <v>5.8768470407209596E-2</v>
      </c>
      <c r="DP81" s="487"/>
      <c r="DQ81" s="794"/>
      <c r="DR81" s="794"/>
      <c r="DS81" s="944"/>
      <c r="DT81" s="794"/>
      <c r="DU81" s="794"/>
      <c r="DV81" s="794"/>
      <c r="DW81" s="794"/>
      <c r="DX81" s="794"/>
      <c r="DY81" s="794"/>
      <c r="DZ81" s="794"/>
      <c r="EA81" s="794"/>
      <c r="EB81" s="794"/>
    </row>
    <row r="82" spans="1:132">
      <c r="A82" s="487" t="str">
        <f>$A$11</f>
        <v>2Q</v>
      </c>
      <c r="B82" s="487" t="str">
        <f>$B$11</f>
        <v>Jul</v>
      </c>
      <c r="C82" s="487"/>
      <c r="D82" s="831"/>
      <c r="E82" s="487"/>
      <c r="F82" s="831">
        <v>6.3769999999999998</v>
      </c>
      <c r="G82" s="877">
        <f t="shared" si="223"/>
        <v>6.2220097374403611</v>
      </c>
      <c r="H82" s="487"/>
      <c r="I82" s="487"/>
      <c r="J82" s="831">
        <v>6.601</v>
      </c>
      <c r="K82" s="877">
        <f t="shared" si="224"/>
        <v>5.5710753078396795</v>
      </c>
      <c r="L82" s="487"/>
      <c r="M82" s="487"/>
      <c r="N82" s="831">
        <v>6.6790000000000003</v>
      </c>
      <c r="O82" s="877">
        <f t="shared" si="225"/>
        <v>4.8426624129930405</v>
      </c>
      <c r="P82" s="487"/>
      <c r="Q82" s="487"/>
      <c r="R82" s="831">
        <v>4.1479999999999997</v>
      </c>
      <c r="S82" s="877">
        <f t="shared" si="226"/>
        <v>3.7675183244171149</v>
      </c>
      <c r="T82" s="487"/>
      <c r="U82" s="487"/>
      <c r="V82" s="831">
        <v>5.05</v>
      </c>
      <c r="W82" s="877">
        <f t="shared" si="227"/>
        <v>4.0195485370435229</v>
      </c>
      <c r="X82" s="487"/>
      <c r="Y82" s="487"/>
      <c r="Z82" s="831">
        <v>7.923</v>
      </c>
      <c r="AA82" s="877">
        <f t="shared" si="228"/>
        <v>1.0406610423948208</v>
      </c>
      <c r="AB82" s="487"/>
      <c r="AC82" s="487"/>
      <c r="AD82" s="831">
        <v>10.968</v>
      </c>
      <c r="AE82" s="877">
        <f t="shared" si="229"/>
        <v>0.70840860605363831</v>
      </c>
      <c r="AF82" s="487"/>
      <c r="AG82" s="487"/>
      <c r="AH82" s="831">
        <v>1.5449999999999999</v>
      </c>
      <c r="AI82" s="877">
        <f t="shared" si="230"/>
        <v>9.0969469586168403E-2</v>
      </c>
      <c r="AJ82" s="487"/>
      <c r="AK82" s="487"/>
      <c r="AL82" s="831">
        <v>1.425</v>
      </c>
      <c r="AM82" s="877">
        <f t="shared" si="231"/>
        <v>7.6298357095586591E-2</v>
      </c>
      <c r="AN82" s="487"/>
      <c r="AO82" s="487"/>
      <c r="AP82" s="831">
        <v>1.964</v>
      </c>
      <c r="AQ82" s="877">
        <f t="shared" si="232"/>
        <v>9.3397011961380047E-2</v>
      </c>
      <c r="AR82" s="487"/>
      <c r="AS82" s="487"/>
      <c r="AT82" s="831">
        <v>5.0739999999999998</v>
      </c>
      <c r="AU82" s="877">
        <f t="shared" si="233"/>
        <v>0.22469481979688014</v>
      </c>
      <c r="AV82" s="487"/>
      <c r="AW82" s="487"/>
      <c r="AX82" s="831">
        <v>5.6879999999999997</v>
      </c>
      <c r="AY82" s="877">
        <f t="shared" si="234"/>
        <v>0.22865210228885258</v>
      </c>
      <c r="AZ82" s="487"/>
      <c r="BA82" s="487"/>
      <c r="BB82" s="831">
        <v>5.9630000000000001</v>
      </c>
      <c r="BC82" s="877">
        <f t="shared" si="235"/>
        <v>0.21565309471051386</v>
      </c>
      <c r="BD82" s="487"/>
      <c r="BE82" s="487"/>
      <c r="BF82" s="831">
        <v>7.2279999999999998</v>
      </c>
      <c r="BG82" s="877">
        <f t="shared" si="236"/>
        <v>0.237280479445759</v>
      </c>
      <c r="BH82" s="487"/>
      <c r="BI82" s="487"/>
      <c r="BJ82" s="831">
        <v>6.9930000000000003</v>
      </c>
      <c r="BK82" s="877">
        <f t="shared" si="237"/>
        <v>0.20481582245429281</v>
      </c>
      <c r="BL82" s="487"/>
      <c r="BM82" s="487"/>
      <c r="BN82" s="831">
        <v>7.9169999999999998</v>
      </c>
      <c r="BO82" s="877">
        <f t="shared" si="238"/>
        <v>0.21703099839741921</v>
      </c>
      <c r="BP82" s="487"/>
      <c r="BQ82" s="487"/>
      <c r="BR82" s="831">
        <v>5.4130000000000003</v>
      </c>
      <c r="BS82" s="877">
        <f t="shared" si="239"/>
        <v>0.13656573383330906</v>
      </c>
      <c r="BT82" s="487"/>
      <c r="BU82" s="487"/>
      <c r="BV82" s="831">
        <v>-1.4</v>
      </c>
      <c r="BW82" s="877">
        <f t="shared" si="240"/>
        <v>-3.2457762018761514E-2</v>
      </c>
      <c r="BX82" s="487"/>
      <c r="BY82" s="487"/>
      <c r="BZ82" s="831">
        <v>2.641</v>
      </c>
      <c r="CA82" s="877">
        <f t="shared" si="241"/>
        <v>5.7987943513902504E-2</v>
      </c>
      <c r="CB82" s="487"/>
      <c r="CC82" s="487"/>
      <c r="CD82" s="831">
        <v>9.2490000000000006</v>
      </c>
      <c r="CE82" s="877">
        <f t="shared" si="242"/>
        <v>0.19481717643371455</v>
      </c>
      <c r="CF82" s="487"/>
      <c r="CG82" s="487"/>
      <c r="CH82" s="902">
        <v>10.272</v>
      </c>
      <c r="CI82" s="877">
        <f t="shared" si="243"/>
        <v>0.20268030496756168</v>
      </c>
      <c r="CJ82" s="487"/>
      <c r="CK82" s="487"/>
      <c r="CL82" s="902">
        <v>9.109</v>
      </c>
      <c r="CM82" s="877">
        <f t="shared" si="244"/>
        <v>0.1665790704708652</v>
      </c>
      <c r="CN82" s="783"/>
      <c r="CO82" s="487"/>
      <c r="CP82" s="902">
        <v>9.1820000000000004</v>
      </c>
      <c r="CQ82" s="877">
        <f t="shared" si="245"/>
        <v>0.15443459563684425</v>
      </c>
      <c r="CR82" s="783"/>
      <c r="CS82" s="487"/>
      <c r="CT82" s="902">
        <v>8.9190000000000005</v>
      </c>
      <c r="CU82" s="877">
        <f t="shared" si="246"/>
        <v>0.13844167971558533</v>
      </c>
      <c r="CV82" s="783"/>
      <c r="CW82" s="794"/>
      <c r="CX82" s="902">
        <v>11.15</v>
      </c>
      <c r="CY82" s="877">
        <f t="shared" si="247"/>
        <v>0.16119211034734804</v>
      </c>
      <c r="CZ82" s="783"/>
      <c r="DA82" s="794"/>
      <c r="DB82" s="902">
        <v>10.808</v>
      </c>
      <c r="DC82" s="877">
        <f t="shared" si="248"/>
        <v>0.14677342233169571</v>
      </c>
      <c r="DD82" s="783"/>
      <c r="DE82" s="794"/>
      <c r="DF82" s="902">
        <v>11.262</v>
      </c>
      <c r="DG82" s="877">
        <f t="shared" si="249"/>
        <v>0.1428815563660889</v>
      </c>
      <c r="DH82" s="783"/>
      <c r="DI82" s="794"/>
      <c r="DJ82" s="902">
        <v>9.6769999999999996</v>
      </c>
      <c r="DK82" s="877">
        <f t="shared" si="250"/>
        <v>0.11578544336360481</v>
      </c>
      <c r="DL82" s="783"/>
      <c r="DM82" s="794"/>
      <c r="DN82" s="1074">
        <v>7</v>
      </c>
      <c r="DO82" s="877">
        <f t="shared" si="251"/>
        <v>7.8431359147582869E-2</v>
      </c>
      <c r="DP82" s="783"/>
      <c r="DQ82" s="794"/>
      <c r="DR82" s="794"/>
      <c r="DS82" s="944"/>
      <c r="DT82" s="794"/>
      <c r="DU82" s="794"/>
      <c r="DV82" s="794"/>
      <c r="DW82" s="794"/>
      <c r="DX82" s="794"/>
      <c r="DY82" s="794"/>
      <c r="DZ82" s="794"/>
      <c r="EA82" s="794"/>
      <c r="EB82" s="794"/>
    </row>
    <row r="83" spans="1:132">
      <c r="A83" s="487" t="str">
        <f>$A$12</f>
        <v>3Q</v>
      </c>
      <c r="B83" s="487" t="str">
        <f>$B$12</f>
        <v>Oct</v>
      </c>
      <c r="C83" s="487"/>
      <c r="D83" s="831"/>
      <c r="E83" s="487"/>
      <c r="F83" s="831">
        <v>6.7839999999999998</v>
      </c>
      <c r="G83" s="877">
        <f t="shared" si="223"/>
        <v>6.3567620243438494</v>
      </c>
      <c r="H83" s="487"/>
      <c r="I83" s="487"/>
      <c r="J83" s="831">
        <v>7.149</v>
      </c>
      <c r="K83" s="877">
        <f t="shared" si="224"/>
        <v>5.8094557038144607</v>
      </c>
      <c r="L83" s="487"/>
      <c r="M83" s="487"/>
      <c r="N83" s="831">
        <v>6.6239999999999997</v>
      </c>
      <c r="O83" s="877">
        <f t="shared" si="225"/>
        <v>4.4397973136009012</v>
      </c>
      <c r="P83" s="487"/>
      <c r="Q83" s="487"/>
      <c r="R83" s="831">
        <v>5.0540000000000003</v>
      </c>
      <c r="S83" s="877">
        <f t="shared" si="226"/>
        <v>4.2501660878120981</v>
      </c>
      <c r="T83" s="487"/>
      <c r="U83" s="487"/>
      <c r="V83" s="831">
        <v>6.4340000000000002</v>
      </c>
      <c r="W83" s="877">
        <f t="shared" si="227"/>
        <v>4.908490299742903</v>
      </c>
      <c r="X83" s="487"/>
      <c r="Y83" s="487"/>
      <c r="Z83" s="831">
        <v>9.5679999999999996</v>
      </c>
      <c r="AA83" s="877">
        <f t="shared" si="228"/>
        <v>1.1109898352790364</v>
      </c>
      <c r="AB83" s="487"/>
      <c r="AC83" s="487"/>
      <c r="AD83" s="831">
        <v>10.343999999999999</v>
      </c>
      <c r="AE83" s="877">
        <f t="shared" si="229"/>
        <v>0.60054725042367496</v>
      </c>
      <c r="AF83" s="487"/>
      <c r="AG83" s="487"/>
      <c r="AH83" s="831">
        <v>3.6539999999999999</v>
      </c>
      <c r="AI83" s="877">
        <f t="shared" si="230"/>
        <v>0.19356909844689138</v>
      </c>
      <c r="AJ83" s="487"/>
      <c r="AK83" s="487"/>
      <c r="AL83" s="831">
        <v>1.5069999999999999</v>
      </c>
      <c r="AM83" s="877">
        <f t="shared" si="231"/>
        <v>7.5218255225971711E-2</v>
      </c>
      <c r="AN83" s="487"/>
      <c r="AO83" s="487"/>
      <c r="AP83" s="831">
        <v>4.274</v>
      </c>
      <c r="AQ83" s="877">
        <f t="shared" si="232"/>
        <v>0.19122580483514046</v>
      </c>
      <c r="AR83" s="487"/>
      <c r="AS83" s="487"/>
      <c r="AT83" s="831">
        <v>9.3789999999999996</v>
      </c>
      <c r="AU83" s="877">
        <f t="shared" si="233"/>
        <v>0.38104160581065083</v>
      </c>
      <c r="AV83" s="487"/>
      <c r="AW83" s="487"/>
      <c r="AX83" s="831">
        <v>8.5370000000000008</v>
      </c>
      <c r="AY83" s="877">
        <f t="shared" si="234"/>
        <v>0.31136831731630205</v>
      </c>
      <c r="AZ83" s="487"/>
      <c r="BA83" s="487"/>
      <c r="BB83" s="831">
        <v>7.3129999999999997</v>
      </c>
      <c r="BC83" s="877">
        <f t="shared" si="235"/>
        <v>0.24016814726021776</v>
      </c>
      <c r="BD83" s="487"/>
      <c r="BE83" s="487"/>
      <c r="BF83" s="831">
        <v>7.23</v>
      </c>
      <c r="BG83" s="877">
        <f t="shared" si="236"/>
        <v>0.21343475863274225</v>
      </c>
      <c r="BH83" s="487"/>
      <c r="BI83" s="487"/>
      <c r="BJ83" s="831">
        <v>7.1340000000000003</v>
      </c>
      <c r="BK83" s="877">
        <f t="shared" si="237"/>
        <v>0.18688357106369605</v>
      </c>
      <c r="BL83" s="487"/>
      <c r="BM83" s="487"/>
      <c r="BN83" s="831">
        <v>10.119</v>
      </c>
      <c r="BO83" s="877">
        <f t="shared" si="238"/>
        <v>0.25035181369609238</v>
      </c>
      <c r="BP83" s="487"/>
      <c r="BQ83" s="487"/>
      <c r="BR83" s="831">
        <v>6.7839999999999998</v>
      </c>
      <c r="BS83" s="877">
        <f t="shared" si="239"/>
        <v>0.15166748156638704</v>
      </c>
      <c r="BT83" s="487"/>
      <c r="BU83" s="813"/>
      <c r="BV83" s="831">
        <v>3.0529999999999999</v>
      </c>
      <c r="BW83" s="877">
        <f t="shared" si="240"/>
        <v>6.5533050079442462E-2</v>
      </c>
      <c r="BX83" s="487"/>
      <c r="BY83" s="487"/>
      <c r="BZ83" s="831">
        <v>5.4489999999999998</v>
      </c>
      <c r="CA83" s="877">
        <f t="shared" si="241"/>
        <v>0.11443800627109353</v>
      </c>
      <c r="CB83" s="487"/>
      <c r="CC83" s="487"/>
      <c r="CD83" s="831">
        <v>12.664999999999999</v>
      </c>
      <c r="CE83" s="877">
        <f t="shared" si="242"/>
        <v>0.24147055088841715</v>
      </c>
      <c r="CF83" s="487"/>
      <c r="CG83" s="487"/>
      <c r="CH83" s="902">
        <v>9.5180000000000007</v>
      </c>
      <c r="CI83" s="877">
        <f t="shared" si="243"/>
        <v>0.172245087495184</v>
      </c>
      <c r="CJ83" s="487"/>
      <c r="CK83" s="487"/>
      <c r="CL83" s="902">
        <v>8.5510000000000002</v>
      </c>
      <c r="CM83" s="877">
        <f t="shared" si="244"/>
        <v>0.14760592205109227</v>
      </c>
      <c r="CN83" s="487"/>
      <c r="CO83" s="487"/>
      <c r="CP83" s="902">
        <v>6.0890000000000004</v>
      </c>
      <c r="CQ83" s="877">
        <f t="shared" si="245"/>
        <v>9.4978671524633088E-2</v>
      </c>
      <c r="CR83" s="487"/>
      <c r="CS83" s="487"/>
      <c r="CT83" s="902">
        <v>9.3710000000000004</v>
      </c>
      <c r="CU83" s="877">
        <f t="shared" si="246"/>
        <v>0.13421894058273162</v>
      </c>
      <c r="CV83" s="487"/>
      <c r="CW83" s="794"/>
      <c r="CX83" s="902">
        <v>10.039999999999999</v>
      </c>
      <c r="CY83" s="877">
        <f>CX83/CX12*100</f>
        <v>0.13630070651009643</v>
      </c>
      <c r="CZ83" s="487"/>
      <c r="DA83" s="794"/>
      <c r="DB83" s="902">
        <v>13.005000000000001</v>
      </c>
      <c r="DC83" s="877">
        <f t="shared" si="248"/>
        <v>0.16773081042807148</v>
      </c>
      <c r="DD83" s="487"/>
      <c r="DE83" s="794"/>
      <c r="DF83" s="902">
        <v>12.462</v>
      </c>
      <c r="DG83" s="877">
        <f t="shared" si="249"/>
        <v>0.1502950906980581</v>
      </c>
      <c r="DH83" s="487"/>
      <c r="DI83" s="794"/>
      <c r="DJ83" s="902">
        <v>7.9809999999999999</v>
      </c>
      <c r="DK83" s="877">
        <f t="shared" si="250"/>
        <v>9.1084222948065674E-2</v>
      </c>
      <c r="DL83" s="487"/>
      <c r="DM83" s="794"/>
      <c r="DN83" s="1074">
        <v>7</v>
      </c>
      <c r="DO83" s="877">
        <f t="shared" si="251"/>
        <v>7.4955892389300838E-2</v>
      </c>
      <c r="DP83" s="487"/>
      <c r="DQ83" s="794"/>
      <c r="DR83" s="794"/>
      <c r="DS83" s="944"/>
      <c r="DT83" s="794"/>
      <c r="DU83" s="794"/>
      <c r="DV83" s="794"/>
      <c r="DW83" s="794"/>
      <c r="DX83" s="794"/>
      <c r="DY83" s="794"/>
      <c r="DZ83" s="794"/>
      <c r="EA83" s="794"/>
      <c r="EB83" s="794"/>
    </row>
    <row r="84" spans="1:132">
      <c r="A84" s="487" t="str">
        <f>$A$13</f>
        <v>4Q</v>
      </c>
      <c r="B84" s="487" t="str">
        <f>$B$13</f>
        <v>Jan</v>
      </c>
      <c r="C84" s="499"/>
      <c r="D84" s="849"/>
      <c r="E84" s="499"/>
      <c r="F84" s="851">
        <f>+F85-F83-F82-F81</f>
        <v>6.4480000000000022</v>
      </c>
      <c r="G84" s="877">
        <f t="shared" si="223"/>
        <v>5.3639018059911336</v>
      </c>
      <c r="H84" s="487"/>
      <c r="I84" s="487"/>
      <c r="J84" s="851">
        <f>+J85-J83-J82-J81</f>
        <v>6.7470000000000017</v>
      </c>
      <c r="K84" s="877">
        <f t="shared" si="224"/>
        <v>4.9192519412343714</v>
      </c>
      <c r="L84" s="487"/>
      <c r="M84" s="487"/>
      <c r="N84" s="851">
        <f>+N85-N83-N82-N81</f>
        <v>5.887999999999999</v>
      </c>
      <c r="O84" s="877">
        <f t="shared" si="225"/>
        <v>3.3297140788997455</v>
      </c>
      <c r="P84" s="487"/>
      <c r="Q84" s="487"/>
      <c r="R84" s="849">
        <v>2.5529999999999999</v>
      </c>
      <c r="S84" s="877">
        <f t="shared" si="226"/>
        <v>1.903959310607134</v>
      </c>
      <c r="T84" s="487"/>
      <c r="U84" s="487"/>
      <c r="V84" s="849">
        <v>6.1059999999999999</v>
      </c>
      <c r="W84" s="877">
        <f t="shared" si="227"/>
        <v>4.1937965328717821</v>
      </c>
      <c r="X84" s="487"/>
      <c r="Y84" s="487"/>
      <c r="Z84" s="849">
        <v>13.756</v>
      </c>
      <c r="AA84" s="877">
        <f t="shared" si="228"/>
        <v>0.83942592444556463</v>
      </c>
      <c r="AB84" s="487"/>
      <c r="AC84" s="487"/>
      <c r="AD84" s="849">
        <v>1.6759999999999999</v>
      </c>
      <c r="AE84" s="877">
        <f t="shared" si="229"/>
        <v>8.6104368152686267E-2</v>
      </c>
      <c r="AF84" s="487"/>
      <c r="AG84" s="487"/>
      <c r="AH84" s="849">
        <v>-1.552</v>
      </c>
      <c r="AI84" s="877">
        <f t="shared" si="230"/>
        <v>-6.9197703456630386E-2</v>
      </c>
      <c r="AJ84" s="487"/>
      <c r="AK84" s="487"/>
      <c r="AL84" s="849">
        <v>-1.204</v>
      </c>
      <c r="AM84" s="877">
        <f t="shared" si="231"/>
        <v>-5.1808298966587944E-2</v>
      </c>
      <c r="AN84" s="487"/>
      <c r="AO84" s="487"/>
      <c r="AP84" s="849">
        <v>1.841</v>
      </c>
      <c r="AQ84" s="877">
        <f t="shared" si="232"/>
        <v>7.285503075661591E-2</v>
      </c>
      <c r="AR84" s="487"/>
      <c r="AS84" s="487"/>
      <c r="AT84" s="849">
        <v>5.6980000000000004</v>
      </c>
      <c r="AU84" s="877">
        <f t="shared" si="233"/>
        <v>0.20710172081975647</v>
      </c>
      <c r="AV84" s="487"/>
      <c r="AW84" s="487"/>
      <c r="AX84" s="849">
        <v>7.202</v>
      </c>
      <c r="AY84" s="877">
        <f t="shared" si="234"/>
        <v>0.22445143097915926</v>
      </c>
      <c r="AZ84" s="487"/>
      <c r="BA84" s="487"/>
      <c r="BB84" s="849">
        <v>5.9029999999999996</v>
      </c>
      <c r="BC84" s="877">
        <f t="shared" si="235"/>
        <v>0.1683934387320884</v>
      </c>
      <c r="BD84" s="487"/>
      <c r="BE84" s="487"/>
      <c r="BF84" s="849">
        <v>5.8159999999999998</v>
      </c>
      <c r="BG84" s="877">
        <f t="shared" si="236"/>
        <v>0.14166027498558675</v>
      </c>
      <c r="BH84" s="487"/>
      <c r="BI84" s="487"/>
      <c r="BJ84" s="849">
        <v>5.0469999999999997</v>
      </c>
      <c r="BK84" s="877">
        <f t="shared" si="237"/>
        <v>0.11658288114251684</v>
      </c>
      <c r="BL84" s="487"/>
      <c r="BM84" s="487"/>
      <c r="BN84" s="849">
        <v>5.56</v>
      </c>
      <c r="BO84" s="877">
        <f t="shared" si="238"/>
        <v>0.11788834828458669</v>
      </c>
      <c r="BP84" s="487"/>
      <c r="BQ84" s="487"/>
      <c r="BR84" s="849">
        <v>-0.39</v>
      </c>
      <c r="BS84" s="877">
        <f t="shared" si="239"/>
        <v>-7.6518915181529356E-3</v>
      </c>
      <c r="BT84" s="487"/>
      <c r="BU84" s="487"/>
      <c r="BV84" s="849">
        <v>-1.175</v>
      </c>
      <c r="BW84" s="877">
        <f t="shared" si="240"/>
        <v>-2.1792044179057533E-2</v>
      </c>
      <c r="BX84" s="487"/>
      <c r="BY84" s="487"/>
      <c r="BZ84" s="849">
        <v>4.5270000000000001</v>
      </c>
      <c r="CA84" s="877">
        <f t="shared" si="241"/>
        <v>8.4144590406178416E-2</v>
      </c>
      <c r="CB84" s="487"/>
      <c r="CC84" s="487"/>
      <c r="CD84" s="849">
        <v>10.994</v>
      </c>
      <c r="CE84" s="877">
        <f t="shared" si="242"/>
        <v>0.18502978754056468</v>
      </c>
      <c r="CF84" s="487"/>
      <c r="CG84" s="487"/>
      <c r="CH84" s="849">
        <v>9.1449999999999996</v>
      </c>
      <c r="CI84" s="877">
        <f t="shared" si="243"/>
        <v>0.15108749957044562</v>
      </c>
      <c r="CJ84" s="487"/>
      <c r="CK84" s="487"/>
      <c r="CL84" s="849">
        <v>9.0709999999999997</v>
      </c>
      <c r="CM84" s="877">
        <f t="shared" si="244"/>
        <v>0.13519116486764499</v>
      </c>
      <c r="CN84" s="487"/>
      <c r="CO84" s="487"/>
      <c r="CP84" s="849">
        <v>5.077</v>
      </c>
      <c r="CQ84" s="877">
        <f t="shared" si="245"/>
        <v>6.5731774483435257E-2</v>
      </c>
      <c r="CR84" s="487"/>
      <c r="CS84" s="487"/>
      <c r="CT84" s="849">
        <v>7.5090000000000003</v>
      </c>
      <c r="CU84" s="877">
        <f t="shared" si="246"/>
        <v>9.6160901814840133E-2</v>
      </c>
      <c r="CV84" s="487"/>
      <c r="CW84" s="794"/>
      <c r="CX84" s="849">
        <v>9.0020000000000007</v>
      </c>
      <c r="CY84" s="877">
        <f t="shared" si="247"/>
        <v>0.10840620123933747</v>
      </c>
      <c r="CZ84" s="487"/>
      <c r="DA84" s="794"/>
      <c r="DB84" s="849">
        <v>10.962999999999999</v>
      </c>
      <c r="DC84" s="877">
        <f t="shared" si="248"/>
        <v>0.12232658173469871</v>
      </c>
      <c r="DD84" s="487"/>
      <c r="DE84" s="794"/>
      <c r="DF84" s="945">
        <v>9.6159999999999997</v>
      </c>
      <c r="DG84" s="877">
        <f t="shared" si="249"/>
        <v>0.101566946887648</v>
      </c>
      <c r="DH84" s="487"/>
      <c r="DI84" s="794"/>
      <c r="DJ84" s="945">
        <v>4.0890000000000004</v>
      </c>
      <c r="DK84" s="877">
        <f t="shared" si="250"/>
        <v>3.7305943405177767E-2</v>
      </c>
      <c r="DL84" s="487"/>
      <c r="DM84" s="794"/>
      <c r="DN84" s="2048">
        <v>7</v>
      </c>
      <c r="DO84" s="877">
        <f t="shared" si="251"/>
        <v>6.3233873935319304E-2</v>
      </c>
      <c r="DP84" s="487"/>
      <c r="DQ84" s="794"/>
      <c r="DR84" s="794"/>
      <c r="DS84" s="944">
        <f>20.5*3</f>
        <v>61.5</v>
      </c>
      <c r="DT84" s="794"/>
      <c r="DU84" s="794"/>
      <c r="DV84" s="794"/>
      <c r="DW84" s="794"/>
      <c r="DX84" s="794"/>
      <c r="DY84" s="794"/>
      <c r="DZ84" s="794"/>
      <c r="EA84" s="794"/>
      <c r="EB84" s="794"/>
    </row>
    <row r="85" spans="1:132">
      <c r="A85" s="487"/>
      <c r="B85" s="487" t="str">
        <f>$B$14</f>
        <v>Year</v>
      </c>
      <c r="C85" s="487"/>
      <c r="D85" s="859"/>
      <c r="E85" s="487"/>
      <c r="F85" s="860">
        <v>25.599</v>
      </c>
      <c r="G85" s="877">
        <f t="shared" si="223"/>
        <v>6.0720995104178526</v>
      </c>
      <c r="H85" s="487"/>
      <c r="I85" s="487"/>
      <c r="J85" s="860">
        <v>27.289000000000001</v>
      </c>
      <c r="K85" s="877">
        <f t="shared" si="224"/>
        <v>5.5505271058299961</v>
      </c>
      <c r="L85" s="487"/>
      <c r="M85" s="487"/>
      <c r="N85" s="860">
        <v>26.297999999999998</v>
      </c>
      <c r="O85" s="877">
        <f t="shared" si="225"/>
        <v>4.4281002005425254</v>
      </c>
      <c r="P85" s="487"/>
      <c r="Q85" s="487"/>
      <c r="R85" s="859">
        <f>SUM(R81:R84)</f>
        <v>15.666</v>
      </c>
      <c r="S85" s="877">
        <f t="shared" si="226"/>
        <v>3.3621055975002037</v>
      </c>
      <c r="T85" s="487"/>
      <c r="U85" s="487"/>
      <c r="V85" s="859">
        <f>SUM(V81:V84)</f>
        <v>22.170999999999999</v>
      </c>
      <c r="W85" s="877">
        <f t="shared" si="227"/>
        <v>4.2846734654043193</v>
      </c>
      <c r="X85" s="487"/>
      <c r="Y85" s="487"/>
      <c r="Z85" s="859">
        <f>SUM(Z81:Z84)</f>
        <v>38.186</v>
      </c>
      <c r="AA85" s="877">
        <f t="shared" si="228"/>
        <v>0.96062629634614349</v>
      </c>
      <c r="AB85" s="487"/>
      <c r="AC85" s="487"/>
      <c r="AD85" s="859">
        <f>SUM(AD81:AD84)</f>
        <v>37.35</v>
      </c>
      <c r="AE85" s="877">
        <f t="shared" si="229"/>
        <v>0.55834520533200993</v>
      </c>
      <c r="AF85" s="487"/>
      <c r="AG85" s="487"/>
      <c r="AH85" s="859">
        <f>SUM(AH81:AH84)</f>
        <v>4.5020000000000007</v>
      </c>
      <c r="AI85" s="877">
        <f t="shared" si="230"/>
        <v>6.0927838134953137E-2</v>
      </c>
      <c r="AJ85" s="487"/>
      <c r="AK85" s="487"/>
      <c r="AL85" s="862">
        <f>SUM(AL81:AL84)</f>
        <v>1.6859999999999997</v>
      </c>
      <c r="AM85" s="877">
        <f t="shared" si="231"/>
        <v>2.1210559336036525E-2</v>
      </c>
      <c r="AN85" s="487"/>
      <c r="AO85" s="487"/>
      <c r="AP85" s="859">
        <f>SUM(AP81:AP84)</f>
        <v>7.3449999999999998</v>
      </c>
      <c r="AQ85" s="877">
        <f t="shared" si="232"/>
        <v>8.3510065037797829E-2</v>
      </c>
      <c r="AR85" s="487"/>
      <c r="AS85" s="487"/>
      <c r="AT85" s="859">
        <f>SUM(AT81:AT84)</f>
        <v>22.904</v>
      </c>
      <c r="AU85" s="877">
        <f t="shared" si="233"/>
        <v>0.23910622876736898</v>
      </c>
      <c r="AV85" s="487"/>
      <c r="AW85" s="487"/>
      <c r="AX85" s="859">
        <f>SUM(AX81:AX84)</f>
        <v>25.643000000000001</v>
      </c>
      <c r="AY85" s="877">
        <f t="shared" si="234"/>
        <v>0.23945284143297069</v>
      </c>
      <c r="AZ85" s="487"/>
      <c r="BA85" s="487"/>
      <c r="BB85" s="859">
        <f>SUM(BB81:BB84)</f>
        <v>25.372999999999998</v>
      </c>
      <c r="BC85" s="877">
        <f t="shared" si="235"/>
        <v>0.21177332133565507</v>
      </c>
      <c r="BD85" s="487"/>
      <c r="BE85" s="487"/>
      <c r="BF85" s="859">
        <f>SUM(BF81:BF84)</f>
        <v>27.251999999999999</v>
      </c>
      <c r="BG85" s="877">
        <f t="shared" si="236"/>
        <v>0.2044727398941982</v>
      </c>
      <c r="BH85" s="487"/>
      <c r="BI85" s="487"/>
      <c r="BJ85" s="859">
        <f>SUM(BJ81:BJ84)</f>
        <v>25.757000000000001</v>
      </c>
      <c r="BK85" s="877">
        <f t="shared" si="237"/>
        <v>0.1727094871131043</v>
      </c>
      <c r="BL85" s="487"/>
      <c r="BM85" s="487"/>
      <c r="BN85" s="859">
        <f>SUM(BN81:BN84)</f>
        <v>29.631999999999998</v>
      </c>
      <c r="BO85" s="877">
        <f t="shared" si="238"/>
        <v>0.18453182180647756</v>
      </c>
      <c r="BP85" s="487"/>
      <c r="BQ85" s="487"/>
      <c r="BR85" s="859">
        <f>SUM(BR81:BR84)</f>
        <v>15.565999999999999</v>
      </c>
      <c r="BS85" s="877">
        <f t="shared" si="239"/>
        <v>8.9435935952010923E-2</v>
      </c>
      <c r="BT85" s="487"/>
      <c r="BU85" s="487"/>
      <c r="BV85" s="859">
        <f>SUM(BV81:BV84)</f>
        <v>-1.5980000000000001</v>
      </c>
      <c r="BW85" s="877">
        <f t="shared" si="240"/>
        <v>-8.6509437838610953E-3</v>
      </c>
      <c r="BX85" s="487"/>
      <c r="BY85" s="487"/>
      <c r="BZ85" s="859">
        <f>SUM(BZ81:BZ84)</f>
        <v>14.291</v>
      </c>
      <c r="CA85" s="877">
        <f t="shared" si="241"/>
        <v>7.5217749093989567E-2</v>
      </c>
      <c r="CB85" s="487"/>
      <c r="CC85" s="487"/>
      <c r="CD85" s="859">
        <f>SUM(CD81:CD84)</f>
        <v>39.509</v>
      </c>
      <c r="CE85" s="877">
        <f t="shared" si="242"/>
        <v>0.19473647165844754</v>
      </c>
      <c r="CF85" s="487"/>
      <c r="CG85" s="487"/>
      <c r="CH85" s="859">
        <f>SUM(CH81:CH84)</f>
        <v>39.137</v>
      </c>
      <c r="CI85" s="877">
        <f t="shared" si="243"/>
        <v>0.18066078817071365</v>
      </c>
      <c r="CJ85" s="487"/>
      <c r="CK85" s="487"/>
      <c r="CL85" s="859">
        <f>SUM(CL81:CL84)</f>
        <v>35.647999999999996</v>
      </c>
      <c r="CM85" s="877">
        <f t="shared" si="244"/>
        <v>0.15377298107610543</v>
      </c>
      <c r="CN85" s="487"/>
      <c r="CO85" s="487"/>
      <c r="CP85" s="859">
        <f>SUM(CP81:CP84)</f>
        <v>29.174999999999997</v>
      </c>
      <c r="CQ85" s="877">
        <f t="shared" si="245"/>
        <v>0.11273893118160598</v>
      </c>
      <c r="CR85" s="487"/>
      <c r="CS85" s="487"/>
      <c r="CT85" s="859">
        <f>SUM(CT81:CT84)</f>
        <v>31.081000000000003</v>
      </c>
      <c r="CU85" s="877">
        <f t="shared" si="246"/>
        <v>0.11334042429672123</v>
      </c>
      <c r="CV85" s="487"/>
      <c r="CW85" s="946"/>
      <c r="CX85" s="859">
        <f>SUM(CX81:CX84)</f>
        <v>39.786999999999999</v>
      </c>
      <c r="CY85" s="877">
        <f t="shared" si="247"/>
        <v>0.1368266150205546</v>
      </c>
      <c r="CZ85" s="487"/>
      <c r="DA85" s="946"/>
      <c r="DB85" s="859">
        <f>SUM(DB81:DB84)</f>
        <v>46.400000000000006</v>
      </c>
      <c r="DC85" s="877">
        <f t="shared" si="248"/>
        <v>0.14994374847349834</v>
      </c>
      <c r="DD85" s="487"/>
      <c r="DE85" s="946"/>
      <c r="DF85" s="859">
        <f>SUM(DF81:DF84)</f>
        <v>43.534000000000006</v>
      </c>
      <c r="DG85" s="877">
        <f t="shared" si="249"/>
        <v>0.13119074206936987</v>
      </c>
      <c r="DH85" s="487"/>
      <c r="DI85" s="946"/>
      <c r="DJ85" s="859">
        <f>SUM(DJ81:DJ84)</f>
        <v>31.588000000000001</v>
      </c>
      <c r="DK85" s="877">
        <f t="shared" si="250"/>
        <v>8.807554979463908E-2</v>
      </c>
      <c r="DL85" s="487"/>
      <c r="DM85" s="946"/>
      <c r="DN85" s="859">
        <f>SUM(DN81:DN84)</f>
        <v>26</v>
      </c>
      <c r="DO85" s="877">
        <f t="shared" si="251"/>
        <v>6.8707079161759527E-2</v>
      </c>
      <c r="DP85" s="487"/>
      <c r="DQ85" s="794"/>
      <c r="DR85" s="794"/>
      <c r="DS85" s="858"/>
      <c r="DT85" s="794"/>
      <c r="DU85" s="794"/>
      <c r="DV85" s="794"/>
      <c r="DW85" s="794"/>
      <c r="DX85" s="794"/>
      <c r="DY85" s="794"/>
      <c r="DZ85" s="794"/>
      <c r="EA85" s="794"/>
      <c r="EB85" s="794"/>
    </row>
    <row r="86" spans="1:132" outlineLevel="1">
      <c r="A86" s="487" t="str">
        <f>$A$15</f>
        <v>6 Mos</v>
      </c>
      <c r="B86" s="487"/>
      <c r="C86" s="487"/>
      <c r="D86" s="864"/>
      <c r="E86" s="487"/>
      <c r="F86" s="864">
        <f>SUM(F81:F82)</f>
        <v>12.367000000000001</v>
      </c>
      <c r="G86" s="877">
        <f t="shared" si="223"/>
        <v>6.3533896389454005</v>
      </c>
      <c r="H86" s="487"/>
      <c r="I86" s="487"/>
      <c r="J86" s="864">
        <f>SUM(J81:J82)</f>
        <v>13.393000000000001</v>
      </c>
      <c r="K86" s="877">
        <f t="shared" si="224"/>
        <v>5.7869630218550432</v>
      </c>
      <c r="L86" s="487"/>
      <c r="M86" s="487"/>
      <c r="N86" s="864">
        <f>SUM(N81:N82)</f>
        <v>13.786000000000001</v>
      </c>
      <c r="O86" s="877">
        <f t="shared" si="225"/>
        <v>5.1466992208645532</v>
      </c>
      <c r="P86" s="487"/>
      <c r="Q86" s="487"/>
      <c r="R86" s="864">
        <f>SUM(R81:R82)</f>
        <v>8.0589999999999993</v>
      </c>
      <c r="S86" s="877">
        <f t="shared" si="226"/>
        <v>3.7843498187418994</v>
      </c>
      <c r="T86" s="487"/>
      <c r="U86" s="487"/>
      <c r="V86" s="864">
        <f>SUM(V81:V82)</f>
        <v>9.6310000000000002</v>
      </c>
      <c r="W86" s="877">
        <f t="shared" si="227"/>
        <v>4.0000166130894534</v>
      </c>
      <c r="X86" s="487"/>
      <c r="Y86" s="487"/>
      <c r="Z86" s="864">
        <f>SUM(Z81:Z82)</f>
        <v>14.862</v>
      </c>
      <c r="AA86" s="877">
        <f t="shared" si="228"/>
        <v>1.0074825680162587</v>
      </c>
      <c r="AB86" s="487"/>
      <c r="AC86" s="487"/>
      <c r="AD86" s="864">
        <f>SUM(AD81:AD82)</f>
        <v>25.33</v>
      </c>
      <c r="AE86" s="877">
        <f t="shared" si="229"/>
        <v>0.83860121449849767</v>
      </c>
      <c r="AF86" s="487"/>
      <c r="AG86" s="487"/>
      <c r="AH86" s="864">
        <f>SUM(AH81:AH82)</f>
        <v>2.4</v>
      </c>
      <c r="AI86" s="877">
        <f t="shared" si="230"/>
        <v>7.3653024285243437E-2</v>
      </c>
      <c r="AJ86" s="487"/>
      <c r="AK86" s="487"/>
      <c r="AL86" s="864">
        <f>SUM(AL81:AL82)</f>
        <v>1.383</v>
      </c>
      <c r="AM86" s="877">
        <f t="shared" si="231"/>
        <v>3.8189481683407814E-2</v>
      </c>
      <c r="AN86" s="487"/>
      <c r="AO86" s="487"/>
      <c r="AP86" s="864">
        <f>SUM(AP81:AP82)</f>
        <v>1.23</v>
      </c>
      <c r="AQ86" s="877">
        <f t="shared" si="232"/>
        <v>3.0495688826949859E-2</v>
      </c>
      <c r="AR86" s="487"/>
      <c r="AS86" s="487"/>
      <c r="AT86" s="864">
        <f>SUM(AT81:AT82)</f>
        <v>7.827</v>
      </c>
      <c r="AU86" s="877">
        <f t="shared" si="233"/>
        <v>0.17925973767202821</v>
      </c>
      <c r="AV86" s="487"/>
      <c r="AW86" s="487"/>
      <c r="AX86" s="864">
        <f>SUM(AX81:AX82)</f>
        <v>9.9039999999999999</v>
      </c>
      <c r="AY86" s="877">
        <f t="shared" si="234"/>
        <v>0.20813207139955578</v>
      </c>
      <c r="AZ86" s="487"/>
      <c r="BA86" s="487"/>
      <c r="BB86" s="864">
        <f>SUM(BB81:BB82)</f>
        <v>12.157</v>
      </c>
      <c r="BC86" s="877">
        <f t="shared" si="235"/>
        <v>0.22385382862412295</v>
      </c>
      <c r="BD86" s="487"/>
      <c r="BE86" s="487"/>
      <c r="BF86" s="864">
        <f>SUM(BF81:BF82)</f>
        <v>14.206</v>
      </c>
      <c r="BG86" s="877">
        <f t="shared" si="236"/>
        <v>0.24346649953409569</v>
      </c>
      <c r="BH86" s="487"/>
      <c r="BI86" s="487"/>
      <c r="BJ86" s="864">
        <f>SUM(BJ81:BJ82)</f>
        <v>13.576000000000001</v>
      </c>
      <c r="BK86" s="877">
        <f t="shared" si="237"/>
        <v>0.20061994755744922</v>
      </c>
      <c r="BL86" s="487"/>
      <c r="BM86" s="487"/>
      <c r="BN86" s="864">
        <f>SUM(BN81:BN82)</f>
        <v>13.952999999999999</v>
      </c>
      <c r="BO86" s="877">
        <f t="shared" si="238"/>
        <v>0.19114494631009291</v>
      </c>
      <c r="BP86" s="487"/>
      <c r="BQ86" s="487"/>
      <c r="BR86" s="864">
        <f>SUM(BR81:BR82)</f>
        <v>9.1720000000000006</v>
      </c>
      <c r="BS86" s="877">
        <f t="shared" si="239"/>
        <v>0.1170657243888415</v>
      </c>
      <c r="BT86" s="487"/>
      <c r="BU86" s="487"/>
      <c r="BV86" s="864">
        <f>SUM(BV81:BV82)</f>
        <v>-3.476</v>
      </c>
      <c r="BW86" s="877">
        <f t="shared" si="240"/>
        <v>-4.1275900300888957E-2</v>
      </c>
      <c r="BX86" s="487"/>
      <c r="BY86" s="487"/>
      <c r="BZ86" s="864">
        <f>SUM(BZ81:BZ82)</f>
        <v>4.3149999999999995</v>
      </c>
      <c r="CA86" s="877">
        <f t="shared" si="241"/>
        <v>4.8713302739347125E-2</v>
      </c>
      <c r="CB86" s="487"/>
      <c r="CC86" s="487"/>
      <c r="CD86" s="864">
        <f>SUM(CD81:CD82)</f>
        <v>15.850000000000001</v>
      </c>
      <c r="CE86" s="877">
        <f t="shared" si="242"/>
        <v>0.17414229699952274</v>
      </c>
      <c r="CF86" s="487"/>
      <c r="CG86" s="487"/>
      <c r="CH86" s="864">
        <f>SUM(CH81:CH82)</f>
        <v>20.474</v>
      </c>
      <c r="CI86" s="877">
        <f t="shared" si="243"/>
        <v>0.20302202760242827</v>
      </c>
      <c r="CJ86" s="487"/>
      <c r="CK86" s="487"/>
      <c r="CL86" s="864">
        <f>SUM(CL81:CL82)</f>
        <v>18.026</v>
      </c>
      <c r="CM86" s="877">
        <f t="shared" si="244"/>
        <v>0.16879320257618916</v>
      </c>
      <c r="CN86" s="487"/>
      <c r="CO86" s="487"/>
      <c r="CP86" s="864">
        <f>SUM(CP81:CP82)</f>
        <v>18.009</v>
      </c>
      <c r="CQ86" s="877">
        <f t="shared" si="245"/>
        <v>0.15335102517148635</v>
      </c>
      <c r="CR86" s="487"/>
      <c r="CS86" s="487"/>
      <c r="CT86" s="864">
        <f>SUM(CT81:CT82)</f>
        <v>14.201000000000001</v>
      </c>
      <c r="CU86" s="877">
        <f t="shared" si="246"/>
        <v>0.11242054228325718</v>
      </c>
      <c r="CV86" s="487"/>
      <c r="CW86" s="794"/>
      <c r="CX86" s="864">
        <f>SUM(CX81:CX82)</f>
        <v>20.745000000000001</v>
      </c>
      <c r="CY86" s="877">
        <f t="shared" si="247"/>
        <v>0.15471658487209647</v>
      </c>
      <c r="CZ86" s="487"/>
      <c r="DA86" s="794"/>
      <c r="DB86" s="864">
        <f>SUM(DB81:DB82)</f>
        <v>22.432000000000002</v>
      </c>
      <c r="DC86" s="877">
        <f t="shared" si="248"/>
        <v>0.15764579284195901</v>
      </c>
      <c r="DD86" s="487"/>
      <c r="DE86" s="794"/>
      <c r="DF86" s="864">
        <f>SUM(DF81:DF82)</f>
        <v>21.456000000000003</v>
      </c>
      <c r="DG86" s="877">
        <f t="shared" si="249"/>
        <v>0.13910419517532246</v>
      </c>
      <c r="DH86" s="487"/>
      <c r="DI86" s="794"/>
      <c r="DJ86" s="864">
        <f>SUM(DJ81:DJ82)</f>
        <v>19.518000000000001</v>
      </c>
      <c r="DK86" s="877">
        <f t="shared" si="250"/>
        <v>0.12091645229468673</v>
      </c>
      <c r="DL86" s="487"/>
      <c r="DM86" s="794"/>
      <c r="DN86" s="864">
        <f>SUM(DN81:DN82)</f>
        <v>12</v>
      </c>
      <c r="DO86" s="877">
        <f t="shared" si="251"/>
        <v>6.8835106343403105E-2</v>
      </c>
      <c r="DP86" s="487"/>
      <c r="DQ86" s="794"/>
      <c r="DR86" s="794"/>
      <c r="DS86" s="794"/>
      <c r="DT86" s="794"/>
      <c r="DU86" s="794"/>
      <c r="DV86" s="794"/>
      <c r="DW86" s="794"/>
      <c r="DX86" s="794"/>
      <c r="DY86" s="794"/>
      <c r="DZ86" s="794"/>
      <c r="EA86" s="794"/>
      <c r="EB86" s="794"/>
    </row>
    <row r="87" spans="1:132" outlineLevel="1">
      <c r="A87" s="487" t="str">
        <f>$A$16</f>
        <v>9 Mos</v>
      </c>
      <c r="B87" s="487"/>
      <c r="C87" s="487"/>
      <c r="D87" s="864"/>
      <c r="E87" s="487"/>
      <c r="F87" s="864">
        <f>SUM(F81:F83)</f>
        <v>19.151</v>
      </c>
      <c r="G87" s="877">
        <f t="shared" si="223"/>
        <v>6.3545838545589692</v>
      </c>
      <c r="H87" s="487"/>
      <c r="I87" s="487"/>
      <c r="J87" s="864">
        <f>SUM(J81:J83)</f>
        <v>20.542000000000002</v>
      </c>
      <c r="K87" s="877">
        <f t="shared" si="224"/>
        <v>5.7947711090800356</v>
      </c>
      <c r="L87" s="487"/>
      <c r="M87" s="487"/>
      <c r="N87" s="864">
        <f>SUM(N81:N83)</f>
        <v>20.41</v>
      </c>
      <c r="O87" s="877">
        <f t="shared" si="225"/>
        <v>4.8938154736642714</v>
      </c>
      <c r="P87" s="487"/>
      <c r="Q87" s="487"/>
      <c r="R87" s="864">
        <f>SUM(R81:R83)</f>
        <v>13.113</v>
      </c>
      <c r="S87" s="877">
        <f t="shared" si="226"/>
        <v>3.9512578758486026</v>
      </c>
      <c r="T87" s="487"/>
      <c r="U87" s="487"/>
      <c r="V87" s="864">
        <f>SUM(V81:V83)</f>
        <v>16.065000000000001</v>
      </c>
      <c r="W87" s="877">
        <f t="shared" si="227"/>
        <v>4.3202555848682138</v>
      </c>
      <c r="X87" s="487"/>
      <c r="Y87" s="487"/>
      <c r="Z87" s="864">
        <f>SUM(Z81:Z83)</f>
        <v>24.43</v>
      </c>
      <c r="AA87" s="877">
        <f t="shared" si="228"/>
        <v>1.0456364900170179</v>
      </c>
      <c r="AB87" s="487"/>
      <c r="AC87" s="487"/>
      <c r="AD87" s="864">
        <f>SUM(AD81:AD83)</f>
        <v>35.673999999999999</v>
      </c>
      <c r="AE87" s="877">
        <f t="shared" si="229"/>
        <v>0.75215030355676382</v>
      </c>
      <c r="AF87" s="487"/>
      <c r="AG87" s="487"/>
      <c r="AH87" s="864">
        <f>SUM(AH81:AH83)</f>
        <v>6.0540000000000003</v>
      </c>
      <c r="AI87" s="877">
        <f t="shared" si="230"/>
        <v>0.11763974334560125</v>
      </c>
      <c r="AJ87" s="487"/>
      <c r="AK87" s="487"/>
      <c r="AL87" s="864">
        <f>SUM(AL81:AL83)</f>
        <v>2.8899999999999997</v>
      </c>
      <c r="AM87" s="877">
        <f t="shared" si="231"/>
        <v>5.1378517628431625E-2</v>
      </c>
      <c r="AN87" s="487"/>
      <c r="AO87" s="487"/>
      <c r="AP87" s="864">
        <f>SUM(AP81:AP83)</f>
        <v>5.5039999999999996</v>
      </c>
      <c r="AQ87" s="877">
        <f t="shared" si="232"/>
        <v>8.7805346522428079E-2</v>
      </c>
      <c r="AR87" s="487"/>
      <c r="AS87" s="487"/>
      <c r="AT87" s="864">
        <f>SUM(AT81:AT83)</f>
        <v>17.206</v>
      </c>
      <c r="AU87" s="877">
        <f t="shared" si="233"/>
        <v>0.25200283375033555</v>
      </c>
      <c r="AV87" s="487"/>
      <c r="AW87" s="487"/>
      <c r="AX87" s="864">
        <f>SUM(AX81:AX83)</f>
        <v>18.441000000000003</v>
      </c>
      <c r="AY87" s="877">
        <f t="shared" si="234"/>
        <v>0.24587062413353308</v>
      </c>
      <c r="AZ87" s="487"/>
      <c r="BA87" s="487"/>
      <c r="BB87" s="864">
        <f>SUM(BB81:BB83)</f>
        <v>19.47</v>
      </c>
      <c r="BC87" s="877">
        <f t="shared" si="235"/>
        <v>0.22971483504775878</v>
      </c>
      <c r="BD87" s="487"/>
      <c r="BE87" s="487"/>
      <c r="BF87" s="864">
        <f>SUM(BF81:BF83)</f>
        <v>21.436</v>
      </c>
      <c r="BG87" s="877">
        <f t="shared" si="236"/>
        <v>0.23243556055886458</v>
      </c>
      <c r="BH87" s="487"/>
      <c r="BI87" s="487"/>
      <c r="BJ87" s="864">
        <f>SUM(BJ81:BJ83)</f>
        <v>20.71</v>
      </c>
      <c r="BK87" s="877">
        <f t="shared" si="237"/>
        <v>0.19566579941336162</v>
      </c>
      <c r="BL87" s="487"/>
      <c r="BM87" s="487"/>
      <c r="BN87" s="864">
        <f>SUM(BN81:BN83)</f>
        <v>24.071999999999999</v>
      </c>
      <c r="BO87" s="877">
        <f t="shared" si="238"/>
        <v>0.2122450361536036</v>
      </c>
      <c r="BP87" s="487"/>
      <c r="BQ87" s="487"/>
      <c r="BR87" s="864">
        <f>SUM(BR81:BR83)</f>
        <v>15.956</v>
      </c>
      <c r="BS87" s="877">
        <f t="shared" si="239"/>
        <v>0.12964075471133971</v>
      </c>
      <c r="BT87" s="487"/>
      <c r="BU87" s="487"/>
      <c r="BV87" s="864">
        <f>SUM(BV81:BV83)</f>
        <v>-0.42300000000000004</v>
      </c>
      <c r="BW87" s="877">
        <f t="shared" si="240"/>
        <v>-3.2339209716869839E-3</v>
      </c>
      <c r="BX87" s="487"/>
      <c r="BY87" s="487"/>
      <c r="BZ87" s="864">
        <f>SUM(BZ81:BZ83)</f>
        <v>9.7639999999999993</v>
      </c>
      <c r="CA87" s="877">
        <f t="shared" si="241"/>
        <v>7.1691430216131599E-2</v>
      </c>
      <c r="CB87" s="487"/>
      <c r="CC87" s="487"/>
      <c r="CD87" s="864">
        <f>SUM(CD81:CD83)</f>
        <v>28.515000000000001</v>
      </c>
      <c r="CE87" s="877">
        <f t="shared" si="242"/>
        <v>0.19875653617299258</v>
      </c>
      <c r="CF87" s="487"/>
      <c r="CG87" s="487"/>
      <c r="CH87" s="864">
        <f>SUM(CH81:CH83)</f>
        <v>29.992000000000001</v>
      </c>
      <c r="CI87" s="877">
        <f t="shared" si="243"/>
        <v>0.19212750009336685</v>
      </c>
      <c r="CJ87" s="487"/>
      <c r="CK87" s="487"/>
      <c r="CL87" s="864">
        <f>SUM(CL81:CL83)</f>
        <v>26.576999999999998</v>
      </c>
      <c r="CM87" s="877">
        <f t="shared" si="244"/>
        <v>0.1613419434173434</v>
      </c>
      <c r="CN87" s="487"/>
      <c r="CO87" s="487"/>
      <c r="CP87" s="864">
        <f>SUM(CP81:CP83)</f>
        <v>24.097999999999999</v>
      </c>
      <c r="CQ87" s="877">
        <f t="shared" si="245"/>
        <v>0.13273801543392022</v>
      </c>
      <c r="CR87" s="487"/>
      <c r="CS87" s="487"/>
      <c r="CT87" s="864">
        <f>SUM(CT81:CT83)</f>
        <v>23.572000000000003</v>
      </c>
      <c r="CU87" s="877">
        <f t="shared" si="246"/>
        <v>0.1201800212288127</v>
      </c>
      <c r="CV87" s="487"/>
      <c r="CW87" s="794"/>
      <c r="CX87" s="864">
        <f>SUM(CX81:CX83)</f>
        <v>30.785</v>
      </c>
      <c r="CY87" s="877">
        <f t="shared" si="247"/>
        <v>0.14818680673869936</v>
      </c>
      <c r="CZ87" s="487"/>
      <c r="DA87" s="794"/>
      <c r="DB87" s="864">
        <f>SUM(DB81:DB83)</f>
        <v>35.437000000000005</v>
      </c>
      <c r="DC87" s="877">
        <f t="shared" si="248"/>
        <v>0.16120284241411142</v>
      </c>
      <c r="DD87" s="487"/>
      <c r="DE87" s="794"/>
      <c r="DF87" s="864">
        <f>SUM(DF81:DF83)</f>
        <v>33.918000000000006</v>
      </c>
      <c r="DG87" s="877">
        <f t="shared" si="249"/>
        <v>0.14301678729008405</v>
      </c>
      <c r="DH87" s="487"/>
      <c r="DI87" s="794"/>
      <c r="DJ87" s="864">
        <f>SUM(DJ81:DJ83)</f>
        <v>27.499000000000002</v>
      </c>
      <c r="DK87" s="877">
        <f t="shared" si="250"/>
        <v>0.11042026114417859</v>
      </c>
      <c r="DL87" s="487"/>
      <c r="DM87" s="794"/>
      <c r="DN87" s="864">
        <f>SUM(DN81:DN83)</f>
        <v>19</v>
      </c>
      <c r="DO87" s="877">
        <f t="shared" si="251"/>
        <v>7.0970225129584008E-2</v>
      </c>
      <c r="DP87" s="487"/>
      <c r="DQ87" s="794"/>
      <c r="DR87" s="794"/>
      <c r="DS87" s="794"/>
      <c r="DT87" s="794"/>
      <c r="DU87" s="794"/>
      <c r="DV87" s="794"/>
      <c r="DW87" s="794"/>
      <c r="DX87" s="794"/>
      <c r="DY87" s="794"/>
      <c r="DZ87" s="794"/>
      <c r="EA87" s="794"/>
      <c r="EB87" s="794"/>
    </row>
    <row r="88" spans="1:132">
      <c r="A88" s="487"/>
      <c r="B88" s="487"/>
      <c r="C88" s="487"/>
      <c r="D88" s="487"/>
      <c r="E88" s="487"/>
      <c r="F88" s="487"/>
      <c r="G88" s="487"/>
      <c r="H88" s="487"/>
      <c r="I88" s="487"/>
      <c r="J88" s="487"/>
      <c r="K88" s="487"/>
      <c r="L88" s="487"/>
      <c r="M88" s="487"/>
      <c r="N88" s="487"/>
      <c r="O88" s="487"/>
      <c r="P88" s="487"/>
      <c r="Q88" s="487"/>
      <c r="R88" s="487"/>
      <c r="S88" s="487"/>
      <c r="T88" s="487"/>
      <c r="U88" s="487"/>
      <c r="V88" s="487"/>
      <c r="W88" s="487"/>
      <c r="X88" s="487"/>
      <c r="Y88" s="487"/>
      <c r="Z88" s="487"/>
      <c r="AA88" s="487"/>
      <c r="AB88" s="487"/>
      <c r="AC88" s="487"/>
      <c r="AD88" s="487"/>
      <c r="AE88" s="487"/>
      <c r="AF88" s="487"/>
      <c r="AG88" s="487"/>
      <c r="AH88" s="487"/>
      <c r="AI88" s="487"/>
      <c r="AJ88" s="487"/>
      <c r="AK88" s="487"/>
      <c r="AL88" s="487"/>
      <c r="AM88" s="487"/>
      <c r="AN88" s="487"/>
      <c r="AO88" s="487"/>
      <c r="AP88" s="487"/>
      <c r="AQ88" s="487"/>
      <c r="AR88" s="487"/>
      <c r="AS88" s="487"/>
      <c r="AT88" s="487"/>
      <c r="AU88" s="487"/>
      <c r="AV88" s="487"/>
      <c r="AW88" s="487"/>
      <c r="AX88" s="487"/>
      <c r="AY88" s="487"/>
      <c r="AZ88" s="487"/>
      <c r="BA88" s="487"/>
      <c r="BB88" s="487"/>
      <c r="BC88" s="487"/>
      <c r="BD88" s="487"/>
      <c r="BE88" s="487"/>
      <c r="BF88" s="487"/>
      <c r="BG88" s="487"/>
      <c r="BH88" s="487"/>
      <c r="BI88" s="487"/>
      <c r="BJ88" s="487"/>
      <c r="BK88" s="487"/>
      <c r="BL88" s="487"/>
      <c r="BM88" s="487"/>
      <c r="BN88" s="487"/>
      <c r="BO88" s="487"/>
      <c r="BP88" s="487"/>
      <c r="BQ88" s="487"/>
      <c r="BR88" s="487"/>
      <c r="BS88" s="487"/>
      <c r="BT88" s="487"/>
      <c r="BU88" s="487"/>
      <c r="BV88" s="487"/>
      <c r="BW88" s="487"/>
      <c r="BX88" s="487"/>
      <c r="BY88" s="487"/>
      <c r="BZ88" s="716"/>
      <c r="CA88" s="487"/>
      <c r="CB88" s="487"/>
      <c r="CC88" s="487"/>
      <c r="CD88" s="716"/>
      <c r="CE88" s="487"/>
      <c r="CF88" s="487"/>
      <c r="CG88" s="487"/>
      <c r="CH88" s="716"/>
      <c r="CI88" s="487"/>
      <c r="CJ88" s="487"/>
      <c r="CK88" s="487"/>
      <c r="CL88" s="716"/>
      <c r="CM88" s="487"/>
      <c r="CN88" s="487"/>
      <c r="CO88" s="487"/>
      <c r="CP88" s="716"/>
      <c r="CQ88" s="487"/>
      <c r="CR88" s="487"/>
      <c r="CS88" s="487"/>
      <c r="CT88" s="716"/>
      <c r="CU88" s="487"/>
      <c r="CV88" s="487"/>
      <c r="CW88" s="794"/>
      <c r="CX88" s="716"/>
      <c r="CY88" s="487"/>
      <c r="CZ88" s="487"/>
      <c r="DA88" s="794"/>
      <c r="DB88" s="716"/>
      <c r="DC88" s="487"/>
      <c r="DD88" s="487"/>
      <c r="DE88" s="794"/>
      <c r="DF88" s="716"/>
      <c r="DG88" s="487"/>
      <c r="DH88" s="487"/>
      <c r="DI88" s="794"/>
      <c r="DJ88" s="716"/>
      <c r="DK88" s="487"/>
      <c r="DL88" s="487"/>
      <c r="DM88" s="794"/>
      <c r="DN88" s="716"/>
      <c r="DO88" s="487"/>
      <c r="DP88" s="487"/>
      <c r="DQ88" s="794"/>
      <c r="DR88" s="794"/>
      <c r="DS88" s="794"/>
      <c r="DT88" s="794"/>
      <c r="DU88" s="794"/>
      <c r="DV88" s="794"/>
      <c r="DW88" s="794"/>
      <c r="DX88" s="794"/>
      <c r="DY88" s="794"/>
      <c r="DZ88" s="794"/>
      <c r="EA88" s="794"/>
      <c r="EB88" s="794"/>
    </row>
    <row r="89" spans="1:132">
      <c r="A89" s="487"/>
      <c r="B89" s="487"/>
      <c r="C89" s="807"/>
      <c r="D89" s="807"/>
      <c r="E89" s="809"/>
      <c r="F89" s="809" t="str">
        <f>Z89</f>
        <v>6.  Pre-Tax Income / (Loss) (% Pre-Tax Margin) / %Change</v>
      </c>
      <c r="G89" s="811"/>
      <c r="H89" s="811"/>
      <c r="I89" s="811"/>
      <c r="J89" s="809"/>
      <c r="K89" s="811"/>
      <c r="L89" s="811"/>
      <c r="M89" s="811"/>
      <c r="N89" s="809"/>
      <c r="O89" s="811"/>
      <c r="P89" s="811"/>
      <c r="Q89" s="811"/>
      <c r="R89" s="809"/>
      <c r="S89" s="811"/>
      <c r="T89" s="811"/>
      <c r="U89" s="811"/>
      <c r="V89" s="809"/>
      <c r="W89" s="811"/>
      <c r="X89" s="811"/>
      <c r="Y89" s="487"/>
      <c r="Z89" s="809" t="s">
        <v>163</v>
      </c>
      <c r="AA89" s="811"/>
      <c r="AB89" s="811"/>
      <c r="AC89" s="811"/>
      <c r="AD89" s="809"/>
      <c r="AE89" s="811"/>
      <c r="AF89" s="811"/>
      <c r="AG89" s="811"/>
      <c r="AH89" s="809"/>
      <c r="AI89" s="811"/>
      <c r="AJ89" s="811"/>
      <c r="AK89" s="811"/>
      <c r="AL89" s="809"/>
      <c r="AM89" s="811"/>
      <c r="AN89" s="811"/>
      <c r="AO89" s="702"/>
      <c r="AP89" s="702"/>
      <c r="AQ89" s="811"/>
      <c r="AR89" s="811"/>
      <c r="AS89" s="811"/>
      <c r="AT89" s="487"/>
      <c r="AU89" s="487"/>
      <c r="AV89" s="487"/>
      <c r="AW89" s="487"/>
      <c r="AX89" s="487"/>
      <c r="AY89" s="487"/>
      <c r="AZ89" s="487"/>
      <c r="BA89" s="487"/>
      <c r="BB89" s="487"/>
      <c r="BC89" s="487"/>
      <c r="BD89" s="487"/>
      <c r="BE89" s="487"/>
      <c r="BF89" s="487"/>
      <c r="BG89" s="810"/>
      <c r="BH89" s="810"/>
      <c r="BI89" s="810"/>
      <c r="BJ89" s="810" t="s">
        <v>163</v>
      </c>
      <c r="BK89" s="810"/>
      <c r="BL89" s="810"/>
      <c r="BM89" s="810"/>
      <c r="BN89" s="810" t="s">
        <v>163</v>
      </c>
      <c r="BO89" s="810"/>
      <c r="BP89" s="810"/>
      <c r="BQ89" s="810"/>
      <c r="BR89" s="810"/>
      <c r="BS89" s="810"/>
      <c r="BT89" s="810"/>
      <c r="BU89" s="810"/>
      <c r="BV89" s="810"/>
      <c r="BW89" s="810"/>
      <c r="BX89" s="810"/>
      <c r="BY89" s="810"/>
      <c r="BZ89" s="810"/>
      <c r="CA89" s="810"/>
      <c r="CC89" s="810"/>
      <c r="CD89" s="810"/>
      <c r="CE89" s="810"/>
      <c r="CF89" s="810" t="str">
        <f>BN89</f>
        <v>6.  Pre-Tax Income / (Loss) (% Pre-Tax Margin) / %Change</v>
      </c>
      <c r="CG89" s="810"/>
      <c r="CH89" s="810"/>
      <c r="CI89" s="810"/>
      <c r="CJ89" s="810"/>
      <c r="CK89" s="810"/>
      <c r="CL89" s="810"/>
      <c r="CM89" s="810"/>
      <c r="CN89" s="810"/>
      <c r="CO89" s="810"/>
      <c r="CP89" s="810"/>
      <c r="CQ89" s="810"/>
      <c r="CR89" s="810"/>
      <c r="CS89" s="810"/>
      <c r="CT89" s="810"/>
      <c r="CU89" s="810"/>
      <c r="CV89" s="810"/>
      <c r="CW89" s="947"/>
      <c r="CX89" s="810"/>
      <c r="CY89" s="810"/>
      <c r="CZ89" s="810"/>
      <c r="DA89" s="947"/>
      <c r="DB89" s="810" t="str">
        <f>CF89</f>
        <v>6.  Pre-Tax Income / (Loss) (% Pre-Tax Margin) / %Change</v>
      </c>
      <c r="DC89" s="810"/>
      <c r="DD89" s="810"/>
      <c r="DE89" s="947"/>
      <c r="DF89" s="810"/>
      <c r="DG89" s="810"/>
      <c r="DH89" s="810"/>
      <c r="DI89" s="947"/>
      <c r="DJ89" s="810"/>
      <c r="DK89" s="810"/>
      <c r="DL89" s="810"/>
      <c r="DM89" s="947"/>
      <c r="DN89" s="810"/>
      <c r="DO89" s="810"/>
      <c r="DP89" s="810"/>
      <c r="DQ89" s="947"/>
      <c r="DR89" s="947"/>
      <c r="DS89" s="947"/>
      <c r="DT89" s="947"/>
      <c r="DU89" s="947"/>
      <c r="DV89" s="947"/>
      <c r="DW89" s="947"/>
      <c r="DX89" s="947"/>
      <c r="DY89" s="794"/>
      <c r="DZ89" s="794"/>
      <c r="EA89" s="794"/>
      <c r="EB89" s="794"/>
    </row>
    <row r="90" spans="1:132">
      <c r="A90" s="487"/>
      <c r="B90" s="487"/>
      <c r="C90" s="487"/>
      <c r="D90" s="487"/>
      <c r="E90" s="487"/>
      <c r="F90" s="487"/>
      <c r="G90" s="487"/>
      <c r="H90" s="487"/>
      <c r="I90" s="487"/>
      <c r="J90" s="487"/>
      <c r="K90" s="487"/>
      <c r="L90" s="487"/>
      <c r="M90" s="487"/>
      <c r="N90" s="487"/>
      <c r="O90" s="487"/>
      <c r="P90" s="487"/>
      <c r="Q90" s="487"/>
      <c r="R90" s="487"/>
      <c r="S90" s="487"/>
      <c r="T90" s="487"/>
      <c r="U90" s="487"/>
      <c r="V90" s="487"/>
      <c r="W90" s="487"/>
      <c r="X90" s="487"/>
      <c r="Y90" s="487"/>
      <c r="Z90" s="487"/>
      <c r="AA90" s="487"/>
      <c r="AB90" s="487"/>
      <c r="AC90" s="487"/>
      <c r="AD90" s="487"/>
      <c r="AE90" s="487"/>
      <c r="AF90" s="487"/>
      <c r="AG90" s="487"/>
      <c r="AH90" s="487"/>
      <c r="AI90" s="487"/>
      <c r="AJ90" s="487"/>
      <c r="AK90" s="487"/>
      <c r="AL90" s="487"/>
      <c r="AM90" s="487"/>
      <c r="AN90" s="487"/>
      <c r="AO90" s="487"/>
      <c r="AP90" s="487"/>
      <c r="AQ90" s="487"/>
      <c r="AR90" s="487"/>
      <c r="AS90" s="487"/>
      <c r="AT90" s="487"/>
      <c r="AU90" s="487"/>
      <c r="AV90" s="487"/>
      <c r="AW90" s="487"/>
      <c r="AX90" s="487"/>
      <c r="AY90" s="487"/>
      <c r="AZ90" s="487"/>
      <c r="BA90" s="487"/>
      <c r="BB90" s="487"/>
      <c r="BC90" s="487"/>
      <c r="BD90" s="487"/>
      <c r="BE90" s="487"/>
      <c r="BF90" s="487"/>
      <c r="BG90" s="487"/>
      <c r="BH90" s="487"/>
      <c r="BI90" s="487"/>
      <c r="BJ90" s="487"/>
      <c r="BK90" s="487"/>
      <c r="BL90" s="487"/>
      <c r="BM90" s="487"/>
      <c r="BN90" s="487"/>
      <c r="BO90" s="487"/>
      <c r="BP90" s="487"/>
      <c r="BQ90" s="487"/>
      <c r="BR90" s="487"/>
      <c r="BS90" s="487"/>
      <c r="BT90" s="487"/>
      <c r="BU90" s="487"/>
      <c r="BV90" s="487"/>
      <c r="BW90" s="487"/>
      <c r="BX90" s="487"/>
      <c r="BY90" s="487"/>
      <c r="BZ90" s="487"/>
      <c r="CA90" s="487"/>
      <c r="CB90" s="487"/>
      <c r="CC90" s="487"/>
      <c r="CD90" s="487"/>
      <c r="CE90" s="487"/>
      <c r="CF90" s="487"/>
      <c r="CG90" s="487"/>
      <c r="CH90" s="487"/>
      <c r="CI90" s="487"/>
      <c r="CJ90" s="487"/>
      <c r="CK90" s="487"/>
      <c r="CL90" s="487"/>
      <c r="CM90" s="487"/>
      <c r="CN90" s="487"/>
      <c r="CO90" s="487"/>
      <c r="CP90" s="487"/>
      <c r="CQ90" s="487"/>
      <c r="CR90" s="487"/>
      <c r="CS90" s="487"/>
      <c r="CT90" s="487"/>
      <c r="CU90" s="487"/>
      <c r="CV90" s="487"/>
      <c r="CW90" s="794"/>
      <c r="CX90" s="487"/>
      <c r="CY90" s="487"/>
      <c r="CZ90" s="487"/>
      <c r="DA90" s="794"/>
      <c r="DB90" s="487"/>
      <c r="DC90" s="487"/>
      <c r="DD90" s="487"/>
      <c r="DE90" s="794"/>
      <c r="DF90" s="487"/>
      <c r="DG90" s="487"/>
      <c r="DH90" s="487"/>
      <c r="DI90" s="794"/>
      <c r="DJ90" s="487"/>
      <c r="DK90" s="487"/>
      <c r="DL90" s="487"/>
      <c r="DM90" s="794"/>
      <c r="DN90" s="487"/>
      <c r="DO90" s="487"/>
      <c r="DP90" s="487"/>
      <c r="DQ90" s="794"/>
      <c r="DR90" s="794"/>
      <c r="DS90" s="794"/>
      <c r="DT90" s="794"/>
      <c r="DU90" s="794"/>
      <c r="DV90" s="794"/>
      <c r="DW90" s="794"/>
      <c r="DX90" s="794"/>
      <c r="DY90" s="794"/>
      <c r="DZ90" s="794"/>
      <c r="EA90" s="794"/>
      <c r="EB90" s="794"/>
    </row>
    <row r="91" spans="1:132">
      <c r="A91" s="487" t="str">
        <f>$A$10</f>
        <v>1Q</v>
      </c>
      <c r="B91" s="487" t="str">
        <f>$B$10</f>
        <v>Apr</v>
      </c>
      <c r="C91" s="487"/>
      <c r="D91" s="859"/>
      <c r="E91" s="487"/>
      <c r="F91" s="859">
        <f>F61-F81</f>
        <v>24.602999999999959</v>
      </c>
      <c r="G91" s="877">
        <f t="shared" ref="G91:G97" si="252">F91/F10*100</f>
        <v>4.7888398600894906</v>
      </c>
      <c r="H91" s="783"/>
      <c r="I91" s="487"/>
      <c r="J91" s="859">
        <f>J61-J81</f>
        <v>24.882000000000033</v>
      </c>
      <c r="K91" s="877">
        <f t="shared" ref="K91:K97" si="253">J91/J10*100</f>
        <v>4.1243777878337369</v>
      </c>
      <c r="L91" s="783"/>
      <c r="M91" s="487"/>
      <c r="N91" s="859">
        <f>N61-N81</f>
        <v>26.038999999999987</v>
      </c>
      <c r="O91" s="877">
        <f t="shared" ref="O91:O97" si="254">N91/N10*100</f>
        <v>3.8809903165274813</v>
      </c>
      <c r="P91" s="783"/>
      <c r="Q91" s="487"/>
      <c r="R91" s="859">
        <f>R61-R81</f>
        <v>32.003999999999991</v>
      </c>
      <c r="S91" s="877">
        <f t="shared" ref="S91:S97" si="255">R91/R10*100</f>
        <v>5.39023815137939</v>
      </c>
      <c r="T91" s="783"/>
      <c r="U91" s="487"/>
      <c r="V91" s="859">
        <f>V61-V81</f>
        <v>32.850000000000009</v>
      </c>
      <c r="W91" s="877">
        <f t="shared" ref="W91:W97" si="256">V91/V10*100</f>
        <v>5.0273327742306746</v>
      </c>
      <c r="X91" s="783"/>
      <c r="Y91" s="487"/>
      <c r="Z91" s="859">
        <f>Z61-Z81</f>
        <v>13.717999999999954</v>
      </c>
      <c r="AA91" s="877">
        <f t="shared" ref="AA91:AA97" si="257">Z91/Z10*100</f>
        <v>1.9217756882346861</v>
      </c>
      <c r="AB91" s="783">
        <f t="shared" ref="AB91:AB97" si="258">IF(V91&lt;0,"       NM",(Z91/V91-1)*100)</f>
        <v>-58.240487062405023</v>
      </c>
      <c r="AC91" s="487"/>
      <c r="AD91" s="859">
        <f>AD61-AD81</f>
        <v>39.375000000000135</v>
      </c>
      <c r="AE91" s="877">
        <f t="shared" ref="AE91:AE97" si="259">AD91/AD10*100</f>
        <v>2.6744832898284141</v>
      </c>
      <c r="AF91" s="783">
        <f t="shared" ref="AF91:AF97" si="260">IF(Z91&lt;0,"       NM",(AD91/Z91-1)*100)</f>
        <v>187.03163726490936</v>
      </c>
      <c r="AG91" s="487"/>
      <c r="AH91" s="859">
        <f>AH61-AH81</f>
        <v>82.938000000000173</v>
      </c>
      <c r="AI91" s="877">
        <f t="shared" ref="AI91:AI97" si="261">AH91/AH10*100</f>
        <v>5.3160273050668314</v>
      </c>
      <c r="AJ91" s="783">
        <f t="shared" ref="AJ91:AJ97" si="262">IF(AD91&lt;0,"       NM",(AH91/AD91-1)*100)</f>
        <v>110.63619047619019</v>
      </c>
      <c r="AK91" s="487"/>
      <c r="AL91" s="859">
        <f>AL61-AL81</f>
        <v>136.92200000000017</v>
      </c>
      <c r="AM91" s="877">
        <f t="shared" ref="AM91:AM97" si="263">AL91/AL10*100</f>
        <v>7.8073930804197733</v>
      </c>
      <c r="AN91" s="783">
        <f t="shared" ref="AN91:AN97" si="264">IF(AH91&lt;0,"       NM",(AL91/AH91-1)*100)</f>
        <v>65.089584991198109</v>
      </c>
      <c r="AO91" s="487"/>
      <c r="AP91" s="859">
        <f>AP61-AP81</f>
        <v>201.77200000000019</v>
      </c>
      <c r="AQ91" s="877">
        <f t="shared" ref="AQ91:AQ97" si="265">AP91/AP10*100</f>
        <v>10.451767567673977</v>
      </c>
      <c r="AR91" s="783">
        <f t="shared" ref="AR91:AR97" si="266">IF(AL91&lt;0,"       NM",(AP91/AL91-1)*100)</f>
        <v>47.362732066431931</v>
      </c>
      <c r="AS91" s="487"/>
      <c r="AT91" s="859">
        <f>AT61-AT81</f>
        <v>213.36600000000004</v>
      </c>
      <c r="AU91" s="877">
        <f t="shared" ref="AU91:AU97" si="267">AT91/AT10*100</f>
        <v>10.121169802800226</v>
      </c>
      <c r="AV91" s="783">
        <f t="shared" ref="AV91:AV97" si="268">IF(AP91&lt;0,"       NM",(AT91/AP91-1)*100)</f>
        <v>5.7460896457386834</v>
      </c>
      <c r="AW91" s="487"/>
      <c r="AX91" s="859">
        <f>AX61-AX81</f>
        <v>199.79199999999997</v>
      </c>
      <c r="AY91" s="877">
        <f t="shared" ref="AY91:AY97" si="269">AX91/AX10*100</f>
        <v>8.7979408999535416</v>
      </c>
      <c r="AZ91" s="783">
        <f t="shared" ref="AZ91:AZ97" si="270">IF(AT91&lt;0,"       NM",(AX91/AT91-1)*100)</f>
        <v>-6.3618383435036785</v>
      </c>
      <c r="BA91" s="487"/>
      <c r="BB91" s="859">
        <f>BB61-BB81</f>
        <v>237.64699999999996</v>
      </c>
      <c r="BC91" s="877">
        <f t="shared" ref="BC91:BC97" si="271">BB91/BB10*100</f>
        <v>8.9150376619610618</v>
      </c>
      <c r="BD91" s="783">
        <f t="shared" ref="BD91:BD97" si="272">IF(AX91&lt;0,"       NM",(BB91/AX91-1)*100)</f>
        <v>18.947205093297036</v>
      </c>
      <c r="BE91" s="487"/>
      <c r="BF91" s="859">
        <f>BF61-BF81</f>
        <v>165.57299999999987</v>
      </c>
      <c r="BG91" s="877">
        <f t="shared" ref="BG91:BG97" si="273">BF91/BF10*100</f>
        <v>5.9372719595654564</v>
      </c>
      <c r="BH91" s="783">
        <f t="shared" ref="BH91:BH97" si="274">IF(BB91&lt;0,"       NM",(BF91/BB91-1)*100)</f>
        <v>-30.328175823805946</v>
      </c>
      <c r="BI91" s="487"/>
      <c r="BJ91" s="859">
        <f>BJ61-BJ81</f>
        <v>252.35499999999999</v>
      </c>
      <c r="BK91" s="877">
        <f t="shared" ref="BK91:BK97" si="275">BJ91/BJ10*100</f>
        <v>7.5268355376517739</v>
      </c>
      <c r="BL91" s="783">
        <f t="shared" ref="BL91:BL97" si="276">IF(BF91&lt;0,"       NM",(BJ91/BF91-1)*100)</f>
        <v>52.413134991816413</v>
      </c>
      <c r="BM91" s="487"/>
      <c r="BN91" s="859">
        <f>BN61-BN81</f>
        <v>219.78000000000014</v>
      </c>
      <c r="BO91" s="877">
        <f t="shared" ref="BO91:BO97" si="277">BN91/BN10*100</f>
        <v>6.0183524424740513</v>
      </c>
      <c r="BP91" s="783">
        <f t="shared" ref="BP91:BP97" si="278">IF(BJ91&lt;0,"       NM",(BN91/BJ91-1)*100)</f>
        <v>-12.908402845198175</v>
      </c>
      <c r="BQ91" s="487"/>
      <c r="BR91" s="859">
        <f>BR61-BR81-BR72</f>
        <v>260.48199999999963</v>
      </c>
      <c r="BS91" s="877">
        <f t="shared" ref="BS91:BS97" si="279">BR91/BR10*100</f>
        <v>6.7286172756335318</v>
      </c>
      <c r="BT91" s="783">
        <f t="shared" ref="BT91:BT97" si="280">IF(BN91&lt;0,"       NM",(BR91/BN91-1)*100)</f>
        <v>18.519428519428271</v>
      </c>
      <c r="BU91" s="487"/>
      <c r="BV91" s="859">
        <f>BV61-BV81-BV72</f>
        <v>270.20600000000013</v>
      </c>
      <c r="BW91" s="877">
        <f t="shared" ref="BW91:BW97" si="281">BV91/BV10*100</f>
        <v>6.5774262970958981</v>
      </c>
      <c r="BX91" s="783">
        <f t="shared" ref="BX91:BX97" si="282">IF(BR91&lt;0,"       NM",(BV91/BR91-1)*100)</f>
        <v>3.7330794450290306</v>
      </c>
      <c r="BY91" s="783"/>
      <c r="BZ91" s="859">
        <f>BZ61-BZ81</f>
        <v>296.55200000000013</v>
      </c>
      <c r="CA91" s="877">
        <f t="shared" ref="CA91:CA97" si="283">BZ91/BZ10*100</f>
        <v>6.890861160133892</v>
      </c>
      <c r="CB91" s="783">
        <f t="shared" ref="CB91:CB97" si="284">IF(BV91&lt;0,"       NM",(BZ91/BV91-1)*100)</f>
        <v>9.7503386305263451</v>
      </c>
      <c r="CC91" s="783"/>
      <c r="CD91" s="859">
        <f>CD61-CD81</f>
        <v>339.22000000000014</v>
      </c>
      <c r="CE91" s="877">
        <f t="shared" ref="CE91:CE97" si="285">CD91/CD10*100</f>
        <v>7.7905959822002755</v>
      </c>
      <c r="CF91" s="783">
        <f t="shared" ref="CF91:CF97" si="286">IF(BZ91&lt;0,"       NM",(CD91/BZ91-1)*100)</f>
        <v>14.388033127411038</v>
      </c>
      <c r="CG91" s="783"/>
      <c r="CH91" s="859">
        <f>CH61-CH81</f>
        <v>536.30099999999993</v>
      </c>
      <c r="CI91" s="877">
        <f t="shared" ref="CI91:CI97" si="287">CH91/CH10*100</f>
        <v>10.690655312227152</v>
      </c>
      <c r="CJ91" s="783">
        <f t="shared" ref="CJ91:CJ97" si="288">IF(CD91&lt;0,"       NM",(CH91/CD91-1)*100)</f>
        <v>58.098284299274724</v>
      </c>
      <c r="CK91" s="783"/>
      <c r="CL91" s="859">
        <f>CL61-CL81</f>
        <v>498.41699999999997</v>
      </c>
      <c r="CM91" s="877">
        <f t="shared" ref="CM91:CM98" si="289">CL91/CL10*100</f>
        <v>9.564588128417487</v>
      </c>
      <c r="CN91" s="783">
        <f t="shared" ref="CN91:CN97" si="290">IF(CH91&lt;0,"       NM",(CL91/CH91-1)*100)</f>
        <v>-7.0639435690032171</v>
      </c>
      <c r="CO91" s="783"/>
      <c r="CP91" s="859">
        <f>CP61-CP81</f>
        <v>681.4050000000002</v>
      </c>
      <c r="CQ91" s="877">
        <f t="shared" ref="CQ91:CQ98" si="291">CP91/CP10*100</f>
        <v>11.752240308267247</v>
      </c>
      <c r="CR91" s="783">
        <f t="shared" ref="CR91:CR98" si="292">IF(CL91&lt;0,"       NM",(CP91/CL91-1)*100)</f>
        <v>36.713836004791212</v>
      </c>
      <c r="CS91" s="783"/>
      <c r="CT91" s="859">
        <f>CT61-CT81</f>
        <v>731.88499999999999</v>
      </c>
      <c r="CU91" s="877">
        <f t="shared" ref="CU91:CU98" si="293">CT91/CT10*100</f>
        <v>11.824414110810553</v>
      </c>
      <c r="CV91" s="783">
        <f t="shared" ref="CV91:CV98" si="294">IF(CP91&lt;0,"       NM",(CT91/CP91-1)*100)</f>
        <v>7.408222716299373</v>
      </c>
      <c r="CW91" s="883"/>
      <c r="CX91" s="859">
        <f>CX61-CX81</f>
        <v>730.5310000000004</v>
      </c>
      <c r="CY91" s="877">
        <f t="shared" ref="CY91:CY98" si="295">CX91/CX10*100</f>
        <v>11.254216493282579</v>
      </c>
      <c r="CZ91" s="783">
        <f t="shared" ref="CZ91:CZ98" si="296">IF(CT91&lt;0,"       NM",(CX91/CT91-1)*100)</f>
        <v>-0.18500174207690678</v>
      </c>
      <c r="DA91" s="883"/>
      <c r="DB91" s="859">
        <f>DB61-DB81-DB72</f>
        <v>765.11499999999978</v>
      </c>
      <c r="DC91" s="877">
        <f t="shared" ref="DC91:DC98" si="297">DB91/DB10*100</f>
        <v>11.144122533713912</v>
      </c>
      <c r="DD91" s="783">
        <f t="shared" ref="DD91:DD98" si="298">IF(CX91&lt;0,"       NM",(DB91/CX91-1)*100)</f>
        <v>4.734090681983294</v>
      </c>
      <c r="DE91" s="883"/>
      <c r="DF91" s="859">
        <f>DF61-DF81-DF72</f>
        <v>824.96899999999982</v>
      </c>
      <c r="DG91" s="877">
        <f t="shared" ref="DG91:DG98" si="299">DF91/DF10*100</f>
        <v>10.93781571699877</v>
      </c>
      <c r="DH91" s="783">
        <f t="shared" ref="DH91:DH98" si="300">IF(DB91&lt;0,"       NM",(DF91/DB91-1)*100)</f>
        <v>7.822876299641246</v>
      </c>
      <c r="DI91" s="883"/>
      <c r="DJ91" s="859">
        <f>DJ61-DJ81-DJ72</f>
        <v>832.50800000000015</v>
      </c>
      <c r="DK91" s="877">
        <f t="shared" ref="DK91:DK98" si="301">DJ91/DJ10*100</f>
        <v>10.6950852155646</v>
      </c>
      <c r="DL91" s="783">
        <f t="shared" ref="DL91:DL98" si="302">IF(DF91&lt;0,"       NM",(DJ91/DF91-1)*100)</f>
        <v>0.91385252051898735</v>
      </c>
      <c r="DM91" s="883"/>
      <c r="DN91" s="859">
        <f>DN61-DN81-DN72</f>
        <v>872.11106988799952</v>
      </c>
      <c r="DO91" s="877">
        <f t="shared" ref="DO91:DO98" si="303">DN91/DN10*100</f>
        <v>10.25052672050256</v>
      </c>
      <c r="DP91" s="783">
        <f t="shared" ref="DP91:DP98" si="304">IF(DJ91&lt;0,"       NM",(DN91/DJ91-1)*100)</f>
        <v>4.7570797983922608</v>
      </c>
      <c r="DQ91" s="883"/>
      <c r="DR91" s="883"/>
      <c r="DS91" s="794"/>
      <c r="DT91" s="794"/>
      <c r="DU91" s="794"/>
      <c r="DV91" s="794"/>
      <c r="DW91" s="794"/>
      <c r="DX91" s="794"/>
      <c r="DY91" s="794"/>
      <c r="DZ91" s="794"/>
      <c r="EA91" s="794"/>
      <c r="EB91" s="794"/>
    </row>
    <row r="92" spans="1:132">
      <c r="A92" s="487" t="str">
        <f>$A$11</f>
        <v>2Q</v>
      </c>
      <c r="B92" s="487" t="str">
        <f>$B$11</f>
        <v>Jul</v>
      </c>
      <c r="C92" s="487"/>
      <c r="D92" s="864"/>
      <c r="E92" s="487"/>
      <c r="F92" s="864">
        <f>F62-F82</f>
        <v>24.362999999999996</v>
      </c>
      <c r="G92" s="877">
        <f t="shared" si="252"/>
        <v>4.2556945220793727</v>
      </c>
      <c r="H92" s="487"/>
      <c r="I92" s="487"/>
      <c r="J92" s="864">
        <f>J62-J82</f>
        <v>23.879000000000048</v>
      </c>
      <c r="K92" s="877">
        <f t="shared" si="253"/>
        <v>3.6765600245114336</v>
      </c>
      <c r="L92" s="487"/>
      <c r="M92" s="487"/>
      <c r="N92" s="864">
        <f>N62-N82</f>
        <v>32.457999999999913</v>
      </c>
      <c r="O92" s="877">
        <f t="shared" si="254"/>
        <v>4.3069337147800768</v>
      </c>
      <c r="P92" s="487"/>
      <c r="Q92" s="487"/>
      <c r="R92" s="864">
        <f>R62-R82</f>
        <v>33.760000000000005</v>
      </c>
      <c r="S92" s="877">
        <f t="shared" si="255"/>
        <v>5.1984607874990578</v>
      </c>
      <c r="T92" s="487"/>
      <c r="U92" s="487"/>
      <c r="V92" s="864">
        <f>V62-V82</f>
        <v>30.317000000000046</v>
      </c>
      <c r="W92" s="877">
        <f t="shared" si="256"/>
        <v>4.3947298611725234</v>
      </c>
      <c r="X92" s="487"/>
      <c r="Y92" s="487"/>
      <c r="Z92" s="864">
        <f>Z62-Z82</f>
        <v>17.634999999999991</v>
      </c>
      <c r="AA92" s="877">
        <f t="shared" si="257"/>
        <v>2.316301588114686</v>
      </c>
      <c r="AB92" s="783">
        <f t="shared" si="258"/>
        <v>-41.831315763433174</v>
      </c>
      <c r="AC92" s="487"/>
      <c r="AD92" s="864">
        <f>AD62-AD82</f>
        <v>57.186999999999969</v>
      </c>
      <c r="AE92" s="877">
        <f t="shared" si="259"/>
        <v>3.6936326544848095</v>
      </c>
      <c r="AF92" s="783">
        <f t="shared" si="260"/>
        <v>224.28125886022113</v>
      </c>
      <c r="AG92" s="487"/>
      <c r="AH92" s="864">
        <f>AH62-AH82</f>
        <v>89.778000000000091</v>
      </c>
      <c r="AI92" s="877">
        <f t="shared" si="261"/>
        <v>5.2861210618168508</v>
      </c>
      <c r="AJ92" s="783">
        <f t="shared" si="262"/>
        <v>56.990225051148236</v>
      </c>
      <c r="AK92" s="487"/>
      <c r="AL92" s="864">
        <f>AL62-AL82</f>
        <v>142.52899999999983</v>
      </c>
      <c r="AM92" s="877">
        <f t="shared" si="263"/>
        <v>7.6313884480539276</v>
      </c>
      <c r="AN92" s="783">
        <f t="shared" si="264"/>
        <v>58.75715654169138</v>
      </c>
      <c r="AO92" s="487"/>
      <c r="AP92" s="864">
        <f>AP62-AP82</f>
        <v>185.15800000000007</v>
      </c>
      <c r="AQ92" s="877">
        <f t="shared" si="265"/>
        <v>8.8050936561839173</v>
      </c>
      <c r="AR92" s="783">
        <f t="shared" si="266"/>
        <v>29.909000975240339</v>
      </c>
      <c r="AS92" s="487"/>
      <c r="AT92" s="864">
        <f>AT62-AT82</f>
        <v>186.32799999999997</v>
      </c>
      <c r="AU92" s="877">
        <f t="shared" si="267"/>
        <v>8.2512685027814499</v>
      </c>
      <c r="AV92" s="783">
        <f t="shared" si="268"/>
        <v>0.63189276185737775</v>
      </c>
      <c r="AW92" s="487"/>
      <c r="AX92" s="864">
        <f>AX62-AX82</f>
        <v>180.7879999999999</v>
      </c>
      <c r="AY92" s="877">
        <f t="shared" si="269"/>
        <v>7.2675028601612262</v>
      </c>
      <c r="AZ92" s="783">
        <f t="shared" si="270"/>
        <v>-2.97325147052514</v>
      </c>
      <c r="BA92" s="487"/>
      <c r="BB92" s="864">
        <f>BB62-BB82</f>
        <v>210.86200000000005</v>
      </c>
      <c r="BC92" s="877">
        <f t="shared" si="271"/>
        <v>7.6258666538400774</v>
      </c>
      <c r="BD92" s="783">
        <f t="shared" si="272"/>
        <v>16.634953647366068</v>
      </c>
      <c r="BE92" s="487"/>
      <c r="BF92" s="864">
        <f>BF62-BF82</f>
        <v>181.46300000000002</v>
      </c>
      <c r="BG92" s="877">
        <f t="shared" si="273"/>
        <v>5.9570597179947109</v>
      </c>
      <c r="BH92" s="783">
        <f t="shared" si="274"/>
        <v>-13.942294012197564</v>
      </c>
      <c r="BI92" s="487"/>
      <c r="BJ92" s="864">
        <f>BJ62-BJ82</f>
        <v>172.35100000000006</v>
      </c>
      <c r="BK92" s="877">
        <f t="shared" si="275"/>
        <v>5.0479353375975737</v>
      </c>
      <c r="BL92" s="783">
        <f t="shared" si="276"/>
        <v>-5.02140932311268</v>
      </c>
      <c r="BM92" s="487"/>
      <c r="BN92" s="864">
        <f>BN62-BN82</f>
        <v>179.94500000000008</v>
      </c>
      <c r="BO92" s="877">
        <f t="shared" si="277"/>
        <v>4.9328840478241274</v>
      </c>
      <c r="BP92" s="783">
        <f t="shared" si="278"/>
        <v>4.40612471061963</v>
      </c>
      <c r="BQ92" s="487"/>
      <c r="BR92" s="864">
        <f>BR62-BR82-BR73</f>
        <v>230.65900000000022</v>
      </c>
      <c r="BS92" s="877">
        <f t="shared" si="279"/>
        <v>5.8193452060331179</v>
      </c>
      <c r="BT92" s="783">
        <f t="shared" si="280"/>
        <v>28.183055933757608</v>
      </c>
      <c r="BU92" s="487"/>
      <c r="BV92" s="864">
        <f>BV62-BV82-BV73</f>
        <v>95.531999999999584</v>
      </c>
      <c r="BW92" s="877">
        <f t="shared" si="281"/>
        <v>2.2148249436973653</v>
      </c>
      <c r="BX92" s="783">
        <f t="shared" si="282"/>
        <v>-58.58301648754243</v>
      </c>
      <c r="BY92" s="783"/>
      <c r="BZ92" s="864">
        <f>BZ62-BZ82</f>
        <v>337.37500000000017</v>
      </c>
      <c r="CA92" s="877">
        <f t="shared" si="283"/>
        <v>7.4076798345334591</v>
      </c>
      <c r="CB92" s="881">
        <f t="shared" si="284"/>
        <v>253.1539170121024</v>
      </c>
      <c r="CC92" s="783"/>
      <c r="CD92" s="864">
        <f>CD62-CD82</f>
        <v>413.10100000000011</v>
      </c>
      <c r="CE92" s="877">
        <f t="shared" si="285"/>
        <v>8.7013915452420729</v>
      </c>
      <c r="CF92" s="881">
        <f t="shared" si="286"/>
        <v>22.445646535753959</v>
      </c>
      <c r="CG92" s="783"/>
      <c r="CH92" s="864">
        <f>CH62-CH82</f>
        <v>484.79699999999985</v>
      </c>
      <c r="CI92" s="877">
        <f t="shared" si="287"/>
        <v>9.5656935170715514</v>
      </c>
      <c r="CJ92" s="881">
        <f t="shared" si="288"/>
        <v>17.355561957003186</v>
      </c>
      <c r="CK92" s="783"/>
      <c r="CL92" s="864">
        <f>CL62-CL82-CL73</f>
        <v>559.43700000000047</v>
      </c>
      <c r="CM92" s="877">
        <f t="shared" si="289"/>
        <v>10.230595613899386</v>
      </c>
      <c r="CN92" s="881">
        <f t="shared" si="290"/>
        <v>15.396134877072388</v>
      </c>
      <c r="CO92" s="783"/>
      <c r="CP92" s="864">
        <f>CP62-CP82-CP73</f>
        <v>682.78999999999985</v>
      </c>
      <c r="CQ92" s="877">
        <f t="shared" si="291"/>
        <v>11.484033713230325</v>
      </c>
      <c r="CR92" s="881">
        <f t="shared" si="292"/>
        <v>22.049489039873894</v>
      </c>
      <c r="CS92" s="783"/>
      <c r="CT92" s="864">
        <f>CT62-CT82-CT73</f>
        <v>772.44600000000048</v>
      </c>
      <c r="CU92" s="877">
        <f t="shared" si="293"/>
        <v>11.989990103104056</v>
      </c>
      <c r="CV92" s="881">
        <f t="shared" si="294"/>
        <v>13.130830855753683</v>
      </c>
      <c r="CW92" s="883"/>
      <c r="CX92" s="864">
        <f>CX62-CX82</f>
        <v>847.44800000000066</v>
      </c>
      <c r="CY92" s="877">
        <f t="shared" si="295"/>
        <v>12.251294307590985</v>
      </c>
      <c r="CZ92" s="783">
        <f t="shared" si="296"/>
        <v>9.7096754983519986</v>
      </c>
      <c r="DA92" s="883"/>
      <c r="DB92" s="864">
        <f>DB62-DB82-DB73</f>
        <v>886.19399999999996</v>
      </c>
      <c r="DC92" s="877">
        <f t="shared" si="297"/>
        <v>12.03457866671121</v>
      </c>
      <c r="DD92" s="783">
        <f t="shared" si="298"/>
        <v>4.572079938828022</v>
      </c>
      <c r="DE92" s="883"/>
      <c r="DF92" s="864">
        <f>DF62-DF82-DF73</f>
        <v>914.58199999999965</v>
      </c>
      <c r="DG92" s="877">
        <f t="shared" si="299"/>
        <v>11.603347503499402</v>
      </c>
      <c r="DH92" s="783">
        <f t="shared" si="300"/>
        <v>3.2033617921132018</v>
      </c>
      <c r="DI92" s="883"/>
      <c r="DJ92" s="864">
        <f>DJ62-DJ82-DJ73</f>
        <v>891.70000000000061</v>
      </c>
      <c r="DK92" s="877">
        <f t="shared" si="301"/>
        <v>10.66920324969789</v>
      </c>
      <c r="DL92" s="783">
        <f t="shared" si="302"/>
        <v>-2.5019079754466045</v>
      </c>
      <c r="DM92" s="883"/>
      <c r="DN92" s="864">
        <f>DN62-DN82-DN73</f>
        <v>938.69031157500103</v>
      </c>
      <c r="DO92" s="877">
        <f t="shared" si="303"/>
        <v>10.517536707927912</v>
      </c>
      <c r="DP92" s="783">
        <f t="shared" si="304"/>
        <v>5.2697444852529252</v>
      </c>
      <c r="DQ92" s="883"/>
      <c r="DR92" s="883"/>
      <c r="DS92" s="794"/>
      <c r="DT92" s="794"/>
      <c r="DU92" s="794"/>
      <c r="DV92" s="794"/>
      <c r="DW92" s="794"/>
      <c r="DX92" s="794"/>
      <c r="DY92" s="794"/>
      <c r="DZ92" s="794"/>
      <c r="EA92" s="794"/>
      <c r="EB92" s="794"/>
    </row>
    <row r="93" spans="1:132">
      <c r="A93" s="487" t="str">
        <f>$A$12</f>
        <v>3Q</v>
      </c>
      <c r="B93" s="487" t="str">
        <f>$B$12</f>
        <v>Oct</v>
      </c>
      <c r="C93" s="487"/>
      <c r="D93" s="864"/>
      <c r="E93" s="487"/>
      <c r="F93" s="864">
        <f>F63-F83</f>
        <v>50.396000000000008</v>
      </c>
      <c r="G93" s="877">
        <f t="shared" si="252"/>
        <v>7.8014799219790101</v>
      </c>
      <c r="H93" s="487"/>
      <c r="I93" s="487"/>
      <c r="J93" s="864">
        <f>J63-J83</f>
        <v>47.503000000000029</v>
      </c>
      <c r="K93" s="877">
        <f t="shared" si="253"/>
        <v>6.7354442063950106</v>
      </c>
      <c r="L93" s="487"/>
      <c r="M93" s="487"/>
      <c r="N93" s="864">
        <f>N63-N83</f>
        <v>68.592000000000041</v>
      </c>
      <c r="O93" s="877">
        <f t="shared" si="254"/>
        <v>8.1743167809933368</v>
      </c>
      <c r="P93" s="487"/>
      <c r="Q93" s="487"/>
      <c r="R93" s="864">
        <f>R63-R83</f>
        <v>72.144999999999968</v>
      </c>
      <c r="S93" s="877">
        <f t="shared" si="255"/>
        <v>9.5816073513220577</v>
      </c>
      <c r="T93" s="487"/>
      <c r="U93" s="487"/>
      <c r="V93" s="864">
        <f>V63-V83</f>
        <v>56.138000000000062</v>
      </c>
      <c r="W93" s="877">
        <f t="shared" si="256"/>
        <v>6.9853531312643717</v>
      </c>
      <c r="X93" s="487"/>
      <c r="Y93" s="487"/>
      <c r="Z93" s="864">
        <f>Z63-Z83</f>
        <v>44.384</v>
      </c>
      <c r="AA93" s="877">
        <f t="shared" si="257"/>
        <v>5.1536551890703119</v>
      </c>
      <c r="AB93" s="783">
        <f t="shared" si="258"/>
        <v>-20.93768926573809</v>
      </c>
      <c r="AC93" s="487"/>
      <c r="AD93" s="864">
        <f>AD63-AD83</f>
        <v>139.89600000000013</v>
      </c>
      <c r="AE93" s="877">
        <f t="shared" si="259"/>
        <v>8.1220183821800553</v>
      </c>
      <c r="AF93" s="783">
        <f t="shared" si="260"/>
        <v>215.19466474405218</v>
      </c>
      <c r="AG93" s="487"/>
      <c r="AH93" s="864">
        <f>AH63-AH83</f>
        <v>182.5030000000001</v>
      </c>
      <c r="AI93" s="877">
        <f t="shared" si="261"/>
        <v>9.6680189309942648</v>
      </c>
      <c r="AJ93" s="783">
        <f t="shared" si="262"/>
        <v>30.456196031337512</v>
      </c>
      <c r="AK93" s="487"/>
      <c r="AL93" s="864">
        <f>AL63-AL83</f>
        <v>213.18499999999995</v>
      </c>
      <c r="AM93" s="877">
        <f t="shared" si="263"/>
        <v>10.640612966389366</v>
      </c>
      <c r="AN93" s="783">
        <f t="shared" si="264"/>
        <v>16.811778436518754</v>
      </c>
      <c r="AO93" s="487"/>
      <c r="AP93" s="864">
        <f>AP63-AP83</f>
        <v>246.19100000000009</v>
      </c>
      <c r="AQ93" s="877">
        <f t="shared" si="265"/>
        <v>11.014991136679475</v>
      </c>
      <c r="AR93" s="783">
        <f t="shared" si="266"/>
        <v>15.482327555878772</v>
      </c>
      <c r="AS93" s="487"/>
      <c r="AT93" s="864">
        <f>AT63-AT83</f>
        <v>258.61799999999999</v>
      </c>
      <c r="AU93" s="877">
        <f t="shared" si="267"/>
        <v>10.5069003104317</v>
      </c>
      <c r="AV93" s="783">
        <f t="shared" si="268"/>
        <v>5.0477068617455156</v>
      </c>
      <c r="AW93" s="487"/>
      <c r="AX93" s="864">
        <f>AX63-AX83</f>
        <v>241.51499999999967</v>
      </c>
      <c r="AY93" s="877">
        <f t="shared" si="269"/>
        <v>8.8087289629432561</v>
      </c>
      <c r="AZ93" s="783">
        <f t="shared" si="270"/>
        <v>-6.6132287775794163</v>
      </c>
      <c r="BA93" s="487"/>
      <c r="BB93" s="864">
        <f>BB63-BB83</f>
        <v>239.15999999999985</v>
      </c>
      <c r="BC93" s="877">
        <f t="shared" si="271"/>
        <v>7.8543161628269713</v>
      </c>
      <c r="BD93" s="783">
        <f t="shared" si="272"/>
        <v>-0.97509471461392216</v>
      </c>
      <c r="BE93" s="487"/>
      <c r="BF93" s="864">
        <f>BF63-BF83</f>
        <v>278.32600000000002</v>
      </c>
      <c r="BG93" s="877">
        <f t="shared" si="273"/>
        <v>8.2163821066689646</v>
      </c>
      <c r="BH93" s="783">
        <f t="shared" si="274"/>
        <v>16.376484361933507</v>
      </c>
      <c r="BI93" s="487"/>
      <c r="BJ93" s="864">
        <f>BJ63-BJ83</f>
        <v>300.30000000000007</v>
      </c>
      <c r="BK93" s="877">
        <f t="shared" si="275"/>
        <v>7.8667138197964572</v>
      </c>
      <c r="BL93" s="783">
        <f t="shared" si="276"/>
        <v>7.8950583129136387</v>
      </c>
      <c r="BM93" s="487"/>
      <c r="BN93" s="864">
        <f>BN63-BN83</f>
        <v>257.31599999999969</v>
      </c>
      <c r="BO93" s="877">
        <f t="shared" si="277"/>
        <v>6.3661950086988464</v>
      </c>
      <c r="BP93" s="783">
        <f t="shared" si="278"/>
        <v>-14.313686313686436</v>
      </c>
      <c r="BQ93" s="487"/>
      <c r="BR93" s="864">
        <f>BR63-BR83-BR74</f>
        <v>375.72600000000023</v>
      </c>
      <c r="BS93" s="877">
        <f t="shared" si="279"/>
        <v>8.3999729037459279</v>
      </c>
      <c r="BT93" s="783">
        <f t="shared" si="280"/>
        <v>46.017348318798938</v>
      </c>
      <c r="BU93" s="487"/>
      <c r="BV93" s="864">
        <f>BV63-BV83-BV74</f>
        <v>403.32099999999991</v>
      </c>
      <c r="BW93" s="877">
        <f t="shared" si="281"/>
        <v>8.6573387786081906</v>
      </c>
      <c r="BX93" s="783">
        <f t="shared" si="282"/>
        <v>7.3444478156953874</v>
      </c>
      <c r="BY93" s="783"/>
      <c r="BZ93" s="864">
        <f>BZ63-BZ83</f>
        <v>411.25799999999998</v>
      </c>
      <c r="CA93" s="877">
        <f t="shared" si="283"/>
        <v>8.6370977395921056</v>
      </c>
      <c r="CB93" s="783">
        <f t="shared" si="284"/>
        <v>1.9679114154730559</v>
      </c>
      <c r="CC93" s="783"/>
      <c r="CD93" s="864">
        <f>CD63-CD83</f>
        <v>566.00499999999988</v>
      </c>
      <c r="CE93" s="877">
        <f t="shared" si="285"/>
        <v>10.791436174938692</v>
      </c>
      <c r="CF93" s="783">
        <f t="shared" si="286"/>
        <v>37.62771788026005</v>
      </c>
      <c r="CG93" s="783"/>
      <c r="CH93" s="864">
        <f>CH63-CH83</f>
        <v>597.11699999999973</v>
      </c>
      <c r="CI93" s="877">
        <f t="shared" si="287"/>
        <v>10.805890934005227</v>
      </c>
      <c r="CJ93" s="783">
        <f t="shared" si="288"/>
        <v>5.4967712299361038</v>
      </c>
      <c r="CK93" s="783"/>
      <c r="CL93" s="864">
        <f>CL63-CL83</f>
        <v>663.75199999999916</v>
      </c>
      <c r="CM93" s="877">
        <f t="shared" si="289"/>
        <v>11.457575251228683</v>
      </c>
      <c r="CN93" s="783">
        <f t="shared" si="290"/>
        <v>11.159454512264677</v>
      </c>
      <c r="CO93" s="783"/>
      <c r="CP93" s="864">
        <f>CP63-CP83-CP74</f>
        <v>748.46899999999926</v>
      </c>
      <c r="CQ93" s="877">
        <f t="shared" si="291"/>
        <v>11.674920561236743</v>
      </c>
      <c r="CR93" s="783">
        <f t="shared" si="292"/>
        <v>12.763351372199283</v>
      </c>
      <c r="CS93" s="783"/>
      <c r="CT93" s="864">
        <f>CT63-CT83-CT74</f>
        <v>879.37200000000018</v>
      </c>
      <c r="CU93" s="877">
        <f t="shared" si="293"/>
        <v>12.595067572096671</v>
      </c>
      <c r="CV93" s="783">
        <f t="shared" si="294"/>
        <v>17.489435100184657</v>
      </c>
      <c r="CW93" s="883"/>
      <c r="CX93" s="864">
        <f>CX63-CX83-CX74</f>
        <v>959.09999999999991</v>
      </c>
      <c r="CY93" s="877">
        <f t="shared" si="295"/>
        <v>13.0205186866368</v>
      </c>
      <c r="CZ93" s="783">
        <f t="shared" si="296"/>
        <v>9.0664701627979571</v>
      </c>
      <c r="DA93" s="883"/>
      <c r="DB93" s="864">
        <f>DB63-DB83-DB74</f>
        <v>941.18999999999949</v>
      </c>
      <c r="DC93" s="877">
        <f t="shared" si="297"/>
        <v>12.138912838661785</v>
      </c>
      <c r="DD93" s="783">
        <f t="shared" si="298"/>
        <v>-1.8673756646856887</v>
      </c>
      <c r="DE93" s="883"/>
      <c r="DF93" s="864">
        <f>DF63-DF83-DF74</f>
        <v>972.77900000000045</v>
      </c>
      <c r="DG93" s="877">
        <f t="shared" si="299"/>
        <v>11.731977855413763</v>
      </c>
      <c r="DH93" s="783">
        <f t="shared" si="300"/>
        <v>3.3562830034319369</v>
      </c>
      <c r="DI93" s="883"/>
      <c r="DJ93" s="864">
        <f>DJ63-DJ83-DJ74</f>
        <v>1019.9999999999989</v>
      </c>
      <c r="DK93" s="877">
        <f t="shared" si="301"/>
        <v>11.640885529009759</v>
      </c>
      <c r="DL93" s="783">
        <f t="shared" si="302"/>
        <v>4.8542371905641923</v>
      </c>
      <c r="DM93" s="883"/>
      <c r="DN93" s="864">
        <f>DN63-DN83-DN74</f>
        <v>1070.0991160784013</v>
      </c>
      <c r="DO93" s="877">
        <f t="shared" si="303"/>
        <v>11.458604884379799</v>
      </c>
      <c r="DP93" s="783">
        <f t="shared" si="304"/>
        <v>4.9116780469022014</v>
      </c>
      <c r="DQ93" s="883"/>
      <c r="DR93" s="883"/>
      <c r="DS93" s="794"/>
      <c r="DT93" s="794"/>
      <c r="DU93" s="794"/>
      <c r="DV93" s="794"/>
      <c r="DW93" s="794"/>
      <c r="DX93" s="794"/>
      <c r="DY93" s="794"/>
      <c r="DZ93" s="794"/>
      <c r="EA93" s="794"/>
      <c r="EB93" s="794"/>
    </row>
    <row r="94" spans="1:132">
      <c r="A94" s="487" t="str">
        <f>$A$13</f>
        <v>4Q</v>
      </c>
      <c r="B94" s="487" t="str">
        <f>$B$13</f>
        <v>Jan</v>
      </c>
      <c r="C94" s="499"/>
      <c r="D94" s="937"/>
      <c r="E94" s="499"/>
      <c r="F94" s="937">
        <f>F64-F84</f>
        <v>24.172999999999981</v>
      </c>
      <c r="G94" s="877">
        <f t="shared" si="252"/>
        <v>3.3852802697804925</v>
      </c>
      <c r="H94" s="487"/>
      <c r="I94" s="487"/>
      <c r="J94" s="937">
        <f>J64-J84</f>
        <v>24.960000000000306</v>
      </c>
      <c r="K94" s="877">
        <f t="shared" si="253"/>
        <v>3.1213187571749446</v>
      </c>
      <c r="L94" s="487"/>
      <c r="M94" s="487"/>
      <c r="N94" s="937">
        <f>N64-N84</f>
        <v>46.029000000000003</v>
      </c>
      <c r="O94" s="877">
        <f t="shared" si="254"/>
        <v>4.6141354197470852</v>
      </c>
      <c r="P94" s="487"/>
      <c r="Q94" s="487"/>
      <c r="R94" s="937">
        <f>R64-R84</f>
        <v>47.266999999999996</v>
      </c>
      <c r="S94" s="877">
        <f t="shared" si="255"/>
        <v>5.6542584879072297</v>
      </c>
      <c r="T94" s="487"/>
      <c r="U94" s="487"/>
      <c r="V94" s="937">
        <f>V64-V84</f>
        <v>25.932999999999986</v>
      </c>
      <c r="W94" s="877">
        <f t="shared" si="256"/>
        <v>2.854036183627672</v>
      </c>
      <c r="X94" s="487"/>
      <c r="Y94" s="487"/>
      <c r="Z94" s="937">
        <f>Z64-Z84</f>
        <v>13.059000000000111</v>
      </c>
      <c r="AA94" s="877">
        <f t="shared" si="257"/>
        <v>0.79689322094611237</v>
      </c>
      <c r="AB94" s="783">
        <f t="shared" si="258"/>
        <v>-49.64331161068862</v>
      </c>
      <c r="AC94" s="487"/>
      <c r="AD94" s="937">
        <f>AD64-AD84</f>
        <v>129.68199999999996</v>
      </c>
      <c r="AE94" s="877">
        <f t="shared" si="259"/>
        <v>6.6624025481960958</v>
      </c>
      <c r="AF94" s="783">
        <f t="shared" si="260"/>
        <v>893.04694080709749</v>
      </c>
      <c r="AG94" s="487"/>
      <c r="AH94" s="937">
        <f>AH64-AH84</f>
        <v>167.05200000000011</v>
      </c>
      <c r="AI94" s="877">
        <f t="shared" si="261"/>
        <v>7.4482053852042691</v>
      </c>
      <c r="AJ94" s="783">
        <f t="shared" si="262"/>
        <v>28.816643790194597</v>
      </c>
      <c r="AK94" s="487"/>
      <c r="AL94" s="937">
        <f>AL64-AL84</f>
        <v>210.8760000000002</v>
      </c>
      <c r="AM94" s="877">
        <f t="shared" si="263"/>
        <v>9.0740256253141283</v>
      </c>
      <c r="AN94" s="783">
        <f t="shared" si="264"/>
        <v>26.233747575605236</v>
      </c>
      <c r="AO94" s="487"/>
      <c r="AP94" s="937">
        <f>AP64-AP84</f>
        <v>220.8160000000002</v>
      </c>
      <c r="AQ94" s="877">
        <f t="shared" si="265"/>
        <v>8.7384880345208664</v>
      </c>
      <c r="AR94" s="783">
        <f t="shared" si="266"/>
        <v>4.7136705931447809</v>
      </c>
      <c r="AS94" s="487"/>
      <c r="AT94" s="937">
        <f>AT64-AT84</f>
        <v>206.6299999999998</v>
      </c>
      <c r="AU94" s="877">
        <f t="shared" si="267"/>
        <v>7.5102542248133091</v>
      </c>
      <c r="AV94" s="783">
        <f t="shared" si="268"/>
        <v>-6.4243533077315007</v>
      </c>
      <c r="AW94" s="487"/>
      <c r="AX94" s="937">
        <f>AX64-AX84</f>
        <v>251.94899999999978</v>
      </c>
      <c r="AY94" s="877">
        <f t="shared" si="269"/>
        <v>7.8520291007731391</v>
      </c>
      <c r="AZ94" s="783">
        <f t="shared" si="270"/>
        <v>21.932439626385335</v>
      </c>
      <c r="BA94" s="487"/>
      <c r="BB94" s="937">
        <f>BB64-BB84</f>
        <v>250.05500000000032</v>
      </c>
      <c r="BC94" s="877">
        <f t="shared" si="271"/>
        <v>7.1332578895735077</v>
      </c>
      <c r="BD94" s="783">
        <f t="shared" si="272"/>
        <v>-0.75173943933076748</v>
      </c>
      <c r="BE94" s="487"/>
      <c r="BF94" s="937">
        <f>BF64-BF84</f>
        <v>361.37599999999981</v>
      </c>
      <c r="BG94" s="877">
        <f t="shared" si="273"/>
        <v>8.8020329321168109</v>
      </c>
      <c r="BH94" s="783">
        <f t="shared" si="274"/>
        <v>44.518605906700273</v>
      </c>
      <c r="BI94" s="487"/>
      <c r="BJ94" s="937">
        <f>BJ64-BJ84</f>
        <v>263.9450000000005</v>
      </c>
      <c r="BK94" s="877">
        <f t="shared" si="275"/>
        <v>6.0969820810702728</v>
      </c>
      <c r="BL94" s="783">
        <f t="shared" si="276"/>
        <v>-26.961115292658988</v>
      </c>
      <c r="BM94" s="487"/>
      <c r="BN94" s="937">
        <f>BN64-BN84</f>
        <v>352.28600000000034</v>
      </c>
      <c r="BO94" s="877">
        <f t="shared" si="277"/>
        <v>7.4694990402489125</v>
      </c>
      <c r="BP94" s="783">
        <f t="shared" si="278"/>
        <v>33.469472806834631</v>
      </c>
      <c r="BQ94" s="487"/>
      <c r="BR94" s="937">
        <f>BR64-BR84-BR75</f>
        <v>379.98100000000051</v>
      </c>
      <c r="BS94" s="877">
        <f t="shared" si="279"/>
        <v>7.4553163870750616</v>
      </c>
      <c r="BT94" s="783">
        <f t="shared" si="280"/>
        <v>7.8615102501944811</v>
      </c>
      <c r="BU94" s="487"/>
      <c r="BV94" s="937">
        <f>BV64-BV84-BV75</f>
        <v>491.02800000000019</v>
      </c>
      <c r="BW94" s="877">
        <f t="shared" si="281"/>
        <v>9.1068118035355443</v>
      </c>
      <c r="BX94" s="783">
        <f t="shared" si="282"/>
        <v>29.224355954639726</v>
      </c>
      <c r="BY94" s="783"/>
      <c r="BZ94" s="937">
        <f>BZ64-BZ84</f>
        <v>375.25499999999948</v>
      </c>
      <c r="CA94" s="877">
        <f t="shared" si="283"/>
        <v>6.974967588440566</v>
      </c>
      <c r="CB94" s="783">
        <f t="shared" si="284"/>
        <v>-23.577677851365031</v>
      </c>
      <c r="CC94" s="783"/>
      <c r="CD94" s="937">
        <f>CD64-CD84</f>
        <v>633.23600000000022</v>
      </c>
      <c r="CE94" s="877">
        <f t="shared" si="285"/>
        <v>10.657406089051943</v>
      </c>
      <c r="CF94" s="783">
        <f t="shared" si="286"/>
        <v>68.748184567827494</v>
      </c>
      <c r="CG94" s="783"/>
      <c r="CH94" s="937">
        <f>CH64-CH84</f>
        <v>675.18500000000017</v>
      </c>
      <c r="CI94" s="877">
        <f t="shared" si="287"/>
        <v>11.154949524053729</v>
      </c>
      <c r="CJ94" s="783">
        <f t="shared" si="288"/>
        <v>6.6245444036662438</v>
      </c>
      <c r="CK94" s="783"/>
      <c r="CL94" s="937">
        <f>CL64-CL84</f>
        <v>758.57900000000006</v>
      </c>
      <c r="CM94" s="877">
        <f t="shared" si="289"/>
        <v>11.305608935523457</v>
      </c>
      <c r="CN94" s="783">
        <f t="shared" si="290"/>
        <v>12.351281500625744</v>
      </c>
      <c r="CO94" s="783"/>
      <c r="CP94" s="937">
        <f>CP64-CP84</f>
        <v>964.68700000000058</v>
      </c>
      <c r="CQ94" s="877">
        <f t="shared" si="291"/>
        <v>12.489775129230203</v>
      </c>
      <c r="CR94" s="783">
        <f t="shared" si="292"/>
        <v>27.170274948291539</v>
      </c>
      <c r="CS94" s="783"/>
      <c r="CT94" s="937">
        <f>CT64-CT84</f>
        <v>935.78600000000006</v>
      </c>
      <c r="CU94" s="877">
        <f t="shared" si="293"/>
        <v>11.983756247929417</v>
      </c>
      <c r="CV94" s="783">
        <f t="shared" si="294"/>
        <v>-2.9958940049985672</v>
      </c>
      <c r="CW94" s="883"/>
      <c r="CX94" s="937">
        <f>CX64-CX84</f>
        <v>1029.6349999999993</v>
      </c>
      <c r="CY94" s="877">
        <f t="shared" si="295"/>
        <v>12.399335593542007</v>
      </c>
      <c r="CZ94" s="783">
        <f t="shared" si="296"/>
        <v>10.028895495337519</v>
      </c>
      <c r="DA94" s="883"/>
      <c r="DB94" s="949">
        <f>DB64-DB84-DB75</f>
        <v>1065.8010000000008</v>
      </c>
      <c r="DC94" s="877">
        <f t="shared" si="297"/>
        <v>11.892346359520543</v>
      </c>
      <c r="DD94" s="783">
        <f t="shared" si="298"/>
        <v>3.5125068592269715</v>
      </c>
      <c r="DE94" s="883"/>
      <c r="DF94" s="937">
        <f>DF64-DF84-DF75</f>
        <v>1093.6590000000008</v>
      </c>
      <c r="DG94" s="877">
        <f t="shared" si="299"/>
        <v>11.551539680345082</v>
      </c>
      <c r="DH94" s="783">
        <f t="shared" si="300"/>
        <v>2.6138087691792267</v>
      </c>
      <c r="DI94" s="883"/>
      <c r="DJ94" s="937">
        <f>DJ64-DJ84-DJ75</f>
        <v>1112.3799999999997</v>
      </c>
      <c r="DK94" s="877">
        <f t="shared" si="301"/>
        <v>10.148785846185286</v>
      </c>
      <c r="DL94" s="783">
        <f t="shared" si="302"/>
        <v>1.7117767055360833</v>
      </c>
      <c r="DM94" s="883"/>
      <c r="DN94" s="937">
        <f>DN64-DN84-DN75</f>
        <v>1203.3715410399993</v>
      </c>
      <c r="DO94" s="877">
        <f t="shared" si="303"/>
        <v>10.870549189067749</v>
      </c>
      <c r="DP94" s="783">
        <f t="shared" si="304"/>
        <v>8.1798972509393941</v>
      </c>
      <c r="DQ94" s="883"/>
      <c r="DR94" s="883"/>
      <c r="DS94" s="794"/>
      <c r="DT94" s="794"/>
      <c r="DU94" s="794"/>
      <c r="DV94" s="794"/>
      <c r="DW94" s="794"/>
      <c r="DX94" s="794"/>
      <c r="DY94" s="794"/>
      <c r="DZ94" s="794"/>
      <c r="EA94" s="794"/>
      <c r="EB94" s="794"/>
    </row>
    <row r="95" spans="1:132">
      <c r="A95" s="487"/>
      <c r="B95" s="487" t="str">
        <f>$B$14</f>
        <v>Year</v>
      </c>
      <c r="C95" s="487"/>
      <c r="D95" s="859"/>
      <c r="E95" s="487"/>
      <c r="F95" s="859">
        <f>SUM(F91:F94)</f>
        <v>123.53499999999994</v>
      </c>
      <c r="G95" s="877">
        <f t="shared" si="252"/>
        <v>5.0499145845588318</v>
      </c>
      <c r="H95" s="487"/>
      <c r="I95" s="487"/>
      <c r="J95" s="859">
        <f>SUM(J91:J94)</f>
        <v>121.22400000000042</v>
      </c>
      <c r="K95" s="877">
        <f t="shared" si="253"/>
        <v>4.3958132004213777</v>
      </c>
      <c r="L95" s="487"/>
      <c r="M95" s="487"/>
      <c r="N95" s="859">
        <f>SUM(N91:N94)</f>
        <v>173.11799999999994</v>
      </c>
      <c r="O95" s="877">
        <f t="shared" si="254"/>
        <v>5.3083489715568293</v>
      </c>
      <c r="P95" s="487"/>
      <c r="Q95" s="487"/>
      <c r="R95" s="859">
        <f>SUM(R91:R94)</f>
        <v>185.17599999999996</v>
      </c>
      <c r="S95" s="877">
        <f t="shared" si="255"/>
        <v>6.5385389485429375</v>
      </c>
      <c r="T95" s="487"/>
      <c r="U95" s="487"/>
      <c r="V95" s="859">
        <f>SUM(V91:V94)</f>
        <v>145.23800000000011</v>
      </c>
      <c r="W95" s="877">
        <f t="shared" si="256"/>
        <v>4.7532164998185316</v>
      </c>
      <c r="X95" s="487"/>
      <c r="Y95" s="487"/>
      <c r="Z95" s="859">
        <f>SUM(Z91:Z94)</f>
        <v>88.796000000000049</v>
      </c>
      <c r="AA95" s="877">
        <f t="shared" si="257"/>
        <v>2.2337970096462634</v>
      </c>
      <c r="AB95" s="783">
        <f t="shared" si="258"/>
        <v>-38.8617304011347</v>
      </c>
      <c r="AC95" s="487"/>
      <c r="AD95" s="859">
        <f>SUM(AD91:AD94)</f>
        <v>366.14000000000021</v>
      </c>
      <c r="AE95" s="877">
        <f t="shared" si="259"/>
        <v>5.4734274024166591</v>
      </c>
      <c r="AF95" s="783">
        <f t="shared" si="260"/>
        <v>312.33839362133426</v>
      </c>
      <c r="AG95" s="487"/>
      <c r="AH95" s="859">
        <f>SUM(AH91:AH94)</f>
        <v>522.27100000000053</v>
      </c>
      <c r="AI95" s="877">
        <f t="shared" si="261"/>
        <v>7.0681570303376589</v>
      </c>
      <c r="AJ95" s="783">
        <f t="shared" si="262"/>
        <v>42.642431856666917</v>
      </c>
      <c r="AK95" s="487"/>
      <c r="AL95" s="859">
        <f>SUM(AL91:AL94)</f>
        <v>703.51200000000017</v>
      </c>
      <c r="AM95" s="877">
        <f t="shared" si="263"/>
        <v>8.8504644244446808</v>
      </c>
      <c r="AN95" s="783">
        <f t="shared" si="264"/>
        <v>34.702482044762093</v>
      </c>
      <c r="AO95" s="487"/>
      <c r="AP95" s="859">
        <f>SUM(AP91:AP94)</f>
        <v>853.93700000000058</v>
      </c>
      <c r="AQ95" s="877">
        <f t="shared" si="265"/>
        <v>9.7089631597252577</v>
      </c>
      <c r="AR95" s="783">
        <f t="shared" si="266"/>
        <v>21.382009119958202</v>
      </c>
      <c r="AS95" s="487"/>
      <c r="AT95" s="859">
        <f>SUM(AT91:AT94)</f>
        <v>864.94199999999978</v>
      </c>
      <c r="AU95" s="877">
        <f t="shared" si="267"/>
        <v>9.0295590168750266</v>
      </c>
      <c r="AV95" s="783">
        <f t="shared" si="268"/>
        <v>1.2887367569269337</v>
      </c>
      <c r="AW95" s="487"/>
      <c r="AX95" s="859">
        <f>SUM(AX91:AX94)</f>
        <v>874.04399999999941</v>
      </c>
      <c r="AY95" s="877">
        <f t="shared" si="269"/>
        <v>8.1617719977163077</v>
      </c>
      <c r="AZ95" s="783">
        <f t="shared" si="270"/>
        <v>1.0523248957733156</v>
      </c>
      <c r="BA95" s="487"/>
      <c r="BB95" s="859">
        <f>SUM(BB91:BB94)</f>
        <v>937.72400000000016</v>
      </c>
      <c r="BC95" s="877">
        <f t="shared" si="271"/>
        <v>7.8266238117745592</v>
      </c>
      <c r="BD95" s="783">
        <f t="shared" si="272"/>
        <v>7.2856744054075939</v>
      </c>
      <c r="BE95" s="487"/>
      <c r="BF95" s="859">
        <f>SUM(BF91:BF94)</f>
        <v>986.7379999999996</v>
      </c>
      <c r="BG95" s="877">
        <f t="shared" si="273"/>
        <v>7.4035308387538983</v>
      </c>
      <c r="BH95" s="783">
        <f t="shared" si="274"/>
        <v>5.2269111167037918</v>
      </c>
      <c r="BI95" s="487"/>
      <c r="BJ95" s="859">
        <f>SUM(BJ91:BJ94)</f>
        <v>988.95100000000059</v>
      </c>
      <c r="BK95" s="877">
        <f t="shared" si="275"/>
        <v>6.6312544158866213</v>
      </c>
      <c r="BL95" s="783">
        <f t="shared" si="276"/>
        <v>0.22427432611300535</v>
      </c>
      <c r="BM95" s="487"/>
      <c r="BN95" s="859">
        <f>SUM(BN91:BN94)</f>
        <v>1009.3270000000002</v>
      </c>
      <c r="BO95" s="877">
        <f t="shared" si="277"/>
        <v>6.2855342234228759</v>
      </c>
      <c r="BP95" s="783">
        <f t="shared" si="278"/>
        <v>2.0603649725820183</v>
      </c>
      <c r="BQ95" s="487"/>
      <c r="BR95" s="859">
        <f>SUM(BR91:BR94)</f>
        <v>1246.8480000000006</v>
      </c>
      <c r="BS95" s="877">
        <f t="shared" si="279"/>
        <v>7.1638839695421428</v>
      </c>
      <c r="BT95" s="783">
        <f t="shared" si="280"/>
        <v>23.532611334087015</v>
      </c>
      <c r="BU95" s="487"/>
      <c r="BV95" s="859">
        <f>SUM(BV91:BV94)</f>
        <v>1260.0869999999998</v>
      </c>
      <c r="BW95" s="877">
        <f t="shared" si="281"/>
        <v>6.8216156444143765</v>
      </c>
      <c r="BX95" s="783">
        <f t="shared" si="282"/>
        <v>1.0617974283953613</v>
      </c>
      <c r="BY95" s="783"/>
      <c r="BZ95" s="859">
        <f>SUM(BZ91:BZ94)</f>
        <v>1420.4399999999998</v>
      </c>
      <c r="CA95" s="877">
        <f t="shared" si="283"/>
        <v>7.4761947745480741</v>
      </c>
      <c r="CB95" s="783">
        <f t="shared" si="284"/>
        <v>12.725549902506739</v>
      </c>
      <c r="CC95" s="783"/>
      <c r="CD95" s="859">
        <f>SUM(CD91:CD94)</f>
        <v>1951.5620000000004</v>
      </c>
      <c r="CE95" s="877">
        <f t="shared" si="285"/>
        <v>9.6190816801919379</v>
      </c>
      <c r="CF95" s="783">
        <f t="shared" si="286"/>
        <v>37.391371687646128</v>
      </c>
      <c r="CG95" s="783"/>
      <c r="CH95" s="859">
        <f>SUM(CH91:CH94)</f>
        <v>2293.3999999999996</v>
      </c>
      <c r="CI95" s="877">
        <f t="shared" si="287"/>
        <v>10.586592012436176</v>
      </c>
      <c r="CJ95" s="783">
        <f t="shared" si="288"/>
        <v>17.516122982513458</v>
      </c>
      <c r="CK95" s="783"/>
      <c r="CL95" s="859">
        <f>SUM(CL91:CL94)</f>
        <v>2480.1849999999999</v>
      </c>
      <c r="CM95" s="877">
        <f t="shared" si="289"/>
        <v>10.698649042589784</v>
      </c>
      <c r="CN95" s="783">
        <f t="shared" si="290"/>
        <v>8.1444580099415909</v>
      </c>
      <c r="CO95" s="783"/>
      <c r="CP95" s="859">
        <f>SUM(CP91:CP94)</f>
        <v>3077.3509999999997</v>
      </c>
      <c r="CQ95" s="877">
        <f t="shared" si="291"/>
        <v>11.891594262575712</v>
      </c>
      <c r="CR95" s="783">
        <f t="shared" si="292"/>
        <v>24.077478091352056</v>
      </c>
      <c r="CS95" s="783"/>
      <c r="CT95" s="859">
        <f>SUM(CT91:CT94)</f>
        <v>3319.4890000000009</v>
      </c>
      <c r="CU95" s="877">
        <f>CT95/CT14*100</f>
        <v>12.104896615562529</v>
      </c>
      <c r="CV95" s="783">
        <f t="shared" si="294"/>
        <v>7.8683907035629552</v>
      </c>
      <c r="CW95" s="883"/>
      <c r="CX95" s="859">
        <f>SUM(CX91:CX94)</f>
        <v>3566.7140000000004</v>
      </c>
      <c r="CY95" s="877">
        <f t="shared" si="295"/>
        <v>12.265850739347586</v>
      </c>
      <c r="CZ95" s="783">
        <f t="shared" si="296"/>
        <v>7.4476824595592683</v>
      </c>
      <c r="DA95" s="883"/>
      <c r="DB95" s="859">
        <f>SUM(DB91:DB94)</f>
        <v>3658.3</v>
      </c>
      <c r="DC95" s="877">
        <f t="shared" si="297"/>
        <v>11.821965841392219</v>
      </c>
      <c r="DD95" s="783">
        <f t="shared" si="298"/>
        <v>2.5677976983856876</v>
      </c>
      <c r="DE95" s="883"/>
      <c r="DF95" s="859">
        <f>SUM(DF91:DF94)</f>
        <v>3805.9890000000005</v>
      </c>
      <c r="DG95" s="877">
        <f t="shared" si="299"/>
        <v>11.469438168279021</v>
      </c>
      <c r="DH95" s="783">
        <f t="shared" si="300"/>
        <v>4.0370937320613587</v>
      </c>
      <c r="DI95" s="883"/>
      <c r="DJ95" s="859">
        <f>SUM(DJ91:DJ94)</f>
        <v>3856.5879999999993</v>
      </c>
      <c r="DK95" s="877">
        <f t="shared" si="301"/>
        <v>10.753169191826247</v>
      </c>
      <c r="DL95" s="783">
        <f t="shared" si="302"/>
        <v>1.3294573368446194</v>
      </c>
      <c r="DM95" s="883"/>
      <c r="DN95" s="859">
        <f>SUM(DN91:DN94)</f>
        <v>4084.2720385814009</v>
      </c>
      <c r="DO95" s="877">
        <f t="shared" si="303"/>
        <v>10.793015472037434</v>
      </c>
      <c r="DP95" s="783">
        <f t="shared" si="304"/>
        <v>5.9037687868499722</v>
      </c>
      <c r="DQ95" s="883"/>
      <c r="DR95" s="883"/>
      <c r="DS95" s="794"/>
      <c r="DT95" s="794"/>
      <c r="DU95" s="794"/>
      <c r="DV95" s="794"/>
      <c r="DW95" s="794"/>
      <c r="DX95" s="794"/>
      <c r="DY95" s="794"/>
      <c r="DZ95" s="794"/>
      <c r="EA95" s="794"/>
      <c r="EB95" s="794"/>
    </row>
    <row r="96" spans="1:132" hidden="1" outlineLevel="1">
      <c r="A96" s="487" t="str">
        <f>$A$15</f>
        <v>6 Mos</v>
      </c>
      <c r="B96" s="487"/>
      <c r="C96" s="487"/>
      <c r="D96" s="864"/>
      <c r="E96" s="487"/>
      <c r="F96" s="864">
        <f>SUM(F91:F92)</f>
        <v>48.965999999999951</v>
      </c>
      <c r="G96" s="877">
        <f t="shared" si="252"/>
        <v>4.5078560203712401</v>
      </c>
      <c r="H96" s="487"/>
      <c r="I96" s="487"/>
      <c r="J96" s="864">
        <f>SUM(J91:J92)</f>
        <v>48.761000000000081</v>
      </c>
      <c r="K96" s="877">
        <f t="shared" si="253"/>
        <v>3.8922112670659965</v>
      </c>
      <c r="L96" s="487"/>
      <c r="M96" s="487"/>
      <c r="N96" s="864">
        <f>SUM(N91:N92)</f>
        <v>58.4969999999999</v>
      </c>
      <c r="O96" s="877">
        <f t="shared" si="254"/>
        <v>4.1063234306195744</v>
      </c>
      <c r="P96" s="487"/>
      <c r="Q96" s="487"/>
      <c r="R96" s="864">
        <f>SUM(R91:R92)</f>
        <v>65.763999999999996</v>
      </c>
      <c r="S96" s="877">
        <f t="shared" si="255"/>
        <v>5.2900544819947184</v>
      </c>
      <c r="T96" s="487"/>
      <c r="U96" s="487"/>
      <c r="V96" s="864">
        <f>SUM(V91:V92)</f>
        <v>63.167000000000058</v>
      </c>
      <c r="W96" s="877">
        <f t="shared" si="256"/>
        <v>4.7024552642530217</v>
      </c>
      <c r="X96" s="487"/>
      <c r="Y96" s="487"/>
      <c r="Z96" s="864">
        <f>SUM(Z91:Z92)</f>
        <v>31.352999999999945</v>
      </c>
      <c r="AA96" s="877">
        <f t="shared" si="257"/>
        <v>2.1253936855748687</v>
      </c>
      <c r="AB96" s="783">
        <f t="shared" si="258"/>
        <v>-50.364905726091294</v>
      </c>
      <c r="AC96" s="487"/>
      <c r="AD96" s="864">
        <f>SUM(AD91:AD92)</f>
        <v>96.562000000000097</v>
      </c>
      <c r="AE96" s="877">
        <f t="shared" si="259"/>
        <v>3.1968815820925394</v>
      </c>
      <c r="AF96" s="783">
        <f t="shared" si="260"/>
        <v>207.98328708576616</v>
      </c>
      <c r="AG96" s="487"/>
      <c r="AH96" s="864">
        <f>SUM(AH91:AH92)</f>
        <v>172.71600000000026</v>
      </c>
      <c r="AI96" s="877">
        <f t="shared" si="261"/>
        <v>5.3004398926875513</v>
      </c>
      <c r="AJ96" s="783">
        <f t="shared" si="262"/>
        <v>78.865392183260582</v>
      </c>
      <c r="AK96" s="487"/>
      <c r="AL96" s="864">
        <f>SUM(AL91:AL92)</f>
        <v>279.45100000000002</v>
      </c>
      <c r="AM96" s="877">
        <f t="shared" si="263"/>
        <v>7.7166224482357171</v>
      </c>
      <c r="AN96" s="783">
        <f t="shared" si="264"/>
        <v>61.797980499779761</v>
      </c>
      <c r="AO96" s="487"/>
      <c r="AP96" s="864">
        <f>SUM(AP91:AP92)</f>
        <v>386.93000000000029</v>
      </c>
      <c r="AQ96" s="877">
        <f t="shared" si="265"/>
        <v>9.5932494941558684</v>
      </c>
      <c r="AR96" s="783">
        <f t="shared" si="266"/>
        <v>38.460767719564529</v>
      </c>
      <c r="AS96" s="487"/>
      <c r="AT96" s="864">
        <f>SUM(AT91:AT92)</f>
        <v>399.69400000000002</v>
      </c>
      <c r="AU96" s="877">
        <f t="shared" si="267"/>
        <v>9.1540873373046683</v>
      </c>
      <c r="AV96" s="783">
        <f t="shared" si="268"/>
        <v>3.2987878944511273</v>
      </c>
      <c r="AW96" s="487"/>
      <c r="AX96" s="864">
        <f>SUM(AX91:AX92)</f>
        <v>380.57999999999987</v>
      </c>
      <c r="AY96" s="877">
        <f t="shared" si="269"/>
        <v>7.9978699246004563</v>
      </c>
      <c r="AZ96" s="783">
        <f t="shared" si="270"/>
        <v>-4.782158351138655</v>
      </c>
      <c r="BA96" s="487"/>
      <c r="BB96" s="864">
        <f>SUM(BB91:BB92)</f>
        <v>448.50900000000001</v>
      </c>
      <c r="BC96" s="877">
        <f t="shared" si="271"/>
        <v>8.2586540118760201</v>
      </c>
      <c r="BD96" s="783">
        <f t="shared" si="272"/>
        <v>17.848809711493029</v>
      </c>
      <c r="BE96" s="487"/>
      <c r="BF96" s="864">
        <f>SUM(BF91:BF92)</f>
        <v>347.03599999999989</v>
      </c>
      <c r="BG96" s="877">
        <f t="shared" si="273"/>
        <v>5.9476024308260174</v>
      </c>
      <c r="BH96" s="783">
        <f t="shared" si="274"/>
        <v>-22.624518125611782</v>
      </c>
      <c r="BI96" s="487"/>
      <c r="BJ96" s="864">
        <f>SUM(BJ91:BJ92)</f>
        <v>424.70600000000002</v>
      </c>
      <c r="BK96" s="877">
        <f t="shared" si="275"/>
        <v>6.2761119215773444</v>
      </c>
      <c r="BL96" s="783">
        <f t="shared" si="276"/>
        <v>22.380963358268357</v>
      </c>
      <c r="BM96" s="487"/>
      <c r="BN96" s="864">
        <f>SUM(BN91:BN92)</f>
        <v>399.72500000000025</v>
      </c>
      <c r="BO96" s="877">
        <f t="shared" si="277"/>
        <v>5.4759129695264059</v>
      </c>
      <c r="BP96" s="783">
        <f t="shared" si="278"/>
        <v>-5.8819512792378177</v>
      </c>
      <c r="BQ96" s="487"/>
      <c r="BR96" s="864">
        <f>SUM(BR91:BR92)</f>
        <v>491.14099999999985</v>
      </c>
      <c r="BS96" s="877">
        <f t="shared" si="279"/>
        <v>6.2686193787679869</v>
      </c>
      <c r="BT96" s="783">
        <f t="shared" si="280"/>
        <v>22.869722934517366</v>
      </c>
      <c r="BU96" s="487"/>
      <c r="BV96" s="864">
        <f>SUM(BV91:BV92)</f>
        <v>365.73799999999972</v>
      </c>
      <c r="BW96" s="877">
        <f t="shared" si="281"/>
        <v>4.3429704327521623</v>
      </c>
      <c r="BX96" s="783">
        <f t="shared" si="282"/>
        <v>-25.532993580254992</v>
      </c>
      <c r="BY96" s="783"/>
      <c r="BZ96" s="864">
        <f>SUM(BZ91:BZ92)</f>
        <v>633.92700000000036</v>
      </c>
      <c r="CA96" s="877">
        <f t="shared" si="283"/>
        <v>7.1565881496283037</v>
      </c>
      <c r="CB96" s="783">
        <f t="shared" si="284"/>
        <v>73.328174813664674</v>
      </c>
      <c r="CC96" s="783"/>
      <c r="CD96" s="864">
        <f>SUM(CD91:CD92)</f>
        <v>752.32100000000025</v>
      </c>
      <c r="CE96" s="877">
        <f t="shared" si="285"/>
        <v>8.2656723672541315</v>
      </c>
      <c r="CF96" s="783">
        <f t="shared" si="286"/>
        <v>18.676282915856213</v>
      </c>
      <c r="CG96" s="783"/>
      <c r="CH96" s="864">
        <f>SUM(CH91:CH92)</f>
        <v>1021.0979999999997</v>
      </c>
      <c r="CI96" s="877">
        <f t="shared" si="287"/>
        <v>10.12529971382164</v>
      </c>
      <c r="CJ96" s="783">
        <f t="shared" si="288"/>
        <v>35.726372120411277</v>
      </c>
      <c r="CK96" s="783"/>
      <c r="CL96" s="864">
        <f>SUM(CL91:CL92)</f>
        <v>1057.8540000000005</v>
      </c>
      <c r="CM96" s="877">
        <f t="shared" si="289"/>
        <v>9.9056121445707372</v>
      </c>
      <c r="CN96" s="783">
        <f t="shared" si="290"/>
        <v>3.5996544895789517</v>
      </c>
      <c r="CO96" s="783"/>
      <c r="CP96" s="864">
        <f>SUM(CP91:CP92)</f>
        <v>1364.1950000000002</v>
      </c>
      <c r="CQ96" s="877">
        <f t="shared" si="291"/>
        <v>11.616452983720132</v>
      </c>
      <c r="CR96" s="783">
        <f t="shared" si="292"/>
        <v>28.9587220920845</v>
      </c>
      <c r="CS96" s="783"/>
      <c r="CT96" s="864">
        <f>SUM(CT91:CT92)</f>
        <v>1504.3310000000006</v>
      </c>
      <c r="CU96" s="877">
        <f t="shared" si="293"/>
        <v>11.908859009472193</v>
      </c>
      <c r="CV96" s="783">
        <f t="shared" si="294"/>
        <v>10.27243172713581</v>
      </c>
      <c r="CW96" s="883"/>
      <c r="CX96" s="864">
        <f>SUM(CX91:CX92)</f>
        <v>1577.9790000000012</v>
      </c>
      <c r="CY96" s="877">
        <f t="shared" si="295"/>
        <v>11.768595896837123</v>
      </c>
      <c r="CZ96" s="783">
        <f t="shared" si="296"/>
        <v>4.8957310591884795</v>
      </c>
      <c r="DA96" s="883"/>
      <c r="DB96" s="864">
        <f>SUM(DB91:DB92)</f>
        <v>1651.3089999999997</v>
      </c>
      <c r="DC96" s="877">
        <f t="shared" si="297"/>
        <v>11.604935651393653</v>
      </c>
      <c r="DD96" s="783">
        <f t="shared" si="298"/>
        <v>4.6470833895760677</v>
      </c>
      <c r="DE96" s="883"/>
      <c r="DF96" s="864">
        <f>SUM(DF91:DF92)</f>
        <v>1739.5509999999995</v>
      </c>
      <c r="DG96" s="877">
        <f t="shared" si="299"/>
        <v>11.277910226576587</v>
      </c>
      <c r="DH96" s="783">
        <f t="shared" si="300"/>
        <v>5.3437606165775087</v>
      </c>
      <c r="DI96" s="883"/>
      <c r="DJ96" s="864">
        <f>SUM(DJ91:DJ92)</f>
        <v>1724.2080000000008</v>
      </c>
      <c r="DK96" s="877">
        <f t="shared" si="301"/>
        <v>10.681684310796049</v>
      </c>
      <c r="DL96" s="783">
        <f t="shared" si="302"/>
        <v>-0.88200920812316896</v>
      </c>
      <c r="DM96" s="883"/>
      <c r="DN96" s="864">
        <f>SUM(DN91:DN92)</f>
        <v>1810.8013814630006</v>
      </c>
      <c r="DO96" s="877">
        <f t="shared" si="303"/>
        <v>10.387225471648909</v>
      </c>
      <c r="DP96" s="783">
        <f t="shared" si="304"/>
        <v>5.0222120221574018</v>
      </c>
      <c r="DQ96" s="883"/>
      <c r="DR96" s="883"/>
      <c r="DS96" s="794"/>
      <c r="DT96" s="794"/>
      <c r="DU96" s="794"/>
      <c r="DV96" s="794"/>
      <c r="DW96" s="794"/>
      <c r="DX96" s="794"/>
      <c r="DY96" s="794"/>
      <c r="DZ96" s="794"/>
      <c r="EA96" s="794"/>
      <c r="EB96" s="794"/>
    </row>
    <row r="97" spans="1:132" hidden="1" outlineLevel="1">
      <c r="A97" s="487" t="str">
        <f>$A$16</f>
        <v>9 Mos</v>
      </c>
      <c r="B97" s="487"/>
      <c r="C97" s="487"/>
      <c r="D97" s="864"/>
      <c r="E97" s="487"/>
      <c r="F97" s="864">
        <f>SUM(F91:F93)</f>
        <v>99.361999999999966</v>
      </c>
      <c r="G97" s="877">
        <f t="shared" si="252"/>
        <v>5.7361173571209587</v>
      </c>
      <c r="H97" s="487"/>
      <c r="I97" s="487"/>
      <c r="J97" s="864">
        <f>SUM(J91:J93)</f>
        <v>96.264000000000109</v>
      </c>
      <c r="K97" s="877">
        <f t="shared" si="253"/>
        <v>4.9163122755104229</v>
      </c>
      <c r="L97" s="487"/>
      <c r="M97" s="487"/>
      <c r="N97" s="864">
        <f>SUM(N91:N93)</f>
        <v>127.08899999999994</v>
      </c>
      <c r="O97" s="877">
        <f t="shared" si="254"/>
        <v>5.6142776679514474</v>
      </c>
      <c r="P97" s="487"/>
      <c r="Q97" s="487"/>
      <c r="R97" s="864">
        <f>SUM(R91:R93)</f>
        <v>137.90899999999996</v>
      </c>
      <c r="S97" s="877">
        <f t="shared" si="255"/>
        <v>6.908867019752357</v>
      </c>
      <c r="T97" s="487"/>
      <c r="U97" s="487"/>
      <c r="V97" s="864">
        <f>SUM(V91:V93)</f>
        <v>119.30500000000012</v>
      </c>
      <c r="W97" s="877">
        <f t="shared" si="256"/>
        <v>5.5570046531559063</v>
      </c>
      <c r="X97" s="487"/>
      <c r="Y97" s="487"/>
      <c r="Z97" s="864">
        <f>SUM(Z91:Z93)</f>
        <v>75.736999999999938</v>
      </c>
      <c r="AA97" s="877">
        <f t="shared" si="257"/>
        <v>3.2416443243724444</v>
      </c>
      <c r="AB97" s="783">
        <f t="shared" si="258"/>
        <v>-36.518167721386476</v>
      </c>
      <c r="AC97" s="487"/>
      <c r="AD97" s="864">
        <f>SUM(AD91:AD93)</f>
        <v>236.45800000000023</v>
      </c>
      <c r="AE97" s="877">
        <f t="shared" si="259"/>
        <v>4.9854784010322764</v>
      </c>
      <c r="AF97" s="783">
        <f t="shared" si="260"/>
        <v>212.20935606110675</v>
      </c>
      <c r="AG97" s="487"/>
      <c r="AH97" s="864">
        <f>SUM(AH91:AH93)</f>
        <v>355.21900000000039</v>
      </c>
      <c r="AI97" s="877">
        <f t="shared" si="261"/>
        <v>6.902522628259196</v>
      </c>
      <c r="AJ97" s="783">
        <f t="shared" si="262"/>
        <v>50.224987101303434</v>
      </c>
      <c r="AK97" s="487"/>
      <c r="AL97" s="864">
        <f>SUM(AL91:AL93)</f>
        <v>492.63599999999997</v>
      </c>
      <c r="AM97" s="877">
        <f t="shared" si="263"/>
        <v>8.7580994499654121</v>
      </c>
      <c r="AN97" s="783">
        <f t="shared" si="264"/>
        <v>38.685149161503027</v>
      </c>
      <c r="AO97" s="487"/>
      <c r="AP97" s="864">
        <f>SUM(AP91:AP93)</f>
        <v>633.12100000000032</v>
      </c>
      <c r="AQ97" s="877">
        <f t="shared" si="265"/>
        <v>10.100183284089066</v>
      </c>
      <c r="AR97" s="783">
        <f t="shared" si="266"/>
        <v>28.516998351724276</v>
      </c>
      <c r="AS97" s="487"/>
      <c r="AT97" s="864">
        <f>SUM(AT91:AT93)</f>
        <v>658.31200000000001</v>
      </c>
      <c r="AU97" s="877">
        <f t="shared" si="267"/>
        <v>9.6417813258079121</v>
      </c>
      <c r="AV97" s="783">
        <f t="shared" si="268"/>
        <v>3.9788602810520768</v>
      </c>
      <c r="AW97" s="487"/>
      <c r="AX97" s="864">
        <f>SUM(AX91:AX93)</f>
        <v>622.09499999999957</v>
      </c>
      <c r="AY97" s="877">
        <f t="shared" si="269"/>
        <v>8.2942837113144687</v>
      </c>
      <c r="AZ97" s="783">
        <f t="shared" si="270"/>
        <v>-5.5014947319812606</v>
      </c>
      <c r="BA97" s="487"/>
      <c r="BB97" s="864">
        <f>SUM(BB91:BB93)</f>
        <v>687.66899999999987</v>
      </c>
      <c r="BC97" s="877">
        <f t="shared" si="271"/>
        <v>8.1133934721344225</v>
      </c>
      <c r="BD97" s="783">
        <f t="shared" si="272"/>
        <v>10.540833795481452</v>
      </c>
      <c r="BE97" s="487"/>
      <c r="BF97" s="864">
        <f>SUM(BF91:BF93)</f>
        <v>625.36199999999985</v>
      </c>
      <c r="BG97" s="877">
        <f t="shared" si="273"/>
        <v>6.7809463996180552</v>
      </c>
      <c r="BH97" s="783">
        <f t="shared" si="274"/>
        <v>-9.0606091011809493</v>
      </c>
      <c r="BI97" s="487"/>
      <c r="BJ97" s="864">
        <f>SUM(BJ91:BJ93)</f>
        <v>725.00600000000009</v>
      </c>
      <c r="BK97" s="877">
        <f t="shared" si="275"/>
        <v>6.8497768502889276</v>
      </c>
      <c r="BL97" s="783">
        <f t="shared" si="276"/>
        <v>15.933811136589737</v>
      </c>
      <c r="BM97" s="487"/>
      <c r="BN97" s="864">
        <f>SUM(BN91:BN93)</f>
        <v>657.04099999999994</v>
      </c>
      <c r="BO97" s="877">
        <f t="shared" si="277"/>
        <v>5.7931908773429655</v>
      </c>
      <c r="BP97" s="783">
        <f t="shared" si="278"/>
        <v>-9.3744051773364863</v>
      </c>
      <c r="BQ97" s="487"/>
      <c r="BR97" s="864">
        <f>SUM(BR91:BR93)</f>
        <v>866.86700000000008</v>
      </c>
      <c r="BS97" s="877">
        <f t="shared" si="279"/>
        <v>7.0431995559259786</v>
      </c>
      <c r="BT97" s="783">
        <f t="shared" si="280"/>
        <v>31.934993402238241</v>
      </c>
      <c r="BU97" s="487"/>
      <c r="BV97" s="864">
        <f>SUM(BV91:BV93)</f>
        <v>769.05899999999963</v>
      </c>
      <c r="BW97" s="877">
        <f t="shared" si="281"/>
        <v>5.8796123606728568</v>
      </c>
      <c r="BX97" s="783">
        <f t="shared" si="282"/>
        <v>-11.282930368787881</v>
      </c>
      <c r="BY97" s="783"/>
      <c r="BZ97" s="864">
        <f>SUM(BZ91:BZ93)</f>
        <v>1045.1850000000004</v>
      </c>
      <c r="CA97" s="877">
        <f t="shared" si="283"/>
        <v>7.6741916725161339</v>
      </c>
      <c r="CB97" s="783">
        <f t="shared" si="284"/>
        <v>35.904397451951134</v>
      </c>
      <c r="CC97" s="783"/>
      <c r="CD97" s="864">
        <f>SUM(CD91:CD93)</f>
        <v>1318.326</v>
      </c>
      <c r="CE97" s="877">
        <f t="shared" si="285"/>
        <v>9.1890552097771909</v>
      </c>
      <c r="CF97" s="783">
        <f t="shared" si="286"/>
        <v>26.133268273080802</v>
      </c>
      <c r="CG97" s="783"/>
      <c r="CH97" s="864">
        <f>SUM(CH91:CH93)</f>
        <v>1618.2149999999995</v>
      </c>
      <c r="CI97" s="877">
        <f t="shared" si="287"/>
        <v>10.366217743517856</v>
      </c>
      <c r="CJ97" s="783">
        <f t="shared" si="288"/>
        <v>22.747711870963585</v>
      </c>
      <c r="CK97" s="783"/>
      <c r="CL97" s="864">
        <f>SUM(CL91:CL93)</f>
        <v>1721.6059999999998</v>
      </c>
      <c r="CM97" s="877">
        <f t="shared" si="289"/>
        <v>10.451415052073555</v>
      </c>
      <c r="CN97" s="783">
        <f t="shared" si="290"/>
        <v>6.3892004461706398</v>
      </c>
      <c r="CO97" s="783"/>
      <c r="CP97" s="864">
        <f>SUM(CP91:CP93)</f>
        <v>2112.6639999999993</v>
      </c>
      <c r="CQ97" s="877">
        <f t="shared" si="291"/>
        <v>11.637099619831003</v>
      </c>
      <c r="CR97" s="783">
        <f t="shared" si="292"/>
        <v>22.714721022115381</v>
      </c>
      <c r="CS97" s="783"/>
      <c r="CT97" s="864">
        <f>SUM(CT91:CT93)</f>
        <v>2383.7030000000009</v>
      </c>
      <c r="CU97" s="877">
        <f t="shared" si="293"/>
        <v>12.153125621210952</v>
      </c>
      <c r="CV97" s="783">
        <f t="shared" si="294"/>
        <v>12.829252545601278</v>
      </c>
      <c r="CW97" s="883"/>
      <c r="CX97" s="864">
        <f>SUM(CX91:CX93)</f>
        <v>2537.0790000000011</v>
      </c>
      <c r="CY97" s="877">
        <f t="shared" si="295"/>
        <v>12.21249424894633</v>
      </c>
      <c r="CZ97" s="783">
        <f t="shared" si="296"/>
        <v>6.4343586428342814</v>
      </c>
      <c r="DA97" s="883"/>
      <c r="DB97" s="864">
        <f>SUM(DB91:DB93)</f>
        <v>2592.4989999999993</v>
      </c>
      <c r="DC97" s="877">
        <f t="shared" si="297"/>
        <v>11.793272787079644</v>
      </c>
      <c r="DD97" s="783">
        <f t="shared" si="298"/>
        <v>2.184401825879223</v>
      </c>
      <c r="DE97" s="883"/>
      <c r="DF97" s="864">
        <f>SUM(DF91:DF93)</f>
        <v>2712.33</v>
      </c>
      <c r="DG97" s="877">
        <f t="shared" si="299"/>
        <v>11.436662617799209</v>
      </c>
      <c r="DH97" s="783">
        <f t="shared" si="300"/>
        <v>4.622219719274745</v>
      </c>
      <c r="DI97" s="883"/>
      <c r="DJ97" s="864">
        <f>SUM(DJ91:DJ93)</f>
        <v>2744.2079999999996</v>
      </c>
      <c r="DK97" s="877">
        <f t="shared" si="301"/>
        <v>11.019170296881487</v>
      </c>
      <c r="DL97" s="783">
        <f t="shared" si="302"/>
        <v>1.1752994657729499</v>
      </c>
      <c r="DM97" s="883"/>
      <c r="DN97" s="864">
        <f>SUM(DN91:DN93)</f>
        <v>2880.9004975414018</v>
      </c>
      <c r="DO97" s="877">
        <f t="shared" si="303"/>
        <v>10.760955625602309</v>
      </c>
      <c r="DP97" s="783">
        <f t="shared" si="304"/>
        <v>4.981127434268906</v>
      </c>
      <c r="DQ97" s="883"/>
      <c r="DR97" s="883"/>
      <c r="DS97" s="794"/>
      <c r="DT97" s="794"/>
      <c r="DU97" s="794"/>
      <c r="DV97" s="794"/>
      <c r="DW97" s="794"/>
      <c r="DX97" s="794"/>
      <c r="DY97" s="794"/>
      <c r="DZ97" s="794"/>
      <c r="EA97" s="794"/>
      <c r="EB97" s="794"/>
    </row>
    <row r="98" spans="1:132" hidden="1" outlineLevel="1">
      <c r="A98" s="487" t="s">
        <v>656</v>
      </c>
      <c r="B98" s="487"/>
      <c r="C98" s="487"/>
      <c r="D98" s="864"/>
      <c r="E98" s="487"/>
      <c r="F98" s="864"/>
      <c r="G98" s="877"/>
      <c r="H98" s="487"/>
      <c r="I98" s="487"/>
      <c r="J98" s="864"/>
      <c r="K98" s="877"/>
      <c r="L98" s="487"/>
      <c r="M98" s="487"/>
      <c r="N98" s="864"/>
      <c r="O98" s="877"/>
      <c r="P98" s="487"/>
      <c r="Q98" s="487"/>
      <c r="R98" s="864"/>
      <c r="S98" s="877"/>
      <c r="T98" s="487"/>
      <c r="U98" s="487"/>
      <c r="V98" s="864"/>
      <c r="W98" s="877"/>
      <c r="X98" s="487"/>
      <c r="Y98" s="487"/>
      <c r="Z98" s="864"/>
      <c r="AA98" s="877"/>
      <c r="AB98" s="783"/>
      <c r="AC98" s="487"/>
      <c r="AD98" s="864"/>
      <c r="AE98" s="877"/>
      <c r="AF98" s="783"/>
      <c r="AG98" s="487"/>
      <c r="AH98" s="864"/>
      <c r="AI98" s="877"/>
      <c r="AJ98" s="783"/>
      <c r="AK98" s="487"/>
      <c r="AL98" s="864"/>
      <c r="AM98" s="877"/>
      <c r="AN98" s="783"/>
      <c r="AO98" s="487"/>
      <c r="AP98" s="864"/>
      <c r="AQ98" s="877"/>
      <c r="AR98" s="783"/>
      <c r="AS98" s="487"/>
      <c r="AT98" s="864"/>
      <c r="AU98" s="877"/>
      <c r="AV98" s="783"/>
      <c r="AW98" s="487"/>
      <c r="AX98" s="864"/>
      <c r="AY98" s="877"/>
      <c r="AZ98" s="783"/>
      <c r="BA98" s="487"/>
      <c r="BB98" s="864"/>
      <c r="BC98" s="877"/>
      <c r="BD98" s="783"/>
      <c r="BE98" s="487"/>
      <c r="BF98" s="864"/>
      <c r="BG98" s="877"/>
      <c r="BH98" s="783"/>
      <c r="BI98" s="487"/>
      <c r="BJ98" s="864"/>
      <c r="BK98" s="877"/>
      <c r="BL98" s="783"/>
      <c r="BM98" s="487"/>
      <c r="BN98" s="864"/>
      <c r="BO98" s="877"/>
      <c r="BP98" s="783"/>
      <c r="BQ98" s="487"/>
      <c r="BR98" s="864"/>
      <c r="BS98" s="877"/>
      <c r="BT98" s="783"/>
      <c r="BU98" s="487"/>
      <c r="BV98" s="864"/>
      <c r="BW98" s="877"/>
      <c r="BX98" s="783"/>
      <c r="BY98" s="783"/>
      <c r="BZ98" s="864"/>
      <c r="CA98" s="877"/>
      <c r="CB98" s="783"/>
      <c r="CC98" s="783"/>
      <c r="CD98" s="864"/>
      <c r="CE98" s="877"/>
      <c r="CF98" s="783"/>
      <c r="CG98" s="783"/>
      <c r="CH98" s="864"/>
      <c r="CI98" s="877"/>
      <c r="CJ98" s="783"/>
      <c r="CK98" s="783"/>
      <c r="CL98" s="864">
        <f>SUM(CL93:CL94)</f>
        <v>1422.3309999999992</v>
      </c>
      <c r="CM98" s="877">
        <f t="shared" si="289"/>
        <v>11.376021504155116</v>
      </c>
      <c r="CN98" s="783"/>
      <c r="CO98" s="783"/>
      <c r="CP98" s="864">
        <f>SUM(CP93:CP94)</f>
        <v>1713.1559999999999</v>
      </c>
      <c r="CQ98" s="877">
        <f t="shared" si="291"/>
        <v>12.120191638649972</v>
      </c>
      <c r="CR98" s="783">
        <f t="shared" si="292"/>
        <v>20.447068931212286</v>
      </c>
      <c r="CS98" s="783"/>
      <c r="CT98" s="864">
        <f>SUM(CT93:CT94)</f>
        <v>1815.1580000000004</v>
      </c>
      <c r="CU98" s="877">
        <f t="shared" si="293"/>
        <v>12.272323424582119</v>
      </c>
      <c r="CV98" s="783">
        <f t="shared" si="294"/>
        <v>5.9540403792766261</v>
      </c>
      <c r="CW98" s="883"/>
      <c r="CX98" s="864">
        <f>SUM(CX93:CX94)</f>
        <v>1988.7349999999992</v>
      </c>
      <c r="CY98" s="877">
        <f t="shared" si="295"/>
        <v>12.691337515289542</v>
      </c>
      <c r="CZ98" s="783">
        <f t="shared" si="296"/>
        <v>9.5626386242960049</v>
      </c>
      <c r="DA98" s="883"/>
      <c r="DB98" s="864">
        <f>SUM(DB93:DB94)</f>
        <v>2006.9910000000004</v>
      </c>
      <c r="DC98" s="877">
        <f t="shared" si="297"/>
        <v>12.006715894223174</v>
      </c>
      <c r="DD98" s="783">
        <f t="shared" si="298"/>
        <v>0.91797046866481935</v>
      </c>
      <c r="DE98" s="883"/>
      <c r="DF98" s="864">
        <f>SUM(DF93:DF94)</f>
        <v>2066.438000000001</v>
      </c>
      <c r="DG98" s="877">
        <f t="shared" si="299"/>
        <v>11.635784785860514</v>
      </c>
      <c r="DH98" s="783">
        <f t="shared" si="300"/>
        <v>2.9619963417873096</v>
      </c>
      <c r="DI98" s="883"/>
      <c r="DJ98" s="864">
        <f>SUM(DJ93:DJ94)</f>
        <v>2132.3799999999983</v>
      </c>
      <c r="DK98" s="877">
        <f t="shared" si="301"/>
        <v>10.811674121606609</v>
      </c>
      <c r="DL98" s="783">
        <f t="shared" si="302"/>
        <v>3.1910950147063355</v>
      </c>
      <c r="DM98" s="883"/>
      <c r="DN98" s="864">
        <f>SUM(DN93:DN94)</f>
        <v>2273.4706571184006</v>
      </c>
      <c r="DO98" s="877">
        <f t="shared" si="303"/>
        <v>11.139635972360788</v>
      </c>
      <c r="DP98" s="783">
        <f t="shared" si="304"/>
        <v>6.6165813372101701</v>
      </c>
      <c r="DQ98" s="883"/>
      <c r="DR98" s="883"/>
      <c r="DS98" s="794"/>
      <c r="DT98" s="794"/>
      <c r="DU98" s="794"/>
      <c r="DV98" s="794"/>
      <c r="DW98" s="794"/>
      <c r="DX98" s="794"/>
      <c r="DY98" s="794"/>
      <c r="DZ98" s="794"/>
      <c r="EA98" s="794"/>
      <c r="EB98" s="794"/>
    </row>
    <row r="99" spans="1:132" hidden="1" outlineLevel="1">
      <c r="A99" s="487"/>
      <c r="B99" s="487"/>
      <c r="C99" s="487"/>
      <c r="D99" s="864"/>
      <c r="E99" s="487"/>
      <c r="F99" s="864"/>
      <c r="G99" s="877"/>
      <c r="H99" s="487"/>
      <c r="I99" s="487"/>
      <c r="J99" s="864"/>
      <c r="K99" s="877"/>
      <c r="L99" s="487"/>
      <c r="M99" s="487"/>
      <c r="N99" s="864"/>
      <c r="O99" s="877"/>
      <c r="P99" s="487"/>
      <c r="Q99" s="487"/>
      <c r="R99" s="864"/>
      <c r="S99" s="877"/>
      <c r="T99" s="487"/>
      <c r="U99" s="487"/>
      <c r="V99" s="864"/>
      <c r="W99" s="877"/>
      <c r="X99" s="487"/>
      <c r="Y99" s="487"/>
      <c r="Z99" s="864"/>
      <c r="AA99" s="877"/>
      <c r="AB99" s="783"/>
      <c r="AC99" s="487"/>
      <c r="AD99" s="864"/>
      <c r="AE99" s="877"/>
      <c r="AF99" s="783"/>
      <c r="AG99" s="487"/>
      <c r="AH99" s="864"/>
      <c r="AI99" s="877"/>
      <c r="AJ99" s="783"/>
      <c r="AK99" s="487"/>
      <c r="AL99" s="864"/>
      <c r="AM99" s="877"/>
      <c r="AN99" s="783"/>
      <c r="AO99" s="487"/>
      <c r="AP99" s="864"/>
      <c r="AQ99" s="877"/>
      <c r="AR99" s="783"/>
      <c r="AS99" s="487"/>
      <c r="AT99" s="864"/>
      <c r="AU99" s="877"/>
      <c r="AV99" s="783"/>
      <c r="AW99" s="487"/>
      <c r="AX99" s="864"/>
      <c r="AY99" s="877"/>
      <c r="AZ99" s="783"/>
      <c r="BA99" s="487"/>
      <c r="BB99" s="864"/>
      <c r="BC99" s="877"/>
      <c r="BD99" s="783"/>
      <c r="BE99" s="487"/>
      <c r="BF99" s="864"/>
      <c r="BG99" s="877"/>
      <c r="BH99" s="783"/>
      <c r="BI99" s="487"/>
      <c r="BJ99" s="864"/>
      <c r="BK99" s="877"/>
      <c r="BL99" s="783"/>
      <c r="BM99" s="487"/>
      <c r="BN99" s="864"/>
      <c r="BO99" s="877"/>
      <c r="BP99" s="783"/>
      <c r="BQ99" s="487"/>
      <c r="BR99" s="864"/>
      <c r="BS99" s="877"/>
      <c r="BT99" s="783"/>
      <c r="BU99" s="487"/>
      <c r="BV99" s="864"/>
      <c r="BW99" s="877"/>
      <c r="BX99" s="783"/>
      <c r="BY99" s="783"/>
      <c r="BZ99" s="864"/>
      <c r="CA99" s="877"/>
      <c r="CB99" s="783"/>
      <c r="CC99" s="783"/>
      <c r="CD99" s="864"/>
      <c r="CE99" s="877"/>
      <c r="CF99" s="783"/>
      <c r="CG99" s="783"/>
      <c r="CH99" s="864"/>
      <c r="CI99" s="877"/>
      <c r="CJ99" s="783"/>
      <c r="CK99" s="783"/>
      <c r="CL99" s="864"/>
      <c r="CM99" s="877"/>
      <c r="CN99" s="783"/>
      <c r="CO99" s="783"/>
      <c r="CP99" s="864"/>
      <c r="CQ99" s="877"/>
      <c r="CR99" s="783"/>
      <c r="CS99" s="783"/>
      <c r="CT99" s="864"/>
      <c r="CU99" s="877"/>
      <c r="CV99" s="783"/>
      <c r="CW99" s="883"/>
      <c r="CX99" s="864"/>
      <c r="CY99" s="877"/>
      <c r="CZ99" s="783"/>
      <c r="DA99" s="883"/>
      <c r="DB99" s="864"/>
      <c r="DC99" s="877"/>
      <c r="DD99" s="783"/>
      <c r="DE99" s="883"/>
      <c r="DF99" s="864"/>
      <c r="DG99" s="877"/>
      <c r="DH99" s="783"/>
      <c r="DI99" s="883"/>
      <c r="DJ99" s="864"/>
      <c r="DK99" s="877"/>
      <c r="DL99" s="783"/>
      <c r="DM99" s="883"/>
      <c r="DN99" s="864"/>
      <c r="DO99" s="877"/>
      <c r="DP99" s="783"/>
      <c r="DQ99" s="883"/>
      <c r="DR99" s="883"/>
      <c r="DS99" s="794"/>
      <c r="DT99" s="794"/>
      <c r="DU99" s="794"/>
      <c r="DV99" s="794"/>
      <c r="DW99" s="794"/>
      <c r="DX99" s="794"/>
      <c r="DY99" s="794"/>
      <c r="DZ99" s="794"/>
      <c r="EA99" s="794"/>
      <c r="EB99" s="794"/>
    </row>
    <row r="100" spans="1:132" hidden="1" outlineLevel="1">
      <c r="A100" s="487"/>
      <c r="B100" s="487"/>
      <c r="C100" s="487"/>
      <c r="D100" s="864"/>
      <c r="E100" s="487"/>
      <c r="F100" s="864"/>
      <c r="G100" s="877"/>
      <c r="H100" s="487"/>
      <c r="I100" s="487"/>
      <c r="J100" s="864"/>
      <c r="K100" s="877"/>
      <c r="L100" s="487"/>
      <c r="M100" s="487"/>
      <c r="N100" s="864"/>
      <c r="O100" s="877"/>
      <c r="P100" s="487"/>
      <c r="Q100" s="487"/>
      <c r="R100" s="864"/>
      <c r="S100" s="877"/>
      <c r="T100" s="487"/>
      <c r="U100" s="487"/>
      <c r="V100" s="864"/>
      <c r="W100" s="877"/>
      <c r="X100" s="487"/>
      <c r="Y100" s="487"/>
      <c r="Z100" s="864"/>
      <c r="AA100" s="877"/>
      <c r="AB100" s="783"/>
      <c r="AC100" s="487"/>
      <c r="AD100" s="864"/>
      <c r="AE100" s="877"/>
      <c r="AF100" s="783"/>
      <c r="AG100" s="487"/>
      <c r="AH100" s="864"/>
      <c r="AI100" s="877"/>
      <c r="AJ100" s="783"/>
      <c r="AK100" s="487"/>
      <c r="AL100" s="864"/>
      <c r="AM100" s="877"/>
      <c r="AN100" s="783"/>
      <c r="AO100" s="487"/>
      <c r="AP100" s="864"/>
      <c r="AQ100" s="877"/>
      <c r="AR100" s="783"/>
      <c r="AS100" s="487"/>
      <c r="AT100" s="864"/>
      <c r="AU100" s="877"/>
      <c r="AV100" s="783"/>
      <c r="AW100" s="487"/>
      <c r="AX100" s="864"/>
      <c r="AY100" s="877"/>
      <c r="AZ100" s="783"/>
      <c r="BA100" s="487"/>
      <c r="BB100" s="864"/>
      <c r="BC100" s="877"/>
      <c r="BD100" s="783"/>
      <c r="BE100" s="487"/>
      <c r="BF100" s="864"/>
      <c r="BG100" s="877"/>
      <c r="BH100" s="783"/>
      <c r="BI100" s="487"/>
      <c r="BJ100" s="864"/>
      <c r="BK100" s="877"/>
      <c r="BL100" s="783"/>
      <c r="BM100" s="487"/>
      <c r="BN100" s="864"/>
      <c r="BO100" s="877"/>
      <c r="BP100" s="783"/>
      <c r="BQ100" s="487"/>
      <c r="BR100" s="864"/>
      <c r="BS100" s="877"/>
      <c r="BT100" s="783"/>
      <c r="BU100" s="487"/>
      <c r="BV100" s="864"/>
      <c r="BW100" s="877"/>
      <c r="BX100" s="783"/>
      <c r="BY100" s="783"/>
      <c r="BZ100" s="864"/>
      <c r="CA100" s="877"/>
      <c r="CB100" s="783"/>
      <c r="CC100" s="783"/>
      <c r="CD100" s="864"/>
      <c r="CE100" s="877"/>
      <c r="CF100" s="783"/>
      <c r="CG100" s="783"/>
      <c r="CH100" s="864"/>
      <c r="CI100" s="877"/>
      <c r="CJ100" s="783"/>
      <c r="CK100" s="783"/>
      <c r="CL100" s="864"/>
      <c r="CM100" s="877"/>
      <c r="CN100" s="783"/>
      <c r="CO100" s="783"/>
      <c r="CP100" s="864"/>
      <c r="CQ100" s="877"/>
      <c r="CR100" s="783"/>
      <c r="CS100" s="783"/>
      <c r="CT100" s="864"/>
      <c r="CU100" s="877"/>
      <c r="CV100" s="783"/>
      <c r="CW100" s="883"/>
      <c r="CX100" s="864"/>
      <c r="CY100" s="877"/>
      <c r="CZ100" s="783"/>
      <c r="DA100" s="883"/>
      <c r="DB100" s="864"/>
      <c r="DC100" s="877"/>
      <c r="DD100" s="783"/>
      <c r="DE100" s="883"/>
      <c r="DF100" s="864"/>
      <c r="DG100" s="877"/>
      <c r="DH100" s="783"/>
      <c r="DI100" s="883"/>
      <c r="DJ100" s="864"/>
      <c r="DK100" s="877"/>
      <c r="DL100" s="783"/>
      <c r="DM100" s="883"/>
      <c r="DN100" s="864"/>
      <c r="DO100" s="877"/>
      <c r="DP100" s="783"/>
      <c r="DQ100" s="883"/>
      <c r="DR100" s="883"/>
      <c r="DS100" s="794"/>
      <c r="DT100" s="794"/>
      <c r="DU100" s="794"/>
      <c r="DV100" s="794"/>
      <c r="DW100" s="794"/>
      <c r="DX100" s="794"/>
      <c r="DY100" s="794"/>
      <c r="DZ100" s="794"/>
      <c r="EA100" s="794"/>
      <c r="EB100" s="794"/>
    </row>
    <row r="101" spans="1:132" hidden="1" outlineLevel="1">
      <c r="A101" s="487"/>
      <c r="B101" s="487"/>
      <c r="C101" s="487"/>
      <c r="D101" s="864"/>
      <c r="E101" s="487"/>
      <c r="F101" s="864"/>
      <c r="G101" s="877"/>
      <c r="H101" s="487"/>
      <c r="I101" s="487"/>
      <c r="J101" s="864"/>
      <c r="K101" s="877"/>
      <c r="L101" s="487"/>
      <c r="M101" s="487"/>
      <c r="N101" s="864"/>
      <c r="O101" s="877"/>
      <c r="P101" s="487"/>
      <c r="Q101" s="487"/>
      <c r="R101" s="864"/>
      <c r="S101" s="877"/>
      <c r="T101" s="487"/>
      <c r="U101" s="487"/>
      <c r="V101" s="864"/>
      <c r="W101" s="877"/>
      <c r="X101" s="487"/>
      <c r="Y101" s="487"/>
      <c r="Z101" s="864"/>
      <c r="AA101" s="877"/>
      <c r="AB101" s="783"/>
      <c r="AC101" s="487"/>
      <c r="AD101" s="864"/>
      <c r="AE101" s="877"/>
      <c r="AF101" s="783"/>
      <c r="AG101" s="487"/>
      <c r="AH101" s="864"/>
      <c r="AI101" s="877"/>
      <c r="AJ101" s="783"/>
      <c r="AK101" s="487"/>
      <c r="AL101" s="864"/>
      <c r="AM101" s="877"/>
      <c r="AN101" s="783"/>
      <c r="AO101" s="487"/>
      <c r="AP101" s="864"/>
      <c r="AQ101" s="877"/>
      <c r="AR101" s="783"/>
      <c r="AS101" s="487"/>
      <c r="AT101" s="864"/>
      <c r="AU101" s="877"/>
      <c r="AV101" s="783"/>
      <c r="AW101" s="487"/>
      <c r="AX101" s="864"/>
      <c r="AY101" s="877"/>
      <c r="AZ101" s="783"/>
      <c r="BA101" s="487"/>
      <c r="BB101" s="864"/>
      <c r="BC101" s="877"/>
      <c r="BD101" s="783"/>
      <c r="BE101" s="487"/>
      <c r="BF101" s="864"/>
      <c r="BG101" s="877"/>
      <c r="BH101" s="783"/>
      <c r="BI101" s="487"/>
      <c r="BJ101" s="864"/>
      <c r="BK101" s="877"/>
      <c r="BL101" s="783"/>
      <c r="BM101" s="487"/>
      <c r="BN101" s="864"/>
      <c r="BO101" s="877"/>
      <c r="BP101" s="783"/>
      <c r="BQ101" s="487"/>
      <c r="BR101" s="864"/>
      <c r="BS101" s="877"/>
      <c r="BT101" s="783"/>
      <c r="BU101" s="487"/>
      <c r="BV101" s="864"/>
      <c r="BW101" s="877"/>
      <c r="BX101" s="783"/>
      <c r="BY101" s="783"/>
      <c r="BZ101" s="864"/>
      <c r="CA101" s="877"/>
      <c r="CB101" s="783"/>
      <c r="CC101" s="783"/>
      <c r="CD101" s="864"/>
      <c r="CE101" s="877"/>
      <c r="CF101" s="783"/>
      <c r="CG101" s="783"/>
      <c r="CH101" s="864"/>
      <c r="CI101" s="877"/>
      <c r="CJ101" s="783"/>
      <c r="CK101" s="783"/>
      <c r="CL101" s="864"/>
      <c r="CM101" s="877"/>
      <c r="CN101" s="783"/>
      <c r="CO101" s="783"/>
      <c r="CP101" s="864"/>
      <c r="CQ101" s="877"/>
      <c r="CR101" s="783"/>
      <c r="CS101" s="783"/>
      <c r="CT101" s="864"/>
      <c r="CU101" s="877"/>
      <c r="CV101" s="783"/>
      <c r="CW101" s="883"/>
      <c r="CX101" s="864"/>
      <c r="CY101" s="877"/>
      <c r="CZ101" s="783"/>
      <c r="DA101" s="883"/>
      <c r="DB101" s="864"/>
      <c r="DC101" s="877"/>
      <c r="DD101" s="783"/>
      <c r="DE101" s="883"/>
      <c r="DF101" s="864"/>
      <c r="DG101" s="877"/>
      <c r="DH101" s="783"/>
      <c r="DI101" s="883"/>
      <c r="DJ101" s="864"/>
      <c r="DK101" s="877"/>
      <c r="DL101" s="783"/>
      <c r="DM101" s="883"/>
      <c r="DN101" s="864"/>
      <c r="DO101" s="877"/>
      <c r="DP101" s="783"/>
      <c r="DQ101" s="883"/>
      <c r="DR101" s="883"/>
      <c r="DS101" s="794"/>
      <c r="DT101" s="794"/>
      <c r="DU101" s="794"/>
      <c r="DV101" s="794"/>
      <c r="DW101" s="794"/>
      <c r="DX101" s="794"/>
      <c r="DY101" s="794"/>
      <c r="DZ101" s="794"/>
      <c r="EA101" s="794"/>
      <c r="EB101" s="794"/>
    </row>
    <row r="102" spans="1:132" hidden="1" outlineLevel="1">
      <c r="A102" s="487"/>
      <c r="B102" s="487"/>
      <c r="C102" s="487"/>
      <c r="D102" s="864"/>
      <c r="E102" s="487"/>
      <c r="F102" s="864"/>
      <c r="G102" s="877"/>
      <c r="H102" s="487"/>
      <c r="I102" s="487"/>
      <c r="J102" s="864"/>
      <c r="K102" s="877"/>
      <c r="L102" s="487"/>
      <c r="M102" s="487"/>
      <c r="N102" s="864"/>
      <c r="O102" s="877"/>
      <c r="P102" s="487"/>
      <c r="Q102" s="487"/>
      <c r="R102" s="864"/>
      <c r="S102" s="877"/>
      <c r="T102" s="487"/>
      <c r="U102" s="487"/>
      <c r="V102" s="864"/>
      <c r="W102" s="877"/>
      <c r="X102" s="487"/>
      <c r="Y102" s="487"/>
      <c r="Z102" s="864"/>
      <c r="AA102" s="877"/>
      <c r="AB102" s="783"/>
      <c r="AC102" s="487"/>
      <c r="AD102" s="864"/>
      <c r="AE102" s="877"/>
      <c r="AF102" s="783"/>
      <c r="AG102" s="487"/>
      <c r="AH102" s="864"/>
      <c r="AI102" s="877"/>
      <c r="AJ102" s="783"/>
      <c r="AK102" s="487"/>
      <c r="AL102" s="864"/>
      <c r="AM102" s="877"/>
      <c r="AN102" s="783"/>
      <c r="AO102" s="487"/>
      <c r="AP102" s="864"/>
      <c r="AQ102" s="877"/>
      <c r="AR102" s="783"/>
      <c r="AS102" s="487"/>
      <c r="AT102" s="864"/>
      <c r="AU102" s="877"/>
      <c r="AV102" s="783"/>
      <c r="AW102" s="487"/>
      <c r="AX102" s="864"/>
      <c r="AY102" s="877"/>
      <c r="AZ102" s="783"/>
      <c r="BA102" s="487"/>
      <c r="BB102" s="864"/>
      <c r="BC102" s="877"/>
      <c r="BD102" s="783"/>
      <c r="BE102" s="487"/>
      <c r="BF102" s="864"/>
      <c r="BG102" s="877"/>
      <c r="BH102" s="783"/>
      <c r="BI102" s="487"/>
      <c r="BJ102" s="864"/>
      <c r="BK102" s="877"/>
      <c r="BL102" s="783"/>
      <c r="BM102" s="487"/>
      <c r="BN102" s="864"/>
      <c r="BO102" s="877"/>
      <c r="BP102" s="783"/>
      <c r="BQ102" s="487"/>
      <c r="BR102" s="864"/>
      <c r="BS102" s="877"/>
      <c r="BT102" s="783"/>
      <c r="BU102" s="487"/>
      <c r="BV102" s="864"/>
      <c r="BW102" s="877"/>
      <c r="BX102" s="783"/>
      <c r="BY102" s="783"/>
      <c r="BZ102" s="864"/>
      <c r="CA102" s="877"/>
      <c r="CB102" s="783"/>
      <c r="CC102" s="783"/>
      <c r="CD102" s="864"/>
      <c r="CE102" s="877"/>
      <c r="CF102" s="783"/>
      <c r="CG102" s="783"/>
      <c r="CH102" s="864"/>
      <c r="CI102" s="877"/>
      <c r="CJ102" s="783"/>
      <c r="CK102" s="783"/>
      <c r="CL102" s="864"/>
      <c r="CM102" s="877"/>
      <c r="CN102" s="783"/>
      <c r="CO102" s="783"/>
      <c r="CP102" s="864"/>
      <c r="CQ102" s="877"/>
      <c r="CR102" s="783"/>
      <c r="CS102" s="783"/>
      <c r="CT102" s="864"/>
      <c r="CU102" s="877"/>
      <c r="CV102" s="783"/>
      <c r="CW102" s="883"/>
      <c r="CX102" s="864"/>
      <c r="CY102" s="877"/>
      <c r="CZ102" s="783"/>
      <c r="DA102" s="883"/>
      <c r="DB102" s="864"/>
      <c r="DC102" s="877"/>
      <c r="DD102" s="783"/>
      <c r="DE102" s="883"/>
      <c r="DF102" s="864"/>
      <c r="DG102" s="877"/>
      <c r="DH102" s="783"/>
      <c r="DI102" s="883"/>
      <c r="DJ102" s="864"/>
      <c r="DK102" s="877"/>
      <c r="DL102" s="783"/>
      <c r="DM102" s="883"/>
      <c r="DN102" s="864"/>
      <c r="DO102" s="877"/>
      <c r="DP102" s="783"/>
      <c r="DQ102" s="883"/>
      <c r="DR102" s="883"/>
      <c r="DS102" s="794"/>
      <c r="DT102" s="794"/>
      <c r="DU102" s="794"/>
      <c r="DV102" s="794"/>
      <c r="DW102" s="794"/>
      <c r="DX102" s="794"/>
      <c r="DY102" s="794"/>
      <c r="DZ102" s="794"/>
      <c r="EA102" s="794"/>
      <c r="EB102" s="794"/>
    </row>
    <row r="103" spans="1:132" hidden="1" outlineLevel="1">
      <c r="A103" s="487"/>
      <c r="B103" s="487"/>
      <c r="C103" s="487"/>
      <c r="D103" s="864"/>
      <c r="E103" s="487"/>
      <c r="F103" s="864"/>
      <c r="G103" s="877"/>
      <c r="H103" s="487"/>
      <c r="I103" s="487"/>
      <c r="J103" s="864"/>
      <c r="K103" s="877"/>
      <c r="L103" s="487"/>
      <c r="M103" s="487"/>
      <c r="N103" s="864"/>
      <c r="O103" s="877"/>
      <c r="P103" s="487"/>
      <c r="Q103" s="487"/>
      <c r="R103" s="864"/>
      <c r="S103" s="877"/>
      <c r="T103" s="487"/>
      <c r="U103" s="487"/>
      <c r="V103" s="864"/>
      <c r="W103" s="877"/>
      <c r="X103" s="487"/>
      <c r="Y103" s="487"/>
      <c r="Z103" s="864"/>
      <c r="AA103" s="877"/>
      <c r="AB103" s="783"/>
      <c r="AC103" s="487"/>
      <c r="AD103" s="864"/>
      <c r="AE103" s="877"/>
      <c r="AF103" s="783"/>
      <c r="AG103" s="487"/>
      <c r="AH103" s="864"/>
      <c r="AI103" s="877"/>
      <c r="AJ103" s="783"/>
      <c r="AK103" s="487"/>
      <c r="AL103" s="864"/>
      <c r="AM103" s="877"/>
      <c r="AN103" s="783"/>
      <c r="AO103" s="487"/>
      <c r="AP103" s="864"/>
      <c r="AQ103" s="877"/>
      <c r="AR103" s="783"/>
      <c r="AS103" s="487"/>
      <c r="AT103" s="864"/>
      <c r="AU103" s="877"/>
      <c r="AV103" s="783"/>
      <c r="AW103" s="487"/>
      <c r="AX103" s="864"/>
      <c r="AY103" s="877"/>
      <c r="AZ103" s="783"/>
      <c r="BA103" s="487"/>
      <c r="BB103" s="864"/>
      <c r="BC103" s="877"/>
      <c r="BD103" s="783"/>
      <c r="BE103" s="487"/>
      <c r="BF103" s="864"/>
      <c r="BG103" s="877"/>
      <c r="BH103" s="783"/>
      <c r="BI103" s="487"/>
      <c r="BJ103" s="864"/>
      <c r="BK103" s="877"/>
      <c r="BL103" s="783"/>
      <c r="BM103" s="487"/>
      <c r="BN103" s="864"/>
      <c r="BO103" s="877"/>
      <c r="BP103" s="783"/>
      <c r="BQ103" s="487"/>
      <c r="BR103" s="864"/>
      <c r="BS103" s="877"/>
      <c r="BT103" s="783"/>
      <c r="BU103" s="487"/>
      <c r="BV103" s="864"/>
      <c r="BW103" s="877"/>
      <c r="BX103" s="783"/>
      <c r="BY103" s="783"/>
      <c r="BZ103" s="864"/>
      <c r="CA103" s="877"/>
      <c r="CB103" s="783"/>
      <c r="CC103" s="783"/>
      <c r="CD103" s="864"/>
      <c r="CE103" s="877"/>
      <c r="CF103" s="783"/>
      <c r="CG103" s="783"/>
      <c r="CH103" s="864"/>
      <c r="CI103" s="877"/>
      <c r="CJ103" s="783"/>
      <c r="CK103" s="783"/>
      <c r="CL103" s="864"/>
      <c r="CM103" s="877"/>
      <c r="CN103" s="783"/>
      <c r="CO103" s="783"/>
      <c r="CP103" s="864"/>
      <c r="CQ103" s="877"/>
      <c r="CR103" s="783"/>
      <c r="CS103" s="783"/>
      <c r="CT103" s="864"/>
      <c r="CU103" s="877"/>
      <c r="CV103" s="783"/>
      <c r="CW103" s="883"/>
      <c r="CX103" s="864"/>
      <c r="CY103" s="877"/>
      <c r="CZ103" s="783"/>
      <c r="DA103" s="883"/>
      <c r="DB103" s="864"/>
      <c r="DC103" s="877"/>
      <c r="DD103" s="783"/>
      <c r="DE103" s="883"/>
      <c r="DF103" s="864"/>
      <c r="DG103" s="877"/>
      <c r="DH103" s="783"/>
      <c r="DI103" s="883"/>
      <c r="DJ103" s="864"/>
      <c r="DK103" s="877"/>
      <c r="DL103" s="783"/>
      <c r="DM103" s="883"/>
      <c r="DN103" s="864"/>
      <c r="DO103" s="877"/>
      <c r="DP103" s="783"/>
      <c r="DQ103" s="883"/>
      <c r="DR103" s="883"/>
      <c r="DS103" s="794"/>
      <c r="DT103" s="794"/>
      <c r="DU103" s="794"/>
      <c r="DV103" s="794"/>
      <c r="DW103" s="794"/>
      <c r="DX103" s="794"/>
      <c r="DY103" s="794"/>
      <c r="DZ103" s="794"/>
      <c r="EA103" s="794"/>
      <c r="EB103" s="794"/>
    </row>
    <row r="104" spans="1:132" hidden="1" outlineLevel="1">
      <c r="A104" s="487"/>
      <c r="B104" s="487"/>
      <c r="C104" s="487"/>
      <c r="D104" s="864"/>
      <c r="E104" s="487"/>
      <c r="F104" s="864"/>
      <c r="G104" s="877"/>
      <c r="H104" s="487"/>
      <c r="I104" s="487"/>
      <c r="J104" s="864"/>
      <c r="K104" s="877"/>
      <c r="L104" s="487"/>
      <c r="M104" s="487"/>
      <c r="N104" s="864"/>
      <c r="O104" s="877"/>
      <c r="P104" s="487"/>
      <c r="Q104" s="487"/>
      <c r="R104" s="864"/>
      <c r="S104" s="877"/>
      <c r="T104" s="487"/>
      <c r="U104" s="487"/>
      <c r="V104" s="864"/>
      <c r="W104" s="877"/>
      <c r="X104" s="487"/>
      <c r="Y104" s="487"/>
      <c r="Z104" s="864"/>
      <c r="AA104" s="877"/>
      <c r="AB104" s="783"/>
      <c r="AC104" s="487"/>
      <c r="AD104" s="864"/>
      <c r="AE104" s="877"/>
      <c r="AF104" s="783"/>
      <c r="AG104" s="487"/>
      <c r="AH104" s="864"/>
      <c r="AI104" s="877"/>
      <c r="AJ104" s="783"/>
      <c r="AK104" s="487"/>
      <c r="AL104" s="864"/>
      <c r="AM104" s="877"/>
      <c r="AN104" s="783"/>
      <c r="AO104" s="487"/>
      <c r="AP104" s="864"/>
      <c r="AQ104" s="877"/>
      <c r="AR104" s="783"/>
      <c r="AS104" s="487"/>
      <c r="AT104" s="864"/>
      <c r="AU104" s="877"/>
      <c r="AV104" s="783"/>
      <c r="AW104" s="487"/>
      <c r="AX104" s="864"/>
      <c r="AY104" s="877"/>
      <c r="AZ104" s="783"/>
      <c r="BA104" s="487"/>
      <c r="BB104" s="864"/>
      <c r="BC104" s="877"/>
      <c r="BD104" s="783"/>
      <c r="BE104" s="487"/>
      <c r="BF104" s="864"/>
      <c r="BG104" s="877"/>
      <c r="BH104" s="783"/>
      <c r="BI104" s="487"/>
      <c r="BJ104" s="864"/>
      <c r="BK104" s="877"/>
      <c r="BL104" s="783"/>
      <c r="BM104" s="487"/>
      <c r="BN104" s="864"/>
      <c r="BO104" s="877"/>
      <c r="BP104" s="783"/>
      <c r="BQ104" s="487"/>
      <c r="BR104" s="864"/>
      <c r="BS104" s="877"/>
      <c r="BT104" s="783"/>
      <c r="BU104" s="487"/>
      <c r="BV104" s="864"/>
      <c r="BW104" s="877"/>
      <c r="BX104" s="783"/>
      <c r="BY104" s="783"/>
      <c r="BZ104" s="864"/>
      <c r="CA104" s="877"/>
      <c r="CB104" s="783"/>
      <c r="CC104" s="783"/>
      <c r="CD104" s="864"/>
      <c r="CE104" s="877"/>
      <c r="CF104" s="783"/>
      <c r="CG104" s="783"/>
      <c r="CH104" s="864"/>
      <c r="CI104" s="877"/>
      <c r="CJ104" s="783"/>
      <c r="CK104" s="783"/>
      <c r="CL104" s="864"/>
      <c r="CM104" s="877"/>
      <c r="CN104" s="783"/>
      <c r="CO104" s="783"/>
      <c r="CP104" s="864"/>
      <c r="CQ104" s="877"/>
      <c r="CR104" s="783"/>
      <c r="CS104" s="783"/>
      <c r="CT104" s="864"/>
      <c r="CU104" s="877"/>
      <c r="CV104" s="783"/>
      <c r="CW104" s="883"/>
      <c r="CX104" s="864"/>
      <c r="CY104" s="877"/>
      <c r="CZ104" s="783"/>
      <c r="DA104" s="883"/>
      <c r="DB104" s="864"/>
      <c r="DC104" s="877"/>
      <c r="DD104" s="783"/>
      <c r="DE104" s="883"/>
      <c r="DF104" s="864"/>
      <c r="DG104" s="877"/>
      <c r="DH104" s="783"/>
      <c r="DI104" s="883"/>
      <c r="DJ104" s="864"/>
      <c r="DK104" s="877"/>
      <c r="DL104" s="783"/>
      <c r="DM104" s="883"/>
      <c r="DN104" s="864"/>
      <c r="DO104" s="877"/>
      <c r="DP104" s="783"/>
      <c r="DQ104" s="883"/>
      <c r="DR104" s="883"/>
      <c r="DS104" s="794"/>
      <c r="DT104" s="794"/>
      <c r="DU104" s="794"/>
      <c r="DV104" s="794"/>
      <c r="DW104" s="794"/>
      <c r="DX104" s="794"/>
      <c r="DY104" s="794"/>
      <c r="DZ104" s="794"/>
      <c r="EA104" s="794"/>
      <c r="EB104" s="794"/>
    </row>
    <row r="105" spans="1:132" hidden="1" outlineLevel="1">
      <c r="A105" s="487"/>
      <c r="B105" s="487"/>
      <c r="C105" s="487"/>
      <c r="D105" s="864"/>
      <c r="E105" s="487"/>
      <c r="F105" s="864"/>
      <c r="G105" s="877"/>
      <c r="H105" s="487"/>
      <c r="I105" s="487"/>
      <c r="J105" s="864"/>
      <c r="K105" s="877"/>
      <c r="L105" s="487"/>
      <c r="M105" s="487"/>
      <c r="N105" s="864"/>
      <c r="O105" s="877"/>
      <c r="P105" s="487"/>
      <c r="Q105" s="487"/>
      <c r="R105" s="864"/>
      <c r="S105" s="877"/>
      <c r="T105" s="487"/>
      <c r="U105" s="487"/>
      <c r="V105" s="864"/>
      <c r="W105" s="877"/>
      <c r="X105" s="487"/>
      <c r="Y105" s="487"/>
      <c r="Z105" s="864"/>
      <c r="AA105" s="877"/>
      <c r="AB105" s="783"/>
      <c r="AC105" s="487"/>
      <c r="AD105" s="864"/>
      <c r="AE105" s="877"/>
      <c r="AF105" s="783"/>
      <c r="AG105" s="487"/>
      <c r="AH105" s="864"/>
      <c r="AI105" s="877"/>
      <c r="AJ105" s="783"/>
      <c r="AK105" s="487"/>
      <c r="AL105" s="864"/>
      <c r="AM105" s="877"/>
      <c r="AN105" s="783"/>
      <c r="AO105" s="487"/>
      <c r="AP105" s="864"/>
      <c r="AQ105" s="877"/>
      <c r="AR105" s="783"/>
      <c r="AS105" s="487"/>
      <c r="AT105" s="864"/>
      <c r="AU105" s="877"/>
      <c r="AV105" s="783"/>
      <c r="AW105" s="487"/>
      <c r="AX105" s="864"/>
      <c r="AY105" s="877"/>
      <c r="AZ105" s="783"/>
      <c r="BA105" s="487"/>
      <c r="BB105" s="864"/>
      <c r="BC105" s="877"/>
      <c r="BD105" s="783"/>
      <c r="BE105" s="487"/>
      <c r="BF105" s="864"/>
      <c r="BG105" s="877"/>
      <c r="BH105" s="783"/>
      <c r="BI105" s="487"/>
      <c r="BJ105" s="864"/>
      <c r="BK105" s="877"/>
      <c r="BL105" s="783"/>
      <c r="BM105" s="487"/>
      <c r="BN105" s="864"/>
      <c r="BO105" s="877"/>
      <c r="BP105" s="783"/>
      <c r="BQ105" s="487"/>
      <c r="BR105" s="864"/>
      <c r="BS105" s="877"/>
      <c r="BT105" s="783"/>
      <c r="BU105" s="487"/>
      <c r="BV105" s="864"/>
      <c r="BW105" s="877"/>
      <c r="BX105" s="783"/>
      <c r="BY105" s="783"/>
      <c r="BZ105" s="864"/>
      <c r="CA105" s="877"/>
      <c r="CB105" s="783"/>
      <c r="CC105" s="783"/>
      <c r="CD105" s="864"/>
      <c r="CE105" s="877"/>
      <c r="CF105" s="783"/>
      <c r="CG105" s="783"/>
      <c r="CH105" s="864"/>
      <c r="CI105" s="877"/>
      <c r="CJ105" s="783"/>
      <c r="CK105" s="783"/>
      <c r="CL105" s="864"/>
      <c r="CM105" s="877"/>
      <c r="CN105" s="783"/>
      <c r="CO105" s="783"/>
      <c r="CP105" s="864"/>
      <c r="CQ105" s="877"/>
      <c r="CR105" s="783"/>
      <c r="CS105" s="783"/>
      <c r="CT105" s="864"/>
      <c r="CU105" s="877"/>
      <c r="CV105" s="783"/>
      <c r="CW105" s="883"/>
      <c r="CX105" s="864"/>
      <c r="CY105" s="877"/>
      <c r="CZ105" s="783"/>
      <c r="DA105" s="883"/>
      <c r="DB105" s="864"/>
      <c r="DC105" s="877"/>
      <c r="DD105" s="783"/>
      <c r="DE105" s="883"/>
      <c r="DF105" s="864"/>
      <c r="DG105" s="877"/>
      <c r="DH105" s="783"/>
      <c r="DI105" s="883"/>
      <c r="DJ105" s="864"/>
      <c r="DK105" s="877"/>
      <c r="DL105" s="783"/>
      <c r="DM105" s="883"/>
      <c r="DN105" s="864"/>
      <c r="DO105" s="877"/>
      <c r="DP105" s="783"/>
      <c r="DQ105" s="883"/>
      <c r="DR105" s="883"/>
      <c r="DS105" s="794"/>
      <c r="DT105" s="794"/>
      <c r="DU105" s="794"/>
      <c r="DV105" s="794"/>
      <c r="DW105" s="794"/>
      <c r="DX105" s="794"/>
      <c r="DY105" s="794"/>
      <c r="DZ105" s="794"/>
      <c r="EA105" s="794"/>
      <c r="EB105" s="794"/>
    </row>
    <row r="106" spans="1:132" hidden="1" outlineLevel="1">
      <c r="A106" s="487"/>
      <c r="B106" s="487"/>
      <c r="C106" s="487"/>
      <c r="D106" s="864"/>
      <c r="E106" s="487"/>
      <c r="F106" s="864"/>
      <c r="G106" s="877"/>
      <c r="H106" s="487"/>
      <c r="I106" s="487"/>
      <c r="J106" s="864"/>
      <c r="K106" s="877"/>
      <c r="L106" s="487"/>
      <c r="M106" s="487"/>
      <c r="N106" s="864"/>
      <c r="O106" s="877"/>
      <c r="P106" s="487"/>
      <c r="Q106" s="487"/>
      <c r="R106" s="864"/>
      <c r="S106" s="877"/>
      <c r="T106" s="487"/>
      <c r="U106" s="487"/>
      <c r="V106" s="864"/>
      <c r="W106" s="877"/>
      <c r="X106" s="487"/>
      <c r="Y106" s="487"/>
      <c r="Z106" s="864"/>
      <c r="AA106" s="877"/>
      <c r="AB106" s="783"/>
      <c r="AC106" s="487"/>
      <c r="AD106" s="864"/>
      <c r="AE106" s="877"/>
      <c r="AF106" s="783"/>
      <c r="AG106" s="487"/>
      <c r="AH106" s="864"/>
      <c r="AI106" s="877"/>
      <c r="AJ106" s="783"/>
      <c r="AK106" s="487"/>
      <c r="AL106" s="864"/>
      <c r="AM106" s="877"/>
      <c r="AN106" s="783"/>
      <c r="AO106" s="487"/>
      <c r="AP106" s="864"/>
      <c r="AQ106" s="877"/>
      <c r="AR106" s="783"/>
      <c r="AS106" s="487"/>
      <c r="AT106" s="864"/>
      <c r="AU106" s="877"/>
      <c r="AV106" s="783"/>
      <c r="AW106" s="487"/>
      <c r="AX106" s="864"/>
      <c r="AY106" s="877"/>
      <c r="AZ106" s="783"/>
      <c r="BA106" s="487"/>
      <c r="BB106" s="864"/>
      <c r="BC106" s="877"/>
      <c r="BD106" s="783"/>
      <c r="BE106" s="487"/>
      <c r="BF106" s="864"/>
      <c r="BG106" s="877"/>
      <c r="BH106" s="783"/>
      <c r="BI106" s="487"/>
      <c r="BJ106" s="864"/>
      <c r="BK106" s="877"/>
      <c r="BL106" s="783"/>
      <c r="BM106" s="487"/>
      <c r="BN106" s="864"/>
      <c r="BO106" s="877"/>
      <c r="BP106" s="783"/>
      <c r="BQ106" s="487"/>
      <c r="BR106" s="864"/>
      <c r="BS106" s="877"/>
      <c r="BT106" s="783"/>
      <c r="BU106" s="487"/>
      <c r="BV106" s="864"/>
      <c r="BW106" s="877"/>
      <c r="BX106" s="783"/>
      <c r="BY106" s="783"/>
      <c r="BZ106" s="864"/>
      <c r="CA106" s="877"/>
      <c r="CB106" s="783"/>
      <c r="CC106" s="783"/>
      <c r="CD106" s="864"/>
      <c r="CE106" s="877"/>
      <c r="CF106" s="783"/>
      <c r="CG106" s="783"/>
      <c r="CH106" s="864"/>
      <c r="CI106" s="877"/>
      <c r="CJ106" s="783"/>
      <c r="CK106" s="783"/>
      <c r="CL106" s="864"/>
      <c r="CM106" s="877"/>
      <c r="CN106" s="783"/>
      <c r="CO106" s="783"/>
      <c r="CP106" s="864"/>
      <c r="CQ106" s="877"/>
      <c r="CR106" s="783"/>
      <c r="CS106" s="783"/>
      <c r="CT106" s="864"/>
      <c r="CU106" s="877"/>
      <c r="CV106" s="783"/>
      <c r="CW106" s="883"/>
      <c r="CX106" s="864"/>
      <c r="CY106" s="877"/>
      <c r="CZ106" s="783"/>
      <c r="DA106" s="883"/>
      <c r="DB106" s="864"/>
      <c r="DC106" s="877"/>
      <c r="DD106" s="783"/>
      <c r="DE106" s="883"/>
      <c r="DF106" s="864"/>
      <c r="DG106" s="877"/>
      <c r="DH106" s="783"/>
      <c r="DI106" s="883"/>
      <c r="DJ106" s="864"/>
      <c r="DK106" s="877"/>
      <c r="DL106" s="783"/>
      <c r="DM106" s="883"/>
      <c r="DN106" s="864"/>
      <c r="DO106" s="877"/>
      <c r="DP106" s="783"/>
      <c r="DQ106" s="883"/>
      <c r="DR106" s="883"/>
      <c r="DS106" s="794"/>
      <c r="DT106" s="794"/>
      <c r="DU106" s="794"/>
      <c r="DV106" s="794"/>
      <c r="DW106" s="794"/>
      <c r="DX106" s="794"/>
      <c r="DY106" s="794"/>
      <c r="DZ106" s="794"/>
      <c r="EA106" s="794"/>
      <c r="EB106" s="794"/>
    </row>
    <row r="107" spans="1:132" collapsed="1">
      <c r="A107" s="487"/>
      <c r="B107" s="487"/>
      <c r="C107" s="487"/>
      <c r="D107" s="487"/>
      <c r="E107" s="487"/>
      <c r="F107" s="487"/>
      <c r="G107" s="487"/>
      <c r="H107" s="487"/>
      <c r="I107" s="487"/>
      <c r="J107" s="487"/>
      <c r="K107" s="487"/>
      <c r="L107" s="487"/>
      <c r="M107" s="487"/>
      <c r="N107" s="487"/>
      <c r="O107" s="487"/>
      <c r="P107" s="487"/>
      <c r="Q107" s="487"/>
      <c r="R107" s="487"/>
      <c r="S107" s="487"/>
      <c r="T107" s="487"/>
      <c r="U107" s="487"/>
      <c r="V107" s="487"/>
      <c r="W107" s="487"/>
      <c r="X107" s="487"/>
      <c r="Y107" s="487"/>
      <c r="Z107" s="487"/>
      <c r="AA107" s="487"/>
      <c r="AB107" s="487"/>
      <c r="AC107" s="487"/>
      <c r="AD107" s="487"/>
      <c r="AE107" s="487"/>
      <c r="AF107" s="487"/>
      <c r="AG107" s="487"/>
      <c r="AH107" s="487"/>
      <c r="AI107" s="487"/>
      <c r="AJ107" s="487"/>
      <c r="AK107" s="487"/>
      <c r="AL107" s="487"/>
      <c r="AM107" s="487"/>
      <c r="AN107" s="487"/>
      <c r="AO107" s="487"/>
      <c r="AP107" s="487"/>
      <c r="AQ107" s="487"/>
      <c r="AR107" s="487"/>
      <c r="AS107" s="487"/>
      <c r="AT107" s="487"/>
      <c r="AU107" s="487"/>
      <c r="AV107" s="487"/>
      <c r="AW107" s="487"/>
      <c r="AX107" s="487"/>
      <c r="AY107" s="487"/>
      <c r="AZ107" s="487"/>
      <c r="BA107" s="487"/>
      <c r="BB107" s="487"/>
      <c r="BC107" s="487"/>
      <c r="BD107" s="487"/>
      <c r="BE107" s="487"/>
      <c r="BF107" s="487"/>
      <c r="BG107" s="487"/>
      <c r="BH107" s="487"/>
      <c r="BI107" s="487"/>
      <c r="BJ107" s="948"/>
      <c r="BK107" s="487"/>
      <c r="BL107" s="487"/>
      <c r="BM107" s="487"/>
      <c r="BN107" s="487"/>
      <c r="BO107" s="487"/>
      <c r="BP107" s="487"/>
      <c r="BQ107" s="487"/>
      <c r="BR107" s="487"/>
      <c r="BS107" s="487"/>
      <c r="BT107" s="487"/>
      <c r="BU107" s="487"/>
      <c r="BV107" s="862"/>
      <c r="BW107" s="487"/>
      <c r="BX107" s="487"/>
      <c r="BY107" s="487"/>
      <c r="BZ107" s="562"/>
      <c r="CA107" s="487"/>
      <c r="CB107" s="487"/>
      <c r="CC107" s="487"/>
      <c r="CD107" s="487"/>
      <c r="CE107" s="487"/>
      <c r="CF107" s="487"/>
      <c r="CG107" s="487"/>
      <c r="CH107" s="487"/>
      <c r="CI107" s="487"/>
      <c r="CJ107" s="487"/>
      <c r="CK107" s="487"/>
      <c r="CL107" s="487"/>
      <c r="CM107" s="487"/>
      <c r="CN107" s="487"/>
      <c r="CO107" s="487"/>
      <c r="CP107" s="487"/>
      <c r="CQ107" s="487"/>
      <c r="CR107" s="487"/>
      <c r="CS107" s="487"/>
      <c r="CT107" s="487"/>
      <c r="CU107" s="487"/>
      <c r="CV107" s="487"/>
      <c r="CW107" s="794"/>
      <c r="CX107" s="487"/>
      <c r="CY107" s="487"/>
      <c r="CZ107" s="487"/>
      <c r="DA107" s="794"/>
      <c r="DB107" s="487"/>
      <c r="DC107" s="487"/>
      <c r="DD107" s="487"/>
      <c r="DE107" s="794"/>
      <c r="DF107" s="487"/>
      <c r="DG107" s="487"/>
      <c r="DH107" s="487"/>
      <c r="DI107" s="794"/>
      <c r="DJ107" s="487"/>
      <c r="DK107" s="487"/>
      <c r="DL107" s="487"/>
      <c r="DM107" s="794"/>
      <c r="DN107" s="487"/>
      <c r="DO107" s="487"/>
      <c r="DP107" s="487"/>
      <c r="DQ107" s="794"/>
      <c r="DR107" s="794"/>
      <c r="DS107" s="794"/>
      <c r="DT107" s="794"/>
      <c r="DU107" s="794"/>
      <c r="DV107" s="794"/>
      <c r="DW107" s="794"/>
      <c r="DX107" s="794"/>
      <c r="DY107" s="794"/>
      <c r="DZ107" s="794"/>
      <c r="EA107" s="794"/>
      <c r="EB107" s="794"/>
    </row>
    <row r="108" spans="1:132">
      <c r="A108" s="487"/>
      <c r="B108" s="487"/>
      <c r="C108" s="807"/>
      <c r="D108" s="808"/>
      <c r="E108" s="809"/>
      <c r="F108" s="809" t="str">
        <f>Z108</f>
        <v>7.  Income Taxes/(Credit)   (% Tax Rate)</v>
      </c>
      <c r="G108" s="811"/>
      <c r="H108" s="811"/>
      <c r="I108" s="811"/>
      <c r="J108" s="810"/>
      <c r="K108" s="811"/>
      <c r="L108" s="811"/>
      <c r="M108" s="811"/>
      <c r="N108" s="810"/>
      <c r="O108" s="811"/>
      <c r="P108" s="811"/>
      <c r="Q108" s="811"/>
      <c r="R108" s="810"/>
      <c r="S108" s="811"/>
      <c r="T108" s="811"/>
      <c r="U108" s="811"/>
      <c r="V108" s="810"/>
      <c r="W108" s="811"/>
      <c r="X108" s="811"/>
      <c r="Y108" s="487"/>
      <c r="Z108" s="810" t="s">
        <v>157</v>
      </c>
      <c r="AA108" s="811"/>
      <c r="AB108" s="811"/>
      <c r="AC108" s="811"/>
      <c r="AD108" s="810"/>
      <c r="AE108" s="811"/>
      <c r="AF108" s="811"/>
      <c r="AG108" s="811"/>
      <c r="AH108" s="810"/>
      <c r="AI108" s="811"/>
      <c r="AJ108" s="811"/>
      <c r="AK108" s="811"/>
      <c r="AL108" s="810"/>
      <c r="AM108" s="811"/>
      <c r="AN108" s="811"/>
      <c r="AO108" s="702"/>
      <c r="AP108" s="702"/>
      <c r="AQ108" s="811"/>
      <c r="AR108" s="811"/>
      <c r="AS108" s="811"/>
      <c r="AT108" s="487"/>
      <c r="AU108" s="812"/>
      <c r="AV108" s="812"/>
      <c r="AW108" s="812"/>
      <c r="AX108" s="812"/>
      <c r="AY108" s="812"/>
      <c r="AZ108" s="812"/>
      <c r="BA108" s="812"/>
      <c r="BB108" s="812"/>
      <c r="BC108" s="812"/>
      <c r="BD108" s="812"/>
      <c r="BE108" s="812"/>
      <c r="BF108" s="487"/>
      <c r="BG108" s="810"/>
      <c r="BH108" s="810"/>
      <c r="BI108" s="810"/>
      <c r="BJ108" s="810" t="s">
        <v>157</v>
      </c>
      <c r="BK108" s="810"/>
      <c r="BL108" s="810"/>
      <c r="BM108" s="810"/>
      <c r="BN108" s="810" t="s">
        <v>157</v>
      </c>
      <c r="BO108" s="810"/>
      <c r="BP108" s="810"/>
      <c r="BQ108" s="810"/>
      <c r="BR108" s="810"/>
      <c r="BS108" s="810"/>
      <c r="BT108" s="810"/>
      <c r="BU108" s="810"/>
      <c r="BV108" s="810"/>
      <c r="BW108" s="810"/>
      <c r="BX108" s="810"/>
      <c r="BY108" s="810"/>
      <c r="BZ108" s="810"/>
      <c r="CA108" s="810"/>
      <c r="CC108" s="810"/>
      <c r="CD108" s="810"/>
      <c r="CE108" s="810"/>
      <c r="CF108" s="810" t="str">
        <f>BN108</f>
        <v>7.  Income Taxes/(Credit)   (% Tax Rate)</v>
      </c>
      <c r="CG108" s="810"/>
      <c r="CH108" s="810"/>
      <c r="CI108" s="810"/>
      <c r="CJ108" s="810"/>
      <c r="CK108" s="810"/>
      <c r="CL108" s="810"/>
      <c r="CM108" s="810"/>
      <c r="CN108" s="810"/>
      <c r="CO108" s="810"/>
      <c r="CP108" s="810"/>
      <c r="CQ108" s="810"/>
      <c r="CR108" s="810"/>
      <c r="CS108" s="810"/>
      <c r="CT108" s="810"/>
      <c r="CU108" s="810"/>
      <c r="CV108" s="810"/>
      <c r="CW108" s="794"/>
      <c r="CX108" s="810"/>
      <c r="CY108" s="810"/>
      <c r="CZ108" s="810"/>
      <c r="DA108" s="794"/>
      <c r="DB108" s="810" t="str">
        <f>CF108</f>
        <v>7.  Income Taxes/(Credit)   (% Tax Rate)</v>
      </c>
      <c r="DC108" s="810"/>
      <c r="DD108" s="810"/>
      <c r="DE108" s="794"/>
      <c r="DF108" s="810"/>
      <c r="DG108" s="810"/>
      <c r="DH108" s="810"/>
      <c r="DI108" s="794"/>
      <c r="DJ108" s="810"/>
      <c r="DK108" s="810"/>
      <c r="DL108" s="810"/>
      <c r="DM108" s="794"/>
      <c r="DN108" s="810"/>
      <c r="DO108" s="810"/>
      <c r="DP108" s="810"/>
      <c r="DQ108" s="794"/>
      <c r="DR108" s="794"/>
      <c r="DS108" s="794"/>
      <c r="DT108" s="794"/>
      <c r="DU108" s="794"/>
      <c r="DV108" s="794"/>
      <c r="DW108" s="794"/>
      <c r="DX108" s="794"/>
      <c r="DY108" s="794"/>
      <c r="DZ108" s="794"/>
      <c r="EA108" s="794"/>
      <c r="EB108" s="794"/>
    </row>
    <row r="109" spans="1:132">
      <c r="A109" s="487"/>
      <c r="B109" s="487"/>
      <c r="C109" s="487"/>
      <c r="D109" s="487"/>
      <c r="E109" s="487"/>
      <c r="F109" s="487"/>
      <c r="G109" s="487"/>
      <c r="H109" s="487"/>
      <c r="I109" s="487"/>
      <c r="J109" s="487"/>
      <c r="K109" s="487"/>
      <c r="L109" s="487"/>
      <c r="M109" s="487"/>
      <c r="N109" s="487"/>
      <c r="O109" s="487"/>
      <c r="P109" s="487"/>
      <c r="Q109" s="487"/>
      <c r="R109" s="487"/>
      <c r="S109" s="487"/>
      <c r="T109" s="487"/>
      <c r="U109" s="487"/>
      <c r="V109" s="487"/>
      <c r="W109" s="487"/>
      <c r="X109" s="487"/>
      <c r="Y109" s="487"/>
      <c r="Z109" s="487"/>
      <c r="AA109" s="487"/>
      <c r="AB109" s="487"/>
      <c r="AC109" s="487"/>
      <c r="AD109" s="487"/>
      <c r="AE109" s="487"/>
      <c r="AF109" s="487"/>
      <c r="AG109" s="487"/>
      <c r="AH109" s="487"/>
      <c r="AI109" s="487"/>
      <c r="AJ109" s="487"/>
      <c r="AK109" s="487"/>
      <c r="AL109" s="487"/>
      <c r="AM109" s="487"/>
      <c r="AN109" s="487"/>
      <c r="AO109" s="487"/>
      <c r="AP109" s="487"/>
      <c r="AQ109" s="487"/>
      <c r="AR109" s="487"/>
      <c r="AS109" s="487"/>
      <c r="AT109" s="487"/>
      <c r="AU109" s="487"/>
      <c r="AV109" s="487"/>
      <c r="AW109" s="487"/>
      <c r="AX109" s="487"/>
      <c r="AY109" s="487"/>
      <c r="AZ109" s="487"/>
      <c r="BA109" s="487"/>
      <c r="BB109" s="487"/>
      <c r="BC109" s="487"/>
      <c r="BD109" s="487"/>
      <c r="BE109" s="487"/>
      <c r="BF109" s="487"/>
      <c r="BG109" s="487"/>
      <c r="BH109" s="487"/>
      <c r="BI109" s="487"/>
      <c r="BJ109" s="487"/>
      <c r="BK109" s="487"/>
      <c r="BL109" s="487"/>
      <c r="BM109" s="487"/>
      <c r="BN109" s="487"/>
      <c r="BO109" s="487"/>
      <c r="BP109" s="487"/>
      <c r="BQ109" s="487"/>
      <c r="BR109" s="487"/>
      <c r="BS109" s="487"/>
      <c r="BT109" s="487"/>
      <c r="BU109" s="487"/>
      <c r="BV109" s="487"/>
      <c r="BW109" s="487"/>
      <c r="BX109" s="487"/>
      <c r="BY109" s="487"/>
      <c r="BZ109" s="487"/>
      <c r="CA109" s="487"/>
      <c r="CB109" s="487"/>
      <c r="CC109" s="487"/>
      <c r="CD109" s="487"/>
      <c r="CE109" s="487"/>
      <c r="CF109" s="487"/>
      <c r="CG109" s="487"/>
      <c r="CH109" s="487"/>
      <c r="CI109" s="487"/>
      <c r="CJ109" s="487"/>
      <c r="CK109" s="487"/>
      <c r="CL109" s="487"/>
      <c r="CM109" s="487"/>
      <c r="CN109" s="487"/>
      <c r="CO109" s="487"/>
      <c r="CP109" s="487"/>
      <c r="CQ109" s="487"/>
      <c r="CR109" s="487"/>
      <c r="CS109" s="487"/>
      <c r="CT109" s="487"/>
      <c r="CU109" s="487"/>
      <c r="CV109" s="487"/>
      <c r="CW109" s="794"/>
      <c r="CX109" s="487"/>
      <c r="CY109" s="487"/>
      <c r="CZ109" s="487"/>
      <c r="DA109" s="794"/>
      <c r="DB109" s="487"/>
      <c r="DC109" s="487"/>
      <c r="DD109" s="487"/>
      <c r="DE109" s="794"/>
      <c r="DF109" s="487"/>
      <c r="DG109" s="487"/>
      <c r="DH109" s="487"/>
      <c r="DI109" s="794"/>
      <c r="DJ109" s="487"/>
      <c r="DK109" s="487"/>
      <c r="DL109" s="487"/>
      <c r="DM109" s="794"/>
      <c r="DN109" s="487"/>
      <c r="DO109" s="487"/>
      <c r="DP109" s="487"/>
      <c r="DQ109" s="794"/>
      <c r="DR109" s="794"/>
      <c r="DS109" s="794"/>
      <c r="DT109" s="794"/>
      <c r="DU109" s="794"/>
      <c r="DV109" s="794"/>
      <c r="DW109" s="794"/>
      <c r="DX109" s="794"/>
      <c r="DY109" s="794"/>
      <c r="DZ109" s="794"/>
      <c r="EA109" s="794"/>
      <c r="EB109" s="794"/>
    </row>
    <row r="110" spans="1:132">
      <c r="A110" s="487" t="str">
        <f>$A$10</f>
        <v>1Q</v>
      </c>
      <c r="B110" s="487" t="str">
        <f>$B$10</f>
        <v>Apr</v>
      </c>
      <c r="C110" s="487"/>
      <c r="D110" s="814"/>
      <c r="E110" s="487"/>
      <c r="F110" s="814">
        <v>10.031000000000001</v>
      </c>
      <c r="G110" s="877">
        <f>F110/F91*100</f>
        <v>40.771450636101356</v>
      </c>
      <c r="H110" s="735"/>
      <c r="I110" s="487"/>
      <c r="J110" s="814">
        <v>10.063000000000001</v>
      </c>
      <c r="K110" s="877">
        <f>J110/J91*100</f>
        <v>40.442890442890388</v>
      </c>
      <c r="L110" s="735"/>
      <c r="M110" s="487"/>
      <c r="N110" s="814">
        <v>10.893000000000001</v>
      </c>
      <c r="O110" s="877">
        <f>N110/N91*100</f>
        <v>41.833403740543055</v>
      </c>
      <c r="P110" s="735"/>
      <c r="Q110" s="487"/>
      <c r="R110" s="814">
        <v>12.691000000000001</v>
      </c>
      <c r="S110" s="877">
        <f>R110/R91*100</f>
        <v>39.654418197725299</v>
      </c>
      <c r="T110" s="735"/>
      <c r="U110" s="487"/>
      <c r="V110" s="814">
        <v>13.557</v>
      </c>
      <c r="W110" s="877">
        <f>V110/V91*100</f>
        <v>41.269406392694052</v>
      </c>
      <c r="X110" s="735"/>
      <c r="Y110" s="487"/>
      <c r="Z110" s="814">
        <v>6.3460000000000001</v>
      </c>
      <c r="AA110" s="877">
        <f t="shared" ref="AA110:AA116" si="305">Z110/Z91*100</f>
        <v>46.260387811634509</v>
      </c>
      <c r="AB110" s="735"/>
      <c r="AC110" s="487"/>
      <c r="AD110" s="818">
        <v>16.350999999999999</v>
      </c>
      <c r="AE110" s="877">
        <f t="shared" ref="AE110:AE116" si="306">AD110/AD91*100</f>
        <v>41.52634920634906</v>
      </c>
      <c r="AF110" s="735"/>
      <c r="AG110" s="487"/>
      <c r="AH110" s="818">
        <v>34.476999999999997</v>
      </c>
      <c r="AI110" s="877">
        <f t="shared" ref="AI110:AI116" si="307">AH110/AH91*100</f>
        <v>41.569606211869015</v>
      </c>
      <c r="AJ110" s="735"/>
      <c r="AK110" s="487"/>
      <c r="AL110" s="814">
        <v>54.494999999999997</v>
      </c>
      <c r="AM110" s="877">
        <f t="shared" ref="AM110:AM116" si="308">AL110/AL91*100</f>
        <v>39.800032135084159</v>
      </c>
      <c r="AN110" s="735"/>
      <c r="AO110" s="735"/>
      <c r="AP110" s="814">
        <v>79.498000000000005</v>
      </c>
      <c r="AQ110" s="877">
        <f t="shared" ref="AQ110:AQ116" si="309">AP110/AP91*100</f>
        <v>39.399916737703911</v>
      </c>
      <c r="AR110" s="487"/>
      <c r="AS110" s="487"/>
      <c r="AT110" s="814">
        <v>82.786000000000001</v>
      </c>
      <c r="AU110" s="877">
        <f t="shared" ref="AU110:AU116" si="310">AT110/AT91*100</f>
        <v>38.799996250574125</v>
      </c>
      <c r="AV110" s="487"/>
      <c r="AW110" s="487"/>
      <c r="AX110" s="814">
        <v>76.120999999999995</v>
      </c>
      <c r="AY110" s="877">
        <f t="shared" ref="AY110:AY116" si="311">AX110/AX91*100</f>
        <v>38.100124129094262</v>
      </c>
      <c r="AZ110" s="487"/>
      <c r="BA110" s="814"/>
      <c r="BB110" s="814">
        <v>90.543999999999997</v>
      </c>
      <c r="BC110" s="877">
        <f t="shared" ref="BC110:BC116" si="312">BB110/BB91*100</f>
        <v>38.100207450546399</v>
      </c>
      <c r="BD110" s="487"/>
      <c r="BE110" s="487"/>
      <c r="BF110" s="814">
        <v>63.820999999999998</v>
      </c>
      <c r="BG110" s="877">
        <f t="shared" ref="BG110:BG116" si="313">BF110/BF91*100</f>
        <v>38.545535805958728</v>
      </c>
      <c r="BH110" s="716">
        <v>71.674999999999997</v>
      </c>
      <c r="BI110" s="487"/>
      <c r="BJ110" s="814">
        <v>97.430999999999997</v>
      </c>
      <c r="BK110" s="877">
        <f t="shared" ref="BK110:BK116" si="314">BJ110/BJ91*100</f>
        <v>38.608705989578176</v>
      </c>
      <c r="BL110" s="716">
        <v>106.22199999999999</v>
      </c>
      <c r="BM110" s="487"/>
      <c r="BN110" s="814">
        <v>84.198999999999998</v>
      </c>
      <c r="BO110" s="877">
        <f>BN110/BN91*100</f>
        <v>38.310583310583283</v>
      </c>
      <c r="BP110" s="716">
        <v>93.373999999999995</v>
      </c>
      <c r="BQ110" s="487"/>
      <c r="BR110" s="814">
        <f>96.587+(96.62-96.587)</f>
        <v>96.62</v>
      </c>
      <c r="BS110" s="877">
        <f t="shared" ref="BS110:BS116" si="315">BR110/BR91*100</f>
        <v>37.092774164817584</v>
      </c>
      <c r="BT110" s="877"/>
      <c r="BU110" s="487"/>
      <c r="BV110" s="814">
        <f>101.553+6.6*38.5%</f>
        <v>104.09399999999999</v>
      </c>
      <c r="BW110" s="877">
        <f t="shared" ref="BW110:BW116" si="316">BV110/BV91*100</f>
        <v>38.523940993168154</v>
      </c>
      <c r="BX110" s="877"/>
      <c r="BY110" s="877"/>
      <c r="BZ110" s="860">
        <v>98.552000000000007</v>
      </c>
      <c r="CA110" s="877">
        <f t="shared" ref="CA110:CA116" si="317">BZ110/BZ91*100</f>
        <v>33.23262024872534</v>
      </c>
      <c r="CB110" s="877"/>
      <c r="CC110" s="877"/>
      <c r="CD110" s="860">
        <v>130.006</v>
      </c>
      <c r="CE110" s="877">
        <f t="shared" ref="CE110:CE116" si="318">CD110/CD91*100</f>
        <v>38.324980838393948</v>
      </c>
      <c r="CF110" s="877"/>
      <c r="CG110" s="877"/>
      <c r="CH110" s="860">
        <v>204.86699999999999</v>
      </c>
      <c r="CI110" s="877">
        <f t="shared" ref="CI110:CI116" si="319">CH110/CH91*100</f>
        <v>38.20000335632416</v>
      </c>
      <c r="CJ110" s="877"/>
      <c r="CK110" s="877"/>
      <c r="CL110" s="860">
        <f>0.381*CL91</f>
        <v>189.89687699999999</v>
      </c>
      <c r="CM110" s="877">
        <f t="shared" ref="CM110:CM116" si="320">CL110/CL91*100</f>
        <v>38.1</v>
      </c>
      <c r="CN110" s="877"/>
      <c r="CO110" s="877"/>
      <c r="CP110" s="860">
        <v>262.20499999999998</v>
      </c>
      <c r="CQ110" s="877">
        <f t="shared" ref="CQ110:CQ116" si="321">CP110/CP91*100</f>
        <v>38.480052244993786</v>
      </c>
      <c r="CR110" s="877"/>
      <c r="CS110" s="877"/>
      <c r="CT110" s="860">
        <v>278.995</v>
      </c>
      <c r="CU110" s="877">
        <f t="shared" ref="CU110:CU116" si="322">CT110/CT91*100</f>
        <v>38.120059845467523</v>
      </c>
      <c r="CV110" s="877"/>
      <c r="CW110" s="950"/>
      <c r="CX110" s="860">
        <v>276.214</v>
      </c>
      <c r="CY110" s="877">
        <f t="shared" ref="CY110:CY116" si="323">CX110/CX91*100</f>
        <v>37.81003133337255</v>
      </c>
      <c r="CZ110" s="877"/>
      <c r="DA110" s="950"/>
      <c r="DB110" s="860">
        <v>290.51400000000001</v>
      </c>
      <c r="DC110" s="877">
        <f t="shared" ref="DC110:DC116" si="324">DB110/DB91*100</f>
        <v>37.969978369264759</v>
      </c>
      <c r="DD110" s="877"/>
      <c r="DE110" s="950"/>
      <c r="DF110" s="860">
        <v>316.62299999999999</v>
      </c>
      <c r="DG110" s="877">
        <f t="shared" ref="DG110:DG116" si="325">DF110/DF91*100</f>
        <v>38.379987611655721</v>
      </c>
      <c r="DH110" s="877"/>
      <c r="DI110" s="950"/>
      <c r="DJ110" s="860">
        <v>296.22899999999998</v>
      </c>
      <c r="DK110" s="877">
        <f t="shared" ref="DK110:DK116" si="326">DJ110/DJ91*100</f>
        <v>35.582721127004177</v>
      </c>
      <c r="DL110" s="877"/>
      <c r="DM110" s="950"/>
      <c r="DN110" s="859">
        <f>DN91*DO110/100</f>
        <v>224.13254496121587</v>
      </c>
      <c r="DO110" s="952">
        <v>25.7</v>
      </c>
      <c r="DP110" s="877"/>
      <c r="DQ110" s="950"/>
      <c r="DR110" s="950"/>
      <c r="DS110" s="794"/>
      <c r="DT110" s="794"/>
      <c r="DU110" s="794"/>
      <c r="DV110" s="794"/>
      <c r="DW110" s="794"/>
      <c r="DX110" s="794"/>
      <c r="DY110" s="794"/>
      <c r="DZ110" s="794"/>
      <c r="EA110" s="794"/>
      <c r="EB110" s="794"/>
    </row>
    <row r="111" spans="1:132">
      <c r="A111" s="487" t="str">
        <f>$A$11</f>
        <v>2Q</v>
      </c>
      <c r="B111" s="487" t="str">
        <f>$B$11</f>
        <v>Jul</v>
      </c>
      <c r="C111" s="487"/>
      <c r="D111" s="831"/>
      <c r="E111" s="487"/>
      <c r="F111" s="831">
        <v>9.9320000000000004</v>
      </c>
      <c r="G111" s="877">
        <f>F111/F92*100</f>
        <v>40.76673644460864</v>
      </c>
      <c r="H111" s="487"/>
      <c r="I111" s="487"/>
      <c r="J111" s="831">
        <v>10.048999999999999</v>
      </c>
      <c r="K111" s="877">
        <f>J111/J92*100</f>
        <v>42.083001800745343</v>
      </c>
      <c r="L111" s="487"/>
      <c r="M111" s="487"/>
      <c r="N111" s="831">
        <v>13.425000000000001</v>
      </c>
      <c r="O111" s="877">
        <f>N111/N92*100</f>
        <v>41.361143631770403</v>
      </c>
      <c r="P111" s="487"/>
      <c r="Q111" s="487"/>
      <c r="R111" s="831">
        <v>13.920999999999999</v>
      </c>
      <c r="S111" s="877">
        <f>R111/R92*100</f>
        <v>41.235189573459706</v>
      </c>
      <c r="T111" s="487"/>
      <c r="U111" s="487"/>
      <c r="V111" s="831">
        <v>13.154</v>
      </c>
      <c r="W111" s="877">
        <f>V111/V92*100</f>
        <v>43.388198040703166</v>
      </c>
      <c r="X111" s="487"/>
      <c r="Y111" s="487"/>
      <c r="Z111" s="831">
        <v>8.06</v>
      </c>
      <c r="AA111" s="877">
        <f t="shared" si="305"/>
        <v>45.704564785937087</v>
      </c>
      <c r="AB111" s="487"/>
      <c r="AC111" s="487"/>
      <c r="AD111" s="833">
        <v>23.497</v>
      </c>
      <c r="AE111" s="877">
        <f t="shared" si="306"/>
        <v>41.088009512651496</v>
      </c>
      <c r="AF111" s="487"/>
      <c r="AG111" s="487"/>
      <c r="AH111" s="833">
        <v>37.200000000000003</v>
      </c>
      <c r="AI111" s="877">
        <f t="shared" si="307"/>
        <v>41.435541001136095</v>
      </c>
      <c r="AJ111" s="487"/>
      <c r="AK111" s="487"/>
      <c r="AL111" s="831">
        <v>56.725999999999999</v>
      </c>
      <c r="AM111" s="877">
        <f t="shared" si="308"/>
        <v>39.79961972651185</v>
      </c>
      <c r="AN111" s="487"/>
      <c r="AO111" s="487"/>
      <c r="AP111" s="831">
        <v>69.277000000000001</v>
      </c>
      <c r="AQ111" s="877">
        <f t="shared" si="309"/>
        <v>37.415072532647784</v>
      </c>
      <c r="AR111" s="487"/>
      <c r="AS111" s="487"/>
      <c r="AT111" s="831">
        <v>72.295000000000002</v>
      </c>
      <c r="AU111" s="877">
        <f t="shared" si="310"/>
        <v>38.799858314370361</v>
      </c>
      <c r="AV111" s="487"/>
      <c r="AW111" s="487"/>
      <c r="AX111" s="831">
        <v>68.88</v>
      </c>
      <c r="AY111" s="877">
        <f t="shared" si="311"/>
        <v>38.099873885434896</v>
      </c>
      <c r="AZ111" s="487"/>
      <c r="BA111" s="831"/>
      <c r="BB111" s="831">
        <v>81.234999999999999</v>
      </c>
      <c r="BC111" s="877">
        <f t="shared" si="312"/>
        <v>38.525196574062647</v>
      </c>
      <c r="BD111" s="487"/>
      <c r="BE111" s="487"/>
      <c r="BF111" s="831">
        <v>69.971999999999994</v>
      </c>
      <c r="BG111" s="877">
        <f t="shared" si="313"/>
        <v>38.559926817037073</v>
      </c>
      <c r="BH111" s="716">
        <v>77.817999999999998</v>
      </c>
      <c r="BI111" s="487"/>
      <c r="BJ111" s="831">
        <v>66.998000000000005</v>
      </c>
      <c r="BK111" s="877">
        <f t="shared" si="314"/>
        <v>38.872997545706134</v>
      </c>
      <c r="BL111" s="716">
        <v>75.093999999999994</v>
      </c>
      <c r="BM111" s="487"/>
      <c r="BN111" s="831">
        <v>69.131</v>
      </c>
      <c r="BO111" s="877">
        <f>BN111/BN92*100</f>
        <v>38.417849898580101</v>
      </c>
      <c r="BP111" s="716">
        <v>77.349999999999994</v>
      </c>
      <c r="BQ111" s="487"/>
      <c r="BR111" s="831">
        <v>91.834999999999994</v>
      </c>
      <c r="BS111" s="877">
        <f t="shared" si="315"/>
        <v>39.814184575498857</v>
      </c>
      <c r="BT111" s="487"/>
      <c r="BU111" s="487"/>
      <c r="BV111" s="831">
        <f>33+3.5*38.17%</f>
        <v>34.335949999999997</v>
      </c>
      <c r="BW111" s="877">
        <f t="shared" si="316"/>
        <v>35.941831009504824</v>
      </c>
      <c r="BX111" s="487"/>
      <c r="BY111" s="487"/>
      <c r="BZ111" s="831">
        <v>125.30200000000001</v>
      </c>
      <c r="CA111" s="877">
        <f t="shared" si="317"/>
        <v>37.140274175620583</v>
      </c>
      <c r="CB111" s="487"/>
      <c r="CC111" s="487"/>
      <c r="CD111" s="831">
        <v>151.54</v>
      </c>
      <c r="CE111" s="877">
        <f t="shared" si="318"/>
        <v>36.683522915703406</v>
      </c>
      <c r="CF111" s="487"/>
      <c r="CG111" s="487"/>
      <c r="CH111" s="831">
        <f>191.363+CH73*0.395</f>
        <v>186.80074999999999</v>
      </c>
      <c r="CI111" s="877">
        <f t="shared" si="319"/>
        <v>38.531746277307832</v>
      </c>
      <c r="CJ111" s="487"/>
      <c r="CK111" s="487"/>
      <c r="CL111" s="831">
        <v>211.09899999999999</v>
      </c>
      <c r="CM111" s="877">
        <f t="shared" si="320"/>
        <v>37.734186333760519</v>
      </c>
      <c r="CN111" s="487"/>
      <c r="CO111" s="487"/>
      <c r="CP111" s="831">
        <v>261.69799999999998</v>
      </c>
      <c r="CQ111" s="877">
        <f t="shared" si="321"/>
        <v>38.3277435228987</v>
      </c>
      <c r="CR111" s="487"/>
      <c r="CS111" s="487"/>
      <c r="CT111" s="831">
        <v>292.887</v>
      </c>
      <c r="CU111" s="877">
        <f t="shared" si="322"/>
        <v>37.916825253804127</v>
      </c>
      <c r="CV111" s="487"/>
      <c r="CW111" s="794"/>
      <c r="CX111" s="831">
        <f>312.994+CX73*37.7%</f>
        <v>319.33891000000006</v>
      </c>
      <c r="CY111" s="877">
        <f t="shared" si="323"/>
        <v>37.682419452284954</v>
      </c>
      <c r="CZ111" s="487"/>
      <c r="DA111" s="794"/>
      <c r="DB111" s="831">
        <v>336.85899999999998</v>
      </c>
      <c r="DC111" s="877">
        <f t="shared" si="324"/>
        <v>38.01188001724227</v>
      </c>
      <c r="DD111" s="487"/>
      <c r="DE111" s="794"/>
      <c r="DF111" s="831">
        <v>352.40800000000002</v>
      </c>
      <c r="DG111" s="877">
        <f t="shared" si="325"/>
        <v>38.532138178971394</v>
      </c>
      <c r="DH111" s="487"/>
      <c r="DI111" s="794"/>
      <c r="DJ111" s="831">
        <v>338.74299999999999</v>
      </c>
      <c r="DK111" s="877">
        <f t="shared" si="326"/>
        <v>37.988449029942778</v>
      </c>
      <c r="DL111" s="487"/>
      <c r="DM111" s="794"/>
      <c r="DN111" s="845">
        <f>DN92*DO111/100</f>
        <v>244.05948100950027</v>
      </c>
      <c r="DO111" s="952">
        <v>26</v>
      </c>
      <c r="DP111" s="487"/>
      <c r="DQ111" s="794"/>
      <c r="DR111" s="794"/>
      <c r="DS111" s="794"/>
      <c r="DT111" s="794"/>
      <c r="DU111" s="794"/>
      <c r="DV111" s="794"/>
      <c r="DW111" s="794"/>
      <c r="DX111" s="794"/>
      <c r="DY111" s="794"/>
      <c r="DZ111" s="794"/>
      <c r="EA111" s="794"/>
      <c r="EB111" s="794"/>
    </row>
    <row r="112" spans="1:132">
      <c r="A112" s="487" t="str">
        <f>$A$12</f>
        <v>3Q</v>
      </c>
      <c r="B112" s="487" t="str">
        <f>$B$12</f>
        <v>Oct</v>
      </c>
      <c r="C112" s="487"/>
      <c r="D112" s="831"/>
      <c r="E112" s="487"/>
      <c r="F112" s="831">
        <v>20.555</v>
      </c>
      <c r="G112" s="877">
        <f>F112/F93*100</f>
        <v>40.786967219620593</v>
      </c>
      <c r="H112" s="487"/>
      <c r="I112" s="487"/>
      <c r="J112" s="831">
        <v>20.071999999999999</v>
      </c>
      <c r="K112" s="877">
        <f>J112/J93*100</f>
        <v>42.254173420626039</v>
      </c>
      <c r="L112" s="487"/>
      <c r="M112" s="487"/>
      <c r="N112" s="831">
        <v>28.077999999999999</v>
      </c>
      <c r="O112" s="877">
        <f>N112/N93*100</f>
        <v>40.934802892465569</v>
      </c>
      <c r="P112" s="487"/>
      <c r="Q112" s="487"/>
      <c r="R112" s="831">
        <v>28.818000000000001</v>
      </c>
      <c r="S112" s="877">
        <f>R112/R93*100</f>
        <v>39.944556102294008</v>
      </c>
      <c r="T112" s="487"/>
      <c r="U112" s="487"/>
      <c r="V112" s="831">
        <v>23.591000000000001</v>
      </c>
      <c r="W112" s="877">
        <f>V112/V93*100</f>
        <v>42.023228472692246</v>
      </c>
      <c r="X112" s="487"/>
      <c r="Y112" s="487"/>
      <c r="Z112" s="833">
        <v>17.724</v>
      </c>
      <c r="AA112" s="877">
        <f t="shared" si="305"/>
        <v>39.933309300648887</v>
      </c>
      <c r="AB112" s="487"/>
      <c r="AC112" s="487"/>
      <c r="AD112" s="833">
        <v>58.305999999999997</v>
      </c>
      <c r="AE112" s="877">
        <f t="shared" si="306"/>
        <v>41.678103734202509</v>
      </c>
      <c r="AF112" s="487"/>
      <c r="AG112" s="487"/>
      <c r="AH112" s="831">
        <v>75.561000000000007</v>
      </c>
      <c r="AI112" s="877">
        <f t="shared" si="307"/>
        <v>41.402607080431537</v>
      </c>
      <c r="AJ112" s="487"/>
      <c r="AK112" s="487"/>
      <c r="AL112" s="831">
        <v>84.847999999999999</v>
      </c>
      <c r="AM112" s="877">
        <f t="shared" si="308"/>
        <v>39.800173558177185</v>
      </c>
      <c r="AN112" s="487"/>
      <c r="AO112" s="487"/>
      <c r="AP112" s="831">
        <v>94.474000000000004</v>
      </c>
      <c r="AQ112" s="877">
        <f t="shared" si="309"/>
        <v>38.374270383563967</v>
      </c>
      <c r="AR112" s="487"/>
      <c r="AS112" s="487"/>
      <c r="AT112" s="831">
        <v>100.34399999999999</v>
      </c>
      <c r="AU112" s="877">
        <f t="shared" si="310"/>
        <v>38.800083520868618</v>
      </c>
      <c r="AV112" s="487"/>
      <c r="AW112" s="487"/>
      <c r="AX112" s="831">
        <v>92.016999999999996</v>
      </c>
      <c r="AY112" s="877">
        <f t="shared" si="311"/>
        <v>38.099910978614218</v>
      </c>
      <c r="AZ112" s="487"/>
      <c r="BA112" s="487"/>
      <c r="BB112" s="831">
        <v>91.805000000000007</v>
      </c>
      <c r="BC112" s="877">
        <f t="shared" si="312"/>
        <v>38.386435858839299</v>
      </c>
      <c r="BD112" s="487"/>
      <c r="BE112" s="487"/>
      <c r="BF112" s="831">
        <v>108.51600000000001</v>
      </c>
      <c r="BG112" s="877">
        <f t="shared" si="313"/>
        <v>38.988811681265851</v>
      </c>
      <c r="BH112" s="716">
        <v>117.19799999999999</v>
      </c>
      <c r="BI112" s="487"/>
      <c r="BJ112" s="831">
        <v>115.858</v>
      </c>
      <c r="BK112" s="877">
        <f t="shared" si="314"/>
        <v>38.580752580752574</v>
      </c>
      <c r="BL112" s="716">
        <v>126.26900000000001</v>
      </c>
      <c r="BM112" s="487"/>
      <c r="BN112" s="831">
        <v>101.991</v>
      </c>
      <c r="BO112" s="877">
        <f>BN112/BN93*100</f>
        <v>39.636478104742856</v>
      </c>
      <c r="BP112" s="716">
        <v>108.181</v>
      </c>
      <c r="BQ112" s="487"/>
      <c r="BR112" s="831">
        <v>144.90700000000001</v>
      </c>
      <c r="BS112" s="877">
        <f t="shared" si="315"/>
        <v>38.567200566370154</v>
      </c>
      <c r="BT112" s="487"/>
      <c r="BU112" s="487"/>
      <c r="BV112" s="831">
        <v>152.06</v>
      </c>
      <c r="BW112" s="877">
        <f t="shared" si="316"/>
        <v>37.70197931672292</v>
      </c>
      <c r="BX112" s="487"/>
      <c r="BY112" s="487"/>
      <c r="BZ112" s="831">
        <f>164.141+BZ74*0.39</f>
        <v>161.411</v>
      </c>
      <c r="CA112" s="877">
        <f t="shared" si="317"/>
        <v>39.248111890832519</v>
      </c>
      <c r="CB112" s="487"/>
      <c r="CC112" s="487"/>
      <c r="CD112" s="831">
        <v>218.20599999999999</v>
      </c>
      <c r="CE112" s="877">
        <f t="shared" si="318"/>
        <v>38.551956254803407</v>
      </c>
      <c r="CF112" s="487"/>
      <c r="CG112" s="487"/>
      <c r="CH112" s="831">
        <v>224.80799999999999</v>
      </c>
      <c r="CI112" s="877">
        <f t="shared" si="319"/>
        <v>37.648902978813211</v>
      </c>
      <c r="CJ112" s="487"/>
      <c r="CK112" s="487"/>
      <c r="CL112" s="831">
        <v>257.26499999999999</v>
      </c>
      <c r="CM112" s="877">
        <f t="shared" si="320"/>
        <v>38.759205245332637</v>
      </c>
      <c r="CN112" s="487"/>
      <c r="CO112" s="487"/>
      <c r="CP112" s="831">
        <v>286.91800000000001</v>
      </c>
      <c r="CQ112" s="877">
        <f t="shared" si="321"/>
        <v>38.333985776298057</v>
      </c>
      <c r="CR112" s="487"/>
      <c r="CS112" s="487"/>
      <c r="CT112" s="831">
        <f>256.717+0.11*CT220-1</f>
        <v>335.36887999999999</v>
      </c>
      <c r="CU112" s="877">
        <f t="shared" si="322"/>
        <v>38.137316175634425</v>
      </c>
      <c r="CV112" s="953"/>
      <c r="CW112" s="794"/>
      <c r="CX112" s="831">
        <v>364.14299999999997</v>
      </c>
      <c r="CY112" s="877">
        <f t="shared" si="323"/>
        <v>37.967156709415079</v>
      </c>
      <c r="CZ112" s="487"/>
      <c r="DA112" s="794"/>
      <c r="DB112" s="831">
        <v>353.93400000000003</v>
      </c>
      <c r="DC112" s="877">
        <f t="shared" si="324"/>
        <v>37.604946928887919</v>
      </c>
      <c r="DD112" s="487"/>
      <c r="DE112" s="794"/>
      <c r="DF112" s="831">
        <f>340.047+((51.773+31.173)*0.37)</f>
        <v>370.73702000000003</v>
      </c>
      <c r="DG112" s="877">
        <f t="shared" si="325"/>
        <v>38.111124931767634</v>
      </c>
      <c r="DH112" s="487"/>
      <c r="DI112" s="794"/>
      <c r="DJ112" s="2051">
        <v>378.56400000000002</v>
      </c>
      <c r="DK112" s="877">
        <f t="shared" si="326"/>
        <v>37.114117647058869</v>
      </c>
      <c r="DL112" s="487"/>
      <c r="DM112" s="794"/>
      <c r="DN112" s="951">
        <f>DN93*DO112/100</f>
        <v>278.2257701803843</v>
      </c>
      <c r="DO112" s="952">
        <v>26</v>
      </c>
      <c r="DP112" s="487"/>
      <c r="DQ112" s="794"/>
      <c r="DR112" s="794"/>
      <c r="DS112" s="794"/>
      <c r="DT112" s="794"/>
      <c r="DU112" s="794"/>
      <c r="DV112" s="794"/>
      <c r="DW112" s="794"/>
      <c r="DX112" s="794"/>
      <c r="DY112" s="794"/>
      <c r="DZ112" s="794"/>
      <c r="EA112" s="794"/>
      <c r="EB112" s="794"/>
    </row>
    <row r="113" spans="1:132">
      <c r="A113" s="487" t="str">
        <f>$A$13</f>
        <v>4Q</v>
      </c>
      <c r="B113" s="487" t="str">
        <f>$B$13</f>
        <v>Jan</v>
      </c>
      <c r="C113" s="499"/>
      <c r="D113" s="849"/>
      <c r="E113" s="499"/>
      <c r="F113" s="851">
        <f>+F114-F112-F111-F110</f>
        <v>8.888999999999994</v>
      </c>
      <c r="G113" s="877">
        <f>F113/F94*100</f>
        <v>36.772432052289751</v>
      </c>
      <c r="H113" s="487"/>
      <c r="I113" s="487"/>
      <c r="J113" s="851">
        <f>+J114-J112-J111-J110</f>
        <v>10.926</v>
      </c>
      <c r="K113" s="877">
        <f>J113/J94*100</f>
        <v>43.77403846153792</v>
      </c>
      <c r="L113" s="487"/>
      <c r="M113" s="487"/>
      <c r="N113" s="851">
        <f>+N114-N112-N111-N110</f>
        <v>16.677999999999994</v>
      </c>
      <c r="O113" s="877">
        <f>N113/N94*100</f>
        <v>36.233678767733366</v>
      </c>
      <c r="P113" s="487"/>
      <c r="Q113" s="487"/>
      <c r="R113" s="849">
        <v>18.48</v>
      </c>
      <c r="S113" s="877">
        <f>R113/R94*100</f>
        <v>39.097044449616014</v>
      </c>
      <c r="T113" s="487"/>
      <c r="U113" s="487"/>
      <c r="V113" s="849">
        <v>10.456</v>
      </c>
      <c r="W113" s="877">
        <f>V113/V94*100</f>
        <v>40.319284309566982</v>
      </c>
      <c r="X113" s="487"/>
      <c r="Y113" s="487"/>
      <c r="Z113" s="849">
        <v>5.077</v>
      </c>
      <c r="AA113" s="877">
        <f t="shared" si="305"/>
        <v>38.877402557622766</v>
      </c>
      <c r="AB113" s="487"/>
      <c r="AC113" s="487"/>
      <c r="AD113" s="849">
        <v>54.16</v>
      </c>
      <c r="AE113" s="877">
        <f t="shared" si="306"/>
        <v>41.763698894218173</v>
      </c>
      <c r="AF113" s="487"/>
      <c r="AG113" s="487"/>
      <c r="AH113" s="849">
        <v>68.441000000000003</v>
      </c>
      <c r="AI113" s="877">
        <f t="shared" si="307"/>
        <v>40.969877642889614</v>
      </c>
      <c r="AJ113" s="487"/>
      <c r="AK113" s="487"/>
      <c r="AL113" s="849">
        <v>74.540999999999997</v>
      </c>
      <c r="AM113" s="877">
        <f t="shared" si="308"/>
        <v>35.348261537586033</v>
      </c>
      <c r="AN113" s="487"/>
      <c r="AO113" s="487"/>
      <c r="AP113" s="849">
        <v>83.866</v>
      </c>
      <c r="AQ113" s="877">
        <f t="shared" si="309"/>
        <v>37.980037678429063</v>
      </c>
      <c r="AR113" s="487"/>
      <c r="AS113" s="487"/>
      <c r="AT113" s="849">
        <v>71.450999999999993</v>
      </c>
      <c r="AU113" s="877">
        <f t="shared" si="310"/>
        <v>34.579199535401472</v>
      </c>
      <c r="AV113" s="487"/>
      <c r="AW113" s="487"/>
      <c r="AX113" s="849">
        <v>96.629000000000005</v>
      </c>
      <c r="AY113" s="877">
        <f t="shared" si="311"/>
        <v>38.352603106184226</v>
      </c>
      <c r="AZ113" s="487"/>
      <c r="BA113" s="487"/>
      <c r="BB113" s="849">
        <v>95.751999999999995</v>
      </c>
      <c r="BC113" s="877">
        <f t="shared" si="312"/>
        <v>38.292375677350933</v>
      </c>
      <c r="BD113" s="487"/>
      <c r="BE113" s="487"/>
      <c r="BF113" s="849">
        <v>135.017</v>
      </c>
      <c r="BG113" s="877">
        <f t="shared" si="313"/>
        <v>37.361916674045887</v>
      </c>
      <c r="BH113" s="716">
        <v>143.27000000000001</v>
      </c>
      <c r="BI113" s="487"/>
      <c r="BJ113" s="849">
        <v>98.965000000000003</v>
      </c>
      <c r="BK113" s="877">
        <f t="shared" si="314"/>
        <v>37.494553789615196</v>
      </c>
      <c r="BL113" s="716">
        <v>107.964</v>
      </c>
      <c r="BM113" s="487"/>
      <c r="BN113" s="849">
        <v>63.582999999999998</v>
      </c>
      <c r="BO113" s="877">
        <f>+BN113/BN94*100</f>
        <v>18.048687713959662</v>
      </c>
      <c r="BP113" s="716">
        <v>63.582999999999998</v>
      </c>
      <c r="BQ113" s="487"/>
      <c r="BR113" s="849">
        <v>136.72999999999999</v>
      </c>
      <c r="BS113" s="877">
        <f t="shared" si="315"/>
        <v>35.983378116274181</v>
      </c>
      <c r="BT113" s="487"/>
      <c r="BU113" s="487"/>
      <c r="BV113" s="849">
        <f>187.165</f>
        <v>187.16499999999999</v>
      </c>
      <c r="BW113" s="877">
        <f t="shared" si="316"/>
        <v>38.116970926301541</v>
      </c>
      <c r="BX113" s="487"/>
      <c r="BY113" s="487"/>
      <c r="BZ113" s="849">
        <f>148.059+BZ75*0.39</f>
        <v>138.89400000000001</v>
      </c>
      <c r="CA113" s="877">
        <f t="shared" si="317"/>
        <v>37.013231002918069</v>
      </c>
      <c r="CB113" s="487"/>
      <c r="CC113" s="487"/>
      <c r="CD113" s="849">
        <v>238.238</v>
      </c>
      <c r="CE113" s="877">
        <f t="shared" si="318"/>
        <v>37.622308270534191</v>
      </c>
      <c r="CF113" s="487"/>
      <c r="CG113" s="487"/>
      <c r="CH113" s="849">
        <f>+CH94*38%</f>
        <v>256.57030000000009</v>
      </c>
      <c r="CI113" s="877">
        <f t="shared" si="319"/>
        <v>38.000000000000007</v>
      </c>
      <c r="CJ113" s="487"/>
      <c r="CK113" s="487"/>
      <c r="CL113" s="849">
        <v>283.26499999999999</v>
      </c>
      <c r="CM113" s="877">
        <f t="shared" si="320"/>
        <v>37.341529359499795</v>
      </c>
      <c r="CN113" s="487"/>
      <c r="CO113" s="487"/>
      <c r="CP113" s="849">
        <v>359.84300000000002</v>
      </c>
      <c r="CQ113" s="877">
        <f t="shared" si="321"/>
        <v>37.301528889681293</v>
      </c>
      <c r="CR113" s="487"/>
      <c r="CS113" s="487"/>
      <c r="CT113" s="849">
        <v>353.49400000000003</v>
      </c>
      <c r="CU113" s="877">
        <f t="shared" si="322"/>
        <v>37.77508960381968</v>
      </c>
      <c r="CV113" s="487"/>
      <c r="CW113" s="794"/>
      <c r="CX113" s="849">
        <v>381.40499999999997</v>
      </c>
      <c r="CY113" s="877">
        <f t="shared" si="323"/>
        <v>37.042738446148412</v>
      </c>
      <c r="CZ113" s="487"/>
      <c r="DA113" s="794"/>
      <c r="DB113" s="849">
        <v>399.33499999999998</v>
      </c>
      <c r="DC113" s="877">
        <f t="shared" si="324"/>
        <v>37.468063925629615</v>
      </c>
      <c r="DD113" s="487"/>
      <c r="DE113" s="794"/>
      <c r="DF113" s="849">
        <v>415.73099999999999</v>
      </c>
      <c r="DG113" s="877">
        <f t="shared" si="325"/>
        <v>38.012854098032356</v>
      </c>
      <c r="DH113" s="487"/>
      <c r="DI113" s="794"/>
      <c r="DJ113" s="2098">
        <v>235.10400000000001</v>
      </c>
      <c r="DK113" s="877">
        <f t="shared" si="326"/>
        <v>21.135223574677724</v>
      </c>
      <c r="DL113" s="487"/>
      <c r="DM113" s="794"/>
      <c r="DN113" s="851">
        <f>DN94*DO113/100</f>
        <v>312.8766006703998</v>
      </c>
      <c r="DO113" s="952">
        <v>26</v>
      </c>
      <c r="DP113" s="487"/>
      <c r="DQ113" s="794"/>
      <c r="DR113" s="794"/>
      <c r="DS113" s="794"/>
      <c r="DT113" s="794"/>
      <c r="DU113" s="794"/>
      <c r="DV113" s="794"/>
      <c r="DW113" s="794"/>
      <c r="DX113" s="794"/>
      <c r="DY113" s="794"/>
      <c r="DZ113" s="794"/>
      <c r="EA113" s="794"/>
      <c r="EB113" s="794"/>
    </row>
    <row r="114" spans="1:132">
      <c r="A114" s="487"/>
      <c r="B114" s="487" t="str">
        <f>$B$14</f>
        <v>Year</v>
      </c>
      <c r="C114" s="487"/>
      <c r="D114" s="859"/>
      <c r="E114" s="487"/>
      <c r="F114" s="860">
        <v>49.406999999999996</v>
      </c>
      <c r="G114" s="877">
        <f>F114/F$10*100</f>
        <v>9.6168032746999081</v>
      </c>
      <c r="H114" s="487"/>
      <c r="I114" s="487"/>
      <c r="J114" s="860">
        <v>51.11</v>
      </c>
      <c r="K114" s="877">
        <f>J114/J$10*100</f>
        <v>8.471865152969297</v>
      </c>
      <c r="L114" s="487"/>
      <c r="M114" s="487"/>
      <c r="N114" s="860">
        <v>69.073999999999998</v>
      </c>
      <c r="O114" s="877">
        <f>N114/N$10*100</f>
        <v>10.295154388564052</v>
      </c>
      <c r="P114" s="487"/>
      <c r="Q114" s="487"/>
      <c r="R114" s="859">
        <f>SUM(R110:R113)</f>
        <v>73.910000000000011</v>
      </c>
      <c r="S114" s="877">
        <f>R114/R$10*100</f>
        <v>12.448209654057333</v>
      </c>
      <c r="T114" s="487"/>
      <c r="U114" s="487"/>
      <c r="V114" s="859">
        <f>SUM(V110:V113)</f>
        <v>60.757999999999996</v>
      </c>
      <c r="W114" s="877">
        <f>V114/V$10*100</f>
        <v>9.2983465661098084</v>
      </c>
      <c r="X114" s="487"/>
      <c r="Y114" s="487"/>
      <c r="Z114" s="859">
        <f>SUM(Z110:Z113)</f>
        <v>37.207000000000001</v>
      </c>
      <c r="AA114" s="877">
        <f t="shared" si="305"/>
        <v>41.901662237037684</v>
      </c>
      <c r="AB114" s="487"/>
      <c r="AC114" s="487"/>
      <c r="AD114" s="859">
        <f>SUM(AD110:AD113)</f>
        <v>152.31399999999999</v>
      </c>
      <c r="AE114" s="877">
        <f t="shared" si="306"/>
        <v>41.599934451302758</v>
      </c>
      <c r="AF114" s="487"/>
      <c r="AG114" s="487"/>
      <c r="AH114" s="859">
        <f>SUM(AH110:AH113)</f>
        <v>215.679</v>
      </c>
      <c r="AI114" s="877">
        <f t="shared" si="307"/>
        <v>41.296376785232148</v>
      </c>
      <c r="AJ114" s="487"/>
      <c r="AK114" s="487"/>
      <c r="AL114" s="859">
        <f>SUM(AL110:AL113)</f>
        <v>270.61</v>
      </c>
      <c r="AM114" s="877">
        <f t="shared" si="308"/>
        <v>38.465584098067971</v>
      </c>
      <c r="AN114" s="487"/>
      <c r="AO114" s="487"/>
      <c r="AP114" s="859">
        <f>SUM(AP110:AP113)</f>
        <v>327.11500000000001</v>
      </c>
      <c r="AQ114" s="877">
        <f t="shared" si="309"/>
        <v>38.306690071984207</v>
      </c>
      <c r="AR114" s="487"/>
      <c r="AS114" s="487"/>
      <c r="AT114" s="859">
        <f>SUM(AT110:AT113)</f>
        <v>326.87599999999998</v>
      </c>
      <c r="AU114" s="877">
        <f t="shared" si="310"/>
        <v>37.791666955703398</v>
      </c>
      <c r="AV114" s="487"/>
      <c r="AW114" s="487"/>
      <c r="AX114" s="859">
        <f>SUM(AX110:AX113)</f>
        <v>333.64699999999999</v>
      </c>
      <c r="AY114" s="877">
        <f t="shared" si="311"/>
        <v>38.172792216410187</v>
      </c>
      <c r="AZ114" s="487"/>
      <c r="BA114" s="487"/>
      <c r="BB114" s="859">
        <f>SUM(BB110:BB113)</f>
        <v>359.33600000000001</v>
      </c>
      <c r="BC114" s="877">
        <f t="shared" si="312"/>
        <v>38.320017403841639</v>
      </c>
      <c r="BD114" s="487"/>
      <c r="BE114" s="487"/>
      <c r="BF114" s="859">
        <f>SUM(BF110:BF113)</f>
        <v>377.32600000000002</v>
      </c>
      <c r="BG114" s="877">
        <f t="shared" si="313"/>
        <v>38.239735370483366</v>
      </c>
      <c r="BH114" s="487"/>
      <c r="BI114" s="487"/>
      <c r="BJ114" s="859">
        <f>SUM(BJ110:BJ113)</f>
        <v>379.25200000000007</v>
      </c>
      <c r="BK114" s="877">
        <f t="shared" si="314"/>
        <v>38.348917185987965</v>
      </c>
      <c r="BL114" s="487"/>
      <c r="BM114" s="487"/>
      <c r="BN114" s="859">
        <f>SUM(BN110:BN113)</f>
        <v>318.904</v>
      </c>
      <c r="BO114" s="877">
        <f>BN114/BN95*100</f>
        <v>31.595706842282027</v>
      </c>
      <c r="BP114" s="487"/>
      <c r="BQ114" s="487"/>
      <c r="BR114" s="859">
        <f>SUM(BR110:BR113)</f>
        <v>470.09199999999998</v>
      </c>
      <c r="BS114" s="877">
        <f t="shared" si="315"/>
        <v>37.702430448619218</v>
      </c>
      <c r="BT114" s="487"/>
      <c r="BU114" s="487"/>
      <c r="BV114" s="859">
        <f>SUM(BV110:BV113)</f>
        <v>477.65494999999999</v>
      </c>
      <c r="BW114" s="877">
        <f t="shared" si="316"/>
        <v>37.90650566191065</v>
      </c>
      <c r="BX114" s="487"/>
      <c r="BY114" s="487"/>
      <c r="BZ114" s="859">
        <f>SUM(BZ110:BZ113)</f>
        <v>524.15899999999999</v>
      </c>
      <c r="CA114" s="877">
        <f t="shared" si="317"/>
        <v>36.901171467995837</v>
      </c>
      <c r="CB114" s="487"/>
      <c r="CC114" s="487"/>
      <c r="CD114" s="859">
        <f>SUM(CD110:CD113)</f>
        <v>737.99</v>
      </c>
      <c r="CE114" s="877">
        <f t="shared" si="318"/>
        <v>37.815349960698143</v>
      </c>
      <c r="CF114" s="487"/>
      <c r="CG114" s="487"/>
      <c r="CH114" s="859">
        <f>SUM(CH110:CH113)</f>
        <v>873.04605000000004</v>
      </c>
      <c r="CI114" s="877">
        <f t="shared" si="319"/>
        <v>38.06776183831866</v>
      </c>
      <c r="CJ114" s="487"/>
      <c r="CK114" s="487"/>
      <c r="CL114" s="859">
        <f>SUM(CL110:CL113)</f>
        <v>941.52587699999992</v>
      </c>
      <c r="CM114" s="877">
        <f t="shared" si="320"/>
        <v>37.961921267969927</v>
      </c>
      <c r="CN114" s="487"/>
      <c r="CO114" s="487"/>
      <c r="CP114" s="859">
        <f>SUM(CP110:CP113)</f>
        <v>1170.664</v>
      </c>
      <c r="CQ114" s="877">
        <f t="shared" si="321"/>
        <v>38.041289407675634</v>
      </c>
      <c r="CR114" s="487"/>
      <c r="CS114" s="487"/>
      <c r="CT114" s="859">
        <f>SUM(CT110:CT113)</f>
        <v>1260.7448800000002</v>
      </c>
      <c r="CU114" s="877">
        <f t="shared" si="322"/>
        <v>37.980089104075951</v>
      </c>
      <c r="CV114" s="487"/>
      <c r="CW114" s="794"/>
      <c r="CX114" s="859">
        <f>SUM(CX110:CX113)</f>
        <v>1341.1009100000001</v>
      </c>
      <c r="CY114" s="877">
        <f t="shared" si="323"/>
        <v>37.600461096684512</v>
      </c>
      <c r="CZ114" s="487"/>
      <c r="DA114" s="794"/>
      <c r="DB114" s="859">
        <f>SUM(DB110:DB113)</f>
        <v>1380.6420000000001</v>
      </c>
      <c r="DC114" s="877">
        <f t="shared" si="324"/>
        <v>37.739988519257579</v>
      </c>
      <c r="DD114" s="487"/>
      <c r="DE114" s="794"/>
      <c r="DF114" s="859">
        <f>SUM(DF110:DF113)</f>
        <v>1455.49902</v>
      </c>
      <c r="DG114" s="877">
        <f t="shared" si="325"/>
        <v>38.242333858558176</v>
      </c>
      <c r="DH114" s="487"/>
      <c r="DI114" s="794"/>
      <c r="DJ114" s="859">
        <f>SUM(DJ110:DJ113)</f>
        <v>1248.6400000000001</v>
      </c>
      <c r="DK114" s="877">
        <f t="shared" si="326"/>
        <v>32.376805611592431</v>
      </c>
      <c r="DL114" s="487"/>
      <c r="DM114" s="794"/>
      <c r="DN114" s="859">
        <f>SUM(DN110:DN113)</f>
        <v>1059.2943968215002</v>
      </c>
      <c r="DO114" s="877">
        <f>DN114/DN95*100</f>
        <v>25.935941259912433</v>
      </c>
      <c r="DP114" s="487"/>
      <c r="DQ114" s="794"/>
      <c r="DR114" s="794"/>
      <c r="DS114" s="794"/>
      <c r="DT114" s="794"/>
      <c r="DU114" s="794"/>
      <c r="DV114" s="794"/>
      <c r="DW114" s="794"/>
      <c r="DX114" s="794"/>
      <c r="DY114" s="794"/>
      <c r="DZ114" s="794"/>
      <c r="EA114" s="794"/>
      <c r="EB114" s="794"/>
    </row>
    <row r="115" spans="1:132" hidden="1" outlineLevel="1">
      <c r="A115" s="487" t="str">
        <f>$A$15</f>
        <v>6 Mos</v>
      </c>
      <c r="B115" s="487"/>
      <c r="C115" s="487"/>
      <c r="D115" s="864"/>
      <c r="E115" s="487"/>
      <c r="F115" s="864">
        <f>SUM(F110:F111)</f>
        <v>19.963000000000001</v>
      </c>
      <c r="G115" s="877">
        <f>F115/F$10*100</f>
        <v>3.8856891487609908</v>
      </c>
      <c r="H115" s="487"/>
      <c r="I115" s="487"/>
      <c r="J115" s="864">
        <f>SUM(J110:J111)</f>
        <v>20.112000000000002</v>
      </c>
      <c r="K115" s="877">
        <f>J115/J$10*100</f>
        <v>3.3337145755530915</v>
      </c>
      <c r="L115" s="487"/>
      <c r="M115" s="487"/>
      <c r="N115" s="864">
        <f>SUM(N110:N111)</f>
        <v>24.318000000000001</v>
      </c>
      <c r="O115" s="877">
        <f>N115/N$10*100</f>
        <v>3.6244833717621781</v>
      </c>
      <c r="P115" s="487"/>
      <c r="Q115" s="487"/>
      <c r="R115" s="864">
        <f>SUM(R110:R111)</f>
        <v>26.612000000000002</v>
      </c>
      <c r="S115" s="877">
        <f>R115/R$10*100</f>
        <v>4.4820965405733153</v>
      </c>
      <c r="T115" s="487"/>
      <c r="U115" s="487"/>
      <c r="V115" s="864">
        <f>SUM(V110:V111)</f>
        <v>26.710999999999999</v>
      </c>
      <c r="W115" s="877">
        <f>V115/V$10*100</f>
        <v>4.08782604969484</v>
      </c>
      <c r="X115" s="487"/>
      <c r="Y115" s="487"/>
      <c r="Z115" s="864">
        <f>SUM(Z110:Z111)</f>
        <v>14.406000000000001</v>
      </c>
      <c r="AA115" s="877">
        <f t="shared" si="305"/>
        <v>45.947756195579451</v>
      </c>
      <c r="AB115" s="487"/>
      <c r="AC115" s="487"/>
      <c r="AD115" s="864">
        <f>SUM(AD110:AD111)</f>
        <v>39.847999999999999</v>
      </c>
      <c r="AE115" s="877">
        <f t="shared" si="306"/>
        <v>41.266750895797479</v>
      </c>
      <c r="AF115" s="487"/>
      <c r="AG115" s="487"/>
      <c r="AH115" s="864">
        <f>SUM(AH110:AH111)</f>
        <v>71.676999999999992</v>
      </c>
      <c r="AI115" s="877">
        <f t="shared" si="307"/>
        <v>41.49991894207826</v>
      </c>
      <c r="AJ115" s="487"/>
      <c r="AK115" s="487"/>
      <c r="AL115" s="864">
        <f>SUM(AL110:AL111)</f>
        <v>111.221</v>
      </c>
      <c r="AM115" s="877">
        <f t="shared" si="308"/>
        <v>39.799821793444998</v>
      </c>
      <c r="AN115" s="487"/>
      <c r="AO115" s="487"/>
      <c r="AP115" s="864">
        <f>SUM(AP110:AP111)</f>
        <v>148.77500000000001</v>
      </c>
      <c r="AQ115" s="877">
        <f t="shared" si="309"/>
        <v>38.450107254542139</v>
      </c>
      <c r="AR115" s="487"/>
      <c r="AS115" s="487"/>
      <c r="AT115" s="864">
        <f>SUM(AT110:AT111)</f>
        <v>155.08100000000002</v>
      </c>
      <c r="AU115" s="877">
        <f t="shared" si="310"/>
        <v>38.799931947940173</v>
      </c>
      <c r="AV115" s="487"/>
      <c r="AW115" s="487"/>
      <c r="AX115" s="864">
        <f>SUM(AX110:AX111)</f>
        <v>145.00099999999998</v>
      </c>
      <c r="AY115" s="877">
        <f t="shared" si="311"/>
        <v>38.100005255136907</v>
      </c>
      <c r="AZ115" s="487"/>
      <c r="BA115" s="487"/>
      <c r="BB115" s="864">
        <f>SUM(BB110:BB111)</f>
        <v>171.779</v>
      </c>
      <c r="BC115" s="877">
        <f t="shared" si="312"/>
        <v>38.300011816931203</v>
      </c>
      <c r="BD115" s="487"/>
      <c r="BE115" s="487"/>
      <c r="BF115" s="864">
        <f>SUM(BF110:BF111)</f>
        <v>133.79300000000001</v>
      </c>
      <c r="BG115" s="877">
        <f t="shared" si="313"/>
        <v>38.553060777556233</v>
      </c>
      <c r="BH115" s="487"/>
      <c r="BI115" s="487"/>
      <c r="BJ115" s="864">
        <f>SUM(BJ110:BJ111)</f>
        <v>164.429</v>
      </c>
      <c r="BK115" s="877">
        <f t="shared" si="314"/>
        <v>38.715958804443545</v>
      </c>
      <c r="BL115" s="487"/>
      <c r="BM115" s="487"/>
      <c r="BN115" s="864">
        <f>SUM(BN110:BN111)</f>
        <v>153.32999999999998</v>
      </c>
      <c r="BO115" s="877">
        <f>BN115/BN96*100</f>
        <v>38.358871724310433</v>
      </c>
      <c r="BP115" s="487"/>
      <c r="BQ115" s="487"/>
      <c r="BR115" s="864">
        <f>SUM(BR110:BR111)</f>
        <v>188.45499999999998</v>
      </c>
      <c r="BS115" s="877">
        <f t="shared" si="315"/>
        <v>38.370854805442846</v>
      </c>
      <c r="BT115" s="487"/>
      <c r="BU115" s="487"/>
      <c r="BV115" s="864">
        <f>SUM(BV110:BV111)</f>
        <v>138.42994999999999</v>
      </c>
      <c r="BW115" s="877">
        <f t="shared" si="316"/>
        <v>37.849485150572292</v>
      </c>
      <c r="BX115" s="487"/>
      <c r="BY115" s="487"/>
      <c r="BZ115" s="864">
        <f>SUM(BZ110:BZ111)</f>
        <v>223.85400000000001</v>
      </c>
      <c r="CA115" s="877">
        <f t="shared" si="317"/>
        <v>35.312267816325836</v>
      </c>
      <c r="CB115" s="487"/>
      <c r="CC115" s="487"/>
      <c r="CD115" s="864">
        <f>SUM(CD110:CD111)</f>
        <v>281.54599999999999</v>
      </c>
      <c r="CE115" s="877">
        <f t="shared" si="318"/>
        <v>37.42365293538262</v>
      </c>
      <c r="CF115" s="487"/>
      <c r="CG115" s="487"/>
      <c r="CH115" s="864">
        <f>SUM(CH110:CH111)</f>
        <v>391.66774999999996</v>
      </c>
      <c r="CI115" s="877">
        <f t="shared" si="319"/>
        <v>38.357508290095573</v>
      </c>
      <c r="CJ115" s="487"/>
      <c r="CK115" s="487"/>
      <c r="CL115" s="864">
        <f>SUM(CL110:CL111)</f>
        <v>400.99587699999995</v>
      </c>
      <c r="CM115" s="877">
        <f t="shared" si="320"/>
        <v>37.906542585271666</v>
      </c>
      <c r="CN115" s="487"/>
      <c r="CO115" s="487"/>
      <c r="CP115" s="864">
        <f>SUM(CP110:CP111)</f>
        <v>523.90300000000002</v>
      </c>
      <c r="CQ115" s="877">
        <f t="shared" si="321"/>
        <v>38.403820568173899</v>
      </c>
      <c r="CR115" s="487"/>
      <c r="CS115" s="487"/>
      <c r="CT115" s="864">
        <f>SUM(CT110:CT111)</f>
        <v>571.88200000000006</v>
      </c>
      <c r="CU115" s="877">
        <f t="shared" si="322"/>
        <v>38.015702661182935</v>
      </c>
      <c r="CV115" s="487"/>
      <c r="CW115" s="794"/>
      <c r="CX115" s="864">
        <f>SUM(CX110:CX111)</f>
        <v>595.55291000000011</v>
      </c>
      <c r="CY115" s="877">
        <f t="shared" si="323"/>
        <v>37.741497827284121</v>
      </c>
      <c r="CZ115" s="487"/>
      <c r="DA115" s="794"/>
      <c r="DB115" s="864">
        <f>SUM(DB110:DB111)</f>
        <v>627.37300000000005</v>
      </c>
      <c r="DC115" s="877">
        <f t="shared" si="324"/>
        <v>37.992465371411413</v>
      </c>
      <c r="DD115" s="487"/>
      <c r="DE115" s="794"/>
      <c r="DF115" s="864">
        <f>SUM(DF110:DF111)</f>
        <v>669.03099999999995</v>
      </c>
      <c r="DG115" s="877">
        <f t="shared" si="325"/>
        <v>38.459981914873445</v>
      </c>
      <c r="DH115" s="487"/>
      <c r="DI115" s="794"/>
      <c r="DJ115" s="864">
        <f>SUM(DJ110:DJ111)</f>
        <v>634.97199999999998</v>
      </c>
      <c r="DK115" s="877">
        <f t="shared" si="326"/>
        <v>36.826879355622971</v>
      </c>
      <c r="DL115" s="487"/>
      <c r="DM115" s="794"/>
      <c r="DN115" s="864">
        <f>SUM(DN110:DN111)</f>
        <v>468.19202597071614</v>
      </c>
      <c r="DO115" s="877">
        <f>DN115/DN96*100</f>
        <v>25.855515174858652</v>
      </c>
      <c r="DP115" s="487"/>
      <c r="DQ115" s="794"/>
      <c r="DR115" s="794"/>
      <c r="DS115" s="794"/>
      <c r="DT115" s="794"/>
      <c r="DU115" s="794"/>
      <c r="DV115" s="794"/>
      <c r="DW115" s="794"/>
      <c r="DX115" s="794"/>
      <c r="DY115" s="794"/>
      <c r="DZ115" s="794"/>
      <c r="EA115" s="794"/>
      <c r="EB115" s="794"/>
    </row>
    <row r="116" spans="1:132" hidden="1" outlineLevel="1">
      <c r="A116" s="487" t="str">
        <f>$A$16</f>
        <v>9 Mos</v>
      </c>
      <c r="B116" s="487"/>
      <c r="C116" s="487"/>
      <c r="D116" s="864"/>
      <c r="E116" s="487"/>
      <c r="F116" s="864">
        <f>SUM(F110:F112)</f>
        <v>40.518000000000001</v>
      </c>
      <c r="G116" s="877">
        <f>F116/F$10*100</f>
        <v>7.8866078710363077</v>
      </c>
      <c r="H116" s="487"/>
      <c r="I116" s="487"/>
      <c r="J116" s="864">
        <f>SUM(J110:J112)</f>
        <v>40.183999999999997</v>
      </c>
      <c r="K116" s="877">
        <f>J116/J$10*100</f>
        <v>6.6607988516321299</v>
      </c>
      <c r="L116" s="487"/>
      <c r="M116" s="487"/>
      <c r="N116" s="864">
        <f>SUM(N110:N112)</f>
        <v>52.396000000000001</v>
      </c>
      <c r="O116" s="877">
        <f>N116/N$10*100</f>
        <v>7.8093770353997467</v>
      </c>
      <c r="P116" s="487"/>
      <c r="Q116" s="487"/>
      <c r="R116" s="864">
        <f>SUM(R110:R112)</f>
        <v>55.430000000000007</v>
      </c>
      <c r="S116" s="877">
        <f>R116/R$10*100</f>
        <v>9.3357361808198878</v>
      </c>
      <c r="T116" s="487"/>
      <c r="U116" s="487"/>
      <c r="V116" s="864">
        <f>SUM(V110:V112)</f>
        <v>50.302</v>
      </c>
      <c r="W116" s="877">
        <f>V116/V$10*100</f>
        <v>7.6981702651248503</v>
      </c>
      <c r="X116" s="487"/>
      <c r="Y116" s="487"/>
      <c r="Z116" s="864">
        <f>SUM(Z110:Z112)</f>
        <v>32.130000000000003</v>
      </c>
      <c r="AA116" s="877">
        <f t="shared" si="305"/>
        <v>42.423122119967822</v>
      </c>
      <c r="AB116" s="487"/>
      <c r="AC116" s="487"/>
      <c r="AD116" s="864">
        <f>SUM(AD110:AD112)</f>
        <v>98.153999999999996</v>
      </c>
      <c r="AE116" s="877">
        <f t="shared" si="306"/>
        <v>41.510120190477764</v>
      </c>
      <c r="AF116" s="487"/>
      <c r="AG116" s="487"/>
      <c r="AH116" s="864">
        <f>SUM(AH110:AH112)</f>
        <v>147.238</v>
      </c>
      <c r="AI116" s="877">
        <f t="shared" si="307"/>
        <v>41.449922442211658</v>
      </c>
      <c r="AJ116" s="487"/>
      <c r="AK116" s="487"/>
      <c r="AL116" s="864">
        <f>SUM(AL110:AL112)</f>
        <v>196.06900000000002</v>
      </c>
      <c r="AM116" s="877">
        <f t="shared" si="308"/>
        <v>39.799974017327202</v>
      </c>
      <c r="AN116" s="487"/>
      <c r="AO116" s="487"/>
      <c r="AP116" s="864">
        <f>SUM(AP110:AP112)</f>
        <v>243.24900000000002</v>
      </c>
      <c r="AQ116" s="877">
        <f t="shared" si="309"/>
        <v>38.420617859777181</v>
      </c>
      <c r="AR116" s="487"/>
      <c r="AS116" s="487"/>
      <c r="AT116" s="864">
        <f>SUM(AT110:AT112)</f>
        <v>255.42500000000001</v>
      </c>
      <c r="AU116" s="877">
        <f t="shared" si="310"/>
        <v>38.799991493395233</v>
      </c>
      <c r="AV116" s="487"/>
      <c r="AW116" s="487"/>
      <c r="AX116" s="864">
        <f>SUM(AX110:AX112)</f>
        <v>237.01799999999997</v>
      </c>
      <c r="AY116" s="877">
        <f t="shared" si="311"/>
        <v>38.099968654305236</v>
      </c>
      <c r="AZ116" s="487"/>
      <c r="BA116" s="487"/>
      <c r="BB116" s="864">
        <f>SUM(BB110:BB112)</f>
        <v>263.584</v>
      </c>
      <c r="BC116" s="877">
        <f t="shared" si="312"/>
        <v>38.330068681298712</v>
      </c>
      <c r="BD116" s="487"/>
      <c r="BE116" s="487"/>
      <c r="BF116" s="864">
        <f>SUM(BF110:BF112)</f>
        <v>242.30900000000003</v>
      </c>
      <c r="BG116" s="877">
        <f t="shared" si="313"/>
        <v>38.746997738909641</v>
      </c>
      <c r="BH116" s="487"/>
      <c r="BI116" s="487"/>
      <c r="BJ116" s="864">
        <f>SUM(BJ110:BJ112)</f>
        <v>280.28700000000003</v>
      </c>
      <c r="BK116" s="877">
        <f t="shared" si="314"/>
        <v>38.659955917606197</v>
      </c>
      <c r="BL116" s="487"/>
      <c r="BM116" s="487"/>
      <c r="BN116" s="864">
        <f>SUM(BN110:BN112)</f>
        <v>255.32099999999997</v>
      </c>
      <c r="BO116" s="877">
        <f>BN116/BN97*100</f>
        <v>38.859218831092726</v>
      </c>
      <c r="BP116" s="487"/>
      <c r="BQ116" s="487"/>
      <c r="BR116" s="864">
        <f>SUM(BR110:BR112)</f>
        <v>333.36199999999997</v>
      </c>
      <c r="BS116" s="877">
        <f t="shared" si="315"/>
        <v>38.455956911498532</v>
      </c>
      <c r="BT116" s="487"/>
      <c r="BU116" s="487"/>
      <c r="BV116" s="864">
        <f>SUM(BV110:BV112)</f>
        <v>290.48995000000002</v>
      </c>
      <c r="BW116" s="877">
        <f t="shared" si="316"/>
        <v>37.772128016186038</v>
      </c>
      <c r="BX116" s="487"/>
      <c r="BY116" s="487"/>
      <c r="BZ116" s="864">
        <f>SUM(BZ110:BZ112)</f>
        <v>385.26499999999999</v>
      </c>
      <c r="CA116" s="877">
        <f t="shared" si="317"/>
        <v>36.860938494142168</v>
      </c>
      <c r="CB116" s="487"/>
      <c r="CC116" s="487"/>
      <c r="CD116" s="864">
        <f>SUM(CD110:CD112)</f>
        <v>499.75199999999995</v>
      </c>
      <c r="CE116" s="877">
        <f t="shared" si="318"/>
        <v>37.908074330628381</v>
      </c>
      <c r="CF116" s="487"/>
      <c r="CG116" s="487"/>
      <c r="CH116" s="864">
        <f>SUM(CH110:CH112)</f>
        <v>616.47574999999995</v>
      </c>
      <c r="CI116" s="877">
        <f t="shared" si="319"/>
        <v>38.096034828499313</v>
      </c>
      <c r="CJ116" s="487"/>
      <c r="CK116" s="487"/>
      <c r="CL116" s="864">
        <f>SUM(CL110:CL112)</f>
        <v>658.26087699999994</v>
      </c>
      <c r="CM116" s="877">
        <f t="shared" si="320"/>
        <v>38.235280139590593</v>
      </c>
      <c r="CN116" s="487"/>
      <c r="CO116" s="487"/>
      <c r="CP116" s="864">
        <f>SUM(CP110:CP112)</f>
        <v>810.82100000000003</v>
      </c>
      <c r="CQ116" s="877">
        <f t="shared" si="321"/>
        <v>38.379079683281411</v>
      </c>
      <c r="CR116" s="487"/>
      <c r="CS116" s="487"/>
      <c r="CT116" s="864">
        <f>SUM(CT110:CT112)</f>
        <v>907.25088000000005</v>
      </c>
      <c r="CU116" s="877">
        <f t="shared" si="322"/>
        <v>38.060567109241369</v>
      </c>
      <c r="CV116" s="487"/>
      <c r="CW116" s="794"/>
      <c r="CX116" s="864">
        <f>SUM(CX110:CX112)</f>
        <v>959.69591000000014</v>
      </c>
      <c r="CY116" s="877">
        <f t="shared" si="323"/>
        <v>37.826804368330656</v>
      </c>
      <c r="CZ116" s="487"/>
      <c r="DA116" s="794"/>
      <c r="DB116" s="864">
        <f>SUM(DB110:DB112)</f>
        <v>981.30700000000002</v>
      </c>
      <c r="DC116" s="877">
        <f t="shared" si="324"/>
        <v>37.851779306375825</v>
      </c>
      <c r="DD116" s="487"/>
      <c r="DE116" s="794"/>
      <c r="DF116" s="864">
        <f>SUM(DF110:DF112)</f>
        <v>1039.76802</v>
      </c>
      <c r="DG116" s="877">
        <f t="shared" si="325"/>
        <v>38.334864120516308</v>
      </c>
      <c r="DH116" s="487"/>
      <c r="DI116" s="794"/>
      <c r="DJ116" s="864">
        <f>SUM(DJ110:DJ112)</f>
        <v>1013.5360000000001</v>
      </c>
      <c r="DK116" s="877">
        <f t="shared" si="326"/>
        <v>36.933643513902744</v>
      </c>
      <c r="DL116" s="487"/>
      <c r="DM116" s="794"/>
      <c r="DN116" s="864">
        <f>SUM(DN110:DN112)</f>
        <v>746.41779615110045</v>
      </c>
      <c r="DO116" s="877">
        <f>DN116/DN97*100</f>
        <v>25.90918349273441</v>
      </c>
      <c r="DP116" s="487"/>
      <c r="DQ116" s="794"/>
      <c r="DR116" s="794"/>
      <c r="DS116" s="794"/>
      <c r="DT116" s="794"/>
      <c r="DU116" s="794"/>
      <c r="DV116" s="794"/>
      <c r="DW116" s="794"/>
      <c r="DX116" s="794"/>
      <c r="DY116" s="794"/>
      <c r="DZ116" s="794"/>
      <c r="EA116" s="794"/>
      <c r="EB116" s="794"/>
    </row>
    <row r="117" spans="1:132" collapsed="1">
      <c r="A117" s="487"/>
      <c r="B117" s="487"/>
      <c r="C117" s="487"/>
      <c r="D117" s="487"/>
      <c r="E117" s="487"/>
      <c r="F117" s="487"/>
      <c r="G117" s="487"/>
      <c r="H117" s="487"/>
      <c r="I117" s="487"/>
      <c r="J117" s="487"/>
      <c r="K117" s="487"/>
      <c r="L117" s="487"/>
      <c r="M117" s="487"/>
      <c r="N117" s="487"/>
      <c r="O117" s="487"/>
      <c r="P117" s="487"/>
      <c r="Q117" s="487"/>
      <c r="R117" s="487"/>
      <c r="S117" s="487"/>
      <c r="T117" s="487"/>
      <c r="U117" s="487"/>
      <c r="V117" s="487"/>
      <c r="W117" s="487"/>
      <c r="X117" s="487"/>
      <c r="Y117" s="487"/>
      <c r="Z117" s="487"/>
      <c r="AA117" s="487"/>
      <c r="AB117" s="487"/>
      <c r="AC117" s="487"/>
      <c r="AD117" s="487"/>
      <c r="AE117" s="487"/>
      <c r="AF117" s="487"/>
      <c r="AG117" s="487"/>
      <c r="AH117" s="487"/>
      <c r="AI117" s="487"/>
      <c r="AJ117" s="487"/>
      <c r="AK117" s="487"/>
      <c r="AL117" s="487"/>
      <c r="AM117" s="487"/>
      <c r="AN117" s="487"/>
      <c r="AO117" s="487"/>
      <c r="AP117" s="487"/>
      <c r="AQ117" s="487"/>
      <c r="AR117" s="487"/>
      <c r="AS117" s="487"/>
      <c r="AT117" s="487"/>
      <c r="AU117" s="487"/>
      <c r="AV117" s="487"/>
      <c r="AW117" s="487"/>
      <c r="AX117" s="487"/>
      <c r="AY117" s="487"/>
      <c r="AZ117" s="487"/>
      <c r="BA117" s="487"/>
      <c r="BB117" s="487"/>
      <c r="BC117" s="487"/>
      <c r="BD117" s="487"/>
      <c r="BE117" s="487"/>
      <c r="BF117" s="487"/>
      <c r="BG117" s="487"/>
      <c r="BH117" s="487"/>
      <c r="BI117" s="487"/>
      <c r="BJ117" s="562"/>
      <c r="BK117" s="487"/>
      <c r="BL117" s="487"/>
      <c r="BM117" s="487"/>
      <c r="BN117" s="487"/>
      <c r="BO117" s="487"/>
      <c r="BP117" s="487"/>
      <c r="BQ117" s="487"/>
      <c r="BR117" s="487"/>
      <c r="BS117" s="487"/>
      <c r="BT117" s="487"/>
      <c r="BU117" s="487"/>
      <c r="BV117" s="487"/>
      <c r="BW117" s="487"/>
      <c r="BX117" s="487"/>
      <c r="BY117" s="487"/>
      <c r="BZ117" s="859"/>
      <c r="CA117" s="487"/>
      <c r="CB117" s="487"/>
      <c r="CC117" s="487"/>
      <c r="CD117" s="487"/>
      <c r="CE117" s="487"/>
      <c r="CF117" s="487"/>
      <c r="CG117" s="487"/>
      <c r="CH117" s="487"/>
      <c r="CI117" s="487"/>
      <c r="CJ117" s="487"/>
      <c r="CK117" s="487"/>
      <c r="CL117" s="487"/>
      <c r="CM117" s="487"/>
      <c r="CN117" s="487"/>
      <c r="CO117" s="487"/>
      <c r="CP117" s="487"/>
      <c r="CQ117" s="487"/>
      <c r="CR117" s="487"/>
      <c r="CS117" s="487"/>
      <c r="CT117" s="487"/>
      <c r="CU117" s="487"/>
      <c r="CV117" s="487"/>
      <c r="CW117" s="794"/>
      <c r="CX117" s="487"/>
      <c r="CY117" s="487"/>
      <c r="CZ117" s="487"/>
      <c r="DA117" s="794"/>
      <c r="DB117" s="487"/>
      <c r="DC117" s="487"/>
      <c r="DD117" s="487"/>
      <c r="DE117" s="794"/>
      <c r="DF117" s="487"/>
      <c r="DG117" s="487"/>
      <c r="DH117" s="487"/>
      <c r="DI117" s="794"/>
      <c r="DJ117" s="859">
        <f>DJ114-DN114</f>
        <v>189.34560317849991</v>
      </c>
      <c r="DK117" s="487"/>
      <c r="DL117" s="487"/>
      <c r="DM117" s="794"/>
      <c r="DN117" s="487"/>
      <c r="DO117" s="487"/>
      <c r="DP117" s="487"/>
      <c r="DQ117" s="794"/>
      <c r="DR117" s="794"/>
      <c r="DS117" s="794"/>
      <c r="DT117" s="794"/>
      <c r="DU117" s="794"/>
      <c r="DV117" s="794"/>
      <c r="DW117" s="794"/>
      <c r="DX117" s="794"/>
      <c r="DY117" s="794"/>
      <c r="DZ117" s="794"/>
      <c r="EA117" s="794"/>
      <c r="EB117" s="794"/>
    </row>
    <row r="118" spans="1:132">
      <c r="A118" s="487"/>
      <c r="B118" s="487"/>
      <c r="C118" s="807"/>
      <c r="D118" s="807"/>
      <c r="E118" s="809"/>
      <c r="F118" s="809" t="str">
        <f>Z118</f>
        <v>8.  Net Earnings before items  (% Change)</v>
      </c>
      <c r="G118" s="811"/>
      <c r="H118" s="811"/>
      <c r="I118" s="811"/>
      <c r="J118" s="809"/>
      <c r="K118" s="811"/>
      <c r="L118" s="811"/>
      <c r="M118" s="811"/>
      <c r="N118" s="809"/>
      <c r="O118" s="811"/>
      <c r="P118" s="811"/>
      <c r="Q118" s="811"/>
      <c r="R118" s="809"/>
      <c r="S118" s="811"/>
      <c r="T118" s="811"/>
      <c r="U118" s="811"/>
      <c r="V118" s="809"/>
      <c r="W118" s="811"/>
      <c r="X118" s="811"/>
      <c r="Y118" s="487"/>
      <c r="Z118" s="809" t="s">
        <v>187</v>
      </c>
      <c r="AA118" s="811"/>
      <c r="AB118" s="811"/>
      <c r="AC118" s="811"/>
      <c r="AD118" s="809"/>
      <c r="AE118" s="811"/>
      <c r="AF118" s="811"/>
      <c r="AG118" s="811"/>
      <c r="AH118" s="809"/>
      <c r="AI118" s="811"/>
      <c r="AJ118" s="811"/>
      <c r="AK118" s="811"/>
      <c r="AL118" s="809"/>
      <c r="AM118" s="811"/>
      <c r="AN118" s="811"/>
      <c r="AO118" s="702"/>
      <c r="AP118" s="702"/>
      <c r="AQ118" s="811"/>
      <c r="AR118" s="811"/>
      <c r="AS118" s="811"/>
      <c r="AT118" s="487"/>
      <c r="AU118" s="921"/>
      <c r="AV118" s="921"/>
      <c r="AW118" s="921"/>
      <c r="AX118" s="921"/>
      <c r="AY118" s="921"/>
      <c r="AZ118" s="921"/>
      <c r="BA118" s="921"/>
      <c r="BB118" s="921"/>
      <c r="BC118" s="921"/>
      <c r="BD118" s="921"/>
      <c r="BE118" s="921"/>
      <c r="BF118" s="487"/>
      <c r="BG118" s="809"/>
      <c r="BH118" s="809"/>
      <c r="BI118" s="809"/>
      <c r="BJ118" s="809" t="s">
        <v>187</v>
      </c>
      <c r="BK118" s="809"/>
      <c r="BL118" s="809"/>
      <c r="BM118" s="809"/>
      <c r="BN118" s="809" t="s">
        <v>187</v>
      </c>
      <c r="BO118" s="809"/>
      <c r="BP118" s="809"/>
      <c r="BQ118" s="809"/>
      <c r="BR118" s="809"/>
      <c r="BS118" s="809"/>
      <c r="BT118" s="809"/>
      <c r="BU118" s="809"/>
      <c r="BV118" s="809"/>
      <c r="BW118" s="809"/>
      <c r="BX118" s="809"/>
      <c r="BY118" s="809"/>
      <c r="BZ118" s="809"/>
      <c r="CA118" s="809"/>
      <c r="CC118" s="809"/>
      <c r="CD118" s="809"/>
      <c r="CE118" s="809"/>
      <c r="CF118" s="810" t="str">
        <f>BN118</f>
        <v>8.  Net Earnings before items  (% Change)</v>
      </c>
      <c r="CG118" s="809"/>
      <c r="CH118" s="809"/>
      <c r="CI118" s="809"/>
      <c r="CJ118" s="809"/>
      <c r="CK118" s="809"/>
      <c r="CL118" s="809"/>
      <c r="CM118" s="809"/>
      <c r="CN118" s="809"/>
      <c r="CO118" s="809"/>
      <c r="CP118" s="809"/>
      <c r="CQ118" s="809"/>
      <c r="CR118" s="809"/>
      <c r="CS118" s="809"/>
      <c r="CT118" s="809"/>
      <c r="CU118" s="809"/>
      <c r="CV118" s="809"/>
      <c r="CW118" s="794"/>
      <c r="CX118" s="809"/>
      <c r="CY118" s="809"/>
      <c r="CZ118" s="809"/>
      <c r="DA118" s="794"/>
      <c r="DB118" s="809" t="str">
        <f>CF118</f>
        <v>8.  Net Earnings before items  (% Change)</v>
      </c>
      <c r="DC118" s="809"/>
      <c r="DD118" s="809"/>
      <c r="DE118" s="794"/>
      <c r="DF118" s="809"/>
      <c r="DG118" s="809"/>
      <c r="DH118" s="809"/>
      <c r="DI118" s="794"/>
      <c r="DJ118" s="809"/>
      <c r="DK118" s="809"/>
      <c r="DL118" s="809"/>
      <c r="DM118" s="794"/>
      <c r="DN118" s="809"/>
      <c r="DO118" s="809"/>
      <c r="DP118" s="809"/>
      <c r="DQ118" s="794"/>
      <c r="DR118" s="794"/>
      <c r="DS118" s="794"/>
      <c r="DT118" s="794"/>
      <c r="DU118" s="794"/>
      <c r="DV118" s="794"/>
      <c r="DW118" s="794"/>
      <c r="DX118" s="794"/>
      <c r="DY118" s="794"/>
      <c r="DZ118" s="794"/>
      <c r="EA118" s="794"/>
      <c r="EB118" s="794"/>
    </row>
    <row r="119" spans="1:132">
      <c r="A119" s="487"/>
      <c r="B119" s="487"/>
      <c r="C119" s="487"/>
      <c r="D119" s="487"/>
      <c r="E119" s="487"/>
      <c r="F119" s="487"/>
      <c r="G119" s="487"/>
      <c r="H119" s="487"/>
      <c r="I119" s="487"/>
      <c r="J119" s="487"/>
      <c r="K119" s="487"/>
      <c r="L119" s="487"/>
      <c r="M119" s="487"/>
      <c r="N119" s="487"/>
      <c r="O119" s="487"/>
      <c r="P119" s="487"/>
      <c r="Q119" s="487"/>
      <c r="R119" s="487"/>
      <c r="S119" s="487"/>
      <c r="T119" s="487"/>
      <c r="U119" s="487"/>
      <c r="V119" s="487"/>
      <c r="W119" s="487"/>
      <c r="X119" s="487"/>
      <c r="Y119" s="487"/>
      <c r="Z119" s="487"/>
      <c r="AA119" s="487"/>
      <c r="AB119" s="487"/>
      <c r="AC119" s="487"/>
      <c r="AD119" s="487"/>
      <c r="AE119" s="487"/>
      <c r="AF119" s="487"/>
      <c r="AG119" s="487"/>
      <c r="AH119" s="487"/>
      <c r="AI119" s="487"/>
      <c r="AJ119" s="487"/>
      <c r="AK119" s="487"/>
      <c r="AL119" s="487"/>
      <c r="AM119" s="487"/>
      <c r="AN119" s="487"/>
      <c r="AO119" s="487"/>
      <c r="AP119" s="487"/>
      <c r="AQ119" s="487"/>
      <c r="AR119" s="487"/>
      <c r="AS119" s="487"/>
      <c r="AT119" s="487"/>
      <c r="AU119" s="487"/>
      <c r="AV119" s="487"/>
      <c r="AW119" s="487"/>
      <c r="AX119" s="487"/>
      <c r="AY119" s="487"/>
      <c r="AZ119" s="487"/>
      <c r="BA119" s="487"/>
      <c r="BB119" s="487"/>
      <c r="BC119" s="487"/>
      <c r="BD119" s="487"/>
      <c r="BE119" s="487"/>
      <c r="BF119" s="487"/>
      <c r="BG119" s="487"/>
      <c r="BH119" s="487"/>
      <c r="BI119" s="487"/>
      <c r="BJ119" s="487"/>
      <c r="BK119" s="487"/>
      <c r="BL119" s="487"/>
      <c r="BM119" s="487"/>
      <c r="BN119" s="487"/>
      <c r="BO119" s="487"/>
      <c r="BP119" s="487"/>
      <c r="BQ119" s="487"/>
      <c r="BR119" s="487"/>
      <c r="BS119" s="487"/>
      <c r="BT119" s="487"/>
      <c r="BU119" s="487"/>
      <c r="BV119" s="487"/>
      <c r="BW119" s="487"/>
      <c r="BX119" s="487"/>
      <c r="BY119" s="487"/>
      <c r="BZ119" s="487"/>
      <c r="CA119" s="487"/>
      <c r="CB119" s="487"/>
      <c r="CC119" s="487"/>
      <c r="CD119" s="487"/>
      <c r="CE119" s="487"/>
      <c r="CF119" s="487"/>
      <c r="CG119" s="487"/>
      <c r="CH119" s="487"/>
      <c r="CI119" s="487"/>
      <c r="CJ119" s="487"/>
      <c r="CK119" s="487"/>
      <c r="CL119" s="487"/>
      <c r="CM119" s="487"/>
      <c r="CN119" s="487"/>
      <c r="CO119" s="487"/>
      <c r="CP119" s="487"/>
      <c r="CQ119" s="487"/>
      <c r="CR119" s="487"/>
      <c r="CS119" s="487"/>
      <c r="CT119" s="487"/>
      <c r="CU119" s="487"/>
      <c r="CV119" s="487"/>
      <c r="CW119" s="794"/>
      <c r="CX119" s="487"/>
      <c r="CY119" s="487"/>
      <c r="CZ119" s="487"/>
      <c r="DA119" s="794"/>
      <c r="DB119" s="487"/>
      <c r="DC119" s="487"/>
      <c r="DD119" s="487"/>
      <c r="DE119" s="794"/>
      <c r="DF119" s="487"/>
      <c r="DG119" s="487"/>
      <c r="DH119" s="487"/>
      <c r="DI119" s="794"/>
      <c r="DJ119" s="487"/>
      <c r="DK119" s="487"/>
      <c r="DL119" s="487"/>
      <c r="DM119" s="794"/>
      <c r="DN119" s="487"/>
      <c r="DO119" s="487"/>
      <c r="DP119" s="487"/>
      <c r="DQ119" s="794"/>
      <c r="DR119" s="794"/>
      <c r="DS119" s="794"/>
      <c r="DT119" s="794"/>
      <c r="DU119" s="794"/>
      <c r="DV119" s="794"/>
      <c r="DW119" s="794"/>
      <c r="DX119" s="794"/>
      <c r="DY119" s="794"/>
      <c r="DZ119" s="794"/>
      <c r="EA119" s="794"/>
      <c r="EB119" s="794"/>
    </row>
    <row r="120" spans="1:132">
      <c r="A120" s="487" t="str">
        <f>$A$10</f>
        <v>1Q</v>
      </c>
      <c r="B120" s="487" t="str">
        <f>$B$10</f>
        <v>Apr</v>
      </c>
      <c r="C120" s="487"/>
      <c r="D120" s="859"/>
      <c r="E120" s="487"/>
      <c r="F120" s="859">
        <f>F91-F110</f>
        <v>14.571999999999958</v>
      </c>
      <c r="G120" s="783"/>
      <c r="H120" s="487"/>
      <c r="I120" s="487"/>
      <c r="J120" s="859">
        <f>J91-J110</f>
        <v>14.819000000000033</v>
      </c>
      <c r="K120" s="783">
        <f t="shared" ref="K120:K126" si="327">IF(F120&lt;0,"       NM",(J120/F120-1)*100)</f>
        <v>1.6950315673900374</v>
      </c>
      <c r="L120" s="487"/>
      <c r="M120" s="487"/>
      <c r="N120" s="862">
        <f>N91-N110</f>
        <v>15.145999999999987</v>
      </c>
      <c r="O120" s="783">
        <f t="shared" ref="O120:O126" si="328">IF(J120&lt;0,"       NM",(N120/J120-1)*100)</f>
        <v>2.2066266279772817</v>
      </c>
      <c r="P120" s="487"/>
      <c r="Q120" s="487"/>
      <c r="R120" s="862">
        <f>R91-R110</f>
        <v>19.312999999999988</v>
      </c>
      <c r="S120" s="783">
        <f t="shared" ref="S120:S126" si="329">IF(N120&lt;0,"       NM",(R120/N120-1)*100)</f>
        <v>27.512214446058401</v>
      </c>
      <c r="T120" s="487"/>
      <c r="U120" s="487"/>
      <c r="V120" s="862">
        <f>V91-V110</f>
        <v>19.293000000000006</v>
      </c>
      <c r="W120" s="783">
        <f t="shared" ref="W120:W126" si="330">IF(R120&lt;0,"       NM",(V120/R120-1)*100)</f>
        <v>-0.10355718945778136</v>
      </c>
      <c r="X120" s="487"/>
      <c r="Y120" s="487"/>
      <c r="Z120" s="862">
        <f>Z91-Z110</f>
        <v>7.3719999999999537</v>
      </c>
      <c r="AA120" s="783">
        <f t="shared" ref="AA120:AA126" si="331">IF(V120&lt;0,"       NM",(Z120/V120-1)*100)</f>
        <v>-61.789249987042183</v>
      </c>
      <c r="AB120" s="783"/>
      <c r="AC120" s="487"/>
      <c r="AD120" s="859">
        <f>AD91-AD110</f>
        <v>23.024000000000136</v>
      </c>
      <c r="AE120" s="783">
        <f t="shared" ref="AE120:AE126" si="332">IF(Z120&lt;0,"       NM",(AD120/Z120-1)*100)</f>
        <v>212.31687466088283</v>
      </c>
      <c r="AF120" s="487"/>
      <c r="AG120" s="487"/>
      <c r="AH120" s="859">
        <f>AH91-AH110</f>
        <v>48.461000000000176</v>
      </c>
      <c r="AI120" s="783">
        <f t="shared" ref="AI120:AI126" si="333">IF(AD120&lt;0,"       NM",(AH120/AD120-1)*100)</f>
        <v>110.48036831132681</v>
      </c>
      <c r="AJ120" s="487"/>
      <c r="AK120" s="487"/>
      <c r="AL120" s="859">
        <f>AL91-AL110</f>
        <v>82.427000000000163</v>
      </c>
      <c r="AM120" s="783">
        <f t="shared" ref="AM120:AM126" si="334">IF(AH120&lt;0,"       NM",(AL120/AH120-1)*100)</f>
        <v>70.089350199128916</v>
      </c>
      <c r="AN120" s="487"/>
      <c r="AO120" s="487"/>
      <c r="AP120" s="862">
        <f>AP91-AP110</f>
        <v>122.27400000000019</v>
      </c>
      <c r="AQ120" s="783">
        <f t="shared" ref="AQ120:AQ126" si="335">IF(AL120&lt;0,"       NM",(AP120/AL120-1)*100)</f>
        <v>48.342169434772522</v>
      </c>
      <c r="AR120" s="487">
        <f>0.08*2700</f>
        <v>216</v>
      </c>
      <c r="AS120" s="487"/>
      <c r="AT120" s="859">
        <f>AT91-AT110</f>
        <v>130.58000000000004</v>
      </c>
      <c r="AU120" s="783">
        <f t="shared" ref="AU120:AU126" si="336">IF(AP120&lt;0,"       NM",(AT120/AP120-1)*100)</f>
        <v>6.7929404452294451</v>
      </c>
      <c r="AV120" s="487"/>
      <c r="AW120" s="487"/>
      <c r="AX120" s="859">
        <f>AX91-AX110</f>
        <v>123.67099999999998</v>
      </c>
      <c r="AY120" s="783">
        <f t="shared" ref="AY120:AY126" si="337">IF(AT120&lt;0,"       NM",(AX120/AT120-1)*100)</f>
        <v>-5.2910093429315852</v>
      </c>
      <c r="AZ120" s="487"/>
      <c r="BA120" s="487"/>
      <c r="BB120" s="859">
        <f>BB91-BB110</f>
        <v>147.10299999999995</v>
      </c>
      <c r="BC120" s="783">
        <f t="shared" ref="BC120:BC126" si="338">IF(AX120&lt;0,"       NM",(BB120/AX120-1)*100)</f>
        <v>18.947044982251281</v>
      </c>
      <c r="BD120" s="487"/>
      <c r="BE120" s="487"/>
      <c r="BF120" s="859">
        <f>BF91-BF110</f>
        <v>101.75199999999987</v>
      </c>
      <c r="BG120" s="783">
        <f t="shared" ref="BG120:BG126" si="339">IF(BB120&lt;0,"       NM",(BF120/BB120-1)*100)</f>
        <v>-30.829418842579759</v>
      </c>
      <c r="BH120" s="487"/>
      <c r="BI120" s="487"/>
      <c r="BJ120" s="859">
        <f>BJ91-BJ110</f>
        <v>154.92399999999998</v>
      </c>
      <c r="BK120" s="783">
        <f t="shared" ref="BK120:BK126" si="340">IF(BF120&lt;0,"       NM",(BJ120/BF120-1)*100)</f>
        <v>52.256466703357354</v>
      </c>
      <c r="BL120" s="487"/>
      <c r="BM120" s="487"/>
      <c r="BN120" s="859">
        <f>BN91-BN110</f>
        <v>135.58100000000013</v>
      </c>
      <c r="BO120" s="783">
        <f t="shared" ref="BO120:BO126" si="341">IF(BJ120&lt;0,"       NM",(BN120/BJ120-1)*100)</f>
        <v>-12.485476749890168</v>
      </c>
      <c r="BP120" s="487"/>
      <c r="BQ120" s="487"/>
      <c r="BR120" s="859">
        <f>BR91-BR110+(BR72*BS110/100)</f>
        <v>163.86199999999963</v>
      </c>
      <c r="BS120" s="783">
        <f t="shared" ref="BS120:BS126" si="342">IF(BN120&lt;0,"       NM",(BR120/BN120-1)*100)</f>
        <v>20.859117427957806</v>
      </c>
      <c r="BT120" s="487"/>
      <c r="BU120" s="487"/>
      <c r="BV120" s="859">
        <f>BV91-BV110+(BV72*(1-BW110/100))</f>
        <v>178.40967084372679</v>
      </c>
      <c r="BW120" s="783">
        <f t="shared" ref="BW120:BW126" si="343">IF(BR120&lt;0,"       NM",(BV120/BR120-1)*100)</f>
        <v>8.8780015157432501</v>
      </c>
      <c r="BX120" s="487"/>
      <c r="BY120" s="487"/>
      <c r="BZ120" s="859">
        <f>BZ91-BZ110</f>
        <v>198.00000000000011</v>
      </c>
      <c r="CA120" s="783">
        <f t="shared" ref="CA120:CA126" si="344">IF(BV120&lt;0,"       NM",(BZ120/BV120-1)*100)</f>
        <v>10.980530967647461</v>
      </c>
      <c r="CB120" s="487"/>
      <c r="CC120" s="487"/>
      <c r="CD120" s="859">
        <f>CD91-CD110+CD290</f>
        <v>209.21400000000014</v>
      </c>
      <c r="CE120" s="783">
        <f t="shared" ref="CE120:CE126" si="345">IF(BZ120&lt;0,"       NM",(CD120/BZ120-1)*100)</f>
        <v>5.6636363636363818</v>
      </c>
      <c r="CF120" s="487"/>
      <c r="CG120" s="487"/>
      <c r="CH120" s="859">
        <f>CH91-CH110</f>
        <v>331.43399999999997</v>
      </c>
      <c r="CI120" s="783">
        <f t="shared" ref="CI120:CI126" si="346">IF(CD120&lt;0,"       NM",(CH120/CD120-1)*100)</f>
        <v>58.418652671427232</v>
      </c>
      <c r="CJ120" s="487"/>
      <c r="CK120" s="487"/>
      <c r="CL120" s="859">
        <f>CL91-CL110</f>
        <v>308.52012300000001</v>
      </c>
      <c r="CM120" s="783">
        <f t="shared" ref="CM120:CM126" si="347">IF(CH120&lt;0,"       NM",(CL120/CH120-1)*100)</f>
        <v>-6.9135565451945098</v>
      </c>
      <c r="CN120" s="487"/>
      <c r="CO120" s="487"/>
      <c r="CP120" s="859">
        <f>CP91-CP110</f>
        <v>419.20000000000022</v>
      </c>
      <c r="CQ120" s="783">
        <f t="shared" ref="CQ120:CQ126" si="348">IF(CL120&lt;0,"       NM",(CP120/CL120-1)*100)</f>
        <v>35.874443431360945</v>
      </c>
      <c r="CR120" s="487"/>
      <c r="CS120" s="487"/>
      <c r="CT120" s="859">
        <f>CT91-CT110</f>
        <v>452.89</v>
      </c>
      <c r="CU120" s="783">
        <f t="shared" ref="CU120:CU126" si="349">IF(CP120&lt;0,"       NM",(CT120/CP120-1)*100)</f>
        <v>8.0367366412213102</v>
      </c>
      <c r="CV120" s="487"/>
      <c r="CW120" s="794"/>
      <c r="CX120" s="859">
        <f>CX91-CX110</f>
        <v>454.31700000000041</v>
      </c>
      <c r="CY120" s="783">
        <f t="shared" ref="CY120:CY126" si="350">IF(CT120&lt;0,"       NM",(CX120/CT120-1)*100)</f>
        <v>0.31508754885301027</v>
      </c>
      <c r="CZ120" s="487"/>
      <c r="DA120" s="794"/>
      <c r="DB120" s="859">
        <f>DB91-DB110</f>
        <v>474.60099999999977</v>
      </c>
      <c r="DC120" s="783">
        <f t="shared" ref="DC120:DC126" si="351">IF(CX120&lt;0,"       NM",(DB120/CX120-1)*100)</f>
        <v>4.4647239702673147</v>
      </c>
      <c r="DD120" s="487"/>
      <c r="DE120" s="794"/>
      <c r="DF120" s="859">
        <f>DF91-DF110</f>
        <v>508.34599999999983</v>
      </c>
      <c r="DG120" s="783">
        <f t="shared" ref="DG120:DG126" si="352">IF(DB120&lt;0,"       NM",(DF120/DB120-1)*100)</f>
        <v>7.1101830801030941</v>
      </c>
      <c r="DH120" s="487"/>
      <c r="DI120" s="794"/>
      <c r="DJ120" s="859">
        <f>DJ91-DJ110</f>
        <v>536.27900000000022</v>
      </c>
      <c r="DK120" s="783">
        <f t="shared" ref="DK120:DK126" si="353">IF(DF120&lt;0,"       NM",(DJ120/DF120-1)*100)</f>
        <v>5.4948794718558513</v>
      </c>
      <c r="DL120" s="487"/>
      <c r="DM120" s="794"/>
      <c r="DN120" s="859">
        <f>DN91-DN110</f>
        <v>647.97852492678362</v>
      </c>
      <c r="DO120" s="783">
        <f t="shared" ref="DO120:DO126" si="354">IF(DJ120&lt;0,"       NM",(DN120/DJ120-1)*100)</f>
        <v>20.828621841762086</v>
      </c>
      <c r="DP120" s="487"/>
      <c r="DQ120" s="794"/>
      <c r="DR120" s="794"/>
      <c r="DS120" s="794"/>
      <c r="DT120" s="794"/>
      <c r="DU120" s="794"/>
      <c r="DV120" s="794"/>
      <c r="DW120" s="794"/>
      <c r="DX120" s="794"/>
      <c r="DY120" s="794"/>
      <c r="DZ120" s="794"/>
      <c r="EA120" s="794"/>
      <c r="EB120" s="794"/>
    </row>
    <row r="121" spans="1:132">
      <c r="A121" s="487" t="str">
        <f>$A$11</f>
        <v>2Q</v>
      </c>
      <c r="B121" s="487" t="str">
        <f>$B$11</f>
        <v>Jul</v>
      </c>
      <c r="C121" s="487"/>
      <c r="D121" s="864"/>
      <c r="E121" s="487"/>
      <c r="F121" s="864">
        <f>F92-F111</f>
        <v>14.430999999999996</v>
      </c>
      <c r="G121" s="783"/>
      <c r="H121" s="487"/>
      <c r="I121" s="487"/>
      <c r="J121" s="864">
        <f>J92-J111</f>
        <v>13.830000000000048</v>
      </c>
      <c r="K121" s="783">
        <f t="shared" si="327"/>
        <v>-4.1646455547082457</v>
      </c>
      <c r="L121" s="487"/>
      <c r="M121" s="487"/>
      <c r="N121" s="948">
        <f>N92-N111</f>
        <v>19.032999999999912</v>
      </c>
      <c r="O121" s="783">
        <f t="shared" si="328"/>
        <v>37.621113521329328</v>
      </c>
      <c r="P121" s="487"/>
      <c r="Q121" s="487"/>
      <c r="R121" s="948">
        <f>R92-R111</f>
        <v>19.839000000000006</v>
      </c>
      <c r="S121" s="783">
        <f t="shared" si="329"/>
        <v>4.2347501707565627</v>
      </c>
      <c r="T121" s="487"/>
      <c r="U121" s="487"/>
      <c r="V121" s="948">
        <f>V92-V111</f>
        <v>17.163000000000046</v>
      </c>
      <c r="W121" s="783">
        <f t="shared" si="330"/>
        <v>-13.488583093905737</v>
      </c>
      <c r="X121" s="487"/>
      <c r="Y121" s="487"/>
      <c r="Z121" s="948">
        <f>Z92-Z111</f>
        <v>9.5749999999999904</v>
      </c>
      <c r="AA121" s="783">
        <f t="shared" si="331"/>
        <v>-44.211384956010221</v>
      </c>
      <c r="AB121" s="783"/>
      <c r="AC121" s="487"/>
      <c r="AD121" s="864">
        <f>AD92-AD111</f>
        <v>33.689999999999969</v>
      </c>
      <c r="AE121" s="783">
        <f t="shared" si="332"/>
        <v>251.85378590078332</v>
      </c>
      <c r="AF121" s="487"/>
      <c r="AG121" s="487"/>
      <c r="AH121" s="864">
        <f>AH92-AH111</f>
        <v>52.578000000000088</v>
      </c>
      <c r="AI121" s="783">
        <f t="shared" si="333"/>
        <v>56.064113980410028</v>
      </c>
      <c r="AJ121" s="487"/>
      <c r="AK121" s="487"/>
      <c r="AL121" s="864">
        <f>AL92-AL111</f>
        <v>85.802999999999827</v>
      </c>
      <c r="AM121" s="783">
        <f t="shared" si="334"/>
        <v>63.19182928220868</v>
      </c>
      <c r="AN121" s="487"/>
      <c r="AO121" s="487"/>
      <c r="AP121" s="862">
        <f>AP92-AP111</f>
        <v>115.88100000000007</v>
      </c>
      <c r="AQ121" s="783">
        <f t="shared" si="335"/>
        <v>35.054718366491031</v>
      </c>
      <c r="AR121" s="487">
        <f>+AR120*0.6</f>
        <v>129.6</v>
      </c>
      <c r="AS121" s="487"/>
      <c r="AT121" s="864">
        <f>AT92-AT111</f>
        <v>114.03299999999997</v>
      </c>
      <c r="AU121" s="783">
        <f t="shared" si="336"/>
        <v>-1.5947394309680618</v>
      </c>
      <c r="AV121" s="487"/>
      <c r="AW121" s="487"/>
      <c r="AX121" s="864">
        <f>AX92-AX111</f>
        <v>111.9079999999999</v>
      </c>
      <c r="AY121" s="783">
        <f t="shared" si="337"/>
        <v>-1.863495654766667</v>
      </c>
      <c r="AZ121" s="487"/>
      <c r="BA121" s="487"/>
      <c r="BB121" s="864">
        <f>BB92-BB111</f>
        <v>129.62700000000007</v>
      </c>
      <c r="BC121" s="783">
        <f t="shared" si="338"/>
        <v>15.833541837938458</v>
      </c>
      <c r="BD121" s="487"/>
      <c r="BE121" s="487"/>
      <c r="BF121" s="864">
        <f>BF92-BF111</f>
        <v>111.49100000000003</v>
      </c>
      <c r="BG121" s="783">
        <f t="shared" si="339"/>
        <v>-13.990912387079879</v>
      </c>
      <c r="BH121" s="487"/>
      <c r="BI121" s="487"/>
      <c r="BJ121" s="864">
        <f>BJ92-BJ111</f>
        <v>105.35300000000005</v>
      </c>
      <c r="BK121" s="783">
        <f t="shared" si="340"/>
        <v>-5.5053771156415969</v>
      </c>
      <c r="BL121" s="487"/>
      <c r="BM121" s="487"/>
      <c r="BN121" s="864">
        <f>BN92-BN111</f>
        <v>110.81400000000008</v>
      </c>
      <c r="BO121" s="783">
        <f t="shared" si="341"/>
        <v>5.18352586067794</v>
      </c>
      <c r="BP121" s="487"/>
      <c r="BQ121" s="487"/>
      <c r="BR121" s="864">
        <f>BR92-BR111+(BR73*BS111/100)</f>
        <v>138.82400000000024</v>
      </c>
      <c r="BS121" s="783">
        <f t="shared" si="342"/>
        <v>25.276589600592114</v>
      </c>
      <c r="BT121" s="487"/>
      <c r="BU121" s="487"/>
      <c r="BV121" s="864">
        <f>BV92-BV111+(BV73*(1-39.8/100))</f>
        <v>179.13868599999961</v>
      </c>
      <c r="BW121" s="783">
        <f t="shared" si="343"/>
        <v>29.040141474096192</v>
      </c>
      <c r="BX121" s="954"/>
      <c r="BY121" s="954"/>
      <c r="BZ121" s="864">
        <f>BZ92-BZ111</f>
        <v>212.07300000000015</v>
      </c>
      <c r="CA121" s="783">
        <f t="shared" si="344"/>
        <v>18.38481387543538</v>
      </c>
      <c r="CB121" s="954"/>
      <c r="CC121" s="954"/>
      <c r="CD121" s="864">
        <f>CD92-CD111+CD291</f>
        <v>261.56100000000015</v>
      </c>
      <c r="CE121" s="783">
        <f t="shared" si="345"/>
        <v>23.335360937035809</v>
      </c>
      <c r="CF121" s="954"/>
      <c r="CG121" s="954"/>
      <c r="CH121" s="864">
        <f>CH92-CH111</f>
        <v>297.99624999999986</v>
      </c>
      <c r="CI121" s="783">
        <f t="shared" si="346"/>
        <v>13.929924568265029</v>
      </c>
      <c r="CJ121" s="954"/>
      <c r="CK121" s="954"/>
      <c r="CL121" s="864">
        <f>CL92-CL111</f>
        <v>348.33800000000048</v>
      </c>
      <c r="CM121" s="783">
        <f t="shared" si="347"/>
        <v>16.893417282935829</v>
      </c>
      <c r="CN121" s="954"/>
      <c r="CO121" s="954"/>
      <c r="CP121" s="864">
        <f>CP92-CP111</f>
        <v>421.09199999999987</v>
      </c>
      <c r="CQ121" s="783">
        <f t="shared" si="348"/>
        <v>20.886035976551298</v>
      </c>
      <c r="CR121" s="954"/>
      <c r="CS121" s="954"/>
      <c r="CT121" s="864">
        <f>CT92-CT111</f>
        <v>479.55900000000048</v>
      </c>
      <c r="CU121" s="783">
        <f t="shared" si="349"/>
        <v>13.88461428856418</v>
      </c>
      <c r="CV121" s="954"/>
      <c r="CW121" s="794"/>
      <c r="CX121" s="864">
        <f>CX92-CX111</f>
        <v>528.10909000000061</v>
      </c>
      <c r="CY121" s="783">
        <f t="shared" si="350"/>
        <v>10.123903419600101</v>
      </c>
      <c r="CZ121" s="954"/>
      <c r="DA121" s="794"/>
      <c r="DB121" s="948">
        <f>DB92-DB111</f>
        <v>549.33500000000004</v>
      </c>
      <c r="DC121" s="783">
        <f t="shared" si="351"/>
        <v>4.0192282999710116</v>
      </c>
      <c r="DD121" s="954"/>
      <c r="DE121" s="794"/>
      <c r="DF121" s="864">
        <f>DF92-DF111</f>
        <v>562.17399999999964</v>
      </c>
      <c r="DG121" s="783">
        <f t="shared" si="352"/>
        <v>2.3371895109540741</v>
      </c>
      <c r="DH121" s="954"/>
      <c r="DI121" s="794"/>
      <c r="DJ121" s="864">
        <f>DJ92-DJ111</f>
        <v>552.95700000000056</v>
      </c>
      <c r="DK121" s="783">
        <f t="shared" si="353"/>
        <v>-1.6395279753242065</v>
      </c>
      <c r="DL121" s="954"/>
      <c r="DM121" s="794"/>
      <c r="DN121" s="864">
        <f>DN92-DN111</f>
        <v>694.63083056550079</v>
      </c>
      <c r="DO121" s="783">
        <f t="shared" si="354"/>
        <v>25.62112977419584</v>
      </c>
      <c r="DP121" s="954"/>
      <c r="DQ121" s="794"/>
      <c r="DR121" s="794"/>
      <c r="DS121" s="794"/>
      <c r="DT121" s="794"/>
      <c r="DU121" s="794"/>
      <c r="DV121" s="794"/>
      <c r="DW121" s="794"/>
      <c r="DX121" s="794"/>
      <c r="DY121" s="794"/>
      <c r="DZ121" s="794"/>
      <c r="EA121" s="794"/>
      <c r="EB121" s="794"/>
    </row>
    <row r="122" spans="1:132">
      <c r="A122" s="487" t="str">
        <f>$A$12</f>
        <v>3Q</v>
      </c>
      <c r="B122" s="487" t="str">
        <f>$B$12</f>
        <v>Oct</v>
      </c>
      <c r="C122" s="487"/>
      <c r="D122" s="864"/>
      <c r="E122" s="487"/>
      <c r="F122" s="864">
        <f>F93-F112</f>
        <v>29.841000000000008</v>
      </c>
      <c r="G122" s="783"/>
      <c r="H122" s="487"/>
      <c r="I122" s="487"/>
      <c r="J122" s="864">
        <f>J93-J112</f>
        <v>27.431000000000029</v>
      </c>
      <c r="K122" s="783">
        <f t="shared" si="327"/>
        <v>-8.0761368586842899</v>
      </c>
      <c r="L122" s="487"/>
      <c r="M122" s="487"/>
      <c r="N122" s="948">
        <f>N93-N112</f>
        <v>40.514000000000038</v>
      </c>
      <c r="O122" s="783">
        <f t="shared" si="328"/>
        <v>47.694214574751179</v>
      </c>
      <c r="P122" s="487"/>
      <c r="Q122" s="487"/>
      <c r="R122" s="948">
        <f>R93-R112</f>
        <v>43.32699999999997</v>
      </c>
      <c r="S122" s="783">
        <f t="shared" si="329"/>
        <v>6.9432788665644729</v>
      </c>
      <c r="T122" s="487"/>
      <c r="U122" s="487"/>
      <c r="V122" s="948">
        <f>V93-V112</f>
        <v>32.547000000000061</v>
      </c>
      <c r="W122" s="783">
        <f t="shared" si="330"/>
        <v>-24.880559466383357</v>
      </c>
      <c r="X122" s="487"/>
      <c r="Y122" s="487"/>
      <c r="Z122" s="948">
        <f>Z93-Z112</f>
        <v>26.66</v>
      </c>
      <c r="AA122" s="783">
        <f t="shared" si="331"/>
        <v>-18.087688573447778</v>
      </c>
      <c r="AB122" s="783"/>
      <c r="AC122" s="487"/>
      <c r="AD122" s="864">
        <f>AD93-AD112</f>
        <v>81.590000000000131</v>
      </c>
      <c r="AE122" s="783">
        <f t="shared" si="332"/>
        <v>206.03900975243857</v>
      </c>
      <c r="AF122" s="487"/>
      <c r="AG122" s="487"/>
      <c r="AH122" s="864">
        <f>AH93-AH112</f>
        <v>106.94200000000009</v>
      </c>
      <c r="AI122" s="783">
        <f t="shared" si="333"/>
        <v>31.072435347468954</v>
      </c>
      <c r="AJ122" s="487"/>
      <c r="AK122" s="487"/>
      <c r="AL122" s="864">
        <f>AL93-AL112</f>
        <v>128.33699999999993</v>
      </c>
      <c r="AM122" s="783">
        <f t="shared" si="334"/>
        <v>20.006171569635711</v>
      </c>
      <c r="AN122" s="487"/>
      <c r="AO122" s="487"/>
      <c r="AP122" s="862">
        <f>AP93-AP112</f>
        <v>151.7170000000001</v>
      </c>
      <c r="AQ122" s="783">
        <f t="shared" si="335"/>
        <v>18.217661313573007</v>
      </c>
      <c r="AR122" s="487"/>
      <c r="AS122" s="487"/>
      <c r="AT122" s="864">
        <f>AT93-AT112</f>
        <v>158.274</v>
      </c>
      <c r="AU122" s="783">
        <f t="shared" si="336"/>
        <v>4.3218624148908091</v>
      </c>
      <c r="AV122" s="487"/>
      <c r="AW122" s="487"/>
      <c r="AX122" s="864">
        <f>AX93-AX112</f>
        <v>149.49799999999968</v>
      </c>
      <c r="AY122" s="783">
        <f t="shared" si="337"/>
        <v>-5.5448146884518712</v>
      </c>
      <c r="AZ122" s="487"/>
      <c r="BA122" s="487"/>
      <c r="BB122" s="864">
        <f>BB93-BB112</f>
        <v>147.35499999999985</v>
      </c>
      <c r="BC122" s="783">
        <f t="shared" si="338"/>
        <v>-1.4334639928292203</v>
      </c>
      <c r="BD122" s="487"/>
      <c r="BE122" s="487"/>
      <c r="BF122" s="864">
        <f>BF93-BF112</f>
        <v>169.81</v>
      </c>
      <c r="BG122" s="783">
        <f t="shared" si="339"/>
        <v>15.238709239591586</v>
      </c>
      <c r="BH122" s="487"/>
      <c r="BI122" s="487"/>
      <c r="BJ122" s="864">
        <f>BJ93-BJ112</f>
        <v>184.44200000000006</v>
      </c>
      <c r="BK122" s="783">
        <f t="shared" si="340"/>
        <v>8.6166892409163651</v>
      </c>
      <c r="BL122" s="487"/>
      <c r="BM122" s="487"/>
      <c r="BN122" s="864">
        <f>BN93-BN112</f>
        <v>155.3249999999997</v>
      </c>
      <c r="BO122" s="783">
        <f t="shared" si="341"/>
        <v>-15.786534520337202</v>
      </c>
      <c r="BP122" s="487"/>
      <c r="BQ122" s="487"/>
      <c r="BR122" s="864">
        <f>BR93-BR112+(BR74*BS112/100)</f>
        <v>230.81900000000022</v>
      </c>
      <c r="BS122" s="783">
        <f t="shared" si="342"/>
        <v>48.603895058748201</v>
      </c>
      <c r="BT122" s="487"/>
      <c r="BU122" s="487"/>
      <c r="BV122" s="864">
        <f>BV93-BV112+(BV74*(1-BW112/100))</f>
        <v>251.26099999999991</v>
      </c>
      <c r="BW122" s="783">
        <f t="shared" si="343"/>
        <v>8.8562899934579331</v>
      </c>
      <c r="BX122" s="567"/>
      <c r="BY122" s="567"/>
      <c r="BZ122" s="864">
        <f>BZ93-BZ112</f>
        <v>249.84699999999998</v>
      </c>
      <c r="CA122" s="783">
        <f t="shared" si="344"/>
        <v>-0.56276143134029732</v>
      </c>
      <c r="CB122" s="567"/>
      <c r="CC122" s="567"/>
      <c r="CD122" s="864">
        <f>CD93-CD112</f>
        <v>347.79899999999986</v>
      </c>
      <c r="CE122" s="783">
        <f t="shared" si="345"/>
        <v>39.204793333520072</v>
      </c>
      <c r="CF122" s="567"/>
      <c r="CG122" s="567"/>
      <c r="CH122" s="864">
        <f>CH93-CH112</f>
        <v>372.30899999999974</v>
      </c>
      <c r="CI122" s="783">
        <f t="shared" si="346"/>
        <v>7.047173798659534</v>
      </c>
      <c r="CJ122" s="567"/>
      <c r="CK122" s="567"/>
      <c r="CL122" s="864">
        <f>CL93-CL112</f>
        <v>406.48699999999917</v>
      </c>
      <c r="CM122" s="783">
        <f t="shared" si="347"/>
        <v>9.1800090784803565</v>
      </c>
      <c r="CN122" s="567"/>
      <c r="CO122" s="567"/>
      <c r="CP122" s="864">
        <f>CP93-CP112</f>
        <v>461.55099999999925</v>
      </c>
      <c r="CQ122" s="783">
        <f t="shared" si="348"/>
        <v>13.546312674206117</v>
      </c>
      <c r="CR122" s="567"/>
      <c r="CS122" s="567"/>
      <c r="CT122" s="864">
        <f>CT93-CT112</f>
        <v>544.00312000000019</v>
      </c>
      <c r="CU122" s="783">
        <f t="shared" si="349"/>
        <v>17.86414069084481</v>
      </c>
      <c r="CV122" s="567"/>
      <c r="CW122" s="794"/>
      <c r="CX122" s="864">
        <f>CX93-CX112</f>
        <v>594.95699999999988</v>
      </c>
      <c r="CY122" s="783">
        <f t="shared" si="350"/>
        <v>9.3664683393726911</v>
      </c>
      <c r="CZ122" s="567"/>
      <c r="DA122" s="794"/>
      <c r="DB122" s="948">
        <f>DB93-DB112</f>
        <v>587.2559999999994</v>
      </c>
      <c r="DC122" s="783">
        <f t="shared" si="351"/>
        <v>-1.294379257660716</v>
      </c>
      <c r="DD122" s="567"/>
      <c r="DE122" s="794"/>
      <c r="DF122" s="864">
        <f>DF93-DF112</f>
        <v>602.04198000000042</v>
      </c>
      <c r="DG122" s="783">
        <f t="shared" si="352"/>
        <v>2.5178082471700725</v>
      </c>
      <c r="DH122" s="567"/>
      <c r="DI122" s="794"/>
      <c r="DJ122" s="864">
        <f>DJ93-DJ112</f>
        <v>641.43599999999878</v>
      </c>
      <c r="DK122" s="783">
        <f t="shared" si="353"/>
        <v>6.5434008439076541</v>
      </c>
      <c r="DL122" s="567"/>
      <c r="DM122" s="794"/>
      <c r="DN122" s="864">
        <f>DN93-DN112</f>
        <v>791.87334589801696</v>
      </c>
      <c r="DO122" s="783">
        <f t="shared" si="354"/>
        <v>23.453212151799786</v>
      </c>
      <c r="DP122" s="567"/>
      <c r="DQ122" s="794"/>
      <c r="DR122" s="794"/>
      <c r="DS122" s="794"/>
      <c r="DT122" s="920">
        <v>0.38500000000000001</v>
      </c>
      <c r="DU122" s="794"/>
      <c r="DV122" s="794"/>
      <c r="DW122" s="794"/>
      <c r="DX122" s="794"/>
      <c r="DY122" s="794"/>
      <c r="DZ122" s="794"/>
      <c r="EA122" s="794"/>
      <c r="EB122" s="794"/>
    </row>
    <row r="123" spans="1:132">
      <c r="A123" s="487" t="str">
        <f>$A$13</f>
        <v>4Q</v>
      </c>
      <c r="B123" s="487" t="str">
        <f>$B$13</f>
        <v>Jan</v>
      </c>
      <c r="C123" s="499"/>
      <c r="D123" s="937"/>
      <c r="E123" s="499"/>
      <c r="F123" s="937">
        <f>F94-F113</f>
        <v>15.283999999999986</v>
      </c>
      <c r="G123" s="783"/>
      <c r="H123" s="487"/>
      <c r="I123" s="487"/>
      <c r="J123" s="937">
        <f>J94-J113</f>
        <v>14.034000000000306</v>
      </c>
      <c r="K123" s="783">
        <f t="shared" si="327"/>
        <v>-8.1784873069856161</v>
      </c>
      <c r="L123" s="487"/>
      <c r="M123" s="487"/>
      <c r="N123" s="949">
        <f>N94-N113</f>
        <v>29.35100000000001</v>
      </c>
      <c r="O123" s="783">
        <f t="shared" si="328"/>
        <v>109.14208351146763</v>
      </c>
      <c r="P123" s="487"/>
      <c r="Q123" s="487"/>
      <c r="R123" s="949">
        <f>R94-R113</f>
        <v>28.786999999999995</v>
      </c>
      <c r="S123" s="783">
        <f t="shared" si="329"/>
        <v>-1.9215699635447336</v>
      </c>
      <c r="T123" s="487"/>
      <c r="U123" s="487"/>
      <c r="V123" s="949">
        <f>V94-V113</f>
        <v>15.476999999999986</v>
      </c>
      <c r="W123" s="783">
        <f t="shared" si="330"/>
        <v>-46.236148261368015</v>
      </c>
      <c r="X123" s="487"/>
      <c r="Y123" s="487"/>
      <c r="Z123" s="949">
        <f>Z94-Z113</f>
        <v>7.9820000000001112</v>
      </c>
      <c r="AA123" s="783">
        <f t="shared" si="331"/>
        <v>-48.426697680428255</v>
      </c>
      <c r="AB123" s="783"/>
      <c r="AC123" s="487"/>
      <c r="AD123" s="937">
        <f>AD94-AD113</f>
        <v>75.521999999999963</v>
      </c>
      <c r="AE123" s="783">
        <f t="shared" si="332"/>
        <v>846.15384615383255</v>
      </c>
      <c r="AF123" s="487"/>
      <c r="AG123" s="487"/>
      <c r="AH123" s="937">
        <f>AH94-AH113</f>
        <v>98.611000000000104</v>
      </c>
      <c r="AI123" s="783">
        <f t="shared" si="333"/>
        <v>30.57254839649395</v>
      </c>
      <c r="AJ123" s="487"/>
      <c r="AK123" s="487"/>
      <c r="AL123" s="937">
        <f>AL94-AL113</f>
        <v>136.33500000000021</v>
      </c>
      <c r="AM123" s="783">
        <f t="shared" si="334"/>
        <v>38.255367048300968</v>
      </c>
      <c r="AN123" s="487"/>
      <c r="AO123" s="487"/>
      <c r="AP123" s="955">
        <f>AP94-AP113</f>
        <v>136.95000000000022</v>
      </c>
      <c r="AQ123" s="783">
        <f t="shared" si="335"/>
        <v>0.45109472989328658</v>
      </c>
      <c r="AR123" s="487"/>
      <c r="AS123" s="487"/>
      <c r="AT123" s="937">
        <f>AT94-AT113</f>
        <v>135.1789999999998</v>
      </c>
      <c r="AU123" s="783">
        <f t="shared" si="336"/>
        <v>-1.2931726907633556</v>
      </c>
      <c r="AV123" s="487"/>
      <c r="AW123" s="487"/>
      <c r="AX123" s="937">
        <f>AX94-AX113</f>
        <v>155.31999999999977</v>
      </c>
      <c r="AY123" s="783">
        <f t="shared" si="337"/>
        <v>14.899503621124577</v>
      </c>
      <c r="AZ123" s="487"/>
      <c r="BA123" s="487"/>
      <c r="BB123" s="937">
        <f>BB94-BB113</f>
        <v>154.30300000000034</v>
      </c>
      <c r="BC123" s="783">
        <f t="shared" si="338"/>
        <v>-0.65477723409698152</v>
      </c>
      <c r="BD123" s="487"/>
      <c r="BE123" s="487"/>
      <c r="BF123" s="937">
        <f>BF94-BF113</f>
        <v>226.35899999999981</v>
      </c>
      <c r="BG123" s="783">
        <f t="shared" si="339"/>
        <v>46.697731087535118</v>
      </c>
      <c r="BH123" s="487"/>
      <c r="BI123" s="487"/>
      <c r="BJ123" s="937">
        <f>BJ94-BJ113</f>
        <v>164.9800000000005</v>
      </c>
      <c r="BK123" s="783">
        <f t="shared" si="340"/>
        <v>-27.115776266903179</v>
      </c>
      <c r="BL123" s="487"/>
      <c r="BM123" s="487"/>
      <c r="BN123" s="937">
        <f>BN94-BN113</f>
        <v>288.70300000000032</v>
      </c>
      <c r="BO123" s="783">
        <f t="shared" si="341"/>
        <v>74.992726391077369</v>
      </c>
      <c r="BP123" s="487"/>
      <c r="BQ123" s="487"/>
      <c r="BR123" s="937">
        <f>BR94-BR113+(BR75*(1-BS113/100))</f>
        <v>246.42622444543332</v>
      </c>
      <c r="BS123" s="783">
        <f t="shared" si="342"/>
        <v>-14.643691113208712</v>
      </c>
      <c r="BT123" s="487"/>
      <c r="BU123" s="487"/>
      <c r="BV123" s="937">
        <f>BV94-BV113+(BV75*(1-0.43))</f>
        <v>293.09000000000015</v>
      </c>
      <c r="BW123" s="783">
        <f t="shared" si="343"/>
        <v>18.936205210943235</v>
      </c>
      <c r="BX123" s="487"/>
      <c r="BY123" s="487"/>
      <c r="BZ123" s="937">
        <f>BZ94-BZ113</f>
        <v>236.36099999999948</v>
      </c>
      <c r="CA123" s="783">
        <f t="shared" si="344"/>
        <v>-19.355488075335437</v>
      </c>
      <c r="CB123" s="487"/>
      <c r="CC123" s="487"/>
      <c r="CD123" s="937">
        <f>CD94-CD113</f>
        <v>394.99800000000022</v>
      </c>
      <c r="CE123" s="783">
        <f t="shared" si="345"/>
        <v>67.11640245218166</v>
      </c>
      <c r="CF123" s="487"/>
      <c r="CG123" s="487"/>
      <c r="CH123" s="937">
        <f>CH94-CH113</f>
        <v>418.61470000000008</v>
      </c>
      <c r="CI123" s="783">
        <f t="shared" si="346"/>
        <v>5.978941665527393</v>
      </c>
      <c r="CJ123" s="487"/>
      <c r="CK123" s="487"/>
      <c r="CL123" s="937">
        <f>CL94-CL113</f>
        <v>475.31400000000008</v>
      </c>
      <c r="CM123" s="783">
        <f t="shared" si="347"/>
        <v>13.544507634347291</v>
      </c>
      <c r="CN123" s="487"/>
      <c r="CO123" s="487"/>
      <c r="CP123" s="937">
        <f>CP94-CP113</f>
        <v>604.84400000000051</v>
      </c>
      <c r="CQ123" s="783">
        <f t="shared" si="348"/>
        <v>27.251459035500837</v>
      </c>
      <c r="CR123" s="487"/>
      <c r="CS123" s="487"/>
      <c r="CT123" s="937">
        <f>CT94-CT113</f>
        <v>582.29200000000003</v>
      </c>
      <c r="CU123" s="783">
        <f t="shared" si="349"/>
        <v>-3.7285647208206485</v>
      </c>
      <c r="CV123" s="487"/>
      <c r="CW123" s="794"/>
      <c r="CX123" s="937">
        <f>CX94-CX113</f>
        <v>648.22999999999934</v>
      </c>
      <c r="CY123" s="783">
        <f t="shared" si="350"/>
        <v>11.323871871844249</v>
      </c>
      <c r="CZ123" s="487"/>
      <c r="DA123" s="794"/>
      <c r="DB123" s="937">
        <f>DB94-DB113</f>
        <v>666.4660000000008</v>
      </c>
      <c r="DC123" s="783">
        <f t="shared" si="351"/>
        <v>2.8131990188669853</v>
      </c>
      <c r="DD123" s="487"/>
      <c r="DE123" s="794"/>
      <c r="DF123" s="937">
        <f>DF94-DF113</f>
        <v>677.92800000000079</v>
      </c>
      <c r="DG123" s="783">
        <f t="shared" si="352"/>
        <v>1.7198176651171959</v>
      </c>
      <c r="DH123" s="487"/>
      <c r="DI123" s="794"/>
      <c r="DJ123" s="937">
        <f>DJ94-DJ113</f>
        <v>877.27599999999961</v>
      </c>
      <c r="DK123" s="783">
        <f t="shared" si="353"/>
        <v>29.405482588121234</v>
      </c>
      <c r="DL123" s="487"/>
      <c r="DM123" s="794"/>
      <c r="DN123" s="937">
        <f>DN94-DN113</f>
        <v>890.49494036959959</v>
      </c>
      <c r="DO123" s="783">
        <f t="shared" si="354"/>
        <v>1.506816597011662</v>
      </c>
      <c r="DP123" s="487"/>
      <c r="DQ123" s="794"/>
      <c r="DR123" s="794"/>
      <c r="DS123" s="794"/>
      <c r="DT123" s="794">
        <v>48</v>
      </c>
      <c r="DU123" s="794"/>
      <c r="DV123" s="794"/>
      <c r="DW123" s="794"/>
      <c r="DX123" s="794"/>
      <c r="DY123" s="794"/>
      <c r="DZ123" s="794"/>
      <c r="EA123" s="794"/>
      <c r="EB123" s="794"/>
    </row>
    <row r="124" spans="1:132">
      <c r="A124" s="487"/>
      <c r="B124" s="487" t="str">
        <f>$B$14</f>
        <v>Year</v>
      </c>
      <c r="C124" s="487"/>
      <c r="D124" s="859"/>
      <c r="E124" s="487"/>
      <c r="F124" s="859">
        <f>SUM(F120:F123)</f>
        <v>74.127999999999957</v>
      </c>
      <c r="G124" s="783"/>
      <c r="H124" s="487"/>
      <c r="I124" s="487"/>
      <c r="J124" s="859">
        <f>SUM(J120:J123)</f>
        <v>70.114000000000416</v>
      </c>
      <c r="K124" s="783">
        <f t="shared" si="327"/>
        <v>-5.4149579106404389</v>
      </c>
      <c r="L124" s="487"/>
      <c r="M124" s="487"/>
      <c r="N124" s="862">
        <f>SUM(N120:N123)</f>
        <v>104.04399999999995</v>
      </c>
      <c r="O124" s="783">
        <f t="shared" si="328"/>
        <v>48.392617736827638</v>
      </c>
      <c r="P124" s="487"/>
      <c r="Q124" s="487"/>
      <c r="R124" s="859">
        <f>SUM(R120:R123)</f>
        <v>111.26599999999995</v>
      </c>
      <c r="S124" s="783">
        <f t="shared" si="329"/>
        <v>6.9412940678943436</v>
      </c>
      <c r="T124" s="487"/>
      <c r="U124" s="487"/>
      <c r="V124" s="859">
        <f>SUM(V120:V123)</f>
        <v>84.480000000000103</v>
      </c>
      <c r="W124" s="783">
        <f t="shared" si="330"/>
        <v>-24.07384106555449</v>
      </c>
      <c r="X124" s="487"/>
      <c r="Y124" s="487"/>
      <c r="Z124" s="859">
        <f>SUM(Z120:Z123)</f>
        <v>51.589000000000055</v>
      </c>
      <c r="AA124" s="783">
        <f t="shared" si="331"/>
        <v>-38.933475378787882</v>
      </c>
      <c r="AB124" s="783"/>
      <c r="AC124" s="487"/>
      <c r="AD124" s="859">
        <f>SUM(AD120:AD123)</f>
        <v>213.82600000000019</v>
      </c>
      <c r="AE124" s="783">
        <f t="shared" si="332"/>
        <v>314.47983097171868</v>
      </c>
      <c r="AF124" s="487"/>
      <c r="AG124" s="487"/>
      <c r="AH124" s="859">
        <f>SUM(AH120:AH123)</f>
        <v>306.59200000000044</v>
      </c>
      <c r="AI124" s="783">
        <f t="shared" si="333"/>
        <v>43.383872868594175</v>
      </c>
      <c r="AJ124" s="487"/>
      <c r="AK124" s="487"/>
      <c r="AL124" s="862">
        <f>SUM(AL120:AL123)</f>
        <v>432.9020000000001</v>
      </c>
      <c r="AM124" s="783">
        <f t="shared" si="334"/>
        <v>41.198074313745778</v>
      </c>
      <c r="AN124" s="487"/>
      <c r="AO124" s="487"/>
      <c r="AP124" s="862">
        <f>SUM(AP120:AP123)</f>
        <v>526.82200000000057</v>
      </c>
      <c r="AQ124" s="783">
        <f t="shared" si="335"/>
        <v>21.695441462502018</v>
      </c>
      <c r="AR124" s="487"/>
      <c r="AS124" s="487"/>
      <c r="AT124" s="859">
        <f>SUM(AT120:AT123)</f>
        <v>538.0659999999998</v>
      </c>
      <c r="AU124" s="783">
        <f t="shared" si="336"/>
        <v>2.1343072233124705</v>
      </c>
      <c r="AV124" s="487"/>
      <c r="AW124" s="487"/>
      <c r="AX124" s="859">
        <f>SUM(AX120:AX123)</f>
        <v>540.39699999999925</v>
      </c>
      <c r="AY124" s="783">
        <f t="shared" si="337"/>
        <v>0.43321822973378943</v>
      </c>
      <c r="AZ124" s="487"/>
      <c r="BA124" s="487"/>
      <c r="BB124" s="859">
        <f>SUM(BB120:BB123)</f>
        <v>578.38800000000015</v>
      </c>
      <c r="BC124" s="783">
        <f t="shared" si="338"/>
        <v>7.0302018701067892</v>
      </c>
      <c r="BD124" s="487"/>
      <c r="BE124" s="487"/>
      <c r="BF124" s="859">
        <f>SUM(BF120:BF123)</f>
        <v>609.41199999999969</v>
      </c>
      <c r="BG124" s="783">
        <f t="shared" si="339"/>
        <v>5.3638733860314369</v>
      </c>
      <c r="BH124" s="487"/>
      <c r="BI124" s="487"/>
      <c r="BJ124" s="859">
        <f>SUM(BJ120:BJ123)</f>
        <v>609.69900000000064</v>
      </c>
      <c r="BK124" s="783">
        <f t="shared" si="340"/>
        <v>4.7094576411521594E-2</v>
      </c>
      <c r="BL124" s="487"/>
      <c r="BM124" s="487"/>
      <c r="BN124" s="859">
        <f>SUM(BN120:BN123)</f>
        <v>690.42300000000023</v>
      </c>
      <c r="BO124" s="783">
        <f t="shared" si="341"/>
        <v>13.239975791333025</v>
      </c>
      <c r="BP124" s="487"/>
      <c r="BQ124" s="487"/>
      <c r="BR124" s="859">
        <f>SUM(BR120:BR123)</f>
        <v>779.93122444543337</v>
      </c>
      <c r="BS124" s="783">
        <f t="shared" si="342"/>
        <v>12.964258787067218</v>
      </c>
      <c r="BT124" s="487"/>
      <c r="BU124" s="487"/>
      <c r="BV124" s="859">
        <f>SUM(BV120:BV123)</f>
        <v>901.89935684372654</v>
      </c>
      <c r="BW124" s="783">
        <f t="shared" si="343"/>
        <v>15.638318940880724</v>
      </c>
      <c r="BX124" s="487"/>
      <c r="BY124" s="487"/>
      <c r="BZ124" s="859">
        <f>SUM(BZ120:BZ123)</f>
        <v>896.28099999999972</v>
      </c>
      <c r="CA124" s="783">
        <f t="shared" si="344"/>
        <v>-0.62294720592647179</v>
      </c>
      <c r="CB124" s="487"/>
      <c r="CC124" s="487"/>
      <c r="CD124" s="859">
        <f>SUM(CD120:CD123)</f>
        <v>1213.5720000000003</v>
      </c>
      <c r="CE124" s="783">
        <f t="shared" si="345"/>
        <v>35.400839692016305</v>
      </c>
      <c r="CF124" s="487"/>
      <c r="CG124" s="487"/>
      <c r="CH124" s="864">
        <f>SUM(CH120:CH123)</f>
        <v>1420.3539499999997</v>
      </c>
      <c r="CI124" s="783">
        <f t="shared" si="346"/>
        <v>17.039116756154506</v>
      </c>
      <c r="CJ124" s="487"/>
      <c r="CK124" s="487"/>
      <c r="CL124" s="864">
        <f>SUM(CL120:CL123)</f>
        <v>1538.6591229999997</v>
      </c>
      <c r="CM124" s="783">
        <f t="shared" si="347"/>
        <v>8.3292740517249229</v>
      </c>
      <c r="CN124" s="487"/>
      <c r="CO124" s="487"/>
      <c r="CP124" s="864">
        <f>SUM(CP120:CP123)</f>
        <v>1906.6869999999999</v>
      </c>
      <c r="CQ124" s="783">
        <f t="shared" si="348"/>
        <v>23.918740122402028</v>
      </c>
      <c r="CR124" s="487"/>
      <c r="CS124" s="487"/>
      <c r="CT124" s="864">
        <f>SUM(CT120:CT123)</f>
        <v>2058.7441200000007</v>
      </c>
      <c r="CU124" s="783">
        <f t="shared" si="349"/>
        <v>7.9749387288003071</v>
      </c>
      <c r="CV124" s="487"/>
      <c r="CW124" s="794"/>
      <c r="CX124" s="864">
        <f>SUM(CX120:CX123)</f>
        <v>2225.6130900000003</v>
      </c>
      <c r="CY124" s="783">
        <f t="shared" si="350"/>
        <v>8.1053768838450715</v>
      </c>
      <c r="CZ124" s="487"/>
      <c r="DA124" s="794"/>
      <c r="DB124" s="864">
        <f>SUM(DB120:DB123)</f>
        <v>2277.6579999999999</v>
      </c>
      <c r="DC124" s="783">
        <f t="shared" si="351"/>
        <v>2.3384527271988587</v>
      </c>
      <c r="DD124" s="487"/>
      <c r="DE124" s="794"/>
      <c r="DF124" s="864">
        <f>SUM(DF120:DF123)</f>
        <v>2350.4899800000007</v>
      </c>
      <c r="DG124" s="783">
        <f t="shared" si="352"/>
        <v>3.1976697116073094</v>
      </c>
      <c r="DH124" s="487"/>
      <c r="DI124" s="794"/>
      <c r="DJ124" s="864">
        <f>SUM(DJ120:DJ123)</f>
        <v>2607.9479999999994</v>
      </c>
      <c r="DK124" s="783">
        <f t="shared" si="353"/>
        <v>10.95337662320086</v>
      </c>
      <c r="DL124" s="487"/>
      <c r="DM124" s="794"/>
      <c r="DN124" s="864">
        <f>SUM(DN120:DN123)</f>
        <v>3024.977641759901</v>
      </c>
      <c r="DO124" s="783">
        <f t="shared" si="354"/>
        <v>15.990719207587789</v>
      </c>
      <c r="DP124" s="487"/>
      <c r="DQ124" s="794"/>
      <c r="DR124" s="794"/>
      <c r="DS124" s="794"/>
      <c r="DT124" s="794">
        <v>665</v>
      </c>
      <c r="DU124" s="794"/>
      <c r="DV124" s="794"/>
      <c r="DW124" s="794"/>
      <c r="DX124" s="794"/>
      <c r="DY124" s="794"/>
      <c r="DZ124" s="794"/>
      <c r="EA124" s="794"/>
      <c r="EB124" s="794"/>
    </row>
    <row r="125" spans="1:132" hidden="1" outlineLevel="1">
      <c r="A125" s="487" t="str">
        <f>$A$15</f>
        <v>6 Mos</v>
      </c>
      <c r="B125" s="487"/>
      <c r="C125" s="487"/>
      <c r="D125" s="864"/>
      <c r="E125" s="487"/>
      <c r="F125" s="864">
        <f>SUM(F120:F121)</f>
        <v>29.002999999999954</v>
      </c>
      <c r="G125" s="783"/>
      <c r="H125" s="487"/>
      <c r="I125" s="487"/>
      <c r="J125" s="864">
        <f>SUM(J120:J121)</f>
        <v>28.649000000000079</v>
      </c>
      <c r="K125" s="783">
        <f t="shared" si="327"/>
        <v>-1.2205633899937118</v>
      </c>
      <c r="L125" s="487"/>
      <c r="M125" s="487"/>
      <c r="N125" s="864">
        <f>SUM(N120:N121)</f>
        <v>34.178999999999903</v>
      </c>
      <c r="O125" s="783">
        <f t="shared" si="328"/>
        <v>19.3025934587588</v>
      </c>
      <c r="P125" s="487"/>
      <c r="Q125" s="487"/>
      <c r="R125" s="864">
        <f>SUM(R120:R121)</f>
        <v>39.151999999999994</v>
      </c>
      <c r="S125" s="783">
        <f t="shared" si="329"/>
        <v>14.549869803095783</v>
      </c>
      <c r="T125" s="487"/>
      <c r="U125" s="487"/>
      <c r="V125" s="864">
        <f>SUM(V120:V121)</f>
        <v>36.456000000000053</v>
      </c>
      <c r="W125" s="783">
        <f t="shared" si="330"/>
        <v>-6.8859828361257147</v>
      </c>
      <c r="X125" s="487"/>
      <c r="Y125" s="487"/>
      <c r="Z125" s="864">
        <f>SUM(Z120:Z121)</f>
        <v>16.946999999999946</v>
      </c>
      <c r="AA125" s="783">
        <f t="shared" si="331"/>
        <v>-53.513824884792839</v>
      </c>
      <c r="AB125" s="783"/>
      <c r="AC125" s="487"/>
      <c r="AD125" s="864">
        <f>SUM(AD120:AD121)</f>
        <v>56.714000000000105</v>
      </c>
      <c r="AE125" s="783">
        <f t="shared" si="332"/>
        <v>234.65510119785381</v>
      </c>
      <c r="AF125" s="487"/>
      <c r="AG125" s="487"/>
      <c r="AH125" s="864">
        <f>SUM(AH120:AH121)</f>
        <v>101.03900000000027</v>
      </c>
      <c r="AI125" s="783">
        <f t="shared" si="333"/>
        <v>78.15530556829016</v>
      </c>
      <c r="AJ125" s="487"/>
      <c r="AK125" s="487"/>
      <c r="AL125" s="864">
        <f>SUM(AL120:AL121)</f>
        <v>168.23</v>
      </c>
      <c r="AM125" s="783">
        <f t="shared" si="334"/>
        <v>66.500064331594274</v>
      </c>
      <c r="AN125" s="487"/>
      <c r="AO125" s="487"/>
      <c r="AP125" s="864">
        <f>SUM(AP120:AP121)</f>
        <v>238.15500000000026</v>
      </c>
      <c r="AQ125" s="783">
        <f t="shared" si="335"/>
        <v>41.56511918207233</v>
      </c>
      <c r="AR125" s="487"/>
      <c r="AS125" s="487"/>
      <c r="AT125" s="864">
        <f>SUM(AT120:AT121)</f>
        <v>244.613</v>
      </c>
      <c r="AU125" s="783">
        <f t="shared" si="336"/>
        <v>2.7116793684784035</v>
      </c>
      <c r="AV125" s="487"/>
      <c r="AW125" s="487"/>
      <c r="AX125" s="864">
        <f>SUM(AX120:AX121)</f>
        <v>235.57899999999989</v>
      </c>
      <c r="AY125" s="783">
        <f t="shared" si="337"/>
        <v>-3.6931806567926051</v>
      </c>
      <c r="AZ125" s="487"/>
      <c r="BA125" s="487"/>
      <c r="BB125" s="864">
        <f>SUM(BB120:BB121)</f>
        <v>276.73</v>
      </c>
      <c r="BC125" s="783">
        <f t="shared" si="338"/>
        <v>17.468025588019366</v>
      </c>
      <c r="BD125" s="487"/>
      <c r="BE125" s="487"/>
      <c r="BF125" s="864">
        <f>SUM(BF120:BF121)</f>
        <v>213.24299999999988</v>
      </c>
      <c r="BG125" s="783">
        <f t="shared" si="339"/>
        <v>-22.941856683409867</v>
      </c>
      <c r="BH125" s="487"/>
      <c r="BI125" s="487"/>
      <c r="BJ125" s="864">
        <f>SUM(BJ120:BJ121)</f>
        <v>260.27700000000004</v>
      </c>
      <c r="BK125" s="783">
        <f t="shared" si="340"/>
        <v>22.056527060677332</v>
      </c>
      <c r="BL125" s="487"/>
      <c r="BM125" s="487"/>
      <c r="BN125" s="864">
        <f>SUM(BN120:BN121)</f>
        <v>246.39500000000021</v>
      </c>
      <c r="BO125" s="783">
        <f t="shared" si="341"/>
        <v>-5.3335484887254037</v>
      </c>
      <c r="BP125" s="487"/>
      <c r="BQ125" s="487"/>
      <c r="BR125" s="864">
        <f>SUM(BR120:BR121)</f>
        <v>302.68599999999986</v>
      </c>
      <c r="BS125" s="783">
        <f t="shared" si="342"/>
        <v>22.84583696909419</v>
      </c>
      <c r="BT125" s="487"/>
      <c r="BU125" s="487"/>
      <c r="BV125" s="864">
        <f>SUM(BV120:BV121)</f>
        <v>357.54835684372642</v>
      </c>
      <c r="BW125" s="783">
        <f t="shared" si="343"/>
        <v>18.12517157837712</v>
      </c>
      <c r="BX125" s="487"/>
      <c r="BY125" s="487"/>
      <c r="BZ125" s="864">
        <f>SUM(BZ120:BZ121)</f>
        <v>410.07300000000026</v>
      </c>
      <c r="CA125" s="783">
        <f t="shared" si="344"/>
        <v>14.690220819342414</v>
      </c>
      <c r="CB125" s="487"/>
      <c r="CC125" s="487"/>
      <c r="CD125" s="864">
        <f>SUM(CD120:CD121)</f>
        <v>470.77500000000032</v>
      </c>
      <c r="CE125" s="783">
        <f t="shared" si="345"/>
        <v>14.802730245590423</v>
      </c>
      <c r="CF125" s="487"/>
      <c r="CG125" s="487"/>
      <c r="CH125" s="864">
        <f>SUM(CH120:CH121)</f>
        <v>629.43024999999989</v>
      </c>
      <c r="CI125" s="783">
        <f t="shared" si="346"/>
        <v>33.700865593967279</v>
      </c>
      <c r="CJ125" s="487"/>
      <c r="CK125" s="487"/>
      <c r="CL125" s="864">
        <f>SUM(CL120:CL121)</f>
        <v>656.85812300000043</v>
      </c>
      <c r="CM125" s="783">
        <f t="shared" si="347"/>
        <v>4.3575714703893764</v>
      </c>
      <c r="CN125" s="487"/>
      <c r="CO125" s="487"/>
      <c r="CP125" s="864">
        <f>SUM(CP120:CP121)</f>
        <v>840.29200000000014</v>
      </c>
      <c r="CQ125" s="783">
        <f t="shared" si="348"/>
        <v>27.925950913451601</v>
      </c>
      <c r="CR125" s="487"/>
      <c r="CS125" s="487"/>
      <c r="CT125" s="864">
        <f>SUM(CT120:CT121)</f>
        <v>932.44900000000052</v>
      </c>
      <c r="CU125" s="783">
        <f t="shared" si="349"/>
        <v>10.967259000442752</v>
      </c>
      <c r="CV125" s="487"/>
      <c r="CW125" s="794"/>
      <c r="CX125" s="864">
        <f>SUM(CX120:CX121)</f>
        <v>982.42609000000107</v>
      </c>
      <c r="CY125" s="783">
        <f t="shared" si="350"/>
        <v>5.3597665931327532</v>
      </c>
      <c r="CZ125" s="487"/>
      <c r="DA125" s="794"/>
      <c r="DB125" s="864">
        <f>SUM(DB120:DB121)</f>
        <v>1023.9359999999998</v>
      </c>
      <c r="DC125" s="783">
        <f t="shared" si="351"/>
        <v>4.2252450767058303</v>
      </c>
      <c r="DD125" s="487"/>
      <c r="DE125" s="794"/>
      <c r="DF125" s="864">
        <f>SUM(DF120:DF121)</f>
        <v>1070.5199999999995</v>
      </c>
      <c r="DG125" s="783">
        <f t="shared" si="352"/>
        <v>4.5495030939433523</v>
      </c>
      <c r="DH125" s="487"/>
      <c r="DI125" s="794"/>
      <c r="DJ125" s="864">
        <f>SUM(DJ120:DJ121)</f>
        <v>1089.2360000000008</v>
      </c>
      <c r="DK125" s="783">
        <f t="shared" si="353"/>
        <v>1.7483092328962835</v>
      </c>
      <c r="DL125" s="487"/>
      <c r="DM125" s="794"/>
      <c r="DN125" s="864">
        <f>SUM(DN120:DN121)</f>
        <v>1342.6093554922845</v>
      </c>
      <c r="DO125" s="783">
        <f t="shared" si="354"/>
        <v>23.261566409142141</v>
      </c>
      <c r="DP125" s="487"/>
      <c r="DQ125" s="794"/>
      <c r="DR125" s="794"/>
      <c r="DS125" s="794"/>
      <c r="DT125" s="794"/>
      <c r="DU125" s="794"/>
      <c r="DV125" s="794"/>
      <c r="DW125" s="794"/>
      <c r="DX125" s="794"/>
      <c r="DY125" s="794"/>
      <c r="DZ125" s="794"/>
      <c r="EA125" s="794"/>
      <c r="EB125" s="794"/>
    </row>
    <row r="126" spans="1:132" hidden="1" outlineLevel="1">
      <c r="A126" s="487" t="str">
        <f>$A$16</f>
        <v>9 Mos</v>
      </c>
      <c r="B126" s="487"/>
      <c r="C126" s="487"/>
      <c r="D126" s="864"/>
      <c r="E126" s="487"/>
      <c r="F126" s="864">
        <f>SUM(F120:F122)</f>
        <v>58.843999999999966</v>
      </c>
      <c r="G126" s="783"/>
      <c r="H126" s="487"/>
      <c r="I126" s="487"/>
      <c r="J126" s="864">
        <f>SUM(J120:J122)</f>
        <v>56.080000000000112</v>
      </c>
      <c r="K126" s="783">
        <f t="shared" si="327"/>
        <v>-4.6971653864452678</v>
      </c>
      <c r="L126" s="487"/>
      <c r="M126" s="487"/>
      <c r="N126" s="864">
        <f>SUM(N120:N122)</f>
        <v>74.692999999999941</v>
      </c>
      <c r="O126" s="783">
        <f t="shared" si="328"/>
        <v>33.190085592011044</v>
      </c>
      <c r="P126" s="487"/>
      <c r="Q126" s="487"/>
      <c r="R126" s="864">
        <f>SUM(R120:R122)</f>
        <v>82.478999999999957</v>
      </c>
      <c r="S126" s="783">
        <f t="shared" si="329"/>
        <v>10.424002249206787</v>
      </c>
      <c r="T126" s="487"/>
      <c r="U126" s="487"/>
      <c r="V126" s="864">
        <f>SUM(V120:V122)</f>
        <v>69.003000000000114</v>
      </c>
      <c r="W126" s="783">
        <f t="shared" si="330"/>
        <v>-16.338704397482818</v>
      </c>
      <c r="X126" s="487"/>
      <c r="Y126" s="487"/>
      <c r="Z126" s="864">
        <f>SUM(Z120:Z122)</f>
        <v>43.606999999999942</v>
      </c>
      <c r="AA126" s="783">
        <f t="shared" si="331"/>
        <v>-36.804196918974732</v>
      </c>
      <c r="AB126" s="783"/>
      <c r="AC126" s="487"/>
      <c r="AD126" s="864">
        <f>SUM(AD120:AD122)</f>
        <v>138.30400000000023</v>
      </c>
      <c r="AE126" s="783">
        <f t="shared" si="332"/>
        <v>217.1600889765414</v>
      </c>
      <c r="AF126" s="487"/>
      <c r="AG126" s="487"/>
      <c r="AH126" s="864">
        <f>SUM(AH120:AH122)</f>
        <v>207.98100000000036</v>
      </c>
      <c r="AI126" s="783">
        <f t="shared" si="333"/>
        <v>50.379598565478958</v>
      </c>
      <c r="AJ126" s="487"/>
      <c r="AK126" s="487"/>
      <c r="AL126" s="864">
        <f>SUM(AL120:AL122)</f>
        <v>296.56699999999989</v>
      </c>
      <c r="AM126" s="783">
        <f t="shared" si="334"/>
        <v>42.593313812319103</v>
      </c>
      <c r="AN126" s="487"/>
      <c r="AO126" s="487"/>
      <c r="AP126" s="864">
        <f>SUM(AP120:AP122)</f>
        <v>389.87200000000036</v>
      </c>
      <c r="AQ126" s="783">
        <f t="shared" si="335"/>
        <v>31.461693310449412</v>
      </c>
      <c r="AR126" s="487"/>
      <c r="AS126" s="487"/>
      <c r="AT126" s="864">
        <f>SUM(AT120:AT122)</f>
        <v>402.887</v>
      </c>
      <c r="AU126" s="783">
        <f t="shared" si="336"/>
        <v>3.3382751261951782</v>
      </c>
      <c r="AV126" s="487"/>
      <c r="AW126" s="487"/>
      <c r="AX126" s="864">
        <f>SUM(AX120:AX122)</f>
        <v>385.07699999999954</v>
      </c>
      <c r="AY126" s="783">
        <f t="shared" si="337"/>
        <v>-4.4205943602053317</v>
      </c>
      <c r="AZ126" s="487"/>
      <c r="BA126" s="487"/>
      <c r="BB126" s="864">
        <f>SUM(BB120:BB122)</f>
        <v>424.08499999999987</v>
      </c>
      <c r="BC126" s="783">
        <f t="shared" si="338"/>
        <v>10.129922067534647</v>
      </c>
      <c r="BD126" s="487"/>
      <c r="BE126" s="487"/>
      <c r="BF126" s="864">
        <f>SUM(BF120:BF122)</f>
        <v>383.05299999999988</v>
      </c>
      <c r="BG126" s="783">
        <f t="shared" si="339"/>
        <v>-9.6754188429206351</v>
      </c>
      <c r="BH126" s="487"/>
      <c r="BI126" s="487"/>
      <c r="BJ126" s="864">
        <f>SUM(BJ120:BJ122)</f>
        <v>444.71900000000011</v>
      </c>
      <c r="BK126" s="783">
        <f t="shared" si="340"/>
        <v>16.098555552364878</v>
      </c>
      <c r="BL126" s="487"/>
      <c r="BM126" s="487"/>
      <c r="BN126" s="864">
        <f>SUM(BN120:BN122)</f>
        <v>401.71999999999991</v>
      </c>
      <c r="BO126" s="783">
        <f t="shared" si="341"/>
        <v>-9.6688020975043028</v>
      </c>
      <c r="BP126" s="487"/>
      <c r="BQ126" s="487"/>
      <c r="BR126" s="864">
        <f>SUM(BR120:BR122)</f>
        <v>533.50500000000011</v>
      </c>
      <c r="BS126" s="783">
        <f t="shared" si="342"/>
        <v>32.805187692920491</v>
      </c>
      <c r="BT126" s="487"/>
      <c r="BU126" s="487"/>
      <c r="BV126" s="864">
        <f>SUM(BV120:BV122)</f>
        <v>608.80935684372639</v>
      </c>
      <c r="BW126" s="783">
        <f t="shared" si="343"/>
        <v>14.115023634966173</v>
      </c>
      <c r="BX126" s="487"/>
      <c r="BY126" s="487"/>
      <c r="BZ126" s="864">
        <f>SUM(BZ120:BZ122)</f>
        <v>659.9200000000003</v>
      </c>
      <c r="CA126" s="783">
        <f t="shared" si="344"/>
        <v>8.3951802944108422</v>
      </c>
      <c r="CB126" s="487"/>
      <c r="CC126" s="487"/>
      <c r="CD126" s="864">
        <f>SUM(CD120:CD122)</f>
        <v>818.57400000000018</v>
      </c>
      <c r="CE126" s="783">
        <f t="shared" si="345"/>
        <v>24.041398957449367</v>
      </c>
      <c r="CF126" s="487"/>
      <c r="CG126" s="487"/>
      <c r="CH126" s="864">
        <f>SUM(CH120:CH122)</f>
        <v>1001.7392499999996</v>
      </c>
      <c r="CI126" s="783">
        <f t="shared" si="346"/>
        <v>22.376138259949553</v>
      </c>
      <c r="CJ126" s="487"/>
      <c r="CK126" s="487"/>
      <c r="CL126" s="864">
        <f>SUM(CL120:CL122)</f>
        <v>1063.3451229999996</v>
      </c>
      <c r="CM126" s="783">
        <f t="shared" si="347"/>
        <v>6.1498911019010283</v>
      </c>
      <c r="CN126" s="487"/>
      <c r="CO126" s="487"/>
      <c r="CP126" s="864">
        <f>SUM(CP120:CP122)</f>
        <v>1301.8429999999994</v>
      </c>
      <c r="CQ126" s="783">
        <f t="shared" si="348"/>
        <v>22.429018748600569</v>
      </c>
      <c r="CR126" s="487"/>
      <c r="CS126" s="487"/>
      <c r="CT126" s="864">
        <f>SUM(CT120:CT122)</f>
        <v>1476.4521200000008</v>
      </c>
      <c r="CU126" s="783">
        <f t="shared" si="349"/>
        <v>13.412456033484954</v>
      </c>
      <c r="CV126" s="487"/>
      <c r="CW126" s="794"/>
      <c r="CX126" s="864">
        <f>SUM(CX120:CX122)</f>
        <v>1577.3830900000009</v>
      </c>
      <c r="CY126" s="783">
        <f t="shared" si="350"/>
        <v>6.8360476193430442</v>
      </c>
      <c r="CZ126" s="487"/>
      <c r="DA126" s="794"/>
      <c r="DB126" s="864">
        <f>SUM(DB120:DB122)</f>
        <v>1611.1919999999991</v>
      </c>
      <c r="DC126" s="783">
        <f t="shared" si="351"/>
        <v>2.1433544085982303</v>
      </c>
      <c r="DD126" s="487"/>
      <c r="DE126" s="794"/>
      <c r="DF126" s="864">
        <f>SUM(DF120:DF122)</f>
        <v>1672.5619799999999</v>
      </c>
      <c r="DG126" s="783">
        <f t="shared" si="352"/>
        <v>3.8089799353522746</v>
      </c>
      <c r="DH126" s="487"/>
      <c r="DI126" s="794"/>
      <c r="DJ126" s="864">
        <f>SUM(DJ120:DJ122)</f>
        <v>1730.6719999999996</v>
      </c>
      <c r="DK126" s="783">
        <f t="shared" si="353"/>
        <v>3.474311905619154</v>
      </c>
      <c r="DL126" s="487"/>
      <c r="DM126" s="794"/>
      <c r="DN126" s="864">
        <f>SUM(DN120:DN122)</f>
        <v>2134.4827013903014</v>
      </c>
      <c r="DO126" s="783">
        <f t="shared" si="354"/>
        <v>23.332595742596052</v>
      </c>
      <c r="DP126" s="487"/>
      <c r="DQ126" s="794"/>
      <c r="DR126" s="794"/>
      <c r="DS126" s="794"/>
      <c r="DT126" s="794"/>
      <c r="DU126" s="794"/>
      <c r="DV126" s="794"/>
      <c r="DW126" s="794"/>
      <c r="DX126" s="794"/>
      <c r="DY126" s="794"/>
      <c r="DZ126" s="794"/>
      <c r="EA126" s="794"/>
      <c r="EB126" s="794"/>
    </row>
    <row r="127" spans="1:132" collapsed="1">
      <c r="A127" s="487"/>
      <c r="B127" s="487"/>
      <c r="C127" s="487"/>
      <c r="D127" s="864"/>
      <c r="E127" s="487"/>
      <c r="F127" s="864"/>
      <c r="G127" s="783"/>
      <c r="H127" s="487"/>
      <c r="I127" s="487"/>
      <c r="J127" s="864"/>
      <c r="K127" s="783"/>
      <c r="L127" s="487"/>
      <c r="M127" s="487"/>
      <c r="N127" s="864"/>
      <c r="O127" s="783"/>
      <c r="P127" s="487"/>
      <c r="Q127" s="487"/>
      <c r="R127" s="864"/>
      <c r="S127" s="783"/>
      <c r="T127" s="487"/>
      <c r="U127" s="487"/>
      <c r="V127" s="864"/>
      <c r="W127" s="783"/>
      <c r="X127" s="487"/>
      <c r="Y127" s="487"/>
      <c r="Z127" s="864"/>
      <c r="AA127" s="783"/>
      <c r="AB127" s="783"/>
      <c r="AC127" s="487"/>
      <c r="AD127" s="864"/>
      <c r="AE127" s="783"/>
      <c r="AF127" s="487"/>
      <c r="AG127" s="487"/>
      <c r="AH127" s="864"/>
      <c r="AI127" s="783"/>
      <c r="AJ127" s="487"/>
      <c r="AK127" s="487"/>
      <c r="AL127" s="864"/>
      <c r="AM127" s="783"/>
      <c r="AN127" s="487"/>
      <c r="AO127" s="487"/>
      <c r="AP127" s="864"/>
      <c r="AQ127" s="783"/>
      <c r="AR127" s="487"/>
      <c r="AS127" s="487"/>
      <c r="AT127" s="864"/>
      <c r="AU127" s="783"/>
      <c r="AV127" s="487"/>
      <c r="AW127" s="487"/>
      <c r="AX127" s="864"/>
      <c r="AY127" s="783"/>
      <c r="AZ127" s="487"/>
      <c r="BA127" s="487"/>
      <c r="BB127" s="864"/>
      <c r="BC127" s="783"/>
      <c r="BD127" s="487"/>
      <c r="BE127" s="487"/>
      <c r="BF127" s="864"/>
      <c r="BG127" s="783"/>
      <c r="BH127" s="487"/>
      <c r="BI127" s="487"/>
      <c r="BJ127" s="864"/>
      <c r="BK127" s="783"/>
      <c r="BL127" s="487"/>
      <c r="BM127" s="487"/>
      <c r="BN127" s="864"/>
      <c r="BO127" s="783"/>
      <c r="BP127" s="487"/>
      <c r="BQ127" s="487"/>
      <c r="BR127" s="864"/>
      <c r="BS127" s="783"/>
      <c r="BT127" s="487"/>
      <c r="BU127" s="487"/>
      <c r="BV127" s="864"/>
      <c r="BW127" s="783"/>
      <c r="BX127" s="487"/>
      <c r="BY127" s="487"/>
      <c r="BZ127" s="948"/>
      <c r="CA127" s="783"/>
      <c r="CB127" s="487"/>
      <c r="CC127" s="487"/>
      <c r="CD127" s="864"/>
      <c r="CE127" s="783"/>
      <c r="CF127" s="487"/>
      <c r="CG127" s="487"/>
      <c r="CH127" s="864"/>
      <c r="CI127" s="783"/>
      <c r="CJ127" s="487"/>
      <c r="CK127" s="487"/>
      <c r="CL127" s="864"/>
      <c r="CM127" s="783"/>
      <c r="CN127" s="487"/>
      <c r="CO127" s="487"/>
      <c r="CP127" s="864"/>
      <c r="CQ127" s="783"/>
      <c r="CR127" s="487"/>
      <c r="CS127" s="487"/>
      <c r="CT127" s="864"/>
      <c r="CU127" s="783"/>
      <c r="CV127" s="487"/>
      <c r="CW127" s="794"/>
      <c r="CX127" s="864"/>
      <c r="CY127" s="783"/>
      <c r="CZ127" s="487"/>
      <c r="DA127" s="794"/>
      <c r="DB127" s="864"/>
      <c r="DC127" s="783"/>
      <c r="DD127" s="487"/>
      <c r="DE127" s="794"/>
      <c r="DF127" s="864"/>
      <c r="DG127" s="783"/>
      <c r="DH127" s="487"/>
      <c r="DI127" s="794"/>
      <c r="DJ127" s="864"/>
      <c r="DK127" s="783"/>
      <c r="DL127" s="487"/>
      <c r="DM127" s="794"/>
      <c r="DN127" s="864"/>
      <c r="DO127" s="783"/>
      <c r="DP127" s="487"/>
      <c r="DQ127" s="794"/>
      <c r="DR127" s="794"/>
      <c r="DS127" s="794"/>
      <c r="DT127" s="794"/>
      <c r="DU127" s="794"/>
      <c r="DV127" s="794"/>
      <c r="DW127" s="794"/>
      <c r="DX127" s="794"/>
      <c r="DY127" s="794"/>
      <c r="DZ127" s="794"/>
      <c r="EA127" s="794"/>
      <c r="EB127" s="794"/>
    </row>
    <row r="128" spans="1:132">
      <c r="A128" s="487"/>
      <c r="B128" s="487"/>
      <c r="C128" s="807"/>
      <c r="D128" s="807"/>
      <c r="E128" s="809"/>
      <c r="F128" s="809" t="str">
        <f>Z128</f>
        <v>8.  Net Earnings before items  (% Change)</v>
      </c>
      <c r="G128" s="811"/>
      <c r="H128" s="811"/>
      <c r="I128" s="811"/>
      <c r="J128" s="809"/>
      <c r="K128" s="811"/>
      <c r="L128" s="811"/>
      <c r="M128" s="811"/>
      <c r="N128" s="809"/>
      <c r="O128" s="811"/>
      <c r="P128" s="811"/>
      <c r="Q128" s="811"/>
      <c r="R128" s="809"/>
      <c r="S128" s="811"/>
      <c r="T128" s="811"/>
      <c r="U128" s="811"/>
      <c r="V128" s="809"/>
      <c r="W128" s="811"/>
      <c r="X128" s="811"/>
      <c r="Y128" s="487"/>
      <c r="Z128" s="809" t="s">
        <v>187</v>
      </c>
      <c r="AA128" s="811"/>
      <c r="AB128" s="811"/>
      <c r="AC128" s="811"/>
      <c r="AD128" s="809"/>
      <c r="AE128" s="811"/>
      <c r="AF128" s="811"/>
      <c r="AG128" s="811"/>
      <c r="AH128" s="809"/>
      <c r="AI128" s="811"/>
      <c r="AJ128" s="811"/>
      <c r="AK128" s="811"/>
      <c r="AL128" s="809"/>
      <c r="AM128" s="811"/>
      <c r="AN128" s="811"/>
      <c r="AO128" s="702"/>
      <c r="AP128" s="702"/>
      <c r="AQ128" s="811"/>
      <c r="AR128" s="811"/>
      <c r="AS128" s="811"/>
      <c r="AT128" s="487"/>
      <c r="AU128" s="812"/>
      <c r="AV128" s="812"/>
      <c r="AW128" s="812"/>
      <c r="AX128" s="812"/>
      <c r="AY128" s="812"/>
      <c r="AZ128" s="812"/>
      <c r="BA128" s="812"/>
      <c r="BB128" s="812"/>
      <c r="BC128" s="812"/>
      <c r="BD128" s="812"/>
      <c r="BE128" s="812"/>
      <c r="BF128" s="487"/>
      <c r="BG128" s="810"/>
      <c r="BH128" s="810"/>
      <c r="BI128" s="810"/>
      <c r="BJ128" s="810" t="s">
        <v>292</v>
      </c>
      <c r="BK128" s="810"/>
      <c r="BL128" s="810"/>
      <c r="BM128" s="810"/>
      <c r="BN128" s="810" t="s">
        <v>292</v>
      </c>
      <c r="BO128" s="810"/>
      <c r="BP128" s="810"/>
      <c r="BQ128" s="810"/>
      <c r="BR128" s="810"/>
      <c r="BS128" s="810"/>
      <c r="BT128" s="810"/>
      <c r="BU128" s="810"/>
      <c r="BV128" s="810"/>
      <c r="BW128" s="810"/>
      <c r="BX128" s="810"/>
      <c r="BY128" s="810"/>
      <c r="BZ128" s="810"/>
      <c r="CA128" s="810"/>
      <c r="CC128" s="810"/>
      <c r="CD128" s="810"/>
      <c r="CE128" s="810"/>
      <c r="CF128" s="810" t="str">
        <f>BN128</f>
        <v>GAAP Net Earnings (If applicable)</v>
      </c>
      <c r="CG128" s="810"/>
      <c r="CH128" s="810"/>
      <c r="CI128" s="810"/>
      <c r="CJ128" s="810"/>
      <c r="CK128" s="810"/>
      <c r="CL128" s="810"/>
      <c r="CM128" s="810"/>
      <c r="CN128" s="810"/>
      <c r="CO128" s="810"/>
      <c r="CP128" s="810"/>
      <c r="CQ128" s="810"/>
      <c r="CR128" s="810"/>
      <c r="CS128" s="810"/>
      <c r="CT128" s="810"/>
      <c r="CU128" s="810"/>
      <c r="CV128" s="810"/>
      <c r="CW128" s="794"/>
      <c r="CX128" s="810"/>
      <c r="CY128" s="810"/>
      <c r="CZ128" s="810"/>
      <c r="DA128" s="794"/>
      <c r="DB128" s="810" t="str">
        <f>CF128</f>
        <v>GAAP Net Earnings (If applicable)</v>
      </c>
      <c r="DC128" s="810"/>
      <c r="DD128" s="810"/>
      <c r="DE128" s="794"/>
      <c r="DF128" s="810"/>
      <c r="DG128" s="810"/>
      <c r="DH128" s="810"/>
      <c r="DI128" s="794"/>
      <c r="DJ128" s="810"/>
      <c r="DK128" s="810"/>
      <c r="DL128" s="810"/>
      <c r="DM128" s="794"/>
      <c r="DN128" s="810"/>
      <c r="DO128" s="810"/>
      <c r="DP128" s="810"/>
      <c r="DQ128" s="794"/>
      <c r="DR128" s="794"/>
      <c r="DS128" s="794"/>
      <c r="DT128" s="794"/>
      <c r="DU128" s="794"/>
      <c r="DV128" s="794"/>
      <c r="DW128" s="794"/>
      <c r="DX128" s="794"/>
      <c r="DY128" s="794"/>
      <c r="DZ128" s="794"/>
      <c r="EA128" s="794"/>
      <c r="EB128" s="794"/>
    </row>
    <row r="129" spans="1:132">
      <c r="A129" s="487" t="str">
        <f>$A$10</f>
        <v>1Q</v>
      </c>
      <c r="B129" s="487" t="str">
        <f>$B$10</f>
        <v>Apr</v>
      </c>
      <c r="C129" s="487"/>
      <c r="D129" s="487"/>
      <c r="E129" s="487"/>
      <c r="F129" s="487"/>
      <c r="G129" s="487"/>
      <c r="H129" s="487"/>
      <c r="I129" s="487"/>
      <c r="J129" s="487"/>
      <c r="K129" s="487"/>
      <c r="L129" s="487"/>
      <c r="M129" s="487"/>
      <c r="N129" s="487"/>
      <c r="O129" s="487"/>
      <c r="P129" s="487"/>
      <c r="Q129" s="487"/>
      <c r="R129" s="487"/>
      <c r="S129" s="487"/>
      <c r="T129" s="487"/>
      <c r="U129" s="487"/>
      <c r="V129" s="487"/>
      <c r="W129" s="487"/>
      <c r="X129" s="487"/>
      <c r="Y129" s="487"/>
      <c r="Z129" s="487"/>
      <c r="AA129" s="487"/>
      <c r="AB129" s="487"/>
      <c r="AC129" s="487"/>
      <c r="AD129" s="487"/>
      <c r="AE129" s="487"/>
      <c r="AF129" s="487"/>
      <c r="AG129" s="487"/>
      <c r="AH129" s="487"/>
      <c r="AI129" s="487"/>
      <c r="AJ129" s="487"/>
      <c r="AK129" s="487"/>
      <c r="AL129" s="487"/>
      <c r="AM129" s="487"/>
      <c r="AN129" s="487"/>
      <c r="AO129" s="487"/>
      <c r="AP129" s="487"/>
      <c r="AQ129" s="487"/>
      <c r="AR129" s="487"/>
      <c r="AS129" s="487"/>
      <c r="AT129" s="487"/>
      <c r="AU129" s="487"/>
      <c r="AV129" s="487"/>
      <c r="AW129" s="487"/>
      <c r="AX129" s="487"/>
      <c r="AY129" s="487"/>
      <c r="AZ129" s="487"/>
      <c r="BA129" s="487"/>
      <c r="BB129" s="487"/>
      <c r="BC129" s="487"/>
      <c r="BD129" s="487"/>
      <c r="BE129" s="487"/>
      <c r="BF129" s="487"/>
      <c r="BG129" s="487"/>
      <c r="BH129" s="487"/>
      <c r="BI129" s="487"/>
      <c r="BJ129" s="487"/>
      <c r="BK129" s="487"/>
      <c r="BL129" s="487"/>
      <c r="BM129" s="487"/>
      <c r="BN129" s="487"/>
      <c r="BO129" s="487"/>
      <c r="BP129" s="487"/>
      <c r="BQ129" s="487"/>
      <c r="BR129" s="859">
        <f>BR91-BR110</f>
        <v>163.86199999999963</v>
      </c>
      <c r="BS129" s="487"/>
      <c r="BT129" s="948"/>
      <c r="BU129" s="487"/>
      <c r="BV129" s="859">
        <f>BV91-BV110</f>
        <v>166.11200000000014</v>
      </c>
      <c r="BW129" s="487"/>
      <c r="BX129" s="487"/>
      <c r="BY129" s="487"/>
      <c r="BZ129" s="859">
        <f>BZ91-BZ110-4.151</f>
        <v>193.8490000000001</v>
      </c>
      <c r="CA129" s="487"/>
      <c r="CB129" s="487"/>
      <c r="CC129" s="487"/>
      <c r="CD129" s="487"/>
      <c r="CE129" s="487"/>
      <c r="CF129" s="487"/>
      <c r="CG129" s="487"/>
      <c r="CH129" s="859">
        <f>CH91-CH110-CH72</f>
        <v>331.43399999999997</v>
      </c>
      <c r="CI129" s="487"/>
      <c r="CJ129" s="487"/>
      <c r="CK129" s="487"/>
      <c r="CL129" s="859">
        <f>CL91-CL110-CL72</f>
        <v>265.950874</v>
      </c>
      <c r="CM129" s="487"/>
      <c r="CN129" s="487"/>
      <c r="CO129" s="487"/>
      <c r="CP129" s="487"/>
      <c r="CQ129" s="487"/>
      <c r="CR129" s="487"/>
      <c r="CS129" s="487"/>
      <c r="CT129" s="487"/>
      <c r="CU129" s="487"/>
      <c r="CV129" s="487"/>
      <c r="CW129" s="794"/>
      <c r="CX129" s="487"/>
      <c r="CY129" s="487"/>
      <c r="CZ129" s="487"/>
      <c r="DA129" s="794"/>
      <c r="DB129" s="487"/>
      <c r="DC129" s="487"/>
      <c r="DD129" s="487"/>
      <c r="DE129" s="794"/>
      <c r="DF129" s="487"/>
      <c r="DG129" s="487"/>
      <c r="DH129" s="487"/>
      <c r="DI129" s="794"/>
      <c r="DJ129" s="487"/>
      <c r="DK129" s="487"/>
      <c r="DL129" s="487"/>
      <c r="DM129" s="794"/>
      <c r="DN129" s="487"/>
      <c r="DO129" s="487"/>
      <c r="DP129" s="487"/>
      <c r="DQ129" s="794"/>
      <c r="DR129" s="794"/>
      <c r="DS129" s="794"/>
      <c r="DT129" s="794"/>
      <c r="DU129" s="794"/>
      <c r="DV129" s="794"/>
      <c r="DW129" s="794"/>
      <c r="DX129" s="794"/>
      <c r="DY129" s="794"/>
      <c r="DZ129" s="794"/>
      <c r="EA129" s="794"/>
      <c r="EB129" s="794"/>
    </row>
    <row r="130" spans="1:132">
      <c r="A130" s="487" t="str">
        <f>$A$11</f>
        <v>2Q</v>
      </c>
      <c r="B130" s="487" t="str">
        <f>$B$11</f>
        <v>Jul</v>
      </c>
      <c r="C130" s="487"/>
      <c r="D130" s="859"/>
      <c r="E130" s="487"/>
      <c r="F130" s="859">
        <f>F101-F120</f>
        <v>-14.571999999999958</v>
      </c>
      <c r="G130" s="783"/>
      <c r="H130" s="487"/>
      <c r="I130" s="487"/>
      <c r="J130" s="859">
        <f>J101-J120</f>
        <v>-14.819000000000033</v>
      </c>
      <c r="K130" s="783" t="str">
        <f>IF(F130&lt;0,"       NM",(J130/F130-1)*100)</f>
        <v xml:space="preserve">       NM</v>
      </c>
      <c r="L130" s="487"/>
      <c r="M130" s="487"/>
      <c r="N130" s="862">
        <f>N101-N120</f>
        <v>-15.145999999999987</v>
      </c>
      <c r="O130" s="783" t="str">
        <f>IF(J130&lt;0,"       NM",(N130/J130-1)*100)</f>
        <v xml:space="preserve">       NM</v>
      </c>
      <c r="P130" s="487"/>
      <c r="Q130" s="487"/>
      <c r="R130" s="862">
        <f>R101-R120</f>
        <v>-19.312999999999988</v>
      </c>
      <c r="S130" s="783" t="str">
        <f>IF(N130&lt;0,"       NM",(R130/N130-1)*100)</f>
        <v xml:space="preserve">       NM</v>
      </c>
      <c r="T130" s="487"/>
      <c r="U130" s="487"/>
      <c r="V130" s="862">
        <f>V101-V120</f>
        <v>-19.293000000000006</v>
      </c>
      <c r="W130" s="783" t="str">
        <f>IF(R130&lt;0,"       NM",(V130/R130-1)*100)</f>
        <v xml:space="preserve">       NM</v>
      </c>
      <c r="X130" s="487"/>
      <c r="Y130" s="487"/>
      <c r="Z130" s="862">
        <f>Z101-Z120</f>
        <v>-7.3719999999999537</v>
      </c>
      <c r="AA130" s="783" t="str">
        <f>IF(V130&lt;0,"       NM",(Z130/V130-1)*100)</f>
        <v xml:space="preserve">       NM</v>
      </c>
      <c r="AB130" s="783"/>
      <c r="AC130" s="487"/>
      <c r="AD130" s="859">
        <f>AD101-AD120</f>
        <v>-23.024000000000136</v>
      </c>
      <c r="AE130" s="783" t="str">
        <f>IF(Z130&lt;0,"       NM",(AD130/Z130-1)*100)</f>
        <v xml:space="preserve">       NM</v>
      </c>
      <c r="AF130" s="487"/>
      <c r="AG130" s="487"/>
      <c r="AH130" s="859">
        <f>AH101-AH120</f>
        <v>-48.461000000000176</v>
      </c>
      <c r="AI130" s="783" t="str">
        <f>IF(AD130&lt;0,"       NM",(AH130/AD130-1)*100)</f>
        <v xml:space="preserve">       NM</v>
      </c>
      <c r="AJ130" s="487"/>
      <c r="AK130" s="487"/>
      <c r="AL130" s="859">
        <f>AL101-AL120</f>
        <v>-82.427000000000163</v>
      </c>
      <c r="AM130" s="783" t="str">
        <f>IF(AH130&lt;0,"       NM",(AL130/AH130-1)*100)</f>
        <v xml:space="preserve">       NM</v>
      </c>
      <c r="AN130" s="487"/>
      <c r="AO130" s="487"/>
      <c r="AP130" s="862">
        <f>AP101-AP120</f>
        <v>-122.27400000000019</v>
      </c>
      <c r="AQ130" s="783" t="str">
        <f>IF(AL130&lt;0,"       NM",(AP130/AL130-1)*100)</f>
        <v xml:space="preserve">       NM</v>
      </c>
      <c r="AR130" s="487">
        <f>0.08*2700</f>
        <v>216</v>
      </c>
      <c r="AS130" s="487"/>
      <c r="AT130" s="859">
        <f>AT101-AT120</f>
        <v>-130.58000000000004</v>
      </c>
      <c r="AU130" s="783" t="str">
        <f>IF(AP130&lt;0,"       NM",(AT130/AP130-1)*100)</f>
        <v xml:space="preserve">       NM</v>
      </c>
      <c r="AV130" s="487"/>
      <c r="AW130" s="487"/>
      <c r="AX130" s="859">
        <f>AX101-AX120</f>
        <v>-123.67099999999998</v>
      </c>
      <c r="AY130" s="783" t="str">
        <f>IF(AT130&lt;0,"       NM",(AX130/AT130-1)*100)</f>
        <v xml:space="preserve">       NM</v>
      </c>
      <c r="AZ130" s="487"/>
      <c r="BA130" s="487"/>
      <c r="BB130" s="859">
        <f>BB101-BB120</f>
        <v>-147.10299999999995</v>
      </c>
      <c r="BC130" s="783" t="str">
        <f>IF(AX130&lt;0,"       NM",(BB130/AX130-1)*100)</f>
        <v xml:space="preserve">       NM</v>
      </c>
      <c r="BD130" s="487"/>
      <c r="BE130" s="487"/>
      <c r="BF130" s="859"/>
      <c r="BG130" s="783"/>
      <c r="BH130" s="487"/>
      <c r="BI130" s="487"/>
      <c r="BJ130" s="859"/>
      <c r="BK130" s="783"/>
      <c r="BL130" s="487"/>
      <c r="BM130" s="487"/>
      <c r="BN130" s="859"/>
      <c r="BO130" s="783"/>
      <c r="BP130" s="487"/>
      <c r="BQ130" s="487"/>
      <c r="BR130" s="864">
        <f>BR92-BR111</f>
        <v>138.82400000000024</v>
      </c>
      <c r="BS130" s="783"/>
      <c r="BT130" s="487"/>
      <c r="BU130" s="487"/>
      <c r="BV130" s="792">
        <f>BV92-BV111</f>
        <v>61.196049999999587</v>
      </c>
      <c r="BW130" s="867"/>
      <c r="BX130" s="487"/>
      <c r="BY130" s="487"/>
      <c r="BZ130" s="859">
        <f>BZ92-BZ111</f>
        <v>212.07300000000015</v>
      </c>
      <c r="CA130" s="783"/>
      <c r="CB130" s="487"/>
      <c r="CC130" s="487"/>
      <c r="CD130" s="859"/>
      <c r="CE130" s="783"/>
      <c r="CF130" s="487"/>
      <c r="CG130" s="487"/>
      <c r="CH130" s="864">
        <f>CH92-CH73-CH111</f>
        <v>309.54624999999987</v>
      </c>
      <c r="CI130" s="783"/>
      <c r="CJ130" s="487"/>
      <c r="CK130" s="487"/>
      <c r="CL130" s="864">
        <f>CL92-CL73-CL111</f>
        <v>348.33800000000048</v>
      </c>
      <c r="CM130" s="783"/>
      <c r="CN130" s="487"/>
      <c r="CO130" s="487"/>
      <c r="CP130" s="859"/>
      <c r="CQ130" s="783"/>
      <c r="CR130" s="487"/>
      <c r="CS130" s="487"/>
      <c r="CT130" s="859"/>
      <c r="CU130" s="783"/>
      <c r="CV130" s="487"/>
      <c r="CW130" s="794"/>
      <c r="CX130" s="859"/>
      <c r="CY130" s="783"/>
      <c r="CZ130" s="487"/>
      <c r="DA130" s="794"/>
      <c r="DB130" s="859"/>
      <c r="DC130" s="783"/>
      <c r="DD130" s="487"/>
      <c r="DE130" s="794"/>
      <c r="DF130" s="859"/>
      <c r="DG130" s="783"/>
      <c r="DH130" s="487"/>
      <c r="DI130" s="794"/>
      <c r="DJ130" s="859"/>
      <c r="DK130" s="783"/>
      <c r="DL130" s="487"/>
      <c r="DM130" s="794"/>
      <c r="DN130" s="859"/>
      <c r="DO130" s="783"/>
      <c r="DP130" s="487"/>
      <c r="DQ130" s="794"/>
      <c r="DR130" s="794"/>
      <c r="DS130" s="794"/>
      <c r="DT130" s="794"/>
      <c r="DU130" s="794"/>
      <c r="DV130" s="794"/>
      <c r="DW130" s="794"/>
      <c r="DX130" s="794"/>
      <c r="DY130" s="794"/>
      <c r="DZ130" s="794"/>
      <c r="EA130" s="794"/>
      <c r="EB130" s="794"/>
    </row>
    <row r="131" spans="1:132">
      <c r="A131" s="487" t="str">
        <f>$A$12</f>
        <v>3Q</v>
      </c>
      <c r="B131" s="487" t="str">
        <f>$B$12</f>
        <v>Oct</v>
      </c>
      <c r="C131" s="487"/>
      <c r="D131" s="864"/>
      <c r="E131" s="487"/>
      <c r="F131" s="864">
        <f>F102-F121</f>
        <v>-14.430999999999996</v>
      </c>
      <c r="G131" s="783"/>
      <c r="H131" s="487"/>
      <c r="I131" s="487"/>
      <c r="J131" s="864">
        <f>J102-J121</f>
        <v>-13.830000000000048</v>
      </c>
      <c r="K131" s="783" t="str">
        <f>IF(F131&lt;0,"       NM",(J131/F131-1)*100)</f>
        <v xml:space="preserve">       NM</v>
      </c>
      <c r="L131" s="487"/>
      <c r="M131" s="487"/>
      <c r="N131" s="948">
        <f>N102-N121</f>
        <v>-19.032999999999912</v>
      </c>
      <c r="O131" s="783" t="str">
        <f>IF(J131&lt;0,"       NM",(N131/J131-1)*100)</f>
        <v xml:space="preserve">       NM</v>
      </c>
      <c r="P131" s="487"/>
      <c r="Q131" s="487"/>
      <c r="R131" s="948">
        <f>R102-R121</f>
        <v>-19.839000000000006</v>
      </c>
      <c r="S131" s="783" t="str">
        <f>IF(N131&lt;0,"       NM",(R131/N131-1)*100)</f>
        <v xml:space="preserve">       NM</v>
      </c>
      <c r="T131" s="487"/>
      <c r="U131" s="487"/>
      <c r="V131" s="948">
        <f>V102-V121</f>
        <v>-17.163000000000046</v>
      </c>
      <c r="W131" s="783" t="str">
        <f>IF(R131&lt;0,"       NM",(V131/R131-1)*100)</f>
        <v xml:space="preserve">       NM</v>
      </c>
      <c r="X131" s="487"/>
      <c r="Y131" s="487"/>
      <c r="Z131" s="948">
        <f>Z102-Z121</f>
        <v>-9.5749999999999904</v>
      </c>
      <c r="AA131" s="783" t="str">
        <f>IF(V131&lt;0,"       NM",(Z131/V131-1)*100)</f>
        <v xml:space="preserve">       NM</v>
      </c>
      <c r="AB131" s="783"/>
      <c r="AC131" s="487"/>
      <c r="AD131" s="864">
        <f>AD102-AD121</f>
        <v>-33.689999999999969</v>
      </c>
      <c r="AE131" s="783" t="str">
        <f>IF(Z131&lt;0,"       NM",(AD131/Z131-1)*100)</f>
        <v xml:space="preserve">       NM</v>
      </c>
      <c r="AF131" s="487"/>
      <c r="AG131" s="487"/>
      <c r="AH131" s="864">
        <f>AH102-AH121</f>
        <v>-52.578000000000088</v>
      </c>
      <c r="AI131" s="783" t="str">
        <f>IF(AD131&lt;0,"       NM",(AH131/AD131-1)*100)</f>
        <v xml:space="preserve">       NM</v>
      </c>
      <c r="AJ131" s="487"/>
      <c r="AK131" s="487"/>
      <c r="AL131" s="864">
        <f>AL102-AL121</f>
        <v>-85.802999999999827</v>
      </c>
      <c r="AM131" s="783" t="str">
        <f>IF(AH131&lt;0,"       NM",(AL131/AH131-1)*100)</f>
        <v xml:space="preserve">       NM</v>
      </c>
      <c r="AN131" s="487"/>
      <c r="AO131" s="487"/>
      <c r="AP131" s="862">
        <f>AP102-AP121</f>
        <v>-115.88100000000007</v>
      </c>
      <c r="AQ131" s="783" t="str">
        <f>IF(AL131&lt;0,"       NM",(AP131/AL131-1)*100)</f>
        <v xml:space="preserve">       NM</v>
      </c>
      <c r="AR131" s="487">
        <f>+AR130*0.6</f>
        <v>129.6</v>
      </c>
      <c r="AS131" s="487"/>
      <c r="AT131" s="864">
        <f>AT102-AT121</f>
        <v>-114.03299999999997</v>
      </c>
      <c r="AU131" s="783" t="str">
        <f>IF(AP131&lt;0,"       NM",(AT131/AP131-1)*100)</f>
        <v xml:space="preserve">       NM</v>
      </c>
      <c r="AV131" s="487"/>
      <c r="AW131" s="487"/>
      <c r="AX131" s="864">
        <f>AX102-AX121</f>
        <v>-111.9079999999999</v>
      </c>
      <c r="AY131" s="783" t="str">
        <f>IF(AT131&lt;0,"       NM",(AX131/AT131-1)*100)</f>
        <v xml:space="preserve">       NM</v>
      </c>
      <c r="AZ131" s="487"/>
      <c r="BA131" s="487"/>
      <c r="BB131" s="864">
        <f>BB102-BB121</f>
        <v>-129.62700000000007</v>
      </c>
      <c r="BC131" s="783" t="str">
        <f>IF(AX131&lt;0,"       NM",(BB131/AX131-1)*100)</f>
        <v xml:space="preserve">       NM</v>
      </c>
      <c r="BD131" s="487"/>
      <c r="BE131" s="487"/>
      <c r="BF131" s="864"/>
      <c r="BG131" s="783"/>
      <c r="BH131" s="487"/>
      <c r="BI131" s="487"/>
      <c r="BJ131" s="864"/>
      <c r="BK131" s="783"/>
      <c r="BL131" s="487"/>
      <c r="BM131" s="487"/>
      <c r="BN131" s="864"/>
      <c r="BO131" s="783"/>
      <c r="BP131" s="487"/>
      <c r="BQ131" s="487"/>
      <c r="BR131" s="864">
        <f>BR93-BR112</f>
        <v>230.81900000000022</v>
      </c>
      <c r="BS131" s="783"/>
      <c r="BT131" s="487"/>
      <c r="BU131" s="487"/>
      <c r="BV131" s="864">
        <f>BV93-BV112</f>
        <v>251.26099999999991</v>
      </c>
      <c r="BW131" s="783"/>
      <c r="BX131" s="954"/>
      <c r="BY131" s="954"/>
      <c r="BZ131" s="864">
        <f>BZ93-BZ74-BZ112</f>
        <v>256.84699999999998</v>
      </c>
      <c r="CA131" s="783"/>
      <c r="CB131" s="954"/>
      <c r="CC131" s="954"/>
      <c r="CD131" s="864"/>
      <c r="CE131" s="783"/>
      <c r="CF131" s="954"/>
      <c r="CG131" s="954"/>
      <c r="CH131" s="864">
        <f>CH93-CH74-CH112</f>
        <v>372.30899999999974</v>
      </c>
      <c r="CI131" s="783"/>
      <c r="CJ131" s="954"/>
      <c r="CK131" s="954"/>
      <c r="CL131" s="864">
        <f>CL93-CL74-CL112</f>
        <v>406.48699999999917</v>
      </c>
      <c r="CM131" s="783"/>
      <c r="CN131" s="954"/>
      <c r="CO131" s="954"/>
      <c r="CP131" s="864"/>
      <c r="CQ131" s="783"/>
      <c r="CR131" s="954"/>
      <c r="CS131" s="954"/>
      <c r="CT131" s="864"/>
      <c r="CU131" s="783"/>
      <c r="CV131" s="954"/>
      <c r="CW131" s="794"/>
      <c r="CX131" s="864"/>
      <c r="CY131" s="783"/>
      <c r="CZ131" s="954"/>
      <c r="DA131" s="794"/>
      <c r="DB131" s="864"/>
      <c r="DC131" s="783"/>
      <c r="DD131" s="954"/>
      <c r="DE131" s="794"/>
      <c r="DF131" s="864"/>
      <c r="DG131" s="783"/>
      <c r="DH131" s="954"/>
      <c r="DI131" s="794"/>
      <c r="DJ131" s="864"/>
      <c r="DK131" s="783"/>
      <c r="DL131" s="954"/>
      <c r="DM131" s="794"/>
      <c r="DN131" s="864"/>
      <c r="DO131" s="783"/>
      <c r="DP131" s="954"/>
      <c r="DQ131" s="794"/>
      <c r="DR131" s="794"/>
      <c r="DS131" s="794"/>
      <c r="DT131" s="794"/>
      <c r="DU131" s="794"/>
      <c r="DV131" s="794"/>
      <c r="DW131" s="794"/>
      <c r="DX131" s="794"/>
      <c r="DY131" s="794"/>
      <c r="DZ131" s="794"/>
      <c r="EA131" s="794"/>
      <c r="EB131" s="794"/>
    </row>
    <row r="132" spans="1:132">
      <c r="A132" s="499" t="str">
        <f>$A$13</f>
        <v>4Q</v>
      </c>
      <c r="B132" s="499" t="str">
        <f>$B$13</f>
        <v>Jan</v>
      </c>
      <c r="C132" s="487"/>
      <c r="D132" s="864"/>
      <c r="E132" s="487"/>
      <c r="F132" s="864">
        <f>F103-F122</f>
        <v>-29.841000000000008</v>
      </c>
      <c r="G132" s="783"/>
      <c r="H132" s="487"/>
      <c r="I132" s="487"/>
      <c r="J132" s="864">
        <f>J103-J122</f>
        <v>-27.431000000000029</v>
      </c>
      <c r="K132" s="783" t="str">
        <f>IF(F132&lt;0,"       NM",(J132/F132-1)*100)</f>
        <v xml:space="preserve">       NM</v>
      </c>
      <c r="L132" s="487"/>
      <c r="M132" s="487"/>
      <c r="N132" s="948">
        <f>N103-N122</f>
        <v>-40.514000000000038</v>
      </c>
      <c r="O132" s="783" t="str">
        <f>IF(J132&lt;0,"       NM",(N132/J132-1)*100)</f>
        <v xml:space="preserve">       NM</v>
      </c>
      <c r="P132" s="487"/>
      <c r="Q132" s="487"/>
      <c r="R132" s="948">
        <f>R103-R122</f>
        <v>-43.32699999999997</v>
      </c>
      <c r="S132" s="783" t="str">
        <f>IF(N132&lt;0,"       NM",(R132/N132-1)*100)</f>
        <v xml:space="preserve">       NM</v>
      </c>
      <c r="T132" s="487"/>
      <c r="U132" s="487"/>
      <c r="V132" s="948">
        <f>V103-V122</f>
        <v>-32.547000000000061</v>
      </c>
      <c r="W132" s="783" t="str">
        <f>IF(R132&lt;0,"       NM",(V132/R132-1)*100)</f>
        <v xml:space="preserve">       NM</v>
      </c>
      <c r="X132" s="487"/>
      <c r="Y132" s="487"/>
      <c r="Z132" s="948">
        <f>Z103-Z122</f>
        <v>-26.66</v>
      </c>
      <c r="AA132" s="783" t="str">
        <f>IF(V132&lt;0,"       NM",(Z132/V132-1)*100)</f>
        <v xml:space="preserve">       NM</v>
      </c>
      <c r="AB132" s="783"/>
      <c r="AC132" s="487"/>
      <c r="AD132" s="864">
        <f>AD103-AD122</f>
        <v>-81.590000000000131</v>
      </c>
      <c r="AE132" s="783" t="str">
        <f>IF(Z132&lt;0,"       NM",(AD132/Z132-1)*100)</f>
        <v xml:space="preserve">       NM</v>
      </c>
      <c r="AF132" s="487"/>
      <c r="AG132" s="487"/>
      <c r="AH132" s="864">
        <f>AH103-AH122</f>
        <v>-106.94200000000009</v>
      </c>
      <c r="AI132" s="783" t="str">
        <f>IF(AD132&lt;0,"       NM",(AH132/AD132-1)*100)</f>
        <v xml:space="preserve">       NM</v>
      </c>
      <c r="AJ132" s="487"/>
      <c r="AK132" s="487"/>
      <c r="AL132" s="864">
        <f>AL103-AL122</f>
        <v>-128.33699999999993</v>
      </c>
      <c r="AM132" s="783" t="str">
        <f>IF(AH132&lt;0,"       NM",(AL132/AH132-1)*100)</f>
        <v xml:space="preserve">       NM</v>
      </c>
      <c r="AN132" s="487"/>
      <c r="AO132" s="487"/>
      <c r="AP132" s="862">
        <f>AP103-AP122</f>
        <v>-151.7170000000001</v>
      </c>
      <c r="AQ132" s="783" t="str">
        <f>IF(AL132&lt;0,"       NM",(AP132/AL132-1)*100)</f>
        <v xml:space="preserve">       NM</v>
      </c>
      <c r="AR132" s="487"/>
      <c r="AS132" s="487"/>
      <c r="AT132" s="864">
        <f>AT103-AT122</f>
        <v>-158.274</v>
      </c>
      <c r="AU132" s="783" t="str">
        <f>IF(AP132&lt;0,"       NM",(AT132/AP132-1)*100)</f>
        <v xml:space="preserve">       NM</v>
      </c>
      <c r="AV132" s="487"/>
      <c r="AW132" s="487"/>
      <c r="AX132" s="864">
        <f>AX103-AX122</f>
        <v>-149.49799999999968</v>
      </c>
      <c r="AY132" s="783" t="str">
        <f>IF(AT132&lt;0,"       NM",(AX132/AT132-1)*100)</f>
        <v xml:space="preserve">       NM</v>
      </c>
      <c r="AZ132" s="487"/>
      <c r="BA132" s="487"/>
      <c r="BB132" s="864">
        <f>BB103-BB122</f>
        <v>-147.35499999999985</v>
      </c>
      <c r="BC132" s="783" t="str">
        <f>IF(AX132&lt;0,"       NM",(BB132/AX132-1)*100)</f>
        <v xml:space="preserve">       NM</v>
      </c>
      <c r="BD132" s="487"/>
      <c r="BE132" s="487"/>
      <c r="BF132" s="864"/>
      <c r="BG132" s="783"/>
      <c r="BH132" s="487"/>
      <c r="BI132" s="487"/>
      <c r="BJ132" s="864"/>
      <c r="BK132" s="783"/>
      <c r="BL132" s="487"/>
      <c r="BM132" s="487"/>
      <c r="BN132" s="864"/>
      <c r="BO132" s="783"/>
      <c r="BP132" s="487"/>
      <c r="BQ132" s="487"/>
      <c r="BR132" s="937">
        <f>BR94-BR113</f>
        <v>243.25100000000052</v>
      </c>
      <c r="BS132" s="903"/>
      <c r="BT132" s="487"/>
      <c r="BU132" s="487"/>
      <c r="BV132" s="937">
        <f>BV94-BV113</f>
        <v>303.86300000000017</v>
      </c>
      <c r="BW132" s="783"/>
      <c r="BX132" s="567"/>
      <c r="BY132" s="567"/>
      <c r="BZ132" s="937">
        <f>BZ94-BZ75-BZ113</f>
        <v>259.86099999999948</v>
      </c>
      <c r="CA132" s="783"/>
      <c r="CB132" s="567"/>
      <c r="CC132" s="567"/>
      <c r="CD132" s="864"/>
      <c r="CE132" s="783"/>
      <c r="CF132" s="567"/>
      <c r="CG132" s="567"/>
      <c r="CH132" s="937">
        <f>CH94-CH75-CH113</f>
        <v>329.85170000000005</v>
      </c>
      <c r="CI132" s="783"/>
      <c r="CJ132" s="567"/>
      <c r="CK132" s="567"/>
      <c r="CL132" s="937">
        <f>CL94-CL75-CL113</f>
        <v>475.31400000000008</v>
      </c>
      <c r="CM132" s="783"/>
      <c r="CN132" s="567"/>
      <c r="CO132" s="567"/>
      <c r="CP132" s="864"/>
      <c r="CQ132" s="783"/>
      <c r="CR132" s="567"/>
      <c r="CS132" s="567"/>
      <c r="CT132" s="864"/>
      <c r="CU132" s="783"/>
      <c r="CV132" s="567"/>
      <c r="CW132" s="794"/>
      <c r="CX132" s="864"/>
      <c r="CY132" s="783"/>
      <c r="CZ132" s="567"/>
      <c r="DA132" s="794"/>
      <c r="DB132" s="864"/>
      <c r="DC132" s="783"/>
      <c r="DD132" s="567"/>
      <c r="DE132" s="794"/>
      <c r="DF132" s="864"/>
      <c r="DG132" s="783"/>
      <c r="DH132" s="567"/>
      <c r="DI132" s="794"/>
      <c r="DJ132" s="864"/>
      <c r="DK132" s="783"/>
      <c r="DL132" s="567"/>
      <c r="DM132" s="794"/>
      <c r="DN132" s="864"/>
      <c r="DO132" s="783"/>
      <c r="DP132" s="567"/>
      <c r="DQ132" s="794"/>
      <c r="DR132" s="794"/>
      <c r="DS132" s="794"/>
      <c r="DT132" s="794"/>
      <c r="DU132" s="794"/>
      <c r="DV132" s="794"/>
      <c r="DW132" s="794"/>
      <c r="DX132" s="794"/>
      <c r="DY132" s="794"/>
      <c r="DZ132" s="794"/>
      <c r="EA132" s="794"/>
      <c r="EB132" s="794"/>
    </row>
    <row r="133" spans="1:132">
      <c r="A133" s="487"/>
      <c r="B133" s="487" t="str">
        <f>$B$14</f>
        <v>Year</v>
      </c>
      <c r="C133" s="499"/>
      <c r="D133" s="918"/>
      <c r="E133" s="499"/>
      <c r="F133" s="918">
        <f>F104-F123</f>
        <v>-15.283999999999986</v>
      </c>
      <c r="G133" s="910"/>
      <c r="H133" s="499"/>
      <c r="I133" s="499"/>
      <c r="J133" s="918">
        <f>J104-J123</f>
        <v>-14.034000000000306</v>
      </c>
      <c r="K133" s="910" t="str">
        <f>IF(F133&lt;0,"       NM",(J133/F133-1)*100)</f>
        <v xml:space="preserve">       NM</v>
      </c>
      <c r="L133" s="499"/>
      <c r="M133" s="499"/>
      <c r="N133" s="956">
        <f>N104-N123</f>
        <v>-29.35100000000001</v>
      </c>
      <c r="O133" s="910" t="str">
        <f>IF(J133&lt;0,"       NM",(N133/J133-1)*100)</f>
        <v xml:space="preserve">       NM</v>
      </c>
      <c r="P133" s="499"/>
      <c r="Q133" s="499"/>
      <c r="R133" s="956">
        <f>R104-R123</f>
        <v>-28.786999999999995</v>
      </c>
      <c r="S133" s="910" t="str">
        <f>IF(N133&lt;0,"       NM",(R133/N133-1)*100)</f>
        <v xml:space="preserve">       NM</v>
      </c>
      <c r="T133" s="499"/>
      <c r="U133" s="499"/>
      <c r="V133" s="956">
        <f>V104-V123</f>
        <v>-15.476999999999986</v>
      </c>
      <c r="W133" s="910" t="str">
        <f>IF(R133&lt;0,"       NM",(V133/R133-1)*100)</f>
        <v xml:space="preserve">       NM</v>
      </c>
      <c r="X133" s="499"/>
      <c r="Y133" s="499"/>
      <c r="Z133" s="956">
        <f>Z104-Z123</f>
        <v>-7.9820000000001112</v>
      </c>
      <c r="AA133" s="910" t="str">
        <f>IF(V133&lt;0,"       NM",(Z133/V133-1)*100)</f>
        <v xml:space="preserve">       NM</v>
      </c>
      <c r="AB133" s="910"/>
      <c r="AC133" s="499"/>
      <c r="AD133" s="918">
        <f>AD104-AD123</f>
        <v>-75.521999999999963</v>
      </c>
      <c r="AE133" s="910" t="str">
        <f>IF(Z133&lt;0,"       NM",(AD133/Z133-1)*100)</f>
        <v xml:space="preserve">       NM</v>
      </c>
      <c r="AF133" s="499"/>
      <c r="AG133" s="499"/>
      <c r="AH133" s="918">
        <f>AH104-AH123</f>
        <v>-98.611000000000104</v>
      </c>
      <c r="AI133" s="910" t="str">
        <f>IF(AD133&lt;0,"       NM",(AH133/AD133-1)*100)</f>
        <v xml:space="preserve">       NM</v>
      </c>
      <c r="AJ133" s="499"/>
      <c r="AK133" s="499"/>
      <c r="AL133" s="918">
        <f>AL104-AL123</f>
        <v>-136.33500000000021</v>
      </c>
      <c r="AM133" s="910" t="str">
        <f>IF(AH133&lt;0,"       NM",(AL133/AH133-1)*100)</f>
        <v xml:space="preserve">       NM</v>
      </c>
      <c r="AN133" s="499"/>
      <c r="AO133" s="499"/>
      <c r="AP133" s="957">
        <f>AP104-AP123</f>
        <v>-136.95000000000022</v>
      </c>
      <c r="AQ133" s="910" t="str">
        <f>IF(AL133&lt;0,"       NM",(AP133/AL133-1)*100)</f>
        <v xml:space="preserve">       NM</v>
      </c>
      <c r="AR133" s="499"/>
      <c r="AS133" s="499"/>
      <c r="AT133" s="918">
        <f>AT104-AT123</f>
        <v>-135.1789999999998</v>
      </c>
      <c r="AU133" s="910" t="str">
        <f>IF(AP133&lt;0,"       NM",(AT133/AP133-1)*100)</f>
        <v xml:space="preserve">       NM</v>
      </c>
      <c r="AV133" s="499"/>
      <c r="AW133" s="499"/>
      <c r="AX133" s="918">
        <f>AX104-AX123</f>
        <v>-155.31999999999977</v>
      </c>
      <c r="AY133" s="910" t="str">
        <f>IF(AT133&lt;0,"       NM",(AX133/AT133-1)*100)</f>
        <v xml:space="preserve">       NM</v>
      </c>
      <c r="AZ133" s="499"/>
      <c r="BA133" s="499"/>
      <c r="BB133" s="918">
        <f>BB104-BB123</f>
        <v>-154.30300000000034</v>
      </c>
      <c r="BC133" s="910" t="str">
        <f>IF(AX133&lt;0,"       NM",(BB133/AX133-1)*100)</f>
        <v xml:space="preserve">       NM</v>
      </c>
      <c r="BD133" s="499"/>
      <c r="BE133" s="499"/>
      <c r="BF133" s="918"/>
      <c r="BG133" s="910"/>
      <c r="BH133" s="499"/>
      <c r="BI133" s="499"/>
      <c r="BJ133" s="918"/>
      <c r="BK133" s="910"/>
      <c r="BL133" s="499"/>
      <c r="BM133" s="499"/>
      <c r="BN133" s="918"/>
      <c r="BO133" s="910"/>
      <c r="BP133" s="499"/>
      <c r="BQ133" s="499"/>
      <c r="BR133" s="958">
        <f>SUM(BR129:BR132)</f>
        <v>776.75600000000065</v>
      </c>
      <c r="BS133" s="910"/>
      <c r="BT133" s="956"/>
      <c r="BU133" s="499"/>
      <c r="BV133" s="859">
        <f>SUM(BV129:BV132)</f>
        <v>782.43204999999978</v>
      </c>
      <c r="BW133" s="910"/>
      <c r="BX133" s="499"/>
      <c r="BY133" s="499"/>
      <c r="BZ133" s="859">
        <f>SUM(BZ129:BZ132)</f>
        <v>922.62999999999965</v>
      </c>
      <c r="CA133" s="910"/>
      <c r="CB133" s="499"/>
      <c r="CC133" s="499"/>
      <c r="CD133" s="918"/>
      <c r="CE133" s="910"/>
      <c r="CF133" s="499"/>
      <c r="CG133" s="499"/>
      <c r="CH133" s="859">
        <f>SUM(CH129:CH132)</f>
        <v>1343.1409499999995</v>
      </c>
      <c r="CI133" s="910"/>
      <c r="CJ133" s="499"/>
      <c r="CK133" s="499"/>
      <c r="CL133" s="859">
        <f>SUM(CL129:CL132)</f>
        <v>1496.0898739999998</v>
      </c>
      <c r="CM133" s="910"/>
      <c r="CN133" s="499"/>
      <c r="CO133" s="499"/>
      <c r="CP133" s="918"/>
      <c r="CQ133" s="910"/>
      <c r="CR133" s="499"/>
      <c r="CS133" s="499"/>
      <c r="CT133" s="918"/>
      <c r="CU133" s="910"/>
      <c r="CV133" s="499"/>
      <c r="CW133" s="804"/>
      <c r="CX133" s="918"/>
      <c r="CY133" s="910"/>
      <c r="CZ133" s="499"/>
      <c r="DA133" s="804"/>
      <c r="DB133" s="918"/>
      <c r="DC133" s="910"/>
      <c r="DD133" s="499"/>
      <c r="DE133" s="804"/>
      <c r="DF133" s="918"/>
      <c r="DG133" s="910"/>
      <c r="DH133" s="499"/>
      <c r="DI133" s="804"/>
      <c r="DJ133" s="918"/>
      <c r="DK133" s="910"/>
      <c r="DL133" s="499"/>
      <c r="DM133" s="804"/>
      <c r="DN133" s="918"/>
      <c r="DO133" s="910"/>
      <c r="DP133" s="499"/>
      <c r="DQ133" s="804"/>
      <c r="DR133" s="804"/>
      <c r="DS133" s="804"/>
      <c r="DT133" s="804"/>
      <c r="DU133" s="804"/>
      <c r="DV133" s="804"/>
      <c r="DW133" s="804"/>
      <c r="DX133" s="804"/>
      <c r="DY133" s="804"/>
      <c r="DZ133" s="804"/>
      <c r="EA133" s="804"/>
      <c r="EB133" s="804"/>
    </row>
    <row r="134" spans="1:132">
      <c r="A134" s="487"/>
      <c r="B134" s="487"/>
      <c r="C134" s="487"/>
      <c r="D134" s="859"/>
      <c r="E134" s="487"/>
      <c r="F134" s="859"/>
      <c r="G134" s="783"/>
      <c r="H134" s="487"/>
      <c r="I134" s="487"/>
      <c r="J134" s="859"/>
      <c r="K134" s="783"/>
      <c r="L134" s="487"/>
      <c r="M134" s="487"/>
      <c r="N134" s="862"/>
      <c r="O134" s="783"/>
      <c r="P134" s="487"/>
      <c r="Q134" s="487"/>
      <c r="R134" s="859"/>
      <c r="S134" s="783"/>
      <c r="T134" s="487"/>
      <c r="U134" s="487"/>
      <c r="V134" s="859"/>
      <c r="W134" s="783"/>
      <c r="X134" s="487"/>
      <c r="Y134" s="487"/>
      <c r="Z134" s="859"/>
      <c r="AA134" s="783"/>
      <c r="AB134" s="783"/>
      <c r="AC134" s="487"/>
      <c r="AD134" s="859"/>
      <c r="AE134" s="783"/>
      <c r="AF134" s="487"/>
      <c r="AG134" s="487"/>
      <c r="AH134" s="859"/>
      <c r="AI134" s="783"/>
      <c r="AJ134" s="487"/>
      <c r="AK134" s="487"/>
      <c r="AL134" s="862"/>
      <c r="AM134" s="783"/>
      <c r="AN134" s="487"/>
      <c r="AO134" s="487"/>
      <c r="AP134" s="862"/>
      <c r="AQ134" s="783"/>
      <c r="AR134" s="487"/>
      <c r="AS134" s="487"/>
      <c r="AT134" s="859"/>
      <c r="AU134" s="783"/>
      <c r="AV134" s="487"/>
      <c r="AW134" s="487"/>
      <c r="AX134" s="859"/>
      <c r="AY134" s="783"/>
      <c r="AZ134" s="487"/>
      <c r="BA134" s="487"/>
      <c r="BB134" s="859"/>
      <c r="BC134" s="783"/>
      <c r="BD134" s="487"/>
      <c r="BE134" s="487"/>
      <c r="BF134" s="859"/>
      <c r="BG134" s="783"/>
      <c r="BH134" s="487"/>
      <c r="BI134" s="487"/>
      <c r="BJ134" s="859"/>
      <c r="BK134" s="783"/>
      <c r="BL134" s="487"/>
      <c r="BM134" s="487"/>
      <c r="BN134" s="859"/>
      <c r="BO134" s="783"/>
      <c r="BP134" s="487"/>
      <c r="BQ134" s="487"/>
      <c r="BR134" s="859"/>
      <c r="BS134" s="783"/>
      <c r="BT134" s="487"/>
      <c r="BU134" s="487"/>
      <c r="BV134" s="859"/>
      <c r="BW134" s="783"/>
      <c r="BX134" s="487"/>
      <c r="BY134" s="487"/>
      <c r="BZ134" s="859"/>
      <c r="CA134" s="903"/>
      <c r="CB134" s="487"/>
      <c r="CC134" s="487"/>
      <c r="CD134" s="859"/>
      <c r="CE134" s="783"/>
      <c r="CF134" s="487"/>
      <c r="CG134" s="487"/>
      <c r="CH134" s="948"/>
      <c r="CI134" s="783"/>
      <c r="CJ134" s="487"/>
      <c r="CK134" s="487"/>
      <c r="CL134" s="862"/>
      <c r="CM134" s="783"/>
      <c r="CN134" s="487"/>
      <c r="CO134" s="487"/>
      <c r="CP134" s="859"/>
      <c r="CQ134" s="783"/>
      <c r="CR134" s="487"/>
      <c r="CS134" s="487"/>
      <c r="CT134" s="859"/>
      <c r="CU134" s="783"/>
      <c r="CV134" s="487"/>
      <c r="CW134" s="794"/>
      <c r="CX134" s="859"/>
      <c r="CY134" s="783"/>
      <c r="CZ134" s="487"/>
      <c r="DA134" s="794"/>
      <c r="DB134" s="859"/>
      <c r="DC134" s="783"/>
      <c r="DD134" s="487"/>
      <c r="DE134" s="794"/>
      <c r="DF134" s="859"/>
      <c r="DG134" s="783"/>
      <c r="DH134" s="487"/>
      <c r="DI134" s="794"/>
      <c r="DJ134" s="859"/>
      <c r="DK134" s="783"/>
      <c r="DL134" s="487"/>
      <c r="DM134" s="794"/>
      <c r="DN134" s="859"/>
      <c r="DO134" s="783"/>
      <c r="DP134" s="487"/>
      <c r="DQ134" s="794"/>
      <c r="DR134" s="794"/>
      <c r="DS134" s="794"/>
      <c r="DT134" s="794"/>
      <c r="DU134" s="794"/>
      <c r="DV134" s="794"/>
      <c r="DW134" s="794"/>
      <c r="DX134" s="794"/>
      <c r="DY134" s="794"/>
      <c r="DZ134" s="794"/>
      <c r="EA134" s="794"/>
      <c r="EB134" s="794"/>
    </row>
    <row r="135" spans="1:132" hidden="1" outlineLevel="1">
      <c r="A135" s="487"/>
      <c r="B135" s="487"/>
      <c r="C135" s="807"/>
      <c r="D135" s="807"/>
      <c r="E135" s="809"/>
      <c r="F135" s="809" t="str">
        <f>Z135</f>
        <v>9.  Extraordinary items   (% Change)</v>
      </c>
      <c r="G135" s="811"/>
      <c r="H135" s="811"/>
      <c r="I135" s="811"/>
      <c r="J135" s="809"/>
      <c r="K135" s="811"/>
      <c r="L135" s="811"/>
      <c r="M135" s="811"/>
      <c r="N135" s="809"/>
      <c r="O135" s="811"/>
      <c r="P135" s="811"/>
      <c r="Q135" s="811"/>
      <c r="R135" s="809"/>
      <c r="S135" s="811"/>
      <c r="T135" s="811"/>
      <c r="U135" s="811"/>
      <c r="V135" s="809"/>
      <c r="W135" s="811"/>
      <c r="X135" s="811"/>
      <c r="Y135" s="487"/>
      <c r="Z135" s="809" t="s">
        <v>183</v>
      </c>
      <c r="AA135" s="811"/>
      <c r="AB135" s="811"/>
      <c r="AC135" s="811"/>
      <c r="AD135" s="809"/>
      <c r="AE135" s="811"/>
      <c r="AF135" s="811"/>
      <c r="AG135" s="811"/>
      <c r="AH135" s="809"/>
      <c r="AI135" s="811"/>
      <c r="AJ135" s="811"/>
      <c r="AK135" s="811"/>
      <c r="AL135" s="809"/>
      <c r="AM135" s="811"/>
      <c r="AN135" s="811"/>
      <c r="AO135" s="702"/>
      <c r="AP135" s="809" t="s">
        <v>183</v>
      </c>
      <c r="AQ135" s="811"/>
      <c r="AR135" s="811"/>
      <c r="AS135" s="811"/>
      <c r="AT135" s="487"/>
      <c r="AU135" s="811"/>
      <c r="AV135" s="811"/>
      <c r="AW135" s="811"/>
      <c r="AX135" s="809"/>
      <c r="AY135" s="811"/>
      <c r="AZ135" s="811"/>
      <c r="BA135" s="811"/>
      <c r="BB135" s="809"/>
      <c r="BC135" s="811"/>
      <c r="BD135" s="811"/>
      <c r="BE135" s="811"/>
      <c r="BF135" s="809" t="s">
        <v>300</v>
      </c>
      <c r="BG135" s="811"/>
      <c r="BH135" s="811"/>
      <c r="BI135" s="811"/>
      <c r="BJ135" s="959"/>
      <c r="BK135" s="811"/>
      <c r="BL135" s="811"/>
      <c r="BM135" s="811"/>
      <c r="BN135" s="809"/>
      <c r="BO135" s="811"/>
      <c r="BP135" s="811"/>
      <c r="BQ135" s="811"/>
      <c r="BR135" s="809"/>
      <c r="BS135" s="811"/>
      <c r="BT135" s="811"/>
      <c r="BU135" s="811"/>
      <c r="BV135" s="809"/>
      <c r="BW135" s="811"/>
      <c r="BX135" s="811"/>
      <c r="BY135" s="811"/>
      <c r="BZ135" s="809"/>
      <c r="CA135" s="811"/>
      <c r="CB135" s="811"/>
      <c r="CC135" s="811"/>
      <c r="CD135" s="809"/>
      <c r="CE135" s="811"/>
      <c r="CF135" s="811"/>
      <c r="CG135" s="811"/>
      <c r="CH135" s="809"/>
      <c r="CI135" s="811"/>
      <c r="CJ135" s="811"/>
      <c r="CK135" s="811"/>
      <c r="CL135" s="809"/>
      <c r="CM135" s="811"/>
      <c r="CN135" s="811"/>
      <c r="CO135" s="811"/>
      <c r="CP135" s="809"/>
      <c r="CQ135" s="811"/>
      <c r="CR135" s="811"/>
      <c r="CS135" s="811"/>
      <c r="CT135" s="809"/>
      <c r="CU135" s="811"/>
      <c r="CV135" s="811"/>
      <c r="CW135" s="794"/>
      <c r="CX135" s="809"/>
      <c r="CY135" s="811"/>
      <c r="CZ135" s="811"/>
      <c r="DA135" s="794"/>
      <c r="DB135" s="809"/>
      <c r="DC135" s="811"/>
      <c r="DD135" s="811"/>
      <c r="DE135" s="794"/>
      <c r="DF135" s="809"/>
      <c r="DG135" s="811"/>
      <c r="DH135" s="811"/>
      <c r="DI135" s="794"/>
      <c r="DJ135" s="809"/>
      <c r="DK135" s="811"/>
      <c r="DL135" s="811"/>
      <c r="DM135" s="794"/>
      <c r="DN135" s="809"/>
      <c r="DO135" s="811"/>
      <c r="DP135" s="811"/>
      <c r="DQ135" s="794"/>
      <c r="DR135" s="794"/>
      <c r="DS135" s="794"/>
      <c r="DT135" s="794"/>
      <c r="DU135" s="794"/>
      <c r="DV135" s="794"/>
      <c r="DW135" s="794"/>
      <c r="DX135" s="794"/>
      <c r="DY135" s="794"/>
      <c r="DZ135" s="794"/>
      <c r="EA135" s="794"/>
      <c r="EB135" s="794"/>
    </row>
    <row r="136" spans="1:132" hidden="1" outlineLevel="1">
      <c r="A136" s="487"/>
      <c r="B136" s="487"/>
      <c r="C136" s="487"/>
      <c r="D136" s="487"/>
      <c r="E136" s="487"/>
      <c r="F136" s="487"/>
      <c r="G136" s="487"/>
      <c r="H136" s="487"/>
      <c r="I136" s="487"/>
      <c r="J136" s="487"/>
      <c r="K136" s="487"/>
      <c r="L136" s="487"/>
      <c r="M136" s="487"/>
      <c r="N136" s="487"/>
      <c r="O136" s="487"/>
      <c r="P136" s="487"/>
      <c r="Q136" s="487"/>
      <c r="R136" s="487"/>
      <c r="S136" s="487"/>
      <c r="T136" s="487"/>
      <c r="U136" s="487"/>
      <c r="V136" s="487"/>
      <c r="W136" s="487"/>
      <c r="X136" s="487"/>
      <c r="Y136" s="487"/>
      <c r="Z136" s="487"/>
      <c r="AA136" s="487"/>
      <c r="AB136" s="487"/>
      <c r="AC136" s="487"/>
      <c r="AD136" s="487"/>
      <c r="AE136" s="487"/>
      <c r="AF136" s="487"/>
      <c r="AG136" s="487"/>
      <c r="AH136" s="487"/>
      <c r="AI136" s="487"/>
      <c r="AJ136" s="487"/>
      <c r="AK136" s="487"/>
      <c r="AL136" s="487"/>
      <c r="AM136" s="487"/>
      <c r="AN136" s="487"/>
      <c r="AO136" s="487"/>
      <c r="AP136" s="487"/>
      <c r="AQ136" s="487"/>
      <c r="AR136" s="487"/>
      <c r="AS136" s="487"/>
      <c r="AT136" s="487"/>
      <c r="AU136" s="487"/>
      <c r="AV136" s="487"/>
      <c r="AW136" s="487"/>
      <c r="AX136" s="487"/>
      <c r="AY136" s="487"/>
      <c r="AZ136" s="487"/>
      <c r="BA136" s="487"/>
      <c r="BB136" s="487"/>
      <c r="BC136" s="487"/>
      <c r="BD136" s="487"/>
      <c r="BE136" s="487"/>
      <c r="BF136" s="487"/>
      <c r="BG136" s="487"/>
      <c r="BH136" s="487"/>
      <c r="BI136" s="487"/>
      <c r="BJ136" s="487"/>
      <c r="BK136" s="487"/>
      <c r="BL136" s="487"/>
      <c r="BM136" s="487"/>
      <c r="BN136" s="487"/>
      <c r="BO136" s="487"/>
      <c r="BP136" s="487"/>
      <c r="BQ136" s="487"/>
      <c r="BR136" s="960"/>
      <c r="BS136" s="487"/>
      <c r="BT136" s="487"/>
      <c r="BU136" s="487"/>
      <c r="BV136" s="487"/>
      <c r="BW136" s="487"/>
      <c r="BX136" s="487"/>
      <c r="BY136" s="487"/>
      <c r="BZ136" s="487"/>
      <c r="CA136" s="487"/>
      <c r="CB136" s="487"/>
      <c r="CC136" s="487"/>
      <c r="CD136" s="487"/>
      <c r="CE136" s="487"/>
      <c r="CF136" s="487"/>
      <c r="CG136" s="487"/>
      <c r="CH136" s="487"/>
      <c r="CI136" s="487"/>
      <c r="CJ136" s="487"/>
      <c r="CK136" s="487"/>
      <c r="CL136" s="487"/>
      <c r="CM136" s="487"/>
      <c r="CN136" s="487"/>
      <c r="CO136" s="487"/>
      <c r="CP136" s="487"/>
      <c r="CQ136" s="487"/>
      <c r="CR136" s="487"/>
      <c r="CS136" s="487"/>
      <c r="CT136" s="487"/>
      <c r="CU136" s="487"/>
      <c r="CV136" s="487"/>
      <c r="CW136" s="794"/>
      <c r="CX136" s="487"/>
      <c r="CY136" s="487"/>
      <c r="CZ136" s="487"/>
      <c r="DA136" s="794"/>
      <c r="DB136" s="487"/>
      <c r="DC136" s="487"/>
      <c r="DD136" s="487"/>
      <c r="DE136" s="794"/>
      <c r="DF136" s="487"/>
      <c r="DG136" s="487"/>
      <c r="DH136" s="487"/>
      <c r="DI136" s="794"/>
      <c r="DJ136" s="487"/>
      <c r="DK136" s="487"/>
      <c r="DL136" s="487"/>
      <c r="DM136" s="794"/>
      <c r="DN136" s="487"/>
      <c r="DO136" s="487"/>
      <c r="DP136" s="487"/>
      <c r="DQ136" s="794"/>
      <c r="DR136" s="794"/>
      <c r="DS136" s="794"/>
      <c r="DT136" s="794"/>
      <c r="DU136" s="794"/>
      <c r="DV136" s="794"/>
      <c r="DW136" s="794"/>
      <c r="DX136" s="794"/>
      <c r="DY136" s="794"/>
      <c r="DZ136" s="794"/>
      <c r="EA136" s="794"/>
      <c r="EB136" s="794"/>
    </row>
    <row r="137" spans="1:132" hidden="1" outlineLevel="1">
      <c r="A137" s="487" t="str">
        <f>$A$10</f>
        <v>1Q</v>
      </c>
      <c r="B137" s="487" t="str">
        <f>$B$10</f>
        <v>Apr</v>
      </c>
      <c r="C137" s="487"/>
      <c r="D137" s="859"/>
      <c r="E137" s="487"/>
      <c r="F137" s="859"/>
      <c r="G137" s="783"/>
      <c r="H137" s="487"/>
      <c r="I137" s="487"/>
      <c r="J137" s="859"/>
      <c r="K137" s="783"/>
      <c r="L137" s="487"/>
      <c r="M137" s="487"/>
      <c r="N137" s="859">
        <v>-1.198</v>
      </c>
      <c r="O137" s="783"/>
      <c r="P137" s="487"/>
      <c r="Q137" s="487"/>
      <c r="R137" s="859">
        <f>-6.145+3.478+(22.657-19.313)</f>
        <v>0.67700000000000182</v>
      </c>
      <c r="S137" s="783"/>
      <c r="T137" s="487"/>
      <c r="U137" s="487"/>
      <c r="V137" s="859">
        <f>19.369-19.293</f>
        <v>7.6000000000000512E-2</v>
      </c>
      <c r="W137" s="783"/>
      <c r="X137" s="487"/>
      <c r="Y137" s="487"/>
      <c r="Z137" s="859">
        <f>-1.445-(7.372-9.51)</f>
        <v>0.69299999999999984</v>
      </c>
      <c r="AA137" s="783"/>
      <c r="AB137" s="783"/>
      <c r="AC137" s="487"/>
      <c r="AD137" s="859">
        <v>7.0620000000000003</v>
      </c>
      <c r="AE137" s="783"/>
      <c r="AF137" s="487"/>
      <c r="AG137" s="487"/>
      <c r="AH137" s="859">
        <v>0</v>
      </c>
      <c r="AI137" s="783"/>
      <c r="AJ137" s="487"/>
      <c r="AK137" s="487"/>
      <c r="AL137" s="859"/>
      <c r="AM137" s="783"/>
      <c r="AN137" s="487"/>
      <c r="AO137" s="487"/>
      <c r="AP137" s="859">
        <v>-5.1539999999999999</v>
      </c>
      <c r="AQ137" s="783"/>
      <c r="AR137" s="487"/>
      <c r="AS137" s="487"/>
      <c r="AT137" s="859"/>
      <c r="AU137" s="783"/>
      <c r="AV137" s="487"/>
      <c r="AW137" s="487"/>
      <c r="AX137" s="859"/>
      <c r="AY137" s="783"/>
      <c r="AZ137" s="487"/>
      <c r="BA137" s="487"/>
      <c r="BB137" s="859">
        <v>0</v>
      </c>
      <c r="BC137" s="783"/>
      <c r="BD137" s="487"/>
      <c r="BE137" s="487"/>
      <c r="BF137" s="859"/>
      <c r="BG137" s="783"/>
      <c r="BH137" s="487"/>
      <c r="BI137" s="487"/>
      <c r="BJ137" s="859"/>
      <c r="BK137" s="783"/>
      <c r="BL137" s="487"/>
      <c r="BM137" s="487"/>
      <c r="BN137" s="859"/>
      <c r="BO137" s="783"/>
      <c r="BP137" s="487"/>
      <c r="BQ137" s="487"/>
      <c r="BR137" s="859"/>
      <c r="BS137" s="783"/>
      <c r="BT137" s="487"/>
      <c r="BU137" s="487"/>
      <c r="BV137" s="859"/>
      <c r="BW137" s="783"/>
      <c r="BX137" s="487"/>
      <c r="BY137" s="487"/>
      <c r="BZ137" s="859"/>
      <c r="CA137" s="783"/>
      <c r="CB137" s="487"/>
      <c r="CC137" s="487"/>
      <c r="CD137" s="859"/>
      <c r="CE137" s="783"/>
      <c r="CF137" s="487"/>
      <c r="CG137" s="487"/>
      <c r="CH137" s="859"/>
      <c r="CI137" s="783"/>
      <c r="CJ137" s="487"/>
      <c r="CK137" s="487"/>
      <c r="CL137" s="859"/>
      <c r="CM137" s="783"/>
      <c r="CN137" s="487"/>
      <c r="CO137" s="487"/>
      <c r="CP137" s="859"/>
      <c r="CQ137" s="783"/>
      <c r="CR137" s="487"/>
      <c r="CS137" s="487"/>
      <c r="CT137" s="859"/>
      <c r="CU137" s="783"/>
      <c r="CV137" s="487"/>
      <c r="CW137" s="794"/>
      <c r="CX137" s="859"/>
      <c r="CY137" s="783"/>
      <c r="CZ137" s="487"/>
      <c r="DA137" s="794"/>
      <c r="DB137" s="859"/>
      <c r="DC137" s="783"/>
      <c r="DD137" s="487"/>
      <c r="DE137" s="794"/>
      <c r="DF137" s="859"/>
      <c r="DG137" s="783"/>
      <c r="DH137" s="487"/>
      <c r="DI137" s="794"/>
      <c r="DJ137" s="859"/>
      <c r="DK137" s="783"/>
      <c r="DL137" s="487"/>
      <c r="DM137" s="794"/>
      <c r="DN137" s="859"/>
      <c r="DO137" s="783"/>
      <c r="DP137" s="487"/>
      <c r="DQ137" s="794"/>
      <c r="DR137" s="794"/>
      <c r="DS137" s="794"/>
      <c r="DT137" s="794"/>
      <c r="DU137" s="794"/>
      <c r="DV137" s="794"/>
      <c r="DW137" s="794"/>
      <c r="DX137" s="794"/>
      <c r="DY137" s="794"/>
      <c r="DZ137" s="794"/>
      <c r="EA137" s="794"/>
      <c r="EB137" s="794"/>
    </row>
    <row r="138" spans="1:132" hidden="1" outlineLevel="1">
      <c r="A138" s="487" t="str">
        <f>$A$11</f>
        <v>2Q</v>
      </c>
      <c r="B138" s="487" t="str">
        <f>$B$11</f>
        <v>Jul</v>
      </c>
      <c r="C138" s="487"/>
      <c r="D138" s="864"/>
      <c r="E138" s="487"/>
      <c r="F138" s="864"/>
      <c r="G138" s="783"/>
      <c r="H138" s="487"/>
      <c r="I138" s="487"/>
      <c r="J138" s="864"/>
      <c r="K138" s="783"/>
      <c r="L138" s="487"/>
      <c r="M138" s="487"/>
      <c r="N138" s="864"/>
      <c r="O138" s="783"/>
      <c r="P138" s="487"/>
      <c r="Q138" s="487"/>
      <c r="R138" s="864">
        <f>25.985-19.839</f>
        <v>6.1460000000000008</v>
      </c>
      <c r="S138" s="783"/>
      <c r="T138" s="487"/>
      <c r="U138" s="487"/>
      <c r="V138" s="864">
        <f>-0.999+(19.795-17.163)</f>
        <v>1.6330000000000013</v>
      </c>
      <c r="W138" s="783"/>
      <c r="X138" s="487"/>
      <c r="Y138" s="487"/>
      <c r="Z138" s="864">
        <f>-0.855-31.7-(9.575-7.713)</f>
        <v>-34.417000000000002</v>
      </c>
      <c r="AA138" s="783"/>
      <c r="AB138" s="783"/>
      <c r="AC138" s="487"/>
      <c r="AD138" s="864">
        <v>2.3639999999999999</v>
      </c>
      <c r="AE138" s="903"/>
      <c r="AF138" s="487"/>
      <c r="AG138" s="487"/>
      <c r="AH138" s="864">
        <v>0</v>
      </c>
      <c r="AI138" s="783"/>
      <c r="AJ138" s="487"/>
      <c r="AK138" s="487"/>
      <c r="AL138" s="864"/>
      <c r="AM138" s="783"/>
      <c r="AN138" s="487"/>
      <c r="AO138" s="487"/>
      <c r="AP138" s="864"/>
      <c r="AQ138" s="783"/>
      <c r="AR138" s="487"/>
      <c r="AS138" s="487"/>
      <c r="AT138" s="864"/>
      <c r="AU138" s="783"/>
      <c r="AV138" s="487"/>
      <c r="AW138" s="487"/>
      <c r="AX138" s="864"/>
      <c r="AY138" s="783"/>
      <c r="AZ138" s="487"/>
      <c r="BA138" s="487"/>
      <c r="BB138" s="864">
        <v>0</v>
      </c>
      <c r="BC138" s="783"/>
      <c r="BD138" s="487"/>
      <c r="BE138" s="487"/>
      <c r="BF138" s="864"/>
      <c r="BG138" s="783"/>
      <c r="BH138" s="487"/>
      <c r="BI138" s="487"/>
      <c r="BJ138" s="864"/>
      <c r="BK138" s="783"/>
      <c r="BL138" s="487"/>
      <c r="BM138" s="487"/>
      <c r="BN138" s="864"/>
      <c r="BO138" s="783"/>
      <c r="BP138" s="487"/>
      <c r="BQ138" s="487"/>
      <c r="BR138" s="948"/>
      <c r="BS138" s="783"/>
      <c r="BT138" s="487"/>
      <c r="BU138" s="487"/>
      <c r="BV138" s="864"/>
      <c r="BW138" s="783"/>
      <c r="BX138" s="487"/>
      <c r="BY138" s="487"/>
      <c r="BZ138" s="864"/>
      <c r="CA138" s="783"/>
      <c r="CB138" s="487"/>
      <c r="CC138" s="487"/>
      <c r="CD138" s="864"/>
      <c r="CE138" s="783"/>
      <c r="CF138" s="487"/>
      <c r="CG138" s="487"/>
      <c r="CH138" s="864"/>
      <c r="CI138" s="783"/>
      <c r="CJ138" s="487"/>
      <c r="CK138" s="487"/>
      <c r="CL138" s="864"/>
      <c r="CM138" s="783"/>
      <c r="CN138" s="487"/>
      <c r="CO138" s="487"/>
      <c r="CP138" s="864"/>
      <c r="CQ138" s="783"/>
      <c r="CR138" s="487"/>
      <c r="CS138" s="487"/>
      <c r="CT138" s="864"/>
      <c r="CU138" s="783"/>
      <c r="CV138" s="487"/>
      <c r="CW138" s="794"/>
      <c r="CX138" s="864"/>
      <c r="CY138" s="783"/>
      <c r="CZ138" s="487"/>
      <c r="DA138" s="794"/>
      <c r="DB138" s="864"/>
      <c r="DC138" s="783"/>
      <c r="DD138" s="487"/>
      <c r="DE138" s="794"/>
      <c r="DF138" s="864"/>
      <c r="DG138" s="783"/>
      <c r="DH138" s="487"/>
      <c r="DI138" s="794"/>
      <c r="DJ138" s="864"/>
      <c r="DK138" s="783"/>
      <c r="DL138" s="487"/>
      <c r="DM138" s="794"/>
      <c r="DN138" s="864"/>
      <c r="DO138" s="783"/>
      <c r="DP138" s="487"/>
      <c r="DQ138" s="794"/>
      <c r="DR138" s="794"/>
      <c r="DS138" s="794"/>
      <c r="DT138" s="794"/>
      <c r="DU138" s="794"/>
      <c r="DV138" s="794"/>
      <c r="DW138" s="794"/>
      <c r="DX138" s="794"/>
      <c r="DY138" s="794"/>
      <c r="DZ138" s="794"/>
      <c r="EA138" s="794"/>
      <c r="EB138" s="794"/>
    </row>
    <row r="139" spans="1:132" hidden="1" outlineLevel="1">
      <c r="A139" s="487" t="str">
        <f>$A$12</f>
        <v>3Q</v>
      </c>
      <c r="B139" s="487" t="str">
        <f>$B$12</f>
        <v>Oct</v>
      </c>
      <c r="C139" s="487"/>
      <c r="D139" s="864"/>
      <c r="E139" s="487"/>
      <c r="F139" s="864"/>
      <c r="G139" s="783"/>
      <c r="H139" s="487"/>
      <c r="I139" s="487"/>
      <c r="J139" s="864"/>
      <c r="K139" s="783"/>
      <c r="L139" s="487"/>
      <c r="M139" s="487"/>
      <c r="N139" s="864"/>
      <c r="O139" s="783"/>
      <c r="P139" s="487"/>
      <c r="Q139" s="487"/>
      <c r="R139" s="864">
        <f>47.721-43.327</f>
        <v>4.3939999999999984</v>
      </c>
      <c r="S139" s="783"/>
      <c r="T139" s="487"/>
      <c r="U139" s="487"/>
      <c r="V139" s="864">
        <f>-1.808+(34.596-32.547)</f>
        <v>0.24099999999999944</v>
      </c>
      <c r="W139" s="783"/>
      <c r="X139" s="487"/>
      <c r="Y139" s="487"/>
      <c r="Z139" s="864">
        <v>7.2169999999999996</v>
      </c>
      <c r="AA139" s="783"/>
      <c r="AB139" s="903"/>
      <c r="AC139" s="487"/>
      <c r="AD139" s="864">
        <f>8.805-2.885</f>
        <v>5.92</v>
      </c>
      <c r="AE139" s="783"/>
      <c r="AF139" s="487"/>
      <c r="AG139" s="487"/>
      <c r="AH139" s="864">
        <v>-1.7769999999999999</v>
      </c>
      <c r="AI139" s="783"/>
      <c r="AJ139" s="487"/>
      <c r="AK139" s="487"/>
      <c r="AL139" s="918">
        <v>-9.048</v>
      </c>
      <c r="AM139" s="783"/>
      <c r="AN139" s="487"/>
      <c r="AO139" s="487"/>
      <c r="AP139" s="864"/>
      <c r="AQ139" s="783"/>
      <c r="AR139" s="487"/>
      <c r="AS139" s="487"/>
      <c r="AT139" s="864"/>
      <c r="AU139" s="783"/>
      <c r="AV139" s="487"/>
      <c r="AW139" s="487"/>
      <c r="AX139" s="864">
        <v>-40</v>
      </c>
      <c r="AY139" s="783"/>
      <c r="AZ139" s="487"/>
      <c r="BA139" s="487"/>
      <c r="BB139" s="864"/>
      <c r="BC139" s="783"/>
      <c r="BD139" s="487"/>
      <c r="BE139" s="487"/>
      <c r="BF139" s="864"/>
      <c r="BG139" s="783"/>
      <c r="BH139" s="487"/>
      <c r="BI139" s="487"/>
      <c r="BJ139" s="864"/>
      <c r="BK139" s="783"/>
      <c r="BL139" s="487"/>
      <c r="BM139" s="487"/>
      <c r="BN139" s="864"/>
      <c r="BO139" s="783"/>
      <c r="BP139" s="487"/>
      <c r="BQ139" s="487"/>
      <c r="BR139" s="864"/>
      <c r="BS139" s="783"/>
      <c r="BT139" s="487"/>
      <c r="BU139" s="487"/>
      <c r="BV139" s="864"/>
      <c r="BW139" s="783"/>
      <c r="BX139" s="487"/>
      <c r="BY139" s="487"/>
      <c r="BZ139" s="864"/>
      <c r="CA139" s="783"/>
      <c r="CB139" s="487"/>
      <c r="CC139" s="487"/>
      <c r="CD139" s="864"/>
      <c r="CE139" s="783"/>
      <c r="CF139" s="487"/>
      <c r="CG139" s="487"/>
      <c r="CH139" s="864"/>
      <c r="CI139" s="783"/>
      <c r="CJ139" s="487"/>
      <c r="CK139" s="487"/>
      <c r="CL139" s="864"/>
      <c r="CM139" s="783"/>
      <c r="CN139" s="487"/>
      <c r="CO139" s="487"/>
      <c r="CP139" s="864">
        <v>0</v>
      </c>
      <c r="CQ139" s="783"/>
      <c r="CR139" s="487"/>
      <c r="CS139" s="487"/>
      <c r="CT139" s="864">
        <v>0</v>
      </c>
      <c r="CU139" s="783"/>
      <c r="CV139" s="487"/>
      <c r="CW139" s="794"/>
      <c r="CX139" s="864">
        <v>0</v>
      </c>
      <c r="CY139" s="783"/>
      <c r="CZ139" s="487"/>
      <c r="DA139" s="794"/>
      <c r="DB139" s="864">
        <v>0</v>
      </c>
      <c r="DC139" s="783"/>
      <c r="DD139" s="487"/>
      <c r="DE139" s="794"/>
      <c r="DF139" s="864">
        <v>0</v>
      </c>
      <c r="DG139" s="783"/>
      <c r="DH139" s="487"/>
      <c r="DI139" s="794"/>
      <c r="DJ139" s="864"/>
      <c r="DK139" s="783"/>
      <c r="DL139" s="487"/>
      <c r="DM139" s="794"/>
      <c r="DN139" s="864"/>
      <c r="DO139" s="783"/>
      <c r="DP139" s="487"/>
      <c r="DQ139" s="794"/>
      <c r="DR139" s="794"/>
      <c r="DS139" s="794"/>
      <c r="DT139" s="794"/>
      <c r="DU139" s="794"/>
      <c r="DV139" s="794"/>
      <c r="DW139" s="794"/>
      <c r="DX139" s="794"/>
      <c r="DY139" s="794"/>
      <c r="DZ139" s="794"/>
      <c r="EA139" s="794"/>
      <c r="EB139" s="794"/>
    </row>
    <row r="140" spans="1:132" hidden="1" outlineLevel="1">
      <c r="A140" s="487" t="str">
        <f>$A$13</f>
        <v>4Q</v>
      </c>
      <c r="B140" s="487" t="str">
        <f>$B$13</f>
        <v>Jan</v>
      </c>
      <c r="C140" s="499"/>
      <c r="D140" s="937"/>
      <c r="E140" s="499"/>
      <c r="F140" s="937"/>
      <c r="G140" s="783"/>
      <c r="H140" s="487"/>
      <c r="I140" s="487"/>
      <c r="J140" s="937">
        <v>-50</v>
      </c>
      <c r="K140" s="783"/>
      <c r="L140" s="487"/>
      <c r="M140" s="487"/>
      <c r="N140" s="937"/>
      <c r="O140" s="783"/>
      <c r="P140" s="487"/>
      <c r="Q140" s="487"/>
      <c r="R140" s="937">
        <f>30.683-28.787</f>
        <v>1.8960000000000008</v>
      </c>
      <c r="S140" s="783"/>
      <c r="T140" s="487"/>
      <c r="U140" s="487"/>
      <c r="V140" s="937">
        <f>-1.861-V139-V138-V137</f>
        <v>-3.8110000000000013</v>
      </c>
      <c r="W140" s="783"/>
      <c r="X140" s="487"/>
      <c r="Y140" s="487"/>
      <c r="Z140" s="961">
        <f>4.517-3.338</f>
        <v>1.1790000000000003</v>
      </c>
      <c r="AA140" s="903"/>
      <c r="AB140" s="783"/>
      <c r="AC140" s="487"/>
      <c r="AD140" s="937">
        <f>11.13+125.556-2.735</f>
        <v>133.95099999999999</v>
      </c>
      <c r="AE140" s="783">
        <f>11.13+125.556-2.735</f>
        <v>133.95099999999999</v>
      </c>
      <c r="AF140" s="487"/>
      <c r="AG140" s="487"/>
      <c r="AH140" s="937">
        <v>0</v>
      </c>
      <c r="AI140" s="783"/>
      <c r="AJ140" s="487"/>
      <c r="AK140" s="487"/>
      <c r="AL140" s="937"/>
      <c r="AM140" s="783"/>
      <c r="AN140" s="487"/>
      <c r="AO140" s="487"/>
      <c r="AP140" s="937"/>
      <c r="AQ140" s="783"/>
      <c r="AR140" s="487"/>
      <c r="AS140" s="487"/>
      <c r="AT140" s="937"/>
      <c r="AU140" s="783"/>
      <c r="AV140" s="487"/>
      <c r="AW140" s="487"/>
      <c r="AX140" s="937"/>
      <c r="AY140" s="783"/>
      <c r="AZ140" s="487"/>
      <c r="BA140" s="487"/>
      <c r="BB140" s="937"/>
      <c r="BC140" s="783"/>
      <c r="BD140" s="487"/>
      <c r="BE140" s="487"/>
      <c r="BF140" s="937"/>
      <c r="BG140" s="783"/>
      <c r="BH140" s="487"/>
      <c r="BI140" s="487"/>
      <c r="BJ140" s="937"/>
      <c r="BK140" s="783"/>
      <c r="BL140" s="487"/>
      <c r="BM140" s="487"/>
      <c r="BN140" s="937"/>
      <c r="BO140" s="783"/>
      <c r="BP140" s="487"/>
      <c r="BQ140" s="487"/>
      <c r="BR140" s="937"/>
      <c r="BS140" s="783"/>
      <c r="BT140" s="487"/>
      <c r="BU140" s="487"/>
      <c r="BV140" s="937"/>
      <c r="BW140" s="783"/>
      <c r="BX140" s="487"/>
      <c r="BY140" s="487"/>
      <c r="BZ140" s="937"/>
      <c r="CA140" s="783"/>
      <c r="CB140" s="487"/>
      <c r="CC140" s="487"/>
      <c r="CD140" s="937"/>
      <c r="CE140" s="783"/>
      <c r="CF140" s="487"/>
      <c r="CG140" s="487"/>
      <c r="CH140" s="937"/>
      <c r="CI140" s="783"/>
      <c r="CJ140" s="487"/>
      <c r="CK140" s="487"/>
      <c r="CL140" s="937"/>
      <c r="CM140" s="783"/>
      <c r="CN140" s="487"/>
      <c r="CO140" s="487"/>
      <c r="CP140" s="937"/>
      <c r="CQ140" s="783"/>
      <c r="CR140" s="487"/>
      <c r="CS140" s="487"/>
      <c r="CT140" s="937"/>
      <c r="CU140" s="783"/>
      <c r="CV140" s="487"/>
      <c r="CW140" s="794"/>
      <c r="CX140" s="937"/>
      <c r="CY140" s="783"/>
      <c r="CZ140" s="487"/>
      <c r="DA140" s="794"/>
      <c r="DB140" s="937"/>
      <c r="DC140" s="783"/>
      <c r="DD140" s="487"/>
      <c r="DE140" s="794"/>
      <c r="DF140" s="937"/>
      <c r="DG140" s="783"/>
      <c r="DH140" s="487"/>
      <c r="DI140" s="794"/>
      <c r="DJ140" s="937"/>
      <c r="DK140" s="783"/>
      <c r="DL140" s="487"/>
      <c r="DM140" s="794"/>
      <c r="DN140" s="937"/>
      <c r="DO140" s="783"/>
      <c r="DP140" s="487"/>
      <c r="DQ140" s="794"/>
      <c r="DR140" s="794"/>
      <c r="DS140" s="794"/>
      <c r="DT140" s="794"/>
      <c r="DU140" s="794"/>
      <c r="DV140" s="794"/>
      <c r="DW140" s="794"/>
      <c r="DX140" s="794"/>
      <c r="DY140" s="794"/>
      <c r="DZ140" s="794"/>
      <c r="EA140" s="794"/>
      <c r="EB140" s="794"/>
    </row>
    <row r="141" spans="1:132" hidden="1" outlineLevel="1">
      <c r="A141" s="487"/>
      <c r="B141" s="487" t="str">
        <f>$B$14</f>
        <v>Year</v>
      </c>
      <c r="C141" s="487"/>
      <c r="D141" s="859"/>
      <c r="E141" s="487"/>
      <c r="F141" s="859">
        <f>SUM(F137:F140)</f>
        <v>0</v>
      </c>
      <c r="G141" s="783"/>
      <c r="H141" s="487"/>
      <c r="I141" s="487"/>
      <c r="J141" s="859">
        <f>SUM(J137:J140)</f>
        <v>-50</v>
      </c>
      <c r="K141" s="783"/>
      <c r="L141" s="487"/>
      <c r="M141" s="487"/>
      <c r="N141" s="859">
        <f>SUM(N137:N140)</f>
        <v>-1.198</v>
      </c>
      <c r="O141" s="783"/>
      <c r="P141" s="487"/>
      <c r="Q141" s="487"/>
      <c r="R141" s="859">
        <f>SUM(R137:R140)</f>
        <v>13.113000000000001</v>
      </c>
      <c r="S141" s="783"/>
      <c r="T141" s="487"/>
      <c r="U141" s="487"/>
      <c r="V141" s="859">
        <f>SUM(V137:V140)</f>
        <v>-1.861</v>
      </c>
      <c r="W141" s="783"/>
      <c r="X141" s="487"/>
      <c r="Y141" s="487"/>
      <c r="Z141" s="859">
        <f>SUM(Z137:Z140)</f>
        <v>-25.328000000000003</v>
      </c>
      <c r="AA141" s="783"/>
      <c r="AB141" s="783"/>
      <c r="AC141" s="487"/>
      <c r="AD141" s="859">
        <f>SUM(AD137:AD140)</f>
        <v>149.297</v>
      </c>
      <c r="AE141" s="783"/>
      <c r="AF141" s="487"/>
      <c r="AG141" s="487"/>
      <c r="AH141" s="859">
        <f>SUM(AH137:AH140)</f>
        <v>-1.7769999999999999</v>
      </c>
      <c r="AI141" s="783"/>
      <c r="AJ141" s="487"/>
      <c r="AK141" s="487"/>
      <c r="AL141" s="859">
        <f>SUM(AL137:AL140)</f>
        <v>-9.048</v>
      </c>
      <c r="AM141" s="783"/>
      <c r="AN141" s="487"/>
      <c r="AO141" s="487"/>
      <c r="AP141" s="862">
        <f>SUM(AP137:AP140)</f>
        <v>-5.1539999999999999</v>
      </c>
      <c r="AQ141" s="783"/>
      <c r="AR141" s="487"/>
      <c r="AS141" s="487"/>
      <c r="AT141" s="859">
        <f>SUM(AT137:AT140)</f>
        <v>0</v>
      </c>
      <c r="AU141" s="783"/>
      <c r="AV141" s="487"/>
      <c r="AW141" s="487"/>
      <c r="AX141" s="859">
        <f>SUM(AX137:AX140)</f>
        <v>-40</v>
      </c>
      <c r="AY141" s="783"/>
      <c r="AZ141" s="487"/>
      <c r="BA141" s="487"/>
      <c r="BB141" s="859">
        <f>SUM(BB137:BB140)</f>
        <v>0</v>
      </c>
      <c r="BC141" s="783"/>
      <c r="BD141" s="487"/>
      <c r="BE141" s="487"/>
      <c r="BF141" s="859">
        <f>SUM(BF137:BF140)</f>
        <v>0</v>
      </c>
      <c r="BG141" s="783"/>
      <c r="BH141" s="487"/>
      <c r="BI141" s="487"/>
      <c r="BJ141" s="859">
        <f>SUM(BJ137:BJ140)</f>
        <v>0</v>
      </c>
      <c r="BK141" s="783"/>
      <c r="BL141" s="487"/>
      <c r="BM141" s="487"/>
      <c r="BN141" s="859">
        <f>SUM(BN137:BN140)</f>
        <v>0</v>
      </c>
      <c r="BO141" s="783"/>
      <c r="BP141" s="487"/>
      <c r="BQ141" s="487"/>
      <c r="BR141" s="862"/>
      <c r="BS141" s="783"/>
      <c r="BT141" s="487"/>
      <c r="BU141" s="487"/>
      <c r="BV141" s="859">
        <f>SUM(BV137:BV140)</f>
        <v>0</v>
      </c>
      <c r="BW141" s="783"/>
      <c r="BX141" s="487"/>
      <c r="BY141" s="487"/>
      <c r="BZ141" s="859">
        <f>SUM(BZ137:BZ140)</f>
        <v>0</v>
      </c>
      <c r="CA141" s="783"/>
      <c r="CB141" s="487"/>
      <c r="CC141" s="487"/>
      <c r="CD141" s="859">
        <f>SUM(CD137:CD140)</f>
        <v>0</v>
      </c>
      <c r="CE141" s="783"/>
      <c r="CF141" s="487"/>
      <c r="CG141" s="487"/>
      <c r="CH141" s="859">
        <f>SUM(CH137:CH140)</f>
        <v>0</v>
      </c>
      <c r="CI141" s="783"/>
      <c r="CJ141" s="487"/>
      <c r="CK141" s="487"/>
      <c r="CL141" s="859">
        <f>SUM(CL137:CL140)</f>
        <v>0</v>
      </c>
      <c r="CM141" s="783"/>
      <c r="CN141" s="487"/>
      <c r="CO141" s="487"/>
      <c r="CP141" s="859">
        <f>SUM(CP137:CP140)</f>
        <v>0</v>
      </c>
      <c r="CQ141" s="783"/>
      <c r="CR141" s="487"/>
      <c r="CS141" s="487"/>
      <c r="CT141" s="859">
        <f>SUM(CT137:CT140)</f>
        <v>0</v>
      </c>
      <c r="CU141" s="783"/>
      <c r="CV141" s="487"/>
      <c r="CW141" s="794"/>
      <c r="CX141" s="859">
        <f>SUM(CX137:CX140)</f>
        <v>0</v>
      </c>
      <c r="CY141" s="783"/>
      <c r="CZ141" s="487"/>
      <c r="DA141" s="794"/>
      <c r="DB141" s="859">
        <f>SUM(DB137:DB140)</f>
        <v>0</v>
      </c>
      <c r="DC141" s="783"/>
      <c r="DD141" s="487"/>
      <c r="DE141" s="794"/>
      <c r="DF141" s="859">
        <f>SUM(DF137:DF140)</f>
        <v>0</v>
      </c>
      <c r="DG141" s="783"/>
      <c r="DH141" s="487"/>
      <c r="DI141" s="794"/>
      <c r="DJ141" s="859"/>
      <c r="DK141" s="783"/>
      <c r="DL141" s="487"/>
      <c r="DM141" s="794"/>
      <c r="DN141" s="859"/>
      <c r="DO141" s="783"/>
      <c r="DP141" s="487"/>
      <c r="DQ141" s="794"/>
      <c r="DR141" s="794"/>
      <c r="DS141" s="794"/>
      <c r="DT141" s="794"/>
      <c r="DU141" s="794"/>
      <c r="DV141" s="794"/>
      <c r="DW141" s="794"/>
      <c r="DX141" s="794"/>
      <c r="DY141" s="794"/>
      <c r="DZ141" s="794"/>
      <c r="EA141" s="794"/>
      <c r="EB141" s="794"/>
    </row>
    <row r="142" spans="1:132" hidden="1" outlineLevel="2">
      <c r="A142" s="487" t="str">
        <f>$A$15</f>
        <v>6 Mos</v>
      </c>
      <c r="B142" s="487"/>
      <c r="C142" s="487"/>
      <c r="D142" s="864"/>
      <c r="E142" s="487"/>
      <c r="F142" s="864">
        <f>SUM(F137:F138)</f>
        <v>0</v>
      </c>
      <c r="G142" s="783"/>
      <c r="H142" s="487"/>
      <c r="I142" s="487"/>
      <c r="J142" s="864">
        <f>SUM(J137:J138)</f>
        <v>0</v>
      </c>
      <c r="K142" s="783"/>
      <c r="L142" s="487"/>
      <c r="M142" s="487"/>
      <c r="N142" s="864">
        <f>SUM(N137:N138)</f>
        <v>-1.198</v>
      </c>
      <c r="O142" s="783"/>
      <c r="P142" s="487"/>
      <c r="Q142" s="487"/>
      <c r="R142" s="864">
        <f>SUM(R137:R138)</f>
        <v>6.8230000000000022</v>
      </c>
      <c r="S142" s="783"/>
      <c r="T142" s="487"/>
      <c r="U142" s="487"/>
      <c r="V142" s="864">
        <f>SUM(V137:V138)</f>
        <v>1.7090000000000019</v>
      </c>
      <c r="W142" s="783"/>
      <c r="X142" s="487"/>
      <c r="Y142" s="487"/>
      <c r="Z142" s="864">
        <f>SUM(Z137:Z138)</f>
        <v>-33.724000000000004</v>
      </c>
      <c r="AA142" s="783"/>
      <c r="AB142" s="783"/>
      <c r="AC142" s="487"/>
      <c r="AD142" s="864">
        <f>SUM(AD137:AD138)</f>
        <v>9.4260000000000002</v>
      </c>
      <c r="AE142" s="783"/>
      <c r="AF142" s="487"/>
      <c r="AG142" s="487"/>
      <c r="AH142" s="864">
        <f>SUM(AH137:AH138)</f>
        <v>0</v>
      </c>
      <c r="AI142" s="783"/>
      <c r="AJ142" s="487"/>
      <c r="AK142" s="487"/>
      <c r="AL142" s="864">
        <f>SUM(AL137:AL138)</f>
        <v>0</v>
      </c>
      <c r="AM142" s="783"/>
      <c r="AN142" s="487"/>
      <c r="AO142" s="487"/>
      <c r="AP142" s="864">
        <f>SUM(AP137:AP138)</f>
        <v>-5.1539999999999999</v>
      </c>
      <c r="AQ142" s="783"/>
      <c r="AR142" s="487"/>
      <c r="AS142" s="487"/>
      <c r="AT142" s="864">
        <f>SUM(AT137:AT138)</f>
        <v>0</v>
      </c>
      <c r="AU142" s="783"/>
      <c r="AV142" s="487"/>
      <c r="AW142" s="487"/>
      <c r="AX142" s="864">
        <f>SUM(AX137:AX138)</f>
        <v>0</v>
      </c>
      <c r="AY142" s="783"/>
      <c r="AZ142" s="487"/>
      <c r="BA142" s="487"/>
      <c r="BB142" s="864">
        <f>SUM(BB137:BB138)</f>
        <v>0</v>
      </c>
      <c r="BC142" s="783"/>
      <c r="BD142" s="487"/>
      <c r="BE142" s="487"/>
      <c r="BF142" s="864">
        <f>SUM(BF137:BF138)</f>
        <v>0</v>
      </c>
      <c r="BG142" s="783"/>
      <c r="BH142" s="487"/>
      <c r="BI142" s="487"/>
      <c r="BJ142" s="864">
        <f>SUM(BJ137:BJ138)</f>
        <v>0</v>
      </c>
      <c r="BK142" s="783"/>
      <c r="BL142" s="487"/>
      <c r="BM142" s="487"/>
      <c r="BN142" s="864">
        <f>SUM(BN137:BN138)</f>
        <v>0</v>
      </c>
      <c r="BO142" s="783"/>
      <c r="BP142" s="487"/>
      <c r="BQ142" s="487"/>
      <c r="BR142" s="962"/>
      <c r="BS142" s="783"/>
      <c r="BT142" s="487"/>
      <c r="BU142" s="487"/>
      <c r="BV142" s="864">
        <f>SUM(BV137:BV138)</f>
        <v>0</v>
      </c>
      <c r="BW142" s="783"/>
      <c r="BX142" s="487"/>
      <c r="BY142" s="487"/>
      <c r="BZ142" s="864">
        <f>SUM(BZ137:BZ138)</f>
        <v>0</v>
      </c>
      <c r="CA142" s="783"/>
      <c r="CB142" s="487"/>
      <c r="CC142" s="487"/>
      <c r="CD142" s="864">
        <f>SUM(CD137:CD138)</f>
        <v>0</v>
      </c>
      <c r="CE142" s="783"/>
      <c r="CF142" s="487"/>
      <c r="CG142" s="487"/>
      <c r="CH142" s="864">
        <f>SUM(CH137:CH138)</f>
        <v>0</v>
      </c>
      <c r="CI142" s="783"/>
      <c r="CJ142" s="487"/>
      <c r="CK142" s="487"/>
      <c r="CL142" s="864">
        <f>SUM(CL137:CL138)</f>
        <v>0</v>
      </c>
      <c r="CM142" s="783"/>
      <c r="CN142" s="487"/>
      <c r="CO142" s="487"/>
      <c r="CP142" s="864">
        <f>SUM(CP137:CP138)</f>
        <v>0</v>
      </c>
      <c r="CQ142" s="783"/>
      <c r="CR142" s="487"/>
      <c r="CS142" s="487"/>
      <c r="CT142" s="864">
        <f>SUM(CT137:CT138)</f>
        <v>0</v>
      </c>
      <c r="CU142" s="783"/>
      <c r="CV142" s="487"/>
      <c r="CW142" s="794"/>
      <c r="CX142" s="864">
        <f>SUM(CX137:CX138)</f>
        <v>0</v>
      </c>
      <c r="CY142" s="783"/>
      <c r="CZ142" s="487"/>
      <c r="DA142" s="794"/>
      <c r="DB142" s="864">
        <f>SUM(DB137:DB138)</f>
        <v>0</v>
      </c>
      <c r="DC142" s="783"/>
      <c r="DD142" s="487"/>
      <c r="DE142" s="794"/>
      <c r="DF142" s="864">
        <f>SUM(DF137:DF138)</f>
        <v>0</v>
      </c>
      <c r="DG142" s="783"/>
      <c r="DH142" s="487"/>
      <c r="DI142" s="794"/>
      <c r="DJ142" s="864"/>
      <c r="DK142" s="783"/>
      <c r="DL142" s="487"/>
      <c r="DM142" s="794"/>
      <c r="DN142" s="864"/>
      <c r="DO142" s="783"/>
      <c r="DP142" s="487"/>
      <c r="DQ142" s="794"/>
      <c r="DR142" s="794"/>
      <c r="DS142" s="794"/>
      <c r="DT142" s="794"/>
      <c r="DU142" s="794"/>
      <c r="DV142" s="794"/>
      <c r="DW142" s="794"/>
      <c r="DX142" s="794"/>
      <c r="DY142" s="794"/>
      <c r="DZ142" s="794"/>
      <c r="EA142" s="794"/>
      <c r="EB142" s="794"/>
    </row>
    <row r="143" spans="1:132" hidden="1" outlineLevel="2">
      <c r="A143" s="487" t="str">
        <f>$A$16</f>
        <v>9 Mos</v>
      </c>
      <c r="B143" s="487"/>
      <c r="C143" s="487"/>
      <c r="D143" s="864"/>
      <c r="E143" s="487"/>
      <c r="F143" s="864">
        <f>SUM(F137:F139)</f>
        <v>0</v>
      </c>
      <c r="G143" s="783"/>
      <c r="H143" s="487"/>
      <c r="I143" s="487"/>
      <c r="J143" s="864">
        <f>SUM(J137:J139)</f>
        <v>0</v>
      </c>
      <c r="K143" s="783"/>
      <c r="L143" s="487"/>
      <c r="M143" s="487"/>
      <c r="N143" s="864">
        <f>SUM(N137:N139)</f>
        <v>-1.198</v>
      </c>
      <c r="O143" s="783"/>
      <c r="P143" s="487"/>
      <c r="Q143" s="487"/>
      <c r="R143" s="864">
        <f>SUM(R137:R139)</f>
        <v>11.217000000000001</v>
      </c>
      <c r="S143" s="783"/>
      <c r="T143" s="487"/>
      <c r="U143" s="487"/>
      <c r="V143" s="864">
        <f>SUM(V137:V139)</f>
        <v>1.9500000000000013</v>
      </c>
      <c r="W143" s="783"/>
      <c r="X143" s="487"/>
      <c r="Y143" s="487"/>
      <c r="Z143" s="864">
        <f>SUM(Z137:Z139)</f>
        <v>-26.507000000000005</v>
      </c>
      <c r="AA143" s="783"/>
      <c r="AB143" s="783"/>
      <c r="AC143" s="487"/>
      <c r="AD143" s="864">
        <f>SUM(AD137:AD139)</f>
        <v>15.346</v>
      </c>
      <c r="AE143" s="783"/>
      <c r="AF143" s="487"/>
      <c r="AG143" s="487"/>
      <c r="AH143" s="864">
        <f>SUM(AH137:AH139)</f>
        <v>-1.7769999999999999</v>
      </c>
      <c r="AI143" s="783"/>
      <c r="AJ143" s="487"/>
      <c r="AK143" s="487"/>
      <c r="AL143" s="864">
        <f>SUM(AL137:AL139)</f>
        <v>-9.048</v>
      </c>
      <c r="AM143" s="783"/>
      <c r="AN143" s="487"/>
      <c r="AO143" s="487"/>
      <c r="AP143" s="864">
        <f>SUM(AP137:AP139)</f>
        <v>-5.1539999999999999</v>
      </c>
      <c r="AQ143" s="783"/>
      <c r="AR143" s="487"/>
      <c r="AS143" s="487"/>
      <c r="AT143" s="864">
        <f>SUM(AT137:AT139)</f>
        <v>0</v>
      </c>
      <c r="AU143" s="783"/>
      <c r="AV143" s="487"/>
      <c r="AW143" s="487"/>
      <c r="AX143" s="864">
        <f>SUM(AX137:AX139)</f>
        <v>-40</v>
      </c>
      <c r="AY143" s="783"/>
      <c r="AZ143" s="487"/>
      <c r="BA143" s="487"/>
      <c r="BB143" s="864">
        <f>SUM(BB137:BB139)</f>
        <v>0</v>
      </c>
      <c r="BC143" s="783"/>
      <c r="BD143" s="487"/>
      <c r="BE143" s="487"/>
      <c r="BF143" s="864">
        <f>SUM(BF137:BF139)</f>
        <v>0</v>
      </c>
      <c r="BG143" s="783"/>
      <c r="BH143" s="487"/>
      <c r="BI143" s="487"/>
      <c r="BJ143" s="864">
        <f>SUM(BJ137:BJ139)</f>
        <v>0</v>
      </c>
      <c r="BK143" s="783"/>
      <c r="BL143" s="487"/>
      <c r="BM143" s="487"/>
      <c r="BN143" s="864">
        <f>SUM(BN137:BN139)</f>
        <v>0</v>
      </c>
      <c r="BO143" s="783"/>
      <c r="BP143" s="487"/>
      <c r="BQ143" s="487"/>
      <c r="BR143" s="962"/>
      <c r="BS143" s="783"/>
      <c r="BT143" s="487"/>
      <c r="BU143" s="487"/>
      <c r="BV143" s="864">
        <f>SUM(BV137:BV139)</f>
        <v>0</v>
      </c>
      <c r="BW143" s="783"/>
      <c r="BX143" s="487"/>
      <c r="BY143" s="487"/>
      <c r="BZ143" s="864">
        <f>SUM(BZ137:BZ139)</f>
        <v>0</v>
      </c>
      <c r="CA143" s="783"/>
      <c r="CB143" s="487"/>
      <c r="CC143" s="487"/>
      <c r="CD143" s="864">
        <f>SUM(CD137:CD139)</f>
        <v>0</v>
      </c>
      <c r="CE143" s="783"/>
      <c r="CF143" s="487"/>
      <c r="CG143" s="487"/>
      <c r="CH143" s="864">
        <f>SUM(CH137:CH139)</f>
        <v>0</v>
      </c>
      <c r="CI143" s="783"/>
      <c r="CJ143" s="487"/>
      <c r="CK143" s="487"/>
      <c r="CL143" s="864">
        <f>SUM(CL137:CL139)</f>
        <v>0</v>
      </c>
      <c r="CM143" s="783"/>
      <c r="CN143" s="487"/>
      <c r="CO143" s="487"/>
      <c r="CP143" s="864">
        <f>SUM(CP137:CP139)</f>
        <v>0</v>
      </c>
      <c r="CQ143" s="783"/>
      <c r="CR143" s="487"/>
      <c r="CS143" s="487"/>
      <c r="CT143" s="864">
        <f>SUM(CT137:CT139)</f>
        <v>0</v>
      </c>
      <c r="CU143" s="783"/>
      <c r="CV143" s="487"/>
      <c r="CW143" s="794"/>
      <c r="CX143" s="864">
        <f>SUM(CX137:CX139)</f>
        <v>0</v>
      </c>
      <c r="CY143" s="783"/>
      <c r="CZ143" s="487"/>
      <c r="DA143" s="794"/>
      <c r="DB143" s="864">
        <f>SUM(DB137:DB139)</f>
        <v>0</v>
      </c>
      <c r="DC143" s="783"/>
      <c r="DD143" s="487"/>
      <c r="DE143" s="794"/>
      <c r="DF143" s="864">
        <f>SUM(DF137:DF139)</f>
        <v>0</v>
      </c>
      <c r="DG143" s="783"/>
      <c r="DH143" s="487"/>
      <c r="DI143" s="794"/>
      <c r="DJ143" s="864"/>
      <c r="DK143" s="783"/>
      <c r="DL143" s="487"/>
      <c r="DM143" s="794"/>
      <c r="DN143" s="864"/>
      <c r="DO143" s="783"/>
      <c r="DP143" s="487"/>
      <c r="DQ143" s="794"/>
      <c r="DR143" s="794"/>
      <c r="DS143" s="794"/>
      <c r="DT143" s="794"/>
      <c r="DU143" s="794"/>
      <c r="DV143" s="794"/>
      <c r="DW143" s="794"/>
      <c r="DX143" s="794"/>
      <c r="DY143" s="794"/>
      <c r="DZ143" s="794"/>
      <c r="EA143" s="794"/>
      <c r="EB143" s="794"/>
    </row>
    <row r="144" spans="1:132" hidden="1" outlineLevel="1" collapsed="1">
      <c r="A144" s="487"/>
      <c r="B144" s="487"/>
      <c r="C144" s="487"/>
      <c r="D144" s="487"/>
      <c r="E144" s="487"/>
      <c r="F144" s="487"/>
      <c r="G144" s="487"/>
      <c r="H144" s="487"/>
      <c r="I144" s="487"/>
      <c r="J144" s="487"/>
      <c r="K144" s="487"/>
      <c r="L144" s="487"/>
      <c r="M144" s="487"/>
      <c r="N144" s="487"/>
      <c r="O144" s="487"/>
      <c r="P144" s="487"/>
      <c r="Q144" s="487"/>
      <c r="R144" s="487"/>
      <c r="S144" s="487"/>
      <c r="T144" s="487"/>
      <c r="U144" s="487"/>
      <c r="V144" s="487"/>
      <c r="W144" s="487"/>
      <c r="X144" s="487"/>
      <c r="Y144" s="487"/>
      <c r="Z144" s="487"/>
      <c r="AA144" s="487"/>
      <c r="AB144" s="487"/>
      <c r="AC144" s="487"/>
      <c r="AD144" s="487"/>
      <c r="AE144" s="487"/>
      <c r="AF144" s="487"/>
      <c r="AG144" s="487"/>
      <c r="AH144" s="487"/>
      <c r="AI144" s="487"/>
      <c r="AJ144" s="487"/>
      <c r="AK144" s="487"/>
      <c r="AL144" s="487"/>
      <c r="AM144" s="487"/>
      <c r="AN144" s="487"/>
      <c r="AO144" s="487"/>
      <c r="AP144" s="487"/>
      <c r="AQ144" s="487"/>
      <c r="AR144" s="487"/>
      <c r="AS144" s="487"/>
      <c r="AT144" s="487"/>
      <c r="AU144" s="487"/>
      <c r="AV144" s="487"/>
      <c r="AW144" s="487"/>
      <c r="AX144" s="487"/>
      <c r="AY144" s="487"/>
      <c r="AZ144" s="487"/>
      <c r="BA144" s="487"/>
      <c r="BB144" s="487"/>
      <c r="BC144" s="487"/>
      <c r="BD144" s="487"/>
      <c r="BE144" s="487"/>
      <c r="BF144" s="487"/>
      <c r="BG144" s="487"/>
      <c r="BH144" s="487"/>
      <c r="BI144" s="487"/>
      <c r="BJ144" s="487"/>
      <c r="BK144" s="487"/>
      <c r="BL144" s="487"/>
      <c r="BM144" s="487"/>
      <c r="BN144" s="487"/>
      <c r="BO144" s="487"/>
      <c r="BP144" s="487"/>
      <c r="BQ144" s="487"/>
      <c r="BR144" s="862"/>
      <c r="BS144" s="487"/>
      <c r="BT144" s="487"/>
      <c r="BU144" s="487"/>
      <c r="BV144" s="487"/>
      <c r="BW144" s="487"/>
      <c r="BX144" s="487"/>
      <c r="BY144" s="487"/>
      <c r="BZ144" s="487"/>
      <c r="CA144" s="487"/>
      <c r="CB144" s="487"/>
      <c r="CC144" s="487"/>
      <c r="CD144" s="487"/>
      <c r="CE144" s="487"/>
      <c r="CF144" s="487"/>
      <c r="CG144" s="487"/>
      <c r="CH144" s="487"/>
      <c r="CI144" s="487"/>
      <c r="CJ144" s="487"/>
      <c r="CK144" s="487"/>
      <c r="CL144" s="487"/>
      <c r="CM144" s="487"/>
      <c r="CN144" s="487"/>
      <c r="CO144" s="487"/>
      <c r="CP144" s="487"/>
      <c r="CQ144" s="487"/>
      <c r="CR144" s="487"/>
      <c r="CS144" s="487"/>
      <c r="CT144" s="487"/>
      <c r="CU144" s="487"/>
      <c r="CV144" s="487"/>
      <c r="CW144" s="794"/>
      <c r="CX144" s="487"/>
      <c r="CY144" s="487"/>
      <c r="CZ144" s="487"/>
      <c r="DA144" s="794"/>
      <c r="DB144" s="487"/>
      <c r="DC144" s="487"/>
      <c r="DD144" s="487"/>
      <c r="DE144" s="794"/>
      <c r="DF144" s="487"/>
      <c r="DG144" s="487"/>
      <c r="DH144" s="487"/>
      <c r="DI144" s="794"/>
      <c r="DJ144" s="487"/>
      <c r="DK144" s="487"/>
      <c r="DL144" s="487"/>
      <c r="DM144" s="794"/>
      <c r="DN144" s="487"/>
      <c r="DO144" s="487"/>
      <c r="DP144" s="487"/>
      <c r="DQ144" s="794"/>
      <c r="DR144" s="794"/>
      <c r="DS144" s="794"/>
      <c r="DT144" s="794"/>
      <c r="DU144" s="794"/>
      <c r="DV144" s="794"/>
      <c r="DW144" s="794"/>
      <c r="DX144" s="794"/>
      <c r="DY144" s="794"/>
      <c r="DZ144" s="794"/>
      <c r="EA144" s="794"/>
      <c r="EB144" s="794"/>
    </row>
    <row r="145" spans="1:132" hidden="1" outlineLevel="1">
      <c r="A145" s="487"/>
      <c r="B145" s="487"/>
      <c r="C145" s="807"/>
      <c r="D145" s="807"/>
      <c r="E145" s="809"/>
      <c r="F145" s="809" t="str">
        <f>Z145</f>
        <v>8.  Net Earnings   (% Change)</v>
      </c>
      <c r="G145" s="811"/>
      <c r="H145" s="811"/>
      <c r="I145" s="811"/>
      <c r="J145" s="809"/>
      <c r="K145" s="811"/>
      <c r="L145" s="811"/>
      <c r="M145" s="811"/>
      <c r="N145" s="809"/>
      <c r="O145" s="811"/>
      <c r="P145" s="811"/>
      <c r="Q145" s="811"/>
      <c r="R145" s="809"/>
      <c r="S145" s="811"/>
      <c r="T145" s="811"/>
      <c r="U145" s="811"/>
      <c r="V145" s="809"/>
      <c r="W145" s="811"/>
      <c r="X145" s="811"/>
      <c r="Y145" s="487"/>
      <c r="Z145" s="809" t="s">
        <v>158</v>
      </c>
      <c r="AA145" s="811"/>
      <c r="AB145" s="811"/>
      <c r="AC145" s="811"/>
      <c r="AD145" s="809"/>
      <c r="AE145" s="811"/>
      <c r="AF145" s="811"/>
      <c r="AG145" s="811"/>
      <c r="AH145" s="809"/>
      <c r="AI145" s="811"/>
      <c r="AJ145" s="811"/>
      <c r="AK145" s="811"/>
      <c r="AL145" s="809"/>
      <c r="AM145" s="811"/>
      <c r="AN145" s="811"/>
      <c r="AO145" s="702"/>
      <c r="AP145" s="487"/>
      <c r="AQ145" s="811"/>
      <c r="AR145" s="811"/>
      <c r="AS145" s="811"/>
      <c r="AT145" s="809"/>
      <c r="AU145" s="811"/>
      <c r="AV145" s="811"/>
      <c r="AW145" s="811"/>
      <c r="AX145" s="809"/>
      <c r="AY145" s="811"/>
      <c r="AZ145" s="811"/>
      <c r="BA145" s="811"/>
      <c r="BB145" s="809"/>
      <c r="BC145" s="811"/>
      <c r="BD145" s="811"/>
      <c r="BE145" s="811"/>
      <c r="BF145" s="809" t="s">
        <v>350</v>
      </c>
      <c r="BG145" s="811"/>
      <c r="BH145" s="811"/>
      <c r="BI145" s="811"/>
      <c r="BJ145" s="959"/>
      <c r="BK145" s="811"/>
      <c r="BL145" s="811"/>
      <c r="BM145" s="811"/>
      <c r="BN145" s="809"/>
      <c r="BO145" s="811"/>
      <c r="BP145" s="811"/>
      <c r="BQ145" s="811"/>
      <c r="BR145" s="809"/>
      <c r="BS145" s="811"/>
      <c r="BT145" s="811"/>
      <c r="BU145" s="811"/>
      <c r="BV145" s="809"/>
      <c r="BW145" s="811"/>
      <c r="BX145" s="811"/>
      <c r="BY145" s="811"/>
      <c r="BZ145" s="809"/>
      <c r="CA145" s="811"/>
      <c r="CB145" s="811"/>
      <c r="CC145" s="811"/>
      <c r="CD145" s="809"/>
      <c r="CE145" s="811"/>
      <c r="CF145" s="811"/>
      <c r="CG145" s="811"/>
      <c r="CH145" s="809"/>
      <c r="CI145" s="811"/>
      <c r="CJ145" s="811"/>
      <c r="CK145" s="811"/>
      <c r="CL145" s="809"/>
      <c r="CM145" s="811"/>
      <c r="CN145" s="811"/>
      <c r="CO145" s="811"/>
      <c r="CP145" s="809"/>
      <c r="CQ145" s="811"/>
      <c r="CR145" s="811"/>
      <c r="CS145" s="811"/>
      <c r="CT145" s="809"/>
      <c r="CU145" s="811"/>
      <c r="CV145" s="811"/>
      <c r="CW145" s="794"/>
      <c r="CX145" s="809"/>
      <c r="CY145" s="811"/>
      <c r="CZ145" s="811"/>
      <c r="DA145" s="794"/>
      <c r="DB145" s="809"/>
      <c r="DC145" s="811"/>
      <c r="DD145" s="811"/>
      <c r="DE145" s="794"/>
      <c r="DF145" s="809"/>
      <c r="DG145" s="811"/>
      <c r="DH145" s="811"/>
      <c r="DI145" s="794"/>
      <c r="DJ145" s="809"/>
      <c r="DK145" s="811"/>
      <c r="DL145" s="811"/>
      <c r="DM145" s="794"/>
      <c r="DN145" s="809"/>
      <c r="DO145" s="811"/>
      <c r="DP145" s="811"/>
      <c r="DQ145" s="794"/>
      <c r="DR145" s="794"/>
      <c r="DS145" s="794"/>
      <c r="DT145" s="794"/>
      <c r="DU145" s="794"/>
      <c r="DV145" s="794"/>
      <c r="DW145" s="794"/>
      <c r="DX145" s="794"/>
      <c r="DY145" s="794"/>
      <c r="DZ145" s="794"/>
      <c r="EA145" s="794"/>
      <c r="EB145" s="794"/>
    </row>
    <row r="146" spans="1:132" hidden="1" outlineLevel="1">
      <c r="A146" s="487"/>
      <c r="B146" s="487"/>
      <c r="C146" s="487"/>
      <c r="D146" s="487"/>
      <c r="E146" s="487"/>
      <c r="F146" s="487"/>
      <c r="G146" s="487"/>
      <c r="H146" s="487"/>
      <c r="I146" s="487"/>
      <c r="J146" s="487"/>
      <c r="K146" s="487"/>
      <c r="L146" s="487"/>
      <c r="M146" s="487"/>
      <c r="N146" s="487"/>
      <c r="O146" s="487"/>
      <c r="P146" s="487"/>
      <c r="Q146" s="487"/>
      <c r="R146" s="487"/>
      <c r="S146" s="487"/>
      <c r="T146" s="487"/>
      <c r="U146" s="487"/>
      <c r="V146" s="487"/>
      <c r="W146" s="487"/>
      <c r="X146" s="487"/>
      <c r="Y146" s="487"/>
      <c r="Z146" s="487"/>
      <c r="AA146" s="487"/>
      <c r="AB146" s="487"/>
      <c r="AC146" s="487"/>
      <c r="AD146" s="859"/>
      <c r="AE146" s="487"/>
      <c r="AF146" s="487"/>
      <c r="AG146" s="487"/>
      <c r="AH146" s="487"/>
      <c r="AI146" s="487"/>
      <c r="AJ146" s="487"/>
      <c r="AK146" s="487"/>
      <c r="AL146" s="487"/>
      <c r="AM146" s="487"/>
      <c r="AN146" s="487"/>
      <c r="AO146" s="487"/>
      <c r="AP146" s="487"/>
      <c r="AQ146" s="487"/>
      <c r="AR146" s="487"/>
      <c r="AS146" s="487"/>
      <c r="AT146" s="487"/>
      <c r="AU146" s="487"/>
      <c r="AV146" s="487"/>
      <c r="AW146" s="487"/>
      <c r="AX146" s="487"/>
      <c r="AY146" s="487"/>
      <c r="AZ146" s="487"/>
      <c r="BA146" s="487"/>
      <c r="BB146" s="487"/>
      <c r="BC146" s="487"/>
      <c r="BD146" s="487"/>
      <c r="BE146" s="487"/>
      <c r="BF146" s="487"/>
      <c r="BG146" s="487"/>
      <c r="BH146" s="487"/>
      <c r="BI146" s="487"/>
      <c r="BJ146" s="487"/>
      <c r="BK146" s="487"/>
      <c r="BL146" s="487"/>
      <c r="BM146" s="487"/>
      <c r="BN146" s="487"/>
      <c r="BO146" s="487"/>
      <c r="BP146" s="487"/>
      <c r="BQ146" s="487"/>
      <c r="BR146" s="487"/>
      <c r="BS146" s="487"/>
      <c r="BT146" s="487"/>
      <c r="BU146" s="487"/>
      <c r="BV146" s="963">
        <f>20/4108</f>
        <v>4.8685491723466411E-3</v>
      </c>
      <c r="BW146" s="487"/>
      <c r="BX146" s="487"/>
      <c r="BY146" s="487"/>
      <c r="BZ146" s="963">
        <f>20/4108</f>
        <v>4.8685491723466411E-3</v>
      </c>
      <c r="CA146" s="487"/>
      <c r="CB146" s="487"/>
      <c r="CC146" s="487"/>
      <c r="CD146" s="963">
        <f>20/4108</f>
        <v>4.8685491723466411E-3</v>
      </c>
      <c r="CE146" s="487"/>
      <c r="CF146" s="487"/>
      <c r="CG146" s="487"/>
      <c r="CH146" s="963">
        <f>20/4108</f>
        <v>4.8685491723466411E-3</v>
      </c>
      <c r="CI146" s="487"/>
      <c r="CJ146" s="487"/>
      <c r="CK146" s="487"/>
      <c r="CL146" s="963">
        <f>20/4108</f>
        <v>4.8685491723466411E-3</v>
      </c>
      <c r="CM146" s="487"/>
      <c r="CN146" s="487"/>
      <c r="CO146" s="487"/>
      <c r="CP146" s="963">
        <f>20/4108</f>
        <v>4.8685491723466411E-3</v>
      </c>
      <c r="CQ146" s="487"/>
      <c r="CR146" s="487"/>
      <c r="CS146" s="487"/>
      <c r="CT146" s="963">
        <f>20/4108</f>
        <v>4.8685491723466411E-3</v>
      </c>
      <c r="CU146" s="487"/>
      <c r="CV146" s="487"/>
      <c r="CW146" s="794"/>
      <c r="CX146" s="963">
        <f>20/4108</f>
        <v>4.8685491723466411E-3</v>
      </c>
      <c r="CY146" s="487"/>
      <c r="CZ146" s="487"/>
      <c r="DA146" s="794"/>
      <c r="DB146" s="963">
        <f>20/4108</f>
        <v>4.8685491723466411E-3</v>
      </c>
      <c r="DC146" s="487"/>
      <c r="DD146" s="487"/>
      <c r="DE146" s="794"/>
      <c r="DF146" s="963">
        <f>20/4108</f>
        <v>4.8685491723466411E-3</v>
      </c>
      <c r="DG146" s="487"/>
      <c r="DH146" s="487"/>
      <c r="DI146" s="794"/>
      <c r="DJ146" s="963"/>
      <c r="DK146" s="487"/>
      <c r="DL146" s="487"/>
      <c r="DM146" s="794"/>
      <c r="DN146" s="963"/>
      <c r="DO146" s="487"/>
      <c r="DP146" s="487"/>
      <c r="DQ146" s="794"/>
      <c r="DR146" s="794"/>
      <c r="DS146" s="794"/>
      <c r="DT146" s="794"/>
      <c r="DU146" s="794"/>
      <c r="DV146" s="794"/>
      <c r="DW146" s="794"/>
      <c r="DX146" s="794"/>
      <c r="DY146" s="794"/>
      <c r="DZ146" s="794"/>
      <c r="EA146" s="794"/>
      <c r="EB146" s="794"/>
    </row>
    <row r="147" spans="1:132" hidden="1" outlineLevel="1">
      <c r="A147" s="487" t="str">
        <f>$A$10</f>
        <v>1Q</v>
      </c>
      <c r="B147" s="487" t="str">
        <f>$B$10</f>
        <v>Apr</v>
      </c>
      <c r="C147" s="487"/>
      <c r="D147" s="859"/>
      <c r="E147" s="487"/>
      <c r="F147" s="859">
        <f>F120+F137</f>
        <v>14.571999999999958</v>
      </c>
      <c r="G147" s="783"/>
      <c r="H147" s="487"/>
      <c r="I147" s="487"/>
      <c r="J147" s="859">
        <f>J120+J137</f>
        <v>14.819000000000033</v>
      </c>
      <c r="K147" s="783">
        <f t="shared" ref="K147:K153" si="355">IF(F147&lt;0,"       NM",(J147/F147-1)*100)</f>
        <v>1.6950315673900374</v>
      </c>
      <c r="L147" s="487"/>
      <c r="M147" s="487"/>
      <c r="N147" s="862">
        <f>N120+N137</f>
        <v>13.947999999999986</v>
      </c>
      <c r="O147" s="783">
        <f t="shared" ref="O147:O153" si="356">IF(J147&lt;0,"       NM",(N147/J147-1)*100)</f>
        <v>-5.8775895809436873</v>
      </c>
      <c r="P147" s="487"/>
      <c r="Q147" s="487"/>
      <c r="R147" s="862">
        <f>R120+R137</f>
        <v>19.989999999999991</v>
      </c>
      <c r="S147" s="783">
        <f t="shared" ref="S147:S153" si="357">IF(N147&lt;0,"       NM",(R147/N147-1)*100)</f>
        <v>43.318038428448617</v>
      </c>
      <c r="T147" s="487"/>
      <c r="U147" s="487"/>
      <c r="V147" s="862">
        <f>V120+V137</f>
        <v>19.369000000000007</v>
      </c>
      <c r="W147" s="783">
        <f t="shared" ref="W147:W153" si="358">IF(R147&lt;0,"       NM",(V147/R147-1)*100)</f>
        <v>-3.1065532766382464</v>
      </c>
      <c r="X147" s="487"/>
      <c r="Y147" s="487"/>
      <c r="Z147" s="862">
        <f>Z120+Z137</f>
        <v>8.0649999999999533</v>
      </c>
      <c r="AA147" s="783">
        <f t="shared" ref="AA147:AA153" si="359">IF(V147&lt;0,"       NM",(Z147/V147-1)*100)</f>
        <v>-58.361298982911094</v>
      </c>
      <c r="AB147" s="783"/>
      <c r="AC147" s="487"/>
      <c r="AD147" s="859">
        <f>AD120+AD137</f>
        <v>30.086000000000137</v>
      </c>
      <c r="AE147" s="783">
        <f t="shared" ref="AE147:AE153" si="360">IF(Z147&lt;0,"       NM",(AD147/Z147-1)*100)</f>
        <v>273.04401735896232</v>
      </c>
      <c r="AF147" s="487"/>
      <c r="AG147" s="487"/>
      <c r="AH147" s="859">
        <f>AH120+AH137</f>
        <v>48.461000000000176</v>
      </c>
      <c r="AI147" s="783">
        <f t="shared" ref="AI147:AI153" si="361">IF(AD147&lt;0,"       NM",(AH147/AD147-1)*100)</f>
        <v>61.074918566775096</v>
      </c>
      <c r="AJ147" s="487"/>
      <c r="AK147" s="487"/>
      <c r="AL147" s="859">
        <f>AL120+AL137</f>
        <v>82.427000000000163</v>
      </c>
      <c r="AM147" s="783">
        <f t="shared" ref="AM147:AM153" si="362">IF(AH147&lt;0,"       NM",(AL147/AH147-1)*100)</f>
        <v>70.089350199128916</v>
      </c>
      <c r="AN147" s="487"/>
      <c r="AO147" s="487"/>
      <c r="AP147" s="859">
        <f>AP120+AP137</f>
        <v>117.12000000000019</v>
      </c>
      <c r="AQ147" s="783">
        <f t="shared" ref="AQ147:AQ153" si="363">IF(AL147&lt;0,"       NM",(AP147/AL147-1)*100)</f>
        <v>42.089363922015785</v>
      </c>
      <c r="AR147" s="487"/>
      <c r="AS147" s="487"/>
      <c r="AT147" s="859">
        <f>AT120+AT137</f>
        <v>130.58000000000004</v>
      </c>
      <c r="AU147" s="783">
        <f t="shared" ref="AU147:AU153" si="364">IF(AP147&lt;0,"       NM",(AT147/AP147-1)*100)</f>
        <v>11.492486338797669</v>
      </c>
      <c r="AV147" s="487"/>
      <c r="AW147" s="487"/>
      <c r="AX147" s="859">
        <f>AX120+AX137</f>
        <v>123.67099999999998</v>
      </c>
      <c r="AY147" s="783">
        <f t="shared" ref="AY147:AY153" si="365">IF(AT147&lt;0,"       NM",(AX147/AT147-1)*100)</f>
        <v>-5.2910093429315852</v>
      </c>
      <c r="AZ147" s="487"/>
      <c r="BA147" s="487"/>
      <c r="BB147" s="862">
        <f>BB120+BB137</f>
        <v>147.10299999999995</v>
      </c>
      <c r="BC147" s="783">
        <f t="shared" ref="BC147:BC153" si="366">IF(AX147&lt;0,"       NM",(BB147/AX147-1)*100)</f>
        <v>18.947044982251281</v>
      </c>
      <c r="BD147" s="487"/>
      <c r="BE147" s="487"/>
      <c r="BF147" s="859">
        <f>BF120+BF137</f>
        <v>101.75199999999987</v>
      </c>
      <c r="BG147" s="783">
        <f t="shared" ref="BG147:BG153" si="367">IF(BB147&lt;0,"       NM",(BF147/BB147-1)*100)</f>
        <v>-30.829418842579759</v>
      </c>
      <c r="BH147" s="487"/>
      <c r="BI147" s="487"/>
      <c r="BJ147" s="859">
        <f>BJ120+BJ137</f>
        <v>154.92399999999998</v>
      </c>
      <c r="BK147" s="783">
        <f t="shared" ref="BK147:BK153" si="368">IF(BF147&lt;0,"       NM",(BJ147/BF147-1)*100)</f>
        <v>52.256466703357354</v>
      </c>
      <c r="BL147" s="487"/>
      <c r="BM147" s="487"/>
      <c r="BN147" s="859">
        <f>BN120+BN137</f>
        <v>135.58100000000013</v>
      </c>
      <c r="BO147" s="783">
        <f t="shared" ref="BO147:BO153" si="369">IF(BJ147&lt;0,"       NM",(BN147/BJ147-1)*100)</f>
        <v>-12.485476749890168</v>
      </c>
      <c r="BP147" s="487"/>
      <c r="BQ147" s="487"/>
      <c r="BR147" s="964">
        <f>BR120+BR137</f>
        <v>163.86199999999963</v>
      </c>
      <c r="BS147" s="783">
        <f t="shared" ref="BS147:BS153" si="370">IF(BN147&lt;0,"       NM",(BR147/BN147-1)*100)</f>
        <v>20.859117427957806</v>
      </c>
      <c r="BT147" s="487"/>
      <c r="BU147" s="487"/>
      <c r="BV147" s="859">
        <f>BV120+BV137</f>
        <v>178.40967084372679</v>
      </c>
      <c r="BW147" s="783">
        <f t="shared" ref="BW147:BW153" si="371">IF(BR147&lt;0,"       NM",(BV147/BR147-1)*100)</f>
        <v>8.8780015157432501</v>
      </c>
      <c r="BX147" s="487"/>
      <c r="BY147" s="487"/>
      <c r="BZ147" s="859">
        <f>BZ120+BZ137</f>
        <v>198.00000000000011</v>
      </c>
      <c r="CA147" s="783">
        <f t="shared" ref="CA147:CA153" si="372">IF(BV147&lt;0,"       NM",(BZ147/BV147-1)*100)</f>
        <v>10.980530967647461</v>
      </c>
      <c r="CB147" s="487"/>
      <c r="CC147" s="487"/>
      <c r="CD147" s="859">
        <f>CD120+CD137</f>
        <v>209.21400000000014</v>
      </c>
      <c r="CE147" s="783">
        <f t="shared" ref="CE147:CE153" si="373">IF(BZ147&lt;0,"       NM",(CD147/BZ147-1)*100)</f>
        <v>5.6636363636363818</v>
      </c>
      <c r="CF147" s="487"/>
      <c r="CG147" s="487"/>
      <c r="CH147" s="859">
        <f>CH120+CH137</f>
        <v>331.43399999999997</v>
      </c>
      <c r="CI147" s="783">
        <f t="shared" ref="CI147:CI153" si="374">IF(CD147&lt;0,"       NM",(CH147/CD147-1)*100)</f>
        <v>58.418652671427232</v>
      </c>
      <c r="CJ147" s="487"/>
      <c r="CK147" s="487"/>
      <c r="CL147" s="859">
        <f>CL120+CL137</f>
        <v>308.52012300000001</v>
      </c>
      <c r="CM147" s="783">
        <f t="shared" ref="CM147:CM153" si="375">IF(CH147&lt;0,"       NM",(CL147/CH147-1)*100)</f>
        <v>-6.9135565451945098</v>
      </c>
      <c r="CN147" s="487"/>
      <c r="CO147" s="487"/>
      <c r="CP147" s="859">
        <f>CP120+CP137</f>
        <v>419.20000000000022</v>
      </c>
      <c r="CQ147" s="783">
        <f t="shared" ref="CQ147:CQ153" si="376">IF(CL147&lt;0,"       NM",(CP147/CL147-1)*100)</f>
        <v>35.874443431360945</v>
      </c>
      <c r="CR147" s="487"/>
      <c r="CS147" s="487"/>
      <c r="CT147" s="859">
        <f>CT120+CT137</f>
        <v>452.89</v>
      </c>
      <c r="CU147" s="783">
        <f t="shared" ref="CU147:CU153" si="377">IF(CP147&lt;0,"       NM",(CT147/CP147-1)*100)</f>
        <v>8.0367366412213102</v>
      </c>
      <c r="CV147" s="487"/>
      <c r="CW147" s="794"/>
      <c r="CX147" s="859">
        <f>CX120+CX137</f>
        <v>454.31700000000041</v>
      </c>
      <c r="CY147" s="783">
        <f t="shared" ref="CY147:CY153" si="378">IF(CT147&lt;0,"       NM",(CX147/CT147-1)*100)</f>
        <v>0.31508754885301027</v>
      </c>
      <c r="CZ147" s="487"/>
      <c r="DA147" s="794"/>
      <c r="DB147" s="859">
        <f>DB120+DB137</f>
        <v>474.60099999999977</v>
      </c>
      <c r="DC147" s="783">
        <f t="shared" ref="DC147:DC153" si="379">IF(CX147&lt;0,"       NM",(DB147/CX147-1)*100)</f>
        <v>4.4647239702673147</v>
      </c>
      <c r="DD147" s="487"/>
      <c r="DE147" s="794"/>
      <c r="DF147" s="859">
        <f>DF120+DF137</f>
        <v>508.34599999999983</v>
      </c>
      <c r="DG147" s="783">
        <f t="shared" ref="DG147:DG153" si="380">IF(DB147&lt;0,"       NM",(DF147/DB147-1)*100)</f>
        <v>7.1101830801030941</v>
      </c>
      <c r="DH147" s="487"/>
      <c r="DI147" s="794"/>
      <c r="DJ147" s="859"/>
      <c r="DK147" s="783"/>
      <c r="DL147" s="487"/>
      <c r="DM147" s="794"/>
      <c r="DN147" s="859"/>
      <c r="DO147" s="783"/>
      <c r="DP147" s="487"/>
      <c r="DQ147" s="794"/>
      <c r="DR147" s="794"/>
      <c r="DS147" s="794"/>
      <c r="DT147" s="794"/>
      <c r="DU147" s="794"/>
      <c r="DV147" s="794"/>
      <c r="DW147" s="794"/>
      <c r="DX147" s="794"/>
      <c r="DY147" s="794"/>
      <c r="DZ147" s="794"/>
      <c r="EA147" s="794"/>
      <c r="EB147" s="794"/>
    </row>
    <row r="148" spans="1:132" hidden="1" outlineLevel="1">
      <c r="A148" s="487" t="str">
        <f>$A$11</f>
        <v>2Q</v>
      </c>
      <c r="B148" s="487" t="str">
        <f>$B$11</f>
        <v>Jul</v>
      </c>
      <c r="C148" s="487"/>
      <c r="D148" s="864"/>
      <c r="E148" s="487"/>
      <c r="F148" s="864">
        <f>F121+F138</f>
        <v>14.430999999999996</v>
      </c>
      <c r="G148" s="783"/>
      <c r="H148" s="487"/>
      <c r="I148" s="487"/>
      <c r="J148" s="864">
        <f>J121+J138</f>
        <v>13.830000000000048</v>
      </c>
      <c r="K148" s="783">
        <f t="shared" si="355"/>
        <v>-4.1646455547082457</v>
      </c>
      <c r="L148" s="487"/>
      <c r="M148" s="487"/>
      <c r="N148" s="948">
        <f>N121+N138</f>
        <v>19.032999999999912</v>
      </c>
      <c r="O148" s="783">
        <f t="shared" si="356"/>
        <v>37.621113521329328</v>
      </c>
      <c r="P148" s="487"/>
      <c r="Q148" s="487"/>
      <c r="R148" s="948">
        <f>R121+R138</f>
        <v>25.985000000000007</v>
      </c>
      <c r="S148" s="783">
        <f t="shared" si="357"/>
        <v>36.526033730889118</v>
      </c>
      <c r="T148" s="487"/>
      <c r="U148" s="487"/>
      <c r="V148" s="948">
        <f>V121+V138</f>
        <v>18.796000000000049</v>
      </c>
      <c r="W148" s="783">
        <f t="shared" si="358"/>
        <v>-27.665961131421803</v>
      </c>
      <c r="X148" s="487"/>
      <c r="Y148" s="487"/>
      <c r="Z148" s="948">
        <f>Z121+Z138</f>
        <v>-24.842000000000013</v>
      </c>
      <c r="AA148" s="783">
        <f t="shared" si="359"/>
        <v>-232.16641838689057</v>
      </c>
      <c r="AB148" s="783"/>
      <c r="AC148" s="487"/>
      <c r="AD148" s="864">
        <f>AD121+AD138</f>
        <v>36.053999999999967</v>
      </c>
      <c r="AE148" s="783" t="str">
        <f t="shared" si="360"/>
        <v xml:space="preserve">       NM</v>
      </c>
      <c r="AF148" s="487"/>
      <c r="AG148" s="487"/>
      <c r="AH148" s="864">
        <f>AH121+AH138</f>
        <v>52.578000000000088</v>
      </c>
      <c r="AI148" s="783">
        <f t="shared" si="361"/>
        <v>45.8312531203199</v>
      </c>
      <c r="AJ148" s="487"/>
      <c r="AK148" s="487"/>
      <c r="AL148" s="864">
        <f>AL121+AL138</f>
        <v>85.802999999999827</v>
      </c>
      <c r="AM148" s="783">
        <f t="shared" si="362"/>
        <v>63.19182928220868</v>
      </c>
      <c r="AN148" s="487"/>
      <c r="AO148" s="487"/>
      <c r="AP148" s="864">
        <f>AP121+AP138</f>
        <v>115.88100000000007</v>
      </c>
      <c r="AQ148" s="783">
        <f t="shared" si="363"/>
        <v>35.054718366491031</v>
      </c>
      <c r="AR148" s="487"/>
      <c r="AS148" s="487"/>
      <c r="AT148" s="864">
        <f>AT121+AT138</f>
        <v>114.03299999999997</v>
      </c>
      <c r="AU148" s="783">
        <f t="shared" si="364"/>
        <v>-1.5947394309680618</v>
      </c>
      <c r="AV148" s="487"/>
      <c r="AW148" s="487"/>
      <c r="AX148" s="864">
        <f>AX121+AX138</f>
        <v>111.9079999999999</v>
      </c>
      <c r="AY148" s="783">
        <f t="shared" si="365"/>
        <v>-1.863495654766667</v>
      </c>
      <c r="AZ148" s="487"/>
      <c r="BA148" s="487"/>
      <c r="BB148" s="862">
        <f>BB121+BB138</f>
        <v>129.62700000000007</v>
      </c>
      <c r="BC148" s="783">
        <f t="shared" si="366"/>
        <v>15.833541837938458</v>
      </c>
      <c r="BD148" s="487"/>
      <c r="BE148" s="487"/>
      <c r="BF148" s="864">
        <f>BF121+BF138</f>
        <v>111.49100000000003</v>
      </c>
      <c r="BG148" s="783">
        <f t="shared" si="367"/>
        <v>-13.990912387079879</v>
      </c>
      <c r="BH148" s="487"/>
      <c r="BI148" s="487"/>
      <c r="BJ148" s="864">
        <f>BJ121+BJ138</f>
        <v>105.35300000000005</v>
      </c>
      <c r="BK148" s="783">
        <f t="shared" si="368"/>
        <v>-5.5053771156415969</v>
      </c>
      <c r="BL148" s="487"/>
      <c r="BM148" s="487"/>
      <c r="BN148" s="864">
        <f>BN121+BN138</f>
        <v>110.81400000000008</v>
      </c>
      <c r="BO148" s="783">
        <f t="shared" si="369"/>
        <v>5.18352586067794</v>
      </c>
      <c r="BP148" s="487"/>
      <c r="BQ148" s="487"/>
      <c r="BR148" s="948">
        <f>BR121+BR138</f>
        <v>138.82400000000024</v>
      </c>
      <c r="BS148" s="783">
        <f t="shared" si="370"/>
        <v>25.276589600592114</v>
      </c>
      <c r="BT148" s="487"/>
      <c r="BU148" s="487"/>
      <c r="BV148" s="864">
        <f>BV121+BV138</f>
        <v>179.13868599999961</v>
      </c>
      <c r="BW148" s="783">
        <f t="shared" si="371"/>
        <v>29.040141474096192</v>
      </c>
      <c r="BX148" s="487"/>
      <c r="BY148" s="487"/>
      <c r="BZ148" s="864">
        <f>BZ121+BZ138</f>
        <v>212.07300000000015</v>
      </c>
      <c r="CA148" s="783">
        <f t="shared" si="372"/>
        <v>18.38481387543538</v>
      </c>
      <c r="CB148" s="487"/>
      <c r="CC148" s="487"/>
      <c r="CD148" s="864">
        <f>CD121+CD138</f>
        <v>261.56100000000015</v>
      </c>
      <c r="CE148" s="783">
        <f t="shared" si="373"/>
        <v>23.335360937035809</v>
      </c>
      <c r="CF148" s="487"/>
      <c r="CG148" s="487"/>
      <c r="CH148" s="864">
        <f>CH121+CH138</f>
        <v>297.99624999999986</v>
      </c>
      <c r="CI148" s="783">
        <f t="shared" si="374"/>
        <v>13.929924568265029</v>
      </c>
      <c r="CJ148" s="487"/>
      <c r="CK148" s="487"/>
      <c r="CL148" s="864">
        <f>CL121+CL138</f>
        <v>348.33800000000048</v>
      </c>
      <c r="CM148" s="783">
        <f t="shared" si="375"/>
        <v>16.893417282935829</v>
      </c>
      <c r="CN148" s="487"/>
      <c r="CO148" s="487"/>
      <c r="CP148" s="864">
        <f>CP121+CP138</f>
        <v>421.09199999999987</v>
      </c>
      <c r="CQ148" s="783">
        <f t="shared" si="376"/>
        <v>20.886035976551298</v>
      </c>
      <c r="CR148" s="487"/>
      <c r="CS148" s="487"/>
      <c r="CT148" s="864">
        <f>CT121+CT138</f>
        <v>479.55900000000048</v>
      </c>
      <c r="CU148" s="783">
        <f t="shared" si="377"/>
        <v>13.88461428856418</v>
      </c>
      <c r="CV148" s="487"/>
      <c r="CW148" s="794"/>
      <c r="CX148" s="864">
        <f>CX121+CX138</f>
        <v>528.10909000000061</v>
      </c>
      <c r="CY148" s="783">
        <f t="shared" si="378"/>
        <v>10.123903419600101</v>
      </c>
      <c r="CZ148" s="487"/>
      <c r="DA148" s="794"/>
      <c r="DB148" s="864">
        <f>DB121+DB138</f>
        <v>549.33500000000004</v>
      </c>
      <c r="DC148" s="783">
        <f t="shared" si="379"/>
        <v>4.0192282999710116</v>
      </c>
      <c r="DD148" s="487"/>
      <c r="DE148" s="794"/>
      <c r="DF148" s="864">
        <f>DF121+DF138</f>
        <v>562.17399999999964</v>
      </c>
      <c r="DG148" s="783">
        <f t="shared" si="380"/>
        <v>2.3371895109540741</v>
      </c>
      <c r="DH148" s="487"/>
      <c r="DI148" s="794"/>
      <c r="DJ148" s="864"/>
      <c r="DK148" s="783"/>
      <c r="DL148" s="487"/>
      <c r="DM148" s="794"/>
      <c r="DN148" s="864"/>
      <c r="DO148" s="783"/>
      <c r="DP148" s="487"/>
      <c r="DQ148" s="794"/>
      <c r="DR148" s="794"/>
      <c r="DS148" s="794"/>
      <c r="DT148" s="794"/>
      <c r="DU148" s="794"/>
      <c r="DV148" s="794"/>
      <c r="DW148" s="794"/>
      <c r="DX148" s="794"/>
      <c r="DY148" s="794"/>
      <c r="DZ148" s="794"/>
      <c r="EA148" s="794"/>
      <c r="EB148" s="794"/>
    </row>
    <row r="149" spans="1:132" hidden="1" outlineLevel="1">
      <c r="A149" s="487" t="str">
        <f>$A$12</f>
        <v>3Q</v>
      </c>
      <c r="B149" s="487" t="str">
        <f>$B$12</f>
        <v>Oct</v>
      </c>
      <c r="C149" s="487"/>
      <c r="D149" s="864"/>
      <c r="E149" s="487"/>
      <c r="F149" s="864">
        <f>F122+F139</f>
        <v>29.841000000000008</v>
      </c>
      <c r="G149" s="783"/>
      <c r="H149" s="487"/>
      <c r="I149" s="487"/>
      <c r="J149" s="864">
        <f>J122+J139</f>
        <v>27.431000000000029</v>
      </c>
      <c r="K149" s="783">
        <f t="shared" si="355"/>
        <v>-8.0761368586842899</v>
      </c>
      <c r="L149" s="487"/>
      <c r="M149" s="487"/>
      <c r="N149" s="948">
        <f>N122+N139</f>
        <v>40.514000000000038</v>
      </c>
      <c r="O149" s="783">
        <f t="shared" si="356"/>
        <v>47.694214574751179</v>
      </c>
      <c r="P149" s="487"/>
      <c r="Q149" s="487"/>
      <c r="R149" s="948">
        <f>R122+R139</f>
        <v>47.720999999999968</v>
      </c>
      <c r="S149" s="783">
        <f t="shared" si="357"/>
        <v>17.788912474699913</v>
      </c>
      <c r="T149" s="487"/>
      <c r="U149" s="487"/>
      <c r="V149" s="948">
        <f>V122+V139</f>
        <v>32.788000000000061</v>
      </c>
      <c r="W149" s="783">
        <f t="shared" si="358"/>
        <v>-31.29230317889381</v>
      </c>
      <c r="X149" s="487"/>
      <c r="Y149" s="487"/>
      <c r="Z149" s="948">
        <f>Z122+Z139</f>
        <v>33.877000000000002</v>
      </c>
      <c r="AA149" s="783">
        <f t="shared" si="359"/>
        <v>3.3213370745392767</v>
      </c>
      <c r="AB149" s="783"/>
      <c r="AC149" s="487"/>
      <c r="AD149" s="864">
        <f>AD122+AD139</f>
        <v>87.510000000000133</v>
      </c>
      <c r="AE149" s="783">
        <f t="shared" si="360"/>
        <v>158.31685214157133</v>
      </c>
      <c r="AF149" s="487"/>
      <c r="AG149" s="487"/>
      <c r="AH149" s="864">
        <f>AH122+AH139</f>
        <v>105.16500000000009</v>
      </c>
      <c r="AI149" s="783">
        <f t="shared" si="361"/>
        <v>20.174837161467174</v>
      </c>
      <c r="AJ149" s="487"/>
      <c r="AK149" s="487"/>
      <c r="AL149" s="864">
        <f>AL122+AL139</f>
        <v>119.28899999999993</v>
      </c>
      <c r="AM149" s="783">
        <f t="shared" si="362"/>
        <v>13.430323776921815</v>
      </c>
      <c r="AN149" s="487"/>
      <c r="AO149" s="487"/>
      <c r="AP149" s="864">
        <f>AP122+AP139</f>
        <v>151.7170000000001</v>
      </c>
      <c r="AQ149" s="783">
        <f t="shared" si="363"/>
        <v>27.184400908717631</v>
      </c>
      <c r="AR149" s="487"/>
      <c r="AS149" s="487"/>
      <c r="AT149" s="864">
        <f>AT122+AT139</f>
        <v>158.274</v>
      </c>
      <c r="AU149" s="783">
        <f t="shared" si="364"/>
        <v>4.3218624148908091</v>
      </c>
      <c r="AV149" s="487"/>
      <c r="AW149" s="487"/>
      <c r="AX149" s="864">
        <f>AX122+AX139</f>
        <v>109.49799999999968</v>
      </c>
      <c r="AY149" s="783">
        <f t="shared" si="365"/>
        <v>-30.817443168176904</v>
      </c>
      <c r="AZ149" s="487"/>
      <c r="BA149" s="487"/>
      <c r="BB149" s="862">
        <f>BB122+BB139</f>
        <v>147.35499999999985</v>
      </c>
      <c r="BC149" s="783">
        <f t="shared" si="366"/>
        <v>34.573234214323811</v>
      </c>
      <c r="BD149" s="487"/>
      <c r="BE149" s="487"/>
      <c r="BF149" s="864">
        <f>BF122+BF139</f>
        <v>169.81</v>
      </c>
      <c r="BG149" s="783">
        <f t="shared" si="367"/>
        <v>15.238709239591586</v>
      </c>
      <c r="BH149" s="487"/>
      <c r="BI149" s="487"/>
      <c r="BJ149" s="864">
        <f>BJ122+BJ139</f>
        <v>184.44200000000006</v>
      </c>
      <c r="BK149" s="783">
        <f t="shared" si="368"/>
        <v>8.6166892409163651</v>
      </c>
      <c r="BL149" s="487"/>
      <c r="BM149" s="487"/>
      <c r="BN149" s="864">
        <f>BN122+BN139</f>
        <v>155.3249999999997</v>
      </c>
      <c r="BO149" s="783">
        <f t="shared" si="369"/>
        <v>-15.786534520337202</v>
      </c>
      <c r="BP149" s="487"/>
      <c r="BQ149" s="487"/>
      <c r="BR149" s="864">
        <f>BR122+BR139</f>
        <v>230.81900000000022</v>
      </c>
      <c r="BS149" s="783">
        <f t="shared" si="370"/>
        <v>48.603895058748201</v>
      </c>
      <c r="BT149" s="487"/>
      <c r="BU149" s="487"/>
      <c r="BV149" s="864">
        <f>BV122+BV139</f>
        <v>251.26099999999991</v>
      </c>
      <c r="BW149" s="783">
        <f t="shared" si="371"/>
        <v>8.8562899934579331</v>
      </c>
      <c r="BX149" s="487"/>
      <c r="BY149" s="487"/>
      <c r="BZ149" s="864">
        <f>BZ122+BZ139</f>
        <v>249.84699999999998</v>
      </c>
      <c r="CA149" s="783">
        <f t="shared" si="372"/>
        <v>-0.56276143134029732</v>
      </c>
      <c r="CB149" s="487"/>
      <c r="CC149" s="487"/>
      <c r="CD149" s="864">
        <f>CD122+CD139</f>
        <v>347.79899999999986</v>
      </c>
      <c r="CE149" s="783">
        <f t="shared" si="373"/>
        <v>39.204793333520072</v>
      </c>
      <c r="CF149" s="487"/>
      <c r="CG149" s="487"/>
      <c r="CH149" s="864">
        <f>CH122+CH139</f>
        <v>372.30899999999974</v>
      </c>
      <c r="CI149" s="783">
        <f t="shared" si="374"/>
        <v>7.047173798659534</v>
      </c>
      <c r="CJ149" s="487"/>
      <c r="CK149" s="487"/>
      <c r="CL149" s="864">
        <f>CL122+CL139</f>
        <v>406.48699999999917</v>
      </c>
      <c r="CM149" s="783">
        <f t="shared" si="375"/>
        <v>9.1800090784803565</v>
      </c>
      <c r="CN149" s="487"/>
      <c r="CO149" s="487"/>
      <c r="CP149" s="864">
        <f>CP122+CP139</f>
        <v>461.55099999999925</v>
      </c>
      <c r="CQ149" s="783">
        <f t="shared" si="376"/>
        <v>13.546312674206117</v>
      </c>
      <c r="CR149" s="487"/>
      <c r="CS149" s="487"/>
      <c r="CT149" s="864">
        <f>CT122+CT139</f>
        <v>544.00312000000019</v>
      </c>
      <c r="CU149" s="783">
        <f t="shared" si="377"/>
        <v>17.86414069084481</v>
      </c>
      <c r="CV149" s="487"/>
      <c r="CW149" s="794"/>
      <c r="CX149" s="864">
        <f>CX122+CX139</f>
        <v>594.95699999999988</v>
      </c>
      <c r="CY149" s="783">
        <f t="shared" si="378"/>
        <v>9.3664683393726911</v>
      </c>
      <c r="CZ149" s="487"/>
      <c r="DA149" s="794"/>
      <c r="DB149" s="864">
        <f>DB122+DB139</f>
        <v>587.2559999999994</v>
      </c>
      <c r="DC149" s="783">
        <f t="shared" si="379"/>
        <v>-1.294379257660716</v>
      </c>
      <c r="DD149" s="487"/>
      <c r="DE149" s="794"/>
      <c r="DF149" s="864">
        <f>DF122+DF139</f>
        <v>602.04198000000042</v>
      </c>
      <c r="DG149" s="783">
        <f t="shared" si="380"/>
        <v>2.5178082471700725</v>
      </c>
      <c r="DH149" s="487"/>
      <c r="DI149" s="794"/>
      <c r="DJ149" s="864"/>
      <c r="DK149" s="783"/>
      <c r="DL149" s="487"/>
      <c r="DM149" s="794"/>
      <c r="DN149" s="864"/>
      <c r="DO149" s="783"/>
      <c r="DP149" s="487"/>
      <c r="DQ149" s="794"/>
      <c r="DR149" s="794"/>
      <c r="DS149" s="794"/>
      <c r="DT149" s="794"/>
      <c r="DU149" s="794"/>
      <c r="DV149" s="794"/>
      <c r="DW149" s="794"/>
      <c r="DX149" s="794"/>
      <c r="DY149" s="794"/>
      <c r="DZ149" s="794"/>
      <c r="EA149" s="794"/>
      <c r="EB149" s="794"/>
    </row>
    <row r="150" spans="1:132" hidden="1" outlineLevel="1">
      <c r="A150" s="487" t="str">
        <f>$A$13</f>
        <v>4Q</v>
      </c>
      <c r="B150" s="487" t="str">
        <f>$B$13</f>
        <v>Jan</v>
      </c>
      <c r="C150" s="499"/>
      <c r="D150" s="937"/>
      <c r="E150" s="499"/>
      <c r="F150" s="937">
        <f>F123+F140</f>
        <v>15.283999999999986</v>
      </c>
      <c r="G150" s="783"/>
      <c r="H150" s="487"/>
      <c r="I150" s="487"/>
      <c r="J150" s="937">
        <f>J123+J140</f>
        <v>-35.965999999999696</v>
      </c>
      <c r="K150" s="783">
        <f t="shared" si="355"/>
        <v>-335.31797958649395</v>
      </c>
      <c r="L150" s="487"/>
      <c r="M150" s="487"/>
      <c r="N150" s="949">
        <f>N123+N140</f>
        <v>29.35100000000001</v>
      </c>
      <c r="O150" s="783" t="str">
        <f t="shared" si="356"/>
        <v xml:space="preserve">       NM</v>
      </c>
      <c r="P150" s="487"/>
      <c r="Q150" s="487"/>
      <c r="R150" s="949">
        <f>R123+R140</f>
        <v>30.682999999999996</v>
      </c>
      <c r="S150" s="783">
        <f t="shared" si="357"/>
        <v>4.5381758713501696</v>
      </c>
      <c r="T150" s="487"/>
      <c r="U150" s="487"/>
      <c r="V150" s="949">
        <f>V123+V140</f>
        <v>11.665999999999984</v>
      </c>
      <c r="W150" s="783">
        <f t="shared" si="358"/>
        <v>-61.978945996154266</v>
      </c>
      <c r="X150" s="487"/>
      <c r="Y150" s="487"/>
      <c r="Z150" s="949">
        <f>Z123+Z140</f>
        <v>9.1610000000001115</v>
      </c>
      <c r="AA150" s="783">
        <f t="shared" si="359"/>
        <v>-21.472655580317813</v>
      </c>
      <c r="AB150" s="487"/>
      <c r="AC150" s="487"/>
      <c r="AD150" s="949">
        <f>AD123+AD140</f>
        <v>209.47299999999996</v>
      </c>
      <c r="AE150" s="783">
        <f t="shared" si="360"/>
        <v>2186.5735181748432</v>
      </c>
      <c r="AF150" s="487"/>
      <c r="AG150" s="487"/>
      <c r="AH150" s="937">
        <f>AH123+AH140</f>
        <v>98.611000000000104</v>
      </c>
      <c r="AI150" s="783">
        <f t="shared" si="361"/>
        <v>-52.924243219889853</v>
      </c>
      <c r="AJ150" s="487"/>
      <c r="AK150" s="487"/>
      <c r="AL150" s="937">
        <f>AL123+AL140</f>
        <v>136.33500000000021</v>
      </c>
      <c r="AM150" s="783">
        <f t="shared" si="362"/>
        <v>38.255367048300968</v>
      </c>
      <c r="AN150" s="487"/>
      <c r="AO150" s="487"/>
      <c r="AP150" s="937">
        <f>AP123+AP140</f>
        <v>136.95000000000022</v>
      </c>
      <c r="AQ150" s="783">
        <f t="shared" si="363"/>
        <v>0.45109472989328658</v>
      </c>
      <c r="AR150" s="487"/>
      <c r="AS150" s="487"/>
      <c r="AT150" s="937">
        <f>AT123+AT140</f>
        <v>135.1789999999998</v>
      </c>
      <c r="AU150" s="783">
        <f t="shared" si="364"/>
        <v>-1.2931726907633556</v>
      </c>
      <c r="AV150" s="487"/>
      <c r="AW150" s="487"/>
      <c r="AX150" s="937">
        <f>AX123+AX140</f>
        <v>155.31999999999977</v>
      </c>
      <c r="AY150" s="783">
        <f t="shared" si="365"/>
        <v>14.899503621124577</v>
      </c>
      <c r="AZ150" s="487"/>
      <c r="BA150" s="487"/>
      <c r="BB150" s="955">
        <f>BB123+BB140</f>
        <v>154.30300000000034</v>
      </c>
      <c r="BC150" s="783">
        <f t="shared" si="366"/>
        <v>-0.65477723409698152</v>
      </c>
      <c r="BD150" s="487"/>
      <c r="BE150" s="487"/>
      <c r="BF150" s="937">
        <f>BF123+BF140</f>
        <v>226.35899999999981</v>
      </c>
      <c r="BG150" s="783">
        <f t="shared" si="367"/>
        <v>46.697731087535118</v>
      </c>
      <c r="BH150" s="487"/>
      <c r="BI150" s="487"/>
      <c r="BJ150" s="937">
        <f>BJ123+BJ140</f>
        <v>164.9800000000005</v>
      </c>
      <c r="BK150" s="783">
        <f t="shared" si="368"/>
        <v>-27.115776266903179</v>
      </c>
      <c r="BL150" s="487"/>
      <c r="BM150" s="487"/>
      <c r="BN150" s="937">
        <f>BN123+BN140</f>
        <v>288.70300000000032</v>
      </c>
      <c r="BO150" s="783">
        <f t="shared" si="369"/>
        <v>74.992726391077369</v>
      </c>
      <c r="BP150" s="487"/>
      <c r="BQ150" s="487"/>
      <c r="BR150" s="937">
        <f>BR123+BR140</f>
        <v>246.42622444543332</v>
      </c>
      <c r="BS150" s="783">
        <f t="shared" si="370"/>
        <v>-14.643691113208712</v>
      </c>
      <c r="BT150" s="487"/>
      <c r="BU150" s="487"/>
      <c r="BV150" s="937">
        <f>BV123+BV140</f>
        <v>293.09000000000015</v>
      </c>
      <c r="BW150" s="783">
        <f t="shared" si="371"/>
        <v>18.936205210943235</v>
      </c>
      <c r="BX150" s="487"/>
      <c r="BY150" s="487"/>
      <c r="BZ150" s="937">
        <f>BZ123+BZ140</f>
        <v>236.36099999999948</v>
      </c>
      <c r="CA150" s="783">
        <f t="shared" si="372"/>
        <v>-19.355488075335437</v>
      </c>
      <c r="CB150" s="487"/>
      <c r="CC150" s="487"/>
      <c r="CD150" s="937">
        <f>CD123+CD140</f>
        <v>394.99800000000022</v>
      </c>
      <c r="CE150" s="783">
        <f t="shared" si="373"/>
        <v>67.11640245218166</v>
      </c>
      <c r="CF150" s="487"/>
      <c r="CG150" s="487"/>
      <c r="CH150" s="937">
        <f>CH123+CH140</f>
        <v>418.61470000000008</v>
      </c>
      <c r="CI150" s="783">
        <f t="shared" si="374"/>
        <v>5.978941665527393</v>
      </c>
      <c r="CJ150" s="487"/>
      <c r="CK150" s="487"/>
      <c r="CL150" s="937">
        <f>CL123+CL140</f>
        <v>475.31400000000008</v>
      </c>
      <c r="CM150" s="783">
        <f t="shared" si="375"/>
        <v>13.544507634347291</v>
      </c>
      <c r="CN150" s="487"/>
      <c r="CO150" s="487"/>
      <c r="CP150" s="937">
        <f>CP123+CP140</f>
        <v>604.84400000000051</v>
      </c>
      <c r="CQ150" s="783">
        <f t="shared" si="376"/>
        <v>27.251459035500837</v>
      </c>
      <c r="CR150" s="487"/>
      <c r="CS150" s="487"/>
      <c r="CT150" s="937">
        <f>CT123+CT140</f>
        <v>582.29200000000003</v>
      </c>
      <c r="CU150" s="783">
        <f t="shared" si="377"/>
        <v>-3.7285647208206485</v>
      </c>
      <c r="CV150" s="487"/>
      <c r="CW150" s="794"/>
      <c r="CX150" s="937">
        <f>CX123+CX140</f>
        <v>648.22999999999934</v>
      </c>
      <c r="CY150" s="783">
        <f t="shared" si="378"/>
        <v>11.323871871844249</v>
      </c>
      <c r="CZ150" s="487"/>
      <c r="DA150" s="794"/>
      <c r="DB150" s="937">
        <f>DB123+DB140</f>
        <v>666.4660000000008</v>
      </c>
      <c r="DC150" s="783">
        <f t="shared" si="379"/>
        <v>2.8131990188669853</v>
      </c>
      <c r="DD150" s="487"/>
      <c r="DE150" s="794"/>
      <c r="DF150" s="937">
        <f>DF123+DF140</f>
        <v>677.92800000000079</v>
      </c>
      <c r="DG150" s="783">
        <f t="shared" si="380"/>
        <v>1.7198176651171959</v>
      </c>
      <c r="DH150" s="487"/>
      <c r="DI150" s="794"/>
      <c r="DJ150" s="937"/>
      <c r="DK150" s="783"/>
      <c r="DL150" s="487"/>
      <c r="DM150" s="794"/>
      <c r="DN150" s="937"/>
      <c r="DO150" s="783"/>
      <c r="DP150" s="487"/>
      <c r="DQ150" s="794"/>
      <c r="DR150" s="794"/>
      <c r="DS150" s="794"/>
      <c r="DT150" s="794"/>
      <c r="DU150" s="794"/>
      <c r="DV150" s="794"/>
      <c r="DW150" s="794"/>
      <c r="DX150" s="794"/>
      <c r="DY150" s="794"/>
      <c r="DZ150" s="794"/>
      <c r="EA150" s="794"/>
      <c r="EB150" s="794"/>
    </row>
    <row r="151" spans="1:132" hidden="1" outlineLevel="1">
      <c r="A151" s="487"/>
      <c r="B151" s="487" t="str">
        <f>$B$14</f>
        <v>Year</v>
      </c>
      <c r="C151" s="487"/>
      <c r="D151" s="859"/>
      <c r="E151" s="487"/>
      <c r="F151" s="859">
        <f>SUM(F147:F150)</f>
        <v>74.127999999999957</v>
      </c>
      <c r="G151" s="783"/>
      <c r="H151" s="487"/>
      <c r="I151" s="487"/>
      <c r="J151" s="859">
        <f>SUM(J147:J150)</f>
        <v>20.114000000000416</v>
      </c>
      <c r="K151" s="783">
        <f t="shared" si="355"/>
        <v>-72.865853658536011</v>
      </c>
      <c r="L151" s="487"/>
      <c r="M151" s="487"/>
      <c r="N151" s="862">
        <f>SUM(N147:N150)</f>
        <v>102.84599999999995</v>
      </c>
      <c r="O151" s="783">
        <f t="shared" si="356"/>
        <v>411.31550164063748</v>
      </c>
      <c r="P151" s="487"/>
      <c r="Q151" s="487"/>
      <c r="R151" s="859">
        <f>SUM(R147:R150)</f>
        <v>124.37899999999996</v>
      </c>
      <c r="S151" s="783">
        <f t="shared" si="357"/>
        <v>20.937129300118642</v>
      </c>
      <c r="T151" s="487"/>
      <c r="U151" s="487"/>
      <c r="V151" s="859">
        <f>SUM(V147:V150)</f>
        <v>82.619000000000099</v>
      </c>
      <c r="W151" s="783">
        <f t="shared" si="358"/>
        <v>-33.574799604434737</v>
      </c>
      <c r="X151" s="487"/>
      <c r="Y151" s="487"/>
      <c r="Z151" s="859">
        <f>SUM(Z147:Z150)</f>
        <v>26.261000000000056</v>
      </c>
      <c r="AA151" s="783">
        <f t="shared" si="359"/>
        <v>-68.214333264745378</v>
      </c>
      <c r="AB151" s="783"/>
      <c r="AC151" s="487"/>
      <c r="AD151" s="859">
        <f>SUM(AD147:AD150)</f>
        <v>363.12300000000016</v>
      </c>
      <c r="AE151" s="783">
        <f t="shared" si="360"/>
        <v>1282.7462777502737</v>
      </c>
      <c r="AF151" s="487"/>
      <c r="AG151" s="487"/>
      <c r="AH151" s="859">
        <f>SUM(AH147:AH150)</f>
        <v>304.81500000000045</v>
      </c>
      <c r="AI151" s="783">
        <f t="shared" si="361"/>
        <v>-16.057368990672494</v>
      </c>
      <c r="AJ151" s="487"/>
      <c r="AK151" s="487"/>
      <c r="AL151" s="859">
        <f>SUM(AL147:AL150)</f>
        <v>423.8540000000001</v>
      </c>
      <c r="AM151" s="783">
        <f t="shared" si="362"/>
        <v>39.052868133129756</v>
      </c>
      <c r="AN151" s="487"/>
      <c r="AO151" s="487"/>
      <c r="AP151" s="862">
        <f>SUM(AP147:AP150)</f>
        <v>521.66800000000057</v>
      </c>
      <c r="AQ151" s="783">
        <f t="shared" si="363"/>
        <v>23.077286046610503</v>
      </c>
      <c r="AR151" s="487"/>
      <c r="AS151" s="487"/>
      <c r="AT151" s="859">
        <f>SUM(AT147:AT150)</f>
        <v>538.0659999999998</v>
      </c>
      <c r="AU151" s="783">
        <f t="shared" si="364"/>
        <v>3.143378547275133</v>
      </c>
      <c r="AV151" s="487"/>
      <c r="AW151" s="487"/>
      <c r="AX151" s="859">
        <f>SUM(AX147:AX150)</f>
        <v>500.39699999999931</v>
      </c>
      <c r="AY151" s="783">
        <f t="shared" si="365"/>
        <v>-7.0008140265321543</v>
      </c>
      <c r="AZ151" s="487"/>
      <c r="BA151" s="487"/>
      <c r="BB151" s="859">
        <f>SUM(BB147:BB150)</f>
        <v>578.38800000000015</v>
      </c>
      <c r="BC151" s="783">
        <f t="shared" si="366"/>
        <v>15.585824855065278</v>
      </c>
      <c r="BD151" s="487"/>
      <c r="BE151" s="487"/>
      <c r="BF151" s="859">
        <f>SUM(BF147:BF150)</f>
        <v>609.41199999999969</v>
      </c>
      <c r="BG151" s="783">
        <f t="shared" si="367"/>
        <v>5.3638733860314369</v>
      </c>
      <c r="BH151" s="487"/>
      <c r="BI151" s="487"/>
      <c r="BJ151" s="859">
        <f>SUM(BJ147:BJ150)</f>
        <v>609.69900000000064</v>
      </c>
      <c r="BK151" s="783">
        <f t="shared" si="368"/>
        <v>4.7094576411521594E-2</v>
      </c>
      <c r="BL151" s="487"/>
      <c r="BM151" s="487"/>
      <c r="BN151" s="859">
        <f>SUM(BN147:BN150)</f>
        <v>690.42300000000023</v>
      </c>
      <c r="BO151" s="783">
        <f t="shared" si="369"/>
        <v>13.239975791333025</v>
      </c>
      <c r="BP151" s="487"/>
      <c r="BQ151" s="487"/>
      <c r="BR151" s="859">
        <f>SUM(BR147:BR150)</f>
        <v>779.93122444543337</v>
      </c>
      <c r="BS151" s="783">
        <f t="shared" si="370"/>
        <v>12.964258787067218</v>
      </c>
      <c r="BT151" s="487"/>
      <c r="BU151" s="487"/>
      <c r="BV151" s="859">
        <f>SUM(BV147:BV150)</f>
        <v>901.89935684372654</v>
      </c>
      <c r="BW151" s="783">
        <f t="shared" si="371"/>
        <v>15.638318940880724</v>
      </c>
      <c r="BX151" s="487"/>
      <c r="BY151" s="487"/>
      <c r="BZ151" s="859">
        <f>SUM(BZ147:BZ150)</f>
        <v>896.28099999999972</v>
      </c>
      <c r="CA151" s="783">
        <f t="shared" si="372"/>
        <v>-0.62294720592647179</v>
      </c>
      <c r="CB151" s="487"/>
      <c r="CC151" s="487"/>
      <c r="CD151" s="859">
        <f>SUM(CD147:CD150)</f>
        <v>1213.5720000000003</v>
      </c>
      <c r="CE151" s="783">
        <f t="shared" si="373"/>
        <v>35.400839692016305</v>
      </c>
      <c r="CF151" s="487"/>
      <c r="CG151" s="487"/>
      <c r="CH151" s="859">
        <f>SUM(CH147:CH150)</f>
        <v>1420.3539499999997</v>
      </c>
      <c r="CI151" s="783">
        <f t="shared" si="374"/>
        <v>17.039116756154506</v>
      </c>
      <c r="CJ151" s="487"/>
      <c r="CK151" s="487"/>
      <c r="CL151" s="859">
        <f>SUM(CL147:CL150)</f>
        <v>1538.6591229999997</v>
      </c>
      <c r="CM151" s="783">
        <f t="shared" si="375"/>
        <v>8.3292740517249229</v>
      </c>
      <c r="CN151" s="487"/>
      <c r="CO151" s="487"/>
      <c r="CP151" s="859">
        <f>SUM(CP147:CP150)</f>
        <v>1906.6869999999999</v>
      </c>
      <c r="CQ151" s="783">
        <f t="shared" si="376"/>
        <v>23.918740122402028</v>
      </c>
      <c r="CR151" s="487"/>
      <c r="CS151" s="487"/>
      <c r="CT151" s="859">
        <f>SUM(CT147:CT150)</f>
        <v>2058.7441200000007</v>
      </c>
      <c r="CU151" s="783">
        <f t="shared" si="377"/>
        <v>7.9749387288003071</v>
      </c>
      <c r="CV151" s="487"/>
      <c r="CW151" s="794"/>
      <c r="CX151" s="859">
        <f>SUM(CX147:CX150)</f>
        <v>2225.6130900000003</v>
      </c>
      <c r="CY151" s="783">
        <f t="shared" si="378"/>
        <v>8.1053768838450715</v>
      </c>
      <c r="CZ151" s="487"/>
      <c r="DA151" s="794"/>
      <c r="DB151" s="859">
        <f>SUM(DB147:DB150)</f>
        <v>2277.6579999999999</v>
      </c>
      <c r="DC151" s="783">
        <f t="shared" si="379"/>
        <v>2.3384527271988587</v>
      </c>
      <c r="DD151" s="487"/>
      <c r="DE151" s="794"/>
      <c r="DF151" s="859">
        <f>SUM(DF147:DF150)</f>
        <v>2350.4899800000007</v>
      </c>
      <c r="DG151" s="783">
        <f t="shared" si="380"/>
        <v>3.1976697116073094</v>
      </c>
      <c r="DH151" s="487"/>
      <c r="DI151" s="794"/>
      <c r="DJ151" s="859"/>
      <c r="DK151" s="783"/>
      <c r="DL151" s="487"/>
      <c r="DM151" s="794"/>
      <c r="DN151" s="859"/>
      <c r="DO151" s="783"/>
      <c r="DP151" s="487"/>
      <c r="DQ151" s="794"/>
      <c r="DR151" s="794"/>
      <c r="DS151" s="794"/>
      <c r="DT151" s="794"/>
      <c r="DU151" s="794"/>
      <c r="DV151" s="794"/>
      <c r="DW151" s="794"/>
      <c r="DX151" s="794"/>
      <c r="DY151" s="794"/>
      <c r="DZ151" s="794"/>
      <c r="EA151" s="794"/>
      <c r="EB151" s="794"/>
    </row>
    <row r="152" spans="1:132" hidden="1" outlineLevel="2">
      <c r="A152" s="487" t="str">
        <f>$A$15</f>
        <v>6 Mos</v>
      </c>
      <c r="B152" s="487"/>
      <c r="C152" s="487"/>
      <c r="D152" s="864"/>
      <c r="E152" s="487"/>
      <c r="F152" s="864">
        <f>SUM(F147:F148)</f>
        <v>29.002999999999954</v>
      </c>
      <c r="G152" s="783"/>
      <c r="H152" s="487"/>
      <c r="I152" s="487"/>
      <c r="J152" s="864">
        <f>SUM(J147:J148)</f>
        <v>28.649000000000079</v>
      </c>
      <c r="K152" s="783">
        <f t="shared" si="355"/>
        <v>-1.2205633899937118</v>
      </c>
      <c r="L152" s="487"/>
      <c r="M152" s="487"/>
      <c r="N152" s="864">
        <f>SUM(N147:N148)</f>
        <v>32.980999999999895</v>
      </c>
      <c r="O152" s="783">
        <f t="shared" si="356"/>
        <v>15.120946629899134</v>
      </c>
      <c r="P152" s="487"/>
      <c r="Q152" s="487"/>
      <c r="R152" s="864">
        <f>SUM(R147:R148)</f>
        <v>45.974999999999994</v>
      </c>
      <c r="S152" s="783">
        <f t="shared" si="357"/>
        <v>39.398441526940189</v>
      </c>
      <c r="T152" s="487"/>
      <c r="U152" s="487"/>
      <c r="V152" s="864">
        <f>SUM(V147:V148)</f>
        <v>38.165000000000056</v>
      </c>
      <c r="W152" s="783">
        <f t="shared" si="358"/>
        <v>-16.987493202827498</v>
      </c>
      <c r="X152" s="487"/>
      <c r="Y152" s="487"/>
      <c r="Z152" s="864">
        <f>SUM(Z147:Z148)</f>
        <v>-16.777000000000058</v>
      </c>
      <c r="AA152" s="783">
        <f t="shared" si="359"/>
        <v>-143.95912485261374</v>
      </c>
      <c r="AB152" s="783"/>
      <c r="AC152" s="487"/>
      <c r="AD152" s="864">
        <f>SUM(AD147:AD148)</f>
        <v>66.1400000000001</v>
      </c>
      <c r="AE152" s="783" t="str">
        <f t="shared" si="360"/>
        <v xml:space="preserve">       NM</v>
      </c>
      <c r="AF152" s="487"/>
      <c r="AG152" s="487"/>
      <c r="AH152" s="864">
        <f>SUM(AH147:AH148)</f>
        <v>101.03900000000027</v>
      </c>
      <c r="AI152" s="783">
        <f t="shared" si="361"/>
        <v>52.765346235258725</v>
      </c>
      <c r="AJ152" s="487"/>
      <c r="AK152" s="487"/>
      <c r="AL152" s="864">
        <f>SUM(AL147:AL148)</f>
        <v>168.23</v>
      </c>
      <c r="AM152" s="783">
        <f t="shared" si="362"/>
        <v>66.500064331594274</v>
      </c>
      <c r="AN152" s="487"/>
      <c r="AO152" s="487"/>
      <c r="AP152" s="864">
        <f>SUM(AP147:AP148)</f>
        <v>233.00100000000026</v>
      </c>
      <c r="AQ152" s="783">
        <f t="shared" si="363"/>
        <v>38.501456339535324</v>
      </c>
      <c r="AR152" s="487"/>
      <c r="AS152" s="487"/>
      <c r="AT152" s="864">
        <f>SUM(AT147:AT148)</f>
        <v>244.613</v>
      </c>
      <c r="AU152" s="783">
        <f t="shared" si="364"/>
        <v>4.9836695979844414</v>
      </c>
      <c r="AV152" s="487"/>
      <c r="AW152" s="487"/>
      <c r="AX152" s="864">
        <f>SUM(AX147:AX148)</f>
        <v>235.57899999999989</v>
      </c>
      <c r="AY152" s="783">
        <f t="shared" si="365"/>
        <v>-3.6931806567926051</v>
      </c>
      <c r="AZ152" s="487"/>
      <c r="BA152" s="487"/>
      <c r="BB152" s="864">
        <f>SUM(BB147:BB148)</f>
        <v>276.73</v>
      </c>
      <c r="BC152" s="783">
        <f t="shared" si="366"/>
        <v>17.468025588019366</v>
      </c>
      <c r="BD152" s="487"/>
      <c r="BE152" s="487"/>
      <c r="BF152" s="864">
        <f>SUM(BF147:BF148)</f>
        <v>213.24299999999988</v>
      </c>
      <c r="BG152" s="783">
        <f t="shared" si="367"/>
        <v>-22.941856683409867</v>
      </c>
      <c r="BH152" s="487"/>
      <c r="BI152" s="487"/>
      <c r="BJ152" s="864">
        <f>SUM(BJ147:BJ148)</f>
        <v>260.27700000000004</v>
      </c>
      <c r="BK152" s="783">
        <f t="shared" si="368"/>
        <v>22.056527060677332</v>
      </c>
      <c r="BL152" s="487"/>
      <c r="BM152" s="487"/>
      <c r="BN152" s="864">
        <f>SUM(BN147:BN148)</f>
        <v>246.39500000000021</v>
      </c>
      <c r="BO152" s="783">
        <f t="shared" si="369"/>
        <v>-5.3335484887254037</v>
      </c>
      <c r="BP152" s="487"/>
      <c r="BQ152" s="487"/>
      <c r="BR152" s="864">
        <f>SUM(BR147:BR148)</f>
        <v>302.68599999999986</v>
      </c>
      <c r="BS152" s="783">
        <f t="shared" si="370"/>
        <v>22.84583696909419</v>
      </c>
      <c r="BT152" s="487"/>
      <c r="BU152" s="487"/>
      <c r="BV152" s="864">
        <f>SUM(BV147:BV148)</f>
        <v>357.54835684372642</v>
      </c>
      <c r="BW152" s="783">
        <f t="shared" si="371"/>
        <v>18.12517157837712</v>
      </c>
      <c r="BX152" s="487"/>
      <c r="BY152" s="487"/>
      <c r="BZ152" s="864">
        <f>SUM(BZ147:BZ148)</f>
        <v>410.07300000000026</v>
      </c>
      <c r="CA152" s="783">
        <f t="shared" si="372"/>
        <v>14.690220819342414</v>
      </c>
      <c r="CB152" s="487"/>
      <c r="CC152" s="487"/>
      <c r="CD152" s="864">
        <f>SUM(CD147:CD148)</f>
        <v>470.77500000000032</v>
      </c>
      <c r="CE152" s="783">
        <f t="shared" si="373"/>
        <v>14.802730245590423</v>
      </c>
      <c r="CF152" s="487"/>
      <c r="CG152" s="487"/>
      <c r="CH152" s="864">
        <f>SUM(CH147:CH148)</f>
        <v>629.43024999999989</v>
      </c>
      <c r="CI152" s="783">
        <f t="shared" si="374"/>
        <v>33.700865593967279</v>
      </c>
      <c r="CJ152" s="487"/>
      <c r="CK152" s="487"/>
      <c r="CL152" s="864">
        <f>SUM(CL147:CL148)</f>
        <v>656.85812300000043</v>
      </c>
      <c r="CM152" s="783">
        <f t="shared" si="375"/>
        <v>4.3575714703893764</v>
      </c>
      <c r="CN152" s="487"/>
      <c r="CO152" s="487"/>
      <c r="CP152" s="864">
        <f>SUM(CP147:CP148)</f>
        <v>840.29200000000014</v>
      </c>
      <c r="CQ152" s="783">
        <f t="shared" si="376"/>
        <v>27.925950913451601</v>
      </c>
      <c r="CR152" s="487"/>
      <c r="CS152" s="487"/>
      <c r="CT152" s="864">
        <f>SUM(CT147:CT148)</f>
        <v>932.44900000000052</v>
      </c>
      <c r="CU152" s="783">
        <f t="shared" si="377"/>
        <v>10.967259000442752</v>
      </c>
      <c r="CV152" s="487"/>
      <c r="CW152" s="794"/>
      <c r="CX152" s="864">
        <f>SUM(CX147:CX148)</f>
        <v>982.42609000000107</v>
      </c>
      <c r="CY152" s="783">
        <f t="shared" si="378"/>
        <v>5.3597665931327532</v>
      </c>
      <c r="CZ152" s="487"/>
      <c r="DA152" s="794"/>
      <c r="DB152" s="864">
        <f>SUM(DB147:DB148)</f>
        <v>1023.9359999999998</v>
      </c>
      <c r="DC152" s="783">
        <f t="shared" si="379"/>
        <v>4.2252450767058303</v>
      </c>
      <c r="DD152" s="487"/>
      <c r="DE152" s="794"/>
      <c r="DF152" s="864">
        <f>SUM(DF147:DF148)</f>
        <v>1070.5199999999995</v>
      </c>
      <c r="DG152" s="783">
        <f t="shared" si="380"/>
        <v>4.5495030939433523</v>
      </c>
      <c r="DH152" s="487"/>
      <c r="DI152" s="794"/>
      <c r="DJ152" s="864"/>
      <c r="DK152" s="783"/>
      <c r="DL152" s="487"/>
      <c r="DM152" s="794"/>
      <c r="DN152" s="864"/>
      <c r="DO152" s="783"/>
      <c r="DP152" s="487"/>
      <c r="DQ152" s="794"/>
      <c r="DR152" s="794"/>
      <c r="DS152" s="794"/>
      <c r="DT152" s="794"/>
      <c r="DU152" s="794"/>
      <c r="DV152" s="794"/>
      <c r="DW152" s="794"/>
      <c r="DX152" s="794"/>
      <c r="DY152" s="794"/>
      <c r="DZ152" s="794"/>
      <c r="EA152" s="794"/>
      <c r="EB152" s="794"/>
    </row>
    <row r="153" spans="1:132" hidden="1" outlineLevel="2">
      <c r="A153" s="487" t="str">
        <f>$A$16</f>
        <v>9 Mos</v>
      </c>
      <c r="B153" s="487"/>
      <c r="C153" s="487"/>
      <c r="D153" s="864"/>
      <c r="E153" s="487"/>
      <c r="F153" s="864">
        <f>SUM(F147:F149)</f>
        <v>58.843999999999966</v>
      </c>
      <c r="G153" s="783"/>
      <c r="H153" s="487"/>
      <c r="I153" s="487"/>
      <c r="J153" s="864">
        <f>SUM(J147:J149)</f>
        <v>56.080000000000112</v>
      </c>
      <c r="K153" s="783">
        <f t="shared" si="355"/>
        <v>-4.6971653864452678</v>
      </c>
      <c r="L153" s="487"/>
      <c r="M153" s="487"/>
      <c r="N153" s="864">
        <f>SUM(N147:N149)</f>
        <v>73.494999999999933</v>
      </c>
      <c r="O153" s="783">
        <f t="shared" si="356"/>
        <v>31.053851640513173</v>
      </c>
      <c r="P153" s="487"/>
      <c r="Q153" s="487"/>
      <c r="R153" s="864">
        <f>SUM(R147:R149)</f>
        <v>93.69599999999997</v>
      </c>
      <c r="S153" s="783">
        <f t="shared" si="357"/>
        <v>27.48622355262269</v>
      </c>
      <c r="T153" s="487"/>
      <c r="U153" s="487"/>
      <c r="V153" s="864">
        <f>SUM(V147:V149)</f>
        <v>70.953000000000117</v>
      </c>
      <c r="W153" s="783">
        <f t="shared" si="358"/>
        <v>-24.273181352458874</v>
      </c>
      <c r="X153" s="487"/>
      <c r="Y153" s="487"/>
      <c r="Z153" s="864">
        <f>SUM(Z147:Z149)</f>
        <v>17.099999999999945</v>
      </c>
      <c r="AA153" s="783">
        <f t="shared" si="359"/>
        <v>-75.899539131537892</v>
      </c>
      <c r="AB153" s="783"/>
      <c r="AC153" s="487"/>
      <c r="AD153" s="864">
        <f>SUM(AD147:AD149)</f>
        <v>153.65000000000023</v>
      </c>
      <c r="AE153" s="783">
        <f t="shared" si="360"/>
        <v>798.53801169591065</v>
      </c>
      <c r="AF153" s="487"/>
      <c r="AG153" s="487"/>
      <c r="AH153" s="864">
        <f>SUM(AH147:AH149)</f>
        <v>206.20400000000035</v>
      </c>
      <c r="AI153" s="783">
        <f t="shared" si="361"/>
        <v>34.203709729905654</v>
      </c>
      <c r="AJ153" s="487"/>
      <c r="AK153" s="487"/>
      <c r="AL153" s="864">
        <f>SUM(AL147:AL149)</f>
        <v>287.51899999999989</v>
      </c>
      <c r="AM153" s="783">
        <f t="shared" si="362"/>
        <v>39.434249578087432</v>
      </c>
      <c r="AN153" s="487"/>
      <c r="AO153" s="487"/>
      <c r="AP153" s="864">
        <f>SUM(AP147:AP149)</f>
        <v>384.71800000000036</v>
      </c>
      <c r="AQ153" s="783">
        <f t="shared" si="363"/>
        <v>33.806113682921989</v>
      </c>
      <c r="AR153" s="487"/>
      <c r="AS153" s="487"/>
      <c r="AT153" s="864">
        <f>SUM(AT147:AT149)</f>
        <v>402.887</v>
      </c>
      <c r="AU153" s="783">
        <f t="shared" si="364"/>
        <v>4.7226799889788396</v>
      </c>
      <c r="AV153" s="487"/>
      <c r="AW153" s="487"/>
      <c r="AX153" s="864">
        <f>SUM(AX147:AX149)</f>
        <v>345.07699999999954</v>
      </c>
      <c r="AY153" s="783">
        <f t="shared" si="365"/>
        <v>-14.348936550447267</v>
      </c>
      <c r="AZ153" s="487"/>
      <c r="BA153" s="487"/>
      <c r="BB153" s="864">
        <f>SUM(BB147:BB149)</f>
        <v>424.08499999999987</v>
      </c>
      <c r="BC153" s="783">
        <f t="shared" si="366"/>
        <v>22.895759497155833</v>
      </c>
      <c r="BD153" s="487"/>
      <c r="BE153" s="487"/>
      <c r="BF153" s="864">
        <f>SUM(BF147:BF149)</f>
        <v>383.05299999999988</v>
      </c>
      <c r="BG153" s="783">
        <f t="shared" si="367"/>
        <v>-9.6754188429206351</v>
      </c>
      <c r="BH153" s="487"/>
      <c r="BI153" s="487"/>
      <c r="BJ153" s="864">
        <f>SUM(BJ147:BJ149)</f>
        <v>444.71900000000011</v>
      </c>
      <c r="BK153" s="783">
        <f t="shared" si="368"/>
        <v>16.098555552364878</v>
      </c>
      <c r="BL153" s="487"/>
      <c r="BM153" s="487"/>
      <c r="BN153" s="864">
        <f>SUM(BN147:BN149)</f>
        <v>401.71999999999991</v>
      </c>
      <c r="BO153" s="783">
        <f t="shared" si="369"/>
        <v>-9.6688020975043028</v>
      </c>
      <c r="BP153" s="487"/>
      <c r="BQ153" s="487"/>
      <c r="BR153" s="864">
        <f>SUM(BR147:BR149)</f>
        <v>533.50500000000011</v>
      </c>
      <c r="BS153" s="783">
        <f t="shared" si="370"/>
        <v>32.805187692920491</v>
      </c>
      <c r="BT153" s="487"/>
      <c r="BU153" s="487"/>
      <c r="BV153" s="864">
        <f>SUM(BV147:BV149)</f>
        <v>608.80935684372639</v>
      </c>
      <c r="BW153" s="783">
        <f t="shared" si="371"/>
        <v>14.115023634966173</v>
      </c>
      <c r="BX153" s="487"/>
      <c r="BY153" s="487"/>
      <c r="BZ153" s="864">
        <f>SUM(BZ147:BZ149)</f>
        <v>659.9200000000003</v>
      </c>
      <c r="CA153" s="783">
        <f t="shared" si="372"/>
        <v>8.3951802944108422</v>
      </c>
      <c r="CB153" s="487"/>
      <c r="CC153" s="487"/>
      <c r="CD153" s="864">
        <f>SUM(CD147:CD149)</f>
        <v>818.57400000000018</v>
      </c>
      <c r="CE153" s="783">
        <f t="shared" si="373"/>
        <v>24.041398957449367</v>
      </c>
      <c r="CF153" s="487"/>
      <c r="CG153" s="487"/>
      <c r="CH153" s="864">
        <f>SUM(CH147:CH149)</f>
        <v>1001.7392499999996</v>
      </c>
      <c r="CI153" s="783">
        <f t="shared" si="374"/>
        <v>22.376138259949553</v>
      </c>
      <c r="CJ153" s="487"/>
      <c r="CK153" s="487"/>
      <c r="CL153" s="864">
        <f>SUM(CL147:CL149)</f>
        <v>1063.3451229999996</v>
      </c>
      <c r="CM153" s="783">
        <f t="shared" si="375"/>
        <v>6.1498911019010283</v>
      </c>
      <c r="CN153" s="487"/>
      <c r="CO153" s="487"/>
      <c r="CP153" s="864">
        <f>SUM(CP147:CP149)</f>
        <v>1301.8429999999994</v>
      </c>
      <c r="CQ153" s="783">
        <f t="shared" si="376"/>
        <v>22.429018748600569</v>
      </c>
      <c r="CR153" s="487"/>
      <c r="CS153" s="487"/>
      <c r="CT153" s="864">
        <f>SUM(CT147:CT149)</f>
        <v>1476.4521200000008</v>
      </c>
      <c r="CU153" s="783">
        <f t="shared" si="377"/>
        <v>13.412456033484954</v>
      </c>
      <c r="CV153" s="487"/>
      <c r="CW153" s="794"/>
      <c r="CX153" s="864">
        <f>SUM(CX147:CX149)</f>
        <v>1577.3830900000009</v>
      </c>
      <c r="CY153" s="783">
        <f t="shared" si="378"/>
        <v>6.8360476193430442</v>
      </c>
      <c r="CZ153" s="487"/>
      <c r="DA153" s="794"/>
      <c r="DB153" s="864">
        <f>SUM(DB147:DB149)</f>
        <v>1611.1919999999991</v>
      </c>
      <c r="DC153" s="783">
        <f t="shared" si="379"/>
        <v>2.1433544085982303</v>
      </c>
      <c r="DD153" s="487"/>
      <c r="DE153" s="794"/>
      <c r="DF153" s="864">
        <f>SUM(DF147:DF149)</f>
        <v>1672.5619799999999</v>
      </c>
      <c r="DG153" s="783">
        <f t="shared" si="380"/>
        <v>3.8089799353522746</v>
      </c>
      <c r="DH153" s="487"/>
      <c r="DI153" s="794"/>
      <c r="DJ153" s="864"/>
      <c r="DK153" s="783"/>
      <c r="DL153" s="487"/>
      <c r="DM153" s="794"/>
      <c r="DN153" s="864"/>
      <c r="DO153" s="783"/>
      <c r="DP153" s="487"/>
      <c r="DQ153" s="794"/>
      <c r="DR153" s="794"/>
      <c r="DS153" s="794"/>
      <c r="DT153" s="794"/>
      <c r="DU153" s="794"/>
      <c r="DV153" s="794"/>
      <c r="DW153" s="794"/>
      <c r="DX153" s="794"/>
      <c r="DY153" s="794"/>
      <c r="DZ153" s="794"/>
      <c r="EA153" s="794"/>
      <c r="EB153" s="794"/>
    </row>
    <row r="154" spans="1:132" hidden="1" outlineLevel="1" collapsed="1">
      <c r="A154" s="487"/>
      <c r="B154" s="487"/>
      <c r="C154" s="487"/>
      <c r="D154" s="864"/>
      <c r="E154" s="487"/>
      <c r="F154" s="864"/>
      <c r="G154" s="783"/>
      <c r="H154" s="487"/>
      <c r="I154" s="487"/>
      <c r="J154" s="864"/>
      <c r="K154" s="783"/>
      <c r="L154" s="487"/>
      <c r="M154" s="487"/>
      <c r="N154" s="864"/>
      <c r="O154" s="783"/>
      <c r="P154" s="487"/>
      <c r="Q154" s="487"/>
      <c r="R154" s="864"/>
      <c r="S154" s="783"/>
      <c r="T154" s="487"/>
      <c r="U154" s="487"/>
      <c r="V154" s="864"/>
      <c r="W154" s="783"/>
      <c r="X154" s="487"/>
      <c r="Y154" s="487"/>
      <c r="Z154" s="864"/>
      <c r="AA154" s="783"/>
      <c r="AB154" s="783"/>
      <c r="AC154" s="487"/>
      <c r="AD154" s="864"/>
      <c r="AE154" s="783"/>
      <c r="AF154" s="487"/>
      <c r="AG154" s="487"/>
      <c r="AH154" s="864"/>
      <c r="AI154" s="783"/>
      <c r="AJ154" s="487"/>
      <c r="AK154" s="487"/>
      <c r="AL154" s="864"/>
      <c r="AM154" s="783"/>
      <c r="AN154" s="487"/>
      <c r="AO154" s="487"/>
      <c r="AP154" s="864"/>
      <c r="AQ154" s="783"/>
      <c r="AR154" s="487"/>
      <c r="AS154" s="487"/>
      <c r="AT154" s="864"/>
      <c r="AU154" s="783"/>
      <c r="AV154" s="487"/>
      <c r="AW154" s="487"/>
      <c r="AX154" s="864"/>
      <c r="AY154" s="783"/>
      <c r="AZ154" s="487"/>
      <c r="BA154" s="487"/>
      <c r="BB154" s="864"/>
      <c r="BC154" s="783"/>
      <c r="BD154" s="487"/>
      <c r="BE154" s="487"/>
      <c r="BF154" s="864"/>
      <c r="BG154" s="783"/>
      <c r="BH154" s="487"/>
      <c r="BI154" s="487"/>
      <c r="BJ154" s="864"/>
      <c r="BK154" s="783"/>
      <c r="BL154" s="487"/>
      <c r="BM154" s="487"/>
      <c r="BN154" s="864"/>
      <c r="BO154" s="783"/>
      <c r="BP154" s="487"/>
      <c r="BQ154" s="487"/>
      <c r="BR154" s="864"/>
      <c r="BS154" s="783"/>
      <c r="BT154" s="487"/>
      <c r="BU154" s="487"/>
      <c r="BV154" s="864"/>
      <c r="BW154" s="783"/>
      <c r="BX154" s="487"/>
      <c r="BY154" s="487"/>
      <c r="BZ154" s="864"/>
      <c r="CA154" s="783"/>
      <c r="CB154" s="487"/>
      <c r="CC154" s="487"/>
      <c r="CD154" s="864"/>
      <c r="CE154" s="783"/>
      <c r="CF154" s="487"/>
      <c r="CG154" s="487"/>
      <c r="CH154" s="864"/>
      <c r="CI154" s="783"/>
      <c r="CJ154" s="487"/>
      <c r="CK154" s="487"/>
      <c r="CL154" s="864"/>
      <c r="CM154" s="783"/>
      <c r="CN154" s="487"/>
      <c r="CO154" s="487"/>
      <c r="CP154" s="864"/>
      <c r="CQ154" s="783"/>
      <c r="CR154" s="487"/>
      <c r="CS154" s="487"/>
      <c r="CT154" s="864"/>
      <c r="CU154" s="783"/>
      <c r="CV154" s="487"/>
      <c r="CW154" s="794"/>
      <c r="CX154" s="864"/>
      <c r="CY154" s="783"/>
      <c r="CZ154" s="487"/>
      <c r="DA154" s="794"/>
      <c r="DB154" s="864"/>
      <c r="DC154" s="783"/>
      <c r="DD154" s="487"/>
      <c r="DE154" s="794"/>
      <c r="DF154" s="864"/>
      <c r="DG154" s="783"/>
      <c r="DH154" s="487"/>
      <c r="DI154" s="794"/>
      <c r="DJ154" s="864"/>
      <c r="DK154" s="783"/>
      <c r="DL154" s="487"/>
      <c r="DM154" s="794"/>
      <c r="DN154" s="864"/>
      <c r="DO154" s="783"/>
      <c r="DP154" s="487"/>
      <c r="DQ154" s="794"/>
      <c r="DR154" s="794"/>
      <c r="DS154" s="794"/>
      <c r="DT154" s="794"/>
      <c r="DU154" s="794"/>
      <c r="DV154" s="794"/>
      <c r="DW154" s="794"/>
      <c r="DX154" s="794"/>
      <c r="DY154" s="794"/>
      <c r="DZ154" s="794"/>
      <c r="EA154" s="794"/>
      <c r="EB154" s="794"/>
    </row>
    <row r="155" spans="1:132" hidden="1" outlineLevel="1">
      <c r="A155" s="487"/>
      <c r="B155" s="487"/>
      <c r="C155" s="807"/>
      <c r="D155" s="807"/>
      <c r="E155" s="809"/>
      <c r="F155" s="809" t="str">
        <f>Z155</f>
        <v>Preferred Dividends</v>
      </c>
      <c r="G155" s="811"/>
      <c r="H155" s="811"/>
      <c r="I155" s="811"/>
      <c r="J155" s="809"/>
      <c r="K155" s="811"/>
      <c r="L155" s="811"/>
      <c r="M155" s="811"/>
      <c r="N155" s="809"/>
      <c r="O155" s="811"/>
      <c r="P155" s="811"/>
      <c r="Q155" s="811"/>
      <c r="R155" s="809"/>
      <c r="S155" s="811"/>
      <c r="T155" s="811"/>
      <c r="U155" s="811"/>
      <c r="V155" s="809"/>
      <c r="W155" s="811"/>
      <c r="X155" s="811"/>
      <c r="Y155" s="487"/>
      <c r="Z155" s="809" t="s">
        <v>679</v>
      </c>
      <c r="AA155" s="811"/>
      <c r="AB155" s="811"/>
      <c r="AC155" s="811"/>
      <c r="AD155" s="809"/>
      <c r="AE155" s="811"/>
      <c r="AF155" s="811"/>
      <c r="AG155" s="811"/>
      <c r="AH155" s="809"/>
      <c r="AI155" s="811"/>
      <c r="AJ155" s="811"/>
      <c r="AK155" s="811"/>
      <c r="AL155" s="809"/>
      <c r="AM155" s="811"/>
      <c r="AN155" s="811"/>
      <c r="AO155" s="702"/>
      <c r="AP155" s="921"/>
      <c r="AQ155" s="702"/>
      <c r="AR155" s="702"/>
      <c r="AS155" s="702"/>
      <c r="AT155" s="872" t="str">
        <f>+Z155</f>
        <v>Preferred Dividends</v>
      </c>
      <c r="AU155" s="811"/>
      <c r="AV155" s="811"/>
      <c r="AW155" s="811"/>
      <c r="AX155" s="809"/>
      <c r="AY155" s="811"/>
      <c r="AZ155" s="811"/>
      <c r="BA155" s="811"/>
      <c r="BB155" s="809"/>
      <c r="BC155" s="811"/>
      <c r="BD155" s="811"/>
      <c r="BE155" s="811"/>
      <c r="BF155" s="809"/>
      <c r="BG155" s="811"/>
      <c r="BH155" s="811"/>
      <c r="BI155" s="811"/>
      <c r="BJ155" s="809"/>
      <c r="BK155" s="811"/>
      <c r="BL155" s="811"/>
      <c r="BM155" s="811"/>
      <c r="BN155" s="809"/>
      <c r="BO155" s="811"/>
      <c r="BP155" s="811"/>
      <c r="BQ155" s="702"/>
      <c r="BR155" s="809"/>
      <c r="BS155" s="811"/>
      <c r="BT155" s="811"/>
      <c r="BU155" s="702"/>
      <c r="BV155" s="809"/>
      <c r="BW155" s="811"/>
      <c r="BX155" s="811"/>
      <c r="BY155" s="811"/>
      <c r="BZ155" s="809"/>
      <c r="CA155" s="811"/>
      <c r="CB155" s="811"/>
      <c r="CC155" s="811"/>
      <c r="CD155" s="809"/>
      <c r="CE155" s="811"/>
      <c r="CF155" s="811"/>
      <c r="CG155" s="811"/>
      <c r="CH155" s="809"/>
      <c r="CI155" s="811"/>
      <c r="CJ155" s="811"/>
      <c r="CK155" s="811"/>
      <c r="CL155" s="809"/>
      <c r="CM155" s="811"/>
      <c r="CN155" s="811"/>
      <c r="CO155" s="811"/>
      <c r="CP155" s="809"/>
      <c r="CQ155" s="811"/>
      <c r="CR155" s="811"/>
      <c r="CS155" s="811"/>
      <c r="CT155" s="809"/>
      <c r="CU155" s="811"/>
      <c r="CV155" s="811"/>
      <c r="CW155" s="794"/>
      <c r="CX155" s="809"/>
      <c r="CY155" s="811"/>
      <c r="CZ155" s="811"/>
      <c r="DA155" s="794"/>
      <c r="DB155" s="809"/>
      <c r="DC155" s="811"/>
      <c r="DD155" s="811"/>
      <c r="DE155" s="794"/>
      <c r="DF155" s="809"/>
      <c r="DG155" s="811"/>
      <c r="DH155" s="811"/>
      <c r="DI155" s="794"/>
      <c r="DJ155" s="809"/>
      <c r="DK155" s="811"/>
      <c r="DL155" s="811"/>
      <c r="DM155" s="794"/>
      <c r="DN155" s="809"/>
      <c r="DO155" s="811"/>
      <c r="DP155" s="811"/>
      <c r="DQ155" s="794"/>
      <c r="DR155" s="794"/>
      <c r="DS155" s="794"/>
      <c r="DT155" s="794"/>
      <c r="DU155" s="794"/>
      <c r="DV155" s="794"/>
      <c r="DW155" s="794"/>
      <c r="DX155" s="794"/>
      <c r="DY155" s="794"/>
      <c r="DZ155" s="794"/>
      <c r="EA155" s="794"/>
      <c r="EB155" s="794"/>
    </row>
    <row r="156" spans="1:132" hidden="1" outlineLevel="1">
      <c r="A156" s="487"/>
      <c r="B156" s="487"/>
      <c r="C156" s="487"/>
      <c r="D156" s="487"/>
      <c r="E156" s="487"/>
      <c r="F156" s="809"/>
      <c r="G156" s="487"/>
      <c r="H156" s="487"/>
      <c r="I156" s="487"/>
      <c r="J156" s="487"/>
      <c r="K156" s="487"/>
      <c r="L156" s="487"/>
      <c r="M156" s="487"/>
      <c r="N156" s="487"/>
      <c r="O156" s="487"/>
      <c r="P156" s="487"/>
      <c r="Q156" s="487"/>
      <c r="R156" s="487"/>
      <c r="S156" s="487"/>
      <c r="T156" s="487"/>
      <c r="U156" s="487"/>
      <c r="V156" s="487"/>
      <c r="W156" s="487"/>
      <c r="X156" s="487"/>
      <c r="Y156" s="487"/>
      <c r="Z156" s="487"/>
      <c r="AA156" s="487"/>
      <c r="AB156" s="487"/>
      <c r="AC156" s="487"/>
      <c r="AD156" s="487"/>
      <c r="AE156" s="487"/>
      <c r="AF156" s="487"/>
      <c r="AG156" s="487"/>
      <c r="AH156" s="487"/>
      <c r="AI156" s="487"/>
      <c r="AJ156" s="487"/>
      <c r="AK156" s="487"/>
      <c r="AL156" s="487"/>
      <c r="AM156" s="487"/>
      <c r="AN156" s="487"/>
      <c r="AO156" s="487"/>
      <c r="AP156" s="487"/>
      <c r="AQ156" s="487"/>
      <c r="AR156" s="487"/>
      <c r="AS156" s="487"/>
      <c r="AT156" s="487"/>
      <c r="AU156" s="487"/>
      <c r="AV156" s="487"/>
      <c r="AW156" s="487"/>
      <c r="AX156" s="487"/>
      <c r="AY156" s="487"/>
      <c r="AZ156" s="487"/>
      <c r="BA156" s="487"/>
      <c r="BB156" s="487"/>
      <c r="BC156" s="487"/>
      <c r="BD156" s="487"/>
      <c r="BE156" s="487"/>
      <c r="BF156" s="487"/>
      <c r="BG156" s="487"/>
      <c r="BH156" s="487"/>
      <c r="BI156" s="487"/>
      <c r="BJ156" s="487"/>
      <c r="BK156" s="487"/>
      <c r="BL156" s="487"/>
      <c r="BM156" s="487"/>
      <c r="BN156" s="487"/>
      <c r="BO156" s="487"/>
      <c r="BP156" s="487"/>
      <c r="BQ156" s="487"/>
      <c r="BR156" s="487"/>
      <c r="BS156" s="487"/>
      <c r="BT156" s="487"/>
      <c r="BU156" s="487"/>
      <c r="BV156" s="487"/>
      <c r="BW156" s="487"/>
      <c r="BX156" s="487"/>
      <c r="BY156" s="487"/>
      <c r="BZ156" s="487"/>
      <c r="CA156" s="487"/>
      <c r="CB156" s="487"/>
      <c r="CC156" s="487"/>
      <c r="CD156" s="487"/>
      <c r="CE156" s="487"/>
      <c r="CF156" s="487"/>
      <c r="CG156" s="487"/>
      <c r="CH156" s="487"/>
      <c r="CI156" s="487"/>
      <c r="CJ156" s="487"/>
      <c r="CK156" s="487"/>
      <c r="CL156" s="487"/>
      <c r="CM156" s="487"/>
      <c r="CN156" s="487"/>
      <c r="CO156" s="487"/>
      <c r="CP156" s="487"/>
      <c r="CQ156" s="487"/>
      <c r="CR156" s="487"/>
      <c r="CS156" s="487"/>
      <c r="CT156" s="487"/>
      <c r="CU156" s="487"/>
      <c r="CV156" s="487"/>
      <c r="CW156" s="794"/>
      <c r="CX156" s="487"/>
      <c r="CY156" s="487"/>
      <c r="CZ156" s="487"/>
      <c r="DA156" s="794"/>
      <c r="DB156" s="487"/>
      <c r="DC156" s="487"/>
      <c r="DD156" s="487"/>
      <c r="DE156" s="794"/>
      <c r="DF156" s="487"/>
      <c r="DG156" s="487"/>
      <c r="DH156" s="487"/>
      <c r="DI156" s="794"/>
      <c r="DJ156" s="487"/>
      <c r="DK156" s="487"/>
      <c r="DL156" s="487"/>
      <c r="DM156" s="794"/>
      <c r="DN156" s="487"/>
      <c r="DO156" s="487"/>
      <c r="DP156" s="487"/>
      <c r="DQ156" s="794"/>
      <c r="DR156" s="794"/>
      <c r="DS156" s="794"/>
      <c r="DT156" s="794"/>
      <c r="DU156" s="794"/>
      <c r="DV156" s="794"/>
      <c r="DW156" s="794"/>
      <c r="DX156" s="794"/>
      <c r="DY156" s="794"/>
      <c r="DZ156" s="794"/>
      <c r="EA156" s="794"/>
      <c r="EB156" s="794"/>
    </row>
    <row r="157" spans="1:132" hidden="1" outlineLevel="1">
      <c r="A157" s="487" t="str">
        <f>$A$10</f>
        <v>1Q</v>
      </c>
      <c r="B157" s="487" t="str">
        <f>$B$10</f>
        <v>Apr</v>
      </c>
      <c r="C157" s="487"/>
      <c r="D157" s="859"/>
      <c r="E157" s="487"/>
      <c r="F157" s="860">
        <v>0</v>
      </c>
      <c r="G157" s="783"/>
      <c r="H157" s="487"/>
      <c r="I157" s="487"/>
      <c r="J157" s="860">
        <v>0</v>
      </c>
      <c r="K157" s="783"/>
      <c r="L157" s="487"/>
      <c r="M157" s="487"/>
      <c r="N157" s="860">
        <v>5.6000000000000001E-2</v>
      </c>
      <c r="O157" s="783"/>
      <c r="P157" s="487"/>
      <c r="Q157" s="487"/>
      <c r="R157" s="860">
        <v>1.7889999999999999</v>
      </c>
      <c r="S157" s="783">
        <f t="shared" ref="S157:S163" si="381">IF(N157&lt;0,"       NM",(R157/N157-1)*100)</f>
        <v>3094.6428571428569</v>
      </c>
      <c r="T157" s="487"/>
      <c r="U157" s="487"/>
      <c r="V157" s="860">
        <v>1.7889999999999999</v>
      </c>
      <c r="W157" s="783">
        <f t="shared" ref="W157:W163" si="382">IF(R157&lt;0,"       NM",(V157/R157-1)*100)</f>
        <v>0</v>
      </c>
      <c r="X157" s="487"/>
      <c r="Y157" s="487"/>
      <c r="Z157" s="859">
        <v>1.7889999999999999</v>
      </c>
      <c r="AA157" s="783">
        <f t="shared" ref="AA157:AA163" si="383">IF(V157&lt;0,"       NM",(Z157/V157-1)*100)</f>
        <v>0</v>
      </c>
      <c r="AB157" s="783"/>
      <c r="AC157" s="487"/>
      <c r="AD157" s="860">
        <v>4.5270000000000001</v>
      </c>
      <c r="AE157" s="783">
        <f t="shared" ref="AE157:AE163" si="384">IF(Z157&lt;0,"       NM",(AD157/Z157-1)*100)</f>
        <v>153.04639463387369</v>
      </c>
      <c r="AF157" s="487"/>
      <c r="AG157" s="487"/>
      <c r="AH157" s="860">
        <v>2.625</v>
      </c>
      <c r="AI157" s="783">
        <f t="shared" ref="AI157:AI163" si="385">IF(AD157&lt;0,"       NM",(AH157/AD157-1)*100)</f>
        <v>-42.014579191517562</v>
      </c>
      <c r="AJ157" s="487"/>
      <c r="AK157" s="487"/>
      <c r="AL157" s="860">
        <v>1.25</v>
      </c>
      <c r="AM157" s="783">
        <f t="shared" ref="AM157:AM163" si="386">IF(AH157&lt;0,"       NM",(AL157/AH157-1)*100)</f>
        <v>-52.380952380952387</v>
      </c>
      <c r="AN157" s="487"/>
      <c r="AO157" s="487"/>
      <c r="AP157" s="859">
        <v>0</v>
      </c>
      <c r="AQ157" s="783">
        <f t="shared" ref="AQ157:AQ163" si="387">IF(AL157&lt;0,"       NM",(AP157/AL157-1)*100)</f>
        <v>-100</v>
      </c>
      <c r="AR157" s="487"/>
      <c r="AS157" s="487"/>
      <c r="AT157" s="859">
        <v>0</v>
      </c>
      <c r="AU157" s="783"/>
      <c r="AV157" s="487"/>
      <c r="AW157" s="487"/>
      <c r="AX157" s="859">
        <v>0</v>
      </c>
      <c r="AY157" s="783"/>
      <c r="AZ157" s="487"/>
      <c r="BA157" s="487"/>
      <c r="BB157" s="859">
        <v>0</v>
      </c>
      <c r="BC157" s="783"/>
      <c r="BD157" s="487"/>
      <c r="BE157" s="487"/>
      <c r="BF157" s="859">
        <v>0</v>
      </c>
      <c r="BG157" s="783"/>
      <c r="BH157" s="487"/>
      <c r="BI157" s="487"/>
      <c r="BJ157" s="859">
        <v>0</v>
      </c>
      <c r="BK157" s="783"/>
      <c r="BL157" s="487"/>
      <c r="BM157" s="487"/>
      <c r="BN157" s="859">
        <v>0</v>
      </c>
      <c r="BO157" s="783"/>
      <c r="BP157" s="487"/>
      <c r="BQ157" s="487"/>
      <c r="BR157" s="859">
        <v>0</v>
      </c>
      <c r="BS157" s="783"/>
      <c r="BT157" s="487"/>
      <c r="BU157" s="487"/>
      <c r="BV157" s="859">
        <v>0</v>
      </c>
      <c r="BW157" s="783"/>
      <c r="BX157" s="487"/>
      <c r="BY157" s="487"/>
      <c r="BZ157" s="859">
        <v>0</v>
      </c>
      <c r="CA157" s="783"/>
      <c r="CB157" s="487"/>
      <c r="CC157" s="487"/>
      <c r="CD157" s="859">
        <v>0</v>
      </c>
      <c r="CE157" s="783"/>
      <c r="CF157" s="487"/>
      <c r="CG157" s="487"/>
      <c r="CH157" s="859">
        <v>0</v>
      </c>
      <c r="CI157" s="783"/>
      <c r="CJ157" s="487"/>
      <c r="CK157" s="487"/>
      <c r="CL157" s="859">
        <v>0</v>
      </c>
      <c r="CM157" s="783"/>
      <c r="CN157" s="487"/>
      <c r="CO157" s="487"/>
      <c r="CP157" s="859">
        <v>0</v>
      </c>
      <c r="CQ157" s="783"/>
      <c r="CR157" s="487"/>
      <c r="CS157" s="487"/>
      <c r="CT157" s="859">
        <v>0</v>
      </c>
      <c r="CU157" s="783"/>
      <c r="CV157" s="487"/>
      <c r="CW157" s="794"/>
      <c r="CX157" s="859">
        <v>0</v>
      </c>
      <c r="CY157" s="783"/>
      <c r="CZ157" s="487"/>
      <c r="DA157" s="794"/>
      <c r="DB157" s="859">
        <v>0</v>
      </c>
      <c r="DC157" s="783"/>
      <c r="DD157" s="487"/>
      <c r="DE157" s="794"/>
      <c r="DF157" s="859">
        <v>0</v>
      </c>
      <c r="DG157" s="783"/>
      <c r="DH157" s="487"/>
      <c r="DI157" s="794"/>
      <c r="DJ157" s="859"/>
      <c r="DK157" s="783"/>
      <c r="DL157" s="487"/>
      <c r="DM157" s="794"/>
      <c r="DN157" s="859"/>
      <c r="DO157" s="783"/>
      <c r="DP157" s="487"/>
      <c r="DQ157" s="794"/>
      <c r="DR157" s="794"/>
      <c r="DS157" s="794"/>
      <c r="DT157" s="794"/>
      <c r="DU157" s="794"/>
      <c r="DV157" s="794"/>
      <c r="DW157" s="794"/>
      <c r="DX157" s="794"/>
      <c r="DY157" s="794"/>
      <c r="DZ157" s="794"/>
      <c r="EA157" s="794"/>
      <c r="EB157" s="794"/>
    </row>
    <row r="158" spans="1:132" hidden="1" outlineLevel="1">
      <c r="A158" s="487" t="str">
        <f>$A$11</f>
        <v>2Q</v>
      </c>
      <c r="B158" s="487" t="str">
        <f>$B$11</f>
        <v>Jul</v>
      </c>
      <c r="C158" s="487"/>
      <c r="D158" s="864"/>
      <c r="E158" s="487"/>
      <c r="F158" s="839">
        <v>0</v>
      </c>
      <c r="G158" s="783"/>
      <c r="H158" s="487"/>
      <c r="I158" s="487"/>
      <c r="J158" s="839">
        <v>0</v>
      </c>
      <c r="K158" s="783"/>
      <c r="L158" s="487"/>
      <c r="M158" s="487"/>
      <c r="N158" s="839">
        <v>0.497</v>
      </c>
      <c r="O158" s="783"/>
      <c r="P158" s="487"/>
      <c r="Q158" s="487"/>
      <c r="R158" s="839">
        <v>1.7889999999999999</v>
      </c>
      <c r="S158" s="783">
        <f t="shared" si="381"/>
        <v>259.9597585513078</v>
      </c>
      <c r="T158" s="487"/>
      <c r="U158" s="487"/>
      <c r="V158" s="839">
        <v>1.7889999999999999</v>
      </c>
      <c r="W158" s="783">
        <f t="shared" si="382"/>
        <v>0</v>
      </c>
      <c r="X158" s="487"/>
      <c r="Y158" s="487"/>
      <c r="Z158" s="864">
        <v>1.7889999999999999</v>
      </c>
      <c r="AA158" s="783">
        <f t="shared" si="383"/>
        <v>0</v>
      </c>
      <c r="AB158" s="783"/>
      <c r="AC158" s="487"/>
      <c r="AD158" s="839">
        <v>4.26</v>
      </c>
      <c r="AE158" s="783">
        <f t="shared" si="384"/>
        <v>138.12185578535497</v>
      </c>
      <c r="AF158" s="487"/>
      <c r="AG158" s="487"/>
      <c r="AH158" s="839">
        <v>4.601</v>
      </c>
      <c r="AI158" s="783">
        <f t="shared" si="385"/>
        <v>8.004694835680759</v>
      </c>
      <c r="AJ158" s="487"/>
      <c r="AK158" s="487"/>
      <c r="AL158" s="839">
        <v>1.238</v>
      </c>
      <c r="AM158" s="783">
        <f t="shared" si="386"/>
        <v>-73.092805911758305</v>
      </c>
      <c r="AN158" s="487"/>
      <c r="AO158" s="487"/>
      <c r="AP158" s="864">
        <v>0</v>
      </c>
      <c r="AQ158" s="783">
        <f t="shared" si="387"/>
        <v>-100</v>
      </c>
      <c r="AR158" s="487"/>
      <c r="AS158" s="487"/>
      <c r="AT158" s="864">
        <v>0</v>
      </c>
      <c r="AU158" s="783"/>
      <c r="AV158" s="487"/>
      <c r="AW158" s="487"/>
      <c r="AX158" s="864">
        <v>0</v>
      </c>
      <c r="AY158" s="783"/>
      <c r="AZ158" s="487"/>
      <c r="BA158" s="487"/>
      <c r="BB158" s="864">
        <v>0</v>
      </c>
      <c r="BC158" s="783"/>
      <c r="BD158" s="487"/>
      <c r="BE158" s="487"/>
      <c r="BF158" s="864">
        <v>0</v>
      </c>
      <c r="BG158" s="783"/>
      <c r="BH158" s="487"/>
      <c r="BI158" s="487"/>
      <c r="BJ158" s="864">
        <v>0</v>
      </c>
      <c r="BK158" s="783"/>
      <c r="BL158" s="487"/>
      <c r="BM158" s="487"/>
      <c r="BN158" s="864">
        <v>0</v>
      </c>
      <c r="BO158" s="783"/>
      <c r="BP158" s="487"/>
      <c r="BQ158" s="487"/>
      <c r="BR158" s="864">
        <v>0</v>
      </c>
      <c r="BS158" s="783"/>
      <c r="BT158" s="487"/>
      <c r="BU158" s="487"/>
      <c r="BV158" s="864">
        <v>0</v>
      </c>
      <c r="BW158" s="783"/>
      <c r="BX158" s="487"/>
      <c r="BY158" s="487"/>
      <c r="BZ158" s="864">
        <v>0</v>
      </c>
      <c r="CA158" s="783"/>
      <c r="CB158" s="487"/>
      <c r="CC158" s="487"/>
      <c r="CD158" s="864">
        <v>0</v>
      </c>
      <c r="CE158" s="783"/>
      <c r="CF158" s="487"/>
      <c r="CG158" s="487"/>
      <c r="CH158" s="864">
        <v>0</v>
      </c>
      <c r="CI158" s="783"/>
      <c r="CJ158" s="487"/>
      <c r="CK158" s="487"/>
      <c r="CL158" s="864">
        <v>0</v>
      </c>
      <c r="CM158" s="783"/>
      <c r="CN158" s="487"/>
      <c r="CO158" s="487"/>
      <c r="CP158" s="864">
        <v>0</v>
      </c>
      <c r="CQ158" s="783"/>
      <c r="CR158" s="487"/>
      <c r="CS158" s="487"/>
      <c r="CT158" s="864">
        <v>0</v>
      </c>
      <c r="CU158" s="783"/>
      <c r="CV158" s="487"/>
      <c r="CW158" s="794"/>
      <c r="CX158" s="864">
        <v>0</v>
      </c>
      <c r="CY158" s="783"/>
      <c r="CZ158" s="487"/>
      <c r="DA158" s="794"/>
      <c r="DB158" s="864">
        <v>0</v>
      </c>
      <c r="DC158" s="783"/>
      <c r="DD158" s="487"/>
      <c r="DE158" s="794"/>
      <c r="DF158" s="864">
        <v>0</v>
      </c>
      <c r="DG158" s="783"/>
      <c r="DH158" s="487"/>
      <c r="DI158" s="794"/>
      <c r="DJ158" s="864"/>
      <c r="DK158" s="783"/>
      <c r="DL158" s="487"/>
      <c r="DM158" s="794"/>
      <c r="DN158" s="864"/>
      <c r="DO158" s="783"/>
      <c r="DP158" s="487"/>
      <c r="DQ158" s="794"/>
      <c r="DR158" s="794"/>
      <c r="DS158" s="794"/>
      <c r="DT158" s="794"/>
      <c r="DU158" s="794"/>
      <c r="DV158" s="794"/>
      <c r="DW158" s="794"/>
      <c r="DX158" s="794"/>
      <c r="DY158" s="794"/>
      <c r="DZ158" s="794"/>
      <c r="EA158" s="794"/>
      <c r="EB158" s="794"/>
    </row>
    <row r="159" spans="1:132" hidden="1" outlineLevel="1">
      <c r="A159" s="487" t="str">
        <f>$A$12</f>
        <v>3Q</v>
      </c>
      <c r="B159" s="487" t="str">
        <f>$B$12</f>
        <v>Oct</v>
      </c>
      <c r="C159" s="487"/>
      <c r="D159" s="864"/>
      <c r="E159" s="487"/>
      <c r="F159" s="839">
        <v>0</v>
      </c>
      <c r="G159" s="783"/>
      <c r="H159" s="487"/>
      <c r="I159" s="487"/>
      <c r="J159" s="839">
        <v>0</v>
      </c>
      <c r="K159" s="783"/>
      <c r="L159" s="487"/>
      <c r="M159" s="487"/>
      <c r="N159" s="839">
        <v>1.427</v>
      </c>
      <c r="O159" s="783"/>
      <c r="P159" s="487"/>
      <c r="Q159" s="487"/>
      <c r="R159" s="839">
        <v>1.7889999999999999</v>
      </c>
      <c r="S159" s="783">
        <f t="shared" si="381"/>
        <v>25.367904695164679</v>
      </c>
      <c r="T159" s="487"/>
      <c r="U159" s="487"/>
      <c r="V159" s="839">
        <v>1.7889999999999999</v>
      </c>
      <c r="W159" s="783">
        <f t="shared" si="382"/>
        <v>0</v>
      </c>
      <c r="X159" s="487"/>
      <c r="Y159" s="487"/>
      <c r="Z159" s="864">
        <v>1.7889999999999999</v>
      </c>
      <c r="AA159" s="783">
        <f t="shared" si="383"/>
        <v>0</v>
      </c>
      <c r="AB159" s="783"/>
      <c r="AC159" s="487"/>
      <c r="AD159" s="839">
        <v>2.3079999999999998</v>
      </c>
      <c r="AE159" s="783">
        <f t="shared" si="384"/>
        <v>29.010620458356627</v>
      </c>
      <c r="AF159" s="487"/>
      <c r="AG159" s="487"/>
      <c r="AH159" s="839">
        <v>3.4430000000000001</v>
      </c>
      <c r="AI159" s="783">
        <f t="shared" si="385"/>
        <v>49.176776429809379</v>
      </c>
      <c r="AJ159" s="487"/>
      <c r="AK159" s="487"/>
      <c r="AL159" s="839">
        <v>0.97799999999999998</v>
      </c>
      <c r="AM159" s="783">
        <f t="shared" si="386"/>
        <v>-71.594539645657846</v>
      </c>
      <c r="AN159" s="487"/>
      <c r="AO159" s="487"/>
      <c r="AP159" s="864">
        <v>0</v>
      </c>
      <c r="AQ159" s="783">
        <f t="shared" si="387"/>
        <v>-100</v>
      </c>
      <c r="AR159" s="487"/>
      <c r="AS159" s="487"/>
      <c r="AT159" s="864">
        <v>0</v>
      </c>
      <c r="AU159" s="783"/>
      <c r="AV159" s="487"/>
      <c r="AW159" s="487"/>
      <c r="AX159" s="864">
        <v>0</v>
      </c>
      <c r="AY159" s="783"/>
      <c r="AZ159" s="487"/>
      <c r="BA159" s="487"/>
      <c r="BB159" s="864">
        <v>0</v>
      </c>
      <c r="BC159" s="783"/>
      <c r="BD159" s="487"/>
      <c r="BE159" s="487"/>
      <c r="BF159" s="864">
        <v>0</v>
      </c>
      <c r="BG159" s="783"/>
      <c r="BH159" s="487"/>
      <c r="BI159" s="487"/>
      <c r="BJ159" s="864">
        <v>0</v>
      </c>
      <c r="BK159" s="783"/>
      <c r="BL159" s="487"/>
      <c r="BM159" s="487"/>
      <c r="BN159" s="864">
        <v>0</v>
      </c>
      <c r="BO159" s="783"/>
      <c r="BP159" s="487"/>
      <c r="BQ159" s="487"/>
      <c r="BR159" s="864">
        <v>0</v>
      </c>
      <c r="BS159" s="783"/>
      <c r="BT159" s="487"/>
      <c r="BU159" s="487"/>
      <c r="BV159" s="864">
        <v>0</v>
      </c>
      <c r="BW159" s="783"/>
      <c r="BX159" s="487"/>
      <c r="BY159" s="487"/>
      <c r="BZ159" s="864">
        <v>0</v>
      </c>
      <c r="CA159" s="783"/>
      <c r="CB159" s="487"/>
      <c r="CC159" s="487"/>
      <c r="CD159" s="864">
        <v>0</v>
      </c>
      <c r="CE159" s="783"/>
      <c r="CF159" s="487"/>
      <c r="CG159" s="487"/>
      <c r="CH159" s="864">
        <v>0</v>
      </c>
      <c r="CI159" s="783"/>
      <c r="CJ159" s="487"/>
      <c r="CK159" s="487"/>
      <c r="CL159" s="864">
        <v>0</v>
      </c>
      <c r="CM159" s="783"/>
      <c r="CN159" s="487"/>
      <c r="CO159" s="487"/>
      <c r="CP159" s="864">
        <v>0</v>
      </c>
      <c r="CQ159" s="783"/>
      <c r="CR159" s="487"/>
      <c r="CS159" s="487"/>
      <c r="CT159" s="864">
        <v>0</v>
      </c>
      <c r="CU159" s="783"/>
      <c r="CV159" s="487"/>
      <c r="CW159" s="794"/>
      <c r="CX159" s="864">
        <v>0</v>
      </c>
      <c r="CY159" s="783"/>
      <c r="CZ159" s="487"/>
      <c r="DA159" s="794"/>
      <c r="DB159" s="864">
        <v>0</v>
      </c>
      <c r="DC159" s="783"/>
      <c r="DD159" s="487"/>
      <c r="DE159" s="794"/>
      <c r="DF159" s="864">
        <v>0</v>
      </c>
      <c r="DG159" s="783"/>
      <c r="DH159" s="487"/>
      <c r="DI159" s="794"/>
      <c r="DJ159" s="864"/>
      <c r="DK159" s="783"/>
      <c r="DL159" s="487"/>
      <c r="DM159" s="794"/>
      <c r="DN159" s="864"/>
      <c r="DO159" s="783"/>
      <c r="DP159" s="487"/>
      <c r="DQ159" s="794"/>
      <c r="DR159" s="794"/>
      <c r="DS159" s="794"/>
      <c r="DT159" s="794"/>
      <c r="DU159" s="794"/>
      <c r="DV159" s="794"/>
      <c r="DW159" s="794"/>
      <c r="DX159" s="794"/>
      <c r="DY159" s="794"/>
      <c r="DZ159" s="794"/>
      <c r="EA159" s="794"/>
      <c r="EB159" s="794"/>
    </row>
    <row r="160" spans="1:132" hidden="1" outlineLevel="1">
      <c r="A160" s="487" t="str">
        <f>$A$13</f>
        <v>4Q</v>
      </c>
      <c r="B160" s="487" t="str">
        <f>$B$13</f>
        <v>Jan</v>
      </c>
      <c r="C160" s="499"/>
      <c r="D160" s="937"/>
      <c r="E160" s="499"/>
      <c r="F160" s="855">
        <v>0</v>
      </c>
      <c r="G160" s="783"/>
      <c r="H160" s="487"/>
      <c r="I160" s="487"/>
      <c r="J160" s="855">
        <v>0</v>
      </c>
      <c r="K160" s="783"/>
      <c r="L160" s="487"/>
      <c r="M160" s="487"/>
      <c r="N160" s="937">
        <f>+N161-N159-N158-N157</f>
        <v>1.9590000000000001</v>
      </c>
      <c r="O160" s="783"/>
      <c r="P160" s="487"/>
      <c r="Q160" s="487"/>
      <c r="R160" s="855">
        <v>1.7889999999999999</v>
      </c>
      <c r="S160" s="783">
        <f t="shared" si="381"/>
        <v>-8.6778968861664136</v>
      </c>
      <c r="T160" s="487"/>
      <c r="U160" s="487"/>
      <c r="V160" s="855">
        <v>1.7889999999999999</v>
      </c>
      <c r="W160" s="783">
        <f t="shared" si="382"/>
        <v>0</v>
      </c>
      <c r="X160" s="487"/>
      <c r="Y160" s="487"/>
      <c r="Z160" s="937">
        <f>9.407-Z159-Z158-Z157</f>
        <v>4.0400000000000009</v>
      </c>
      <c r="AA160" s="783">
        <f t="shared" si="383"/>
        <v>125.82448295136955</v>
      </c>
      <c r="AB160" s="783"/>
      <c r="AC160" s="487"/>
      <c r="AD160" s="937">
        <f>13.741-AD159-AD158-AD157</f>
        <v>2.6459999999999999</v>
      </c>
      <c r="AE160" s="783">
        <f t="shared" si="384"/>
        <v>-34.504950495049528</v>
      </c>
      <c r="AF160" s="487"/>
      <c r="AG160" s="487"/>
      <c r="AH160" s="937">
        <f>11.668-AH159-AH158-AH157</f>
        <v>0.99899999999999967</v>
      </c>
      <c r="AI160" s="783">
        <f t="shared" si="385"/>
        <v>-62.244897959183689</v>
      </c>
      <c r="AJ160" s="487"/>
      <c r="AK160" s="487"/>
      <c r="AL160" s="937">
        <f>3.526-AL159-AL158-AL157</f>
        <v>6.0000000000000053E-2</v>
      </c>
      <c r="AM160" s="783">
        <f t="shared" si="386"/>
        <v>-93.993993993993982</v>
      </c>
      <c r="AN160" s="487"/>
      <c r="AO160" s="487"/>
      <c r="AP160" s="937">
        <v>0</v>
      </c>
      <c r="AQ160" s="783">
        <f t="shared" si="387"/>
        <v>-100</v>
      </c>
      <c r="AR160" s="487"/>
      <c r="AS160" s="487"/>
      <c r="AT160" s="937">
        <v>0</v>
      </c>
      <c r="AU160" s="783"/>
      <c r="AV160" s="487"/>
      <c r="AW160" s="487"/>
      <c r="AX160" s="937">
        <v>0</v>
      </c>
      <c r="AY160" s="783"/>
      <c r="AZ160" s="487"/>
      <c r="BA160" s="487"/>
      <c r="BB160" s="937">
        <v>0</v>
      </c>
      <c r="BC160" s="783"/>
      <c r="BD160" s="487"/>
      <c r="BE160" s="487"/>
      <c r="BF160" s="937">
        <v>0</v>
      </c>
      <c r="BG160" s="783"/>
      <c r="BH160" s="487"/>
      <c r="BI160" s="487"/>
      <c r="BJ160" s="937">
        <v>0</v>
      </c>
      <c r="BK160" s="783"/>
      <c r="BL160" s="487"/>
      <c r="BM160" s="487"/>
      <c r="BN160" s="937">
        <v>0</v>
      </c>
      <c r="BO160" s="783"/>
      <c r="BP160" s="487"/>
      <c r="BQ160" s="487"/>
      <c r="BR160" s="937">
        <v>0</v>
      </c>
      <c r="BS160" s="783"/>
      <c r="BT160" s="487"/>
      <c r="BU160" s="487"/>
      <c r="BV160" s="937">
        <v>0</v>
      </c>
      <c r="BW160" s="783"/>
      <c r="BX160" s="487"/>
      <c r="BY160" s="487"/>
      <c r="BZ160" s="937">
        <v>0</v>
      </c>
      <c r="CA160" s="783"/>
      <c r="CB160" s="487"/>
      <c r="CC160" s="487"/>
      <c r="CD160" s="937">
        <v>0</v>
      </c>
      <c r="CE160" s="783"/>
      <c r="CF160" s="487"/>
      <c r="CG160" s="487"/>
      <c r="CH160" s="937">
        <v>0</v>
      </c>
      <c r="CI160" s="783"/>
      <c r="CJ160" s="487"/>
      <c r="CK160" s="487"/>
      <c r="CL160" s="937">
        <v>0</v>
      </c>
      <c r="CM160" s="783"/>
      <c r="CN160" s="487"/>
      <c r="CO160" s="487"/>
      <c r="CP160" s="937">
        <v>0</v>
      </c>
      <c r="CQ160" s="783"/>
      <c r="CR160" s="487"/>
      <c r="CS160" s="487"/>
      <c r="CT160" s="937">
        <v>0</v>
      </c>
      <c r="CU160" s="783"/>
      <c r="CV160" s="487"/>
      <c r="CW160" s="794"/>
      <c r="CX160" s="937">
        <v>0</v>
      </c>
      <c r="CY160" s="783"/>
      <c r="CZ160" s="487"/>
      <c r="DA160" s="794"/>
      <c r="DB160" s="937">
        <v>0</v>
      </c>
      <c r="DC160" s="783"/>
      <c r="DD160" s="487"/>
      <c r="DE160" s="794"/>
      <c r="DF160" s="937">
        <v>0</v>
      </c>
      <c r="DG160" s="783"/>
      <c r="DH160" s="487"/>
      <c r="DI160" s="794"/>
      <c r="DJ160" s="937"/>
      <c r="DK160" s="783"/>
      <c r="DL160" s="487"/>
      <c r="DM160" s="794"/>
      <c r="DN160" s="937"/>
      <c r="DO160" s="783"/>
      <c r="DP160" s="487"/>
      <c r="DQ160" s="794"/>
      <c r="DR160" s="794"/>
      <c r="DS160" s="794"/>
      <c r="DT160" s="794"/>
      <c r="DU160" s="794"/>
      <c r="DV160" s="794"/>
      <c r="DW160" s="794"/>
      <c r="DX160" s="794"/>
      <c r="DY160" s="794"/>
      <c r="DZ160" s="794"/>
      <c r="EA160" s="794"/>
      <c r="EB160" s="794"/>
    </row>
    <row r="161" spans="1:132" hidden="1" outlineLevel="1">
      <c r="A161" s="487"/>
      <c r="B161" s="487" t="str">
        <f>$B$14</f>
        <v>Year</v>
      </c>
      <c r="C161" s="487"/>
      <c r="D161" s="859"/>
      <c r="E161" s="487"/>
      <c r="F161" s="859">
        <f>SUM(F157:F160)</f>
        <v>0</v>
      </c>
      <c r="G161" s="783"/>
      <c r="H161" s="487"/>
      <c r="I161" s="487"/>
      <c r="J161" s="859">
        <f>SUM(J157:J160)</f>
        <v>0</v>
      </c>
      <c r="K161" s="783"/>
      <c r="L161" s="487"/>
      <c r="M161" s="487"/>
      <c r="N161" s="860">
        <v>3.9390000000000001</v>
      </c>
      <c r="O161" s="783"/>
      <c r="P161" s="487"/>
      <c r="Q161" s="487"/>
      <c r="R161" s="859">
        <f>SUM(R157:R160)</f>
        <v>7.1559999999999997</v>
      </c>
      <c r="S161" s="783">
        <f t="shared" si="381"/>
        <v>81.670474739781667</v>
      </c>
      <c r="T161" s="487"/>
      <c r="U161" s="487"/>
      <c r="V161" s="859">
        <f>SUM(V157:V160)</f>
        <v>7.1559999999999997</v>
      </c>
      <c r="W161" s="783">
        <f t="shared" si="382"/>
        <v>0</v>
      </c>
      <c r="X161" s="487"/>
      <c r="Y161" s="487"/>
      <c r="Z161" s="859">
        <f>SUM(Z157:Z160)</f>
        <v>9.407</v>
      </c>
      <c r="AA161" s="783">
        <f t="shared" si="383"/>
        <v>31.456120737842387</v>
      </c>
      <c r="AB161" s="783"/>
      <c r="AC161" s="487"/>
      <c r="AD161" s="859">
        <f>SUM(AD157:AD160)</f>
        <v>13.741</v>
      </c>
      <c r="AE161" s="783">
        <f t="shared" si="384"/>
        <v>46.072073987456143</v>
      </c>
      <c r="AF161" s="487"/>
      <c r="AG161" s="487"/>
      <c r="AH161" s="859">
        <f>SUM(AH157:AH160)</f>
        <v>11.667999999999999</v>
      </c>
      <c r="AI161" s="783">
        <f t="shared" si="385"/>
        <v>-15.086238265046214</v>
      </c>
      <c r="AJ161" s="487"/>
      <c r="AK161" s="487"/>
      <c r="AL161" s="859">
        <f>SUM(AL157:AL160)</f>
        <v>3.5260000000000002</v>
      </c>
      <c r="AM161" s="783">
        <f t="shared" si="386"/>
        <v>-69.78059650325676</v>
      </c>
      <c r="AN161" s="487"/>
      <c r="AO161" s="487"/>
      <c r="AP161" s="862">
        <f>SUM(AP157:AP160)</f>
        <v>0</v>
      </c>
      <c r="AQ161" s="783">
        <f t="shared" si="387"/>
        <v>-100</v>
      </c>
      <c r="AR161" s="487"/>
      <c r="AS161" s="487"/>
      <c r="AT161" s="859">
        <f>SUM(AT157:AT160)</f>
        <v>0</v>
      </c>
      <c r="AU161" s="783"/>
      <c r="AV161" s="487"/>
      <c r="AW161" s="487"/>
      <c r="AX161" s="859">
        <f>SUM(AX157:AX160)</f>
        <v>0</v>
      </c>
      <c r="AY161" s="783"/>
      <c r="AZ161" s="487"/>
      <c r="BA161" s="487"/>
      <c r="BB161" s="859">
        <f>SUM(BB157:BB160)</f>
        <v>0</v>
      </c>
      <c r="BC161" s="783"/>
      <c r="BD161" s="487"/>
      <c r="BE161" s="487"/>
      <c r="BF161" s="859">
        <f>SUM(BF157:BF160)</f>
        <v>0</v>
      </c>
      <c r="BG161" s="783"/>
      <c r="BH161" s="487"/>
      <c r="BI161" s="487"/>
      <c r="BJ161" s="859">
        <f>SUM(BJ157:BJ160)</f>
        <v>0</v>
      </c>
      <c r="BK161" s="783"/>
      <c r="BL161" s="487"/>
      <c r="BM161" s="487"/>
      <c r="BN161" s="859">
        <f>SUM(BN157:BN160)</f>
        <v>0</v>
      </c>
      <c r="BO161" s="783"/>
      <c r="BP161" s="487"/>
      <c r="BQ161" s="487"/>
      <c r="BR161" s="859">
        <f>SUM(BR157:BR160)</f>
        <v>0</v>
      </c>
      <c r="BS161" s="783"/>
      <c r="BT161" s="487"/>
      <c r="BU161" s="487"/>
      <c r="BV161" s="859">
        <f>SUM(BV157:BV160)</f>
        <v>0</v>
      </c>
      <c r="BW161" s="783"/>
      <c r="BX161" s="487"/>
      <c r="BY161" s="487"/>
      <c r="BZ161" s="859">
        <f>SUM(BZ157:BZ160)</f>
        <v>0</v>
      </c>
      <c r="CA161" s="783"/>
      <c r="CB161" s="487"/>
      <c r="CC161" s="487"/>
      <c r="CD161" s="859">
        <f>SUM(CD157:CD160)</f>
        <v>0</v>
      </c>
      <c r="CE161" s="783"/>
      <c r="CF161" s="487"/>
      <c r="CG161" s="487"/>
      <c r="CH161" s="859">
        <f>SUM(CH157:CH160)</f>
        <v>0</v>
      </c>
      <c r="CI161" s="783"/>
      <c r="CJ161" s="487"/>
      <c r="CK161" s="487"/>
      <c r="CL161" s="859">
        <f>SUM(CL157:CL160)</f>
        <v>0</v>
      </c>
      <c r="CM161" s="783"/>
      <c r="CN161" s="487"/>
      <c r="CO161" s="487"/>
      <c r="CP161" s="859">
        <f>SUM(CP157:CP160)</f>
        <v>0</v>
      </c>
      <c r="CQ161" s="783"/>
      <c r="CR161" s="487"/>
      <c r="CS161" s="487"/>
      <c r="CT161" s="859">
        <f>SUM(CT157:CT160)</f>
        <v>0</v>
      </c>
      <c r="CU161" s="783"/>
      <c r="CV161" s="487"/>
      <c r="CW161" s="794"/>
      <c r="CX161" s="859">
        <f>SUM(CX157:CX160)</f>
        <v>0</v>
      </c>
      <c r="CY161" s="783"/>
      <c r="CZ161" s="487"/>
      <c r="DA161" s="794"/>
      <c r="DB161" s="859">
        <f>SUM(DB157:DB160)</f>
        <v>0</v>
      </c>
      <c r="DC161" s="783"/>
      <c r="DD161" s="487"/>
      <c r="DE161" s="794"/>
      <c r="DF161" s="859">
        <f>SUM(DF157:DF160)</f>
        <v>0</v>
      </c>
      <c r="DG161" s="783"/>
      <c r="DH161" s="487"/>
      <c r="DI161" s="794"/>
      <c r="DJ161" s="859"/>
      <c r="DK161" s="783"/>
      <c r="DL161" s="487"/>
      <c r="DM161" s="794"/>
      <c r="DN161" s="859"/>
      <c r="DO161" s="783"/>
      <c r="DP161" s="487"/>
      <c r="DQ161" s="794"/>
      <c r="DR161" s="794"/>
      <c r="DS161" s="794"/>
      <c r="DT161" s="794"/>
      <c r="DU161" s="794"/>
      <c r="DV161" s="794"/>
      <c r="DW161" s="794"/>
      <c r="DX161" s="794"/>
      <c r="DY161" s="794"/>
      <c r="DZ161" s="794"/>
      <c r="EA161" s="794"/>
      <c r="EB161" s="794"/>
    </row>
    <row r="162" spans="1:132" hidden="1" outlineLevel="1">
      <c r="A162" s="487" t="str">
        <f>$A$15</f>
        <v>6 Mos</v>
      </c>
      <c r="B162" s="487"/>
      <c r="C162" s="487"/>
      <c r="D162" s="864"/>
      <c r="E162" s="487"/>
      <c r="F162" s="864">
        <f>SUM(F157:F158)</f>
        <v>0</v>
      </c>
      <c r="G162" s="783"/>
      <c r="H162" s="487"/>
      <c r="I162" s="487"/>
      <c r="J162" s="864">
        <f>SUM(J157:J158)</f>
        <v>0</v>
      </c>
      <c r="K162" s="783"/>
      <c r="L162" s="487"/>
      <c r="M162" s="487"/>
      <c r="N162" s="864">
        <f>SUM(N157:N158)</f>
        <v>0.55300000000000005</v>
      </c>
      <c r="O162" s="783"/>
      <c r="P162" s="487"/>
      <c r="Q162" s="487"/>
      <c r="R162" s="864">
        <f>SUM(R157:R158)</f>
        <v>3.5779999999999998</v>
      </c>
      <c r="S162" s="783">
        <f t="shared" si="381"/>
        <v>547.0162748643761</v>
      </c>
      <c r="T162" s="487"/>
      <c r="U162" s="487"/>
      <c r="V162" s="864">
        <f>SUM(V157:V158)</f>
        <v>3.5779999999999998</v>
      </c>
      <c r="W162" s="783">
        <f t="shared" si="382"/>
        <v>0</v>
      </c>
      <c r="X162" s="487"/>
      <c r="Y162" s="487"/>
      <c r="Z162" s="864">
        <f>SUM(Z157:Z158)</f>
        <v>3.5779999999999998</v>
      </c>
      <c r="AA162" s="783">
        <f t="shared" si="383"/>
        <v>0</v>
      </c>
      <c r="AB162" s="783"/>
      <c r="AC162" s="487"/>
      <c r="AD162" s="864">
        <f>SUM(AD157:AD158)</f>
        <v>8.786999999999999</v>
      </c>
      <c r="AE162" s="783">
        <f t="shared" si="384"/>
        <v>145.58412520961431</v>
      </c>
      <c r="AF162" s="487"/>
      <c r="AG162" s="487"/>
      <c r="AH162" s="864">
        <f>SUM(AH157:AH158)</f>
        <v>7.226</v>
      </c>
      <c r="AI162" s="783">
        <f t="shared" si="385"/>
        <v>-17.764879936269484</v>
      </c>
      <c r="AJ162" s="487"/>
      <c r="AK162" s="487"/>
      <c r="AL162" s="864">
        <f>SUM(AL157:AL158)</f>
        <v>2.488</v>
      </c>
      <c r="AM162" s="783">
        <f t="shared" si="386"/>
        <v>-65.568779407694436</v>
      </c>
      <c r="AN162" s="487"/>
      <c r="AO162" s="487"/>
      <c r="AP162" s="864">
        <f>SUM(AP157:AP158)</f>
        <v>0</v>
      </c>
      <c r="AQ162" s="783">
        <f t="shared" si="387"/>
        <v>-100</v>
      </c>
      <c r="AR162" s="487"/>
      <c r="AS162" s="487"/>
      <c r="AT162" s="864">
        <f>SUM(AT157:AT158)</f>
        <v>0</v>
      </c>
      <c r="AU162" s="783"/>
      <c r="AV162" s="487"/>
      <c r="AW162" s="487"/>
      <c r="AX162" s="864">
        <f>SUM(AX157:AX158)</f>
        <v>0</v>
      </c>
      <c r="AY162" s="783"/>
      <c r="AZ162" s="487"/>
      <c r="BA162" s="487"/>
      <c r="BB162" s="864">
        <f>SUM(BB157:BB158)</f>
        <v>0</v>
      </c>
      <c r="BC162" s="783"/>
      <c r="BD162" s="487"/>
      <c r="BE162" s="487"/>
      <c r="BF162" s="864">
        <f>SUM(BF157:BF158)</f>
        <v>0</v>
      </c>
      <c r="BG162" s="783"/>
      <c r="BH162" s="487"/>
      <c r="BI162" s="487"/>
      <c r="BJ162" s="864">
        <f>SUM(BJ157:BJ158)</f>
        <v>0</v>
      </c>
      <c r="BK162" s="783"/>
      <c r="BL162" s="487"/>
      <c r="BM162" s="487"/>
      <c r="BN162" s="864">
        <f>SUM(BN157:BN158)</f>
        <v>0</v>
      </c>
      <c r="BO162" s="783"/>
      <c r="BP162" s="487"/>
      <c r="BQ162" s="487"/>
      <c r="BR162" s="864">
        <f>SUM(BR157:BR158)</f>
        <v>0</v>
      </c>
      <c r="BS162" s="783"/>
      <c r="BT162" s="487"/>
      <c r="BU162" s="487"/>
      <c r="BV162" s="864">
        <f>SUM(BV157:BV158)</f>
        <v>0</v>
      </c>
      <c r="BW162" s="783"/>
      <c r="BX162" s="487"/>
      <c r="BY162" s="487"/>
      <c r="BZ162" s="864">
        <f>SUM(BZ157:BZ158)</f>
        <v>0</v>
      </c>
      <c r="CA162" s="783"/>
      <c r="CB162" s="487"/>
      <c r="CC162" s="487"/>
      <c r="CD162" s="864">
        <f>SUM(CD157:CD158)</f>
        <v>0</v>
      </c>
      <c r="CE162" s="783"/>
      <c r="CF162" s="487"/>
      <c r="CG162" s="487"/>
      <c r="CH162" s="864">
        <f>SUM(CH157:CH158)</f>
        <v>0</v>
      </c>
      <c r="CI162" s="783"/>
      <c r="CJ162" s="487"/>
      <c r="CK162" s="487"/>
      <c r="CL162" s="864">
        <f>SUM(CL157:CL158)</f>
        <v>0</v>
      </c>
      <c r="CM162" s="783"/>
      <c r="CN162" s="487"/>
      <c r="CO162" s="487"/>
      <c r="CP162" s="864">
        <f>SUM(CP157:CP158)</f>
        <v>0</v>
      </c>
      <c r="CQ162" s="783"/>
      <c r="CR162" s="487"/>
      <c r="CS162" s="487"/>
      <c r="CT162" s="864">
        <f>SUM(CT157:CT158)</f>
        <v>0</v>
      </c>
      <c r="CU162" s="783"/>
      <c r="CV162" s="487"/>
      <c r="CW162" s="794"/>
      <c r="CX162" s="864">
        <f>SUM(CX157:CX158)</f>
        <v>0</v>
      </c>
      <c r="CY162" s="783"/>
      <c r="CZ162" s="487"/>
      <c r="DA162" s="794"/>
      <c r="DB162" s="864">
        <f>SUM(DB157:DB158)</f>
        <v>0</v>
      </c>
      <c r="DC162" s="783"/>
      <c r="DD162" s="487"/>
      <c r="DE162" s="794"/>
      <c r="DF162" s="864">
        <f>SUM(DF157:DF158)</f>
        <v>0</v>
      </c>
      <c r="DG162" s="783"/>
      <c r="DH162" s="487"/>
      <c r="DI162" s="794"/>
      <c r="DJ162" s="864"/>
      <c r="DK162" s="783"/>
      <c r="DL162" s="487"/>
      <c r="DM162" s="794"/>
      <c r="DN162" s="864"/>
      <c r="DO162" s="783"/>
      <c r="DP162" s="487"/>
      <c r="DQ162" s="794"/>
      <c r="DR162" s="794"/>
      <c r="DS162" s="794"/>
      <c r="DT162" s="794"/>
      <c r="DU162" s="794"/>
      <c r="DV162" s="794"/>
      <c r="DW162" s="794"/>
      <c r="DX162" s="794"/>
      <c r="DY162" s="794"/>
      <c r="DZ162" s="794"/>
      <c r="EA162" s="794"/>
      <c r="EB162" s="794"/>
    </row>
    <row r="163" spans="1:132" hidden="1" outlineLevel="1">
      <c r="A163" s="487" t="str">
        <f>$A$16</f>
        <v>9 Mos</v>
      </c>
      <c r="B163" s="487"/>
      <c r="C163" s="487"/>
      <c r="D163" s="864"/>
      <c r="E163" s="487"/>
      <c r="F163" s="864">
        <f>SUM(F157:F159)</f>
        <v>0</v>
      </c>
      <c r="G163" s="783"/>
      <c r="H163" s="487"/>
      <c r="I163" s="487"/>
      <c r="J163" s="864">
        <f>SUM(J157:J159)</f>
        <v>0</v>
      </c>
      <c r="K163" s="783"/>
      <c r="L163" s="487"/>
      <c r="M163" s="487"/>
      <c r="N163" s="864">
        <f>SUM(N157:N159)</f>
        <v>1.98</v>
      </c>
      <c r="O163" s="783"/>
      <c r="P163" s="487"/>
      <c r="Q163" s="487"/>
      <c r="R163" s="864">
        <f>SUM(R157:R159)</f>
        <v>5.367</v>
      </c>
      <c r="S163" s="783">
        <f t="shared" si="381"/>
        <v>171.06060606060603</v>
      </c>
      <c r="T163" s="487"/>
      <c r="U163" s="487"/>
      <c r="V163" s="864">
        <f>SUM(V157:V159)</f>
        <v>5.367</v>
      </c>
      <c r="W163" s="783">
        <f t="shared" si="382"/>
        <v>0</v>
      </c>
      <c r="X163" s="487"/>
      <c r="Y163" s="487"/>
      <c r="Z163" s="864">
        <f>SUM(Z157:Z159)</f>
        <v>5.367</v>
      </c>
      <c r="AA163" s="783">
        <f t="shared" si="383"/>
        <v>0</v>
      </c>
      <c r="AB163" s="783"/>
      <c r="AC163" s="487"/>
      <c r="AD163" s="864">
        <f>SUM(AD157:AD159)</f>
        <v>11.094999999999999</v>
      </c>
      <c r="AE163" s="783">
        <f t="shared" si="384"/>
        <v>106.72629029252838</v>
      </c>
      <c r="AF163" s="487"/>
      <c r="AG163" s="487"/>
      <c r="AH163" s="864">
        <f>SUM(AH157:AH159)</f>
        <v>10.669</v>
      </c>
      <c r="AI163" s="783">
        <f t="shared" si="385"/>
        <v>-3.8395673726903889</v>
      </c>
      <c r="AJ163" s="487"/>
      <c r="AK163" s="487"/>
      <c r="AL163" s="864">
        <f>SUM(AL157:AL159)</f>
        <v>3.4660000000000002</v>
      </c>
      <c r="AM163" s="783">
        <f t="shared" si="386"/>
        <v>-67.513356453275847</v>
      </c>
      <c r="AN163" s="487"/>
      <c r="AO163" s="487"/>
      <c r="AP163" s="864">
        <f>SUM(AP157:AP159)</f>
        <v>0</v>
      </c>
      <c r="AQ163" s="783">
        <f t="shared" si="387"/>
        <v>-100</v>
      </c>
      <c r="AR163" s="487"/>
      <c r="AS163" s="487"/>
      <c r="AT163" s="864">
        <f>SUM(AT157:AT159)</f>
        <v>0</v>
      </c>
      <c r="AU163" s="783"/>
      <c r="AV163" s="487"/>
      <c r="AW163" s="487"/>
      <c r="AX163" s="864">
        <f>SUM(AX157:AX159)</f>
        <v>0</v>
      </c>
      <c r="AY163" s="783"/>
      <c r="AZ163" s="487"/>
      <c r="BA163" s="487"/>
      <c r="BB163" s="864">
        <f>SUM(BB157:BB159)</f>
        <v>0</v>
      </c>
      <c r="BC163" s="783"/>
      <c r="BD163" s="487"/>
      <c r="BE163" s="487"/>
      <c r="BF163" s="864">
        <f>SUM(BF157:BF159)</f>
        <v>0</v>
      </c>
      <c r="BG163" s="783"/>
      <c r="BH163" s="487"/>
      <c r="BI163" s="487"/>
      <c r="BJ163" s="864">
        <f>SUM(BJ157:BJ159)</f>
        <v>0</v>
      </c>
      <c r="BK163" s="783"/>
      <c r="BL163" s="487"/>
      <c r="BM163" s="487"/>
      <c r="BN163" s="864">
        <f>SUM(BN157:BN159)</f>
        <v>0</v>
      </c>
      <c r="BO163" s="783"/>
      <c r="BP163" s="487"/>
      <c r="BQ163" s="487"/>
      <c r="BR163" s="864">
        <f>SUM(BR157:BR159)</f>
        <v>0</v>
      </c>
      <c r="BS163" s="783"/>
      <c r="BT163" s="487"/>
      <c r="BU163" s="487"/>
      <c r="BV163" s="864">
        <f>SUM(BV157:BV159)</f>
        <v>0</v>
      </c>
      <c r="BW163" s="783"/>
      <c r="BX163" s="487"/>
      <c r="BY163" s="487"/>
      <c r="BZ163" s="864">
        <f>SUM(BZ157:BZ159)</f>
        <v>0</v>
      </c>
      <c r="CA163" s="783"/>
      <c r="CB163" s="487"/>
      <c r="CC163" s="487"/>
      <c r="CD163" s="864">
        <f>SUM(CD157:CD159)</f>
        <v>0</v>
      </c>
      <c r="CE163" s="783"/>
      <c r="CF163" s="487"/>
      <c r="CG163" s="487"/>
      <c r="CH163" s="864">
        <f>SUM(CH157:CH159)</f>
        <v>0</v>
      </c>
      <c r="CI163" s="783"/>
      <c r="CJ163" s="487"/>
      <c r="CK163" s="487"/>
      <c r="CL163" s="864">
        <f>SUM(CL157:CL159)</f>
        <v>0</v>
      </c>
      <c r="CM163" s="783"/>
      <c r="CN163" s="487"/>
      <c r="CO163" s="487"/>
      <c r="CP163" s="864">
        <f>SUM(CP157:CP159)</f>
        <v>0</v>
      </c>
      <c r="CQ163" s="783"/>
      <c r="CR163" s="487"/>
      <c r="CS163" s="487"/>
      <c r="CT163" s="864">
        <f>SUM(CT157:CT159)</f>
        <v>0</v>
      </c>
      <c r="CU163" s="783"/>
      <c r="CV163" s="487"/>
      <c r="CW163" s="794"/>
      <c r="CX163" s="864">
        <f>SUM(CX157:CX159)</f>
        <v>0</v>
      </c>
      <c r="CY163" s="783"/>
      <c r="CZ163" s="487"/>
      <c r="DA163" s="794"/>
      <c r="DB163" s="864">
        <f>SUM(DB157:DB159)</f>
        <v>0</v>
      </c>
      <c r="DC163" s="783"/>
      <c r="DD163" s="487"/>
      <c r="DE163" s="794"/>
      <c r="DF163" s="864">
        <f>SUM(DF157:DF159)</f>
        <v>0</v>
      </c>
      <c r="DG163" s="783"/>
      <c r="DH163" s="487"/>
      <c r="DI163" s="794"/>
      <c r="DJ163" s="864"/>
      <c r="DK163" s="783"/>
      <c r="DL163" s="487"/>
      <c r="DM163" s="794"/>
      <c r="DN163" s="864"/>
      <c r="DO163" s="783"/>
      <c r="DP163" s="487"/>
      <c r="DQ163" s="794"/>
      <c r="DR163" s="794"/>
      <c r="DS163" s="794"/>
      <c r="DT163" s="794"/>
      <c r="DU163" s="794"/>
      <c r="DV163" s="794"/>
      <c r="DW163" s="794"/>
      <c r="DX163" s="794"/>
      <c r="DY163" s="794"/>
      <c r="DZ163" s="794"/>
      <c r="EA163" s="794"/>
      <c r="EB163" s="794"/>
    </row>
    <row r="164" spans="1:132" hidden="1" outlineLevel="1">
      <c r="A164" s="487"/>
      <c r="B164" s="487"/>
      <c r="C164" s="487"/>
      <c r="D164" s="487"/>
      <c r="E164" s="487"/>
      <c r="F164" s="487"/>
      <c r="G164" s="487"/>
      <c r="H164" s="487"/>
      <c r="I164" s="487"/>
      <c r="J164" s="487"/>
      <c r="K164" s="487"/>
      <c r="L164" s="487"/>
      <c r="M164" s="487"/>
      <c r="N164" s="487"/>
      <c r="O164" s="487"/>
      <c r="P164" s="487"/>
      <c r="Q164" s="487"/>
      <c r="R164" s="487"/>
      <c r="S164" s="487"/>
      <c r="T164" s="487"/>
      <c r="U164" s="487"/>
      <c r="V164" s="487"/>
      <c r="W164" s="487"/>
      <c r="X164" s="487"/>
      <c r="Y164" s="487"/>
      <c r="Z164" s="487"/>
      <c r="AA164" s="487"/>
      <c r="AB164" s="487"/>
      <c r="AC164" s="487"/>
      <c r="AD164" s="487"/>
      <c r="AE164" s="487"/>
      <c r="AF164" s="487"/>
      <c r="AG164" s="487"/>
      <c r="AH164" s="487"/>
      <c r="AI164" s="487"/>
      <c r="AJ164" s="487"/>
      <c r="AK164" s="487"/>
      <c r="AL164" s="487"/>
      <c r="AM164" s="487"/>
      <c r="AN164" s="487"/>
      <c r="AO164" s="487"/>
      <c r="AP164" s="487"/>
      <c r="AQ164" s="487"/>
      <c r="AR164" s="487"/>
      <c r="AS164" s="487"/>
      <c r="AT164" s="487"/>
      <c r="AU164" s="487"/>
      <c r="AV164" s="487"/>
      <c r="AW164" s="487"/>
      <c r="AX164" s="487"/>
      <c r="AY164" s="487"/>
      <c r="AZ164" s="487"/>
      <c r="BA164" s="487"/>
      <c r="BB164" s="487"/>
      <c r="BC164" s="487"/>
      <c r="BD164" s="487"/>
      <c r="BE164" s="487"/>
      <c r="BF164" s="487"/>
      <c r="BG164" s="487"/>
      <c r="BH164" s="487"/>
      <c r="BI164" s="487"/>
      <c r="BJ164" s="487"/>
      <c r="BK164" s="487"/>
      <c r="BL164" s="487"/>
      <c r="BM164" s="487"/>
      <c r="BN164" s="487"/>
      <c r="BO164" s="487"/>
      <c r="BP164" s="487"/>
      <c r="BQ164" s="487"/>
      <c r="BR164" s="487"/>
      <c r="BS164" s="487"/>
      <c r="BT164" s="487"/>
      <c r="BU164" s="487"/>
      <c r="BV164" s="487"/>
      <c r="BW164" s="487"/>
      <c r="BX164" s="487"/>
      <c r="BY164" s="487"/>
      <c r="BZ164" s="487"/>
      <c r="CA164" s="487"/>
      <c r="CB164" s="487"/>
      <c r="CC164" s="487"/>
      <c r="CD164" s="487"/>
      <c r="CE164" s="487"/>
      <c r="CF164" s="487"/>
      <c r="CG164" s="487"/>
      <c r="CH164" s="487"/>
      <c r="CI164" s="487"/>
      <c r="CJ164" s="487"/>
      <c r="CK164" s="487"/>
      <c r="CL164" s="487"/>
      <c r="CM164" s="487"/>
      <c r="CN164" s="487"/>
      <c r="CO164" s="487"/>
      <c r="CP164" s="487"/>
      <c r="CQ164" s="487"/>
      <c r="CR164" s="487"/>
      <c r="CS164" s="487"/>
      <c r="CT164" s="487"/>
      <c r="CU164" s="487"/>
      <c r="CV164" s="487"/>
      <c r="CW164" s="794"/>
      <c r="CX164" s="487"/>
      <c r="CY164" s="487"/>
      <c r="CZ164" s="487"/>
      <c r="DA164" s="794"/>
      <c r="DB164" s="487"/>
      <c r="DC164" s="487"/>
      <c r="DD164" s="487"/>
      <c r="DE164" s="794"/>
      <c r="DF164" s="487"/>
      <c r="DG164" s="487"/>
      <c r="DH164" s="487"/>
      <c r="DI164" s="794"/>
      <c r="DJ164" s="487"/>
      <c r="DK164" s="487"/>
      <c r="DL164" s="487"/>
      <c r="DM164" s="794"/>
      <c r="DN164" s="487"/>
      <c r="DO164" s="487"/>
      <c r="DP164" s="487"/>
      <c r="DQ164" s="794"/>
      <c r="DR164" s="794"/>
      <c r="DS164" s="794"/>
      <c r="DT164" s="794"/>
      <c r="DU164" s="794"/>
      <c r="DV164" s="794"/>
      <c r="DW164" s="794"/>
      <c r="DX164" s="794"/>
      <c r="DY164" s="794"/>
      <c r="DZ164" s="794"/>
      <c r="EA164" s="794"/>
      <c r="EB164" s="794"/>
    </row>
    <row r="165" spans="1:132" hidden="1" outlineLevel="1">
      <c r="A165" s="487"/>
      <c r="B165" s="487"/>
      <c r="C165" s="807"/>
      <c r="D165" s="807"/>
      <c r="E165" s="809"/>
      <c r="F165" s="809" t="str">
        <f>Z165</f>
        <v>Dilutive Effect of Preferred Dividends</v>
      </c>
      <c r="G165" s="811"/>
      <c r="H165" s="811"/>
      <c r="I165" s="811"/>
      <c r="J165" s="809"/>
      <c r="K165" s="811"/>
      <c r="L165" s="811"/>
      <c r="M165" s="811"/>
      <c r="N165" s="809"/>
      <c r="O165" s="811"/>
      <c r="P165" s="811"/>
      <c r="Q165" s="811"/>
      <c r="R165" s="809"/>
      <c r="S165" s="811"/>
      <c r="T165" s="811"/>
      <c r="U165" s="811"/>
      <c r="V165" s="809"/>
      <c r="W165" s="811"/>
      <c r="X165" s="811"/>
      <c r="Y165" s="487"/>
      <c r="Z165" s="809" t="s">
        <v>631</v>
      </c>
      <c r="AA165" s="811"/>
      <c r="AB165" s="811"/>
      <c r="AC165" s="811"/>
      <c r="AD165" s="809"/>
      <c r="AE165" s="811"/>
      <c r="AF165" s="811"/>
      <c r="AG165" s="811"/>
      <c r="AH165" s="809"/>
      <c r="AI165" s="811"/>
      <c r="AJ165" s="811"/>
      <c r="AK165" s="811"/>
      <c r="AL165" s="809"/>
      <c r="AM165" s="811"/>
      <c r="AN165" s="811"/>
      <c r="AO165" s="702"/>
      <c r="AP165" s="921"/>
      <c r="AQ165" s="702"/>
      <c r="AR165" s="702"/>
      <c r="AS165" s="702"/>
      <c r="AT165" s="872" t="str">
        <f>+Z165</f>
        <v>Dilutive Effect of Preferred Dividends</v>
      </c>
      <c r="AU165" s="811"/>
      <c r="AV165" s="811"/>
      <c r="AW165" s="811"/>
      <c r="AX165" s="809"/>
      <c r="AY165" s="811"/>
      <c r="AZ165" s="811"/>
      <c r="BA165" s="811"/>
      <c r="BB165" s="809"/>
      <c r="BC165" s="811"/>
      <c r="BD165" s="811"/>
      <c r="BE165" s="811"/>
      <c r="BF165" s="809"/>
      <c r="BG165" s="811"/>
      <c r="BH165" s="811"/>
      <c r="BI165" s="811"/>
      <c r="BJ165" s="809"/>
      <c r="BK165" s="811"/>
      <c r="BL165" s="811"/>
      <c r="BM165" s="811"/>
      <c r="BN165" s="809"/>
      <c r="BO165" s="811"/>
      <c r="BP165" s="811"/>
      <c r="BQ165" s="702"/>
      <c r="BR165" s="809"/>
      <c r="BS165" s="811"/>
      <c r="BT165" s="811"/>
      <c r="BU165" s="702"/>
      <c r="BV165" s="809"/>
      <c r="BW165" s="811"/>
      <c r="BX165" s="811"/>
      <c r="BY165" s="811"/>
      <c r="BZ165" s="809"/>
      <c r="CA165" s="811"/>
      <c r="CB165" s="811"/>
      <c r="CC165" s="811"/>
      <c r="CD165" s="809"/>
      <c r="CE165" s="811"/>
      <c r="CF165" s="811"/>
      <c r="CG165" s="811"/>
      <c r="CH165" s="809"/>
      <c r="CI165" s="811"/>
      <c r="CJ165" s="811"/>
      <c r="CK165" s="811"/>
      <c r="CL165" s="809"/>
      <c r="CM165" s="811"/>
      <c r="CN165" s="811"/>
      <c r="CO165" s="811"/>
      <c r="CP165" s="809"/>
      <c r="CQ165" s="811"/>
      <c r="CR165" s="811"/>
      <c r="CS165" s="811"/>
      <c r="CT165" s="809"/>
      <c r="CU165" s="811"/>
      <c r="CV165" s="811"/>
      <c r="CW165" s="794"/>
      <c r="CX165" s="809"/>
      <c r="CY165" s="811"/>
      <c r="CZ165" s="811"/>
      <c r="DA165" s="794"/>
      <c r="DB165" s="809"/>
      <c r="DC165" s="811"/>
      <c r="DD165" s="811"/>
      <c r="DE165" s="794"/>
      <c r="DF165" s="809"/>
      <c r="DG165" s="811"/>
      <c r="DH165" s="811"/>
      <c r="DI165" s="794"/>
      <c r="DJ165" s="809"/>
      <c r="DK165" s="811"/>
      <c r="DL165" s="811"/>
      <c r="DM165" s="794"/>
      <c r="DN165" s="809"/>
      <c r="DO165" s="811"/>
      <c r="DP165" s="811"/>
      <c r="DQ165" s="794"/>
      <c r="DR165" s="794"/>
      <c r="DS165" s="794"/>
      <c r="DT165" s="794"/>
      <c r="DU165" s="794"/>
      <c r="DV165" s="794"/>
      <c r="DW165" s="794"/>
      <c r="DX165" s="794"/>
      <c r="DY165" s="794"/>
      <c r="DZ165" s="794"/>
      <c r="EA165" s="794"/>
      <c r="EB165" s="794"/>
    </row>
    <row r="166" spans="1:132" hidden="1" outlineLevel="1">
      <c r="A166" s="487"/>
      <c r="B166" s="487"/>
      <c r="C166" s="487"/>
      <c r="D166" s="487"/>
      <c r="E166" s="487"/>
      <c r="F166" s="809"/>
      <c r="G166" s="487"/>
      <c r="H166" s="487"/>
      <c r="I166" s="487"/>
      <c r="J166" s="487"/>
      <c r="K166" s="487"/>
      <c r="L166" s="487"/>
      <c r="M166" s="487"/>
      <c r="N166" s="487"/>
      <c r="O166" s="487"/>
      <c r="P166" s="487"/>
      <c r="Q166" s="487"/>
      <c r="R166" s="487"/>
      <c r="S166" s="487"/>
      <c r="T166" s="487"/>
      <c r="U166" s="487"/>
      <c r="V166" s="487"/>
      <c r="W166" s="487"/>
      <c r="X166" s="487"/>
      <c r="Y166" s="487"/>
      <c r="Z166" s="487"/>
      <c r="AA166" s="487"/>
      <c r="AB166" s="487"/>
      <c r="AC166" s="487"/>
      <c r="AD166" s="487"/>
      <c r="AE166" s="487"/>
      <c r="AF166" s="487"/>
      <c r="AG166" s="487"/>
      <c r="AH166" s="487"/>
      <c r="AI166" s="487"/>
      <c r="AJ166" s="487"/>
      <c r="AK166" s="487"/>
      <c r="AL166" s="487"/>
      <c r="AM166" s="487"/>
      <c r="AN166" s="487"/>
      <c r="AO166" s="487"/>
      <c r="AP166" s="487"/>
      <c r="AQ166" s="487"/>
      <c r="AR166" s="487"/>
      <c r="AS166" s="487"/>
      <c r="AT166" s="487"/>
      <c r="AU166" s="487"/>
      <c r="AV166" s="487"/>
      <c r="AW166" s="487"/>
      <c r="AX166" s="487"/>
      <c r="AY166" s="487"/>
      <c r="AZ166" s="487"/>
      <c r="BA166" s="487"/>
      <c r="BB166" s="487"/>
      <c r="BC166" s="487"/>
      <c r="BD166" s="487"/>
      <c r="BE166" s="487"/>
      <c r="BF166" s="487"/>
      <c r="BG166" s="487"/>
      <c r="BH166" s="487"/>
      <c r="BI166" s="487"/>
      <c r="BJ166" s="487"/>
      <c r="BK166" s="487"/>
      <c r="BL166" s="487"/>
      <c r="BM166" s="487"/>
      <c r="BN166" s="487"/>
      <c r="BO166" s="487"/>
      <c r="BP166" s="487"/>
      <c r="BQ166" s="487"/>
      <c r="BR166" s="487"/>
      <c r="BS166" s="487"/>
      <c r="BT166" s="487"/>
      <c r="BU166" s="487"/>
      <c r="BV166" s="487"/>
      <c r="BW166" s="487"/>
      <c r="BX166" s="487"/>
      <c r="BY166" s="487"/>
      <c r="BZ166" s="487"/>
      <c r="CA166" s="487"/>
      <c r="CB166" s="487"/>
      <c r="CC166" s="487"/>
      <c r="CD166" s="487"/>
      <c r="CE166" s="487"/>
      <c r="CF166" s="487"/>
      <c r="CG166" s="487"/>
      <c r="CH166" s="487"/>
      <c r="CI166" s="487"/>
      <c r="CJ166" s="487"/>
      <c r="CK166" s="487"/>
      <c r="CL166" s="487"/>
      <c r="CM166" s="487"/>
      <c r="CN166" s="487"/>
      <c r="CO166" s="487"/>
      <c r="CP166" s="487"/>
      <c r="CQ166" s="487"/>
      <c r="CR166" s="487"/>
      <c r="CS166" s="487"/>
      <c r="CT166" s="487"/>
      <c r="CU166" s="487"/>
      <c r="CV166" s="487"/>
      <c r="CW166" s="794"/>
      <c r="CX166" s="487"/>
      <c r="CY166" s="487"/>
      <c r="CZ166" s="487"/>
      <c r="DA166" s="794"/>
      <c r="DB166" s="487"/>
      <c r="DC166" s="487"/>
      <c r="DD166" s="487"/>
      <c r="DE166" s="794"/>
      <c r="DF166" s="487"/>
      <c r="DG166" s="487"/>
      <c r="DH166" s="487"/>
      <c r="DI166" s="794"/>
      <c r="DJ166" s="487"/>
      <c r="DK166" s="487"/>
      <c r="DL166" s="487"/>
      <c r="DM166" s="794"/>
      <c r="DN166" s="487"/>
      <c r="DO166" s="487"/>
      <c r="DP166" s="487"/>
      <c r="DQ166" s="794"/>
      <c r="DR166" s="794"/>
      <c r="DS166" s="794"/>
      <c r="DT166" s="794"/>
      <c r="DU166" s="794"/>
      <c r="DV166" s="794"/>
      <c r="DW166" s="794"/>
      <c r="DX166" s="794"/>
      <c r="DY166" s="794"/>
      <c r="DZ166" s="794"/>
      <c r="EA166" s="794"/>
      <c r="EB166" s="794"/>
    </row>
    <row r="167" spans="1:132" hidden="1" outlineLevel="1">
      <c r="A167" s="487" t="str">
        <f>$A$10</f>
        <v>1Q</v>
      </c>
      <c r="B167" s="487" t="str">
        <f>$B$10</f>
        <v>Apr</v>
      </c>
      <c r="C167" s="487"/>
      <c r="D167" s="859"/>
      <c r="E167" s="487"/>
      <c r="F167" s="860">
        <v>0</v>
      </c>
      <c r="G167" s="783"/>
      <c r="H167" s="487"/>
      <c r="I167" s="487"/>
      <c r="J167" s="860">
        <v>0</v>
      </c>
      <c r="K167" s="783"/>
      <c r="L167" s="487"/>
      <c r="M167" s="487"/>
      <c r="N167" s="860">
        <v>5.6000000000000001E-2</v>
      </c>
      <c r="O167" s="783"/>
      <c r="P167" s="487"/>
      <c r="Q167" s="487"/>
      <c r="R167" s="965">
        <v>1.7889999999999999</v>
      </c>
      <c r="S167" s="783"/>
      <c r="T167" s="487"/>
      <c r="U167" s="487"/>
      <c r="V167" s="965">
        <v>1.7889999999999999</v>
      </c>
      <c r="W167" s="783"/>
      <c r="X167" s="487"/>
      <c r="Y167" s="487"/>
      <c r="Z167" s="965">
        <v>1.7889999999999999</v>
      </c>
      <c r="AA167" s="783"/>
      <c r="AB167" s="783"/>
      <c r="AC167" s="487"/>
      <c r="AD167" s="965">
        <v>1.7889999999999999</v>
      </c>
      <c r="AE167" s="783"/>
      <c r="AF167" s="487"/>
      <c r="AG167" s="487"/>
      <c r="AH167" s="965">
        <v>0</v>
      </c>
      <c r="AI167" s="966"/>
      <c r="AJ167" s="487"/>
      <c r="AK167" s="487"/>
      <c r="AL167" s="965">
        <v>0</v>
      </c>
      <c r="AM167" s="966"/>
      <c r="AN167" s="487"/>
      <c r="AO167" s="487"/>
      <c r="AP167" s="859">
        <v>0</v>
      </c>
      <c r="AQ167" s="783"/>
      <c r="AR167" s="487"/>
      <c r="AS167" s="487"/>
      <c r="AT167" s="859">
        <v>0</v>
      </c>
      <c r="AU167" s="783"/>
      <c r="AV167" s="487"/>
      <c r="AW167" s="487"/>
      <c r="AX167" s="859">
        <v>0</v>
      </c>
      <c r="AY167" s="783"/>
      <c r="AZ167" s="487"/>
      <c r="BA167" s="487"/>
      <c r="BB167" s="859">
        <v>0</v>
      </c>
      <c r="BC167" s="783"/>
      <c r="BD167" s="487"/>
      <c r="BE167" s="487"/>
      <c r="BF167" s="859">
        <v>0</v>
      </c>
      <c r="BG167" s="783"/>
      <c r="BH167" s="487"/>
      <c r="BI167" s="487"/>
      <c r="BJ167" s="859">
        <v>0</v>
      </c>
      <c r="BK167" s="783"/>
      <c r="BL167" s="487"/>
      <c r="BM167" s="487"/>
      <c r="BN167" s="859">
        <v>0</v>
      </c>
      <c r="BO167" s="783"/>
      <c r="BP167" s="487"/>
      <c r="BQ167" s="487"/>
      <c r="BR167" s="859">
        <v>0</v>
      </c>
      <c r="BS167" s="783"/>
      <c r="BT167" s="487"/>
      <c r="BU167" s="487"/>
      <c r="BV167" s="859">
        <v>0</v>
      </c>
      <c r="BW167" s="783"/>
      <c r="BX167" s="487"/>
      <c r="BY167" s="487"/>
      <c r="BZ167" s="859">
        <v>0</v>
      </c>
      <c r="CA167" s="783"/>
      <c r="CB167" s="487"/>
      <c r="CC167" s="487"/>
      <c r="CD167" s="859">
        <v>0</v>
      </c>
      <c r="CE167" s="783"/>
      <c r="CF167" s="487"/>
      <c r="CG167" s="487"/>
      <c r="CH167" s="859">
        <v>0</v>
      </c>
      <c r="CI167" s="783"/>
      <c r="CJ167" s="487"/>
      <c r="CK167" s="487"/>
      <c r="CL167" s="859">
        <v>0</v>
      </c>
      <c r="CM167" s="783"/>
      <c r="CN167" s="487"/>
      <c r="CO167" s="487"/>
      <c r="CP167" s="859">
        <v>0</v>
      </c>
      <c r="CQ167" s="783"/>
      <c r="CR167" s="487"/>
      <c r="CS167" s="487"/>
      <c r="CT167" s="859">
        <v>0</v>
      </c>
      <c r="CU167" s="783"/>
      <c r="CV167" s="487"/>
      <c r="CW167" s="794"/>
      <c r="CX167" s="859">
        <v>0</v>
      </c>
      <c r="CY167" s="783"/>
      <c r="CZ167" s="487"/>
      <c r="DA167" s="794"/>
      <c r="DB167" s="859">
        <v>0</v>
      </c>
      <c r="DC167" s="783"/>
      <c r="DD167" s="487"/>
      <c r="DE167" s="794"/>
      <c r="DF167" s="859">
        <v>0</v>
      </c>
      <c r="DG167" s="783"/>
      <c r="DH167" s="487"/>
      <c r="DI167" s="794"/>
      <c r="DJ167" s="859"/>
      <c r="DK167" s="783"/>
      <c r="DL167" s="487"/>
      <c r="DM167" s="794"/>
      <c r="DN167" s="859"/>
      <c r="DO167" s="783"/>
      <c r="DP167" s="487"/>
      <c r="DQ167" s="794"/>
      <c r="DR167" s="794"/>
      <c r="DS167" s="794"/>
      <c r="DT167" s="794"/>
      <c r="DU167" s="794"/>
      <c r="DV167" s="794"/>
      <c r="DW167" s="794"/>
      <c r="DX167" s="794"/>
      <c r="DY167" s="794"/>
      <c r="DZ167" s="794"/>
      <c r="EA167" s="794"/>
      <c r="EB167" s="794"/>
    </row>
    <row r="168" spans="1:132" hidden="1" outlineLevel="1">
      <c r="A168" s="487" t="str">
        <f>$A$11</f>
        <v>2Q</v>
      </c>
      <c r="B168" s="487" t="str">
        <f>$B$11</f>
        <v>Jul</v>
      </c>
      <c r="C168" s="487"/>
      <c r="D168" s="864"/>
      <c r="E168" s="487"/>
      <c r="F168" s="839">
        <v>0</v>
      </c>
      <c r="G168" s="783"/>
      <c r="H168" s="487"/>
      <c r="I168" s="487"/>
      <c r="J168" s="839">
        <v>0</v>
      </c>
      <c r="K168" s="783"/>
      <c r="L168" s="487"/>
      <c r="M168" s="487"/>
      <c r="N168" s="839">
        <v>0.497</v>
      </c>
      <c r="O168" s="783"/>
      <c r="P168" s="487"/>
      <c r="Q168" s="487"/>
      <c r="R168" s="965">
        <v>1.7889999999999999</v>
      </c>
      <c r="S168" s="783"/>
      <c r="T168" s="487"/>
      <c r="U168" s="487"/>
      <c r="V168" s="965">
        <v>1.7889999999999999</v>
      </c>
      <c r="W168" s="783"/>
      <c r="X168" s="487"/>
      <c r="Y168" s="487"/>
      <c r="Z168" s="967">
        <v>1.7889999999999999</v>
      </c>
      <c r="AA168" s="783"/>
      <c r="AB168" s="783"/>
      <c r="AC168" s="487"/>
      <c r="AD168" s="967">
        <v>0</v>
      </c>
      <c r="AE168" s="966"/>
      <c r="AF168" s="487"/>
      <c r="AG168" s="487"/>
      <c r="AH168" s="967">
        <v>0</v>
      </c>
      <c r="AI168" s="966"/>
      <c r="AJ168" s="487"/>
      <c r="AK168" s="487"/>
      <c r="AL168" s="967">
        <v>0</v>
      </c>
      <c r="AM168" s="966"/>
      <c r="AN168" s="487"/>
      <c r="AO168" s="487"/>
      <c r="AP168" s="864">
        <v>0</v>
      </c>
      <c r="AQ168" s="783"/>
      <c r="AR168" s="487"/>
      <c r="AS168" s="487"/>
      <c r="AT168" s="864">
        <v>0</v>
      </c>
      <c r="AU168" s="783"/>
      <c r="AV168" s="487"/>
      <c r="AW168" s="487"/>
      <c r="AX168" s="864">
        <v>0</v>
      </c>
      <c r="AY168" s="783"/>
      <c r="AZ168" s="487"/>
      <c r="BA168" s="487"/>
      <c r="BB168" s="864">
        <v>0</v>
      </c>
      <c r="BC168" s="783"/>
      <c r="BD168" s="487"/>
      <c r="BE168" s="487"/>
      <c r="BF168" s="864">
        <v>0</v>
      </c>
      <c r="BG168" s="783"/>
      <c r="BH168" s="487"/>
      <c r="BI168" s="487"/>
      <c r="BJ168" s="864">
        <v>0</v>
      </c>
      <c r="BK168" s="783"/>
      <c r="BL168" s="487"/>
      <c r="BM168" s="487"/>
      <c r="BN168" s="864">
        <v>0</v>
      </c>
      <c r="BO168" s="783"/>
      <c r="BP168" s="487"/>
      <c r="BQ168" s="487"/>
      <c r="BR168" s="864">
        <v>0</v>
      </c>
      <c r="BS168" s="783"/>
      <c r="BT168" s="487"/>
      <c r="BU168" s="487"/>
      <c r="BV168" s="864">
        <v>0</v>
      </c>
      <c r="BW168" s="783"/>
      <c r="BX168" s="487"/>
      <c r="BY168" s="487"/>
      <c r="BZ168" s="864">
        <v>0</v>
      </c>
      <c r="CA168" s="783"/>
      <c r="CB168" s="487"/>
      <c r="CC168" s="487"/>
      <c r="CD168" s="864">
        <v>0</v>
      </c>
      <c r="CE168" s="783"/>
      <c r="CF168" s="487"/>
      <c r="CG168" s="487"/>
      <c r="CH168" s="864">
        <v>0</v>
      </c>
      <c r="CI168" s="783"/>
      <c r="CJ168" s="487"/>
      <c r="CK168" s="487"/>
      <c r="CL168" s="864">
        <v>0</v>
      </c>
      <c r="CM168" s="783"/>
      <c r="CN168" s="487"/>
      <c r="CO168" s="487"/>
      <c r="CP168" s="864">
        <v>0</v>
      </c>
      <c r="CQ168" s="783"/>
      <c r="CR168" s="487"/>
      <c r="CS168" s="487"/>
      <c r="CT168" s="864">
        <v>0</v>
      </c>
      <c r="CU168" s="783"/>
      <c r="CV168" s="487"/>
      <c r="CW168" s="794"/>
      <c r="CX168" s="864">
        <v>0</v>
      </c>
      <c r="CY168" s="783"/>
      <c r="CZ168" s="487"/>
      <c r="DA168" s="794"/>
      <c r="DB168" s="864">
        <v>0</v>
      </c>
      <c r="DC168" s="783"/>
      <c r="DD168" s="487"/>
      <c r="DE168" s="794"/>
      <c r="DF168" s="864">
        <v>0</v>
      </c>
      <c r="DG168" s="783"/>
      <c r="DH168" s="487"/>
      <c r="DI168" s="794"/>
      <c r="DJ168" s="864"/>
      <c r="DK168" s="783"/>
      <c r="DL168" s="487"/>
      <c r="DM168" s="794"/>
      <c r="DN168" s="864"/>
      <c r="DO168" s="783"/>
      <c r="DP168" s="487"/>
      <c r="DQ168" s="794"/>
      <c r="DR168" s="794"/>
      <c r="DS168" s="794"/>
      <c r="DT168" s="794"/>
      <c r="DU168" s="794"/>
      <c r="DV168" s="794"/>
      <c r="DW168" s="794"/>
      <c r="DX168" s="794"/>
      <c r="DY168" s="794"/>
      <c r="DZ168" s="794"/>
      <c r="EA168" s="794"/>
      <c r="EB168" s="794"/>
    </row>
    <row r="169" spans="1:132" hidden="1" outlineLevel="1">
      <c r="A169" s="487" t="str">
        <f>$A$12</f>
        <v>3Q</v>
      </c>
      <c r="B169" s="487" t="str">
        <f>$B$12</f>
        <v>Oct</v>
      </c>
      <c r="C169" s="487"/>
      <c r="D169" s="864"/>
      <c r="E169" s="487"/>
      <c r="F169" s="839">
        <v>0</v>
      </c>
      <c r="G169" s="783"/>
      <c r="H169" s="487"/>
      <c r="I169" s="487"/>
      <c r="J169" s="839">
        <v>0</v>
      </c>
      <c r="K169" s="783"/>
      <c r="L169" s="487"/>
      <c r="M169" s="487"/>
      <c r="N169" s="839">
        <v>1.427</v>
      </c>
      <c r="O169" s="783"/>
      <c r="P169" s="487"/>
      <c r="Q169" s="487"/>
      <c r="R169" s="965">
        <v>0</v>
      </c>
      <c r="S169" s="783"/>
      <c r="T169" s="487"/>
      <c r="U169" s="487"/>
      <c r="V169" s="965">
        <v>0</v>
      </c>
      <c r="W169" s="783"/>
      <c r="X169" s="487"/>
      <c r="Y169" s="487"/>
      <c r="Z169" s="967">
        <v>0</v>
      </c>
      <c r="AA169" s="783"/>
      <c r="AB169" s="783"/>
      <c r="AC169" s="487"/>
      <c r="AD169" s="967">
        <v>0</v>
      </c>
      <c r="AE169" s="966"/>
      <c r="AF169" s="487"/>
      <c r="AG169" s="487"/>
      <c r="AH169" s="967">
        <v>0</v>
      </c>
      <c r="AI169" s="966"/>
      <c r="AJ169" s="487"/>
      <c r="AK169" s="487"/>
      <c r="AL169" s="967">
        <v>0</v>
      </c>
      <c r="AM169" s="966"/>
      <c r="AN169" s="487"/>
      <c r="AO169" s="487"/>
      <c r="AP169" s="864">
        <v>0</v>
      </c>
      <c r="AQ169" s="783"/>
      <c r="AR169" s="487"/>
      <c r="AS169" s="487"/>
      <c r="AT169" s="864">
        <v>0</v>
      </c>
      <c r="AU169" s="783"/>
      <c r="AV169" s="487"/>
      <c r="AW169" s="487"/>
      <c r="AX169" s="864">
        <v>0</v>
      </c>
      <c r="AY169" s="783"/>
      <c r="AZ169" s="487"/>
      <c r="BA169" s="487"/>
      <c r="BB169" s="864">
        <v>0</v>
      </c>
      <c r="BC169" s="783"/>
      <c r="BD169" s="487"/>
      <c r="BE169" s="487"/>
      <c r="BF169" s="864">
        <v>0</v>
      </c>
      <c r="BG169" s="783"/>
      <c r="BH169" s="487"/>
      <c r="BI169" s="487"/>
      <c r="BJ169" s="864">
        <v>0</v>
      </c>
      <c r="BK169" s="783"/>
      <c r="BL169" s="487"/>
      <c r="BM169" s="487"/>
      <c r="BN169" s="864">
        <v>0</v>
      </c>
      <c r="BO169" s="783"/>
      <c r="BP169" s="487"/>
      <c r="BQ169" s="487"/>
      <c r="BR169" s="864">
        <v>0</v>
      </c>
      <c r="BS169" s="783"/>
      <c r="BT169" s="487"/>
      <c r="BU169" s="487"/>
      <c r="BV169" s="864">
        <v>0</v>
      </c>
      <c r="BW169" s="783"/>
      <c r="BX169" s="487"/>
      <c r="BY169" s="487"/>
      <c r="BZ169" s="864">
        <v>0</v>
      </c>
      <c r="CA169" s="783"/>
      <c r="CB169" s="487"/>
      <c r="CC169" s="487"/>
      <c r="CD169" s="864">
        <v>0</v>
      </c>
      <c r="CE169" s="783"/>
      <c r="CF169" s="487"/>
      <c r="CG169" s="487"/>
      <c r="CH169" s="864">
        <v>0</v>
      </c>
      <c r="CI169" s="783"/>
      <c r="CJ169" s="487"/>
      <c r="CK169" s="487"/>
      <c r="CL169" s="864">
        <v>0</v>
      </c>
      <c r="CM169" s="783"/>
      <c r="CN169" s="487"/>
      <c r="CO169" s="487"/>
      <c r="CP169" s="864">
        <v>0</v>
      </c>
      <c r="CQ169" s="783"/>
      <c r="CR169" s="487"/>
      <c r="CS169" s="487"/>
      <c r="CT169" s="864">
        <v>0</v>
      </c>
      <c r="CU169" s="783"/>
      <c r="CV169" s="487"/>
      <c r="CW169" s="794"/>
      <c r="CX169" s="864">
        <v>0</v>
      </c>
      <c r="CY169" s="783"/>
      <c r="CZ169" s="487"/>
      <c r="DA169" s="794"/>
      <c r="DB169" s="864">
        <v>0</v>
      </c>
      <c r="DC169" s="783"/>
      <c r="DD169" s="487"/>
      <c r="DE169" s="794"/>
      <c r="DF169" s="864">
        <v>0</v>
      </c>
      <c r="DG169" s="783"/>
      <c r="DH169" s="487"/>
      <c r="DI169" s="794"/>
      <c r="DJ169" s="864"/>
      <c r="DK169" s="783"/>
      <c r="DL169" s="487"/>
      <c r="DM169" s="794"/>
      <c r="DN169" s="864"/>
      <c r="DO169" s="783"/>
      <c r="DP169" s="487"/>
      <c r="DQ169" s="794"/>
      <c r="DR169" s="794"/>
      <c r="DS169" s="794"/>
      <c r="DT169" s="794"/>
      <c r="DU169" s="794"/>
      <c r="DV169" s="794"/>
      <c r="DW169" s="794"/>
      <c r="DX169" s="794"/>
      <c r="DY169" s="794"/>
      <c r="DZ169" s="794"/>
      <c r="EA169" s="794"/>
      <c r="EB169" s="794"/>
    </row>
    <row r="170" spans="1:132" hidden="1" outlineLevel="1">
      <c r="A170" s="487" t="str">
        <f>$A$13</f>
        <v>4Q</v>
      </c>
      <c r="B170" s="487" t="str">
        <f>$B$13</f>
        <v>Jan</v>
      </c>
      <c r="C170" s="499"/>
      <c r="D170" s="937"/>
      <c r="E170" s="499"/>
      <c r="F170" s="855">
        <v>0</v>
      </c>
      <c r="G170" s="783"/>
      <c r="H170" s="487"/>
      <c r="I170" s="487"/>
      <c r="J170" s="855">
        <v>0</v>
      </c>
      <c r="K170" s="783"/>
      <c r="L170" s="487"/>
      <c r="M170" s="487"/>
      <c r="N170" s="937">
        <f>+N171-N169-N168-N167</f>
        <v>1.9590000000000001</v>
      </c>
      <c r="O170" s="783"/>
      <c r="P170" s="487"/>
      <c r="Q170" s="487"/>
      <c r="R170" s="968">
        <v>1.7889999999999999</v>
      </c>
      <c r="S170" s="783"/>
      <c r="T170" s="487"/>
      <c r="U170" s="487"/>
      <c r="V170" s="968">
        <v>1.7889999999999999</v>
      </c>
      <c r="W170" s="783"/>
      <c r="X170" s="487"/>
      <c r="Y170" s="487"/>
      <c r="Z170" s="969">
        <f>9.314-Z169-Z168-Z167-1.789</f>
        <v>3.947000000000001</v>
      </c>
      <c r="AA170" s="783"/>
      <c r="AB170" s="783"/>
      <c r="AC170" s="487"/>
      <c r="AD170" s="969">
        <v>0</v>
      </c>
      <c r="AE170" s="966"/>
      <c r="AF170" s="487"/>
      <c r="AG170" s="487"/>
      <c r="AH170" s="969">
        <v>0</v>
      </c>
      <c r="AI170" s="966"/>
      <c r="AJ170" s="487"/>
      <c r="AK170" s="487"/>
      <c r="AL170" s="969">
        <v>0</v>
      </c>
      <c r="AM170" s="783"/>
      <c r="AN170" s="487"/>
      <c r="AO170" s="487"/>
      <c r="AP170" s="937">
        <v>0</v>
      </c>
      <c r="AQ170" s="783"/>
      <c r="AR170" s="487"/>
      <c r="AS170" s="487"/>
      <c r="AT170" s="937">
        <v>0</v>
      </c>
      <c r="AU170" s="783"/>
      <c r="AV170" s="487"/>
      <c r="AW170" s="487"/>
      <c r="AX170" s="937">
        <v>0</v>
      </c>
      <c r="AY170" s="783"/>
      <c r="AZ170" s="487"/>
      <c r="BA170" s="487"/>
      <c r="BB170" s="937">
        <v>0</v>
      </c>
      <c r="BC170" s="783"/>
      <c r="BD170" s="487"/>
      <c r="BE170" s="487"/>
      <c r="BF170" s="937">
        <v>0</v>
      </c>
      <c r="BG170" s="783"/>
      <c r="BH170" s="487"/>
      <c r="BI170" s="487"/>
      <c r="BJ170" s="937">
        <v>0</v>
      </c>
      <c r="BK170" s="783"/>
      <c r="BL170" s="487"/>
      <c r="BM170" s="487"/>
      <c r="BN170" s="937">
        <v>0</v>
      </c>
      <c r="BO170" s="783"/>
      <c r="BP170" s="487"/>
      <c r="BQ170" s="487"/>
      <c r="BR170" s="937">
        <v>0</v>
      </c>
      <c r="BS170" s="783"/>
      <c r="BT170" s="487"/>
      <c r="BU170" s="487"/>
      <c r="BV170" s="937">
        <v>0</v>
      </c>
      <c r="BW170" s="783"/>
      <c r="BX170" s="487"/>
      <c r="BY170" s="487"/>
      <c r="BZ170" s="937">
        <v>0</v>
      </c>
      <c r="CA170" s="783"/>
      <c r="CB170" s="487"/>
      <c r="CC170" s="487"/>
      <c r="CD170" s="937">
        <v>0</v>
      </c>
      <c r="CE170" s="783"/>
      <c r="CF170" s="487"/>
      <c r="CG170" s="487"/>
      <c r="CH170" s="937">
        <v>0</v>
      </c>
      <c r="CI170" s="783"/>
      <c r="CJ170" s="487"/>
      <c r="CK170" s="487"/>
      <c r="CL170" s="937">
        <v>0</v>
      </c>
      <c r="CM170" s="783"/>
      <c r="CN170" s="487"/>
      <c r="CO170" s="487"/>
      <c r="CP170" s="937">
        <v>0</v>
      </c>
      <c r="CQ170" s="783"/>
      <c r="CR170" s="487"/>
      <c r="CS170" s="487"/>
      <c r="CT170" s="937">
        <v>0</v>
      </c>
      <c r="CU170" s="783"/>
      <c r="CV170" s="487"/>
      <c r="CW170" s="794"/>
      <c r="CX170" s="937">
        <v>0</v>
      </c>
      <c r="CY170" s="783"/>
      <c r="CZ170" s="487"/>
      <c r="DA170" s="794"/>
      <c r="DB170" s="937">
        <v>0</v>
      </c>
      <c r="DC170" s="783"/>
      <c r="DD170" s="487"/>
      <c r="DE170" s="794"/>
      <c r="DF170" s="937">
        <v>0</v>
      </c>
      <c r="DG170" s="783"/>
      <c r="DH170" s="487"/>
      <c r="DI170" s="794"/>
      <c r="DJ170" s="937"/>
      <c r="DK170" s="783"/>
      <c r="DL170" s="487"/>
      <c r="DM170" s="794"/>
      <c r="DN170" s="937"/>
      <c r="DO170" s="783"/>
      <c r="DP170" s="487"/>
      <c r="DQ170" s="794"/>
      <c r="DR170" s="794"/>
      <c r="DS170" s="794"/>
      <c r="DT170" s="794"/>
      <c r="DU170" s="794"/>
      <c r="DV170" s="794"/>
      <c r="DW170" s="794"/>
      <c r="DX170" s="794"/>
      <c r="DY170" s="794"/>
      <c r="DZ170" s="794"/>
      <c r="EA170" s="794"/>
      <c r="EB170" s="794"/>
    </row>
    <row r="171" spans="1:132" hidden="1" outlineLevel="1">
      <c r="A171" s="487"/>
      <c r="B171" s="487" t="str">
        <f>$B$14</f>
        <v>Year</v>
      </c>
      <c r="C171" s="487"/>
      <c r="D171" s="859"/>
      <c r="E171" s="487"/>
      <c r="F171" s="859">
        <f>SUM(F167:F170)</f>
        <v>0</v>
      </c>
      <c r="G171" s="783"/>
      <c r="H171" s="487"/>
      <c r="I171" s="487"/>
      <c r="J171" s="859">
        <f>SUM(J167:J170)</f>
        <v>0</v>
      </c>
      <c r="K171" s="783"/>
      <c r="L171" s="487"/>
      <c r="M171" s="487"/>
      <c r="N171" s="965">
        <v>3.9390000000000001</v>
      </c>
      <c r="O171" s="783"/>
      <c r="P171" s="487"/>
      <c r="Q171" s="487"/>
      <c r="R171" s="965">
        <f>1.789*4</f>
        <v>7.1559999999999997</v>
      </c>
      <c r="S171" s="783"/>
      <c r="T171" s="487"/>
      <c r="U171" s="487"/>
      <c r="V171" s="965">
        <f>1.789*4</f>
        <v>7.1559999999999997</v>
      </c>
      <c r="W171" s="783"/>
      <c r="X171" s="487"/>
      <c r="Y171" s="487"/>
      <c r="Z171" s="965">
        <v>9.3142999999999994</v>
      </c>
      <c r="AA171" s="783"/>
      <c r="AB171" s="783"/>
      <c r="AC171" s="487"/>
      <c r="AD171" s="965">
        <v>0</v>
      </c>
      <c r="AE171" s="966"/>
      <c r="AF171" s="487"/>
      <c r="AG171" s="487"/>
      <c r="AH171" s="965">
        <v>0</v>
      </c>
      <c r="AI171" s="783"/>
      <c r="AJ171" s="487"/>
      <c r="AK171" s="487"/>
      <c r="AL171" s="965">
        <v>0</v>
      </c>
      <c r="AM171" s="783"/>
      <c r="AN171" s="487"/>
      <c r="AO171" s="487"/>
      <c r="AP171" s="862">
        <f>SUM(AP167:AP170)</f>
        <v>0</v>
      </c>
      <c r="AQ171" s="783"/>
      <c r="AR171" s="487"/>
      <c r="AS171" s="487"/>
      <c r="AT171" s="859">
        <f>SUM(AT167:AT170)</f>
        <v>0</v>
      </c>
      <c r="AU171" s="783"/>
      <c r="AV171" s="487"/>
      <c r="AW171" s="487"/>
      <c r="AX171" s="859">
        <f>SUM(AX167:AX170)</f>
        <v>0</v>
      </c>
      <c r="AY171" s="783"/>
      <c r="AZ171" s="487"/>
      <c r="BA171" s="487"/>
      <c r="BB171" s="859">
        <f>SUM(BB167:BB170)</f>
        <v>0</v>
      </c>
      <c r="BC171" s="783"/>
      <c r="BD171" s="487"/>
      <c r="BE171" s="487"/>
      <c r="BF171" s="859">
        <f>SUM(BF167:BF170)</f>
        <v>0</v>
      </c>
      <c r="BG171" s="783"/>
      <c r="BH171" s="487"/>
      <c r="BI171" s="487"/>
      <c r="BJ171" s="859">
        <f>SUM(BJ167:BJ170)</f>
        <v>0</v>
      </c>
      <c r="BK171" s="783"/>
      <c r="BL171" s="487"/>
      <c r="BM171" s="487"/>
      <c r="BN171" s="859">
        <f>SUM(BN167:BN170)</f>
        <v>0</v>
      </c>
      <c r="BO171" s="783"/>
      <c r="BP171" s="487"/>
      <c r="BQ171" s="487"/>
      <c r="BR171" s="859">
        <f>SUM(BR167:BR170)</f>
        <v>0</v>
      </c>
      <c r="BS171" s="783"/>
      <c r="BT171" s="487"/>
      <c r="BU171" s="487"/>
      <c r="BV171" s="859">
        <f>SUM(BV167:BV170)</f>
        <v>0</v>
      </c>
      <c r="BW171" s="783"/>
      <c r="BX171" s="487"/>
      <c r="BY171" s="487"/>
      <c r="BZ171" s="859">
        <f>SUM(BZ167:BZ170)</f>
        <v>0</v>
      </c>
      <c r="CA171" s="783"/>
      <c r="CB171" s="487"/>
      <c r="CC171" s="487"/>
      <c r="CD171" s="859">
        <f>SUM(CD167:CD170)</f>
        <v>0</v>
      </c>
      <c r="CE171" s="783"/>
      <c r="CF171" s="487"/>
      <c r="CG171" s="487"/>
      <c r="CH171" s="859">
        <f>SUM(CH167:CH170)</f>
        <v>0</v>
      </c>
      <c r="CI171" s="783"/>
      <c r="CJ171" s="487"/>
      <c r="CK171" s="487"/>
      <c r="CL171" s="859">
        <f>SUM(CL167:CL170)</f>
        <v>0</v>
      </c>
      <c r="CM171" s="783"/>
      <c r="CN171" s="487"/>
      <c r="CO171" s="487"/>
      <c r="CP171" s="859">
        <f>SUM(CP167:CP170)</f>
        <v>0</v>
      </c>
      <c r="CQ171" s="783"/>
      <c r="CR171" s="487"/>
      <c r="CS171" s="487"/>
      <c r="CT171" s="859">
        <f>SUM(CT167:CT170)</f>
        <v>0</v>
      </c>
      <c r="CU171" s="783"/>
      <c r="CV171" s="487"/>
      <c r="CW171" s="794"/>
      <c r="CX171" s="859">
        <f>SUM(CX167:CX170)</f>
        <v>0</v>
      </c>
      <c r="CY171" s="783"/>
      <c r="CZ171" s="487"/>
      <c r="DA171" s="794"/>
      <c r="DB171" s="859">
        <f>SUM(DB167:DB170)</f>
        <v>0</v>
      </c>
      <c r="DC171" s="783"/>
      <c r="DD171" s="487"/>
      <c r="DE171" s="794"/>
      <c r="DF171" s="859">
        <f>SUM(DF167:DF170)</f>
        <v>0</v>
      </c>
      <c r="DG171" s="783"/>
      <c r="DH171" s="487"/>
      <c r="DI171" s="794"/>
      <c r="DJ171" s="859"/>
      <c r="DK171" s="783"/>
      <c r="DL171" s="487"/>
      <c r="DM171" s="794"/>
      <c r="DN171" s="859"/>
      <c r="DO171" s="783"/>
      <c r="DP171" s="487"/>
      <c r="DQ171" s="794"/>
      <c r="DR171" s="794"/>
      <c r="DS171" s="794"/>
      <c r="DT171" s="794"/>
      <c r="DU171" s="794"/>
      <c r="DV171" s="794"/>
      <c r="DW171" s="794"/>
      <c r="DX171" s="794"/>
      <c r="DY171" s="794"/>
      <c r="DZ171" s="794"/>
      <c r="EA171" s="794"/>
      <c r="EB171" s="794"/>
    </row>
    <row r="172" spans="1:132" hidden="1" outlineLevel="1">
      <c r="A172" s="487" t="str">
        <f>$A$15</f>
        <v>6 Mos</v>
      </c>
      <c r="B172" s="487"/>
      <c r="C172" s="487"/>
      <c r="D172" s="864"/>
      <c r="E172" s="487"/>
      <c r="F172" s="864">
        <f>SUM(F167:F168)</f>
        <v>0</v>
      </c>
      <c r="G172" s="783"/>
      <c r="H172" s="487"/>
      <c r="I172" s="487"/>
      <c r="J172" s="864">
        <f>SUM(J167:J168)</f>
        <v>0</v>
      </c>
      <c r="K172" s="783"/>
      <c r="L172" s="487"/>
      <c r="M172" s="487"/>
      <c r="N172" s="864">
        <f>SUM(N167:N168)</f>
        <v>0.55300000000000005</v>
      </c>
      <c r="O172" s="783"/>
      <c r="P172" s="487"/>
      <c r="Q172" s="487"/>
      <c r="R172" s="864">
        <f>SUM(R167:R168)</f>
        <v>3.5779999999999998</v>
      </c>
      <c r="S172" s="783"/>
      <c r="T172" s="487"/>
      <c r="U172" s="487"/>
      <c r="V172" s="864">
        <f>SUM(V167:V168)</f>
        <v>3.5779999999999998</v>
      </c>
      <c r="W172" s="783"/>
      <c r="X172" s="487"/>
      <c r="Y172" s="487"/>
      <c r="Z172" s="864">
        <f>SUM(Z167:Z168)</f>
        <v>3.5779999999999998</v>
      </c>
      <c r="AA172" s="783"/>
      <c r="AB172" s="783"/>
      <c r="AC172" s="487"/>
      <c r="AD172" s="864">
        <f>SUM(AD167:AD168)</f>
        <v>1.7889999999999999</v>
      </c>
      <c r="AE172" s="783"/>
      <c r="AF172" s="487"/>
      <c r="AG172" s="487"/>
      <c r="AH172" s="864">
        <f>SUM(AH167:AH168)</f>
        <v>0</v>
      </c>
      <c r="AI172" s="783"/>
      <c r="AJ172" s="487"/>
      <c r="AK172" s="487"/>
      <c r="AL172" s="864">
        <f>SUM(AL167:AL168)</f>
        <v>0</v>
      </c>
      <c r="AM172" s="783"/>
      <c r="AN172" s="487"/>
      <c r="AO172" s="487"/>
      <c r="AP172" s="864">
        <f>SUM(AP167:AP168)</f>
        <v>0</v>
      </c>
      <c r="AQ172" s="783"/>
      <c r="AR172" s="487"/>
      <c r="AS172" s="487"/>
      <c r="AT172" s="864">
        <f>SUM(AT167:AT168)</f>
        <v>0</v>
      </c>
      <c r="AU172" s="783"/>
      <c r="AV172" s="487"/>
      <c r="AW172" s="487"/>
      <c r="AX172" s="864">
        <f>SUM(AX167:AX168)</f>
        <v>0</v>
      </c>
      <c r="AY172" s="783"/>
      <c r="AZ172" s="487"/>
      <c r="BA172" s="487"/>
      <c r="BB172" s="864">
        <f>SUM(BB167:BB168)</f>
        <v>0</v>
      </c>
      <c r="BC172" s="783"/>
      <c r="BD172" s="487"/>
      <c r="BE172" s="487"/>
      <c r="BF172" s="864">
        <f>SUM(BF167:BF168)</f>
        <v>0</v>
      </c>
      <c r="BG172" s="783"/>
      <c r="BH172" s="487"/>
      <c r="BI172" s="487"/>
      <c r="BJ172" s="864">
        <f>SUM(BJ167:BJ168)</f>
        <v>0</v>
      </c>
      <c r="BK172" s="783"/>
      <c r="BL172" s="487"/>
      <c r="BM172" s="487"/>
      <c r="BN172" s="864">
        <f>SUM(BN167:BN168)</f>
        <v>0</v>
      </c>
      <c r="BO172" s="783"/>
      <c r="BP172" s="487"/>
      <c r="BQ172" s="487"/>
      <c r="BR172" s="864">
        <f>SUM(BR167:BR168)</f>
        <v>0</v>
      </c>
      <c r="BS172" s="783"/>
      <c r="BT172" s="487"/>
      <c r="BU172" s="487"/>
      <c r="BV172" s="864">
        <f>SUM(BV167:BV168)</f>
        <v>0</v>
      </c>
      <c r="BW172" s="783"/>
      <c r="BX172" s="487"/>
      <c r="BY172" s="487"/>
      <c r="BZ172" s="864">
        <f>SUM(BZ167:BZ168)</f>
        <v>0</v>
      </c>
      <c r="CA172" s="783"/>
      <c r="CB172" s="487"/>
      <c r="CC172" s="487"/>
      <c r="CD172" s="864">
        <f>SUM(CD167:CD168)</f>
        <v>0</v>
      </c>
      <c r="CE172" s="783"/>
      <c r="CF172" s="487"/>
      <c r="CG172" s="487"/>
      <c r="CH172" s="864">
        <f>SUM(CH167:CH168)</f>
        <v>0</v>
      </c>
      <c r="CI172" s="783"/>
      <c r="CJ172" s="487"/>
      <c r="CK172" s="487"/>
      <c r="CL172" s="864">
        <f>SUM(CL167:CL168)</f>
        <v>0</v>
      </c>
      <c r="CM172" s="783"/>
      <c r="CN172" s="487"/>
      <c r="CO172" s="487"/>
      <c r="CP172" s="864">
        <f>SUM(CP167:CP168)</f>
        <v>0</v>
      </c>
      <c r="CQ172" s="783"/>
      <c r="CR172" s="487"/>
      <c r="CS172" s="487"/>
      <c r="CT172" s="864">
        <f>SUM(CT167:CT168)</f>
        <v>0</v>
      </c>
      <c r="CU172" s="783"/>
      <c r="CV172" s="487"/>
      <c r="CW172" s="794"/>
      <c r="CX172" s="864">
        <f>SUM(CX167:CX168)</f>
        <v>0</v>
      </c>
      <c r="CY172" s="783"/>
      <c r="CZ172" s="487"/>
      <c r="DA172" s="794"/>
      <c r="DB172" s="864">
        <f>SUM(DB167:DB168)</f>
        <v>0</v>
      </c>
      <c r="DC172" s="783"/>
      <c r="DD172" s="487"/>
      <c r="DE172" s="794"/>
      <c r="DF172" s="864">
        <f>SUM(DF167:DF168)</f>
        <v>0</v>
      </c>
      <c r="DG172" s="783"/>
      <c r="DH172" s="487"/>
      <c r="DI172" s="794"/>
      <c r="DJ172" s="864"/>
      <c r="DK172" s="783"/>
      <c r="DL172" s="487"/>
      <c r="DM172" s="794"/>
      <c r="DN172" s="864"/>
      <c r="DO172" s="783"/>
      <c r="DP172" s="487"/>
      <c r="DQ172" s="794"/>
      <c r="DR172" s="794"/>
      <c r="DS172" s="794"/>
      <c r="DT172" s="794"/>
      <c r="DU172" s="794"/>
      <c r="DV172" s="794"/>
      <c r="DW172" s="794"/>
      <c r="DX172" s="794"/>
      <c r="DY172" s="794"/>
      <c r="DZ172" s="794"/>
      <c r="EA172" s="794"/>
      <c r="EB172" s="794"/>
    </row>
    <row r="173" spans="1:132" hidden="1" outlineLevel="1">
      <c r="A173" s="487" t="str">
        <f>$A$16</f>
        <v>9 Mos</v>
      </c>
      <c r="B173" s="487"/>
      <c r="C173" s="487"/>
      <c r="D173" s="864"/>
      <c r="E173" s="487"/>
      <c r="F173" s="864">
        <f>SUM(F167:F169)</f>
        <v>0</v>
      </c>
      <c r="G173" s="783"/>
      <c r="H173" s="487"/>
      <c r="I173" s="487"/>
      <c r="J173" s="864">
        <f>SUM(J167:J169)</f>
        <v>0</v>
      </c>
      <c r="K173" s="783"/>
      <c r="L173" s="487"/>
      <c r="M173" s="487"/>
      <c r="N173" s="864">
        <f>SUM(N167:N169)</f>
        <v>1.98</v>
      </c>
      <c r="O173" s="783"/>
      <c r="P173" s="487"/>
      <c r="Q173" s="487"/>
      <c r="R173" s="864">
        <f>SUM(R167:R169)</f>
        <v>3.5779999999999998</v>
      </c>
      <c r="S173" s="783"/>
      <c r="T173" s="487"/>
      <c r="U173" s="487"/>
      <c r="V173" s="864">
        <f>SUM(V167:V169)</f>
        <v>3.5779999999999998</v>
      </c>
      <c r="W173" s="783"/>
      <c r="X173" s="487"/>
      <c r="Y173" s="487"/>
      <c r="Z173" s="864">
        <f>SUM(Z167:Z169)</f>
        <v>3.5779999999999998</v>
      </c>
      <c r="AA173" s="783"/>
      <c r="AB173" s="783"/>
      <c r="AC173" s="487"/>
      <c r="AD173" s="864">
        <f>SUM(AD167:AD169)</f>
        <v>1.7889999999999999</v>
      </c>
      <c r="AE173" s="783"/>
      <c r="AF173" s="487"/>
      <c r="AG173" s="487"/>
      <c r="AH173" s="864">
        <f>SUM(AH167:AH169)</f>
        <v>0</v>
      </c>
      <c r="AI173" s="783"/>
      <c r="AJ173" s="487"/>
      <c r="AK173" s="487"/>
      <c r="AL173" s="864">
        <f>SUM(AL167:AL169)</f>
        <v>0</v>
      </c>
      <c r="AM173" s="783"/>
      <c r="AN173" s="487"/>
      <c r="AO173" s="487"/>
      <c r="AP173" s="864">
        <f>SUM(AP167:AP169)</f>
        <v>0</v>
      </c>
      <c r="AQ173" s="783"/>
      <c r="AR173" s="487"/>
      <c r="AS173" s="487"/>
      <c r="AT173" s="864">
        <f>SUM(AT167:AT169)</f>
        <v>0</v>
      </c>
      <c r="AU173" s="783"/>
      <c r="AV173" s="487"/>
      <c r="AW173" s="487"/>
      <c r="AX173" s="864">
        <f>SUM(AX167:AX169)</f>
        <v>0</v>
      </c>
      <c r="AY173" s="783"/>
      <c r="AZ173" s="487"/>
      <c r="BA173" s="487"/>
      <c r="BB173" s="864">
        <f>SUM(BB167:BB169)</f>
        <v>0</v>
      </c>
      <c r="BC173" s="783"/>
      <c r="BD173" s="487"/>
      <c r="BE173" s="487"/>
      <c r="BF173" s="864">
        <f>SUM(BF167:BF169)</f>
        <v>0</v>
      </c>
      <c r="BG173" s="783"/>
      <c r="BH173" s="487"/>
      <c r="BI173" s="487"/>
      <c r="BJ173" s="864">
        <f>SUM(BJ167:BJ169)</f>
        <v>0</v>
      </c>
      <c r="BK173" s="783"/>
      <c r="BL173" s="487"/>
      <c r="BM173" s="487"/>
      <c r="BN173" s="864">
        <f>SUM(BN167:BN169)</f>
        <v>0</v>
      </c>
      <c r="BO173" s="783"/>
      <c r="BP173" s="487"/>
      <c r="BQ173" s="487"/>
      <c r="BR173" s="864">
        <f>SUM(BR167:BR169)</f>
        <v>0</v>
      </c>
      <c r="BS173" s="783"/>
      <c r="BT173" s="487"/>
      <c r="BU173" s="487"/>
      <c r="BV173" s="864">
        <f>SUM(BV167:BV169)</f>
        <v>0</v>
      </c>
      <c r="BW173" s="783"/>
      <c r="BX173" s="487"/>
      <c r="BY173" s="487"/>
      <c r="BZ173" s="864">
        <f>SUM(BZ167:BZ169)</f>
        <v>0</v>
      </c>
      <c r="CA173" s="783"/>
      <c r="CB173" s="487"/>
      <c r="CC173" s="487"/>
      <c r="CD173" s="864">
        <f>SUM(CD167:CD169)</f>
        <v>0</v>
      </c>
      <c r="CE173" s="783"/>
      <c r="CF173" s="487"/>
      <c r="CG173" s="487"/>
      <c r="CH173" s="864">
        <f>SUM(CH167:CH169)</f>
        <v>0</v>
      </c>
      <c r="CI173" s="783"/>
      <c r="CJ173" s="487"/>
      <c r="CK173" s="487"/>
      <c r="CL173" s="864">
        <f>SUM(CL167:CL169)</f>
        <v>0</v>
      </c>
      <c r="CM173" s="783"/>
      <c r="CN173" s="487"/>
      <c r="CO173" s="487"/>
      <c r="CP173" s="864">
        <f>SUM(CP167:CP169)</f>
        <v>0</v>
      </c>
      <c r="CQ173" s="783"/>
      <c r="CR173" s="487"/>
      <c r="CS173" s="487"/>
      <c r="CT173" s="864">
        <f>SUM(CT167:CT169)</f>
        <v>0</v>
      </c>
      <c r="CU173" s="783"/>
      <c r="CV173" s="487"/>
      <c r="CW173" s="794"/>
      <c r="CX173" s="864">
        <f>SUM(CX167:CX169)</f>
        <v>0</v>
      </c>
      <c r="CY173" s="783"/>
      <c r="CZ173" s="487"/>
      <c r="DA173" s="794"/>
      <c r="DB173" s="864">
        <f>SUM(DB167:DB169)</f>
        <v>0</v>
      </c>
      <c r="DC173" s="783"/>
      <c r="DD173" s="487"/>
      <c r="DE173" s="794"/>
      <c r="DF173" s="864">
        <f>SUM(DF167:DF169)</f>
        <v>0</v>
      </c>
      <c r="DG173" s="783"/>
      <c r="DH173" s="487"/>
      <c r="DI173" s="794"/>
      <c r="DJ173" s="864"/>
      <c r="DK173" s="783"/>
      <c r="DL173" s="487"/>
      <c r="DM173" s="794"/>
      <c r="DN173" s="864"/>
      <c r="DO173" s="783"/>
      <c r="DP173" s="487"/>
      <c r="DQ173" s="794"/>
      <c r="DR173" s="794"/>
      <c r="DS173" s="794"/>
      <c r="DT173" s="794"/>
      <c r="DU173" s="794"/>
      <c r="DV173" s="794"/>
      <c r="DW173" s="794"/>
      <c r="DX173" s="794"/>
      <c r="DY173" s="794"/>
      <c r="DZ173" s="794"/>
      <c r="EA173" s="794"/>
      <c r="EB173" s="794"/>
    </row>
    <row r="174" spans="1:132" hidden="1" outlineLevel="1">
      <c r="A174" s="487"/>
      <c r="B174" s="487"/>
      <c r="C174" s="487"/>
      <c r="D174" s="487"/>
      <c r="E174" s="487"/>
      <c r="F174" s="487"/>
      <c r="G174" s="487"/>
      <c r="H174" s="487"/>
      <c r="I174" s="487"/>
      <c r="J174" s="487"/>
      <c r="K174" s="487"/>
      <c r="L174" s="487"/>
      <c r="M174" s="487"/>
      <c r="N174" s="487"/>
      <c r="O174" s="487"/>
      <c r="P174" s="487"/>
      <c r="Q174" s="487"/>
      <c r="R174" s="487"/>
      <c r="S174" s="487"/>
      <c r="T174" s="487"/>
      <c r="U174" s="487"/>
      <c r="V174" s="487"/>
      <c r="W174" s="487"/>
      <c r="X174" s="487"/>
      <c r="Y174" s="487"/>
      <c r="Z174" s="487"/>
      <c r="AA174" s="487"/>
      <c r="AB174" s="487"/>
      <c r="AC174" s="487"/>
      <c r="AD174" s="487"/>
      <c r="AE174" s="487"/>
      <c r="AF174" s="487"/>
      <c r="AG174" s="487"/>
      <c r="AH174" s="487"/>
      <c r="AI174" s="487"/>
      <c r="AJ174" s="487"/>
      <c r="AK174" s="487"/>
      <c r="AL174" s="487"/>
      <c r="AM174" s="487"/>
      <c r="AN174" s="487"/>
      <c r="AO174" s="487"/>
      <c r="AP174" s="487"/>
      <c r="AQ174" s="487"/>
      <c r="AR174" s="487"/>
      <c r="AS174" s="487"/>
      <c r="AT174" s="487"/>
      <c r="AU174" s="487"/>
      <c r="AV174" s="487"/>
      <c r="AW174" s="487"/>
      <c r="AX174" s="487"/>
      <c r="AY174" s="487"/>
      <c r="AZ174" s="487"/>
      <c r="BA174" s="487"/>
      <c r="BB174" s="487"/>
      <c r="BC174" s="487"/>
      <c r="BD174" s="487"/>
      <c r="BE174" s="487"/>
      <c r="BF174" s="487"/>
      <c r="BG174" s="487"/>
      <c r="BH174" s="487"/>
      <c r="BI174" s="487"/>
      <c r="BJ174" s="487"/>
      <c r="BK174" s="487"/>
      <c r="BL174" s="487"/>
      <c r="BM174" s="487"/>
      <c r="BN174" s="487"/>
      <c r="BO174" s="487"/>
      <c r="BP174" s="487"/>
      <c r="BQ174" s="487"/>
      <c r="BR174" s="487"/>
      <c r="BS174" s="487"/>
      <c r="BT174" s="487"/>
      <c r="BU174" s="487"/>
      <c r="BV174" s="487"/>
      <c r="BW174" s="487"/>
      <c r="BX174" s="487"/>
      <c r="BY174" s="487"/>
      <c r="BZ174" s="487"/>
      <c r="CA174" s="487"/>
      <c r="CB174" s="487"/>
      <c r="CC174" s="487"/>
      <c r="CD174" s="487"/>
      <c r="CE174" s="487"/>
      <c r="CF174" s="487"/>
      <c r="CG174" s="487"/>
      <c r="CH174" s="487"/>
      <c r="CI174" s="487"/>
      <c r="CJ174" s="487"/>
      <c r="CK174" s="487"/>
      <c r="CL174" s="487"/>
      <c r="CM174" s="487"/>
      <c r="CN174" s="487"/>
      <c r="CO174" s="487"/>
      <c r="CP174" s="487"/>
      <c r="CQ174" s="487"/>
      <c r="CR174" s="487"/>
      <c r="CS174" s="487"/>
      <c r="CT174" s="487"/>
      <c r="CU174" s="487"/>
      <c r="CV174" s="487"/>
      <c r="CW174" s="794"/>
      <c r="CX174" s="487"/>
      <c r="CY174" s="487"/>
      <c r="CZ174" s="487"/>
      <c r="DA174" s="794"/>
      <c r="DB174" s="487"/>
      <c r="DC174" s="487"/>
      <c r="DD174" s="487"/>
      <c r="DE174" s="794"/>
      <c r="DF174" s="487"/>
      <c r="DG174" s="487"/>
      <c r="DH174" s="487"/>
      <c r="DI174" s="794"/>
      <c r="DJ174" s="487"/>
      <c r="DK174" s="487"/>
      <c r="DL174" s="487"/>
      <c r="DM174" s="794"/>
      <c r="DN174" s="487"/>
      <c r="DO174" s="487"/>
      <c r="DP174" s="487"/>
      <c r="DQ174" s="794"/>
      <c r="DR174" s="794"/>
      <c r="DS174" s="794"/>
      <c r="DT174" s="794"/>
      <c r="DU174" s="794"/>
      <c r="DV174" s="794"/>
      <c r="DW174" s="794"/>
      <c r="DX174" s="794"/>
      <c r="DY174" s="794"/>
      <c r="DZ174" s="794"/>
      <c r="EA174" s="794"/>
      <c r="EB174" s="794"/>
    </row>
    <row r="175" spans="1:132" collapsed="1">
      <c r="A175" s="487"/>
      <c r="B175" s="487"/>
      <c r="C175" s="807"/>
      <c r="D175" s="807"/>
      <c r="E175" s="809"/>
      <c r="F175" s="809" t="str">
        <f>BJ175</f>
        <v>9.  EPS from continuing operations -- Fully Diluted   (% Change)</v>
      </c>
      <c r="G175" s="811"/>
      <c r="H175" s="811"/>
      <c r="I175" s="811"/>
      <c r="J175" s="809"/>
      <c r="K175" s="811"/>
      <c r="L175" s="811"/>
      <c r="M175" s="811"/>
      <c r="N175" s="809"/>
      <c r="O175" s="811"/>
      <c r="P175" s="811"/>
      <c r="Q175" s="811"/>
      <c r="R175" s="809"/>
      <c r="S175" s="811"/>
      <c r="T175" s="811"/>
      <c r="U175" s="811"/>
      <c r="V175" s="809"/>
      <c r="W175" s="811"/>
      <c r="X175" s="811"/>
      <c r="Y175" s="487"/>
      <c r="Z175" s="487"/>
      <c r="AA175" s="811"/>
      <c r="AB175" s="811"/>
      <c r="AC175" s="811"/>
      <c r="AD175" s="809"/>
      <c r="AE175" s="811"/>
      <c r="AF175" s="811"/>
      <c r="AG175" s="811"/>
      <c r="AH175" s="809"/>
      <c r="AI175" s="811"/>
      <c r="AJ175" s="811"/>
      <c r="AK175" s="811"/>
      <c r="AL175" s="809"/>
      <c r="AM175" s="811"/>
      <c r="AN175" s="811"/>
      <c r="AO175" s="702"/>
      <c r="AP175" s="487"/>
      <c r="AQ175" s="811"/>
      <c r="AR175" s="811"/>
      <c r="AS175" s="811"/>
      <c r="AT175" s="487"/>
      <c r="AU175" s="487"/>
      <c r="AV175" s="487"/>
      <c r="AW175" s="487"/>
      <c r="AX175" s="487"/>
      <c r="AY175" s="487"/>
      <c r="AZ175" s="487"/>
      <c r="BA175" s="487"/>
      <c r="BB175" s="487"/>
      <c r="BC175" s="487"/>
      <c r="BD175" s="487"/>
      <c r="BE175" s="487"/>
      <c r="BF175" s="487"/>
      <c r="BG175" s="809"/>
      <c r="BH175" s="809"/>
      <c r="BI175" s="809"/>
      <c r="BJ175" s="809" t="s">
        <v>626</v>
      </c>
      <c r="BK175" s="809"/>
      <c r="BL175" s="809"/>
      <c r="BM175" s="809"/>
      <c r="BN175" s="809" t="s">
        <v>626</v>
      </c>
      <c r="BO175" s="809"/>
      <c r="BP175" s="809"/>
      <c r="BQ175" s="809"/>
      <c r="BR175" s="809"/>
      <c r="BS175" s="809"/>
      <c r="BT175" s="809"/>
      <c r="BU175" s="809"/>
      <c r="BV175" s="809"/>
      <c r="BW175" s="809"/>
      <c r="BX175" s="809"/>
      <c r="BY175" s="809"/>
      <c r="BZ175" s="809"/>
      <c r="CA175" s="809"/>
      <c r="CC175" s="809"/>
      <c r="CD175" s="809"/>
      <c r="CE175" s="809"/>
      <c r="CF175" s="810" t="str">
        <f>BN175</f>
        <v>9.  EPS from continuing operations -- Fully Diluted   (% Change)</v>
      </c>
      <c r="CG175" s="809"/>
      <c r="CH175" s="809"/>
      <c r="CI175" s="809"/>
      <c r="CJ175" s="809"/>
      <c r="CK175" s="809"/>
      <c r="CL175" s="809"/>
      <c r="CM175" s="809"/>
      <c r="CN175" s="809"/>
      <c r="CO175" s="809"/>
      <c r="CP175" s="809"/>
      <c r="CQ175" s="809"/>
      <c r="CR175" s="809"/>
      <c r="CS175" s="809"/>
      <c r="CT175" s="809"/>
      <c r="CU175" s="809"/>
      <c r="CV175" s="809"/>
      <c r="CW175" s="970"/>
      <c r="CX175" s="809"/>
      <c r="CY175" s="809"/>
      <c r="CZ175" s="809"/>
      <c r="DA175" s="970"/>
      <c r="DB175" s="809" t="str">
        <f>CF175</f>
        <v>9.  EPS from continuing operations -- Fully Diluted   (% Change)</v>
      </c>
      <c r="DC175" s="809"/>
      <c r="DD175" s="809"/>
      <c r="DE175" s="970"/>
      <c r="DF175" s="809"/>
      <c r="DG175" s="809"/>
      <c r="DH175" s="809"/>
      <c r="DI175" s="970"/>
      <c r="DJ175" s="1942"/>
      <c r="DK175" s="809"/>
      <c r="DL175" s="809"/>
      <c r="DM175" s="970"/>
      <c r="DN175" s="1942"/>
      <c r="DO175" s="809"/>
      <c r="DP175" s="809"/>
      <c r="DQ175" s="971"/>
      <c r="DR175" s="971"/>
      <c r="DS175" s="971"/>
      <c r="DT175" s="971"/>
      <c r="DU175" s="971"/>
      <c r="DV175" s="971"/>
      <c r="DW175" s="971"/>
      <c r="DX175" s="970"/>
      <c r="DY175" s="794"/>
      <c r="DZ175" s="794"/>
      <c r="EA175" s="794"/>
      <c r="EB175" s="794"/>
    </row>
    <row r="176" spans="1:132">
      <c r="A176" s="487"/>
      <c r="B176" s="487"/>
      <c r="C176" s="487"/>
      <c r="D176" s="487"/>
      <c r="E176" s="487"/>
      <c r="F176" s="487"/>
      <c r="G176" s="487"/>
      <c r="H176" s="487"/>
      <c r="I176" s="487"/>
      <c r="J176" s="487"/>
      <c r="K176" s="487"/>
      <c r="L176" s="487"/>
      <c r="M176" s="487"/>
      <c r="N176" s="487"/>
      <c r="O176" s="487"/>
      <c r="P176" s="487"/>
      <c r="Q176" s="487"/>
      <c r="R176" s="487"/>
      <c r="S176" s="487"/>
      <c r="T176" s="487"/>
      <c r="U176" s="487"/>
      <c r="V176" s="487"/>
      <c r="W176" s="487"/>
      <c r="X176" s="487"/>
      <c r="Y176" s="487"/>
      <c r="Z176" s="487"/>
      <c r="AA176" s="487"/>
      <c r="AB176" s="487"/>
      <c r="AC176" s="487"/>
      <c r="AD176" s="487"/>
      <c r="AE176" s="487"/>
      <c r="AF176" s="487"/>
      <c r="AG176" s="487"/>
      <c r="AH176" s="487"/>
      <c r="AI176" s="487"/>
      <c r="AJ176" s="487"/>
      <c r="AK176" s="487"/>
      <c r="AL176" s="487"/>
      <c r="AM176" s="487"/>
      <c r="AN176" s="487"/>
      <c r="AO176" s="487"/>
      <c r="AP176" s="487"/>
      <c r="AQ176" s="487"/>
      <c r="AR176" s="487"/>
      <c r="AS176" s="487"/>
      <c r="AT176" s="487"/>
      <c r="AU176" s="487"/>
      <c r="AV176" s="487"/>
      <c r="AW176" s="487"/>
      <c r="AX176" s="487"/>
      <c r="AY176" s="487"/>
      <c r="AZ176" s="487"/>
      <c r="BA176" s="487"/>
      <c r="BB176" s="972" t="s">
        <v>428</v>
      </c>
      <c r="BC176" s="487"/>
      <c r="BD176" s="487"/>
      <c r="BE176" s="487"/>
      <c r="BF176" s="487"/>
      <c r="BG176" s="487"/>
      <c r="BH176" s="487"/>
      <c r="BI176" s="487"/>
      <c r="BJ176" s="756"/>
      <c r="BK176" s="879"/>
      <c r="BL176" s="487"/>
      <c r="BM176" s="487"/>
      <c r="BN176" s="867"/>
      <c r="BO176" s="487"/>
      <c r="BP176" s="487"/>
      <c r="BQ176" s="487"/>
      <c r="BR176" s="867"/>
      <c r="BS176" s="487"/>
      <c r="BT176" s="487"/>
      <c r="BU176" s="487"/>
      <c r="BV176" s="867"/>
      <c r="BW176" s="487"/>
      <c r="BX176" s="487"/>
      <c r="BY176" s="487"/>
      <c r="BZ176" s="867"/>
      <c r="CA176" s="487"/>
      <c r="CB176" s="487"/>
      <c r="CC176" s="487"/>
      <c r="CD176" s="867"/>
      <c r="CE176" s="487"/>
      <c r="CF176" s="487"/>
      <c r="CG176" s="487"/>
      <c r="CH176" s="867"/>
      <c r="CI176" s="487"/>
      <c r="CJ176" s="487"/>
      <c r="CK176" s="487"/>
      <c r="CL176" s="867"/>
      <c r="CM176" s="487"/>
      <c r="CN176" s="487"/>
      <c r="CO176" s="487"/>
      <c r="CP176" s="867"/>
      <c r="CQ176" s="487"/>
      <c r="CR176" s="487"/>
      <c r="CS176" s="487"/>
      <c r="CT176" s="867"/>
      <c r="CU176" s="487"/>
      <c r="CV176" s="487"/>
      <c r="CW176" s="794"/>
      <c r="CX176" s="867"/>
      <c r="CY176" s="487"/>
      <c r="CZ176" s="487"/>
      <c r="DA176" s="794"/>
      <c r="DB176" s="867"/>
      <c r="DC176" s="487"/>
      <c r="DD176" s="487"/>
      <c r="DE176" s="794"/>
      <c r="DF176" s="867"/>
      <c r="DG176" s="487"/>
      <c r="DH176" s="487"/>
      <c r="DI176" s="794"/>
      <c r="DJ176" s="867"/>
      <c r="DK176" s="487"/>
      <c r="DL176" s="487"/>
      <c r="DM176" s="794"/>
      <c r="DN176" s="867"/>
      <c r="DO176" s="487"/>
      <c r="DP176" s="487"/>
      <c r="DQ176" s="973"/>
      <c r="DR176" s="973"/>
      <c r="DS176" s="973"/>
      <c r="DT176" s="804"/>
      <c r="DU176" s="804"/>
      <c r="DV176" s="804"/>
      <c r="DW176" s="804"/>
      <c r="DX176" s="794"/>
      <c r="DY176" s="794"/>
      <c r="DZ176" s="794"/>
      <c r="EA176" s="794"/>
      <c r="EB176" s="794"/>
    </row>
    <row r="177" spans="1:132">
      <c r="A177" s="487" t="str">
        <f>$A$10</f>
        <v>1Q</v>
      </c>
      <c r="B177" s="487" t="str">
        <f>$B$10</f>
        <v>Apr</v>
      </c>
      <c r="C177" s="487"/>
      <c r="D177" s="867"/>
      <c r="E177" s="487"/>
      <c r="F177" s="867">
        <f>(F120+F248)/F218</f>
        <v>1.3043993052503585E-2</v>
      </c>
      <c r="G177" s="783"/>
      <c r="H177" s="487"/>
      <c r="I177" s="487"/>
      <c r="J177" s="867">
        <f>(J120+J248)/J218</f>
        <v>1.3231565289298636E-2</v>
      </c>
      <c r="K177" s="783">
        <f t="shared" ref="K177:K183" si="388">IF(F177&lt;0,"       NM",(J177/F177-1)*100)</f>
        <v>1.4379970614830206</v>
      </c>
      <c r="L177" s="487"/>
      <c r="M177" s="487"/>
      <c r="N177" s="867">
        <f>(N120+N248)/N218</f>
        <v>1.350449435563849E-2</v>
      </c>
      <c r="O177" s="783">
        <f t="shared" ref="O177:O183" si="389">IF(J177&lt;0,"       NM",(N177/J177-1)*100)</f>
        <v>2.0627118588954163</v>
      </c>
      <c r="P177" s="487"/>
      <c r="Q177" s="487"/>
      <c r="R177" s="867">
        <f>R120/R218</f>
        <v>1.6287706094426632E-2</v>
      </c>
      <c r="S177" s="783">
        <f t="shared" ref="S177:S183" si="390">IF(N177&lt;0,"       NM",(R177/N177-1)*100)</f>
        <v>20.609522026465775</v>
      </c>
      <c r="T177" s="487"/>
      <c r="U177" s="487"/>
      <c r="V177" s="867">
        <f>V120/V218</f>
        <v>1.6277862692616236E-2</v>
      </c>
      <c r="W177" s="783">
        <f t="shared" ref="W177:W183" si="391">IF(R177&lt;0,"       NM",(V177/R177-1)*100)</f>
        <v>-6.043454955123595E-2</v>
      </c>
      <c r="X177" s="487"/>
      <c r="Y177" s="487"/>
      <c r="Z177" s="867">
        <f>Z120/Z218</f>
        <v>6.3585179589801429E-3</v>
      </c>
      <c r="AA177" s="783">
        <f t="shared" ref="AA177:AA183" si="392">IF(V177&lt;0,"       NM",(Z177/V177-1)*100)</f>
        <v>-60.937636107076784</v>
      </c>
      <c r="AB177" s="487"/>
      <c r="AC177" s="487"/>
      <c r="AD177" s="867">
        <f>AD120/AD218</f>
        <v>1.6861911153852008E-2</v>
      </c>
      <c r="AE177" s="783">
        <f t="shared" ref="AE177:AE183" si="393">IF(Z177&lt;0,"       NM",(AD177/Z177-1)*100)</f>
        <v>165.18618430632736</v>
      </c>
      <c r="AF177" s="487">
        <v>0.13</v>
      </c>
      <c r="AG177" s="487"/>
      <c r="AH177" s="867">
        <f>AH120/AH218</f>
        <v>3.4191525645926098E-2</v>
      </c>
      <c r="AI177" s="783">
        <f t="shared" ref="AI177:AI183" si="394">IF(AD177&lt;0,"       NM",(AH177/AD177-1)*100)</f>
        <v>102.77372673805863</v>
      </c>
      <c r="AJ177" s="487"/>
      <c r="AK177" s="487"/>
      <c r="AL177" s="867">
        <f>AL120/AL218</f>
        <v>6.0552816692796177E-2</v>
      </c>
      <c r="AM177" s="783">
        <f t="shared" ref="AM177:AM183" si="395">IF(AH177&lt;0,"       NM",(AL177/AH177-1)*100)</f>
        <v>77.098902575618226</v>
      </c>
      <c r="AN177" s="487"/>
      <c r="AO177" s="487"/>
      <c r="AP177" s="867">
        <f>AP120/AP218</f>
        <v>9.3971294987218623E-2</v>
      </c>
      <c r="AQ177" s="783">
        <f t="shared" ref="AQ177:AQ183" si="396">IF(AL177&lt;0,"       NM",(AP177/AL177-1)*100)</f>
        <v>55.188974055435082</v>
      </c>
      <c r="AR177" s="487"/>
      <c r="AS177" s="487"/>
      <c r="AT177" s="867">
        <f>AT120/AT218</f>
        <v>0.10880036148182716</v>
      </c>
      <c r="AU177" s="783">
        <f t="shared" ref="AU177:AU183" si="397">IF(AP177&lt;0,"       NM",(AT177/AP177-1)*100)</f>
        <v>15.780421560249325</v>
      </c>
      <c r="AV177" s="487"/>
      <c r="AW177" s="487"/>
      <c r="AX177" s="867">
        <f>AX120/AX218</f>
        <v>0.10958747754135034</v>
      </c>
      <c r="AY177" s="783">
        <f t="shared" ref="AY177:AY183" si="398">IF(AT177&lt;0,"       NM",(AX177/AT177-1)*100)</f>
        <v>0.72344985697005981</v>
      </c>
      <c r="AZ177" s="487"/>
      <c r="BA177" s="487"/>
      <c r="BB177" s="867">
        <f>BB120/BB218</f>
        <v>0.13040532431793428</v>
      </c>
      <c r="BC177" s="783">
        <f t="shared" ref="BC177:BC183" si="399">IF(AX177&lt;0,"       NM",(BB177/AX177-1)*100)</f>
        <v>18.996556215767257</v>
      </c>
      <c r="BD177" s="487"/>
      <c r="BE177" s="487"/>
      <c r="BF177" s="867">
        <f>(BF120+BF239)/BF218</f>
        <v>9.5726829079489775E-2</v>
      </c>
      <c r="BG177" s="783">
        <f t="shared" ref="BG177:BG183" si="400">IF(BB177&lt;0,"       NM",(BF177/BB177-1)*100)</f>
        <v>-26.592852262609089</v>
      </c>
      <c r="BH177" s="974">
        <v>0.21125811819111165</v>
      </c>
      <c r="BI177" s="487"/>
      <c r="BJ177" s="867">
        <f>(BJ120+BJ239)/BJ218</f>
        <v>0.14960292874948372</v>
      </c>
      <c r="BK177" s="783">
        <f t="shared" ref="BK177:BK183" si="401">IF(BF177&lt;0,"       NM",(BJ177/BF177-1)*100)</f>
        <v>56.281086700632521</v>
      </c>
      <c r="BL177" s="867">
        <v>0.32231254079114718</v>
      </c>
      <c r="BM177" s="487"/>
      <c r="BN177" s="867">
        <f>(BN120+BN239)/BN218</f>
        <v>0.13750049666619318</v>
      </c>
      <c r="BO177" s="783">
        <f t="shared" ref="BO177:BO183" si="402">IF(BJ177&lt;0,"       NM",(BN177/BJ177-1)*100)</f>
        <v>-8.0897026444960556</v>
      </c>
      <c r="BP177" s="867">
        <v>0.29785414065340871</v>
      </c>
      <c r="BQ177" s="487"/>
      <c r="BR177" s="867">
        <f>(BR120+BR239)/BR218</f>
        <v>0.17011945574179591</v>
      </c>
      <c r="BS177" s="783">
        <f t="shared" ref="BS177:BS183" si="403">IF(BN177&lt;0,"       NM",(BR177/BN177-1)*100)</f>
        <v>23.722793638186658</v>
      </c>
      <c r="BT177" s="867"/>
      <c r="BU177" s="487"/>
      <c r="BV177" s="867">
        <f>(BV120+BV239)/BV218</f>
        <v>0.18744370717807388</v>
      </c>
      <c r="BW177" s="783">
        <f t="shared" ref="BW177:BW183" si="404">IF(BR177&lt;0,"       NM",(BV177/BR177-1)*100)</f>
        <v>10.183580332265096</v>
      </c>
      <c r="BX177" s="867"/>
      <c r="BY177" s="867"/>
      <c r="BZ177" s="867">
        <f>(BZ120+BZ239)/BZ218</f>
        <v>0.22113072573107087</v>
      </c>
      <c r="CA177" s="783">
        <f t="shared" ref="CA177:CA183" si="405">IF(BV177&lt;0,"       NM",(BZ177/BV177-1)*100)</f>
        <v>17.971805541059794</v>
      </c>
      <c r="CB177" s="975"/>
      <c r="CC177" s="867"/>
      <c r="CD177" s="867">
        <f>(CD120+CD239)/CD218</f>
        <v>0.24334830524171158</v>
      </c>
      <c r="CE177" s="783">
        <f t="shared" ref="CE177:CE183" si="406">IF(BZ177&lt;0,"       NM",(CD177/BZ177-1)*100)</f>
        <v>10.04726025168512</v>
      </c>
      <c r="CF177" s="975"/>
      <c r="CG177" s="867"/>
      <c r="CH177" s="867">
        <f>(CH120+CH239)/CH218</f>
        <v>0.39989623552123549</v>
      </c>
      <c r="CI177" s="783">
        <f t="shared" ref="CI177:CI183" si="407">IF(CD177&lt;0,"       NM",(CH177/CD177-1)*100)</f>
        <v>64.330807697234178</v>
      </c>
      <c r="CJ177" s="975"/>
      <c r="CK177" s="867"/>
      <c r="CL177" s="867">
        <f>(CL120+CL239)/CL218</f>
        <v>0.39151902391853888</v>
      </c>
      <c r="CM177" s="783">
        <f t="shared" ref="CM177:CM183" si="408">IF(CH177&lt;0,"       NM",(CL177/CH177-1)*100)</f>
        <v>-2.0948463272672524</v>
      </c>
      <c r="CN177" s="975"/>
      <c r="CO177" s="867"/>
      <c r="CP177" s="867">
        <f>(CP120+CP239)/CP218</f>
        <v>0.55448561935197171</v>
      </c>
      <c r="CQ177" s="783">
        <f t="shared" ref="CQ177:CQ183" si="409">IF(CL177&lt;0,"       NM",(CP177/CL177-1)*100)</f>
        <v>41.624183111812307</v>
      </c>
      <c r="CR177" s="975"/>
      <c r="CS177" s="867"/>
      <c r="CT177" s="867">
        <f>(CT120+CT239)/CT218</f>
        <v>0.61823344322269325</v>
      </c>
      <c r="CU177" s="783">
        <f t="shared" ref="CU177:CU183" si="410">IF(CP177&lt;0,"       NM",(CT177/CP177-1)*100)</f>
        <v>11.496749716471232</v>
      </c>
      <c r="CV177" s="975"/>
      <c r="CW177" s="600"/>
      <c r="CX177" s="867">
        <f>(CX120+CX239)/CX218</f>
        <v>0.63727833559170877</v>
      </c>
      <c r="CY177" s="783">
        <f t="shared" ref="CY177:CY183" si="411">IF(CT177&lt;0,"       NM",(CX177/CT177-1)*100)</f>
        <v>3.0805341538528541</v>
      </c>
      <c r="CZ177" s="975"/>
      <c r="DA177" s="600"/>
      <c r="DB177" s="867">
        <f>DB120/DB218</f>
        <v>0.68662743089614353</v>
      </c>
      <c r="DC177" s="783">
        <f t="shared" ref="DC177:DC183" si="412">IF(CX177&lt;0,"       NM",(DB177/CX177-1)*100)</f>
        <v>7.743727120209476</v>
      </c>
      <c r="DD177" s="975"/>
      <c r="DE177" s="600"/>
      <c r="DF177" s="867">
        <f>DF120/DF218</f>
        <v>0.7582862461738572</v>
      </c>
      <c r="DG177" s="783">
        <f t="shared" ref="DG177:DG183" si="413">IF(DB177&lt;0,"       NM",(DF177/DB177-1)*100)</f>
        <v>10.436346125028685</v>
      </c>
      <c r="DH177" s="975"/>
      <c r="DI177" s="600"/>
      <c r="DJ177" s="867">
        <f>DJ120/DJ218</f>
        <v>0.81899789095585096</v>
      </c>
      <c r="DK177" s="783">
        <f t="shared" ref="DK177:DK183" si="414">IF(DF177&lt;0,"       NM",(DJ177/DF177-1)*100)</f>
        <v>8.0064283228571185</v>
      </c>
      <c r="DL177" s="975"/>
      <c r="DM177" s="600"/>
      <c r="DN177" s="867">
        <f>DN120/DN218</f>
        <v>1.0220907257831879</v>
      </c>
      <c r="DO177" s="783">
        <f t="shared" ref="DO177:DO183" si="415">IF(DJ177&lt;0,"       NM",(DN177/DJ177-1)*100)</f>
        <v>24.797723787824122</v>
      </c>
      <c r="DP177" s="975"/>
      <c r="DQ177" s="976"/>
      <c r="DR177" s="976"/>
      <c r="DS177" s="977"/>
      <c r="DT177" s="804"/>
      <c r="DU177" s="804"/>
      <c r="DV177" s="804"/>
      <c r="DW177" s="804"/>
      <c r="DX177" s="794"/>
      <c r="DY177" s="794"/>
      <c r="DZ177" s="794"/>
      <c r="EA177" s="978"/>
      <c r="EB177" s="794"/>
    </row>
    <row r="178" spans="1:132">
      <c r="A178" s="487" t="str">
        <f>$A$11</f>
        <v>2Q</v>
      </c>
      <c r="B178" s="487" t="str">
        <f>$B$11</f>
        <v>Jul</v>
      </c>
      <c r="C178" s="487"/>
      <c r="D178" s="792"/>
      <c r="E178" s="487"/>
      <c r="F178" s="792">
        <f>(F121+F249)/F219</f>
        <v>1.2921742909182158E-2</v>
      </c>
      <c r="G178" s="783"/>
      <c r="H178" s="487"/>
      <c r="I178" s="487"/>
      <c r="J178" s="792">
        <f>(J121+J249)/J219</f>
        <v>1.2327433051288838E-2</v>
      </c>
      <c r="K178" s="783">
        <f t="shared" si="388"/>
        <v>-4.5993010545891995</v>
      </c>
      <c r="L178" s="487"/>
      <c r="M178" s="487"/>
      <c r="N178" s="792">
        <f>(N121+N249)/N219</f>
        <v>1.6872169693533834E-2</v>
      </c>
      <c r="O178" s="783">
        <f t="shared" si="389"/>
        <v>36.866853166725086</v>
      </c>
      <c r="P178" s="487"/>
      <c r="Q178" s="487"/>
      <c r="R178" s="792">
        <f>R121/R219</f>
        <v>1.672066319650467E-2</v>
      </c>
      <c r="S178" s="783">
        <f t="shared" si="390"/>
        <v>-0.89796688737209251</v>
      </c>
      <c r="T178" s="487"/>
      <c r="U178" s="487"/>
      <c r="V178" s="792">
        <f>V121/V219</f>
        <v>1.4522363156507312E-2</v>
      </c>
      <c r="W178" s="783">
        <f t="shared" si="391"/>
        <v>-13.1472060298236</v>
      </c>
      <c r="X178" s="487"/>
      <c r="Y178" s="487"/>
      <c r="Z178" s="792">
        <f>Z121/Z219</f>
        <v>8.2555641657521169E-3</v>
      </c>
      <c r="AA178" s="783">
        <f t="shared" si="392"/>
        <v>-43.152749474847774</v>
      </c>
      <c r="AB178" s="487"/>
      <c r="AC178" s="487"/>
      <c r="AD178" s="792">
        <f>AD121/AD219</f>
        <v>2.3399271206257316E-2</v>
      </c>
      <c r="AE178" s="783">
        <f t="shared" si="393"/>
        <v>183.43636772067345</v>
      </c>
      <c r="AF178" s="487">
        <v>0.19</v>
      </c>
      <c r="AG178" s="487"/>
      <c r="AH178" s="792">
        <f>AH121/AH219</f>
        <v>3.7017950708215452E-2</v>
      </c>
      <c r="AI178" s="783">
        <f t="shared" si="394"/>
        <v>58.201297732368239</v>
      </c>
      <c r="AJ178" s="487"/>
      <c r="AK178" s="487"/>
      <c r="AL178" s="792">
        <f>AL121/AL219</f>
        <v>6.3626206584696407E-2</v>
      </c>
      <c r="AM178" s="783">
        <f t="shared" si="395"/>
        <v>71.879332506042104</v>
      </c>
      <c r="AN178" s="487"/>
      <c r="AO178" s="487"/>
      <c r="AP178" s="792">
        <f>AP121/AP219</f>
        <v>9.0404652507190125E-2</v>
      </c>
      <c r="AQ178" s="783">
        <f t="shared" si="396"/>
        <v>42.087132582464172</v>
      </c>
      <c r="AR178" s="487"/>
      <c r="AS178" s="487"/>
      <c r="AT178" s="792">
        <f>AT121/AT219</f>
        <v>9.7408935471403557E-2</v>
      </c>
      <c r="AU178" s="783">
        <f t="shared" si="397"/>
        <v>7.7477018825511834</v>
      </c>
      <c r="AV178" s="487"/>
      <c r="AW178" s="487"/>
      <c r="AX178" s="792">
        <f>AX121/AX219</f>
        <v>0.10022701201481374</v>
      </c>
      <c r="AY178" s="783">
        <f t="shared" si="398"/>
        <v>2.8930369988875215</v>
      </c>
      <c r="AZ178" s="487"/>
      <c r="BA178" s="487"/>
      <c r="BB178" s="792">
        <f>BB121/BB219</f>
        <v>0.11591963693547987</v>
      </c>
      <c r="BC178" s="783">
        <f t="shared" si="399"/>
        <v>15.657081464572364</v>
      </c>
      <c r="BD178" s="487"/>
      <c r="BE178" s="487"/>
      <c r="BF178" s="792">
        <f>(BF121+BF240)/BF219</f>
        <v>0.10600377874807197</v>
      </c>
      <c r="BG178" s="783">
        <f t="shared" si="400"/>
        <v>-8.5540797483061422</v>
      </c>
      <c r="BH178" s="974">
        <v>0.23202673916636093</v>
      </c>
      <c r="BI178" s="487"/>
      <c r="BJ178" s="792">
        <f>(BJ121+BJ240)/BJ219</f>
        <v>0.1031702885209935</v>
      </c>
      <c r="BK178" s="783">
        <f t="shared" si="401"/>
        <v>-2.6730086988809409</v>
      </c>
      <c r="BL178" s="867">
        <v>0.22911401657071254</v>
      </c>
      <c r="BM178" s="487"/>
      <c r="BN178" s="792">
        <f>(BN121+BN240)/BN219</f>
        <v>0.11357461288876</v>
      </c>
      <c r="BO178" s="783">
        <f>IF(BJ178&lt;0,"       NM",(BN178/BJ178-1)*100)</f>
        <v>10.084613038228918</v>
      </c>
      <c r="BP178" s="867">
        <v>0.25096612358417586</v>
      </c>
      <c r="BQ178" s="487"/>
      <c r="BR178" s="792">
        <f>(BR121+BR240)/BR219</f>
        <v>0.1465763322408036</v>
      </c>
      <c r="BS178" s="783">
        <f t="shared" si="403"/>
        <v>29.057302959391951</v>
      </c>
      <c r="BT178" s="974"/>
      <c r="BU178" s="487"/>
      <c r="BV178" s="792">
        <f>(BV121+BV240)/BV219</f>
        <v>0.19047797151603846</v>
      </c>
      <c r="BW178" s="783">
        <f t="shared" si="404"/>
        <v>29.951383421923026</v>
      </c>
      <c r="BX178" s="974"/>
      <c r="BY178" s="974"/>
      <c r="BZ178" s="792">
        <f>(BZ121+BZ240)/BZ219</f>
        <v>0.23940726006515173</v>
      </c>
      <c r="CA178" s="783">
        <f t="shared" si="405"/>
        <v>25.687636297089277</v>
      </c>
      <c r="CB178" s="974"/>
      <c r="CC178" s="974"/>
      <c r="CD178" s="792">
        <f>(CD121)/CD219</f>
        <v>0.30382062617753874</v>
      </c>
      <c r="CE178" s="783">
        <f t="shared" si="406"/>
        <v>26.90535203270683</v>
      </c>
      <c r="CF178" s="974"/>
      <c r="CG178" s="974"/>
      <c r="CH178" s="792">
        <f>(CH121)/CH219</f>
        <v>0.36363888739743527</v>
      </c>
      <c r="CI178" s="783">
        <f t="shared" si="407"/>
        <v>19.688676826352626</v>
      </c>
      <c r="CJ178" s="979"/>
      <c r="CK178" s="974"/>
      <c r="CL178" s="792">
        <f>(CL121)/CL219</f>
        <v>0.44932344405030694</v>
      </c>
      <c r="CM178" s="783">
        <f t="shared" si="408"/>
        <v>23.563089543617387</v>
      </c>
      <c r="CN178" s="979"/>
      <c r="CO178" s="974"/>
      <c r="CP178" s="792">
        <f>(CP121)/CP219</f>
        <v>0.56052701988570919</v>
      </c>
      <c r="CQ178" s="783">
        <f t="shared" si="409"/>
        <v>24.749114987855325</v>
      </c>
      <c r="CR178" s="980"/>
      <c r="CS178" s="974"/>
      <c r="CT178" s="792">
        <f>(CT121)/CT219</f>
        <v>0.65819332719369705</v>
      </c>
      <c r="CU178" s="783">
        <f>IF(CP178&lt;0,"       NM",(CT178/CP178-1)*100)</f>
        <v>17.424014158657663</v>
      </c>
      <c r="CV178" s="980"/>
      <c r="CW178" s="601"/>
      <c r="CX178" s="792">
        <f>(CX121)/CX219</f>
        <v>0.74887846001134506</v>
      </c>
      <c r="CY178" s="783">
        <f t="shared" si="411"/>
        <v>13.777886993217825</v>
      </c>
      <c r="CZ178" s="980"/>
      <c r="DA178" s="601"/>
      <c r="DB178" s="792">
        <f>DB121/DB219</f>
        <v>0.80157210770995246</v>
      </c>
      <c r="DC178" s="783">
        <f t="shared" si="412"/>
        <v>7.0363417446682952</v>
      </c>
      <c r="DD178" s="980"/>
      <c r="DE178" s="601"/>
      <c r="DF178" s="867">
        <f>DF121/DF219</f>
        <v>0.84333774373467929</v>
      </c>
      <c r="DG178" s="783">
        <f t="shared" si="413"/>
        <v>5.2104652373757165</v>
      </c>
      <c r="DH178" s="980"/>
      <c r="DI178" s="601"/>
      <c r="DJ178" s="792">
        <f>DJ121/DJ219</f>
        <v>0.85291146152268194</v>
      </c>
      <c r="DK178" s="783">
        <f t="shared" si="414"/>
        <v>1.135217516247522</v>
      </c>
      <c r="DL178" s="980"/>
      <c r="DM178" s="601"/>
      <c r="DN178" s="792">
        <f>DN121/DN219</f>
        <v>1.1048425606649377</v>
      </c>
      <c r="DO178" s="783">
        <f t="shared" si="415"/>
        <v>29.537778598084419</v>
      </c>
      <c r="DP178" s="980"/>
      <c r="DQ178" s="981"/>
      <c r="DR178" s="981"/>
      <c r="DS178" s="982"/>
      <c r="DT178" s="983"/>
      <c r="DU178" s="984"/>
      <c r="DV178" s="804"/>
      <c r="DW178" s="804"/>
      <c r="DX178" s="794"/>
      <c r="DY178" s="794"/>
      <c r="DZ178" s="794"/>
      <c r="EA178" s="794"/>
      <c r="EB178" s="794"/>
    </row>
    <row r="179" spans="1:132" ht="15">
      <c r="A179" s="487" t="str">
        <f>$A$12</f>
        <v>3Q</v>
      </c>
      <c r="B179" s="487" t="str">
        <f>$B$12</f>
        <v>Oct</v>
      </c>
      <c r="C179" s="487"/>
      <c r="D179" s="792"/>
      <c r="E179" s="487"/>
      <c r="F179" s="792">
        <f>(F122+F250)/F220</f>
        <v>2.6290422589980759E-2</v>
      </c>
      <c r="G179" s="783"/>
      <c r="H179" s="487"/>
      <c r="I179" s="487"/>
      <c r="J179" s="792">
        <f>(J122+J250)/J220</f>
        <v>2.4127140917500449E-2</v>
      </c>
      <c r="K179" s="783">
        <f t="shared" si="388"/>
        <v>-8.2284020543083045</v>
      </c>
      <c r="L179" s="487"/>
      <c r="M179" s="487"/>
      <c r="N179" s="792">
        <f>(N122+N250)/N220</f>
        <v>3.3412956984773867E-2</v>
      </c>
      <c r="O179" s="783">
        <f t="shared" si="389"/>
        <v>38.487013853091966</v>
      </c>
      <c r="P179" s="487"/>
      <c r="Q179" s="487"/>
      <c r="R179" s="792">
        <f>R122/R220</f>
        <v>3.4483344173085705E-2</v>
      </c>
      <c r="S179" s="783">
        <f t="shared" si="390"/>
        <v>3.203509311670949</v>
      </c>
      <c r="T179" s="487"/>
      <c r="U179" s="487"/>
      <c r="V179" s="792">
        <f>V122/V220</f>
        <v>2.6124374723080233E-2</v>
      </c>
      <c r="W179" s="783">
        <f t="shared" si="391"/>
        <v>-24.240599774918749</v>
      </c>
      <c r="X179" s="487"/>
      <c r="Y179" s="487"/>
      <c r="Z179" s="792">
        <f>Z122/Z220</f>
        <v>2.1679539596708128E-2</v>
      </c>
      <c r="AA179" s="783">
        <f t="shared" si="392"/>
        <v>-17.014130188713004</v>
      </c>
      <c r="AB179" s="487"/>
      <c r="AC179" s="487"/>
      <c r="AD179" s="792">
        <f>AD122/AD220</f>
        <v>5.6266167885765675E-2</v>
      </c>
      <c r="AE179" s="783">
        <f t="shared" si="393"/>
        <v>159.53580625996898</v>
      </c>
      <c r="AF179" s="487">
        <v>0.46</v>
      </c>
      <c r="AG179" s="487"/>
      <c r="AH179" s="792">
        <f>AH122/AH220</f>
        <v>7.6922185447574148E-2</v>
      </c>
      <c r="AI179" s="783">
        <f t="shared" si="394"/>
        <v>36.71125711590193</v>
      </c>
      <c r="AJ179" s="487"/>
      <c r="AK179" s="487"/>
      <c r="AL179" s="792">
        <f>AL122/AL220</f>
        <v>9.6707270593620956E-2</v>
      </c>
      <c r="AM179" s="783">
        <f t="shared" si="395"/>
        <v>25.720908774141904</v>
      </c>
      <c r="AN179" s="487"/>
      <c r="AO179" s="487"/>
      <c r="AP179" s="792">
        <f>AP122/AP220</f>
        <v>0.11991050004267932</v>
      </c>
      <c r="AQ179" s="783">
        <f t="shared" si="396"/>
        <v>23.993262664357417</v>
      </c>
      <c r="AR179" s="487"/>
      <c r="AS179" s="487"/>
      <c r="AT179" s="792">
        <f>AT122/AT220</f>
        <v>0.13985077593332301</v>
      </c>
      <c r="AU179" s="783">
        <f t="shared" si="397"/>
        <v>16.629299255316599</v>
      </c>
      <c r="AV179" s="487"/>
      <c r="AW179" s="487"/>
      <c r="AX179" s="792">
        <f>AX122/AX220</f>
        <v>0.13537569814226749</v>
      </c>
      <c r="AY179" s="783">
        <f t="shared" si="398"/>
        <v>-3.1998948602109389</v>
      </c>
      <c r="AZ179" s="487"/>
      <c r="BA179" s="487"/>
      <c r="BB179" s="792">
        <f>BB122/BB220</f>
        <v>0.13414571296155511</v>
      </c>
      <c r="BC179" s="783">
        <f t="shared" si="399"/>
        <v>-0.90857162518177548</v>
      </c>
      <c r="BD179" s="487"/>
      <c r="BE179" s="487"/>
      <c r="BF179" s="792">
        <f>(BF122+BF241)/BF220</f>
        <v>0.16189222522442281</v>
      </c>
      <c r="BG179" s="783">
        <f t="shared" si="400"/>
        <v>20.68386059479932</v>
      </c>
      <c r="BH179" s="974">
        <v>0.34629931340255904</v>
      </c>
      <c r="BI179" s="487"/>
      <c r="BJ179" s="792">
        <f>(BJ122+BJ241)/BJ220</f>
        <v>0.1830465207991184</v>
      </c>
      <c r="BK179" s="783">
        <f t="shared" si="401"/>
        <v>13.066900245129421</v>
      </c>
      <c r="BL179" s="867">
        <v>0.39623025288673119</v>
      </c>
      <c r="BM179" s="487"/>
      <c r="BN179" s="792">
        <f>(BN122+BN241)/BN220</f>
        <v>0.16080419987052755</v>
      </c>
      <c r="BO179" s="783">
        <f t="shared" si="402"/>
        <v>-12.151184754284595</v>
      </c>
      <c r="BP179" s="867">
        <v>0.35435950300853508</v>
      </c>
      <c r="BQ179" s="792"/>
      <c r="BR179" s="792">
        <f>(BR122+BR241)/BR220</f>
        <v>0.24190022370426506</v>
      </c>
      <c r="BS179" s="783">
        <f t="shared" si="403"/>
        <v>50.431533441932764</v>
      </c>
      <c r="BT179" s="562"/>
      <c r="BU179" s="985"/>
      <c r="BV179" s="792">
        <f>(BV122+BV241)/BV220</f>
        <v>0.27170885231220959</v>
      </c>
      <c r="BW179" s="783">
        <f t="shared" si="404"/>
        <v>12.322695759218094</v>
      </c>
      <c r="BX179" s="867"/>
      <c r="BY179" s="487"/>
      <c r="BZ179" s="792">
        <f>(BZ122+BZ241)/BZ220</f>
        <v>0.28472327787470869</v>
      </c>
      <c r="CA179" s="783">
        <f t="shared" si="405"/>
        <v>4.7898423079512975</v>
      </c>
      <c r="CB179" s="487"/>
      <c r="CC179" s="487"/>
      <c r="CD179" s="792">
        <f>(CD122)/CD220</f>
        <v>0.40621992468908535</v>
      </c>
      <c r="CE179" s="783">
        <f t="shared" si="406"/>
        <v>42.671834814939437</v>
      </c>
      <c r="CF179" s="487"/>
      <c r="CG179" s="487"/>
      <c r="CH179" s="792">
        <f>(CH122)/CH220</f>
        <v>0.46187599245732397</v>
      </c>
      <c r="CI179" s="783">
        <f t="shared" si="407"/>
        <v>13.700969446744127</v>
      </c>
      <c r="CJ179" s="979"/>
      <c r="CK179" s="487"/>
      <c r="CL179" s="792">
        <f>(CL122)/CL220</f>
        <v>0.53062585829682474</v>
      </c>
      <c r="CM179" s="783">
        <f t="shared" si="408"/>
        <v>14.884918671293157</v>
      </c>
      <c r="CN179" s="979"/>
      <c r="CO179" s="487"/>
      <c r="CP179" s="792">
        <f>(CP122)/CP220</f>
        <v>0.61891595071210947</v>
      </c>
      <c r="CQ179" s="783">
        <f t="shared" si="409"/>
        <v>16.638859760561566</v>
      </c>
      <c r="CR179" s="986"/>
      <c r="CS179" s="487"/>
      <c r="CT179" s="792">
        <f>(CT122)/CT220</f>
        <v>0.75127345644572385</v>
      </c>
      <c r="CU179" s="783">
        <f t="shared" si="410"/>
        <v>21.385376411987302</v>
      </c>
      <c r="CV179" s="986"/>
      <c r="CW179" s="987"/>
      <c r="CX179" s="792">
        <f>(CX122)/CX220</f>
        <v>0.84872005192544975</v>
      </c>
      <c r="CY179" s="783">
        <f t="shared" si="411"/>
        <v>12.970855637672329</v>
      </c>
      <c r="CZ179" s="986"/>
      <c r="DA179" s="987"/>
      <c r="DB179" s="792">
        <f>DB122/DB220</f>
        <v>0.8625411988649373</v>
      </c>
      <c r="DC179" s="783">
        <f t="shared" si="412"/>
        <v>1.6284694709559622</v>
      </c>
      <c r="DD179" s="986"/>
      <c r="DE179" s="987"/>
      <c r="DF179" s="867">
        <f>DF122/DF220</f>
        <v>0.90981241338872487</v>
      </c>
      <c r="DG179" s="783">
        <f t="shared" si="413"/>
        <v>5.4804587405209437</v>
      </c>
      <c r="DH179" s="986"/>
      <c r="DI179" s="987"/>
      <c r="DJ179" s="792">
        <f>DJ122/DJ220</f>
        <v>0.99775230563665562</v>
      </c>
      <c r="DK179" s="783">
        <f t="shared" si="414"/>
        <v>9.6657169053548273</v>
      </c>
      <c r="DL179" s="986"/>
      <c r="DM179" s="987"/>
      <c r="DN179" s="792">
        <f>DN122/DN220</f>
        <v>1.2701352150141361</v>
      </c>
      <c r="DO179" s="783">
        <f t="shared" si="415"/>
        <v>27.29965221214654</v>
      </c>
      <c r="DP179" s="986"/>
      <c r="DQ179" s="981"/>
      <c r="DR179" s="981"/>
      <c r="DS179" s="982"/>
      <c r="DT179" s="983"/>
      <c r="DU179" s="984"/>
      <c r="DV179" s="804"/>
      <c r="DW179" s="804"/>
      <c r="DX179" s="794"/>
      <c r="DY179" s="794"/>
      <c r="DZ179" s="794"/>
      <c r="EA179" s="794"/>
      <c r="EB179" s="794"/>
    </row>
    <row r="180" spans="1:132" ht="14.25" customHeight="1">
      <c r="A180" s="487" t="str">
        <f>$A$13</f>
        <v>4Q</v>
      </c>
      <c r="B180" s="487" t="str">
        <f>$B$13</f>
        <v>Jan</v>
      </c>
      <c r="C180" s="499"/>
      <c r="D180" s="988"/>
      <c r="E180" s="499"/>
      <c r="F180" s="988">
        <f>(F123+F251)/F221</f>
        <v>1.3749999999999988E-2</v>
      </c>
      <c r="G180" s="783"/>
      <c r="H180" s="487"/>
      <c r="I180" s="487"/>
      <c r="J180" s="988">
        <f>(J123+J251)/J221</f>
        <v>1.2500000000000273E-2</v>
      </c>
      <c r="K180" s="783">
        <f t="shared" si="388"/>
        <v>-9.0909090909070294</v>
      </c>
      <c r="L180" s="487"/>
      <c r="M180" s="487"/>
      <c r="N180" s="988">
        <f>(N123+N251)/N221</f>
        <v>2.4992078634458802E-2</v>
      </c>
      <c r="O180" s="783">
        <f t="shared" si="389"/>
        <v>99.936629075666048</v>
      </c>
      <c r="P180" s="487"/>
      <c r="Q180" s="487"/>
      <c r="R180" s="988">
        <f>R123/R221</f>
        <v>2.4238198971830868E-2</v>
      </c>
      <c r="S180" s="783">
        <f t="shared" si="390"/>
        <v>-3.0164744343773475</v>
      </c>
      <c r="T180" s="487"/>
      <c r="U180" s="487"/>
      <c r="V180" s="988">
        <f>V123/V221</f>
        <v>1.3339800287856278E-2</v>
      </c>
      <c r="W180" s="783">
        <f t="shared" si="391"/>
        <v>-44.963731408593866</v>
      </c>
      <c r="X180" s="487"/>
      <c r="Y180" s="487"/>
      <c r="Z180" s="988">
        <f>Z123/Z221</f>
        <v>6.7033069773166261E-3</v>
      </c>
      <c r="AA180" s="783">
        <f t="shared" si="392"/>
        <v>-49.749570213439412</v>
      </c>
      <c r="AB180" s="487"/>
      <c r="AC180" s="487"/>
      <c r="AD180" s="988">
        <f>AD123/AD221</f>
        <v>5.3440508453951298E-2</v>
      </c>
      <c r="AE180" s="783">
        <f t="shared" si="393"/>
        <v>697.22603537013981</v>
      </c>
      <c r="AF180" s="487">
        <v>0.43</v>
      </c>
      <c r="AG180" s="487"/>
      <c r="AH180" s="988">
        <f>AH123/AH221</f>
        <v>7.2023986635194895E-2</v>
      </c>
      <c r="AI180" s="783">
        <f t="shared" si="394"/>
        <v>34.774141786574944</v>
      </c>
      <c r="AJ180" s="487"/>
      <c r="AK180" s="487"/>
      <c r="AL180" s="988">
        <f>AL123/AL221</f>
        <v>0.10366102564353064</v>
      </c>
      <c r="AM180" s="783">
        <f t="shared" si="395"/>
        <v>43.925698210207287</v>
      </c>
      <c r="AN180" s="487"/>
      <c r="AO180" s="487"/>
      <c r="AP180" s="988">
        <f>AP123/AP221</f>
        <v>0.11105923030820117</v>
      </c>
      <c r="AQ180" s="783">
        <f t="shared" si="396"/>
        <v>7.1369201864849963</v>
      </c>
      <c r="AR180" s="487"/>
      <c r="AS180" s="487"/>
      <c r="AT180" s="988">
        <f>AT123/AT221</f>
        <v>0.11962094488014373</v>
      </c>
      <c r="AU180" s="783">
        <f t="shared" si="397"/>
        <v>7.7091427233764387</v>
      </c>
      <c r="AV180" s="487"/>
      <c r="AW180" s="487"/>
      <c r="AX180" s="988">
        <f>AX123/AX221</f>
        <v>0.14104291665709376</v>
      </c>
      <c r="AY180" s="783">
        <f t="shared" si="398"/>
        <v>17.908211474515735</v>
      </c>
      <c r="AZ180" s="487"/>
      <c r="BA180" s="487"/>
      <c r="BB180" s="988">
        <f>BB123/BB221</f>
        <v>0.14125330649893733</v>
      </c>
      <c r="BC180" s="783">
        <f t="shared" si="399"/>
        <v>0.14916725123819141</v>
      </c>
      <c r="BD180" s="487"/>
      <c r="BE180" s="487"/>
      <c r="BF180" s="988">
        <f>(BF123+BF242)/BF221</f>
        <v>0.2171095669065585</v>
      </c>
      <c r="BG180" s="783">
        <f t="shared" si="400"/>
        <v>53.702290082810798</v>
      </c>
      <c r="BH180" s="974">
        <v>0.45568052830791778</v>
      </c>
      <c r="BI180" s="487"/>
      <c r="BJ180" s="988">
        <f>(BJ123+BJ242)/BJ221</f>
        <v>0.16398011505474167</v>
      </c>
      <c r="BK180" s="783">
        <f t="shared" si="401"/>
        <v>-24.471262417783347</v>
      </c>
      <c r="BL180" s="867">
        <v>0.34932001321017486</v>
      </c>
      <c r="BM180" s="487"/>
      <c r="BN180" s="988">
        <f>(BN123+BN242)/BN221</f>
        <v>0.29852471202663455</v>
      </c>
      <c r="BO180" s="783">
        <f t="shared" si="402"/>
        <v>82.049336852201677</v>
      </c>
      <c r="BP180" s="867">
        <v>0.59470933819275851</v>
      </c>
      <c r="BQ180" s="792"/>
      <c r="BR180" s="988">
        <f>(BR123+BR242)/BR221</f>
        <v>0.25857026389036392</v>
      </c>
      <c r="BS180" s="783">
        <f t="shared" si="403"/>
        <v>-13.38396672926222</v>
      </c>
      <c r="BT180" s="487"/>
      <c r="BU180" s="989"/>
      <c r="BV180" s="990">
        <f>(BV123+BV242)/BV221</f>
        <v>0.32256986008252125</v>
      </c>
      <c r="BW180" s="783">
        <f t="shared" si="404"/>
        <v>24.751336533923229</v>
      </c>
      <c r="BX180" s="867"/>
      <c r="BY180" s="487"/>
      <c r="BZ180" s="990">
        <f>(BZ123+BZ242)/BZ221</f>
        <v>0.27581613573809266</v>
      </c>
      <c r="CA180" s="783">
        <f t="shared" si="405"/>
        <v>-14.494139140113038</v>
      </c>
      <c r="CB180" s="487"/>
      <c r="CC180" s="487"/>
      <c r="CD180" s="990">
        <f>(CD123)/CD221</f>
        <v>0.47115221752790576</v>
      </c>
      <c r="CE180" s="783">
        <f t="shared" si="406"/>
        <v>70.821121928594778</v>
      </c>
      <c r="CF180" s="487"/>
      <c r="CG180" s="487"/>
      <c r="CH180" s="990">
        <f>(CH123)/CH221</f>
        <v>0.52645341817998903</v>
      </c>
      <c r="CI180" s="783">
        <f t="shared" si="407"/>
        <v>11.737438261936628</v>
      </c>
      <c r="CJ180" s="991"/>
      <c r="CK180" s="487"/>
      <c r="CL180" s="990">
        <f>(CL123)/CL221</f>
        <v>0.62310194161393473</v>
      </c>
      <c r="CM180" s="783">
        <f t="shared" si="408"/>
        <v>18.358418826127277</v>
      </c>
      <c r="CN180" s="992"/>
      <c r="CO180" s="487"/>
      <c r="CP180" s="990">
        <f>(CP123)/CP221</f>
        <v>0.81966955409317166</v>
      </c>
      <c r="CQ180" s="783">
        <f t="shared" si="409"/>
        <v>31.546621724543989</v>
      </c>
      <c r="CR180" s="992"/>
      <c r="CS180" s="487"/>
      <c r="CT180" s="990">
        <f>(CT123)/CT221</f>
        <v>0.80930990198640163</v>
      </c>
      <c r="CU180" s="783">
        <f t="shared" si="410"/>
        <v>-1.2638815306774798</v>
      </c>
      <c r="CV180" s="992"/>
      <c r="CW180" s="993"/>
      <c r="CX180" s="990">
        <f>(CX123)/CX221</f>
        <v>0.93146130059431342</v>
      </c>
      <c r="CY180" s="783">
        <f t="shared" si="411"/>
        <v>15.093278644941655</v>
      </c>
      <c r="CZ180" s="992"/>
      <c r="DA180" s="993"/>
      <c r="DB180" s="990">
        <f>DB123/DB221</f>
        <v>0.98783119601112346</v>
      </c>
      <c r="DC180" s="783">
        <f t="shared" si="412"/>
        <v>6.0517699855961338</v>
      </c>
      <c r="DD180" s="992"/>
      <c r="DE180" s="993"/>
      <c r="DF180" s="1938">
        <f>DF123/DF221</f>
        <v>1.0312480034561138</v>
      </c>
      <c r="DG180" s="783">
        <f t="shared" si="413"/>
        <v>4.3951646415205436</v>
      </c>
      <c r="DH180" s="994"/>
      <c r="DI180" s="993"/>
      <c r="DJ180" s="990">
        <f>DJ123/DJ221</f>
        <v>1.3741727404163195</v>
      </c>
      <c r="DK180" s="783">
        <f t="shared" si="414"/>
        <v>33.25337220638793</v>
      </c>
      <c r="DL180" s="994"/>
      <c r="DM180" s="993"/>
      <c r="DN180" s="990">
        <f>DN123/DN221</f>
        <v>1.4418428325982429</v>
      </c>
      <c r="DO180" s="783">
        <f t="shared" si="415"/>
        <v>4.9244239964636449</v>
      </c>
      <c r="DP180" s="994"/>
      <c r="DQ180" s="995"/>
      <c r="DR180" s="995"/>
      <c r="DS180" s="996"/>
      <c r="DT180" s="997"/>
      <c r="DU180" s="804"/>
      <c r="DV180" s="804"/>
      <c r="DW180" s="804"/>
      <c r="DX180" s="794"/>
      <c r="DY180" s="794"/>
      <c r="DZ180" s="794"/>
      <c r="EA180" s="794"/>
      <c r="EB180" s="794"/>
    </row>
    <row r="181" spans="1:132" ht="15">
      <c r="A181" s="487"/>
      <c r="B181" s="487" t="str">
        <f>$B$14</f>
        <v>Year</v>
      </c>
      <c r="C181" s="487"/>
      <c r="D181" s="867"/>
      <c r="E181" s="487"/>
      <c r="F181" s="867">
        <f>(F124+F252)/F222</f>
        <v>6.6373633980492161E-2</v>
      </c>
      <c r="G181" s="783"/>
      <c r="H181" s="487"/>
      <c r="I181" s="487"/>
      <c r="J181" s="867">
        <f>(J124+J252)/J222</f>
        <v>6.2556356394610074E-2</v>
      </c>
      <c r="K181" s="783">
        <f t="shared" si="388"/>
        <v>-5.7511957037097332</v>
      </c>
      <c r="L181" s="487"/>
      <c r="M181" s="487"/>
      <c r="N181" s="867">
        <f>(N124+N252)/N222</f>
        <v>9.0622250189635517E-2</v>
      </c>
      <c r="O181" s="783">
        <f t="shared" si="389"/>
        <v>44.86497522007793</v>
      </c>
      <c r="P181" s="487"/>
      <c r="Q181" s="487"/>
      <c r="R181" s="867">
        <f>R124/R222</f>
        <v>9.3731014722567479E-2</v>
      </c>
      <c r="S181" s="783">
        <f t="shared" si="390"/>
        <v>3.4304649536141207</v>
      </c>
      <c r="T181" s="487">
        <v>0.7</v>
      </c>
      <c r="U181" s="487"/>
      <c r="V181" s="867">
        <f>V124/V222</f>
        <v>7.1869002409245056E-2</v>
      </c>
      <c r="W181" s="783">
        <f t="shared" si="391"/>
        <v>-23.324203176538038</v>
      </c>
      <c r="X181" s="487">
        <v>0.53</v>
      </c>
      <c r="Y181" s="487"/>
      <c r="Z181" s="867">
        <f>Z124/Z222</f>
        <v>4.4353689139523519E-2</v>
      </c>
      <c r="AA181" s="783">
        <f t="shared" si="392"/>
        <v>-38.285369696716465</v>
      </c>
      <c r="AB181" s="487">
        <v>0.28999999999999998</v>
      </c>
      <c r="AC181" s="487"/>
      <c r="AD181" s="867">
        <f>AD124/AD222</f>
        <v>0.152449692727879</v>
      </c>
      <c r="AE181" s="783">
        <f t="shared" si="393"/>
        <v>243.71367001359818</v>
      </c>
      <c r="AF181" s="487">
        <v>1.22</v>
      </c>
      <c r="AG181" s="487"/>
      <c r="AH181" s="867">
        <f>AH124/AH222</f>
        <v>0.21923721056586548</v>
      </c>
      <c r="AI181" s="783">
        <f t="shared" si="394"/>
        <v>43.80954572155251</v>
      </c>
      <c r="AJ181" s="487">
        <v>1.75</v>
      </c>
      <c r="AK181" s="487"/>
      <c r="AL181" s="867">
        <f>AL124/AL222</f>
        <v>0.3234010547502234</v>
      </c>
      <c r="AM181" s="783">
        <f t="shared" si="395"/>
        <v>47.511936461654614</v>
      </c>
      <c r="AN181" s="487"/>
      <c r="AO181" s="487"/>
      <c r="AP181" s="867">
        <f>AP124/AP222</f>
        <v>0.41444093069992471</v>
      </c>
      <c r="AQ181" s="783">
        <f t="shared" si="396"/>
        <v>28.150766552080462</v>
      </c>
      <c r="AR181" s="487"/>
      <c r="AS181" s="487"/>
      <c r="AT181" s="867">
        <f>AT124/AT222</f>
        <v>0.46513955933000434</v>
      </c>
      <c r="AU181" s="783">
        <f t="shared" si="397"/>
        <v>12.233016788293028</v>
      </c>
      <c r="AV181" s="487"/>
      <c r="AW181" s="487"/>
      <c r="AX181" s="867">
        <f>AX124/AX222</f>
        <v>0.48573439421286074</v>
      </c>
      <c r="AY181" s="783">
        <f t="shared" si="398"/>
        <v>4.4276678837039007</v>
      </c>
      <c r="AZ181" s="487"/>
      <c r="BA181" s="487"/>
      <c r="BB181" s="867">
        <f>BB124/BB222</f>
        <v>0.52329545454545467</v>
      </c>
      <c r="BC181" s="783">
        <f t="shared" si="399"/>
        <v>7.7328393418510499</v>
      </c>
      <c r="BD181" s="487"/>
      <c r="BE181" s="487"/>
      <c r="BF181" s="867">
        <f>(BF124+BF243)/BF222</f>
        <v>0.57778547377098821</v>
      </c>
      <c r="BG181" s="783">
        <f t="shared" si="400"/>
        <v>10.412859265682851</v>
      </c>
      <c r="BH181" s="974">
        <v>1.2450664856312341</v>
      </c>
      <c r="BI181" s="487"/>
      <c r="BJ181" s="867">
        <f>(BJ124+BJ243)/BJ222</f>
        <v>0.60697131035342511</v>
      </c>
      <c r="BK181" s="783">
        <f t="shared" si="401"/>
        <v>5.0513275094910215</v>
      </c>
      <c r="BL181" s="867">
        <v>1.2955140846856237</v>
      </c>
      <c r="BM181" s="487"/>
      <c r="BN181" s="867">
        <f>(BN124+BN243)/BN222</f>
        <v>0.70745031901159661</v>
      </c>
      <c r="BO181" s="783">
        <f t="shared" si="402"/>
        <v>16.55416111836734</v>
      </c>
      <c r="BP181" s="867">
        <v>1.4941817288665658</v>
      </c>
      <c r="BQ181" s="867"/>
      <c r="BR181" s="867">
        <f>(BR124+BR243)/BR222</f>
        <v>0.81547690783721671</v>
      </c>
      <c r="BS181" s="783">
        <f t="shared" si="403"/>
        <v>15.26984806177596</v>
      </c>
      <c r="BT181" s="948"/>
      <c r="BU181" s="998"/>
      <c r="BV181" s="867">
        <f>(BV124+BV243)/BV222</f>
        <v>0.96667780180124019</v>
      </c>
      <c r="BW181" s="783">
        <f t="shared" si="404"/>
        <v>18.541407182826795</v>
      </c>
      <c r="BX181" s="487"/>
      <c r="BY181" s="487"/>
      <c r="BZ181" s="867">
        <f>(BZ124+BZ243)/BZ222</f>
        <v>1.0166996416094785</v>
      </c>
      <c r="CA181" s="783">
        <f t="shared" si="405"/>
        <v>5.174613476696277</v>
      </c>
      <c r="CB181" s="487"/>
      <c r="CC181" s="487"/>
      <c r="CD181" s="867">
        <f>(CD124)/CD222</f>
        <v>1.4189874631389161</v>
      </c>
      <c r="CE181" s="783">
        <f t="shared" si="406"/>
        <v>39.568010557434555</v>
      </c>
      <c r="CF181" s="487"/>
      <c r="CG181" s="487"/>
      <c r="CH181" s="867">
        <f>(CH124)/CH222</f>
        <v>1.7474268170555565</v>
      </c>
      <c r="CI181" s="783">
        <f t="shared" si="407"/>
        <v>23.146036342710573</v>
      </c>
      <c r="CJ181" s="999"/>
      <c r="CK181" s="487"/>
      <c r="CL181" s="867">
        <f>(CL124)/CL222</f>
        <v>1.9885174482922612</v>
      </c>
      <c r="CM181" s="783">
        <f t="shared" si="408"/>
        <v>13.79689431818074</v>
      </c>
      <c r="CN181" s="1000"/>
      <c r="CO181" s="487"/>
      <c r="CP181" s="867">
        <f>(CP124)/CP222</f>
        <v>2.5505641725357999</v>
      </c>
      <c r="CQ181" s="783">
        <f t="shared" si="409"/>
        <v>28.264611141643471</v>
      </c>
      <c r="CR181" s="1000"/>
      <c r="CS181" s="487"/>
      <c r="CT181" s="867">
        <f>(CT124)/CT222</f>
        <v>2.8342678172186315</v>
      </c>
      <c r="CU181" s="783">
        <f t="shared" si="410"/>
        <v>11.123172188244546</v>
      </c>
      <c r="CV181" s="1000"/>
      <c r="CW181" s="993"/>
      <c r="CX181" s="867">
        <f>(CX124)/CX222</f>
        <v>3.1624659586825747</v>
      </c>
      <c r="CY181" s="783">
        <f t="shared" si="411"/>
        <v>11.579644642968701</v>
      </c>
      <c r="CZ181" s="1000"/>
      <c r="DA181" s="993"/>
      <c r="DB181" s="867">
        <f>DB124/DB222</f>
        <v>3.3347261834345514</v>
      </c>
      <c r="DC181" s="783">
        <f t="shared" si="412"/>
        <v>5.4470222605569774</v>
      </c>
      <c r="DD181" s="1000"/>
      <c r="DE181" s="993"/>
      <c r="DF181" s="867">
        <f>DF124/DF222</f>
        <v>3.5375929816745741</v>
      </c>
      <c r="DG181" s="783">
        <f t="shared" si="413"/>
        <v>6.0834619420261804</v>
      </c>
      <c r="DH181" s="1000"/>
      <c r="DI181" s="993"/>
      <c r="DJ181" s="867">
        <f>DJ124/DJ222</f>
        <v>4.0364151337630867</v>
      </c>
      <c r="DK181" s="783">
        <f t="shared" si="414"/>
        <v>14.100608935864267</v>
      </c>
      <c r="DL181" s="1000"/>
      <c r="DM181" s="993"/>
      <c r="DN181" s="867">
        <f>DN124/DN222</f>
        <v>4.832709022898265</v>
      </c>
      <c r="DO181" s="783">
        <f t="shared" si="415"/>
        <v>19.727750064022921</v>
      </c>
      <c r="DP181" s="1000"/>
      <c r="DQ181" s="976"/>
      <c r="DR181" s="976"/>
      <c r="DS181" s="977"/>
      <c r="DT181" s="997"/>
      <c r="DU181" s="804"/>
      <c r="DV181" s="804"/>
      <c r="DW181" s="804"/>
      <c r="DX181" s="794"/>
      <c r="DY181" s="794"/>
      <c r="DZ181" s="794"/>
      <c r="EA181" s="794"/>
      <c r="EB181" s="794"/>
    </row>
    <row r="182" spans="1:132" hidden="1" outlineLevel="1">
      <c r="A182" s="487" t="str">
        <f>$A$15</f>
        <v>6 Mos</v>
      </c>
      <c r="B182" s="487"/>
      <c r="C182" s="487"/>
      <c r="D182" s="792"/>
      <c r="E182" s="487"/>
      <c r="F182" s="792">
        <f>SUM(F177:F178)</f>
        <v>2.5965735961685742E-2</v>
      </c>
      <c r="G182" s="783"/>
      <c r="H182" s="487"/>
      <c r="I182" s="487"/>
      <c r="J182" s="792">
        <f>SUM(J177:J178)</f>
        <v>2.5558998340587474E-2</v>
      </c>
      <c r="K182" s="783">
        <f t="shared" si="388"/>
        <v>-1.5664397947296238</v>
      </c>
      <c r="L182" s="487"/>
      <c r="M182" s="487"/>
      <c r="N182" s="792">
        <f>SUM(N177:N178)</f>
        <v>3.0376664049172324E-2</v>
      </c>
      <c r="O182" s="783">
        <f t="shared" si="389"/>
        <v>18.849196061546891</v>
      </c>
      <c r="P182" s="487"/>
      <c r="Q182" s="487"/>
      <c r="R182" s="792">
        <f>SUM(R177:R178)</f>
        <v>3.3008369290931303E-2</v>
      </c>
      <c r="S182" s="783">
        <f t="shared" si="390"/>
        <v>8.6635755575362072</v>
      </c>
      <c r="T182" s="487"/>
      <c r="U182" s="487"/>
      <c r="V182" s="792">
        <f>SUM(V177:V178)</f>
        <v>3.080022584912355E-2</v>
      </c>
      <c r="W182" s="783">
        <f t="shared" si="391"/>
        <v>-6.6896471690118258</v>
      </c>
      <c r="X182" s="487"/>
      <c r="Y182" s="487"/>
      <c r="Z182" s="792">
        <f>SUM(Z177:Z178)</f>
        <v>1.461408212473226E-2</v>
      </c>
      <c r="AA182" s="783">
        <f t="shared" si="392"/>
        <v>-52.552029337966303</v>
      </c>
      <c r="AB182" s="487"/>
      <c r="AC182" s="487"/>
      <c r="AD182" s="792">
        <f>SUM(AD177:AD178)</f>
        <v>4.0261182360109324E-2</v>
      </c>
      <c r="AE182" s="783">
        <f t="shared" si="393"/>
        <v>175.49579930150378</v>
      </c>
      <c r="AF182" s="487"/>
      <c r="AG182" s="487"/>
      <c r="AH182" s="792">
        <f>SUM(AH177:AH178)</f>
        <v>7.1209476354141543E-2</v>
      </c>
      <c r="AI182" s="783">
        <f t="shared" si="394"/>
        <v>76.868815518681117</v>
      </c>
      <c r="AJ182" s="487"/>
      <c r="AK182" s="487"/>
      <c r="AL182" s="792">
        <f>SUM(AL177:AL178)</f>
        <v>0.12417902327749258</v>
      </c>
      <c r="AM182" s="783">
        <f t="shared" si="395"/>
        <v>74.385530740207912</v>
      </c>
      <c r="AN182" s="487"/>
      <c r="AO182" s="487"/>
      <c r="AP182" s="792">
        <f>SUM(AP177:AP178)</f>
        <v>0.18437594749440875</v>
      </c>
      <c r="AQ182" s="783">
        <f t="shared" si="396"/>
        <v>48.475920190158917</v>
      </c>
      <c r="AR182" s="487"/>
      <c r="AS182" s="487"/>
      <c r="AT182" s="792">
        <f>SUM(AT177:AT178)</f>
        <v>0.2062092969532307</v>
      </c>
      <c r="AU182" s="783">
        <f t="shared" si="397"/>
        <v>11.841755801409004</v>
      </c>
      <c r="AV182" s="487"/>
      <c r="AW182" s="487"/>
      <c r="AX182" s="792">
        <f>SUM(AX177:AX178)</f>
        <v>0.20981448955616408</v>
      </c>
      <c r="AY182" s="783">
        <f t="shared" si="398"/>
        <v>1.748317198206184</v>
      </c>
      <c r="AZ182" s="487"/>
      <c r="BA182" s="487"/>
      <c r="BB182" s="792">
        <f>SUM(BB177:BB178)</f>
        <v>0.24632496125341413</v>
      </c>
      <c r="BC182" s="783">
        <f t="shared" si="399"/>
        <v>17.401310926849401</v>
      </c>
      <c r="BD182" s="487"/>
      <c r="BE182" s="487"/>
      <c r="BF182" s="792">
        <f>SUM(BF177:BF178)</f>
        <v>0.20173060782756175</v>
      </c>
      <c r="BG182" s="783">
        <f t="shared" si="400"/>
        <v>-18.1038710810857</v>
      </c>
      <c r="BH182" s="487"/>
      <c r="BI182" s="487"/>
      <c r="BJ182" s="792">
        <f>SUM(BJ177:BJ178)</f>
        <v>0.25277321727047719</v>
      </c>
      <c r="BK182" s="783">
        <f t="shared" si="401"/>
        <v>25.302362389423028</v>
      </c>
      <c r="BL182" s="487"/>
      <c r="BM182" s="487"/>
      <c r="BN182" s="792">
        <f>SUM(BN177:BN178)</f>
        <v>0.25107510955495316</v>
      </c>
      <c r="BO182" s="783">
        <f t="shared" si="402"/>
        <v>-0.6717909966335478</v>
      </c>
      <c r="BP182" s="487"/>
      <c r="BQ182" s="487"/>
      <c r="BR182" s="792">
        <f>SUM(BR177:BR178)</f>
        <v>0.31669578798259951</v>
      </c>
      <c r="BS182" s="783">
        <f t="shared" si="403"/>
        <v>26.135875652494288</v>
      </c>
      <c r="BT182" s="487"/>
      <c r="BU182" s="487"/>
      <c r="BV182" s="792">
        <f>SUM(BV177:BV178)</f>
        <v>0.37792167869411231</v>
      </c>
      <c r="BW182" s="783">
        <f t="shared" si="404"/>
        <v>19.332713927624702</v>
      </c>
      <c r="BX182" s="487"/>
      <c r="BY182" s="487"/>
      <c r="BZ182" s="792">
        <f>SUM(BZ177:BZ178)</f>
        <v>0.46053798579622263</v>
      </c>
      <c r="CA182" s="783">
        <f t="shared" si="405"/>
        <v>21.860695419110776</v>
      </c>
      <c r="CB182" s="487"/>
      <c r="CC182" s="487"/>
      <c r="CD182" s="792">
        <f>SUM(CD177:CD178)</f>
        <v>0.54716893141925027</v>
      </c>
      <c r="CE182" s="783">
        <f t="shared" si="406"/>
        <v>18.810814372510819</v>
      </c>
      <c r="CF182" s="487"/>
      <c r="CG182" s="487"/>
      <c r="CH182" s="792">
        <f>SUM(CH177:CH178)</f>
        <v>0.76353512291867076</v>
      </c>
      <c r="CI182" s="783">
        <f t="shared" si="407"/>
        <v>39.542850311001487</v>
      </c>
      <c r="CJ182" s="487"/>
      <c r="CK182" s="487"/>
      <c r="CL182" s="792">
        <f>SUM(CL177:CL178)</f>
        <v>0.84084246796884576</v>
      </c>
      <c r="CM182" s="783">
        <f t="shared" si="408"/>
        <v>10.124923232694494</v>
      </c>
      <c r="CN182" s="499"/>
      <c r="CO182" s="487"/>
      <c r="CP182" s="792">
        <f>SUM(CP177:CP178)</f>
        <v>1.1150126392376809</v>
      </c>
      <c r="CQ182" s="783">
        <f t="shared" si="409"/>
        <v>32.606603699635393</v>
      </c>
      <c r="CR182" s="499"/>
      <c r="CS182" s="487"/>
      <c r="CT182" s="792">
        <f>SUM(CT177:CT178)</f>
        <v>1.2764267704163903</v>
      </c>
      <c r="CU182" s="783">
        <f t="shared" si="410"/>
        <v>14.476439593462009</v>
      </c>
      <c r="CV182" s="487"/>
      <c r="CW182" s="794"/>
      <c r="CX182" s="792">
        <f>SUM(CX177:CX178)</f>
        <v>1.3861567956030538</v>
      </c>
      <c r="CY182" s="783">
        <f t="shared" si="411"/>
        <v>8.5966565203633216</v>
      </c>
      <c r="CZ182" s="487"/>
      <c r="DA182" s="794"/>
      <c r="DB182" s="792">
        <f>SUM(DB177:DB178)</f>
        <v>1.488199538606096</v>
      </c>
      <c r="DC182" s="783">
        <f t="shared" si="412"/>
        <v>7.3615584706380854</v>
      </c>
      <c r="DD182" s="487"/>
      <c r="DE182" s="794"/>
      <c r="DF182" s="792">
        <f>SUM(DF177:DF178)</f>
        <v>1.6016239899085365</v>
      </c>
      <c r="DG182" s="783">
        <f t="shared" si="413"/>
        <v>7.6215889307880147</v>
      </c>
      <c r="DH182" s="487"/>
      <c r="DI182" s="794"/>
      <c r="DJ182" s="792">
        <f>SUM(DJ177:DJ178)</f>
        <v>1.6719093524785329</v>
      </c>
      <c r="DK182" s="783">
        <f t="shared" si="414"/>
        <v>4.3883809816066766</v>
      </c>
      <c r="DL182" s="487"/>
      <c r="DM182" s="794"/>
      <c r="DN182" s="792">
        <f>SUM(DN177:DN178)</f>
        <v>2.1269332864481258</v>
      </c>
      <c r="DO182" s="783">
        <f t="shared" si="415"/>
        <v>27.215825624459832</v>
      </c>
      <c r="DP182" s="487"/>
      <c r="DQ182" s="804"/>
      <c r="DR182" s="804"/>
      <c r="DS182" s="1001"/>
      <c r="DT182" s="794"/>
      <c r="DU182" s="794"/>
      <c r="DV182" s="794"/>
      <c r="DW182" s="794"/>
      <c r="DX182" s="794"/>
      <c r="DY182" s="794"/>
      <c r="DZ182" s="794"/>
      <c r="EA182" s="794"/>
      <c r="EB182" s="794"/>
    </row>
    <row r="183" spans="1:132" hidden="1" outlineLevel="1">
      <c r="A183" s="487" t="str">
        <f>$A$16</f>
        <v>9 Mos</v>
      </c>
      <c r="B183" s="487"/>
      <c r="C183" s="487"/>
      <c r="D183" s="792"/>
      <c r="E183" s="487"/>
      <c r="F183" s="792">
        <f>SUM(F177:F179)</f>
        <v>5.2256158551666501E-2</v>
      </c>
      <c r="G183" s="783"/>
      <c r="H183" s="487"/>
      <c r="I183" s="487"/>
      <c r="J183" s="792">
        <f>SUM(J177:J179)</f>
        <v>4.9686139258087923E-2</v>
      </c>
      <c r="K183" s="783">
        <f t="shared" si="388"/>
        <v>-4.9181175287455474</v>
      </c>
      <c r="L183" s="487"/>
      <c r="M183" s="487"/>
      <c r="N183" s="792">
        <f>SUM(N177:N179)</f>
        <v>6.3789621033946198E-2</v>
      </c>
      <c r="O183" s="783">
        <f t="shared" si="389"/>
        <v>28.385143193758022</v>
      </c>
      <c r="P183" s="487"/>
      <c r="Q183" s="487"/>
      <c r="R183" s="792">
        <f>SUM(R177:R179)</f>
        <v>6.7491713464017E-2</v>
      </c>
      <c r="S183" s="783">
        <f t="shared" si="390"/>
        <v>5.8035968392110338</v>
      </c>
      <c r="T183" s="487"/>
      <c r="U183" s="487"/>
      <c r="V183" s="792">
        <f>SUM(V177:V179)</f>
        <v>5.6924600572203783E-2</v>
      </c>
      <c r="W183" s="783">
        <f t="shared" si="391"/>
        <v>-15.656904158237205</v>
      </c>
      <c r="X183" s="487"/>
      <c r="Y183" s="487"/>
      <c r="Z183" s="792">
        <f>SUM(Z177:Z179)</f>
        <v>3.6293621721440392E-2</v>
      </c>
      <c r="AA183" s="783">
        <f t="shared" si="392"/>
        <v>-36.242641394724998</v>
      </c>
      <c r="AB183" s="487"/>
      <c r="AC183" s="487"/>
      <c r="AD183" s="792">
        <f>SUM(AD177:AD179)</f>
        <v>9.6527350245874999E-2</v>
      </c>
      <c r="AE183" s="783">
        <f t="shared" si="393"/>
        <v>165.96229769169506</v>
      </c>
      <c r="AF183" s="487"/>
      <c r="AG183" s="487"/>
      <c r="AH183" s="792">
        <f>SUM(AH177:AH179)</f>
        <v>0.14813166180171569</v>
      </c>
      <c r="AI183" s="783">
        <f t="shared" si="394"/>
        <v>53.460818539402453</v>
      </c>
      <c r="AJ183" s="487"/>
      <c r="AK183" s="487"/>
      <c r="AL183" s="792">
        <f>SUM(AL177:AL179)</f>
        <v>0.22088629387111353</v>
      </c>
      <c r="AM183" s="783">
        <f t="shared" si="395"/>
        <v>49.114842285901616</v>
      </c>
      <c r="AN183" s="487"/>
      <c r="AO183" s="487"/>
      <c r="AP183" s="792">
        <f>SUM(AP177:AP179)</f>
        <v>0.30428644753708806</v>
      </c>
      <c r="AQ183" s="783">
        <f t="shared" si="396"/>
        <v>37.75705237493743</v>
      </c>
      <c r="AR183" s="487"/>
      <c r="AS183" s="487"/>
      <c r="AT183" s="792">
        <f>SUM(AT177:AT179)</f>
        <v>0.34606007288655372</v>
      </c>
      <c r="AU183" s="783">
        <f t="shared" si="397"/>
        <v>13.728388394417102</v>
      </c>
      <c r="AV183" s="487"/>
      <c r="AW183" s="487"/>
      <c r="AX183" s="792">
        <f>SUM(AX177:AX179)</f>
        <v>0.34519018769843157</v>
      </c>
      <c r="AY183" s="783">
        <f t="shared" si="398"/>
        <v>-0.25136826125772282</v>
      </c>
      <c r="AZ183" s="487"/>
      <c r="BA183" s="487"/>
      <c r="BB183" s="792">
        <f>SUM(BB177:BB179)</f>
        <v>0.38047067421496927</v>
      </c>
      <c r="BC183" s="783">
        <f t="shared" si="399"/>
        <v>10.22059368250634</v>
      </c>
      <c r="BD183" s="487"/>
      <c r="BE183" s="487"/>
      <c r="BF183" s="792">
        <f>SUM(BF177:BF179)</f>
        <v>0.36362283305198456</v>
      </c>
      <c r="BG183" s="783">
        <f t="shared" si="400"/>
        <v>-4.4281576228567658</v>
      </c>
      <c r="BH183" s="487"/>
      <c r="BI183" s="487"/>
      <c r="BJ183" s="792">
        <f>SUM(BJ177:BJ179)</f>
        <v>0.43581973806959562</v>
      </c>
      <c r="BK183" s="783">
        <f t="shared" si="401"/>
        <v>19.854887662483399</v>
      </c>
      <c r="BL183" s="487"/>
      <c r="BM183" s="487"/>
      <c r="BN183" s="792">
        <f>SUM(BN177:BN179)</f>
        <v>0.41187930942548068</v>
      </c>
      <c r="BO183" s="783">
        <f t="shared" si="402"/>
        <v>-5.4931951338770935</v>
      </c>
      <c r="BP183" s="487"/>
      <c r="BQ183" s="487"/>
      <c r="BR183" s="792">
        <f>SUM(BR177:BR179)</f>
        <v>0.55859601168686457</v>
      </c>
      <c r="BS183" s="783">
        <f t="shared" si="403"/>
        <v>35.621284901646334</v>
      </c>
      <c r="BT183" s="487"/>
      <c r="BU183" s="487"/>
      <c r="BV183" s="792">
        <f>SUM(BV177:BV179)</f>
        <v>0.64963053100632195</v>
      </c>
      <c r="BW183" s="783">
        <f t="shared" si="404"/>
        <v>16.29702278835623</v>
      </c>
      <c r="BX183" s="487"/>
      <c r="BY183" s="487"/>
      <c r="BZ183" s="792">
        <f>SUM(BZ177:BZ179)</f>
        <v>0.74526126367093126</v>
      </c>
      <c r="CA183" s="783">
        <f t="shared" si="405"/>
        <v>14.720787909470756</v>
      </c>
      <c r="CB183" s="487"/>
      <c r="CC183" s="487"/>
      <c r="CD183" s="792">
        <f>SUM(CD177:CD179)</f>
        <v>0.95338885610833568</v>
      </c>
      <c r="CE183" s="783">
        <f t="shared" si="406"/>
        <v>27.926795955049499</v>
      </c>
      <c r="CF183" s="487"/>
      <c r="CG183" s="487"/>
      <c r="CH183" s="792">
        <f>SUM(CH177:CH179)</f>
        <v>1.2254111153759948</v>
      </c>
      <c r="CI183" s="783">
        <f t="shared" si="407"/>
        <v>28.532141688548187</v>
      </c>
      <c r="CJ183" s="487"/>
      <c r="CK183" s="487"/>
      <c r="CL183" s="792">
        <f>SUM(CL177:CL179)</f>
        <v>1.3714683262656706</v>
      </c>
      <c r="CM183" s="783">
        <f t="shared" si="408"/>
        <v>11.919037542340295</v>
      </c>
      <c r="CN183" s="499"/>
      <c r="CO183" s="487"/>
      <c r="CP183" s="792">
        <f>SUM(CP177:CP179)</f>
        <v>1.7339285899497905</v>
      </c>
      <c r="CQ183" s="783">
        <f t="shared" si="409"/>
        <v>26.428628116483878</v>
      </c>
      <c r="CR183" s="487"/>
      <c r="CS183" s="487"/>
      <c r="CT183" s="792">
        <f>SUM(CT177:CT179)</f>
        <v>2.0277002268621143</v>
      </c>
      <c r="CU183" s="783">
        <f t="shared" si="410"/>
        <v>16.942545305215283</v>
      </c>
      <c r="CV183" s="487"/>
      <c r="CW183" s="794"/>
      <c r="CX183" s="792">
        <f>SUM(CX177:CX179)</f>
        <v>2.2348768475285037</v>
      </c>
      <c r="CY183" s="783">
        <f t="shared" si="411"/>
        <v>10.217319992462448</v>
      </c>
      <c r="CZ183" s="487"/>
      <c r="DA183" s="794"/>
      <c r="DB183" s="792">
        <f>SUM(DB177:DB179)</f>
        <v>2.3507407374710332</v>
      </c>
      <c r="DC183" s="783">
        <f t="shared" si="412"/>
        <v>5.1843523311210893</v>
      </c>
      <c r="DD183" s="487"/>
      <c r="DE183" s="794"/>
      <c r="DF183" s="792">
        <f>SUM(DF177:DF179)</f>
        <v>2.5114364032972611</v>
      </c>
      <c r="DG183" s="783">
        <f t="shared" si="413"/>
        <v>6.8359586944116701</v>
      </c>
      <c r="DH183" s="487"/>
      <c r="DI183" s="794"/>
      <c r="DJ183" s="792">
        <f>SUM(DJ177:DJ179)</f>
        <v>2.6696616581151886</v>
      </c>
      <c r="DK183" s="783">
        <f t="shared" si="414"/>
        <v>6.3001895891209525</v>
      </c>
      <c r="DL183" s="487"/>
      <c r="DM183" s="794"/>
      <c r="DN183" s="792">
        <f>SUM(DN177:DN179)</f>
        <v>3.3970685014622619</v>
      </c>
      <c r="DO183" s="783">
        <f t="shared" si="415"/>
        <v>27.247154752210466</v>
      </c>
      <c r="DP183" s="487"/>
      <c r="DQ183" s="804"/>
      <c r="DR183" s="804"/>
      <c r="DS183" s="1001"/>
      <c r="DT183" s="794"/>
      <c r="DU183" s="794"/>
      <c r="DV183" s="794"/>
      <c r="DW183" s="794"/>
      <c r="DX183" s="794"/>
      <c r="DY183" s="794"/>
      <c r="DZ183" s="794"/>
      <c r="EA183" s="794"/>
      <c r="EB183" s="794"/>
    </row>
    <row r="184" spans="1:132" collapsed="1">
      <c r="A184" s="487"/>
      <c r="B184" s="487"/>
      <c r="C184" s="487"/>
      <c r="D184" s="487"/>
      <c r="E184" s="487"/>
      <c r="F184" s="487"/>
      <c r="G184" s="487"/>
      <c r="H184" s="487"/>
      <c r="I184" s="487"/>
      <c r="J184" s="487"/>
      <c r="K184" s="487"/>
      <c r="L184" s="487"/>
      <c r="M184" s="487"/>
      <c r="N184" s="487"/>
      <c r="O184" s="487"/>
      <c r="P184" s="487"/>
      <c r="Q184" s="487"/>
      <c r="R184" s="487"/>
      <c r="S184" s="487"/>
      <c r="T184" s="487"/>
      <c r="U184" s="487"/>
      <c r="V184" s="487"/>
      <c r="W184" s="487"/>
      <c r="X184" s="487"/>
      <c r="Y184" s="487"/>
      <c r="Z184" s="487"/>
      <c r="AA184" s="487"/>
      <c r="AB184" s="487"/>
      <c r="AC184" s="487"/>
      <c r="AD184" s="487"/>
      <c r="AE184" s="487"/>
      <c r="AF184" s="487"/>
      <c r="AG184" s="487"/>
      <c r="AH184" s="487"/>
      <c r="AI184" s="487"/>
      <c r="AJ184" s="487"/>
      <c r="AK184" s="487"/>
      <c r="AL184" s="487"/>
      <c r="AM184" s="487"/>
      <c r="AN184" s="487"/>
      <c r="AO184" s="487"/>
      <c r="AP184" s="487"/>
      <c r="AQ184" s="487"/>
      <c r="AR184" s="487"/>
      <c r="AS184" s="487"/>
      <c r="AT184" s="487"/>
      <c r="AU184" s="487"/>
      <c r="AV184" s="487"/>
      <c r="AW184" s="487"/>
      <c r="AX184" s="487"/>
      <c r="AY184" s="487"/>
      <c r="AZ184" s="487"/>
      <c r="BA184" s="487"/>
      <c r="BB184" s="487"/>
      <c r="BC184" s="487"/>
      <c r="BD184" s="487"/>
      <c r="BE184" s="487"/>
      <c r="BF184" s="487"/>
      <c r="BG184" s="487"/>
      <c r="BH184" s="487"/>
      <c r="BI184" s="487"/>
      <c r="BJ184" s="487"/>
      <c r="BK184" s="487"/>
      <c r="BL184" s="487"/>
      <c r="BM184" s="487"/>
      <c r="BN184" s="487"/>
      <c r="BO184" s="487"/>
      <c r="BP184" s="487"/>
      <c r="BQ184" s="487"/>
      <c r="BR184" s="487"/>
      <c r="BS184" s="487"/>
      <c r="BT184" s="487"/>
      <c r="BU184" s="487"/>
      <c r="BV184" s="792"/>
      <c r="BW184" s="948"/>
      <c r="BX184" s="487"/>
      <c r="BY184" s="487"/>
      <c r="BZ184" s="792"/>
      <c r="CA184" s="948"/>
      <c r="CB184" s="487"/>
      <c r="CC184" s="487"/>
      <c r="CD184" s="1002"/>
      <c r="CE184" s="1003"/>
      <c r="CF184" s="487"/>
      <c r="CG184" s="487"/>
      <c r="CH184" s="1002"/>
      <c r="CI184" s="558"/>
      <c r="CJ184" s="487"/>
      <c r="CK184" s="487"/>
      <c r="CL184" s="558"/>
      <c r="CM184" s="558"/>
      <c r="CN184" s="1004"/>
      <c r="CO184" s="487"/>
      <c r="CP184" s="1005"/>
      <c r="CQ184" s="558"/>
      <c r="CR184" s="1006"/>
      <c r="CS184" s="487"/>
      <c r="CT184" s="1007"/>
      <c r="CU184" s="558"/>
      <c r="CV184" s="1006"/>
      <c r="CW184" s="794"/>
      <c r="CX184" s="1007"/>
      <c r="CY184" s="558"/>
      <c r="CZ184" s="1006"/>
      <c r="DA184" s="794"/>
      <c r="DB184" s="1007"/>
      <c r="DC184" s="558"/>
      <c r="DD184" s="1006"/>
      <c r="DE184" s="794"/>
      <c r="DF184" s="1007"/>
      <c r="DG184" s="558"/>
      <c r="DH184" s="1006"/>
      <c r="DI184" s="794"/>
      <c r="DJ184" s="2094"/>
      <c r="DK184" s="558"/>
      <c r="DL184" s="1006"/>
      <c r="DM184" s="794"/>
      <c r="DN184" s="2093"/>
      <c r="DO184" s="558"/>
      <c r="DP184" s="1006"/>
      <c r="DQ184" s="1008"/>
      <c r="DR184" s="804"/>
      <c r="DS184" s="1008"/>
      <c r="DT184" s="794"/>
      <c r="DU184" s="794"/>
      <c r="DV184" s="794"/>
      <c r="DW184" s="794"/>
      <c r="DX184" s="794"/>
      <c r="DY184" s="794"/>
      <c r="DZ184" s="794"/>
      <c r="EA184" s="794"/>
      <c r="EB184" s="794"/>
    </row>
    <row r="185" spans="1:132" hidden="1" outlineLevel="1" collapsed="1">
      <c r="A185" s="487"/>
      <c r="B185" s="487"/>
      <c r="C185" s="807"/>
      <c r="D185" s="807"/>
      <c r="E185" s="809"/>
      <c r="F185" s="809" t="str">
        <f>Z185</f>
        <v>9.  Earnings Per Share from continuing operations -- Fully Diluted   (% Change)</v>
      </c>
      <c r="G185" s="811"/>
      <c r="H185" s="811"/>
      <c r="I185" s="811"/>
      <c r="J185" s="809"/>
      <c r="K185" s="811"/>
      <c r="L185" s="811"/>
      <c r="M185" s="811"/>
      <c r="N185" s="809"/>
      <c r="O185" s="811"/>
      <c r="P185" s="811"/>
      <c r="Q185" s="811"/>
      <c r="R185" s="809"/>
      <c r="S185" s="811"/>
      <c r="T185" s="811"/>
      <c r="U185" s="811"/>
      <c r="V185" s="809"/>
      <c r="W185" s="811"/>
      <c r="X185" s="811"/>
      <c r="Y185" s="487"/>
      <c r="Z185" s="809" t="s">
        <v>661</v>
      </c>
      <c r="AA185" s="811"/>
      <c r="AB185" s="811"/>
      <c r="AC185" s="811"/>
      <c r="AD185" s="809"/>
      <c r="AE185" s="811"/>
      <c r="AF185" s="811"/>
      <c r="AG185" s="811"/>
      <c r="AH185" s="809"/>
      <c r="AI185" s="811"/>
      <c r="AJ185" s="811"/>
      <c r="AK185" s="811"/>
      <c r="AL185" s="809"/>
      <c r="AM185" s="811"/>
      <c r="AN185" s="811"/>
      <c r="AO185" s="702"/>
      <c r="AP185" s="487"/>
      <c r="AQ185" s="811"/>
      <c r="AR185" s="811"/>
      <c r="AS185" s="811"/>
      <c r="AT185" s="487"/>
      <c r="AU185" s="487"/>
      <c r="AV185" s="487"/>
      <c r="AW185" s="487"/>
      <c r="AX185" s="487"/>
      <c r="AY185" s="487"/>
      <c r="AZ185" s="487"/>
      <c r="BA185" s="487"/>
      <c r="BB185" s="487"/>
      <c r="BC185" s="487"/>
      <c r="BD185" s="487"/>
      <c r="BE185" s="487"/>
      <c r="BF185" s="487"/>
      <c r="BG185" s="810"/>
      <c r="BH185" s="810"/>
      <c r="BI185" s="810"/>
      <c r="BJ185" s="810" t="s">
        <v>293</v>
      </c>
      <c r="BK185" s="810"/>
      <c r="BL185" s="810"/>
      <c r="BM185" s="810"/>
      <c r="BN185" s="810" t="s">
        <v>293</v>
      </c>
      <c r="BO185" s="810"/>
      <c r="BP185" s="810"/>
      <c r="BQ185" s="810"/>
      <c r="BR185" s="810"/>
      <c r="BS185" s="810"/>
      <c r="BT185" s="810"/>
      <c r="BU185" s="810"/>
      <c r="BV185" s="810"/>
      <c r="BW185" s="810"/>
      <c r="BX185" s="810"/>
      <c r="BY185" s="810"/>
      <c r="BZ185" s="810"/>
      <c r="CA185" s="810"/>
      <c r="CB185" s="810"/>
      <c r="CC185" s="810"/>
      <c r="CD185" s="1009"/>
      <c r="CE185" s="810"/>
      <c r="CF185" s="810"/>
      <c r="CG185" s="810"/>
      <c r="CH185" s="1009"/>
      <c r="CI185" s="810"/>
      <c r="CJ185" s="810"/>
      <c r="CK185" s="810"/>
      <c r="CL185" s="1010"/>
      <c r="CM185" s="810"/>
      <c r="CN185" s="810"/>
      <c r="CO185" s="810"/>
      <c r="CP185" s="1010"/>
      <c r="CQ185" s="810"/>
      <c r="CR185" s="810"/>
      <c r="CS185" s="810"/>
      <c r="CT185" s="1010"/>
      <c r="CU185" s="810"/>
      <c r="CV185" s="810"/>
      <c r="CW185" s="947"/>
      <c r="CX185" s="1010"/>
      <c r="CY185" s="810"/>
      <c r="CZ185" s="810"/>
      <c r="DA185" s="947"/>
      <c r="DB185" s="1010"/>
      <c r="DC185" s="810"/>
      <c r="DD185" s="810"/>
      <c r="DE185" s="947"/>
      <c r="DF185" s="1010"/>
      <c r="DG185" s="810"/>
      <c r="DH185" s="810"/>
      <c r="DI185" s="947"/>
      <c r="DJ185" s="1010"/>
      <c r="DK185" s="810"/>
      <c r="DL185" s="810"/>
      <c r="DM185" s="947"/>
      <c r="DN185" s="1010"/>
      <c r="DO185" s="810"/>
      <c r="DP185" s="810"/>
      <c r="DQ185" s="947"/>
      <c r="DR185" s="947"/>
      <c r="DS185" s="947"/>
      <c r="DT185" s="947"/>
      <c r="DU185" s="947"/>
      <c r="DV185" s="947"/>
      <c r="DW185" s="947"/>
      <c r="DX185" s="947"/>
      <c r="DY185" s="794"/>
      <c r="DZ185" s="794"/>
      <c r="EA185" s="794"/>
      <c r="EB185" s="794"/>
    </row>
    <row r="186" spans="1:132" hidden="1" outlineLevel="1">
      <c r="A186" s="487"/>
      <c r="B186" s="487"/>
      <c r="C186" s="807"/>
      <c r="D186" s="807"/>
      <c r="E186" s="809"/>
      <c r="F186" s="809"/>
      <c r="G186" s="811"/>
      <c r="H186" s="811"/>
      <c r="I186" s="811"/>
      <c r="J186" s="809"/>
      <c r="K186" s="811"/>
      <c r="L186" s="811"/>
      <c r="M186" s="811"/>
      <c r="N186" s="809"/>
      <c r="O186" s="811"/>
      <c r="P186" s="811"/>
      <c r="Q186" s="811"/>
      <c r="R186" s="809"/>
      <c r="S186" s="811"/>
      <c r="T186" s="811"/>
      <c r="U186" s="811"/>
      <c r="V186" s="809"/>
      <c r="W186" s="811"/>
      <c r="X186" s="811"/>
      <c r="Y186" s="487"/>
      <c r="Z186" s="809"/>
      <c r="AA186" s="811"/>
      <c r="AB186" s="811"/>
      <c r="AC186" s="811"/>
      <c r="AD186" s="809"/>
      <c r="AE186" s="811"/>
      <c r="AF186" s="811"/>
      <c r="AG186" s="811"/>
      <c r="AH186" s="809"/>
      <c r="AI186" s="811"/>
      <c r="AJ186" s="811"/>
      <c r="AK186" s="811"/>
      <c r="AL186" s="809"/>
      <c r="AM186" s="811"/>
      <c r="AN186" s="811"/>
      <c r="AO186" s="702"/>
      <c r="AP186" s="487"/>
      <c r="AQ186" s="811"/>
      <c r="AR186" s="811"/>
      <c r="AS186" s="811"/>
      <c r="AT186" s="487"/>
      <c r="AU186" s="487"/>
      <c r="AV186" s="487"/>
      <c r="AW186" s="487"/>
      <c r="AX186" s="487"/>
      <c r="AY186" s="487"/>
      <c r="AZ186" s="487"/>
      <c r="BA186" s="487"/>
      <c r="BB186" s="487"/>
      <c r="BC186" s="487"/>
      <c r="BD186" s="487"/>
      <c r="BE186" s="487"/>
      <c r="BF186" s="810"/>
      <c r="BG186" s="810"/>
      <c r="BH186" s="810"/>
      <c r="BI186" s="810"/>
      <c r="BJ186" s="810"/>
      <c r="BK186" s="810"/>
      <c r="BL186" s="810"/>
      <c r="BM186" s="810"/>
      <c r="BN186" s="810"/>
      <c r="BO186" s="810"/>
      <c r="BP186" s="810"/>
      <c r="BQ186" s="810"/>
      <c r="BR186" s="810"/>
      <c r="BS186" s="810"/>
      <c r="BT186" s="810"/>
      <c r="BU186" s="810"/>
      <c r="BV186" s="810"/>
      <c r="BW186" s="810"/>
      <c r="BX186" s="810"/>
      <c r="BY186" s="810"/>
      <c r="BZ186" s="810"/>
      <c r="CA186" s="810"/>
      <c r="CB186" s="810"/>
      <c r="CC186" s="810"/>
      <c r="CD186" s="1011"/>
      <c r="CE186" s="810"/>
      <c r="CF186" s="810"/>
      <c r="CG186" s="810"/>
      <c r="CH186" s="1011"/>
      <c r="CI186" s="810"/>
      <c r="CJ186" s="810"/>
      <c r="CK186" s="810"/>
      <c r="CL186" s="1012"/>
      <c r="CM186" s="810"/>
      <c r="CN186" s="810"/>
      <c r="CO186" s="810"/>
      <c r="CP186" s="1012"/>
      <c r="CQ186" s="810"/>
      <c r="CR186" s="810"/>
      <c r="CS186" s="810"/>
      <c r="CT186" s="1012"/>
      <c r="CU186" s="810"/>
      <c r="CV186" s="810"/>
      <c r="CW186" s="947"/>
      <c r="CX186" s="1012"/>
      <c r="CY186" s="810"/>
      <c r="CZ186" s="810"/>
      <c r="DA186" s="947"/>
      <c r="DB186" s="1012"/>
      <c r="DC186" s="810"/>
      <c r="DD186" s="810"/>
      <c r="DE186" s="947"/>
      <c r="DF186" s="1012"/>
      <c r="DG186" s="810"/>
      <c r="DH186" s="810"/>
      <c r="DI186" s="947"/>
      <c r="DJ186" s="1012"/>
      <c r="DK186" s="810"/>
      <c r="DL186" s="810"/>
      <c r="DM186" s="947"/>
      <c r="DN186" s="1012"/>
      <c r="DO186" s="810"/>
      <c r="DP186" s="810"/>
      <c r="DQ186" s="947"/>
      <c r="DR186" s="947"/>
      <c r="DS186" s="947"/>
      <c r="DT186" s="947"/>
      <c r="DU186" s="947"/>
      <c r="DV186" s="947"/>
      <c r="DW186" s="947"/>
      <c r="DX186" s="947"/>
      <c r="DY186" s="794"/>
      <c r="DZ186" s="794"/>
      <c r="EA186" s="794"/>
      <c r="EB186" s="794"/>
    </row>
    <row r="187" spans="1:132" hidden="1" outlineLevel="1">
      <c r="A187" s="487" t="str">
        <f>$A$10</f>
        <v>1Q</v>
      </c>
      <c r="B187" s="487" t="str">
        <f>$B$10</f>
        <v>Apr</v>
      </c>
      <c r="C187" s="487"/>
      <c r="D187" s="487"/>
      <c r="E187" s="487"/>
      <c r="F187" s="487"/>
      <c r="G187" s="487"/>
      <c r="H187" s="487"/>
      <c r="I187" s="487"/>
      <c r="J187" s="487"/>
      <c r="K187" s="487"/>
      <c r="L187" s="487"/>
      <c r="M187" s="487"/>
      <c r="N187" s="487"/>
      <c r="O187" s="487"/>
      <c r="P187" s="487"/>
      <c r="Q187" s="487"/>
      <c r="R187" s="487"/>
      <c r="S187" s="487"/>
      <c r="T187" s="487"/>
      <c r="U187" s="487"/>
      <c r="V187" s="487"/>
      <c r="W187" s="487"/>
      <c r="X187" s="487"/>
      <c r="Y187" s="487"/>
      <c r="Z187" s="487"/>
      <c r="AA187" s="487"/>
      <c r="AB187" s="487"/>
      <c r="AC187" s="487"/>
      <c r="AD187" s="487"/>
      <c r="AE187" s="487"/>
      <c r="AF187" s="487"/>
      <c r="AG187" s="487"/>
      <c r="AH187" s="487"/>
      <c r="AI187" s="487"/>
      <c r="AJ187" s="487"/>
      <c r="AK187" s="487"/>
      <c r="AL187" s="487"/>
      <c r="AM187" s="487"/>
      <c r="AN187" s="487"/>
      <c r="AO187" s="487"/>
      <c r="AP187" s="487"/>
      <c r="AQ187" s="487"/>
      <c r="AR187" s="487"/>
      <c r="AS187" s="487"/>
      <c r="AT187" s="487"/>
      <c r="AU187" s="487"/>
      <c r="AV187" s="487"/>
      <c r="AW187" s="487"/>
      <c r="AX187" s="487"/>
      <c r="AY187" s="487"/>
      <c r="AZ187" s="487"/>
      <c r="BA187" s="487"/>
      <c r="BB187" s="972" t="s">
        <v>428</v>
      </c>
      <c r="BC187" s="487"/>
      <c r="BD187" s="487"/>
      <c r="BE187" s="487"/>
      <c r="BF187" s="487"/>
      <c r="BG187" s="487"/>
      <c r="BH187" s="487"/>
      <c r="BI187" s="487"/>
      <c r="BJ187" s="756"/>
      <c r="BK187" s="879"/>
      <c r="BL187" s="487"/>
      <c r="BM187" s="487"/>
      <c r="BN187" s="867"/>
      <c r="BO187" s="487"/>
      <c r="BP187" s="487"/>
      <c r="BQ187" s="487"/>
      <c r="BR187" s="867">
        <f>BR129/BR218</f>
        <v>0.16894819486758725</v>
      </c>
      <c r="BS187" s="487"/>
      <c r="BT187" s="487"/>
      <c r="BU187" s="487"/>
      <c r="BV187" s="867">
        <f>BV129/BV218</f>
        <v>0.1733853033317807</v>
      </c>
      <c r="BW187" s="783">
        <f>IF(BR187&lt;0,"       NM",(BV187/BR187-1)*100)</f>
        <v>2.6263130349933883</v>
      </c>
      <c r="BX187" s="487"/>
      <c r="BY187" s="487"/>
      <c r="BZ187" s="867">
        <f>(BZ129)/BZ218</f>
        <v>0.21519601421844101</v>
      </c>
      <c r="CA187" s="487"/>
      <c r="CB187" s="487"/>
      <c r="CC187" s="487"/>
      <c r="CD187" s="867"/>
      <c r="CE187" s="487"/>
      <c r="CF187" s="487"/>
      <c r="CG187" s="487"/>
      <c r="CH187" s="867"/>
      <c r="CI187" s="487"/>
      <c r="CJ187" s="487"/>
      <c r="CK187" s="487"/>
      <c r="CL187" s="867"/>
      <c r="CM187" s="487"/>
      <c r="CN187" s="487"/>
      <c r="CO187" s="487"/>
      <c r="CP187" s="867"/>
      <c r="CQ187" s="487"/>
      <c r="CR187" s="487"/>
      <c r="CS187" s="487"/>
      <c r="CT187" s="867"/>
      <c r="CU187" s="487"/>
      <c r="CV187" s="487"/>
      <c r="CW187" s="794"/>
      <c r="CX187" s="867"/>
      <c r="CY187" s="487"/>
      <c r="CZ187" s="487"/>
      <c r="DA187" s="794"/>
      <c r="DB187" s="867"/>
      <c r="DC187" s="487"/>
      <c r="DD187" s="487"/>
      <c r="DE187" s="794"/>
      <c r="DF187" s="867"/>
      <c r="DG187" s="487"/>
      <c r="DH187" s="487"/>
      <c r="DI187" s="794"/>
      <c r="DJ187" s="867"/>
      <c r="DK187" s="487"/>
      <c r="DL187" s="487"/>
      <c r="DM187" s="794"/>
      <c r="DN187" s="867"/>
      <c r="DO187" s="487"/>
      <c r="DP187" s="487"/>
      <c r="DQ187" s="1013"/>
      <c r="DR187" s="794"/>
      <c r="DS187" s="794"/>
      <c r="DT187" s="794"/>
      <c r="DU187" s="794"/>
      <c r="DV187" s="794"/>
      <c r="DW187" s="794"/>
      <c r="DX187" s="794"/>
      <c r="DY187" s="794"/>
      <c r="DZ187" s="794"/>
      <c r="EA187" s="794"/>
      <c r="EB187" s="794"/>
    </row>
    <row r="188" spans="1:132" hidden="1" outlineLevel="1">
      <c r="A188" s="487" t="str">
        <f>$A$11</f>
        <v>2Q</v>
      </c>
      <c r="B188" s="487" t="str">
        <f>$B$11</f>
        <v>Jul</v>
      </c>
      <c r="C188" s="487"/>
      <c r="D188" s="867"/>
      <c r="E188" s="487"/>
      <c r="F188" s="867"/>
      <c r="G188" s="783"/>
      <c r="H188" s="487"/>
      <c r="I188" s="487"/>
      <c r="J188" s="867"/>
      <c r="K188" s="783"/>
      <c r="L188" s="487"/>
      <c r="M188" s="487"/>
      <c r="N188" s="867"/>
      <c r="O188" s="783"/>
      <c r="P188" s="487"/>
      <c r="Q188" s="487"/>
      <c r="R188" s="867"/>
      <c r="S188" s="783"/>
      <c r="T188" s="487"/>
      <c r="U188" s="487"/>
      <c r="V188" s="867"/>
      <c r="W188" s="783"/>
      <c r="X188" s="487"/>
      <c r="Y188" s="487"/>
      <c r="Z188" s="867"/>
      <c r="AA188" s="783"/>
      <c r="AB188" s="487"/>
      <c r="AC188" s="487"/>
      <c r="AD188" s="867"/>
      <c r="AE188" s="783"/>
      <c r="AF188" s="487"/>
      <c r="AG188" s="487"/>
      <c r="AH188" s="867"/>
      <c r="AI188" s="783"/>
      <c r="AJ188" s="487"/>
      <c r="AK188" s="487"/>
      <c r="AL188" s="867"/>
      <c r="AM188" s="783"/>
      <c r="AN188" s="487"/>
      <c r="AO188" s="487"/>
      <c r="AP188" s="867"/>
      <c r="AQ188" s="783"/>
      <c r="AR188" s="487"/>
      <c r="AS188" s="487"/>
      <c r="AT188" s="867"/>
      <c r="AU188" s="783"/>
      <c r="AV188" s="487"/>
      <c r="AW188" s="487"/>
      <c r="AX188" s="867"/>
      <c r="AY188" s="783"/>
      <c r="AZ188" s="487"/>
      <c r="BA188" s="487"/>
      <c r="BB188" s="867"/>
      <c r="BC188" s="783"/>
      <c r="BD188" s="487"/>
      <c r="BE188" s="487"/>
      <c r="BF188" s="867"/>
      <c r="BG188" s="783"/>
      <c r="BH188" s="974"/>
      <c r="BI188" s="487"/>
      <c r="BJ188" s="867"/>
      <c r="BK188" s="783"/>
      <c r="BL188" s="867"/>
      <c r="BM188" s="487"/>
      <c r="BN188" s="867"/>
      <c r="BO188" s="783"/>
      <c r="BP188" s="867"/>
      <c r="BQ188" s="487"/>
      <c r="BR188" s="792">
        <f>(BR130+BR241)/BR219</f>
        <v>0.14658366231399964</v>
      </c>
      <c r="BS188" s="783"/>
      <c r="BT188" s="867"/>
      <c r="BU188" s="487"/>
      <c r="BV188" s="792">
        <f>(BV130+BV241)/BV219</f>
        <v>6.5886907138736864E-2</v>
      </c>
      <c r="BW188" s="783">
        <f>IF(BR188&lt;0,"       NM",(BV188/BR188-1)*100)</f>
        <v>-55.051670766964953</v>
      </c>
      <c r="BX188" s="867"/>
      <c r="BY188" s="867"/>
      <c r="BZ188" s="867"/>
      <c r="CA188" s="783"/>
      <c r="CB188" s="867"/>
      <c r="CC188" s="867"/>
      <c r="CD188" s="867"/>
      <c r="CE188" s="783"/>
      <c r="CF188" s="867"/>
      <c r="CG188" s="867"/>
      <c r="CH188" s="754"/>
      <c r="CI188" s="783"/>
      <c r="CJ188" s="867"/>
      <c r="CK188" s="867"/>
      <c r="CL188" s="754"/>
      <c r="CM188" s="783"/>
      <c r="CN188" s="867"/>
      <c r="CO188" s="867"/>
      <c r="CP188" s="754"/>
      <c r="CQ188" s="783"/>
      <c r="CR188" s="867"/>
      <c r="CS188" s="867"/>
      <c r="CT188" s="754"/>
      <c r="CU188" s="783"/>
      <c r="CV188" s="867"/>
      <c r="CW188" s="1014"/>
      <c r="CX188" s="754"/>
      <c r="CY188" s="783"/>
      <c r="CZ188" s="867"/>
      <c r="DA188" s="1014"/>
      <c r="DB188" s="754"/>
      <c r="DC188" s="783"/>
      <c r="DD188" s="867"/>
      <c r="DE188" s="1014"/>
      <c r="DF188" s="754"/>
      <c r="DG188" s="783"/>
      <c r="DH188" s="867"/>
      <c r="DI188" s="1014"/>
      <c r="DJ188" s="754"/>
      <c r="DK188" s="783"/>
      <c r="DL188" s="867"/>
      <c r="DM188" s="1014"/>
      <c r="DN188" s="754"/>
      <c r="DO188" s="783"/>
      <c r="DP188" s="867"/>
      <c r="DQ188" s="1001"/>
      <c r="DR188" s="794"/>
      <c r="DS188" s="1015"/>
      <c r="DT188" s="983"/>
      <c r="DU188" s="889"/>
      <c r="DV188" s="794"/>
      <c r="DW188" s="794"/>
      <c r="DX188" s="794"/>
      <c r="DY188" s="794"/>
      <c r="DZ188" s="794"/>
      <c r="EA188" s="978"/>
      <c r="EB188" s="794"/>
    </row>
    <row r="189" spans="1:132" hidden="1" outlineLevel="1">
      <c r="A189" s="487" t="str">
        <f>$A$12</f>
        <v>3Q</v>
      </c>
      <c r="B189" s="487" t="str">
        <f>$B$12</f>
        <v>Oct</v>
      </c>
      <c r="C189" s="487"/>
      <c r="D189" s="792"/>
      <c r="E189" s="487"/>
      <c r="F189" s="792"/>
      <c r="G189" s="783"/>
      <c r="H189" s="487"/>
      <c r="I189" s="487"/>
      <c r="J189" s="792"/>
      <c r="K189" s="783"/>
      <c r="L189" s="487"/>
      <c r="M189" s="487"/>
      <c r="N189" s="792"/>
      <c r="O189" s="783"/>
      <c r="P189" s="487"/>
      <c r="Q189" s="487"/>
      <c r="R189" s="792"/>
      <c r="S189" s="783"/>
      <c r="T189" s="487"/>
      <c r="U189" s="487"/>
      <c r="V189" s="792"/>
      <c r="W189" s="783"/>
      <c r="X189" s="487"/>
      <c r="Y189" s="487"/>
      <c r="Z189" s="792"/>
      <c r="AA189" s="783"/>
      <c r="AB189" s="487"/>
      <c r="AC189" s="487"/>
      <c r="AD189" s="792"/>
      <c r="AE189" s="783"/>
      <c r="AF189" s="487"/>
      <c r="AG189" s="487"/>
      <c r="AH189" s="792"/>
      <c r="AI189" s="783"/>
      <c r="AJ189" s="487"/>
      <c r="AK189" s="487"/>
      <c r="AL189" s="792"/>
      <c r="AM189" s="783"/>
      <c r="AN189" s="487"/>
      <c r="AO189" s="487"/>
      <c r="AP189" s="792"/>
      <c r="AQ189" s="783"/>
      <c r="AR189" s="487"/>
      <c r="AS189" s="487"/>
      <c r="AT189" s="792"/>
      <c r="AU189" s="783"/>
      <c r="AV189" s="487"/>
      <c r="AW189" s="487"/>
      <c r="AX189" s="792"/>
      <c r="AY189" s="783"/>
      <c r="AZ189" s="487"/>
      <c r="BA189" s="487"/>
      <c r="BB189" s="792"/>
      <c r="BC189" s="783"/>
      <c r="BD189" s="487"/>
      <c r="BE189" s="487"/>
      <c r="BF189" s="792"/>
      <c r="BG189" s="783"/>
      <c r="BH189" s="974"/>
      <c r="BI189" s="487"/>
      <c r="BJ189" s="792"/>
      <c r="BK189" s="783"/>
      <c r="BL189" s="867"/>
      <c r="BM189" s="487"/>
      <c r="BN189" s="792"/>
      <c r="BO189" s="783"/>
      <c r="BP189" s="867"/>
      <c r="BQ189" s="487"/>
      <c r="BR189" s="792">
        <f>(BR131+BR242)/BR220</f>
        <v>0.24187623994224799</v>
      </c>
      <c r="BS189" s="783"/>
      <c r="BT189" s="974"/>
      <c r="BU189" s="487"/>
      <c r="BV189" s="792">
        <f>(BV131+BV242)/BV220</f>
        <v>0.27170885231220959</v>
      </c>
      <c r="BW189" s="783">
        <f>IF(BR189&lt;0,"       NM",(BV189/BR189-1)*100)</f>
        <v>12.333833359194202</v>
      </c>
      <c r="BX189" s="974"/>
      <c r="BY189" s="974"/>
      <c r="BZ189" s="792"/>
      <c r="CA189" s="783"/>
      <c r="CB189" s="974"/>
      <c r="CC189" s="974"/>
      <c r="CD189" s="792"/>
      <c r="CE189" s="783"/>
      <c r="CF189" s="974"/>
      <c r="CG189" s="974"/>
      <c r="CH189" s="792"/>
      <c r="CI189" s="783"/>
      <c r="CJ189" s="974"/>
      <c r="CK189" s="974"/>
      <c r="CL189" s="792"/>
      <c r="CM189" s="783"/>
      <c r="CN189" s="974"/>
      <c r="CO189" s="974"/>
      <c r="CP189" s="792"/>
      <c r="CQ189" s="783"/>
      <c r="CR189" s="974"/>
      <c r="CS189" s="974"/>
      <c r="CT189" s="792"/>
      <c r="CU189" s="783"/>
      <c r="CV189" s="974"/>
      <c r="CW189" s="885"/>
      <c r="CX189" s="792"/>
      <c r="CY189" s="783"/>
      <c r="CZ189" s="974"/>
      <c r="DA189" s="885"/>
      <c r="DB189" s="792"/>
      <c r="DC189" s="783"/>
      <c r="DD189" s="974"/>
      <c r="DE189" s="885"/>
      <c r="DF189" s="792"/>
      <c r="DG189" s="783"/>
      <c r="DH189" s="974"/>
      <c r="DI189" s="885"/>
      <c r="DJ189" s="792"/>
      <c r="DK189" s="783"/>
      <c r="DL189" s="974"/>
      <c r="DM189" s="885"/>
      <c r="DN189" s="792"/>
      <c r="DO189" s="783"/>
      <c r="DP189" s="974"/>
      <c r="DQ189" s="1001"/>
      <c r="DR189" s="794"/>
      <c r="DS189" s="1015"/>
      <c r="DT189" s="983"/>
      <c r="DU189" s="889"/>
      <c r="DV189" s="794"/>
      <c r="DW189" s="794"/>
      <c r="DX189" s="794"/>
      <c r="DY189" s="794"/>
      <c r="DZ189" s="794"/>
      <c r="EA189" s="794"/>
      <c r="EB189" s="794"/>
    </row>
    <row r="190" spans="1:132" ht="15" hidden="1" outlineLevel="1">
      <c r="A190" s="499" t="str">
        <f>$A$13</f>
        <v>4Q</v>
      </c>
      <c r="B190" s="499" t="str">
        <f>$B$13</f>
        <v>Jan</v>
      </c>
      <c r="C190" s="487"/>
      <c r="D190" s="792"/>
      <c r="E190" s="487"/>
      <c r="F190" s="792"/>
      <c r="G190" s="783"/>
      <c r="H190" s="487"/>
      <c r="I190" s="487"/>
      <c r="J190" s="792"/>
      <c r="K190" s="783"/>
      <c r="L190" s="487"/>
      <c r="M190" s="487"/>
      <c r="N190" s="792"/>
      <c r="O190" s="783"/>
      <c r="P190" s="487"/>
      <c r="Q190" s="487"/>
      <c r="R190" s="792"/>
      <c r="S190" s="783"/>
      <c r="T190" s="487"/>
      <c r="U190" s="487"/>
      <c r="V190" s="792"/>
      <c r="W190" s="783"/>
      <c r="X190" s="487"/>
      <c r="Y190" s="487"/>
      <c r="Z190" s="792"/>
      <c r="AA190" s="783"/>
      <c r="AB190" s="487"/>
      <c r="AC190" s="487"/>
      <c r="AD190" s="792"/>
      <c r="AE190" s="783"/>
      <c r="AF190" s="487"/>
      <c r="AG190" s="487"/>
      <c r="AH190" s="792"/>
      <c r="AI190" s="783"/>
      <c r="AJ190" s="487"/>
      <c r="AK190" s="487"/>
      <c r="AL190" s="792"/>
      <c r="AM190" s="783"/>
      <c r="AN190" s="487"/>
      <c r="AO190" s="487"/>
      <c r="AP190" s="792"/>
      <c r="AQ190" s="783"/>
      <c r="AR190" s="487"/>
      <c r="AS190" s="487"/>
      <c r="AT190" s="792"/>
      <c r="AU190" s="783"/>
      <c r="AV190" s="487"/>
      <c r="AW190" s="487"/>
      <c r="AX190" s="792"/>
      <c r="AY190" s="783"/>
      <c r="AZ190" s="487"/>
      <c r="BA190" s="487"/>
      <c r="BB190" s="792"/>
      <c r="BC190" s="783"/>
      <c r="BD190" s="487"/>
      <c r="BE190" s="487"/>
      <c r="BF190" s="792"/>
      <c r="BG190" s="783"/>
      <c r="BH190" s="974"/>
      <c r="BI190" s="487"/>
      <c r="BJ190" s="792"/>
      <c r="BK190" s="783"/>
      <c r="BL190" s="867"/>
      <c r="BM190" s="487"/>
      <c r="BN190" s="792"/>
      <c r="BO190" s="783"/>
      <c r="BP190" s="867"/>
      <c r="BQ190" s="792"/>
      <c r="BR190" s="990">
        <f>(BR132+BR242)/BR221</f>
        <v>0.25525385071543033</v>
      </c>
      <c r="BS190" s="783"/>
      <c r="BT190" s="562"/>
      <c r="BU190" s="985"/>
      <c r="BV190" s="990">
        <f>(BV132+BV242)/BV221</f>
        <v>0.33437909700389828</v>
      </c>
      <c r="BW190" s="783">
        <f>IF(BR190&lt;0,"       NM",(BV190/BR190-1)*100)</f>
        <v>30.998649409869515</v>
      </c>
      <c r="BX190" s="867"/>
      <c r="BY190" s="487"/>
      <c r="BZ190" s="792"/>
      <c r="CA190" s="783"/>
      <c r="CB190" s="487"/>
      <c r="CC190" s="487"/>
      <c r="CD190" s="792"/>
      <c r="CE190" s="783"/>
      <c r="CF190" s="487"/>
      <c r="CG190" s="487"/>
      <c r="CH190" s="792"/>
      <c r="CI190" s="783"/>
      <c r="CJ190" s="487"/>
      <c r="CK190" s="487"/>
      <c r="CL190" s="792"/>
      <c r="CM190" s="783"/>
      <c r="CN190" s="487"/>
      <c r="CO190" s="487"/>
      <c r="CP190" s="792"/>
      <c r="CQ190" s="783"/>
      <c r="CR190" s="487"/>
      <c r="CS190" s="487"/>
      <c r="CT190" s="792"/>
      <c r="CU190" s="783"/>
      <c r="CV190" s="487"/>
      <c r="CW190" s="978"/>
      <c r="CX190" s="792"/>
      <c r="CY190" s="783"/>
      <c r="CZ190" s="487"/>
      <c r="DA190" s="978"/>
      <c r="DB190" s="792"/>
      <c r="DC190" s="783"/>
      <c r="DD190" s="487"/>
      <c r="DE190" s="978"/>
      <c r="DF190" s="792"/>
      <c r="DG190" s="783"/>
      <c r="DH190" s="487"/>
      <c r="DI190" s="978"/>
      <c r="DJ190" s="792"/>
      <c r="DK190" s="783"/>
      <c r="DL190" s="487"/>
      <c r="DM190" s="978"/>
      <c r="DN190" s="792"/>
      <c r="DO190" s="783"/>
      <c r="DP190" s="487"/>
      <c r="DQ190" s="1016"/>
      <c r="DR190" s="794"/>
      <c r="DS190" s="1015"/>
      <c r="DT190" s="983"/>
      <c r="DU190" s="889"/>
      <c r="DV190" s="794"/>
      <c r="DW190" s="794"/>
      <c r="DX190" s="794"/>
      <c r="DY190" s="794"/>
      <c r="DZ190" s="794"/>
      <c r="EA190" s="794"/>
      <c r="EB190" s="794"/>
    </row>
    <row r="191" spans="1:132" ht="15" hidden="1" outlineLevel="1">
      <c r="A191" s="487"/>
      <c r="B191" s="487" t="str">
        <f>$B$14</f>
        <v>Year</v>
      </c>
      <c r="C191" s="499"/>
      <c r="D191" s="1017"/>
      <c r="E191" s="499"/>
      <c r="F191" s="1017"/>
      <c r="G191" s="910"/>
      <c r="H191" s="499"/>
      <c r="I191" s="499"/>
      <c r="J191" s="1017"/>
      <c r="K191" s="910"/>
      <c r="L191" s="499"/>
      <c r="M191" s="499"/>
      <c r="N191" s="1017"/>
      <c r="O191" s="910"/>
      <c r="P191" s="499"/>
      <c r="Q191" s="499"/>
      <c r="R191" s="1017"/>
      <c r="S191" s="910"/>
      <c r="T191" s="499"/>
      <c r="U191" s="499"/>
      <c r="V191" s="1017"/>
      <c r="W191" s="910"/>
      <c r="X191" s="499"/>
      <c r="Y191" s="499"/>
      <c r="Z191" s="1017"/>
      <c r="AA191" s="910"/>
      <c r="AB191" s="499"/>
      <c r="AC191" s="499"/>
      <c r="AD191" s="1017"/>
      <c r="AE191" s="910"/>
      <c r="AF191" s="499"/>
      <c r="AG191" s="499"/>
      <c r="AH191" s="1017"/>
      <c r="AI191" s="910"/>
      <c r="AJ191" s="499"/>
      <c r="AK191" s="499"/>
      <c r="AL191" s="1017"/>
      <c r="AM191" s="910"/>
      <c r="AN191" s="499"/>
      <c r="AO191" s="499"/>
      <c r="AP191" s="1017"/>
      <c r="AQ191" s="910"/>
      <c r="AR191" s="499"/>
      <c r="AS191" s="499"/>
      <c r="AT191" s="1017"/>
      <c r="AU191" s="910"/>
      <c r="AV191" s="499"/>
      <c r="AW191" s="499"/>
      <c r="AX191" s="1017"/>
      <c r="AY191" s="910"/>
      <c r="AZ191" s="499"/>
      <c r="BA191" s="499"/>
      <c r="BB191" s="1017"/>
      <c r="BC191" s="910"/>
      <c r="BD191" s="499"/>
      <c r="BE191" s="499"/>
      <c r="BF191" s="1017"/>
      <c r="BG191" s="910"/>
      <c r="BH191" s="1018"/>
      <c r="BI191" s="499"/>
      <c r="BJ191" s="1017"/>
      <c r="BK191" s="910"/>
      <c r="BL191" s="1019"/>
      <c r="BM191" s="499"/>
      <c r="BN191" s="1017"/>
      <c r="BO191" s="910"/>
      <c r="BP191" s="1019"/>
      <c r="BQ191" s="1017"/>
      <c r="BR191" s="867">
        <f>(BR133+BR243)/BR222</f>
        <v>0.81216969242466919</v>
      </c>
      <c r="BS191" s="910"/>
      <c r="BT191" s="499"/>
      <c r="BU191" s="1020"/>
      <c r="BV191" s="867">
        <f>(BV133+BV243)/BV222</f>
        <v>0.83905433440302857</v>
      </c>
      <c r="BW191" s="783">
        <f>IF(BR191&lt;0,"       NM",(BV191/BR191-1)*100)</f>
        <v>3.3102247263250284</v>
      </c>
      <c r="BX191" s="1019"/>
      <c r="BY191" s="499"/>
      <c r="BZ191" s="1021"/>
      <c r="CA191" s="910"/>
      <c r="CB191" s="499"/>
      <c r="CC191" s="499"/>
      <c r="CD191" s="1021"/>
      <c r="CE191" s="910"/>
      <c r="CF191" s="499"/>
      <c r="CG191" s="499"/>
      <c r="CH191" s="1021"/>
      <c r="CI191" s="910"/>
      <c r="CJ191" s="499"/>
      <c r="CK191" s="499"/>
      <c r="CL191" s="1021"/>
      <c r="CM191" s="910"/>
      <c r="CN191" s="499"/>
      <c r="CO191" s="499"/>
      <c r="CP191" s="1021"/>
      <c r="CQ191" s="910"/>
      <c r="CR191" s="499"/>
      <c r="CS191" s="499"/>
      <c r="CT191" s="1021"/>
      <c r="CU191" s="910"/>
      <c r="CV191" s="499"/>
      <c r="CW191" s="804"/>
      <c r="CX191" s="1021"/>
      <c r="CY191" s="910"/>
      <c r="CZ191" s="499"/>
      <c r="DA191" s="804"/>
      <c r="DB191" s="1021"/>
      <c r="DC191" s="910"/>
      <c r="DD191" s="499"/>
      <c r="DE191" s="804"/>
      <c r="DF191" s="1021"/>
      <c r="DG191" s="910"/>
      <c r="DH191" s="499"/>
      <c r="DI191" s="804"/>
      <c r="DJ191" s="1021"/>
      <c r="DK191" s="910"/>
      <c r="DL191" s="499"/>
      <c r="DM191" s="804"/>
      <c r="DN191" s="1021"/>
      <c r="DO191" s="910"/>
      <c r="DP191" s="499"/>
      <c r="DQ191" s="1016"/>
      <c r="DR191" s="804"/>
      <c r="DS191" s="1015"/>
      <c r="DT191" s="997"/>
      <c r="DU191" s="804"/>
      <c r="DV191" s="804"/>
      <c r="DW191" s="804"/>
      <c r="DX191" s="804"/>
      <c r="DY191" s="804"/>
      <c r="DZ191" s="804"/>
      <c r="EA191" s="804"/>
      <c r="EB191" s="804"/>
    </row>
    <row r="192" spans="1:132" ht="15" hidden="1" outlineLevel="2">
      <c r="A192" s="487" t="str">
        <f>$A$15</f>
        <v>6 Mos</v>
      </c>
      <c r="B192" s="487"/>
      <c r="C192" s="487"/>
      <c r="D192" s="867"/>
      <c r="E192" s="487"/>
      <c r="F192" s="867"/>
      <c r="G192" s="783"/>
      <c r="H192" s="487"/>
      <c r="I192" s="487"/>
      <c r="J192" s="867"/>
      <c r="K192" s="783"/>
      <c r="L192" s="487"/>
      <c r="M192" s="487"/>
      <c r="N192" s="867"/>
      <c r="O192" s="783"/>
      <c r="P192" s="487"/>
      <c r="Q192" s="487"/>
      <c r="R192" s="867"/>
      <c r="S192" s="783"/>
      <c r="T192" s="487"/>
      <c r="U192" s="487"/>
      <c r="V192" s="867"/>
      <c r="W192" s="783"/>
      <c r="X192" s="487"/>
      <c r="Y192" s="487"/>
      <c r="Z192" s="867"/>
      <c r="AA192" s="783"/>
      <c r="AB192" s="487"/>
      <c r="AC192" s="487"/>
      <c r="AD192" s="867"/>
      <c r="AE192" s="783"/>
      <c r="AF192" s="487"/>
      <c r="AG192" s="487"/>
      <c r="AH192" s="867"/>
      <c r="AI192" s="783"/>
      <c r="AJ192" s="487"/>
      <c r="AK192" s="487"/>
      <c r="AL192" s="867"/>
      <c r="AM192" s="783"/>
      <c r="AN192" s="487"/>
      <c r="AO192" s="487"/>
      <c r="AP192" s="867"/>
      <c r="AQ192" s="783"/>
      <c r="AR192" s="487"/>
      <c r="AS192" s="487"/>
      <c r="AT192" s="867"/>
      <c r="AU192" s="783"/>
      <c r="AV192" s="487"/>
      <c r="AW192" s="487"/>
      <c r="AX192" s="867"/>
      <c r="AY192" s="783"/>
      <c r="AZ192" s="487"/>
      <c r="BA192" s="487"/>
      <c r="BB192" s="867"/>
      <c r="BC192" s="783"/>
      <c r="BD192" s="487"/>
      <c r="BE192" s="487"/>
      <c r="BF192" s="867"/>
      <c r="BG192" s="783"/>
      <c r="BH192" s="974"/>
      <c r="BI192" s="487"/>
      <c r="BJ192" s="867"/>
      <c r="BK192" s="783"/>
      <c r="BL192" s="867"/>
      <c r="BM192" s="487"/>
      <c r="BN192" s="867"/>
      <c r="BO192" s="783"/>
      <c r="BP192" s="867"/>
      <c r="BQ192" s="867"/>
      <c r="BR192" s="867"/>
      <c r="BS192" s="783"/>
      <c r="BT192" s="948"/>
      <c r="BU192" s="989"/>
      <c r="BV192" s="867"/>
      <c r="BW192" s="783"/>
      <c r="BX192" s="487"/>
      <c r="BY192" s="487"/>
      <c r="BZ192" s="867"/>
      <c r="CA192" s="783"/>
      <c r="CB192" s="487"/>
      <c r="CC192" s="487"/>
      <c r="CD192" s="867"/>
      <c r="CE192" s="783"/>
      <c r="CF192" s="487"/>
      <c r="CG192" s="487"/>
      <c r="CH192" s="867"/>
      <c r="CI192" s="783"/>
      <c r="CJ192" s="487"/>
      <c r="CK192" s="487"/>
      <c r="CL192" s="867"/>
      <c r="CM192" s="783"/>
      <c r="CN192" s="487"/>
      <c r="CO192" s="487"/>
      <c r="CP192" s="867"/>
      <c r="CQ192" s="783"/>
      <c r="CR192" s="487"/>
      <c r="CS192" s="487"/>
      <c r="CT192" s="867"/>
      <c r="CU192" s="783"/>
      <c r="CV192" s="487"/>
      <c r="CW192" s="794"/>
      <c r="CX192" s="867"/>
      <c r="CY192" s="783"/>
      <c r="CZ192" s="487"/>
      <c r="DA192" s="794"/>
      <c r="DB192" s="867"/>
      <c r="DC192" s="783"/>
      <c r="DD192" s="487"/>
      <c r="DE192" s="794"/>
      <c r="DF192" s="867"/>
      <c r="DG192" s="783"/>
      <c r="DH192" s="487"/>
      <c r="DI192" s="794"/>
      <c r="DJ192" s="867"/>
      <c r="DK192" s="783"/>
      <c r="DL192" s="487"/>
      <c r="DM192" s="794"/>
      <c r="DN192" s="867"/>
      <c r="DO192" s="783"/>
      <c r="DP192" s="487"/>
      <c r="DQ192" s="1016"/>
      <c r="DR192" s="794"/>
      <c r="DS192" s="1016"/>
      <c r="DT192" s="997"/>
      <c r="DU192" s="794"/>
      <c r="DV192" s="794"/>
      <c r="DW192" s="794"/>
      <c r="DX192" s="794"/>
      <c r="DY192" s="794"/>
      <c r="DZ192" s="794"/>
      <c r="EA192" s="794"/>
      <c r="EB192" s="794"/>
    </row>
    <row r="193" spans="1:132" hidden="1" outlineLevel="2">
      <c r="A193" s="487" t="str">
        <f>$A$16</f>
        <v>9 Mos</v>
      </c>
      <c r="B193" s="487"/>
      <c r="C193" s="487"/>
      <c r="D193" s="792"/>
      <c r="E193" s="487"/>
      <c r="F193" s="792"/>
      <c r="G193" s="783"/>
      <c r="H193" s="487"/>
      <c r="I193" s="487"/>
      <c r="J193" s="792"/>
      <c r="K193" s="783"/>
      <c r="L193" s="487"/>
      <c r="M193" s="487"/>
      <c r="N193" s="792"/>
      <c r="O193" s="783"/>
      <c r="P193" s="487"/>
      <c r="Q193" s="487"/>
      <c r="R193" s="792"/>
      <c r="S193" s="783"/>
      <c r="T193" s="487"/>
      <c r="U193" s="487"/>
      <c r="V193" s="792"/>
      <c r="W193" s="783"/>
      <c r="X193" s="487"/>
      <c r="Y193" s="487"/>
      <c r="Z193" s="792"/>
      <c r="AA193" s="783"/>
      <c r="AB193" s="487"/>
      <c r="AC193" s="487"/>
      <c r="AD193" s="792"/>
      <c r="AE193" s="783"/>
      <c r="AF193" s="487"/>
      <c r="AG193" s="487"/>
      <c r="AH193" s="792"/>
      <c r="AI193" s="783"/>
      <c r="AJ193" s="487"/>
      <c r="AK193" s="487"/>
      <c r="AL193" s="792"/>
      <c r="AM193" s="783"/>
      <c r="AN193" s="487"/>
      <c r="AO193" s="487"/>
      <c r="AP193" s="792"/>
      <c r="AQ193" s="783"/>
      <c r="AR193" s="487"/>
      <c r="AS193" s="487"/>
      <c r="AT193" s="792"/>
      <c r="AU193" s="783"/>
      <c r="AV193" s="487"/>
      <c r="AW193" s="487"/>
      <c r="AX193" s="792"/>
      <c r="AY193" s="783"/>
      <c r="AZ193" s="487"/>
      <c r="BA193" s="487"/>
      <c r="BB193" s="792"/>
      <c r="BC193" s="783"/>
      <c r="BD193" s="487"/>
      <c r="BE193" s="487"/>
      <c r="BF193" s="792"/>
      <c r="BG193" s="783"/>
      <c r="BH193" s="487"/>
      <c r="BI193" s="487"/>
      <c r="BJ193" s="792"/>
      <c r="BK193" s="783"/>
      <c r="BL193" s="487"/>
      <c r="BM193" s="487"/>
      <c r="BN193" s="792"/>
      <c r="BO193" s="783"/>
      <c r="BP193" s="487"/>
      <c r="BQ193" s="487"/>
      <c r="BR193" s="792"/>
      <c r="BS193" s="783"/>
      <c r="BT193" s="487"/>
      <c r="BU193" s="487"/>
      <c r="BV193" s="792"/>
      <c r="BW193" s="783"/>
      <c r="BX193" s="487"/>
      <c r="BY193" s="487"/>
      <c r="BZ193" s="792"/>
      <c r="CA193" s="783"/>
      <c r="CB193" s="487"/>
      <c r="CC193" s="487"/>
      <c r="CD193" s="792"/>
      <c r="CE193" s="783"/>
      <c r="CF193" s="487"/>
      <c r="CG193" s="487"/>
      <c r="CH193" s="792"/>
      <c r="CI193" s="783"/>
      <c r="CJ193" s="487"/>
      <c r="CK193" s="487"/>
      <c r="CL193" s="792"/>
      <c r="CM193" s="783"/>
      <c r="CN193" s="487"/>
      <c r="CO193" s="487"/>
      <c r="CP193" s="792"/>
      <c r="CQ193" s="783"/>
      <c r="CR193" s="487"/>
      <c r="CS193" s="487"/>
      <c r="CT193" s="792"/>
      <c r="CU193" s="783"/>
      <c r="CV193" s="487"/>
      <c r="CW193" s="794"/>
      <c r="CX193" s="792"/>
      <c r="CY193" s="783"/>
      <c r="CZ193" s="487"/>
      <c r="DA193" s="794"/>
      <c r="DB193" s="792"/>
      <c r="DC193" s="783"/>
      <c r="DD193" s="487"/>
      <c r="DE193" s="794"/>
      <c r="DF193" s="792"/>
      <c r="DG193" s="783"/>
      <c r="DH193" s="487"/>
      <c r="DI193" s="794"/>
      <c r="DJ193" s="792"/>
      <c r="DK193" s="783"/>
      <c r="DL193" s="487"/>
      <c r="DM193" s="794"/>
      <c r="DN193" s="792"/>
      <c r="DO193" s="783"/>
      <c r="DP193" s="487"/>
      <c r="DQ193" s="804"/>
      <c r="DR193" s="794"/>
      <c r="DS193" s="794"/>
      <c r="DT193" s="794"/>
      <c r="DU193" s="794"/>
      <c r="DV193" s="794"/>
      <c r="DW193" s="794"/>
      <c r="DX193" s="794"/>
      <c r="DY193" s="794"/>
      <c r="DZ193" s="794"/>
      <c r="EA193" s="794"/>
      <c r="EB193" s="794"/>
    </row>
    <row r="194" spans="1:132" hidden="1" outlineLevel="1" collapsed="1">
      <c r="A194" s="487"/>
      <c r="B194" s="487"/>
      <c r="C194" s="487"/>
      <c r="D194" s="792"/>
      <c r="E194" s="487"/>
      <c r="F194" s="792"/>
      <c r="G194" s="783"/>
      <c r="H194" s="487"/>
      <c r="I194" s="487"/>
      <c r="J194" s="792"/>
      <c r="K194" s="783"/>
      <c r="L194" s="487"/>
      <c r="M194" s="487"/>
      <c r="N194" s="792"/>
      <c r="O194" s="783"/>
      <c r="P194" s="487"/>
      <c r="Q194" s="487"/>
      <c r="R194" s="792"/>
      <c r="S194" s="783"/>
      <c r="T194" s="487"/>
      <c r="U194" s="487"/>
      <c r="V194" s="792"/>
      <c r="W194" s="783"/>
      <c r="X194" s="487"/>
      <c r="Y194" s="487"/>
      <c r="Z194" s="792"/>
      <c r="AA194" s="783"/>
      <c r="AB194" s="487"/>
      <c r="AC194" s="487"/>
      <c r="AD194" s="792"/>
      <c r="AE194" s="783"/>
      <c r="AF194" s="487"/>
      <c r="AG194" s="487"/>
      <c r="AH194" s="792"/>
      <c r="AI194" s="783"/>
      <c r="AJ194" s="487"/>
      <c r="AK194" s="487"/>
      <c r="AL194" s="792"/>
      <c r="AM194" s="783"/>
      <c r="AN194" s="487"/>
      <c r="AO194" s="487"/>
      <c r="AP194" s="792"/>
      <c r="AQ194" s="783"/>
      <c r="AR194" s="487"/>
      <c r="AS194" s="487"/>
      <c r="AT194" s="792"/>
      <c r="AU194" s="783"/>
      <c r="AV194" s="487"/>
      <c r="AW194" s="487"/>
      <c r="AX194" s="792"/>
      <c r="AY194" s="783"/>
      <c r="AZ194" s="487"/>
      <c r="BA194" s="487"/>
      <c r="BB194" s="792"/>
      <c r="BC194" s="783"/>
      <c r="BD194" s="487"/>
      <c r="BE194" s="487"/>
      <c r="BF194" s="792"/>
      <c r="BG194" s="783"/>
      <c r="BH194" s="487"/>
      <c r="BI194" s="487"/>
      <c r="BJ194" s="792"/>
      <c r="BK194" s="783"/>
      <c r="BL194" s="487"/>
      <c r="BM194" s="487"/>
      <c r="BN194" s="792"/>
      <c r="BO194" s="783"/>
      <c r="BP194" s="487"/>
      <c r="BQ194" s="487"/>
      <c r="BR194" s="792"/>
      <c r="BS194" s="783"/>
      <c r="BT194" s="487"/>
      <c r="BU194" s="487"/>
      <c r="BV194" s="792"/>
      <c r="BW194" s="783"/>
      <c r="BX194" s="487"/>
      <c r="BY194" s="487"/>
      <c r="BZ194" s="792"/>
      <c r="CA194" s="783"/>
      <c r="CB194" s="487"/>
      <c r="CC194" s="487"/>
      <c r="CD194" s="792"/>
      <c r="CE194" s="783"/>
      <c r="CF194" s="487"/>
      <c r="CG194" s="487"/>
      <c r="CH194" s="792"/>
      <c r="CI194" s="783"/>
      <c r="CJ194" s="487"/>
      <c r="CK194" s="487"/>
      <c r="CL194" s="792"/>
      <c r="CM194" s="783"/>
      <c r="CN194" s="487"/>
      <c r="CO194" s="487"/>
      <c r="CP194" s="792"/>
      <c r="CQ194" s="783"/>
      <c r="CS194" s="487"/>
      <c r="CT194" s="792"/>
      <c r="CU194" s="783"/>
      <c r="CV194" s="1022"/>
      <c r="CW194" s="794"/>
      <c r="CX194" s="792"/>
      <c r="CY194" s="783"/>
      <c r="CZ194" s="1022"/>
      <c r="DA194" s="794"/>
      <c r="DB194" s="792"/>
      <c r="DC194" s="783"/>
      <c r="DD194" s="1022"/>
      <c r="DE194" s="794"/>
      <c r="DF194" s="792"/>
      <c r="DG194" s="783"/>
      <c r="DH194" s="1022"/>
      <c r="DI194" s="794"/>
      <c r="DJ194" s="792"/>
      <c r="DK194" s="783"/>
      <c r="DL194" s="1022"/>
      <c r="DM194" s="794"/>
      <c r="DN194" s="792"/>
      <c r="DO194" s="783"/>
      <c r="DP194" s="1022"/>
      <c r="DQ194" s="804"/>
      <c r="DR194" s="794"/>
      <c r="DS194" s="794"/>
      <c r="DT194" s="794"/>
      <c r="DU194" s="794"/>
      <c r="DV194" s="794"/>
      <c r="DW194" s="794"/>
      <c r="DX194" s="794"/>
      <c r="DY194" s="794"/>
      <c r="DZ194" s="794"/>
      <c r="EA194" s="794"/>
      <c r="EB194" s="794"/>
    </row>
    <row r="195" spans="1:132" hidden="1" outlineLevel="1">
      <c r="A195" s="487"/>
      <c r="B195" s="487"/>
      <c r="C195" s="487"/>
      <c r="D195" s="792"/>
      <c r="E195" s="487"/>
      <c r="F195" s="792"/>
      <c r="G195" s="783"/>
      <c r="H195" s="487"/>
      <c r="I195" s="487"/>
      <c r="J195" s="792"/>
      <c r="K195" s="783"/>
      <c r="L195" s="487"/>
      <c r="M195" s="487"/>
      <c r="N195" s="792"/>
      <c r="O195" s="783"/>
      <c r="P195" s="487"/>
      <c r="Q195" s="487"/>
      <c r="R195" s="792"/>
      <c r="S195" s="783"/>
      <c r="T195" s="487"/>
      <c r="U195" s="487"/>
      <c r="V195" s="792"/>
      <c r="W195" s="783"/>
      <c r="X195" s="487"/>
      <c r="Y195" s="487"/>
      <c r="Z195" s="792"/>
      <c r="AA195" s="783"/>
      <c r="AB195" s="487"/>
      <c r="AC195" s="487"/>
      <c r="AD195" s="792"/>
      <c r="AE195" s="783"/>
      <c r="AF195" s="487"/>
      <c r="AG195" s="487"/>
      <c r="AH195" s="792"/>
      <c r="AI195" s="783"/>
      <c r="AJ195" s="487"/>
      <c r="AK195" s="487"/>
      <c r="AL195" s="792"/>
      <c r="AM195" s="783"/>
      <c r="AN195" s="487"/>
      <c r="AO195" s="487"/>
      <c r="AP195" s="792"/>
      <c r="AQ195" s="783"/>
      <c r="AR195" s="487"/>
      <c r="AS195" s="487"/>
      <c r="AT195" s="792"/>
      <c r="AU195" s="783"/>
      <c r="AV195" s="487"/>
      <c r="AW195" s="487"/>
      <c r="AX195" s="792"/>
      <c r="AY195" s="783"/>
      <c r="AZ195" s="487"/>
      <c r="BA195" s="487"/>
      <c r="BB195" s="792"/>
      <c r="BC195" s="783"/>
      <c r="BD195" s="487"/>
      <c r="BE195" s="487"/>
      <c r="BF195" s="792"/>
      <c r="BG195" s="783"/>
      <c r="BH195" s="487"/>
      <c r="BI195" s="487"/>
      <c r="BJ195" s="792"/>
      <c r="BK195" s="783"/>
      <c r="BL195" s="487"/>
      <c r="BM195" s="487"/>
      <c r="BN195" s="792"/>
      <c r="BO195" s="783"/>
      <c r="BP195" s="487"/>
      <c r="BQ195" s="487"/>
      <c r="BR195" s="792"/>
      <c r="BS195" s="783"/>
      <c r="BT195" s="487"/>
      <c r="BU195" s="487"/>
      <c r="BV195" s="792"/>
      <c r="BW195" s="783"/>
      <c r="BX195" s="487"/>
      <c r="BY195" s="487"/>
      <c r="BZ195" s="792"/>
      <c r="CA195" s="783"/>
      <c r="CB195" s="487"/>
      <c r="CC195" s="487"/>
      <c r="CD195" s="792"/>
      <c r="CE195" s="783"/>
      <c r="CF195" s="487"/>
      <c r="CG195" s="487"/>
      <c r="CH195" s="792"/>
      <c r="CI195" s="783"/>
      <c r="CJ195" s="487"/>
      <c r="CK195" s="487"/>
      <c r="CL195" s="792"/>
      <c r="CM195" s="783"/>
      <c r="CN195" s="487"/>
      <c r="CO195" s="487"/>
      <c r="CP195" s="792"/>
      <c r="CQ195" s="783"/>
      <c r="CS195" s="487"/>
      <c r="CT195" s="792"/>
      <c r="CU195" s="783"/>
      <c r="CV195" s="1022"/>
      <c r="CW195" s="794"/>
      <c r="CX195" s="792"/>
      <c r="CY195" s="783"/>
      <c r="CZ195" s="1022"/>
      <c r="DA195" s="794"/>
      <c r="DB195" s="792"/>
      <c r="DC195" s="783"/>
      <c r="DD195" s="1022"/>
      <c r="DE195" s="794"/>
      <c r="DF195" s="792"/>
      <c r="DG195" s="783"/>
      <c r="DH195" s="1022"/>
      <c r="DI195" s="794"/>
      <c r="DJ195" s="792"/>
      <c r="DK195" s="783"/>
      <c r="DL195" s="1022"/>
      <c r="DM195" s="794"/>
      <c r="DN195" s="792"/>
      <c r="DO195" s="783"/>
      <c r="DP195" s="1022"/>
      <c r="DQ195" s="804"/>
      <c r="DR195" s="794"/>
      <c r="DS195" s="794"/>
      <c r="DT195" s="794"/>
      <c r="DU195" s="794"/>
      <c r="DV195" s="794"/>
      <c r="DW195" s="794"/>
      <c r="DX195" s="794"/>
      <c r="DY195" s="794"/>
      <c r="DZ195" s="794"/>
      <c r="EA195" s="794"/>
      <c r="EB195" s="794"/>
    </row>
    <row r="196" spans="1:132" hidden="1" outlineLevel="1" collapsed="1">
      <c r="A196" s="487"/>
      <c r="B196" s="487"/>
      <c r="C196" s="807"/>
      <c r="D196" s="807"/>
      <c r="E196" s="809"/>
      <c r="F196" s="809" t="str">
        <f>Z196</f>
        <v xml:space="preserve">  10. Earnings Per Share After Items and Extraordinary Charges -- Fully Diluted   (% Change)</v>
      </c>
      <c r="G196" s="811"/>
      <c r="H196" s="811"/>
      <c r="I196" s="811"/>
      <c r="J196" s="809"/>
      <c r="K196" s="811"/>
      <c r="L196" s="811"/>
      <c r="M196" s="811"/>
      <c r="N196" s="809"/>
      <c r="O196" s="811"/>
      <c r="P196" s="811"/>
      <c r="Q196" s="811"/>
      <c r="R196" s="809"/>
      <c r="S196" s="811"/>
      <c r="T196" s="811"/>
      <c r="U196" s="811"/>
      <c r="V196" s="809"/>
      <c r="W196" s="811"/>
      <c r="X196" s="811"/>
      <c r="Y196" s="487"/>
      <c r="Z196" s="809" t="s">
        <v>351</v>
      </c>
      <c r="AA196" s="811"/>
      <c r="AB196" s="811"/>
      <c r="AC196" s="811"/>
      <c r="AD196" s="809"/>
      <c r="AE196" s="811"/>
      <c r="AF196" s="811"/>
      <c r="AG196" s="811"/>
      <c r="AH196" s="809"/>
      <c r="AI196" s="811"/>
      <c r="AJ196" s="811"/>
      <c r="AK196" s="811"/>
      <c r="AL196" s="809"/>
      <c r="AM196" s="811"/>
      <c r="AN196" s="811"/>
      <c r="AO196" s="702"/>
      <c r="AP196" s="702"/>
      <c r="AQ196" s="811"/>
      <c r="AR196" s="811"/>
      <c r="AS196" s="811"/>
      <c r="AT196" s="809"/>
      <c r="AU196" s="811"/>
      <c r="AV196" s="811"/>
      <c r="AW196" s="811"/>
      <c r="AX196" s="809"/>
      <c r="AY196" s="811"/>
      <c r="AZ196" s="811"/>
      <c r="BA196" s="811"/>
      <c r="BB196" s="809"/>
      <c r="BC196" s="811"/>
      <c r="BD196" s="811"/>
      <c r="BE196" s="811"/>
      <c r="BF196" s="809" t="s">
        <v>625</v>
      </c>
      <c r="BG196" s="811"/>
      <c r="BH196" s="811"/>
      <c r="BI196" s="811"/>
      <c r="BJ196" s="959"/>
      <c r="BK196" s="811"/>
      <c r="BL196" s="811"/>
      <c r="BM196" s="811"/>
      <c r="BN196" s="809"/>
      <c r="BO196" s="811"/>
      <c r="BP196" s="811"/>
      <c r="BQ196" s="811"/>
      <c r="BR196" s="809"/>
      <c r="BS196" s="811"/>
      <c r="BT196" s="811"/>
      <c r="BU196" s="811"/>
      <c r="BV196" s="809"/>
      <c r="BW196" s="811"/>
      <c r="BX196" s="811"/>
      <c r="BY196" s="811"/>
      <c r="BZ196" s="809"/>
      <c r="CA196" s="811"/>
      <c r="CB196" s="811"/>
      <c r="CC196" s="811"/>
      <c r="CD196" s="809"/>
      <c r="CE196" s="811"/>
      <c r="CF196" s="811"/>
      <c r="CG196" s="811"/>
      <c r="CH196" s="809"/>
      <c r="CI196" s="811"/>
      <c r="CJ196" s="811"/>
      <c r="CK196" s="811"/>
      <c r="CL196" s="809"/>
      <c r="CM196" s="811"/>
      <c r="CN196" s="811"/>
      <c r="CO196" s="811"/>
      <c r="CP196" s="809"/>
      <c r="CQ196" s="811"/>
      <c r="CS196" s="811"/>
      <c r="CT196" s="809"/>
      <c r="CU196" s="811"/>
      <c r="CV196" s="811"/>
      <c r="CW196" s="794"/>
      <c r="CX196" s="809"/>
      <c r="CY196" s="811"/>
      <c r="CZ196" s="811"/>
      <c r="DA196" s="794"/>
      <c r="DB196" s="809"/>
      <c r="DC196" s="811"/>
      <c r="DD196" s="811"/>
      <c r="DE196" s="794"/>
      <c r="DF196" s="809"/>
      <c r="DG196" s="811"/>
      <c r="DH196" s="811"/>
      <c r="DI196" s="794"/>
      <c r="DJ196" s="809"/>
      <c r="DK196" s="811"/>
      <c r="DL196" s="811"/>
      <c r="DM196" s="794"/>
      <c r="DN196" s="809"/>
      <c r="DO196" s="811"/>
      <c r="DP196" s="811"/>
      <c r="DQ196" s="804"/>
      <c r="DR196" s="794"/>
      <c r="DS196" s="794"/>
      <c r="DT196" s="794"/>
      <c r="DU196" s="794"/>
      <c r="DV196" s="794"/>
      <c r="DW196" s="794"/>
      <c r="DX196" s="794"/>
      <c r="DY196" s="794"/>
      <c r="DZ196" s="794"/>
      <c r="EA196" s="794"/>
      <c r="EB196" s="794"/>
    </row>
    <row r="197" spans="1:132" hidden="1" outlineLevel="1">
      <c r="A197" s="487"/>
      <c r="B197" s="487"/>
      <c r="C197" s="487"/>
      <c r="D197" s="487"/>
      <c r="E197" s="487"/>
      <c r="F197" s="487"/>
      <c r="G197" s="487"/>
      <c r="H197" s="487"/>
      <c r="I197" s="487"/>
      <c r="J197" s="487"/>
      <c r="K197" s="487"/>
      <c r="L197" s="487"/>
      <c r="M197" s="487"/>
      <c r="N197" s="487"/>
      <c r="O197" s="487"/>
      <c r="P197" s="487"/>
      <c r="Q197" s="487"/>
      <c r="R197" s="487"/>
      <c r="S197" s="487"/>
      <c r="T197" s="487"/>
      <c r="U197" s="487"/>
      <c r="V197" s="487"/>
      <c r="W197" s="487"/>
      <c r="X197" s="487"/>
      <c r="Y197" s="487"/>
      <c r="Z197" s="487"/>
      <c r="AA197" s="487"/>
      <c r="AB197" s="487"/>
      <c r="AC197" s="487"/>
      <c r="AD197" s="487"/>
      <c r="AE197" s="487"/>
      <c r="AF197" s="487"/>
      <c r="AG197" s="487"/>
      <c r="AH197" s="487"/>
      <c r="AI197" s="487"/>
      <c r="AJ197" s="487"/>
      <c r="AK197" s="487"/>
      <c r="AL197" s="487"/>
      <c r="AM197" s="487"/>
      <c r="AN197" s="487"/>
      <c r="AO197" s="487"/>
      <c r="AP197" s="487"/>
      <c r="AQ197" s="487"/>
      <c r="AR197" s="487"/>
      <c r="AS197" s="487"/>
      <c r="AT197" s="487"/>
      <c r="AU197" s="487"/>
      <c r="AV197" s="487"/>
      <c r="AW197" s="487"/>
      <c r="AX197" s="487"/>
      <c r="AY197" s="487"/>
      <c r="AZ197" s="487"/>
      <c r="BA197" s="487"/>
      <c r="BB197" s="487"/>
      <c r="BC197" s="487"/>
      <c r="BD197" s="487"/>
      <c r="BE197" s="487"/>
      <c r="BF197" s="487"/>
      <c r="BG197" s="487"/>
      <c r="BH197" s="487"/>
      <c r="BI197" s="487"/>
      <c r="BJ197" s="487"/>
      <c r="BK197" s="487"/>
      <c r="BL197" s="487"/>
      <c r="BM197" s="487"/>
      <c r="BN197" s="487"/>
      <c r="BO197" s="487"/>
      <c r="BP197" s="487"/>
      <c r="BQ197" s="487"/>
      <c r="BR197" s="487"/>
      <c r="BS197" s="487"/>
      <c r="BT197" s="487"/>
      <c r="BU197" s="487"/>
      <c r="BV197" s="487"/>
      <c r="BW197" s="487"/>
      <c r="BX197" s="487"/>
      <c r="BY197" s="487"/>
      <c r="BZ197" s="487"/>
      <c r="CA197" s="487"/>
      <c r="CB197" s="487"/>
      <c r="CC197" s="487"/>
      <c r="CD197" s="487"/>
      <c r="CE197" s="487"/>
      <c r="CF197" s="487"/>
      <c r="CG197" s="487"/>
      <c r="CH197" s="487"/>
      <c r="CI197" s="487"/>
      <c r="CJ197" s="487"/>
      <c r="CK197" s="487"/>
      <c r="CL197" s="487"/>
      <c r="CM197" s="487"/>
      <c r="CN197" s="487"/>
      <c r="CO197" s="487"/>
      <c r="CP197" s="487"/>
      <c r="CQ197" s="487"/>
      <c r="CS197" s="487"/>
      <c r="CT197" s="487"/>
      <c r="CU197" s="487"/>
      <c r="CV197" s="487"/>
      <c r="CW197" s="794"/>
      <c r="CX197" s="487"/>
      <c r="CY197" s="487"/>
      <c r="CZ197" s="487"/>
      <c r="DA197" s="794"/>
      <c r="DB197" s="487"/>
      <c r="DC197" s="487"/>
      <c r="DD197" s="487"/>
      <c r="DE197" s="794"/>
      <c r="DF197" s="487"/>
      <c r="DG197" s="487"/>
      <c r="DH197" s="487"/>
      <c r="DI197" s="794"/>
      <c r="DJ197" s="487"/>
      <c r="DK197" s="487"/>
      <c r="DL197" s="487"/>
      <c r="DM197" s="794"/>
      <c r="DN197" s="487"/>
      <c r="DO197" s="487"/>
      <c r="DP197" s="487"/>
      <c r="DQ197" s="804"/>
      <c r="DR197" s="794"/>
      <c r="DS197" s="794"/>
      <c r="DT197" s="794"/>
      <c r="DU197" s="794"/>
      <c r="DV197" s="794"/>
      <c r="DW197" s="794"/>
      <c r="DX197" s="794"/>
      <c r="DY197" s="794"/>
      <c r="DZ197" s="794"/>
      <c r="EA197" s="794"/>
      <c r="EB197" s="794"/>
    </row>
    <row r="198" spans="1:132" hidden="1" outlineLevel="1">
      <c r="A198" s="487" t="str">
        <f>$A$10</f>
        <v>1Q</v>
      </c>
      <c r="B198" s="487" t="str">
        <f>$B$10</f>
        <v>Apr</v>
      </c>
      <c r="C198" s="487"/>
      <c r="D198" s="867"/>
      <c r="E198" s="487"/>
      <c r="F198" s="867">
        <f>+(F147+F248-F167)/F218</f>
        <v>1.3043993052503585E-2</v>
      </c>
      <c r="G198" s="783"/>
      <c r="H198" s="487"/>
      <c r="I198" s="487"/>
      <c r="J198" s="867">
        <f>+(J147+J248-J167)/J218</f>
        <v>1.3231565289298636E-2</v>
      </c>
      <c r="K198" s="783">
        <f t="shared" ref="K198:K204" si="416">IF(F198&lt;0,"       NM",(J198/F198-1)*100)</f>
        <v>1.4379970614830206</v>
      </c>
      <c r="L198" s="487"/>
      <c r="M198" s="487"/>
      <c r="N198" s="867">
        <f>+(N147+N248-N167)/N218</f>
        <v>1.2386401398952191E-2</v>
      </c>
      <c r="O198" s="783">
        <f t="shared" ref="O198:O204" si="417">IF(J198&lt;0,"       NM",(N198/J198-1)*100)</f>
        <v>-6.3874822960666151</v>
      </c>
      <c r="P198" s="487"/>
      <c r="Q198" s="487"/>
      <c r="R198" s="867">
        <f>(R147-R167)/R218</f>
        <v>1.534989585381138E-2</v>
      </c>
      <c r="S198" s="783">
        <f t="shared" ref="S198:S204" si="418">IF(N198&lt;0,"       NM",(R198/N198-1)*100)</f>
        <v>23.925386877175491</v>
      </c>
      <c r="T198" s="487"/>
      <c r="U198" s="487"/>
      <c r="V198" s="867">
        <f>(V147-V167)/V218</f>
        <v>1.4832572753651241E-2</v>
      </c>
      <c r="W198" s="783">
        <f t="shared" ref="W198:W204" si="419">IF(R198&lt;0,"       NM",(V198/R198-1)*100)</f>
        <v>-3.3702059289978048</v>
      </c>
      <c r="X198" s="487"/>
      <c r="Y198" s="487"/>
      <c r="Z198" s="867">
        <f>(Z147-Z167)/Z218</f>
        <v>5.4131929884101097E-3</v>
      </c>
      <c r="AA198" s="783">
        <f t="shared" ref="AA198:AA204" si="420">IF(V198&lt;0,"       NM",(Z198/V198-1)*100)</f>
        <v>-63.504692824934381</v>
      </c>
      <c r="AB198" s="487"/>
      <c r="AC198" s="487"/>
      <c r="AD198" s="867">
        <f>(AD147-AD167)/AD218</f>
        <v>2.0723657918717414E-2</v>
      </c>
      <c r="AE198" s="783">
        <f t="shared" ref="AE198:AE204" si="421">IF(Z198&lt;0,"       NM",(AD198/Z198-1)*100)</f>
        <v>282.83611840715264</v>
      </c>
      <c r="AF198" s="487"/>
      <c r="AG198" s="487"/>
      <c r="AH198" s="867">
        <f>(AH147-AH167)/AH218</f>
        <v>3.4191525645926098E-2</v>
      </c>
      <c r="AI198" s="783">
        <f t="shared" ref="AI198:AI204" si="422">IF(AD198&lt;0,"       NM",(AH198/AD198-1)*100)</f>
        <v>64.987888624838902</v>
      </c>
      <c r="AJ198" s="487"/>
      <c r="AK198" s="487"/>
      <c r="AL198" s="867">
        <f>(AL147-AL167)/AL218</f>
        <v>6.0552816692796177E-2</v>
      </c>
      <c r="AM198" s="783">
        <f t="shared" ref="AM198:AM204" si="423">IF(AH198&lt;0,"       NM",(AL198/AH198-1)*100)</f>
        <v>77.098902575618226</v>
      </c>
      <c r="AN198" s="487"/>
      <c r="AO198" s="487"/>
      <c r="AP198" s="867">
        <f>(AP147-AP167)/AP218</f>
        <v>9.0010288932259083E-2</v>
      </c>
      <c r="AQ198" s="783">
        <f t="shared" ref="AQ198:AQ204" si="424">IF(AL198&lt;0,"       NM",(AP198/AL198-1)*100)</f>
        <v>48.647567278183089</v>
      </c>
      <c r="AR198" s="487"/>
      <c r="AS198" s="487"/>
      <c r="AT198" s="867">
        <f>(AT147-AT167)/AT218</f>
        <v>0.10880036148182716</v>
      </c>
      <c r="AU198" s="783">
        <f t="shared" ref="AU198:AU204" si="425">IF(AP198&lt;0,"       NM",(AT198/AP198-1)*100)</f>
        <v>20.87547187378691</v>
      </c>
      <c r="AV198" s="487"/>
      <c r="AW198" s="487"/>
      <c r="AX198" s="867">
        <f>(AX147-AX167)/AX218</f>
        <v>0.10958747754135034</v>
      </c>
      <c r="AY198" s="783">
        <f t="shared" ref="AY198:AY204" si="426">IF(AT198&lt;0,"       NM",(AX198/AT198-1)*100)</f>
        <v>0.72344985697005981</v>
      </c>
      <c r="AZ198" s="487"/>
      <c r="BA198" s="487"/>
      <c r="BB198" s="867">
        <f>(BB147-BB167)/BB218</f>
        <v>0.13040532431793428</v>
      </c>
      <c r="BC198" s="783">
        <f t="shared" ref="BC198:BC204" si="427">IF(AX198&lt;0,"       NM",(BB198/AX198-1)*100)</f>
        <v>18.996556215767257</v>
      </c>
      <c r="BD198" s="487"/>
      <c r="BE198" s="487"/>
      <c r="BF198" s="867">
        <f>(BF147-BF167)/BF218</f>
        <v>9.4669896513648266E-2</v>
      </c>
      <c r="BG198" s="783">
        <f t="shared" ref="BG198:BG204" si="428">IF(BB198&lt;0,"       NM",(BF198/BB198-1)*100)</f>
        <v>-27.403350278215154</v>
      </c>
      <c r="BH198" s="754"/>
      <c r="BI198" s="487"/>
      <c r="BJ198" s="867">
        <f>(BJ147-BJ167)/BJ218</f>
        <v>0.14851393139552108</v>
      </c>
      <c r="BK198" s="783">
        <f t="shared" ref="BK198:BK204" si="429">IF(BF198&lt;0,"       NM",(BJ198/BF198-1)*100)</f>
        <v>56.875561149589181</v>
      </c>
      <c r="BL198" s="925"/>
      <c r="BM198" s="487"/>
      <c r="BN198" s="867">
        <f>(BN147-BN167)/BN218</f>
        <v>0.1363679609566382</v>
      </c>
      <c r="BO198" s="783">
        <f t="shared" ref="BO198:BO204" si="430">IF(BJ198&lt;0,"       NM",(BN198/BJ198-1)*100)</f>
        <v>-8.1783374291909627</v>
      </c>
      <c r="BP198" s="925"/>
      <c r="BQ198" s="487"/>
      <c r="BR198" s="867">
        <f>(BR147-BR167)/BR218</f>
        <v>0.16894819486758725</v>
      </c>
      <c r="BS198" s="783">
        <f t="shared" ref="BS198:BS204" si="431">IF(BN198&lt;0,"       NM",(BR198/BN198-1)*100)</f>
        <v>23.891413849994294</v>
      </c>
      <c r="BT198" s="925"/>
      <c r="BU198" s="487"/>
      <c r="BV198" s="867">
        <f>(BV147-BV167)/BV218</f>
        <v>0.18622143431276908</v>
      </c>
      <c r="BW198" s="783">
        <f t="shared" ref="BW198:BW204" si="432">IF(BR198&lt;0,"       NM",(BV198/BR198-1)*100)</f>
        <v>10.223985795598288</v>
      </c>
      <c r="BX198" s="925"/>
      <c r="BY198" s="925"/>
      <c r="BZ198" s="867">
        <f>(BZ147-BZ167)/BZ218</f>
        <v>0.21980413009740221</v>
      </c>
      <c r="CA198" s="783">
        <f t="shared" ref="CA198:CA204" si="433">IF(BV198&lt;0,"       NM",(BZ198/BV198-1)*100)</f>
        <v>18.033743488533748</v>
      </c>
      <c r="CB198" s="925"/>
      <c r="CC198" s="925"/>
      <c r="CD198" s="867">
        <f>(CD147-CD167)/CD218</f>
        <v>0.24219068345990014</v>
      </c>
      <c r="CE198" s="783">
        <f t="shared" ref="CE198:CE204" si="434">IF(BZ198&lt;0,"       NM",(CD198/BZ198-1)*100)</f>
        <v>10.184773758608511</v>
      </c>
      <c r="CF198" s="925"/>
      <c r="CG198" s="925"/>
      <c r="CH198" s="867">
        <f>(CH147-CH167)/CH218</f>
        <v>0.39989623552123549</v>
      </c>
      <c r="CI198" s="783">
        <f t="shared" ref="CI198:CI204" si="435">IF(CD198&lt;0,"       NM",(CH198/CD198-1)*100)</f>
        <v>65.11627524575978</v>
      </c>
      <c r="CJ198" s="925"/>
      <c r="CK198" s="925"/>
      <c r="CL198" s="867">
        <f>(CL147-CL167)/CL218</f>
        <v>0.39151902391853888</v>
      </c>
      <c r="CM198" s="783">
        <f t="shared" ref="CM198:CM204" si="436">IF(CH198&lt;0,"       NM",(CL198/CH198-1)*100)</f>
        <v>-2.0948463272672524</v>
      </c>
      <c r="CN198" s="925"/>
      <c r="CO198" s="925"/>
      <c r="CP198" s="867">
        <f>(CP147-CP167)/CP218</f>
        <v>0.55448561935197171</v>
      </c>
      <c r="CQ198" s="783">
        <f t="shared" ref="CQ198:CQ204" si="437">IF(CL198&lt;0,"       NM",(CP198/CL198-1)*100)</f>
        <v>41.624183111812307</v>
      </c>
      <c r="CS198" s="925"/>
      <c r="CT198" s="867">
        <f>(CT147-CT167)/CT218</f>
        <v>0.61823344322269325</v>
      </c>
      <c r="CU198" s="783">
        <f t="shared" ref="CU198:CU204" si="438">IF(CP198&lt;0,"       NM",(CT198/CP198-1)*100)</f>
        <v>11.496749716471232</v>
      </c>
      <c r="CV198" s="925"/>
      <c r="CW198" s="1023"/>
      <c r="CX198" s="867">
        <f>(CX147-CX167)/CX218</f>
        <v>0.63727833559170877</v>
      </c>
      <c r="CY198" s="783">
        <f t="shared" ref="CY198:CY204" si="439">IF(CT198&lt;0,"       NM",(CX198/CT198-1)*100)</f>
        <v>3.0805341538528541</v>
      </c>
      <c r="CZ198" s="925"/>
      <c r="DA198" s="1023"/>
      <c r="DB198" s="867">
        <f>(DB147-DB167)/DB218</f>
        <v>0.68662743089614353</v>
      </c>
      <c r="DC198" s="783">
        <f t="shared" ref="DC198:DC204" si="440">IF(CX198&lt;0,"       NM",(DB198/CX198-1)*100)</f>
        <v>7.743727120209476</v>
      </c>
      <c r="DD198" s="925"/>
      <c r="DE198" s="1023"/>
      <c r="DF198" s="867"/>
      <c r="DG198" s="783">
        <f t="shared" ref="DG198:DG204" si="441">IF(DB198&lt;0,"       NM",(DF198/DB198-1)*100)</f>
        <v>-100</v>
      </c>
      <c r="DH198" s="925"/>
      <c r="DI198" s="1023"/>
      <c r="DJ198" s="867">
        <f>(DJ147-DJ167)/DJ218</f>
        <v>0</v>
      </c>
      <c r="DK198" s="783" t="e">
        <f t="shared" ref="DK198:DK204" si="442">IF(DF198&lt;0,"       NM",(DJ198/DF198-1)*100)</f>
        <v>#DIV/0!</v>
      </c>
      <c r="DL198" s="925"/>
      <c r="DM198" s="1023"/>
      <c r="DN198" s="867"/>
      <c r="DO198" s="783" t="e">
        <f t="shared" ref="DO198:DO204" si="443">IF(DJ198&lt;0,"       NM",(DN198/DJ198-1)*100)</f>
        <v>#DIV/0!</v>
      </c>
      <c r="DP198" s="925"/>
      <c r="DQ198" s="804"/>
      <c r="DR198" s="794"/>
      <c r="DS198" s="794"/>
      <c r="DT198" s="794"/>
      <c r="DU198" s="794"/>
      <c r="DV198" s="794"/>
      <c r="DW198" s="794"/>
      <c r="DX198" s="794"/>
      <c r="DY198" s="794"/>
      <c r="DZ198" s="794"/>
      <c r="EA198" s="794"/>
      <c r="EB198" s="794"/>
    </row>
    <row r="199" spans="1:132" hidden="1" outlineLevel="1">
      <c r="A199" s="487" t="str">
        <f>$A$11</f>
        <v>2Q</v>
      </c>
      <c r="B199" s="487" t="str">
        <f>$B$11</f>
        <v>Jul</v>
      </c>
      <c r="C199" s="487"/>
      <c r="D199" s="792"/>
      <c r="E199" s="487"/>
      <c r="F199" s="792">
        <f>+(F148+F249-F168)/F219</f>
        <v>1.2921742909182158E-2</v>
      </c>
      <c r="G199" s="783"/>
      <c r="H199" s="487"/>
      <c r="I199" s="487"/>
      <c r="J199" s="792">
        <f>+(J148+J249-J168)/J219</f>
        <v>1.2327433051288838E-2</v>
      </c>
      <c r="K199" s="783">
        <f t="shared" si="416"/>
        <v>-4.5993010545891995</v>
      </c>
      <c r="L199" s="487"/>
      <c r="M199" s="487"/>
      <c r="N199" s="792">
        <f>+(N148+N249-N168)/N219</f>
        <v>1.6448661191630482E-2</v>
      </c>
      <c r="O199" s="783">
        <f t="shared" si="417"/>
        <v>33.431356902893647</v>
      </c>
      <c r="P199" s="487"/>
      <c r="Q199" s="487"/>
      <c r="R199" s="792">
        <f>(R148-R168)/R219</f>
        <v>2.0392820540482231E-2</v>
      </c>
      <c r="S199" s="783">
        <f t="shared" si="418"/>
        <v>23.978604111917878</v>
      </c>
      <c r="T199" s="487"/>
      <c r="U199" s="487"/>
      <c r="V199" s="792">
        <f>(V148-V168)/V219</f>
        <v>1.4390364749910848E-2</v>
      </c>
      <c r="W199" s="783">
        <f t="shared" si="419"/>
        <v>-29.434161785790135</v>
      </c>
      <c r="X199" s="487"/>
      <c r="Y199" s="487"/>
      <c r="Z199" s="792">
        <f>(Z148-Z168)/Z219</f>
        <v>-2.2961245879701823E-2</v>
      </c>
      <c r="AA199" s="783">
        <f t="shared" si="420"/>
        <v>-259.55986021719201</v>
      </c>
      <c r="AB199" s="487"/>
      <c r="AC199" s="487"/>
      <c r="AD199" s="792">
        <f>(AD148-AD168)/AD219</f>
        <v>2.5041179105681249E-2</v>
      </c>
      <c r="AE199" s="783" t="str">
        <f t="shared" si="421"/>
        <v xml:space="preserve">       NM</v>
      </c>
      <c r="AF199" s="487"/>
      <c r="AG199" s="487"/>
      <c r="AH199" s="792">
        <f>(AH148-AH168)/AH219</f>
        <v>3.7017950708215452E-2</v>
      </c>
      <c r="AI199" s="783">
        <f t="shared" si="422"/>
        <v>47.828305336536481</v>
      </c>
      <c r="AJ199" s="487"/>
      <c r="AK199" s="487"/>
      <c r="AL199" s="792">
        <f>(AL148-AL168)/AL219</f>
        <v>6.3626206584696407E-2</v>
      </c>
      <c r="AM199" s="783">
        <f t="shared" si="423"/>
        <v>71.879332506042104</v>
      </c>
      <c r="AN199" s="487"/>
      <c r="AO199" s="487"/>
      <c r="AP199" s="792">
        <f>(AP148-AP168)/AP219</f>
        <v>9.0404652507190125E-2</v>
      </c>
      <c r="AQ199" s="783">
        <f t="shared" si="424"/>
        <v>42.087132582464172</v>
      </c>
      <c r="AR199" s="487"/>
      <c r="AS199" s="487"/>
      <c r="AT199" s="792">
        <f>(AT148-AT168)/AT219</f>
        <v>9.7408935471403557E-2</v>
      </c>
      <c r="AU199" s="783">
        <f t="shared" si="425"/>
        <v>7.7477018825511834</v>
      </c>
      <c r="AV199" s="487"/>
      <c r="AW199" s="487"/>
      <c r="AX199" s="792">
        <f>(AX148-AX168)/AX219</f>
        <v>0.10022701201481374</v>
      </c>
      <c r="AY199" s="783">
        <f t="shared" si="426"/>
        <v>2.8930369988875215</v>
      </c>
      <c r="AZ199" s="487"/>
      <c r="BA199" s="487"/>
      <c r="BB199" s="792">
        <f>(BB148-BB168)/BB219</f>
        <v>0.11591963693547987</v>
      </c>
      <c r="BC199" s="783">
        <f t="shared" si="427"/>
        <v>15.657081464572364</v>
      </c>
      <c r="BD199" s="487"/>
      <c r="BE199" s="487"/>
      <c r="BF199" s="792">
        <f>(BF148-BF168)/BF219</f>
        <v>0.10493458314970026</v>
      </c>
      <c r="BG199" s="783">
        <f t="shared" si="428"/>
        <v>-9.4764390884814595</v>
      </c>
      <c r="BH199" s="754"/>
      <c r="BI199" s="487"/>
      <c r="BJ199" s="792">
        <f>(BJ148-BJ168)/BJ219</f>
        <v>0.10206969176677617</v>
      </c>
      <c r="BK199" s="783">
        <f t="shared" si="429"/>
        <v>-2.7301689270895713</v>
      </c>
      <c r="BL199" s="925"/>
      <c r="BM199" s="487"/>
      <c r="BN199" s="792">
        <f>(BN148-BN168)/BN219</f>
        <v>0.11242915727338959</v>
      </c>
      <c r="BO199" s="783">
        <f t="shared" si="430"/>
        <v>10.149404125060201</v>
      </c>
      <c r="BP199" s="925"/>
      <c r="BQ199" s="487"/>
      <c r="BR199" s="792">
        <f>(BR148-BR168)/BR219</f>
        <v>0.14537001162340202</v>
      </c>
      <c r="BS199" s="783">
        <f t="shared" si="431"/>
        <v>29.299209519031997</v>
      </c>
      <c r="BT199" s="925"/>
      <c r="BU199" s="487"/>
      <c r="BV199" s="792">
        <f>(BV148-BV168)/BV219</f>
        <v>0.18923673674625316</v>
      </c>
      <c r="BW199" s="783">
        <f t="shared" si="432"/>
        <v>30.175910858762968</v>
      </c>
      <c r="BX199" s="925"/>
      <c r="BY199" s="925"/>
      <c r="BZ199" s="792">
        <f>(BZ148-BZ168)/BZ219</f>
        <v>0.23805798084068419</v>
      </c>
      <c r="CA199" s="783">
        <f t="shared" si="433"/>
        <v>25.799030850915194</v>
      </c>
      <c r="CB199" s="925"/>
      <c r="CC199" s="925"/>
      <c r="CD199" s="792">
        <f>(CD148-CD168)/CD219</f>
        <v>0.30382062617753874</v>
      </c>
      <c r="CE199" s="783">
        <f t="shared" si="434"/>
        <v>27.62463375712867</v>
      </c>
      <c r="CF199" s="925"/>
      <c r="CG199" s="925"/>
      <c r="CH199" s="792">
        <f>(CH148-CH168)/CH219</f>
        <v>0.36363888739743527</v>
      </c>
      <c r="CI199" s="783">
        <f t="shared" si="435"/>
        <v>19.688676826352626</v>
      </c>
      <c r="CJ199" s="925"/>
      <c r="CK199" s="925"/>
      <c r="CL199" s="792">
        <f>(CL148-CL168)/CL219</f>
        <v>0.44932344405030694</v>
      </c>
      <c r="CM199" s="783">
        <f t="shared" si="436"/>
        <v>23.563089543617387</v>
      </c>
      <c r="CN199" s="925"/>
      <c r="CO199" s="925"/>
      <c r="CP199" s="792">
        <f>(CP148-CP168)/CP219</f>
        <v>0.56052701988570919</v>
      </c>
      <c r="CQ199" s="783">
        <f t="shared" si="437"/>
        <v>24.749114987855325</v>
      </c>
      <c r="CS199" s="925"/>
      <c r="CT199" s="792">
        <f>(CT148-CT168)/CT219</f>
        <v>0.65819332719369705</v>
      </c>
      <c r="CU199" s="783">
        <f t="shared" si="438"/>
        <v>17.424014158657663</v>
      </c>
      <c r="CV199" s="925"/>
      <c r="CW199" s="1023"/>
      <c r="CX199" s="792">
        <f>(CX148-CX168)/CX219</f>
        <v>0.74887846001134506</v>
      </c>
      <c r="CY199" s="783">
        <f t="shared" si="439"/>
        <v>13.777886993217825</v>
      </c>
      <c r="CZ199" s="925"/>
      <c r="DA199" s="1023"/>
      <c r="DB199" s="792">
        <f>(DB148-DB168)/DB219</f>
        <v>0.80157210770995246</v>
      </c>
      <c r="DC199" s="783">
        <f t="shared" si="440"/>
        <v>7.0363417446682952</v>
      </c>
      <c r="DD199" s="925"/>
      <c r="DE199" s="1023"/>
      <c r="DF199" s="792"/>
      <c r="DG199" s="783">
        <f t="shared" si="441"/>
        <v>-100</v>
      </c>
      <c r="DH199" s="925"/>
      <c r="DI199" s="1023"/>
      <c r="DJ199" s="792">
        <f>(DJ148-DJ168)/DJ219</f>
        <v>0</v>
      </c>
      <c r="DK199" s="783" t="e">
        <f t="shared" si="442"/>
        <v>#DIV/0!</v>
      </c>
      <c r="DL199" s="925"/>
      <c r="DM199" s="1023"/>
      <c r="DN199" s="792"/>
      <c r="DO199" s="783" t="e">
        <f t="shared" si="443"/>
        <v>#DIV/0!</v>
      </c>
      <c r="DP199" s="925"/>
      <c r="DQ199" s="804"/>
      <c r="DR199" s="794"/>
      <c r="DS199" s="794"/>
      <c r="DT199" s="794"/>
      <c r="DU199" s="794"/>
      <c r="DV199" s="794"/>
      <c r="DW199" s="794"/>
      <c r="DX199" s="794"/>
      <c r="DY199" s="794"/>
      <c r="DZ199" s="794"/>
      <c r="EA199" s="794"/>
      <c r="EB199" s="794"/>
    </row>
    <row r="200" spans="1:132" hidden="1" outlineLevel="1">
      <c r="A200" s="487" t="str">
        <f>$A$12</f>
        <v>3Q</v>
      </c>
      <c r="B200" s="487" t="str">
        <f>$B$12</f>
        <v>Oct</v>
      </c>
      <c r="C200" s="487"/>
      <c r="D200" s="792"/>
      <c r="E200" s="487"/>
      <c r="F200" s="792">
        <f>+(F149+F250-F169)/F220</f>
        <v>2.6290422589980759E-2</v>
      </c>
      <c r="G200" s="783"/>
      <c r="H200" s="487"/>
      <c r="I200" s="487"/>
      <c r="J200" s="792">
        <f>+(J149+J250-J169)/J220</f>
        <v>2.4127140917500449E-2</v>
      </c>
      <c r="K200" s="783">
        <f t="shared" si="416"/>
        <v>-8.2284020543083045</v>
      </c>
      <c r="L200" s="487"/>
      <c r="M200" s="487"/>
      <c r="N200" s="792">
        <f>+(N149+N250-N169)/N220</f>
        <v>3.2257939189243912E-2</v>
      </c>
      <c r="O200" s="783">
        <f t="shared" si="417"/>
        <v>33.699800152639916</v>
      </c>
      <c r="P200" s="487"/>
      <c r="Q200" s="487"/>
      <c r="R200" s="792">
        <f>(R149-R169)/R220</f>
        <v>3.7980466390099089E-2</v>
      </c>
      <c r="S200" s="783">
        <f t="shared" si="418"/>
        <v>17.739903244542354</v>
      </c>
      <c r="T200" s="487"/>
      <c r="U200" s="487"/>
      <c r="V200" s="792">
        <f>(V149-V169)/V220</f>
        <v>2.6317817261816902E-2</v>
      </c>
      <c r="W200" s="783">
        <f t="shared" si="419"/>
        <v>-30.70696659828921</v>
      </c>
      <c r="X200" s="487"/>
      <c r="Y200" s="487"/>
      <c r="Z200" s="792">
        <f>(Z149-Z169)/Z220</f>
        <v>2.7548303185209354E-2</v>
      </c>
      <c r="AA200" s="783">
        <f t="shared" si="420"/>
        <v>4.6754862348622694</v>
      </c>
      <c r="AB200" s="487"/>
      <c r="AC200" s="487"/>
      <c r="AD200" s="792">
        <f>(AD149-AD169)/AD220</f>
        <v>6.0348723516158283E-2</v>
      </c>
      <c r="AE200" s="783">
        <f t="shared" si="421"/>
        <v>119.06512031042054</v>
      </c>
      <c r="AF200" s="487"/>
      <c r="AG200" s="487"/>
      <c r="AH200" s="792">
        <f>(AH149-AH169)/AH220</f>
        <v>7.564400920680496E-2</v>
      </c>
      <c r="AI200" s="783">
        <f t="shared" si="422"/>
        <v>25.344837139018161</v>
      </c>
      <c r="AJ200" s="487"/>
      <c r="AK200" s="487"/>
      <c r="AL200" s="792">
        <f>(AL149-AL169)/AL220</f>
        <v>8.9889226036469996E-2</v>
      </c>
      <c r="AM200" s="783">
        <f t="shared" si="423"/>
        <v>18.831916736089038</v>
      </c>
      <c r="AN200" s="487"/>
      <c r="AO200" s="487"/>
      <c r="AP200" s="792">
        <f>(AP149-AP169)/AP220</f>
        <v>0.11991050004267932</v>
      </c>
      <c r="AQ200" s="783">
        <f t="shared" si="424"/>
        <v>33.398078201306404</v>
      </c>
      <c r="AR200" s="487"/>
      <c r="AS200" s="487"/>
      <c r="AT200" s="792">
        <f>(AT149-AT169)/AT220</f>
        <v>0.13985077593332301</v>
      </c>
      <c r="AU200" s="783">
        <f t="shared" si="425"/>
        <v>16.629299255316599</v>
      </c>
      <c r="AV200" s="487"/>
      <c r="AW200" s="487"/>
      <c r="AX200" s="792">
        <f>(AX149-AX169)/AX220</f>
        <v>9.9154290995076805E-2</v>
      </c>
      <c r="AY200" s="783">
        <f t="shared" si="426"/>
        <v>-29.099935031929437</v>
      </c>
      <c r="AZ200" s="487"/>
      <c r="BA200" s="487"/>
      <c r="BB200" s="792">
        <f>(BB149-BB169)/BB220</f>
        <v>0.13414571296155511</v>
      </c>
      <c r="BC200" s="783">
        <f t="shared" si="427"/>
        <v>35.289871588326619</v>
      </c>
      <c r="BD200" s="487"/>
      <c r="BE200" s="724"/>
      <c r="BF200" s="792">
        <f>(BF149-BF169)/BF220</f>
        <v>0.16081639093842054</v>
      </c>
      <c r="BG200" s="783">
        <f t="shared" si="428"/>
        <v>19.881871278666207</v>
      </c>
      <c r="BH200" s="754"/>
      <c r="BI200" s="487"/>
      <c r="BJ200" s="792">
        <f>(BJ149-BJ169)/BJ220</f>
        <v>0.18192601703451378</v>
      </c>
      <c r="BK200" s="783">
        <f t="shared" si="429"/>
        <v>13.126538888798024</v>
      </c>
      <c r="BL200" s="925"/>
      <c r="BM200" s="487"/>
      <c r="BN200" s="792">
        <f>(BN149-BN169)/BN220</f>
        <v>0.15963666565399487</v>
      </c>
      <c r="BO200" s="783">
        <f t="shared" si="430"/>
        <v>-12.251876748497336</v>
      </c>
      <c r="BP200" s="925"/>
      <c r="BQ200" s="487"/>
      <c r="BR200" s="792">
        <f>(BR149-BR169)/BR220</f>
        <v>0.24069165065305659</v>
      </c>
      <c r="BS200" s="783">
        <f t="shared" si="431"/>
        <v>50.774666751524776</v>
      </c>
      <c r="BT200" s="925"/>
      <c r="BU200" s="487"/>
      <c r="BV200" s="792">
        <f>(BV149-BV169)/BV220</f>
        <v>0.27044414402390343</v>
      </c>
      <c r="BW200" s="783">
        <f t="shared" si="432"/>
        <v>12.361248630819087</v>
      </c>
      <c r="BX200" s="925"/>
      <c r="BY200" s="925"/>
      <c r="BZ200" s="792">
        <f>(BZ149-BZ169)/BZ220</f>
        <v>0.28343456252878618</v>
      </c>
      <c r="CA200" s="783">
        <f t="shared" si="433"/>
        <v>4.8033646843300026</v>
      </c>
      <c r="CB200" s="925"/>
      <c r="CC200" s="925"/>
      <c r="CD200" s="792">
        <f>(CD149-CD169)/CD220</f>
        <v>0.40621992468908535</v>
      </c>
      <c r="CE200" s="783">
        <f t="shared" si="434"/>
        <v>43.320532635404632</v>
      </c>
      <c r="CF200" s="925"/>
      <c r="CG200" s="925"/>
      <c r="CH200" s="792">
        <f>(CH149-CH169)/CH220</f>
        <v>0.46187599245732397</v>
      </c>
      <c r="CI200" s="783">
        <f t="shared" si="435"/>
        <v>13.700969446744127</v>
      </c>
      <c r="CJ200" s="925"/>
      <c r="CK200" s="925"/>
      <c r="CL200" s="792">
        <f>(CL149-CL169)/CL220</f>
        <v>0.53062585829682474</v>
      </c>
      <c r="CM200" s="783">
        <f t="shared" si="436"/>
        <v>14.884918671293157</v>
      </c>
      <c r="CN200" s="925"/>
      <c r="CO200" s="925"/>
      <c r="CP200" s="792">
        <f>(CP149-CP169)/CP220</f>
        <v>0.61891595071210947</v>
      </c>
      <c r="CQ200" s="783">
        <f t="shared" si="437"/>
        <v>16.638859760561566</v>
      </c>
      <c r="CS200" s="925"/>
      <c r="CT200" s="792">
        <f>(CT149-CT169)/CT220</f>
        <v>0.75127345644572385</v>
      </c>
      <c r="CU200" s="783">
        <f t="shared" si="438"/>
        <v>21.385376411987302</v>
      </c>
      <c r="CV200" s="925"/>
      <c r="CW200" s="1023"/>
      <c r="CX200" s="792">
        <f>(CX149-CX169)/CX220</f>
        <v>0.84872005192544975</v>
      </c>
      <c r="CY200" s="783">
        <f t="shared" si="439"/>
        <v>12.970855637672329</v>
      </c>
      <c r="CZ200" s="925"/>
      <c r="DA200" s="1023"/>
      <c r="DB200" s="792">
        <f>(DB149-DB169)/DB220</f>
        <v>0.8625411988649373</v>
      </c>
      <c r="DC200" s="783">
        <f t="shared" si="440"/>
        <v>1.6284694709559622</v>
      </c>
      <c r="DD200" s="925"/>
      <c r="DE200" s="1023"/>
      <c r="DF200" s="792"/>
      <c r="DG200" s="783">
        <f t="shared" si="441"/>
        <v>-100</v>
      </c>
      <c r="DH200" s="925"/>
      <c r="DI200" s="1023"/>
      <c r="DJ200" s="792">
        <f>(DJ149-DJ169)/DJ220</f>
        <v>0</v>
      </c>
      <c r="DK200" s="783" t="e">
        <f t="shared" si="442"/>
        <v>#DIV/0!</v>
      </c>
      <c r="DL200" s="925"/>
      <c r="DM200" s="1023"/>
      <c r="DN200" s="792"/>
      <c r="DO200" s="783" t="e">
        <f t="shared" si="443"/>
        <v>#DIV/0!</v>
      </c>
      <c r="DP200" s="925"/>
      <c r="DQ200" s="804"/>
      <c r="DR200" s="794"/>
      <c r="DS200" s="794"/>
      <c r="DT200" s="794"/>
      <c r="DU200" s="794"/>
      <c r="DV200" s="794"/>
      <c r="DW200" s="794"/>
      <c r="DX200" s="794"/>
      <c r="DY200" s="794"/>
      <c r="DZ200" s="794"/>
      <c r="EA200" s="794"/>
      <c r="EB200" s="794"/>
    </row>
    <row r="201" spans="1:132" hidden="1" outlineLevel="1">
      <c r="A201" s="487" t="str">
        <f>$A$13</f>
        <v>4Q</v>
      </c>
      <c r="B201" s="487" t="str">
        <f>$B$13</f>
        <v>Jan</v>
      </c>
      <c r="C201" s="499"/>
      <c r="D201" s="988"/>
      <c r="E201" s="499"/>
      <c r="F201" s="988">
        <f>+(F150+F251-F170)/F221</f>
        <v>1.3749999999999988E-2</v>
      </c>
      <c r="G201" s="783"/>
      <c r="H201" s="487"/>
      <c r="I201" s="487"/>
      <c r="J201" s="988">
        <f>+(J150+J251-J170)/J221</f>
        <v>-3.2034701439361275E-2</v>
      </c>
      <c r="K201" s="783">
        <f t="shared" si="416"/>
        <v>-332.97964683171858</v>
      </c>
      <c r="L201" s="487"/>
      <c r="M201" s="487"/>
      <c r="N201" s="988">
        <f>+(N150+N251-N170)/N221</f>
        <v>2.340691117849478E-2</v>
      </c>
      <c r="O201" s="783" t="str">
        <f t="shared" si="417"/>
        <v xml:space="preserve">       NM</v>
      </c>
      <c r="P201" s="487"/>
      <c r="Q201" s="487"/>
      <c r="R201" s="988">
        <f>(R150-R170)/R221</f>
        <v>2.432829128051138E-2</v>
      </c>
      <c r="S201" s="783">
        <f t="shared" si="418"/>
        <v>3.936359201734918</v>
      </c>
      <c r="T201" s="487"/>
      <c r="U201" s="487"/>
      <c r="V201" s="988">
        <f>(V150-V170)/V221</f>
        <v>8.5130973343126165E-3</v>
      </c>
      <c r="W201" s="783">
        <f t="shared" si="419"/>
        <v>-65.007417758384918</v>
      </c>
      <c r="X201" s="487"/>
      <c r="Y201" s="487"/>
      <c r="Z201" s="988">
        <f>(Z150-Z170)/Z221</f>
        <v>4.3787324705248237E-3</v>
      </c>
      <c r="AA201" s="783">
        <f t="shared" si="420"/>
        <v>-48.564755005489658</v>
      </c>
      <c r="AB201" s="487"/>
      <c r="AC201" s="487"/>
      <c r="AD201" s="988">
        <f>(AD150-AD170)/AD221</f>
        <v>0.14822626026024924</v>
      </c>
      <c r="AE201" s="783">
        <f t="shared" si="421"/>
        <v>3285.1408200438245</v>
      </c>
      <c r="AF201" s="487"/>
      <c r="AG201" s="487"/>
      <c r="AH201" s="988">
        <f>(AH150-AH170)/AH221</f>
        <v>7.2023986635194895E-2</v>
      </c>
      <c r="AI201" s="783">
        <f t="shared" si="422"/>
        <v>-51.409428728257531</v>
      </c>
      <c r="AJ201" s="487"/>
      <c r="AK201" s="487"/>
      <c r="AL201" s="988">
        <f>(AL150-AL170)/AL221</f>
        <v>0.10366102564353064</v>
      </c>
      <c r="AM201" s="783">
        <f t="shared" si="423"/>
        <v>43.925698210207287</v>
      </c>
      <c r="AN201" s="487"/>
      <c r="AO201" s="487"/>
      <c r="AP201" s="988">
        <f>(AP150-AP170)/AP221</f>
        <v>0.11105923030820117</v>
      </c>
      <c r="AQ201" s="783">
        <f t="shared" si="424"/>
        <v>7.1369201864849963</v>
      </c>
      <c r="AR201" s="487"/>
      <c r="AS201" s="487"/>
      <c r="AT201" s="988">
        <f>(AT150-AT170)/AT221</f>
        <v>0.11962094488014373</v>
      </c>
      <c r="AU201" s="783">
        <f t="shared" si="425"/>
        <v>7.7091427233764387</v>
      </c>
      <c r="AV201" s="487"/>
      <c r="AW201" s="487"/>
      <c r="AX201" s="988">
        <f>(AX150-AX170)/AX221</f>
        <v>0.14104291665709376</v>
      </c>
      <c r="AY201" s="783">
        <f t="shared" si="426"/>
        <v>17.908211474515735</v>
      </c>
      <c r="AZ201" s="487"/>
      <c r="BA201" s="487"/>
      <c r="BB201" s="988">
        <f>(BB150-BB170)/BB221</f>
        <v>0.14125330649893733</v>
      </c>
      <c r="BC201" s="783">
        <f t="shared" si="427"/>
        <v>0.14916725123819141</v>
      </c>
      <c r="BD201" s="487"/>
      <c r="BE201" s="487"/>
      <c r="BF201" s="988">
        <f>(BF150-BF170)/BF221</f>
        <v>0.21602542673641917</v>
      </c>
      <c r="BG201" s="783">
        <f t="shared" si="428"/>
        <v>52.934775185630322</v>
      </c>
      <c r="BH201" s="754"/>
      <c r="BI201" s="487"/>
      <c r="BJ201" s="988">
        <f>(BJ150-BJ170)/BJ221</f>
        <v>0.16285872150624431</v>
      </c>
      <c r="BK201" s="783">
        <f t="shared" si="429"/>
        <v>-24.611318229240474</v>
      </c>
      <c r="BL201" s="925"/>
      <c r="BM201" s="487"/>
      <c r="BN201" s="988">
        <f>(BN150-BN170)/BN221</f>
        <v>0.29735466909637925</v>
      </c>
      <c r="BO201" s="783">
        <f t="shared" si="430"/>
        <v>82.584430447575457</v>
      </c>
      <c r="BP201" s="925"/>
      <c r="BQ201" s="487"/>
      <c r="BR201" s="988">
        <f>(BR150-BR170)/BR221</f>
        <v>0.2573837508008267</v>
      </c>
      <c r="BS201" s="783">
        <f t="shared" si="431"/>
        <v>-13.442169385474523</v>
      </c>
      <c r="BT201" s="925"/>
      <c r="BU201" s="487"/>
      <c r="BV201" s="988">
        <f>(BV150-BV170)/BV221</f>
        <v>0.32128183879015904</v>
      </c>
      <c r="BW201" s="783">
        <f t="shared" si="432"/>
        <v>24.825999228979722</v>
      </c>
      <c r="BX201" s="925"/>
      <c r="BY201" s="925"/>
      <c r="BZ201" s="988">
        <f>(BZ150-BZ170)/BZ221</f>
        <v>0.27449684694624066</v>
      </c>
      <c r="CA201" s="783">
        <f t="shared" si="433"/>
        <v>-14.561978361458328</v>
      </c>
      <c r="CB201" s="925"/>
      <c r="CC201" s="925"/>
      <c r="CD201" s="988">
        <f>(CD150-CD170)/CD221</f>
        <v>0.47115221752790576</v>
      </c>
      <c r="CE201" s="783">
        <f t="shared" si="434"/>
        <v>71.642123678083422</v>
      </c>
      <c r="CF201" s="925"/>
      <c r="CG201" s="925"/>
      <c r="CH201" s="988">
        <f>(CH150-CH170)/CH221</f>
        <v>0.52645341817998903</v>
      </c>
      <c r="CI201" s="783">
        <f t="shared" si="435"/>
        <v>11.737438261936628</v>
      </c>
      <c r="CJ201" s="925"/>
      <c r="CK201" s="925"/>
      <c r="CL201" s="988">
        <f>(CL150-CL170)/CL221</f>
        <v>0.62310194161393473</v>
      </c>
      <c r="CM201" s="783">
        <f t="shared" si="436"/>
        <v>18.358418826127277</v>
      </c>
      <c r="CN201" s="925"/>
      <c r="CO201" s="925"/>
      <c r="CP201" s="988">
        <f>(CP150-CP170)/CP221</f>
        <v>0.81966955409317166</v>
      </c>
      <c r="CQ201" s="783">
        <f t="shared" si="437"/>
        <v>31.546621724543989</v>
      </c>
      <c r="CS201" s="925"/>
      <c r="CT201" s="988">
        <f>(CT150-CT170)/CT221</f>
        <v>0.80930990198640163</v>
      </c>
      <c r="CU201" s="783">
        <f t="shared" si="438"/>
        <v>-1.2638815306774798</v>
      </c>
      <c r="CV201" s="925"/>
      <c r="CW201" s="1023"/>
      <c r="CX201" s="988">
        <f>(CX150-CX170)/CX221</f>
        <v>0.93146130059431342</v>
      </c>
      <c r="CY201" s="783">
        <f t="shared" si="439"/>
        <v>15.093278644941655</v>
      </c>
      <c r="CZ201" s="925"/>
      <c r="DA201" s="1023"/>
      <c r="DB201" s="988">
        <f>(DB150-DB170)/DB221</f>
        <v>0.98783119601112346</v>
      </c>
      <c r="DC201" s="783">
        <f t="shared" si="440"/>
        <v>6.0517699855961338</v>
      </c>
      <c r="DD201" s="925"/>
      <c r="DE201" s="1023"/>
      <c r="DF201" s="988"/>
      <c r="DG201" s="783">
        <f t="shared" si="441"/>
        <v>-100</v>
      </c>
      <c r="DH201" s="925"/>
      <c r="DI201" s="1023"/>
      <c r="DJ201" s="988">
        <f>(DJ150-DJ170)/DJ221</f>
        <v>0</v>
      </c>
      <c r="DK201" s="783" t="e">
        <f t="shared" si="442"/>
        <v>#DIV/0!</v>
      </c>
      <c r="DL201" s="925"/>
      <c r="DM201" s="1023"/>
      <c r="DN201" s="988"/>
      <c r="DO201" s="783" t="e">
        <f t="shared" si="443"/>
        <v>#DIV/0!</v>
      </c>
      <c r="DP201" s="925"/>
      <c r="DQ201" s="804"/>
      <c r="DR201" s="794"/>
      <c r="DS201" s="794"/>
      <c r="DT201" s="794"/>
      <c r="DU201" s="794"/>
      <c r="DV201" s="794"/>
      <c r="DW201" s="794"/>
      <c r="DX201" s="794"/>
      <c r="DY201" s="794"/>
      <c r="DZ201" s="794"/>
      <c r="EA201" s="794"/>
      <c r="EB201" s="794"/>
    </row>
    <row r="202" spans="1:132" hidden="1" outlineLevel="1">
      <c r="A202" s="487"/>
      <c r="B202" s="487" t="str">
        <f>$B$14</f>
        <v>Year</v>
      </c>
      <c r="C202" s="487"/>
      <c r="D202" s="867"/>
      <c r="E202" s="487"/>
      <c r="F202" s="867">
        <f>+(F151+F252-F171)/F222</f>
        <v>6.6373633980492161E-2</v>
      </c>
      <c r="G202" s="783"/>
      <c r="H202" s="487"/>
      <c r="I202" s="487"/>
      <c r="J202" s="867">
        <f>+(J151+J252-J171)/J222</f>
        <v>1.794589600537989E-2</v>
      </c>
      <c r="K202" s="783">
        <f t="shared" si="416"/>
        <v>-72.962312097218657</v>
      </c>
      <c r="L202" s="487"/>
      <c r="M202" s="487"/>
      <c r="N202" s="867">
        <f>+(N151+N252-N171)/N222</f>
        <v>8.6276125076678561E-2</v>
      </c>
      <c r="O202" s="783">
        <f t="shared" si="417"/>
        <v>380.75685410644508</v>
      </c>
      <c r="P202" s="487"/>
      <c r="Q202" s="487"/>
      <c r="R202" s="867">
        <f>(R151-R171)/R222</f>
        <v>9.8749220236402216E-2</v>
      </c>
      <c r="S202" s="783">
        <f t="shared" si="418"/>
        <v>14.457180533592684</v>
      </c>
      <c r="T202" s="487"/>
      <c r="U202" s="487"/>
      <c r="V202" s="867">
        <f>(V151-V171)/V222</f>
        <v>6.4198041297453365E-2</v>
      </c>
      <c r="W202" s="783">
        <f t="shared" si="419"/>
        <v>-34.988811917941753</v>
      </c>
      <c r="X202" s="487"/>
      <c r="Y202" s="487"/>
      <c r="Z202" s="867">
        <f>(Z151-Z171)/Z222</f>
        <v>1.4569940563700885E-2</v>
      </c>
      <c r="AA202" s="783">
        <f t="shared" si="420"/>
        <v>-77.304696110286386</v>
      </c>
      <c r="AB202" s="487"/>
      <c r="AC202" s="487"/>
      <c r="AD202" s="867">
        <f>(AD151-AD171)/AD222</f>
        <v>0.25889269673671855</v>
      </c>
      <c r="AE202" s="783">
        <f t="shared" si="421"/>
        <v>1676.896038832966</v>
      </c>
      <c r="AF202" s="487"/>
      <c r="AG202" s="487"/>
      <c r="AH202" s="867">
        <f>(AH151-AH171)/AH222</f>
        <v>0.21796651686487023</v>
      </c>
      <c r="AI202" s="783">
        <f t="shared" si="422"/>
        <v>-15.808163145470377</v>
      </c>
      <c r="AJ202" s="487"/>
      <c r="AK202" s="487"/>
      <c r="AL202" s="867">
        <f>(AL151-AL171)/AL222</f>
        <v>0.31664171258183421</v>
      </c>
      <c r="AM202" s="783">
        <f t="shared" si="423"/>
        <v>45.270804496150355</v>
      </c>
      <c r="AN202" s="487"/>
      <c r="AO202" s="487"/>
      <c r="AP202" s="867">
        <f>(AP151-AP171)/AP222</f>
        <v>0.4103863761125548</v>
      </c>
      <c r="AQ202" s="783">
        <f t="shared" si="424"/>
        <v>29.605910973113758</v>
      </c>
      <c r="AR202" s="487"/>
      <c r="AS202" s="487"/>
      <c r="AT202" s="867">
        <f>(AT151-AT171)/AT222</f>
        <v>0.46513955933000434</v>
      </c>
      <c r="AU202" s="783">
        <f t="shared" si="425"/>
        <v>13.341861817175094</v>
      </c>
      <c r="AV202" s="487"/>
      <c r="AW202" s="487"/>
      <c r="AX202" s="867">
        <f>(AX151-AX171)/AX222</f>
        <v>0.44978050148489512</v>
      </c>
      <c r="AY202" s="783">
        <f t="shared" si="426"/>
        <v>-3.3020321615372161</v>
      </c>
      <c r="AZ202" s="487"/>
      <c r="BA202" s="487"/>
      <c r="BB202" s="867">
        <f>(BB151-BB171)/BB222</f>
        <v>0.52329545454545467</v>
      </c>
      <c r="BC202" s="783">
        <f t="shared" si="427"/>
        <v>16.344628728426191</v>
      </c>
      <c r="BD202" s="487"/>
      <c r="BE202" s="487"/>
      <c r="BF202" s="867">
        <f>(BF151-BF171)/BF222</f>
        <v>0.57350917841298965</v>
      </c>
      <c r="BG202" s="783">
        <f t="shared" si="428"/>
        <v>9.5956736163801857</v>
      </c>
      <c r="BH202" s="487"/>
      <c r="BI202" s="487"/>
      <c r="BJ202" s="867">
        <f>(BJ151-BJ171)/BJ222</f>
        <v>0.59814190899156616</v>
      </c>
      <c r="BK202" s="783">
        <f t="shared" si="429"/>
        <v>4.2950891643513067</v>
      </c>
      <c r="BL202" s="487"/>
      <c r="BM202" s="487"/>
      <c r="BN202" s="867">
        <f>(BN151-BN171)/BN222</f>
        <v>0.70236384416814457</v>
      </c>
      <c r="BO202" s="783">
        <f t="shared" si="430"/>
        <v>17.424282366753197</v>
      </c>
      <c r="BP202" s="487"/>
      <c r="BQ202" s="487"/>
      <c r="BR202" s="867">
        <f>(BR151-BR171)/BR222</f>
        <v>0.81235220077850345</v>
      </c>
      <c r="BS202" s="783">
        <f t="shared" si="431"/>
        <v>15.659740677657652</v>
      </c>
      <c r="BT202" s="487"/>
      <c r="BU202" s="487"/>
      <c r="BV202" s="867">
        <f>(BV151-BV171)/BV222</f>
        <v>0.96347298859911901</v>
      </c>
      <c r="BW202" s="783">
        <f t="shared" si="432"/>
        <v>18.602865564442574</v>
      </c>
      <c r="BX202" s="487"/>
      <c r="BY202" s="487"/>
      <c r="BZ202" s="867">
        <f>(BZ151-BZ171)/BZ222</f>
        <v>1.0133079332059556</v>
      </c>
      <c r="CA202" s="783">
        <f t="shared" si="433"/>
        <v>5.1724277895217607</v>
      </c>
      <c r="CB202" s="487"/>
      <c r="CC202" s="487"/>
      <c r="CD202" s="867">
        <f>(CD151-CD171)/CD222</f>
        <v>1.4189874631389161</v>
      </c>
      <c r="CE202" s="783">
        <f t="shared" si="434"/>
        <v>40.035167656237604</v>
      </c>
      <c r="CF202" s="487"/>
      <c r="CG202" s="487"/>
      <c r="CH202" s="867">
        <f>(CH151-CH171)/CH222</f>
        <v>1.7474268170555565</v>
      </c>
      <c r="CI202" s="783">
        <f t="shared" si="435"/>
        <v>23.146036342710573</v>
      </c>
      <c r="CJ202" s="487"/>
      <c r="CK202" s="487"/>
      <c r="CL202" s="867">
        <f>(CL151-CL171)/CL222</f>
        <v>1.9885174482922612</v>
      </c>
      <c r="CM202" s="783">
        <f t="shared" si="436"/>
        <v>13.79689431818074</v>
      </c>
      <c r="CN202" s="487"/>
      <c r="CO202" s="487"/>
      <c r="CP202" s="867">
        <f>(CP151-CP171)/CP222</f>
        <v>2.5505641725357999</v>
      </c>
      <c r="CQ202" s="783">
        <f t="shared" si="437"/>
        <v>28.264611141643471</v>
      </c>
      <c r="CS202" s="487"/>
      <c r="CT202" s="867">
        <f>(CT151-CT171)/CT222</f>
        <v>2.8342678172186315</v>
      </c>
      <c r="CU202" s="783">
        <f t="shared" si="438"/>
        <v>11.123172188244546</v>
      </c>
      <c r="CV202" s="487"/>
      <c r="CW202" s="794"/>
      <c r="CX202" s="867">
        <f>(CX151-CX171)/CX222</f>
        <v>3.1624659586825747</v>
      </c>
      <c r="CY202" s="783">
        <f t="shared" si="439"/>
        <v>11.579644642968701</v>
      </c>
      <c r="CZ202" s="487"/>
      <c r="DA202" s="794"/>
      <c r="DB202" s="867">
        <f>(DB151-DB171)/DB222</f>
        <v>3.3347261834345514</v>
      </c>
      <c r="DC202" s="783">
        <f t="shared" si="440"/>
        <v>5.4470222605569774</v>
      </c>
      <c r="DD202" s="487"/>
      <c r="DE202" s="794"/>
      <c r="DF202" s="867"/>
      <c r="DG202" s="783">
        <f t="shared" si="441"/>
        <v>-100</v>
      </c>
      <c r="DH202" s="487"/>
      <c r="DI202" s="794"/>
      <c r="DJ202" s="867">
        <f>(DJ151-DJ171)/DJ222</f>
        <v>0</v>
      </c>
      <c r="DK202" s="783" t="e">
        <f t="shared" si="442"/>
        <v>#DIV/0!</v>
      </c>
      <c r="DL202" s="487"/>
      <c r="DM202" s="794"/>
      <c r="DN202" s="867"/>
      <c r="DO202" s="783" t="e">
        <f t="shared" si="443"/>
        <v>#DIV/0!</v>
      </c>
      <c r="DP202" s="487"/>
      <c r="DQ202" s="804"/>
      <c r="DR202" s="794"/>
      <c r="DS202" s="794"/>
      <c r="DT202" s="794"/>
      <c r="DU202" s="794"/>
      <c r="DV202" s="794"/>
      <c r="DW202" s="794"/>
      <c r="DX202" s="794"/>
      <c r="DY202" s="794"/>
      <c r="DZ202" s="794"/>
      <c r="EA202" s="794"/>
      <c r="EB202" s="794"/>
    </row>
    <row r="203" spans="1:132" hidden="1" outlineLevel="2">
      <c r="A203" s="487" t="str">
        <f>$A$15</f>
        <v>6 Mos</v>
      </c>
      <c r="B203" s="487"/>
      <c r="C203" s="487"/>
      <c r="D203" s="792"/>
      <c r="E203" s="487"/>
      <c r="F203" s="792">
        <f>SUM(F198:F199)</f>
        <v>2.5965735961685742E-2</v>
      </c>
      <c r="G203" s="783"/>
      <c r="H203" s="487"/>
      <c r="I203" s="487"/>
      <c r="J203" s="792">
        <f>SUM(J198:J199)</f>
        <v>2.5558998340587474E-2</v>
      </c>
      <c r="K203" s="783">
        <f t="shared" si="416"/>
        <v>-1.5664397947296238</v>
      </c>
      <c r="L203" s="487"/>
      <c r="M203" s="487"/>
      <c r="N203" s="792">
        <f>SUM(N198:N199)</f>
        <v>2.8835062590582675E-2</v>
      </c>
      <c r="O203" s="783">
        <f t="shared" si="417"/>
        <v>12.817655083113477</v>
      </c>
      <c r="P203" s="487"/>
      <c r="Q203" s="487"/>
      <c r="R203" s="792">
        <f>SUM(R198:R199)</f>
        <v>3.5742716394293612E-2</v>
      </c>
      <c r="S203" s="783">
        <f t="shared" si="418"/>
        <v>23.95574409457646</v>
      </c>
      <c r="T203" s="487"/>
      <c r="U203" s="487"/>
      <c r="V203" s="792">
        <f>SUM(V198:V199)</f>
        <v>2.9222937503562089E-2</v>
      </c>
      <c r="W203" s="783">
        <f t="shared" si="419"/>
        <v>-18.240860092470246</v>
      </c>
      <c r="X203" s="487"/>
      <c r="Y203" s="487"/>
      <c r="Z203" s="792">
        <f>SUM(Z198:Z199)</f>
        <v>-1.7548052891291716E-2</v>
      </c>
      <c r="AA203" s="783">
        <f t="shared" si="420"/>
        <v>-160.04890127542012</v>
      </c>
      <c r="AB203" s="487"/>
      <c r="AC203" s="487"/>
      <c r="AD203" s="792">
        <f>SUM(AD198:AD199)</f>
        <v>4.5764837024398666E-2</v>
      </c>
      <c r="AE203" s="783" t="str">
        <f t="shared" si="421"/>
        <v xml:space="preserve">       NM</v>
      </c>
      <c r="AF203" s="487"/>
      <c r="AG203" s="487"/>
      <c r="AH203" s="792">
        <f>SUM(AH198:AH199)</f>
        <v>7.1209476354141543E-2</v>
      </c>
      <c r="AI203" s="783">
        <f t="shared" si="422"/>
        <v>55.598666976957745</v>
      </c>
      <c r="AJ203" s="487"/>
      <c r="AK203" s="487"/>
      <c r="AL203" s="792">
        <f>SUM(AL198:AL199)</f>
        <v>0.12417902327749258</v>
      </c>
      <c r="AM203" s="783">
        <f t="shared" si="423"/>
        <v>74.385530740207912</v>
      </c>
      <c r="AN203" s="487"/>
      <c r="AO203" s="487"/>
      <c r="AP203" s="792">
        <f>SUM(AP198:AP199)</f>
        <v>0.18041494143944919</v>
      </c>
      <c r="AQ203" s="783">
        <f t="shared" si="424"/>
        <v>45.286165632250828</v>
      </c>
      <c r="AR203" s="487"/>
      <c r="AS203" s="487"/>
      <c r="AT203" s="792">
        <f>SUM(AT198:AT199)</f>
        <v>0.2062092969532307</v>
      </c>
      <c r="AU203" s="783">
        <f t="shared" si="425"/>
        <v>14.297239080078405</v>
      </c>
      <c r="AV203" s="487"/>
      <c r="AW203" s="487"/>
      <c r="AX203" s="792">
        <f>SUM(AX198:AX199)</f>
        <v>0.20981448955616408</v>
      </c>
      <c r="AY203" s="783">
        <f t="shared" si="426"/>
        <v>1.748317198206184</v>
      </c>
      <c r="AZ203" s="487"/>
      <c r="BA203" s="487"/>
      <c r="BB203" s="792">
        <f>SUM(BB198:BB199)</f>
        <v>0.24632496125341413</v>
      </c>
      <c r="BC203" s="783">
        <f t="shared" si="427"/>
        <v>17.401310926849401</v>
      </c>
      <c r="BD203" s="487"/>
      <c r="BE203" s="487"/>
      <c r="BF203" s="792">
        <f>SUM(BF198:BF199)</f>
        <v>0.19960447966334854</v>
      </c>
      <c r="BG203" s="783">
        <f t="shared" si="428"/>
        <v>-18.967010631943428</v>
      </c>
      <c r="BH203" s="783"/>
      <c r="BI203" s="487"/>
      <c r="BJ203" s="792">
        <f>SUM(BJ198:BJ199)</f>
        <v>0.25058362316229726</v>
      </c>
      <c r="BK203" s="783">
        <f t="shared" si="429"/>
        <v>25.540079854384913</v>
      </c>
      <c r="BL203" s="487"/>
      <c r="BM203" s="487"/>
      <c r="BN203" s="792">
        <f>SUM(BN198:BN199)</f>
        <v>0.24879711823002779</v>
      </c>
      <c r="BO203" s="783">
        <f t="shared" si="430"/>
        <v>-0.71293762526228877</v>
      </c>
      <c r="BP203" s="487"/>
      <c r="BQ203" s="487"/>
      <c r="BR203" s="792">
        <f>SUM(BR198:BR199)</f>
        <v>0.31431820649098929</v>
      </c>
      <c r="BS203" s="783">
        <f t="shared" si="431"/>
        <v>26.335147580119212</v>
      </c>
      <c r="BT203" s="487"/>
      <c r="BU203" s="487"/>
      <c r="BV203" s="792">
        <f>SUM(BV198:BV199)</f>
        <v>0.37545817105902224</v>
      </c>
      <c r="BW203" s="783">
        <f t="shared" si="432"/>
        <v>19.451614098525248</v>
      </c>
      <c r="BX203" s="487"/>
      <c r="BY203" s="487"/>
      <c r="BZ203" s="792">
        <f>SUM(BZ198:BZ199)</f>
        <v>0.45786211093808638</v>
      </c>
      <c r="CA203" s="783">
        <f t="shared" si="433"/>
        <v>21.947568659015857</v>
      </c>
      <c r="CB203" s="487"/>
      <c r="CC203" s="487"/>
      <c r="CD203" s="792">
        <f>SUM(CD198:CD199)</f>
        <v>0.54601130963743882</v>
      </c>
      <c r="CE203" s="783">
        <f t="shared" si="434"/>
        <v>19.252346196270498</v>
      </c>
      <c r="CF203" s="487"/>
      <c r="CG203" s="487"/>
      <c r="CH203" s="792">
        <f>SUM(CH198:CH199)</f>
        <v>0.76353512291867076</v>
      </c>
      <c r="CI203" s="783">
        <f t="shared" si="435"/>
        <v>39.838701038202238</v>
      </c>
      <c r="CJ203" s="487"/>
      <c r="CK203" s="487"/>
      <c r="CL203" s="792">
        <f>SUM(CL198:CL199)</f>
        <v>0.84084246796884576</v>
      </c>
      <c r="CM203" s="783">
        <f t="shared" si="436"/>
        <v>10.124923232694494</v>
      </c>
      <c r="CN203" s="487"/>
      <c r="CO203" s="487"/>
      <c r="CP203" s="792">
        <f>SUM(CP198:CP199)</f>
        <v>1.1150126392376809</v>
      </c>
      <c r="CQ203" s="783">
        <f t="shared" si="437"/>
        <v>32.606603699635393</v>
      </c>
      <c r="CS203" s="487"/>
      <c r="CT203" s="792">
        <f>SUM(CT198:CT199)</f>
        <v>1.2764267704163903</v>
      </c>
      <c r="CU203" s="783">
        <f t="shared" si="438"/>
        <v>14.476439593462009</v>
      </c>
      <c r="CV203" s="487"/>
      <c r="CW203" s="794"/>
      <c r="CX203" s="792">
        <f>SUM(CX198:CX199)</f>
        <v>1.3861567956030538</v>
      </c>
      <c r="CY203" s="783">
        <f t="shared" si="439"/>
        <v>8.5966565203633216</v>
      </c>
      <c r="CZ203" s="487"/>
      <c r="DA203" s="794"/>
      <c r="DB203" s="792">
        <f>SUM(DB198:DB199)</f>
        <v>1.488199538606096</v>
      </c>
      <c r="DC203" s="783">
        <f t="shared" si="440"/>
        <v>7.3615584706380854</v>
      </c>
      <c r="DD203" s="487"/>
      <c r="DE203" s="794"/>
      <c r="DF203" s="792"/>
      <c r="DG203" s="783">
        <f t="shared" si="441"/>
        <v>-100</v>
      </c>
      <c r="DH203" s="487"/>
      <c r="DI203" s="794"/>
      <c r="DJ203" s="792">
        <f>SUM(DJ198:DJ199)</f>
        <v>0</v>
      </c>
      <c r="DK203" s="783" t="e">
        <f t="shared" si="442"/>
        <v>#DIV/0!</v>
      </c>
      <c r="DL203" s="487"/>
      <c r="DM203" s="794"/>
      <c r="DN203" s="792"/>
      <c r="DO203" s="783" t="e">
        <f t="shared" si="443"/>
        <v>#DIV/0!</v>
      </c>
      <c r="DP203" s="487"/>
      <c r="DQ203" s="804"/>
      <c r="DR203" s="794"/>
      <c r="DS203" s="794"/>
      <c r="DT203" s="794"/>
      <c r="DU203" s="794"/>
      <c r="DV203" s="794"/>
      <c r="DW203" s="794"/>
      <c r="DX203" s="794"/>
      <c r="DY203" s="794"/>
      <c r="DZ203" s="794"/>
      <c r="EA203" s="794"/>
      <c r="EB203" s="794"/>
    </row>
    <row r="204" spans="1:132" hidden="1" outlineLevel="2">
      <c r="A204" s="487" t="str">
        <f>$A$16</f>
        <v>9 Mos</v>
      </c>
      <c r="B204" s="487"/>
      <c r="C204" s="487"/>
      <c r="D204" s="792"/>
      <c r="E204" s="487"/>
      <c r="F204" s="792">
        <f>SUM(F198:F200)</f>
        <v>5.2256158551666501E-2</v>
      </c>
      <c r="G204" s="783"/>
      <c r="H204" s="487"/>
      <c r="I204" s="487"/>
      <c r="J204" s="792">
        <f>SUM(J198:J200)</f>
        <v>4.9686139258087923E-2</v>
      </c>
      <c r="K204" s="783">
        <f t="shared" si="416"/>
        <v>-4.9181175287455474</v>
      </c>
      <c r="L204" s="487"/>
      <c r="M204" s="487"/>
      <c r="N204" s="792">
        <f>SUM(N198:N200)</f>
        <v>6.1093001779826586E-2</v>
      </c>
      <c r="O204" s="783">
        <f t="shared" si="417"/>
        <v>22.957836314243018</v>
      </c>
      <c r="P204" s="487"/>
      <c r="Q204" s="487"/>
      <c r="R204" s="792">
        <f>SUM(R198:R200)</f>
        <v>7.3723182784392702E-2</v>
      </c>
      <c r="S204" s="783">
        <f t="shared" si="418"/>
        <v>20.673695245953194</v>
      </c>
      <c r="T204" s="487"/>
      <c r="U204" s="487"/>
      <c r="V204" s="792">
        <f>SUM(V198:V200)</f>
        <v>5.5540754765378994E-2</v>
      </c>
      <c r="W204" s="783">
        <f t="shared" si="419"/>
        <v>-24.663107766506997</v>
      </c>
      <c r="X204" s="487"/>
      <c r="Y204" s="487"/>
      <c r="Z204" s="792">
        <f>SUM(Z198:Z200)</f>
        <v>1.0000250293917639E-2</v>
      </c>
      <c r="AA204" s="783">
        <f t="shared" si="420"/>
        <v>-81.994752616953576</v>
      </c>
      <c r="AB204" s="487"/>
      <c r="AC204" s="487"/>
      <c r="AD204" s="792">
        <f>SUM(AD198:AD200)</f>
        <v>0.10611356054055696</v>
      </c>
      <c r="AE204" s="783">
        <f t="shared" si="421"/>
        <v>961.10904649154065</v>
      </c>
      <c r="AF204" s="487"/>
      <c r="AG204" s="487"/>
      <c r="AH204" s="792">
        <f>SUM(AH198:AH200)</f>
        <v>0.14685348556094652</v>
      </c>
      <c r="AI204" s="783">
        <f t="shared" si="422"/>
        <v>38.392760371864654</v>
      </c>
      <c r="AJ204" s="487"/>
      <c r="AK204" s="487"/>
      <c r="AL204" s="792">
        <f>SUM(AL198:AL200)</f>
        <v>0.21406824931396257</v>
      </c>
      <c r="AM204" s="783">
        <f t="shared" si="423"/>
        <v>45.769947847183289</v>
      </c>
      <c r="AN204" s="487"/>
      <c r="AO204" s="487"/>
      <c r="AP204" s="792">
        <f>SUM(AP198:AP200)</f>
        <v>0.30032544148212853</v>
      </c>
      <c r="AQ204" s="783">
        <f t="shared" si="424"/>
        <v>40.294248420585312</v>
      </c>
      <c r="AR204" s="487"/>
      <c r="AS204" s="487"/>
      <c r="AT204" s="792">
        <f>SUM(AT198:AT200)</f>
        <v>0.34606007288655372</v>
      </c>
      <c r="AU204" s="783">
        <f t="shared" si="425"/>
        <v>15.228357337534026</v>
      </c>
      <c r="AV204" s="487"/>
      <c r="AW204" s="487"/>
      <c r="AX204" s="792">
        <f>SUM(AX198:AX200)</f>
        <v>0.30896878055124088</v>
      </c>
      <c r="AY204" s="783">
        <f t="shared" si="426"/>
        <v>-10.718165787207756</v>
      </c>
      <c r="AZ204" s="487"/>
      <c r="BA204" s="487"/>
      <c r="BB204" s="792">
        <f>SUM(BB198:BB200)</f>
        <v>0.38047067421496927</v>
      </c>
      <c r="BC204" s="783">
        <f t="shared" si="427"/>
        <v>23.142109547818922</v>
      </c>
      <c r="BD204" s="487"/>
      <c r="BE204" s="487"/>
      <c r="BF204" s="792">
        <f>SUM(BF198:BF200)</f>
        <v>0.36042087060176908</v>
      </c>
      <c r="BG204" s="783">
        <f t="shared" si="428"/>
        <v>-5.2697369263923548</v>
      </c>
      <c r="BH204" s="487"/>
      <c r="BI204" s="487"/>
      <c r="BJ204" s="792">
        <f>SUM(BJ198:BJ200)</f>
        <v>0.43250964019681104</v>
      </c>
      <c r="BK204" s="783">
        <f t="shared" si="429"/>
        <v>20.001275030128095</v>
      </c>
      <c r="BL204" s="487"/>
      <c r="BM204" s="487"/>
      <c r="BN204" s="792">
        <f>SUM(BN198:BN200)</f>
        <v>0.40843378388402263</v>
      </c>
      <c r="BO204" s="783">
        <f t="shared" si="430"/>
        <v>-5.5665479044196164</v>
      </c>
      <c r="BP204" s="487"/>
      <c r="BQ204" s="487"/>
      <c r="BR204" s="792">
        <f>SUM(BR198:BR200)</f>
        <v>0.55500985714404583</v>
      </c>
      <c r="BS204" s="783">
        <f t="shared" si="431"/>
        <v>35.887352869331799</v>
      </c>
      <c r="BT204" s="487"/>
      <c r="BU204" s="487"/>
      <c r="BV204" s="792">
        <f>SUM(BV198:BV200)</f>
        <v>0.64590231508292573</v>
      </c>
      <c r="BW204" s="783">
        <f t="shared" si="432"/>
        <v>16.376728587595135</v>
      </c>
      <c r="BX204" s="487"/>
      <c r="BY204" s="487"/>
      <c r="BZ204" s="792">
        <f>SUM(BZ198:BZ200)</f>
        <v>0.74129667346687256</v>
      </c>
      <c r="CA204" s="783">
        <f t="shared" si="433"/>
        <v>14.769161861836544</v>
      </c>
      <c r="CB204" s="487"/>
      <c r="CC204" s="487"/>
      <c r="CD204" s="792">
        <f>SUM(CD198:CD200)</f>
        <v>0.95223123432652423</v>
      </c>
      <c r="CE204" s="783">
        <f t="shared" si="434"/>
        <v>28.454810119834974</v>
      </c>
      <c r="CF204" s="487"/>
      <c r="CG204" s="487"/>
      <c r="CH204" s="792">
        <f>SUM(CH198:CH200)</f>
        <v>1.2254111153759948</v>
      </c>
      <c r="CI204" s="783">
        <f t="shared" si="435"/>
        <v>28.688397439796233</v>
      </c>
      <c r="CJ204" s="487"/>
      <c r="CK204" s="487"/>
      <c r="CL204" s="792">
        <f>SUM(CL198:CL200)</f>
        <v>1.3714683262656706</v>
      </c>
      <c r="CM204" s="783">
        <f t="shared" si="436"/>
        <v>11.919037542340295</v>
      </c>
      <c r="CN204" s="487"/>
      <c r="CO204" s="487"/>
      <c r="CP204" s="792">
        <f>SUM(CP198:CP200)</f>
        <v>1.7339285899497905</v>
      </c>
      <c r="CQ204" s="783">
        <f t="shared" si="437"/>
        <v>26.428628116483878</v>
      </c>
      <c r="CS204" s="487"/>
      <c r="CT204" s="792">
        <f>SUM(CT198:CT200)</f>
        <v>2.0277002268621143</v>
      </c>
      <c r="CU204" s="783">
        <f t="shared" si="438"/>
        <v>16.942545305215283</v>
      </c>
      <c r="CV204" s="487"/>
      <c r="CW204" s="794"/>
      <c r="CX204" s="792">
        <f>SUM(CX198:CX200)</f>
        <v>2.2348768475285037</v>
      </c>
      <c r="CY204" s="783">
        <f t="shared" si="439"/>
        <v>10.217319992462448</v>
      </c>
      <c r="CZ204" s="487"/>
      <c r="DA204" s="794"/>
      <c r="DB204" s="792">
        <f>SUM(DB198:DB200)</f>
        <v>2.3507407374710332</v>
      </c>
      <c r="DC204" s="783">
        <f t="shared" si="440"/>
        <v>5.1843523311210893</v>
      </c>
      <c r="DD204" s="487"/>
      <c r="DE204" s="794"/>
      <c r="DF204" s="792"/>
      <c r="DG204" s="783">
        <f t="shared" si="441"/>
        <v>-100</v>
      </c>
      <c r="DH204" s="487"/>
      <c r="DI204" s="794"/>
      <c r="DJ204" s="792">
        <f>SUM(DJ198:DJ200)</f>
        <v>0</v>
      </c>
      <c r="DK204" s="783" t="e">
        <f t="shared" si="442"/>
        <v>#DIV/0!</v>
      </c>
      <c r="DL204" s="487"/>
      <c r="DM204" s="794"/>
      <c r="DN204" s="792"/>
      <c r="DO204" s="783" t="e">
        <f t="shared" si="443"/>
        <v>#DIV/0!</v>
      </c>
      <c r="DP204" s="487"/>
      <c r="DQ204" s="804"/>
      <c r="DR204" s="794"/>
      <c r="DS204" s="794"/>
      <c r="DT204" s="794"/>
      <c r="DU204" s="794"/>
      <c r="DV204" s="794"/>
      <c r="DW204" s="794"/>
      <c r="DX204" s="794"/>
      <c r="DY204" s="794"/>
      <c r="DZ204" s="794"/>
      <c r="EA204" s="794"/>
      <c r="EB204" s="794"/>
    </row>
    <row r="205" spans="1:132" hidden="1" outlineLevel="1" collapsed="1">
      <c r="A205" s="487"/>
      <c r="B205" s="487"/>
      <c r="C205" s="487"/>
      <c r="D205" s="487"/>
      <c r="E205" s="487"/>
      <c r="F205" s="487"/>
      <c r="G205" s="487"/>
      <c r="H205" s="487"/>
      <c r="I205" s="487"/>
      <c r="J205" s="487"/>
      <c r="K205" s="487"/>
      <c r="L205" s="487"/>
      <c r="M205" s="487"/>
      <c r="N205" s="487"/>
      <c r="O205" s="487"/>
      <c r="P205" s="487"/>
      <c r="Q205" s="487"/>
      <c r="R205" s="487"/>
      <c r="S205" s="487"/>
      <c r="T205" s="487"/>
      <c r="U205" s="487"/>
      <c r="V205" s="487"/>
      <c r="W205" s="487"/>
      <c r="X205" s="487"/>
      <c r="Y205" s="487"/>
      <c r="Z205" s="487"/>
      <c r="AA205" s="487"/>
      <c r="AB205" s="487"/>
      <c r="AC205" s="487"/>
      <c r="AD205" s="487"/>
      <c r="AE205" s="487"/>
      <c r="AF205" s="487"/>
      <c r="AG205" s="487"/>
      <c r="AH205" s="487"/>
      <c r="AI205" s="487"/>
      <c r="AJ205" s="487"/>
      <c r="AK205" s="487"/>
      <c r="AL205" s="487"/>
      <c r="AM205" s="487"/>
      <c r="AN205" s="487"/>
      <c r="AO205" s="487"/>
      <c r="AP205" s="487"/>
      <c r="AQ205" s="487"/>
      <c r="AR205" s="487"/>
      <c r="AS205" s="487"/>
      <c r="AT205" s="487"/>
      <c r="AU205" s="487"/>
      <c r="AV205" s="487"/>
      <c r="AW205" s="487"/>
      <c r="AX205" s="487"/>
      <c r="AY205" s="487"/>
      <c r="AZ205" s="487"/>
      <c r="BA205" s="487"/>
      <c r="BB205" s="487"/>
      <c r="BC205" s="487"/>
      <c r="BD205" s="487"/>
      <c r="BE205" s="487"/>
      <c r="BF205" s="487"/>
      <c r="BG205" s="487"/>
      <c r="BH205" s="487"/>
      <c r="BI205" s="487"/>
      <c r="BJ205" s="487"/>
      <c r="BK205" s="487"/>
      <c r="BL205" s="487"/>
      <c r="BM205" s="487"/>
      <c r="BN205" s="487"/>
      <c r="BO205" s="487"/>
      <c r="BP205" s="487"/>
      <c r="BQ205" s="487"/>
      <c r="BR205" s="962"/>
      <c r="BS205" s="487"/>
      <c r="BT205" s="487"/>
      <c r="BU205" s="867"/>
      <c r="BV205" s="487"/>
      <c r="BW205" s="487"/>
      <c r="BX205" s="487"/>
      <c r="BY205" s="487"/>
      <c r="BZ205" s="1024">
        <v>2.12</v>
      </c>
      <c r="CA205" s="487"/>
      <c r="CB205" s="487"/>
      <c r="CC205" s="487"/>
      <c r="CD205" s="1024">
        <v>2.12</v>
      </c>
      <c r="CE205" s="487"/>
      <c r="CF205" s="487"/>
      <c r="CG205" s="487"/>
      <c r="CH205" s="1024">
        <v>2.12</v>
      </c>
      <c r="CI205" s="487"/>
      <c r="CJ205" s="487"/>
      <c r="CK205" s="487"/>
      <c r="CL205" s="1024">
        <v>2.12</v>
      </c>
      <c r="CM205" s="487"/>
      <c r="CN205" s="487"/>
      <c r="CO205" s="487"/>
      <c r="CP205" s="1024">
        <v>2.12</v>
      </c>
      <c r="CQ205" s="487"/>
      <c r="CS205" s="487"/>
      <c r="CT205" s="1024">
        <v>2.12</v>
      </c>
      <c r="CU205" s="487"/>
      <c r="CV205" s="487"/>
      <c r="CW205" s="794"/>
      <c r="CX205" s="1024">
        <v>2.12</v>
      </c>
      <c r="CY205" s="487"/>
      <c r="CZ205" s="487"/>
      <c r="DA205" s="794"/>
      <c r="DB205" s="1024">
        <v>2.12</v>
      </c>
      <c r="DC205" s="487"/>
      <c r="DD205" s="487"/>
      <c r="DE205" s="794"/>
      <c r="DF205" s="1024"/>
      <c r="DG205" s="487"/>
      <c r="DH205" s="487"/>
      <c r="DI205" s="794"/>
      <c r="DJ205" s="1024">
        <v>2.12</v>
      </c>
      <c r="DK205" s="487"/>
      <c r="DL205" s="487"/>
      <c r="DM205" s="794"/>
      <c r="DN205" s="1024"/>
      <c r="DO205" s="487"/>
      <c r="DP205" s="487"/>
      <c r="DQ205" s="1016"/>
      <c r="DR205" s="794"/>
      <c r="DS205" s="794"/>
      <c r="DT205" s="794"/>
      <c r="DU205" s="794"/>
      <c r="DV205" s="794"/>
      <c r="DW205" s="794"/>
      <c r="DX205" s="794"/>
      <c r="DY205" s="794"/>
      <c r="DZ205" s="794"/>
      <c r="EA205" s="794"/>
      <c r="EB205" s="794"/>
    </row>
    <row r="206" spans="1:132" ht="11.25" hidden="1" customHeight="1" outlineLevel="1" collapsed="1">
      <c r="A206" s="487"/>
      <c r="B206" s="487"/>
      <c r="C206" s="807"/>
      <c r="D206" s="807"/>
      <c r="E206" s="809"/>
      <c r="F206" s="809" t="str">
        <f>Z206</f>
        <v xml:space="preserve">  Earnings Per Share Avail to Common Shareholders After Items and Extraordinary Charges -- Fully Diluted   (% Change)</v>
      </c>
      <c r="G206" s="811"/>
      <c r="H206" s="811"/>
      <c r="I206" s="811"/>
      <c r="J206" s="809"/>
      <c r="K206" s="811"/>
      <c r="L206" s="811"/>
      <c r="M206" s="811"/>
      <c r="N206" s="809"/>
      <c r="O206" s="811"/>
      <c r="P206" s="811"/>
      <c r="Q206" s="811"/>
      <c r="R206" s="809"/>
      <c r="S206" s="811"/>
      <c r="T206" s="811"/>
      <c r="U206" s="811"/>
      <c r="V206" s="809"/>
      <c r="W206" s="811"/>
      <c r="X206" s="811"/>
      <c r="Y206" s="487"/>
      <c r="Z206" s="809" t="s">
        <v>112</v>
      </c>
      <c r="AA206" s="811"/>
      <c r="AB206" s="811"/>
      <c r="AC206" s="811"/>
      <c r="AD206" s="809"/>
      <c r="AE206" s="811"/>
      <c r="AF206" s="811"/>
      <c r="AG206" s="811"/>
      <c r="AH206" s="809"/>
      <c r="AI206" s="811"/>
      <c r="AJ206" s="811"/>
      <c r="AK206" s="811"/>
      <c r="AL206" s="809"/>
      <c r="AM206" s="811"/>
      <c r="AN206" s="811"/>
      <c r="AO206" s="702"/>
      <c r="AP206" s="921"/>
      <c r="AQ206" s="702"/>
      <c r="AR206" s="702"/>
      <c r="AS206" s="702"/>
      <c r="AT206" s="702"/>
      <c r="AU206" s="811"/>
      <c r="AV206" s="811"/>
      <c r="AW206" s="811"/>
      <c r="AX206" s="809"/>
      <c r="AY206" s="811"/>
      <c r="AZ206" s="811"/>
      <c r="BA206" s="811"/>
      <c r="BB206" s="809"/>
      <c r="BC206" s="811"/>
      <c r="BD206" s="811"/>
      <c r="BE206" s="811"/>
      <c r="BF206" s="809" t="str">
        <f>+Z206</f>
        <v xml:space="preserve">  Earnings Per Share Avail to Common Shareholders After Items and Extraordinary Charges -- Fully Diluted   (% Change)</v>
      </c>
      <c r="BG206" s="811"/>
      <c r="BH206" s="811"/>
      <c r="BI206" s="811"/>
      <c r="BJ206" s="809"/>
      <c r="BK206" s="811"/>
      <c r="BL206" s="811"/>
      <c r="BM206" s="811"/>
      <c r="BN206" s="809"/>
      <c r="BO206" s="811"/>
      <c r="BP206" s="811"/>
      <c r="BQ206" s="811"/>
      <c r="BR206" s="809"/>
      <c r="BS206" s="811"/>
      <c r="BT206" s="811"/>
      <c r="BU206" s="811"/>
      <c r="BV206" s="809"/>
      <c r="BW206" s="811"/>
      <c r="BX206" s="811"/>
      <c r="BY206" s="811"/>
      <c r="BZ206" s="809"/>
      <c r="CA206" s="811"/>
      <c r="CB206" s="811"/>
      <c r="CC206" s="811"/>
      <c r="CD206" s="809"/>
      <c r="CE206" s="811"/>
      <c r="CF206" s="811"/>
      <c r="CG206" s="811"/>
      <c r="CH206" s="809"/>
      <c r="CI206" s="811"/>
      <c r="CJ206" s="811"/>
      <c r="CK206" s="811"/>
      <c r="CL206" s="809"/>
      <c r="CM206" s="811"/>
      <c r="CN206" s="811"/>
      <c r="CO206" s="811"/>
      <c r="CP206" s="809"/>
      <c r="CQ206" s="811"/>
      <c r="CS206" s="811"/>
      <c r="CT206" s="809"/>
      <c r="CU206" s="811"/>
      <c r="CV206" s="811"/>
      <c r="CW206" s="794"/>
      <c r="CX206" s="809"/>
      <c r="CY206" s="811"/>
      <c r="CZ206" s="811"/>
      <c r="DA206" s="794"/>
      <c r="DB206" s="809"/>
      <c r="DC206" s="811"/>
      <c r="DD206" s="811"/>
      <c r="DE206" s="794"/>
      <c r="DF206" s="809"/>
      <c r="DG206" s="811"/>
      <c r="DH206" s="811"/>
      <c r="DI206" s="794"/>
      <c r="DJ206" s="809"/>
      <c r="DK206" s="811"/>
      <c r="DL206" s="811"/>
      <c r="DM206" s="794"/>
      <c r="DN206" s="809"/>
      <c r="DO206" s="811"/>
      <c r="DP206" s="811"/>
      <c r="DQ206" s="1025"/>
      <c r="DR206" s="794"/>
      <c r="DS206" s="794"/>
      <c r="DT206" s="794"/>
      <c r="DU206" s="794"/>
      <c r="DV206" s="794"/>
      <c r="DW206" s="794"/>
      <c r="DX206" s="794"/>
      <c r="DY206" s="794"/>
      <c r="DZ206" s="794"/>
      <c r="EA206" s="794"/>
      <c r="EB206" s="794"/>
    </row>
    <row r="207" spans="1:132" ht="11.25" hidden="1" customHeight="1" outlineLevel="1">
      <c r="A207" s="487"/>
      <c r="B207" s="487"/>
      <c r="C207" s="487"/>
      <c r="D207" s="487"/>
      <c r="E207" s="487"/>
      <c r="F207" s="487"/>
      <c r="G207" s="487"/>
      <c r="H207" s="487"/>
      <c r="I207" s="487"/>
      <c r="J207" s="487"/>
      <c r="K207" s="487"/>
      <c r="L207" s="487"/>
      <c r="M207" s="487"/>
      <c r="N207" s="487"/>
      <c r="O207" s="487"/>
      <c r="P207" s="487"/>
      <c r="Q207" s="487"/>
      <c r="R207" s="487"/>
      <c r="S207" s="487"/>
      <c r="T207" s="487"/>
      <c r="U207" s="487"/>
      <c r="V207" s="487"/>
      <c r="W207" s="487"/>
      <c r="X207" s="487"/>
      <c r="Y207" s="487"/>
      <c r="Z207" s="487"/>
      <c r="AA207" s="487"/>
      <c r="AB207" s="487"/>
      <c r="AC207" s="487"/>
      <c r="AD207" s="487"/>
      <c r="AE207" s="487"/>
      <c r="AF207" s="487"/>
      <c r="AG207" s="487"/>
      <c r="AH207" s="487"/>
      <c r="AI207" s="487"/>
      <c r="AJ207" s="487"/>
      <c r="AK207" s="487"/>
      <c r="AL207" s="487"/>
      <c r="AM207" s="487"/>
      <c r="AN207" s="487"/>
      <c r="AO207" s="487"/>
      <c r="AP207" s="487"/>
      <c r="AQ207" s="487"/>
      <c r="AR207" s="487"/>
      <c r="AS207" s="487"/>
      <c r="AT207" s="487"/>
      <c r="AU207" s="487"/>
      <c r="AV207" s="487"/>
      <c r="AW207" s="487"/>
      <c r="AX207" s="487"/>
      <c r="AY207" s="487"/>
      <c r="AZ207" s="487"/>
      <c r="BA207" s="487"/>
      <c r="BB207" s="487"/>
      <c r="BC207" s="487"/>
      <c r="BD207" s="487"/>
      <c r="BE207" s="487"/>
      <c r="BF207" s="487"/>
      <c r="BG207" s="487"/>
      <c r="BH207" s="487"/>
      <c r="BI207" s="487"/>
      <c r="BJ207" s="487"/>
      <c r="BK207" s="487"/>
      <c r="BL207" s="487"/>
      <c r="BM207" s="487"/>
      <c r="BN207" s="487"/>
      <c r="BO207" s="487"/>
      <c r="BP207" s="487"/>
      <c r="BQ207" s="487">
        <v>2003</v>
      </c>
      <c r="BR207" s="487"/>
      <c r="BS207" s="487"/>
      <c r="BT207" s="487"/>
      <c r="BU207" s="487">
        <v>2003</v>
      </c>
      <c r="BV207" s="487"/>
      <c r="BW207" s="487"/>
      <c r="BX207" s="487"/>
      <c r="BY207" s="487"/>
      <c r="BZ207" s="487"/>
      <c r="CA207" s="487"/>
      <c r="CB207" s="487"/>
      <c r="CC207" s="487"/>
      <c r="CD207" s="487"/>
      <c r="CE207" s="487"/>
      <c r="CF207" s="487"/>
      <c r="CG207" s="487"/>
      <c r="CH207" s="487"/>
      <c r="CI207" s="487"/>
      <c r="CJ207" s="487"/>
      <c r="CK207" s="487"/>
      <c r="CL207" s="487"/>
      <c r="CM207" s="487"/>
      <c r="CN207" s="487"/>
      <c r="CO207" s="487"/>
      <c r="CP207" s="487"/>
      <c r="CQ207" s="487"/>
      <c r="CS207" s="487"/>
      <c r="CT207" s="487"/>
      <c r="CU207" s="487"/>
      <c r="CV207" s="487"/>
      <c r="CW207" s="794"/>
      <c r="CX207" s="487"/>
      <c r="CY207" s="487"/>
      <c r="CZ207" s="487"/>
      <c r="DA207" s="794"/>
      <c r="DB207" s="487"/>
      <c r="DC207" s="487"/>
      <c r="DD207" s="487"/>
      <c r="DE207" s="794"/>
      <c r="DF207" s="487"/>
      <c r="DG207" s="487"/>
      <c r="DH207" s="487"/>
      <c r="DI207" s="794"/>
      <c r="DJ207" s="487"/>
      <c r="DK207" s="487"/>
      <c r="DL207" s="487"/>
      <c r="DM207" s="794"/>
      <c r="DN207" s="487"/>
      <c r="DO207" s="487"/>
      <c r="DP207" s="487"/>
      <c r="DQ207" s="1025"/>
      <c r="DR207" s="794"/>
      <c r="DS207" s="794"/>
      <c r="DT207" s="794"/>
      <c r="DU207" s="794"/>
      <c r="DV207" s="794"/>
      <c r="DW207" s="794"/>
      <c r="DX207" s="794"/>
      <c r="DY207" s="794"/>
      <c r="DZ207" s="794"/>
      <c r="EA207" s="794"/>
      <c r="EB207" s="794"/>
    </row>
    <row r="208" spans="1:132" ht="11.25" hidden="1" customHeight="1" outlineLevel="1">
      <c r="A208" s="487" t="str">
        <f>$A$10</f>
        <v>1Q</v>
      </c>
      <c r="B208" s="487" t="str">
        <f>$B$10</f>
        <v>Apr</v>
      </c>
      <c r="C208" s="487"/>
      <c r="D208" s="867"/>
      <c r="E208" s="487"/>
      <c r="F208" s="867">
        <f>(F147-F167)/F218</f>
        <v>1.3043993052503585E-2</v>
      </c>
      <c r="G208" s="783"/>
      <c r="H208" s="487"/>
      <c r="I208" s="487"/>
      <c r="J208" s="867">
        <f>(J147-J167)/J218</f>
        <v>1.3231565289298636E-2</v>
      </c>
      <c r="K208" s="783">
        <f t="shared" ref="K208:K214" si="444">IF(F208&lt;0,"       NM",(J208/F208-1)*100)</f>
        <v>1.4379970614830206</v>
      </c>
      <c r="L208" s="487"/>
      <c r="M208" s="487"/>
      <c r="N208" s="867">
        <f>(N147-N167)/N218</f>
        <v>1.2386401398952191E-2</v>
      </c>
      <c r="O208" s="783">
        <f t="shared" ref="O208:O214" si="445">IF(J208&lt;0,"       NM",(N208/J208-1)*100)</f>
        <v>-6.3874822960666151</v>
      </c>
      <c r="P208" s="487"/>
      <c r="Q208" s="487"/>
      <c r="R208" s="867">
        <f>(R147-R167)/R218</f>
        <v>1.534989585381138E-2</v>
      </c>
      <c r="S208" s="783">
        <f t="shared" ref="S208:S214" si="446">IF(N208&lt;0,"       NM",(R208/N208-1)*100)</f>
        <v>23.925386877175491</v>
      </c>
      <c r="T208" s="487"/>
      <c r="U208" s="487"/>
      <c r="V208" s="867">
        <f>(V147-V167)/V218</f>
        <v>1.4832572753651241E-2</v>
      </c>
      <c r="W208" s="783">
        <f t="shared" ref="W208:W214" si="447">IF(R208&lt;0,"       NM",(V208/R208-1)*100)</f>
        <v>-3.3702059289978048</v>
      </c>
      <c r="X208" s="487"/>
      <c r="Y208" s="487"/>
      <c r="Z208" s="867">
        <f>(Z147-Z167)/Z218</f>
        <v>5.4131929884101097E-3</v>
      </c>
      <c r="AA208" s="783">
        <f t="shared" ref="AA208:AA214" si="448">IF(V208&lt;0,"       NM",(Z208/V208-1)*100)</f>
        <v>-63.504692824934381</v>
      </c>
      <c r="AB208" s="487"/>
      <c r="AC208" s="487"/>
      <c r="AD208" s="867">
        <f>(AD147-AD167)/AD218</f>
        <v>2.0723657918717414E-2</v>
      </c>
      <c r="AE208" s="783">
        <f t="shared" ref="AE208:AE214" si="449">IF(Z208&lt;0,"       NM",(AD208/Z208-1)*100)</f>
        <v>282.83611840715264</v>
      </c>
      <c r="AF208" s="487">
        <v>0.17</v>
      </c>
      <c r="AG208" s="487"/>
      <c r="AH208" s="1026">
        <f>(AH147-AH167)/AH218</f>
        <v>3.4191525645926098E-2</v>
      </c>
      <c r="AI208" s="783">
        <f t="shared" ref="AI208:AI214" si="450">IF(AD208&lt;0,"       NM",(AH208/AD208-1)*100)</f>
        <v>64.987888624838902</v>
      </c>
      <c r="AJ208" s="487"/>
      <c r="AK208" s="487"/>
      <c r="AL208" s="867">
        <f>(AL147-AL167)/AL218</f>
        <v>6.0552816692796177E-2</v>
      </c>
      <c r="AM208" s="783">
        <f t="shared" ref="AM208:AM214" si="451">IF(AH208&lt;0,"       NM",(AL208/AH208-1)*100)</f>
        <v>77.098902575618226</v>
      </c>
      <c r="AN208" s="487"/>
      <c r="AO208" s="487"/>
      <c r="AP208" s="867">
        <f>(AP147-AP167)/AP218</f>
        <v>9.0010288932259083E-2</v>
      </c>
      <c r="AQ208" s="783">
        <f t="shared" ref="AQ208:AQ214" si="452">IF(AL208&lt;0,"       NM",(AP208/AL208-1)*100)</f>
        <v>48.647567278183089</v>
      </c>
      <c r="AR208" s="487"/>
      <c r="AS208" s="487"/>
      <c r="AT208" s="867">
        <f>(AT147-AT167)/AT218</f>
        <v>0.10880036148182716</v>
      </c>
      <c r="AU208" s="783">
        <f t="shared" ref="AU208:AU214" si="453">IF(AP208&lt;0,"       NM",(AT208/AP208-1)*100)</f>
        <v>20.87547187378691</v>
      </c>
      <c r="AV208" s="487"/>
      <c r="AW208" s="487"/>
      <c r="AX208" s="867">
        <f>(AX147-AX167)/AX218</f>
        <v>0.10958747754135034</v>
      </c>
      <c r="AY208" s="783">
        <f t="shared" ref="AY208:AY214" si="454">IF(AT208&lt;0,"       NM",(AX208/AT208-1)*100)</f>
        <v>0.72344985697005981</v>
      </c>
      <c r="AZ208" s="487"/>
      <c r="BA208" s="487"/>
      <c r="BB208" s="867">
        <f>(BB147-BB167)/BB218</f>
        <v>0.13040532431793428</v>
      </c>
      <c r="BC208" s="783">
        <f t="shared" ref="BC208:BC214" si="455">IF(AX208&lt;0,"       NM",(BB208/AX208-1)*100)</f>
        <v>18.996556215767257</v>
      </c>
      <c r="BD208" s="487"/>
      <c r="BE208" s="487"/>
      <c r="BF208" s="867">
        <f>(BF147-BF167)/BF218</f>
        <v>9.4669896513648266E-2</v>
      </c>
      <c r="BG208" s="783">
        <f t="shared" ref="BG208:BG214" si="456">IF(BB208&lt;0,"       NM",(BF208/BB208-1)*100)</f>
        <v>-27.403350278215154</v>
      </c>
      <c r="BH208" s="487"/>
      <c r="BI208" s="487"/>
      <c r="BJ208" s="867">
        <f>(BJ147-BJ167)/BJ218</f>
        <v>0.14851393139552108</v>
      </c>
      <c r="BK208" s="783">
        <f t="shared" ref="BK208:BK214" si="457">IF(BF208&lt;0,"       NM",(BJ208/BF208-1)*100)</f>
        <v>56.875561149589181</v>
      </c>
      <c r="BL208" s="487"/>
      <c r="BM208" s="487"/>
      <c r="BN208" s="867">
        <f>(BN147-BN167)/BN218</f>
        <v>0.1363679609566382</v>
      </c>
      <c r="BO208" s="783">
        <f t="shared" ref="BO208:BO214" si="458">IF(BJ208&lt;0,"       NM",(BN208/BJ208-1)*100)</f>
        <v>-8.1783374291909627</v>
      </c>
      <c r="BP208" s="487"/>
      <c r="BQ208" s="487">
        <v>0.22</v>
      </c>
      <c r="BR208" s="867">
        <f>(BR147-BR167)/BR218</f>
        <v>0.16894819486758725</v>
      </c>
      <c r="BS208" s="783">
        <f t="shared" ref="BS208:BS214" si="459">IF(BN208&lt;0,"       NM",(BR208/BN208-1)*100)</f>
        <v>23.891413849994294</v>
      </c>
      <c r="BT208" s="487"/>
      <c r="BU208" s="487">
        <v>0.22</v>
      </c>
      <c r="BV208" s="867">
        <f>(BV147-BV167)/BV218</f>
        <v>0.18622143431276908</v>
      </c>
      <c r="BW208" s="783">
        <f t="shared" ref="BW208:BW214" si="460">IF(BR208&lt;0,"       NM",(BV208/BR208-1)*100)</f>
        <v>10.223985795598288</v>
      </c>
      <c r="BX208" s="487"/>
      <c r="BY208" s="487"/>
      <c r="BZ208" s="867">
        <f>(BZ147-BZ167)/BZ218</f>
        <v>0.21980413009740221</v>
      </c>
      <c r="CA208" s="783">
        <f t="shared" ref="CA208:CA214" si="461">IF(BV208&lt;0,"       NM",(BZ208/BV208-1)*100)</f>
        <v>18.033743488533748</v>
      </c>
      <c r="CB208" s="487"/>
      <c r="CC208" s="487"/>
      <c r="CD208" s="867">
        <f>(CD147-CD167)/CD218</f>
        <v>0.24219068345990014</v>
      </c>
      <c r="CE208" s="783">
        <f t="shared" ref="CE208:CE214" si="462">IF(BZ208&lt;0,"       NM",(CD208/BZ208-1)*100)</f>
        <v>10.184773758608511</v>
      </c>
      <c r="CF208" s="487"/>
      <c r="CG208" s="487"/>
      <c r="CH208" s="867">
        <f>(CH147-CH167)/CH218</f>
        <v>0.39989623552123549</v>
      </c>
      <c r="CI208" s="783">
        <f t="shared" ref="CI208:CI214" si="463">IF(CD208&lt;0,"       NM",(CH208/CD208-1)*100)</f>
        <v>65.11627524575978</v>
      </c>
      <c r="CJ208" s="487"/>
      <c r="CK208" s="487"/>
      <c r="CL208" s="867">
        <f>(CL147-CL167)/CL218</f>
        <v>0.39151902391853888</v>
      </c>
      <c r="CM208" s="783">
        <f t="shared" ref="CM208:CM214" si="464">IF(CH208&lt;0,"       NM",(CL208/CH208-1)*100)</f>
        <v>-2.0948463272672524</v>
      </c>
      <c r="CN208" s="487"/>
      <c r="CO208" s="487"/>
      <c r="CP208" s="867">
        <f>(CP147-CP167)/CP218</f>
        <v>0.55448561935197171</v>
      </c>
      <c r="CQ208" s="783">
        <f t="shared" ref="CQ208:CQ214" si="465">IF(CL208&lt;0,"       NM",(CP208/CL208-1)*100)</f>
        <v>41.624183111812307</v>
      </c>
      <c r="CS208" s="487"/>
      <c r="CT208" s="867">
        <f>(CT147-CT167)/CT218</f>
        <v>0.61823344322269325</v>
      </c>
      <c r="CU208" s="783">
        <f t="shared" ref="CU208:CU214" si="466">IF(CP208&lt;0,"       NM",(CT208/CP208-1)*100)</f>
        <v>11.496749716471232</v>
      </c>
      <c r="CV208" s="487"/>
      <c r="CW208" s="794"/>
      <c r="CX208" s="867">
        <f>(CX147-CX167)/CX218</f>
        <v>0.63727833559170877</v>
      </c>
      <c r="CY208" s="783">
        <f t="shared" ref="CY208:CY214" si="467">IF(CT208&lt;0,"       NM",(CX208/CT208-1)*100)</f>
        <v>3.0805341538528541</v>
      </c>
      <c r="CZ208" s="487"/>
      <c r="DA208" s="794"/>
      <c r="DB208" s="867">
        <f>(DB147-DB167)/DB218</f>
        <v>0.68662743089614353</v>
      </c>
      <c r="DC208" s="783">
        <f t="shared" ref="DC208:DC214" si="468">IF(CX208&lt;0,"       NM",(DB208/CX208-1)*100)</f>
        <v>7.743727120209476</v>
      </c>
      <c r="DD208" s="487"/>
      <c r="DE208" s="794"/>
      <c r="DF208" s="867"/>
      <c r="DG208" s="783">
        <f t="shared" ref="DG208:DG214" si="469">IF(DB208&lt;0,"       NM",(DF208/DB208-1)*100)</f>
        <v>-100</v>
      </c>
      <c r="DH208" s="487"/>
      <c r="DI208" s="794"/>
      <c r="DJ208" s="867">
        <f>(DJ147-DJ167)/DJ218</f>
        <v>0</v>
      </c>
      <c r="DK208" s="783" t="e">
        <f t="shared" ref="DK208:DK214" si="470">IF(DF208&lt;0,"       NM",(DJ208/DF208-1)*100)</f>
        <v>#DIV/0!</v>
      </c>
      <c r="DL208" s="487"/>
      <c r="DM208" s="794"/>
      <c r="DN208" s="867"/>
      <c r="DO208" s="783" t="e">
        <f t="shared" ref="DO208:DO214" si="471">IF(DJ208&lt;0,"       NM",(DN208/DJ208-1)*100)</f>
        <v>#DIV/0!</v>
      </c>
      <c r="DP208" s="487"/>
      <c r="DQ208" s="1025"/>
      <c r="DR208" s="794"/>
      <c r="DS208" s="794"/>
      <c r="DT208" s="794"/>
      <c r="DU208" s="794"/>
      <c r="DV208" s="794"/>
      <c r="DW208" s="794"/>
      <c r="DX208" s="794"/>
      <c r="DY208" s="794"/>
      <c r="DZ208" s="794"/>
      <c r="EA208" s="794"/>
      <c r="EB208" s="794"/>
    </row>
    <row r="209" spans="1:132" ht="11.25" hidden="1" customHeight="1" outlineLevel="1">
      <c r="A209" s="487" t="str">
        <f>$A$11</f>
        <v>2Q</v>
      </c>
      <c r="B209" s="487" t="str">
        <f>$B$11</f>
        <v>Jul</v>
      </c>
      <c r="C209" s="487"/>
      <c r="D209" s="792"/>
      <c r="E209" s="487"/>
      <c r="F209" s="792">
        <f>(F148-F168)/F219</f>
        <v>1.2921742909182158E-2</v>
      </c>
      <c r="G209" s="783"/>
      <c r="H209" s="487"/>
      <c r="I209" s="487"/>
      <c r="J209" s="792">
        <f>(J148-J168)/J219</f>
        <v>1.2327433051288838E-2</v>
      </c>
      <c r="K209" s="783">
        <f t="shared" si="444"/>
        <v>-4.5993010545891995</v>
      </c>
      <c r="L209" s="487"/>
      <c r="M209" s="487"/>
      <c r="N209" s="792">
        <f>(N148-N168)/N219</f>
        <v>1.5795077648451668E-2</v>
      </c>
      <c r="O209" s="783">
        <f t="shared" si="445"/>
        <v>28.129494459515936</v>
      </c>
      <c r="P209" s="487"/>
      <c r="Q209" s="487"/>
      <c r="R209" s="792">
        <f>(R148-R168)/R219</f>
        <v>2.0392820540482231E-2</v>
      </c>
      <c r="S209" s="783">
        <f t="shared" si="446"/>
        <v>29.108707119785905</v>
      </c>
      <c r="T209" s="487"/>
      <c r="U209" s="487"/>
      <c r="V209" s="792">
        <f>(V148-V168)/V219</f>
        <v>1.4390364749910848E-2</v>
      </c>
      <c r="W209" s="783">
        <f t="shared" si="447"/>
        <v>-29.434161785790135</v>
      </c>
      <c r="X209" s="487"/>
      <c r="Y209" s="487"/>
      <c r="Z209" s="792">
        <f>(Z148-Z168)/Z219</f>
        <v>-2.2961245879701823E-2</v>
      </c>
      <c r="AA209" s="783">
        <f t="shared" si="448"/>
        <v>-259.55986021719201</v>
      </c>
      <c r="AB209" s="487"/>
      <c r="AC209" s="487"/>
      <c r="AD209" s="792">
        <f>(AD148-AD168)/AD219</f>
        <v>2.5041179105681249E-2</v>
      </c>
      <c r="AE209" s="783" t="str">
        <f t="shared" si="449"/>
        <v xml:space="preserve">       NM</v>
      </c>
      <c r="AF209" s="487">
        <v>0.21</v>
      </c>
      <c r="AG209" s="487"/>
      <c r="AH209" s="1027">
        <f>(AH148-AH168)/AH219</f>
        <v>3.7017950708215452E-2</v>
      </c>
      <c r="AI209" s="783">
        <f t="shared" si="450"/>
        <v>47.828305336536481</v>
      </c>
      <c r="AJ209" s="487"/>
      <c r="AK209" s="487"/>
      <c r="AL209" s="792">
        <f>(AL148-AL168)/AL219</f>
        <v>6.3626206584696407E-2</v>
      </c>
      <c r="AM209" s="783">
        <f t="shared" si="451"/>
        <v>71.879332506042104</v>
      </c>
      <c r="AN209" s="487"/>
      <c r="AO209" s="487"/>
      <c r="AP209" s="792">
        <f>(AP148-AP168)/AP219</f>
        <v>9.0404652507190125E-2</v>
      </c>
      <c r="AQ209" s="783">
        <f t="shared" si="452"/>
        <v>42.087132582464172</v>
      </c>
      <c r="AR209" s="487"/>
      <c r="AS209" s="487"/>
      <c r="AT209" s="792">
        <f>(AT148-AT168)/AT219</f>
        <v>9.7408935471403557E-2</v>
      </c>
      <c r="AU209" s="783">
        <f t="shared" si="453"/>
        <v>7.7477018825511834</v>
      </c>
      <c r="AV209" s="487"/>
      <c r="AW209" s="487"/>
      <c r="AX209" s="792">
        <f>(AX148-AX168)/AX219</f>
        <v>0.10022701201481374</v>
      </c>
      <c r="AY209" s="783">
        <f t="shared" si="454"/>
        <v>2.8930369988875215</v>
      </c>
      <c r="AZ209" s="487"/>
      <c r="BA209" s="487"/>
      <c r="BB209" s="792">
        <f>(BB148-BB168)/BB219</f>
        <v>0.11591963693547987</v>
      </c>
      <c r="BC209" s="783">
        <f t="shared" si="455"/>
        <v>15.657081464572364</v>
      </c>
      <c r="BD209" s="487"/>
      <c r="BE209" s="487"/>
      <c r="BF209" s="792">
        <f>(BF148-BF168)/BF219</f>
        <v>0.10493458314970026</v>
      </c>
      <c r="BG209" s="783">
        <f t="shared" si="456"/>
        <v>-9.4764390884814595</v>
      </c>
      <c r="BH209" s="487"/>
      <c r="BI209" s="487"/>
      <c r="BJ209" s="792">
        <f>(BJ148-BJ168)/BJ219</f>
        <v>0.10206969176677617</v>
      </c>
      <c r="BK209" s="783">
        <f t="shared" si="457"/>
        <v>-2.7301689270895713</v>
      </c>
      <c r="BL209" s="487"/>
      <c r="BM209" s="487"/>
      <c r="BN209" s="792">
        <f>(BN148-BN168)/BN219</f>
        <v>0.11242915727338959</v>
      </c>
      <c r="BO209" s="783">
        <f t="shared" si="458"/>
        <v>10.149404125060201</v>
      </c>
      <c r="BP209" s="487"/>
      <c r="BQ209" s="487">
        <v>0.25</v>
      </c>
      <c r="BR209" s="792">
        <f>(BR148-BR168)/BR219</f>
        <v>0.14537001162340202</v>
      </c>
      <c r="BS209" s="783">
        <f t="shared" si="459"/>
        <v>29.299209519031997</v>
      </c>
      <c r="BT209" s="487"/>
      <c r="BU209" s="487">
        <v>0.25</v>
      </c>
      <c r="BV209" s="792">
        <f>(BV148-BV168)/BV219</f>
        <v>0.18923673674625316</v>
      </c>
      <c r="BW209" s="783">
        <f t="shared" si="460"/>
        <v>30.175910858762968</v>
      </c>
      <c r="BX209" s="487"/>
      <c r="BY209" s="487"/>
      <c r="BZ209" s="792">
        <f>(BZ148-BZ168)/BZ219</f>
        <v>0.23805798084068419</v>
      </c>
      <c r="CA209" s="783">
        <f t="shared" si="461"/>
        <v>25.799030850915194</v>
      </c>
      <c r="CB209" s="487"/>
      <c r="CC209" s="487"/>
      <c r="CD209" s="792">
        <f>(CD148-CD168)/CD219</f>
        <v>0.30382062617753874</v>
      </c>
      <c r="CE209" s="783">
        <f t="shared" si="462"/>
        <v>27.62463375712867</v>
      </c>
      <c r="CF209" s="487"/>
      <c r="CG209" s="487"/>
      <c r="CH209" s="792">
        <f>(CH148-CH168)/CH219</f>
        <v>0.36363888739743527</v>
      </c>
      <c r="CI209" s="783">
        <f t="shared" si="463"/>
        <v>19.688676826352626</v>
      </c>
      <c r="CJ209" s="487"/>
      <c r="CK209" s="487"/>
      <c r="CL209" s="792">
        <f>(CL148-CL168)/CL219</f>
        <v>0.44932344405030694</v>
      </c>
      <c r="CM209" s="783">
        <f t="shared" si="464"/>
        <v>23.563089543617387</v>
      </c>
      <c r="CN209" s="487"/>
      <c r="CO209" s="487"/>
      <c r="CP209" s="792">
        <f>(CP148-CP168)/CP219</f>
        <v>0.56052701988570919</v>
      </c>
      <c r="CQ209" s="783">
        <f t="shared" si="465"/>
        <v>24.749114987855325</v>
      </c>
      <c r="CS209" s="487"/>
      <c r="CT209" s="792">
        <f>(CT148-CT168)/CT219</f>
        <v>0.65819332719369705</v>
      </c>
      <c r="CU209" s="783">
        <f t="shared" si="466"/>
        <v>17.424014158657663</v>
      </c>
      <c r="CV209" s="487"/>
      <c r="CW209" s="794"/>
      <c r="CX209" s="792">
        <f>(CX148-CX168)/CX219</f>
        <v>0.74887846001134506</v>
      </c>
      <c r="CY209" s="783">
        <f t="shared" si="467"/>
        <v>13.777886993217825</v>
      </c>
      <c r="CZ209" s="487"/>
      <c r="DA209" s="794"/>
      <c r="DB209" s="792">
        <f>(DB148-DB168)/DB219</f>
        <v>0.80157210770995246</v>
      </c>
      <c r="DC209" s="783">
        <f t="shared" si="468"/>
        <v>7.0363417446682952</v>
      </c>
      <c r="DD209" s="487"/>
      <c r="DE209" s="794"/>
      <c r="DF209" s="792"/>
      <c r="DG209" s="783">
        <f t="shared" si="469"/>
        <v>-100</v>
      </c>
      <c r="DH209" s="487"/>
      <c r="DI209" s="794"/>
      <c r="DJ209" s="792">
        <f>(DJ148-DJ168)/DJ219</f>
        <v>0</v>
      </c>
      <c r="DK209" s="783" t="e">
        <f t="shared" si="470"/>
        <v>#DIV/0!</v>
      </c>
      <c r="DL209" s="487"/>
      <c r="DM209" s="794"/>
      <c r="DN209" s="792"/>
      <c r="DO209" s="783" t="e">
        <f t="shared" si="471"/>
        <v>#DIV/0!</v>
      </c>
      <c r="DP209" s="487"/>
      <c r="DQ209" s="1025"/>
      <c r="DR209" s="794"/>
      <c r="DS209" s="794"/>
      <c r="DT209" s="794"/>
      <c r="DU209" s="794"/>
      <c r="DV209" s="794"/>
      <c r="DW209" s="794"/>
      <c r="DX209" s="794"/>
      <c r="DY209" s="794"/>
      <c r="DZ209" s="794"/>
      <c r="EA209" s="794"/>
      <c r="EB209" s="794"/>
    </row>
    <row r="210" spans="1:132" ht="11.25" hidden="1" customHeight="1" outlineLevel="1">
      <c r="A210" s="487" t="str">
        <f>$A$12</f>
        <v>3Q</v>
      </c>
      <c r="B210" s="487" t="str">
        <f>$B$12</f>
        <v>Oct</v>
      </c>
      <c r="C210" s="487"/>
      <c r="D210" s="792"/>
      <c r="E210" s="487"/>
      <c r="F210" s="792">
        <f>(F149-F169)/F220</f>
        <v>2.5583971971551142E-2</v>
      </c>
      <c r="G210" s="783"/>
      <c r="H210" s="487"/>
      <c r="I210" s="487"/>
      <c r="J210" s="792">
        <f>(J149-J169)/J220</f>
        <v>2.3460054677535529E-2</v>
      </c>
      <c r="K210" s="783">
        <f t="shared" si="444"/>
        <v>-8.301749612520549</v>
      </c>
      <c r="L210" s="487"/>
      <c r="M210" s="487"/>
      <c r="N210" s="792">
        <f>(N149-N169)/N220</f>
        <v>3.1637127241681551E-2</v>
      </c>
      <c r="O210" s="783">
        <f t="shared" si="445"/>
        <v>34.855300537624402</v>
      </c>
      <c r="P210" s="487"/>
      <c r="Q210" s="487"/>
      <c r="R210" s="792">
        <f>(R149-R169)/R220</f>
        <v>3.7980466390099089E-2</v>
      </c>
      <c r="S210" s="783">
        <f t="shared" si="446"/>
        <v>20.050300711438361</v>
      </c>
      <c r="T210" s="487"/>
      <c r="U210" s="487"/>
      <c r="V210" s="792">
        <f>(V149-V169)/V220</f>
        <v>2.6317817261816902E-2</v>
      </c>
      <c r="W210" s="783">
        <f t="shared" si="447"/>
        <v>-30.70696659828921</v>
      </c>
      <c r="X210" s="487"/>
      <c r="Y210" s="487"/>
      <c r="Z210" s="792">
        <f>(Z149-Z169)/Z220</f>
        <v>2.7548303185209354E-2</v>
      </c>
      <c r="AA210" s="783">
        <f t="shared" si="448"/>
        <v>4.6754862348622694</v>
      </c>
      <c r="AB210" s="487"/>
      <c r="AC210" s="487"/>
      <c r="AD210" s="792">
        <f>(AD149-AD169)/AD220</f>
        <v>6.0348723516158283E-2</v>
      </c>
      <c r="AE210" s="783">
        <f t="shared" si="449"/>
        <v>119.06512031042054</v>
      </c>
      <c r="AF210" s="487">
        <v>0.5</v>
      </c>
      <c r="AG210" s="487"/>
      <c r="AH210" s="1027">
        <f>(AH149-AH169)/AH220</f>
        <v>7.564400920680496E-2</v>
      </c>
      <c r="AI210" s="783">
        <f t="shared" si="450"/>
        <v>25.344837139018161</v>
      </c>
      <c r="AJ210" s="487"/>
      <c r="AK210" s="487"/>
      <c r="AL210" s="792">
        <f>(AL149-AL169)/AL220</f>
        <v>8.9889226036469996E-2</v>
      </c>
      <c r="AM210" s="783">
        <f t="shared" si="451"/>
        <v>18.831916736089038</v>
      </c>
      <c r="AN210" s="487"/>
      <c r="AO210" s="487"/>
      <c r="AP210" s="792">
        <f>(AP149-AP169)/AP220</f>
        <v>0.11991050004267932</v>
      </c>
      <c r="AQ210" s="783">
        <f t="shared" si="452"/>
        <v>33.398078201306404</v>
      </c>
      <c r="AR210" s="487"/>
      <c r="AS210" s="487"/>
      <c r="AT210" s="792">
        <f>(AT149-AT169)/AT220</f>
        <v>0.13985077593332301</v>
      </c>
      <c r="AU210" s="783">
        <f t="shared" si="453"/>
        <v>16.629299255316599</v>
      </c>
      <c r="AV210" s="487"/>
      <c r="AW210" s="487"/>
      <c r="AX210" s="792">
        <f>(AX149-AX169)/AX220</f>
        <v>9.9154290995076805E-2</v>
      </c>
      <c r="AY210" s="783">
        <f t="shared" si="454"/>
        <v>-29.099935031929437</v>
      </c>
      <c r="AZ210" s="487"/>
      <c r="BA210" s="487"/>
      <c r="BB210" s="792">
        <f>(BB149-BB169)/BB220</f>
        <v>0.13414571296155511</v>
      </c>
      <c r="BC210" s="783">
        <f t="shared" si="455"/>
        <v>35.289871588326619</v>
      </c>
      <c r="BD210" s="487"/>
      <c r="BE210" s="487"/>
      <c r="BF210" s="792">
        <f>(BF149-BF169)/BF220</f>
        <v>0.16081639093842054</v>
      </c>
      <c r="BG210" s="783">
        <f t="shared" si="456"/>
        <v>19.881871278666207</v>
      </c>
      <c r="BH210" s="487"/>
      <c r="BI210" s="487"/>
      <c r="BJ210" s="792">
        <f>(BJ149-BJ169)/BJ220</f>
        <v>0.18192601703451378</v>
      </c>
      <c r="BK210" s="783">
        <f t="shared" si="457"/>
        <v>13.126538888798024</v>
      </c>
      <c r="BL210" s="487"/>
      <c r="BM210" s="487"/>
      <c r="BN210" s="792">
        <f>(BN149-BN169)/BN220</f>
        <v>0.15963666565399487</v>
      </c>
      <c r="BO210" s="783">
        <f t="shared" si="458"/>
        <v>-12.251876748497336</v>
      </c>
      <c r="BP210" s="487"/>
      <c r="BQ210" s="487">
        <v>0.35</v>
      </c>
      <c r="BR210" s="792">
        <f>(BR149-BR169)/BR220</f>
        <v>0.24069165065305659</v>
      </c>
      <c r="BS210" s="783">
        <f t="shared" si="459"/>
        <v>50.774666751524776</v>
      </c>
      <c r="BT210" s="487"/>
      <c r="BU210" s="487">
        <v>0.35</v>
      </c>
      <c r="BV210" s="792">
        <f>(BV149-BV169)/BV220</f>
        <v>0.27044414402390343</v>
      </c>
      <c r="BW210" s="783">
        <f t="shared" si="460"/>
        <v>12.361248630819087</v>
      </c>
      <c r="BX210" s="487"/>
      <c r="BY210" s="487"/>
      <c r="BZ210" s="792">
        <f>(BZ149-BZ169)/BZ220</f>
        <v>0.28343456252878618</v>
      </c>
      <c r="CA210" s="783">
        <f t="shared" si="461"/>
        <v>4.8033646843300026</v>
      </c>
      <c r="CB210" s="487"/>
      <c r="CC210" s="487"/>
      <c r="CD210" s="792">
        <f>(CD149-CD169)/CD220</f>
        <v>0.40621992468908535</v>
      </c>
      <c r="CE210" s="783">
        <f t="shared" si="462"/>
        <v>43.320532635404632</v>
      </c>
      <c r="CF210" s="487"/>
      <c r="CG210" s="487"/>
      <c r="CH210" s="792">
        <f>(CH149-CH169)/CH220</f>
        <v>0.46187599245732397</v>
      </c>
      <c r="CI210" s="783">
        <f t="shared" si="463"/>
        <v>13.700969446744127</v>
      </c>
      <c r="CJ210" s="487"/>
      <c r="CK210" s="487"/>
      <c r="CL210" s="792">
        <f>(CL149-CL169)/CL220</f>
        <v>0.53062585829682474</v>
      </c>
      <c r="CM210" s="783">
        <f t="shared" si="464"/>
        <v>14.884918671293157</v>
      </c>
      <c r="CN210" s="487"/>
      <c r="CO210" s="487"/>
      <c r="CP210" s="792">
        <f>(CP149-CP169)/CP220</f>
        <v>0.61891595071210947</v>
      </c>
      <c r="CQ210" s="783">
        <f t="shared" si="465"/>
        <v>16.638859760561566</v>
      </c>
      <c r="CS210" s="487"/>
      <c r="CT210" s="792">
        <f>(CT149-CT169)/CT220</f>
        <v>0.75127345644572385</v>
      </c>
      <c r="CU210" s="783">
        <f t="shared" si="466"/>
        <v>21.385376411987302</v>
      </c>
      <c r="CV210" s="487"/>
      <c r="CW210" s="794"/>
      <c r="CX210" s="792">
        <f>(CX149-CX169)/CX220</f>
        <v>0.84872005192544975</v>
      </c>
      <c r="CY210" s="783">
        <f t="shared" si="467"/>
        <v>12.970855637672329</v>
      </c>
      <c r="CZ210" s="487"/>
      <c r="DA210" s="794"/>
      <c r="DB210" s="792">
        <f>(DB149-DB169)/DB220</f>
        <v>0.8625411988649373</v>
      </c>
      <c r="DC210" s="783">
        <f t="shared" si="468"/>
        <v>1.6284694709559622</v>
      </c>
      <c r="DD210" s="487"/>
      <c r="DE210" s="794"/>
      <c r="DF210" s="792"/>
      <c r="DG210" s="783">
        <f t="shared" si="469"/>
        <v>-100</v>
      </c>
      <c r="DH210" s="487"/>
      <c r="DI210" s="794"/>
      <c r="DJ210" s="792">
        <f>(DJ149-DJ169)/DJ220</f>
        <v>0</v>
      </c>
      <c r="DK210" s="783" t="e">
        <f t="shared" si="470"/>
        <v>#DIV/0!</v>
      </c>
      <c r="DL210" s="487"/>
      <c r="DM210" s="794"/>
      <c r="DN210" s="792"/>
      <c r="DO210" s="783" t="e">
        <f t="shared" si="471"/>
        <v>#DIV/0!</v>
      </c>
      <c r="DP210" s="487"/>
      <c r="DQ210" s="1025"/>
      <c r="DR210" s="794"/>
      <c r="DS210" s="794"/>
      <c r="DT210" s="794"/>
      <c r="DU210" s="794"/>
      <c r="DV210" s="794"/>
      <c r="DW210" s="794"/>
      <c r="DX210" s="794"/>
      <c r="DY210" s="794"/>
      <c r="DZ210" s="794"/>
      <c r="EA210" s="794"/>
      <c r="EB210" s="794"/>
    </row>
    <row r="211" spans="1:132" ht="11.25" hidden="1" customHeight="1" outlineLevel="1">
      <c r="A211" s="487" t="str">
        <f>$A$13</f>
        <v>4Q</v>
      </c>
      <c r="B211" s="487" t="str">
        <f>$B$13</f>
        <v>Jan</v>
      </c>
      <c r="C211" s="499"/>
      <c r="D211" s="988"/>
      <c r="E211" s="499"/>
      <c r="F211" s="988">
        <f>(F150-F170)/F221</f>
        <v>1.3749999999999988E-2</v>
      </c>
      <c r="G211" s="783"/>
      <c r="H211" s="487"/>
      <c r="I211" s="487"/>
      <c r="J211" s="988">
        <f>(J150-J170)/J221</f>
        <v>-3.2034701439361275E-2</v>
      </c>
      <c r="K211" s="783">
        <f t="shared" si="444"/>
        <v>-332.97964683171858</v>
      </c>
      <c r="L211" s="487"/>
      <c r="M211" s="487"/>
      <c r="N211" s="988">
        <f>(N150-N170)/N221</f>
        <v>2.2164832544035989E-2</v>
      </c>
      <c r="O211" s="783" t="str">
        <f t="shared" si="445"/>
        <v xml:space="preserve">       NM</v>
      </c>
      <c r="P211" s="487"/>
      <c r="Q211" s="487"/>
      <c r="R211" s="988">
        <f>(R150-R170)/R221</f>
        <v>2.432829128051138E-2</v>
      </c>
      <c r="S211" s="783">
        <f t="shared" si="446"/>
        <v>9.760771854139394</v>
      </c>
      <c r="T211" s="487"/>
      <c r="U211" s="487"/>
      <c r="V211" s="988">
        <f>(V150-V170)/V221</f>
        <v>8.5130973343126165E-3</v>
      </c>
      <c r="W211" s="783">
        <f t="shared" si="447"/>
        <v>-65.007417758384918</v>
      </c>
      <c r="X211" s="487"/>
      <c r="Y211" s="487"/>
      <c r="Z211" s="988">
        <f>(Z150-Z170)/Z221</f>
        <v>4.3787324705248237E-3</v>
      </c>
      <c r="AA211" s="783">
        <f t="shared" si="448"/>
        <v>-48.564755005489658</v>
      </c>
      <c r="AB211" s="487"/>
      <c r="AC211" s="487"/>
      <c r="AD211" s="988">
        <f>(AD150-AD170)/AD221</f>
        <v>0.14822626026024924</v>
      </c>
      <c r="AE211" s="783">
        <f t="shared" si="449"/>
        <v>3285.1408200438245</v>
      </c>
      <c r="AF211" s="487">
        <v>1.19</v>
      </c>
      <c r="AG211" s="487"/>
      <c r="AH211" s="1028">
        <f>(AH150-AH170)/AH221</f>
        <v>7.2023986635194895E-2</v>
      </c>
      <c r="AI211" s="783">
        <f t="shared" si="450"/>
        <v>-51.409428728257531</v>
      </c>
      <c r="AJ211" s="487"/>
      <c r="AK211" s="487"/>
      <c r="AL211" s="988">
        <f>(AL150-AL170)/AL221</f>
        <v>0.10366102564353064</v>
      </c>
      <c r="AM211" s="783">
        <f t="shared" si="451"/>
        <v>43.925698210207287</v>
      </c>
      <c r="AN211" s="487"/>
      <c r="AO211" s="487"/>
      <c r="AP211" s="988">
        <f>(AP150-AP170)/AP221</f>
        <v>0.11105923030820117</v>
      </c>
      <c r="AQ211" s="783">
        <f t="shared" si="452"/>
        <v>7.1369201864849963</v>
      </c>
      <c r="AR211" s="487"/>
      <c r="AS211" s="487"/>
      <c r="AT211" s="988">
        <f>(AT150-AT170)/AT221</f>
        <v>0.11962094488014373</v>
      </c>
      <c r="AU211" s="783">
        <f t="shared" si="453"/>
        <v>7.7091427233764387</v>
      </c>
      <c r="AV211" s="487"/>
      <c r="AW211" s="487"/>
      <c r="AX211" s="988">
        <f>(AX150-AX170)/AX221</f>
        <v>0.14104291665709376</v>
      </c>
      <c r="AY211" s="783">
        <f t="shared" si="454"/>
        <v>17.908211474515735</v>
      </c>
      <c r="AZ211" s="487"/>
      <c r="BA211" s="487"/>
      <c r="BB211" s="988">
        <f>(BB150-BB170)/BB221</f>
        <v>0.14125330649893733</v>
      </c>
      <c r="BC211" s="783">
        <f t="shared" si="455"/>
        <v>0.14916725123819141</v>
      </c>
      <c r="BD211" s="487"/>
      <c r="BE211" s="487"/>
      <c r="BF211" s="988">
        <f>(BF150-BF170)/BF221</f>
        <v>0.21602542673641917</v>
      </c>
      <c r="BG211" s="783">
        <f t="shared" si="456"/>
        <v>52.934775185630322</v>
      </c>
      <c r="BH211" s="487"/>
      <c r="BI211" s="487"/>
      <c r="BJ211" s="988">
        <f>(BJ150-BJ170)/BJ221</f>
        <v>0.16285872150624431</v>
      </c>
      <c r="BK211" s="783">
        <f t="shared" si="457"/>
        <v>-24.611318229240474</v>
      </c>
      <c r="BL211" s="487"/>
      <c r="BM211" s="487"/>
      <c r="BN211" s="988">
        <f>(BN150-BN170)/BN221</f>
        <v>0.29735466909637925</v>
      </c>
      <c r="BO211" s="783">
        <f t="shared" si="458"/>
        <v>82.584430447575457</v>
      </c>
      <c r="BP211" s="487"/>
      <c r="BQ211" s="487">
        <v>0.42</v>
      </c>
      <c r="BR211" s="988">
        <f>(BR150-BR170)/BR221</f>
        <v>0.2573837508008267</v>
      </c>
      <c r="BS211" s="783">
        <f t="shared" si="459"/>
        <v>-13.442169385474523</v>
      </c>
      <c r="BT211" s="487"/>
      <c r="BU211" s="487">
        <v>0.42</v>
      </c>
      <c r="BV211" s="988">
        <f>(BV150-BV170)/BV221</f>
        <v>0.32128183879015904</v>
      </c>
      <c r="BW211" s="783">
        <f t="shared" si="460"/>
        <v>24.825999228979722</v>
      </c>
      <c r="BX211" s="487"/>
      <c r="BY211" s="487"/>
      <c r="BZ211" s="988">
        <f>(BZ150-BZ170)/BZ221</f>
        <v>0.27449684694624066</v>
      </c>
      <c r="CA211" s="783">
        <f t="shared" si="461"/>
        <v>-14.561978361458328</v>
      </c>
      <c r="CB211" s="487"/>
      <c r="CC211" s="487"/>
      <c r="CD211" s="988">
        <f>(CD150-CD170)/CD221</f>
        <v>0.47115221752790576</v>
      </c>
      <c r="CE211" s="783">
        <f t="shared" si="462"/>
        <v>71.642123678083422</v>
      </c>
      <c r="CF211" s="487"/>
      <c r="CG211" s="487"/>
      <c r="CH211" s="988">
        <f>(CH150-CH170)/CH221</f>
        <v>0.52645341817998903</v>
      </c>
      <c r="CI211" s="783">
        <f t="shared" si="463"/>
        <v>11.737438261936628</v>
      </c>
      <c r="CJ211" s="487"/>
      <c r="CK211" s="487"/>
      <c r="CL211" s="988">
        <f>(CL150-CL170)/CL221</f>
        <v>0.62310194161393473</v>
      </c>
      <c r="CM211" s="783">
        <f t="shared" si="464"/>
        <v>18.358418826127277</v>
      </c>
      <c r="CN211" s="487"/>
      <c r="CO211" s="487"/>
      <c r="CP211" s="988">
        <f>(CP150-CP170)/CP221</f>
        <v>0.81966955409317166</v>
      </c>
      <c r="CQ211" s="783">
        <f t="shared" si="465"/>
        <v>31.546621724543989</v>
      </c>
      <c r="CS211" s="487"/>
      <c r="CT211" s="988">
        <f>(CT150-CT170)/CT221</f>
        <v>0.80930990198640163</v>
      </c>
      <c r="CU211" s="783">
        <f t="shared" si="466"/>
        <v>-1.2638815306774798</v>
      </c>
      <c r="CV211" s="487"/>
      <c r="CW211" s="794"/>
      <c r="CX211" s="988">
        <f>(CX150-CX170)/CX221</f>
        <v>0.93146130059431342</v>
      </c>
      <c r="CY211" s="783">
        <f t="shared" si="467"/>
        <v>15.093278644941655</v>
      </c>
      <c r="CZ211" s="487"/>
      <c r="DA211" s="794"/>
      <c r="DB211" s="988">
        <f>(DB150-DB170)/DB221</f>
        <v>0.98783119601112346</v>
      </c>
      <c r="DC211" s="783">
        <f t="shared" si="468"/>
        <v>6.0517699855961338</v>
      </c>
      <c r="DD211" s="487"/>
      <c r="DE211" s="794"/>
      <c r="DF211" s="988"/>
      <c r="DG211" s="783">
        <f t="shared" si="469"/>
        <v>-100</v>
      </c>
      <c r="DH211" s="487"/>
      <c r="DI211" s="794"/>
      <c r="DJ211" s="988">
        <f>(DJ150-DJ170)/DJ221</f>
        <v>0</v>
      </c>
      <c r="DK211" s="783" t="e">
        <f t="shared" si="470"/>
        <v>#DIV/0!</v>
      </c>
      <c r="DL211" s="487"/>
      <c r="DM211" s="794"/>
      <c r="DN211" s="988"/>
      <c r="DO211" s="783" t="e">
        <f t="shared" si="471"/>
        <v>#DIV/0!</v>
      </c>
      <c r="DP211" s="487"/>
      <c r="DQ211" s="1025"/>
      <c r="DR211" s="794"/>
      <c r="DS211" s="794"/>
      <c r="DT211" s="794"/>
      <c r="DU211" s="794"/>
      <c r="DV211" s="794"/>
      <c r="DW211" s="794"/>
      <c r="DX211" s="794"/>
      <c r="DY211" s="794"/>
      <c r="DZ211" s="794"/>
      <c r="EA211" s="794"/>
      <c r="EB211" s="794"/>
    </row>
    <row r="212" spans="1:132" ht="11.25" hidden="1" customHeight="1" outlineLevel="1">
      <c r="A212" s="487"/>
      <c r="B212" s="487" t="str">
        <f>$B$14</f>
        <v>Year</v>
      </c>
      <c r="C212" s="487"/>
      <c r="D212" s="867"/>
      <c r="E212" s="487"/>
      <c r="F212" s="867">
        <f>(F151-F171)/F222</f>
        <v>6.3531645314109847E-2</v>
      </c>
      <c r="G212" s="783"/>
      <c r="H212" s="487"/>
      <c r="I212" s="487"/>
      <c r="J212" s="867">
        <f>(J151-J171)/J222</f>
        <v>1.794589600537989E-2</v>
      </c>
      <c r="K212" s="783">
        <f t="shared" si="444"/>
        <v>-71.752823468284618</v>
      </c>
      <c r="L212" s="487"/>
      <c r="M212" s="487"/>
      <c r="N212" s="867">
        <f>(N151-N171)/N222</f>
        <v>8.3679617782213916E-2</v>
      </c>
      <c r="O212" s="783">
        <f t="shared" si="445"/>
        <v>366.28832440089985</v>
      </c>
      <c r="P212" s="487"/>
      <c r="Q212" s="487"/>
      <c r="R212" s="867">
        <f>(R151-R171)/R222</f>
        <v>9.8749220236402216E-2</v>
      </c>
      <c r="S212" s="783">
        <f t="shared" si="446"/>
        <v>18.008689396035148</v>
      </c>
      <c r="T212" s="487"/>
      <c r="U212" s="487"/>
      <c r="V212" s="867">
        <f>(V151-V171)/V222</f>
        <v>6.4198041297453365E-2</v>
      </c>
      <c r="W212" s="783">
        <f t="shared" si="447"/>
        <v>-34.988811917941753</v>
      </c>
      <c r="X212" s="487"/>
      <c r="Y212" s="487"/>
      <c r="Z212" s="867">
        <f>(Z151-Z171)/Z222</f>
        <v>1.4569940563700885E-2</v>
      </c>
      <c r="AA212" s="783">
        <f t="shared" si="448"/>
        <v>-77.304696110286386</v>
      </c>
      <c r="AB212" s="487"/>
      <c r="AC212" s="487"/>
      <c r="AD212" s="867">
        <f>(AD151-AD171)/AD222</f>
        <v>0.25889269673671855</v>
      </c>
      <c r="AE212" s="783">
        <f t="shared" si="449"/>
        <v>1676.896038832966</v>
      </c>
      <c r="AF212" s="487">
        <v>2.0699999999999998</v>
      </c>
      <c r="AG212" s="487"/>
      <c r="AH212" s="867">
        <f>(AH151-AH171)/AH222</f>
        <v>0.21796651686487023</v>
      </c>
      <c r="AI212" s="783">
        <f t="shared" si="450"/>
        <v>-15.808163145470377</v>
      </c>
      <c r="AJ212" s="487">
        <v>1.74</v>
      </c>
      <c r="AK212" s="487"/>
      <c r="AL212" s="867">
        <f>(AL151-AL171)/AL222</f>
        <v>0.31664171258183421</v>
      </c>
      <c r="AM212" s="783">
        <f t="shared" si="451"/>
        <v>45.270804496150355</v>
      </c>
      <c r="AN212" s="487"/>
      <c r="AO212" s="487"/>
      <c r="AP212" s="867">
        <f>(AP151-AP171)/AP222</f>
        <v>0.4103863761125548</v>
      </c>
      <c r="AQ212" s="783">
        <f t="shared" si="452"/>
        <v>29.605910973113758</v>
      </c>
      <c r="AR212" s="487"/>
      <c r="AS212" s="487"/>
      <c r="AT212" s="867">
        <f>(AT151-AT171)/AT222</f>
        <v>0.46513955933000434</v>
      </c>
      <c r="AU212" s="783">
        <f t="shared" si="453"/>
        <v>13.341861817175094</v>
      </c>
      <c r="AV212" s="487"/>
      <c r="AW212" s="487"/>
      <c r="AX212" s="867">
        <f>(AX151-AX171)/AX222</f>
        <v>0.44978050148489512</v>
      </c>
      <c r="AY212" s="783">
        <f t="shared" si="454"/>
        <v>-3.3020321615372161</v>
      </c>
      <c r="AZ212" s="487"/>
      <c r="BA212" s="487"/>
      <c r="BB212" s="867">
        <f>(BB151-BB171)/BB222</f>
        <v>0.52329545454545467</v>
      </c>
      <c r="BC212" s="783">
        <f t="shared" si="455"/>
        <v>16.344628728426191</v>
      </c>
      <c r="BD212" s="487"/>
      <c r="BE212" s="487"/>
      <c r="BF212" s="867">
        <f>(BF151-BF171)/BF222</f>
        <v>0.57350917841298965</v>
      </c>
      <c r="BG212" s="783">
        <f t="shared" si="456"/>
        <v>9.5956736163801857</v>
      </c>
      <c r="BH212" s="487"/>
      <c r="BI212" s="487"/>
      <c r="BJ212" s="867">
        <f>(BJ151-BJ171)/BJ222</f>
        <v>0.59814190899156616</v>
      </c>
      <c r="BK212" s="783">
        <f t="shared" si="457"/>
        <v>4.2950891643513067</v>
      </c>
      <c r="BL212" s="487"/>
      <c r="BM212" s="487"/>
      <c r="BN212" s="867">
        <f>(BN151-BN171)/BN222</f>
        <v>0.70236384416814457</v>
      </c>
      <c r="BO212" s="783">
        <f t="shared" si="458"/>
        <v>17.424282366753197</v>
      </c>
      <c r="BP212" s="487"/>
      <c r="BQ212" s="487">
        <v>1.24</v>
      </c>
      <c r="BR212" s="867">
        <f>(BR151-BR171)/BR222</f>
        <v>0.81235220077850345</v>
      </c>
      <c r="BS212" s="783">
        <f t="shared" si="459"/>
        <v>15.659740677657652</v>
      </c>
      <c r="BT212" s="487"/>
      <c r="BU212" s="487">
        <v>1.24</v>
      </c>
      <c r="BV212" s="867">
        <f>(BV151-BV171)/BV222</f>
        <v>0.96347298859911901</v>
      </c>
      <c r="BW212" s="783">
        <f t="shared" si="460"/>
        <v>18.602865564442574</v>
      </c>
      <c r="BX212" s="487"/>
      <c r="BY212" s="487"/>
      <c r="BZ212" s="867">
        <f>(BZ151-BZ171)/BZ222</f>
        <v>1.0133079332059556</v>
      </c>
      <c r="CA212" s="783">
        <f t="shared" si="461"/>
        <v>5.1724277895217607</v>
      </c>
      <c r="CB212" s="487"/>
      <c r="CC212" s="487"/>
      <c r="CD212" s="867">
        <f>(CD151-CD171)/CD222</f>
        <v>1.4189874631389161</v>
      </c>
      <c r="CE212" s="783">
        <f t="shared" si="462"/>
        <v>40.035167656237604</v>
      </c>
      <c r="CF212" s="487"/>
      <c r="CG212" s="487"/>
      <c r="CH212" s="867">
        <f>(CH151-CH171)/CH222</f>
        <v>1.7474268170555565</v>
      </c>
      <c r="CI212" s="783">
        <f t="shared" si="463"/>
        <v>23.146036342710573</v>
      </c>
      <c r="CJ212" s="487"/>
      <c r="CK212" s="487"/>
      <c r="CL212" s="867">
        <f>(CL151-CL171)/CL222</f>
        <v>1.9885174482922612</v>
      </c>
      <c r="CM212" s="783">
        <f t="shared" si="464"/>
        <v>13.79689431818074</v>
      </c>
      <c r="CN212" s="487"/>
      <c r="CO212" s="487"/>
      <c r="CP212" s="867">
        <f>(CP151-CP171)/CP222</f>
        <v>2.5505641725357999</v>
      </c>
      <c r="CQ212" s="783">
        <f t="shared" si="465"/>
        <v>28.264611141643471</v>
      </c>
      <c r="CS212" s="487"/>
      <c r="CT212" s="867">
        <f>(CT151-CT171)/CT222</f>
        <v>2.8342678172186315</v>
      </c>
      <c r="CU212" s="783">
        <f t="shared" si="466"/>
        <v>11.123172188244546</v>
      </c>
      <c r="CV212" s="487"/>
      <c r="CW212" s="794"/>
      <c r="CX212" s="867">
        <f>(CX151-CX171)/CX222</f>
        <v>3.1624659586825747</v>
      </c>
      <c r="CY212" s="783">
        <f t="shared" si="467"/>
        <v>11.579644642968701</v>
      </c>
      <c r="CZ212" s="487"/>
      <c r="DA212" s="794"/>
      <c r="DB212" s="867">
        <f>(DB151-DB171)/DB222</f>
        <v>3.3347261834345514</v>
      </c>
      <c r="DC212" s="783">
        <f t="shared" si="468"/>
        <v>5.4470222605569774</v>
      </c>
      <c r="DD212" s="487"/>
      <c r="DE212" s="794"/>
      <c r="DF212" s="867"/>
      <c r="DG212" s="783">
        <f t="shared" si="469"/>
        <v>-100</v>
      </c>
      <c r="DH212" s="487"/>
      <c r="DI212" s="794"/>
      <c r="DJ212" s="867">
        <f>(DJ151-DJ171)/DJ222</f>
        <v>0</v>
      </c>
      <c r="DK212" s="783" t="e">
        <f t="shared" si="470"/>
        <v>#DIV/0!</v>
      </c>
      <c r="DL212" s="487"/>
      <c r="DM212" s="794"/>
      <c r="DN212" s="867"/>
      <c r="DO212" s="783" t="e">
        <f t="shared" si="471"/>
        <v>#DIV/0!</v>
      </c>
      <c r="DP212" s="487"/>
      <c r="DQ212" s="1025"/>
      <c r="DR212" s="794"/>
      <c r="DS212" s="794"/>
      <c r="DT212" s="794"/>
      <c r="DU212" s="794"/>
      <c r="DV212" s="794"/>
      <c r="DW212" s="794"/>
      <c r="DX212" s="794"/>
      <c r="DY212" s="794"/>
      <c r="DZ212" s="794"/>
      <c r="EA212" s="794"/>
      <c r="EB212" s="794"/>
    </row>
    <row r="213" spans="1:132" ht="11.25" hidden="1" customHeight="1" outlineLevel="2">
      <c r="A213" s="487" t="str">
        <f>$A$15</f>
        <v>6 Mos</v>
      </c>
      <c r="B213" s="487"/>
      <c r="C213" s="487"/>
      <c r="D213" s="792"/>
      <c r="E213" s="487"/>
      <c r="F213" s="792">
        <f>SUM(F208:F209)</f>
        <v>2.5965735961685742E-2</v>
      </c>
      <c r="G213" s="783"/>
      <c r="H213" s="487"/>
      <c r="I213" s="487"/>
      <c r="J213" s="792">
        <f>SUM(J208:J209)</f>
        <v>2.5558998340587474E-2</v>
      </c>
      <c r="K213" s="783">
        <f t="shared" si="444"/>
        <v>-1.5664397947296238</v>
      </c>
      <c r="L213" s="487"/>
      <c r="M213" s="487"/>
      <c r="N213" s="792">
        <f>SUM(N208:N209)</f>
        <v>2.8181479047403861E-2</v>
      </c>
      <c r="O213" s="783">
        <f t="shared" si="445"/>
        <v>10.260498756134396</v>
      </c>
      <c r="P213" s="487"/>
      <c r="Q213" s="487"/>
      <c r="R213" s="792">
        <f>SUM(R208:R209)</f>
        <v>3.5742716394293612E-2</v>
      </c>
      <c r="S213" s="783">
        <f t="shared" si="446"/>
        <v>26.830519910509487</v>
      </c>
      <c r="T213" s="487"/>
      <c r="U213" s="487"/>
      <c r="V213" s="792">
        <f>SUM(V208:V209)</f>
        <v>2.9222937503562089E-2</v>
      </c>
      <c r="W213" s="783">
        <f t="shared" si="447"/>
        <v>-18.240860092470246</v>
      </c>
      <c r="X213" s="487"/>
      <c r="Y213" s="487"/>
      <c r="Z213" s="792">
        <f>SUM(Z208:Z209)</f>
        <v>-1.7548052891291716E-2</v>
      </c>
      <c r="AA213" s="783">
        <f t="shared" si="448"/>
        <v>-160.04890127542012</v>
      </c>
      <c r="AB213" s="487"/>
      <c r="AC213" s="487"/>
      <c r="AD213" s="792">
        <f>SUM(AD208:AD209)</f>
        <v>4.5764837024398666E-2</v>
      </c>
      <c r="AE213" s="783" t="str">
        <f t="shared" si="449"/>
        <v xml:space="preserve">       NM</v>
      </c>
      <c r="AF213" s="487"/>
      <c r="AG213" s="487"/>
      <c r="AH213" s="792">
        <f>SUM(AH208:AH209)</f>
        <v>7.1209476354141543E-2</v>
      </c>
      <c r="AI213" s="783">
        <f t="shared" si="450"/>
        <v>55.598666976957745</v>
      </c>
      <c r="AJ213" s="487"/>
      <c r="AK213" s="487"/>
      <c r="AL213" s="792">
        <f>SUM(AL208:AL209)</f>
        <v>0.12417902327749258</v>
      </c>
      <c r="AM213" s="783">
        <f t="shared" si="451"/>
        <v>74.385530740207912</v>
      </c>
      <c r="AN213" s="487"/>
      <c r="AO213" s="487"/>
      <c r="AP213" s="792">
        <f>SUM(AP208:AP209)</f>
        <v>0.18041494143944919</v>
      </c>
      <c r="AQ213" s="783">
        <f t="shared" si="452"/>
        <v>45.286165632250828</v>
      </c>
      <c r="AR213" s="487"/>
      <c r="AS213" s="487"/>
      <c r="AT213" s="792">
        <f>SUM(AT208:AT209)</f>
        <v>0.2062092969532307</v>
      </c>
      <c r="AU213" s="783">
        <f t="shared" si="453"/>
        <v>14.297239080078405</v>
      </c>
      <c r="AV213" s="487"/>
      <c r="AW213" s="487"/>
      <c r="AX213" s="792">
        <f>SUM(AX208:AX209)</f>
        <v>0.20981448955616408</v>
      </c>
      <c r="AY213" s="783">
        <f t="shared" si="454"/>
        <v>1.748317198206184</v>
      </c>
      <c r="AZ213" s="487"/>
      <c r="BA213" s="487"/>
      <c r="BB213" s="792">
        <f>SUM(BB208:BB209)</f>
        <v>0.24632496125341413</v>
      </c>
      <c r="BC213" s="783">
        <f t="shared" si="455"/>
        <v>17.401310926849401</v>
      </c>
      <c r="BD213" s="487"/>
      <c r="BE213" s="487"/>
      <c r="BF213" s="792">
        <f>SUM(BF208:BF209)</f>
        <v>0.19960447966334854</v>
      </c>
      <c r="BG213" s="783">
        <f t="shared" si="456"/>
        <v>-18.967010631943428</v>
      </c>
      <c r="BH213" s="487"/>
      <c r="BI213" s="487"/>
      <c r="BJ213" s="792">
        <f>SUM(BJ208:BJ209)</f>
        <v>0.25058362316229726</v>
      </c>
      <c r="BK213" s="783">
        <f t="shared" si="457"/>
        <v>25.540079854384913</v>
      </c>
      <c r="BL213" s="487"/>
      <c r="BM213" s="487"/>
      <c r="BN213" s="792">
        <f>SUM(BN208:BN209)</f>
        <v>0.24879711823002779</v>
      </c>
      <c r="BO213" s="783">
        <f t="shared" si="458"/>
        <v>-0.71293762526228877</v>
      </c>
      <c r="BP213" s="487"/>
      <c r="BQ213" s="487"/>
      <c r="BR213" s="792">
        <f>SUM(BR208:BR209)</f>
        <v>0.31431820649098929</v>
      </c>
      <c r="BS213" s="783">
        <f t="shared" si="459"/>
        <v>26.335147580119212</v>
      </c>
      <c r="BT213" s="487"/>
      <c r="BU213" s="487"/>
      <c r="BV213" s="792">
        <f>SUM(BV208:BV209)</f>
        <v>0.37545817105902224</v>
      </c>
      <c r="BW213" s="783">
        <f t="shared" si="460"/>
        <v>19.451614098525248</v>
      </c>
      <c r="BX213" s="487"/>
      <c r="BY213" s="487"/>
      <c r="BZ213" s="792">
        <f>SUM(BZ208:BZ209)</f>
        <v>0.45786211093808638</v>
      </c>
      <c r="CA213" s="783">
        <f t="shared" si="461"/>
        <v>21.947568659015857</v>
      </c>
      <c r="CB213" s="487"/>
      <c r="CC213" s="487"/>
      <c r="CD213" s="792">
        <f>SUM(CD208:CD209)</f>
        <v>0.54601130963743882</v>
      </c>
      <c r="CE213" s="783">
        <f t="shared" si="462"/>
        <v>19.252346196270498</v>
      </c>
      <c r="CF213" s="487"/>
      <c r="CG213" s="487"/>
      <c r="CH213" s="792">
        <f>SUM(CH208:CH209)</f>
        <v>0.76353512291867076</v>
      </c>
      <c r="CI213" s="783">
        <f t="shared" si="463"/>
        <v>39.838701038202238</v>
      </c>
      <c r="CJ213" s="487"/>
      <c r="CK213" s="487"/>
      <c r="CL213" s="792">
        <f>SUM(CL208:CL209)</f>
        <v>0.84084246796884576</v>
      </c>
      <c r="CM213" s="783">
        <f t="shared" si="464"/>
        <v>10.124923232694494</v>
      </c>
      <c r="CN213" s="487"/>
      <c r="CO213" s="487"/>
      <c r="CP213" s="792">
        <f>SUM(CP208:CP209)</f>
        <v>1.1150126392376809</v>
      </c>
      <c r="CQ213" s="783">
        <f t="shared" si="465"/>
        <v>32.606603699635393</v>
      </c>
      <c r="CS213" s="487"/>
      <c r="CT213" s="792">
        <f>SUM(CT208:CT209)</f>
        <v>1.2764267704163903</v>
      </c>
      <c r="CU213" s="783">
        <f t="shared" si="466"/>
        <v>14.476439593462009</v>
      </c>
      <c r="CV213" s="487"/>
      <c r="CW213" s="794"/>
      <c r="CX213" s="792">
        <f>SUM(CX208:CX209)</f>
        <v>1.3861567956030538</v>
      </c>
      <c r="CY213" s="783">
        <f t="shared" si="467"/>
        <v>8.5966565203633216</v>
      </c>
      <c r="CZ213" s="487"/>
      <c r="DA213" s="794"/>
      <c r="DB213" s="792">
        <f>SUM(DB208:DB209)</f>
        <v>1.488199538606096</v>
      </c>
      <c r="DC213" s="783">
        <f t="shared" si="468"/>
        <v>7.3615584706380854</v>
      </c>
      <c r="DD213" s="487"/>
      <c r="DE213" s="794"/>
      <c r="DF213" s="792"/>
      <c r="DG213" s="783">
        <f t="shared" si="469"/>
        <v>-100</v>
      </c>
      <c r="DH213" s="487"/>
      <c r="DI213" s="794"/>
      <c r="DJ213" s="792">
        <f>SUM(DJ208:DJ209)</f>
        <v>0</v>
      </c>
      <c r="DK213" s="783" t="e">
        <f t="shared" si="470"/>
        <v>#DIV/0!</v>
      </c>
      <c r="DL213" s="487"/>
      <c r="DM213" s="794"/>
      <c r="DN213" s="792"/>
      <c r="DO213" s="783" t="e">
        <f t="shared" si="471"/>
        <v>#DIV/0!</v>
      </c>
      <c r="DP213" s="487"/>
      <c r="DQ213" s="1025"/>
      <c r="DR213" s="794"/>
      <c r="DS213" s="794"/>
      <c r="DT213" s="794"/>
      <c r="DU213" s="794"/>
      <c r="DV213" s="794"/>
      <c r="DW213" s="794"/>
      <c r="DX213" s="794"/>
      <c r="DY213" s="794"/>
      <c r="DZ213" s="794"/>
      <c r="EA213" s="794"/>
      <c r="EB213" s="794"/>
    </row>
    <row r="214" spans="1:132" ht="11.25" hidden="1" customHeight="1" outlineLevel="2">
      <c r="A214" s="487" t="str">
        <f>$A$16</f>
        <v>9 Mos</v>
      </c>
      <c r="B214" s="487"/>
      <c r="C214" s="487"/>
      <c r="D214" s="792"/>
      <c r="E214" s="487"/>
      <c r="F214" s="792">
        <f>SUM(F208:F210)</f>
        <v>5.1549707933236884E-2</v>
      </c>
      <c r="G214" s="783"/>
      <c r="H214" s="487"/>
      <c r="I214" s="487"/>
      <c r="J214" s="792">
        <f>SUM(J208:J210)</f>
        <v>4.9019053018123003E-2</v>
      </c>
      <c r="K214" s="783">
        <f t="shared" si="444"/>
        <v>-4.9091547102291688</v>
      </c>
      <c r="L214" s="487"/>
      <c r="M214" s="487"/>
      <c r="N214" s="792">
        <f>SUM(N208:N210)</f>
        <v>5.9818606289085412E-2</v>
      </c>
      <c r="O214" s="783">
        <f t="shared" si="445"/>
        <v>22.031338032927049</v>
      </c>
      <c r="P214" s="487"/>
      <c r="Q214" s="487"/>
      <c r="R214" s="792">
        <f>SUM(R208:R210)</f>
        <v>7.3723182784392702E-2</v>
      </c>
      <c r="S214" s="783">
        <f t="shared" si="446"/>
        <v>23.244567799040048</v>
      </c>
      <c r="T214" s="487"/>
      <c r="U214" s="487"/>
      <c r="V214" s="792">
        <f>SUM(V208:V210)</f>
        <v>5.5540754765378994E-2</v>
      </c>
      <c r="W214" s="783">
        <f t="shared" si="447"/>
        <v>-24.663107766506997</v>
      </c>
      <c r="X214" s="487"/>
      <c r="Y214" s="487"/>
      <c r="Z214" s="792">
        <f>SUM(Z208:Z210)</f>
        <v>1.0000250293917639E-2</v>
      </c>
      <c r="AA214" s="783">
        <f t="shared" si="448"/>
        <v>-81.994752616953576</v>
      </c>
      <c r="AB214" s="487"/>
      <c r="AC214" s="487"/>
      <c r="AD214" s="792">
        <f>SUM(AD208:AD210)</f>
        <v>0.10611356054055696</v>
      </c>
      <c r="AE214" s="783">
        <f t="shared" si="449"/>
        <v>961.10904649154065</v>
      </c>
      <c r="AF214" s="487"/>
      <c r="AG214" s="487"/>
      <c r="AH214" s="792">
        <f>SUM(AH208:AH210)</f>
        <v>0.14685348556094652</v>
      </c>
      <c r="AI214" s="783">
        <f t="shared" si="450"/>
        <v>38.392760371864654</v>
      </c>
      <c r="AJ214" s="487"/>
      <c r="AK214" s="487"/>
      <c r="AL214" s="792">
        <f>SUM(AL208:AL210)</f>
        <v>0.21406824931396257</v>
      </c>
      <c r="AM214" s="783">
        <f t="shared" si="451"/>
        <v>45.769947847183289</v>
      </c>
      <c r="AN214" s="487"/>
      <c r="AO214" s="487"/>
      <c r="AP214" s="792">
        <f>SUM(AP208:AP210)</f>
        <v>0.30032544148212853</v>
      </c>
      <c r="AQ214" s="783">
        <f t="shared" si="452"/>
        <v>40.294248420585312</v>
      </c>
      <c r="AR214" s="487"/>
      <c r="AS214" s="487"/>
      <c r="AT214" s="792">
        <f>SUM(AT208:AT210)</f>
        <v>0.34606007288655372</v>
      </c>
      <c r="AU214" s="783">
        <f t="shared" si="453"/>
        <v>15.228357337534026</v>
      </c>
      <c r="AV214" s="487"/>
      <c r="AW214" s="487"/>
      <c r="AX214" s="792">
        <f>SUM(AX208:AX210)</f>
        <v>0.30896878055124088</v>
      </c>
      <c r="AY214" s="783">
        <f t="shared" si="454"/>
        <v>-10.718165787207756</v>
      </c>
      <c r="AZ214" s="487"/>
      <c r="BA214" s="487"/>
      <c r="BB214" s="792">
        <f>SUM(BB208:BB210)</f>
        <v>0.38047067421496927</v>
      </c>
      <c r="BC214" s="783">
        <f t="shared" si="455"/>
        <v>23.142109547818922</v>
      </c>
      <c r="BD214" s="487"/>
      <c r="BE214" s="487"/>
      <c r="BF214" s="792">
        <f>SUM(BF208:BF210)</f>
        <v>0.36042087060176908</v>
      </c>
      <c r="BG214" s="783">
        <f t="shared" si="456"/>
        <v>-5.2697369263923548</v>
      </c>
      <c r="BH214" s="487"/>
      <c r="BI214" s="487"/>
      <c r="BJ214" s="792">
        <f>SUM(BJ208:BJ210)</f>
        <v>0.43250964019681104</v>
      </c>
      <c r="BK214" s="783">
        <f t="shared" si="457"/>
        <v>20.001275030128095</v>
      </c>
      <c r="BL214" s="487"/>
      <c r="BM214" s="487"/>
      <c r="BN214" s="792">
        <f>SUM(BN208:BN210)</f>
        <v>0.40843378388402263</v>
      </c>
      <c r="BO214" s="783">
        <f t="shared" si="458"/>
        <v>-5.5665479044196164</v>
      </c>
      <c r="BP214" s="487"/>
      <c r="BQ214" s="487"/>
      <c r="BR214" s="792">
        <f>SUM(BR208:BR210)</f>
        <v>0.55500985714404583</v>
      </c>
      <c r="BS214" s="783">
        <f t="shared" si="459"/>
        <v>35.887352869331799</v>
      </c>
      <c r="BT214" s="487"/>
      <c r="BU214" s="487"/>
      <c r="BV214" s="792">
        <f>SUM(BV208:BV210)</f>
        <v>0.64590231508292573</v>
      </c>
      <c r="BW214" s="783">
        <f t="shared" si="460"/>
        <v>16.376728587595135</v>
      </c>
      <c r="BX214" s="487"/>
      <c r="BY214" s="487"/>
      <c r="BZ214" s="792">
        <f>SUM(BZ208:BZ210)</f>
        <v>0.74129667346687256</v>
      </c>
      <c r="CA214" s="783">
        <f t="shared" si="461"/>
        <v>14.769161861836544</v>
      </c>
      <c r="CB214" s="487"/>
      <c r="CC214" s="487"/>
      <c r="CD214" s="792">
        <f>SUM(CD208:CD210)</f>
        <v>0.95223123432652423</v>
      </c>
      <c r="CE214" s="783">
        <f t="shared" si="462"/>
        <v>28.454810119834974</v>
      </c>
      <c r="CF214" s="487"/>
      <c r="CG214" s="487"/>
      <c r="CH214" s="792">
        <f>SUM(CH208:CH210)</f>
        <v>1.2254111153759948</v>
      </c>
      <c r="CI214" s="783">
        <f t="shared" si="463"/>
        <v>28.688397439796233</v>
      </c>
      <c r="CJ214" s="487"/>
      <c r="CK214" s="487"/>
      <c r="CL214" s="792">
        <f>SUM(CL208:CL210)</f>
        <v>1.3714683262656706</v>
      </c>
      <c r="CM214" s="783">
        <f t="shared" si="464"/>
        <v>11.919037542340295</v>
      </c>
      <c r="CN214" s="487"/>
      <c r="CO214" s="487"/>
      <c r="CP214" s="792">
        <f>SUM(CP208:CP210)</f>
        <v>1.7339285899497905</v>
      </c>
      <c r="CQ214" s="783">
        <f t="shared" si="465"/>
        <v>26.428628116483878</v>
      </c>
      <c r="CS214" s="487"/>
      <c r="CT214" s="792">
        <f>SUM(CT208:CT210)</f>
        <v>2.0277002268621143</v>
      </c>
      <c r="CU214" s="783">
        <f t="shared" si="466"/>
        <v>16.942545305215283</v>
      </c>
      <c r="CV214" s="487"/>
      <c r="CW214" s="794"/>
      <c r="CX214" s="792">
        <f>SUM(CX208:CX210)</f>
        <v>2.2348768475285037</v>
      </c>
      <c r="CY214" s="783">
        <f t="shared" si="467"/>
        <v>10.217319992462448</v>
      </c>
      <c r="CZ214" s="487"/>
      <c r="DA214" s="794"/>
      <c r="DB214" s="792">
        <f>SUM(DB208:DB210)</f>
        <v>2.3507407374710332</v>
      </c>
      <c r="DC214" s="783">
        <f t="shared" si="468"/>
        <v>5.1843523311210893</v>
      </c>
      <c r="DD214" s="487"/>
      <c r="DE214" s="794"/>
      <c r="DF214" s="792"/>
      <c r="DG214" s="783">
        <f t="shared" si="469"/>
        <v>-100</v>
      </c>
      <c r="DH214" s="487"/>
      <c r="DI214" s="794"/>
      <c r="DJ214" s="792">
        <f>SUM(DJ208:DJ210)</f>
        <v>0</v>
      </c>
      <c r="DK214" s="783" t="e">
        <f t="shared" si="470"/>
        <v>#DIV/0!</v>
      </c>
      <c r="DL214" s="487"/>
      <c r="DM214" s="794"/>
      <c r="DN214" s="792"/>
      <c r="DO214" s="783" t="e">
        <f t="shared" si="471"/>
        <v>#DIV/0!</v>
      </c>
      <c r="DP214" s="487"/>
      <c r="DQ214" s="1025"/>
      <c r="DR214" s="794"/>
      <c r="DS214" s="794"/>
      <c r="DT214" s="794"/>
      <c r="DU214" s="794"/>
      <c r="DV214" s="794"/>
      <c r="DW214" s="794"/>
      <c r="DX214" s="794"/>
      <c r="DY214" s="794"/>
      <c r="DZ214" s="794"/>
      <c r="EA214" s="794"/>
      <c r="EB214" s="794"/>
    </row>
    <row r="215" spans="1:132" ht="11.25" hidden="1" customHeight="1" outlineLevel="1" collapsed="1">
      <c r="A215" s="487"/>
      <c r="B215" s="487"/>
      <c r="C215" s="487"/>
      <c r="D215" s="487"/>
      <c r="E215" s="487"/>
      <c r="F215" s="487"/>
      <c r="G215" s="487"/>
      <c r="H215" s="487"/>
      <c r="I215" s="487"/>
      <c r="J215" s="487"/>
      <c r="K215" s="487"/>
      <c r="L215" s="487"/>
      <c r="M215" s="487"/>
      <c r="N215" s="487"/>
      <c r="O215" s="487"/>
      <c r="P215" s="487"/>
      <c r="Q215" s="487"/>
      <c r="R215" s="487"/>
      <c r="S215" s="487"/>
      <c r="T215" s="487"/>
      <c r="U215" s="487"/>
      <c r="V215" s="487"/>
      <c r="W215" s="487"/>
      <c r="X215" s="487"/>
      <c r="Y215" s="487"/>
      <c r="Z215" s="487"/>
      <c r="AA215" s="487"/>
      <c r="AB215" s="487"/>
      <c r="AC215" s="487"/>
      <c r="AD215" s="487"/>
      <c r="AE215" s="487"/>
      <c r="AF215" s="487"/>
      <c r="AG215" s="487"/>
      <c r="AH215" s="487"/>
      <c r="AI215" s="487"/>
      <c r="AJ215" s="487"/>
      <c r="AK215" s="487"/>
      <c r="AL215" s="487"/>
      <c r="AM215" s="487"/>
      <c r="AN215" s="487"/>
      <c r="AO215" s="487"/>
      <c r="AP215" s="487"/>
      <c r="AQ215" s="487"/>
      <c r="AR215" s="487"/>
      <c r="AS215" s="487"/>
      <c r="AT215" s="487"/>
      <c r="AU215" s="487"/>
      <c r="AV215" s="487"/>
      <c r="AW215" s="487"/>
      <c r="AX215" s="487"/>
      <c r="AY215" s="487"/>
      <c r="AZ215" s="487"/>
      <c r="BA215" s="487"/>
      <c r="BB215" s="487"/>
      <c r="BC215" s="487"/>
      <c r="BD215" s="487"/>
      <c r="BE215" s="487"/>
      <c r="BF215" s="487"/>
      <c r="BG215" s="487"/>
      <c r="BH215" s="487"/>
      <c r="BI215" s="487"/>
      <c r="BJ215" s="487"/>
      <c r="BK215" s="487"/>
      <c r="BL215" s="487"/>
      <c r="BM215" s="487"/>
      <c r="BN215" s="487"/>
      <c r="BO215" s="487"/>
      <c r="BP215" s="487"/>
      <c r="BQ215" s="487"/>
      <c r="BR215" s="487"/>
      <c r="BS215" s="487"/>
      <c r="BT215" s="487"/>
      <c r="BU215" s="487"/>
      <c r="BV215" s="487"/>
      <c r="BW215" s="487"/>
      <c r="BX215" s="487"/>
      <c r="BY215" s="487"/>
      <c r="BZ215" s="487"/>
      <c r="CA215" s="487"/>
      <c r="CB215" s="487"/>
      <c r="CC215" s="487"/>
      <c r="CD215" s="487"/>
      <c r="CE215" s="487"/>
      <c r="CF215" s="487"/>
      <c r="CG215" s="487"/>
      <c r="CH215" s="487"/>
      <c r="CI215" s="487"/>
      <c r="CJ215" s="487"/>
      <c r="CK215" s="487"/>
      <c r="CL215" s="487"/>
      <c r="CM215" s="487"/>
      <c r="CN215" s="487"/>
      <c r="CO215" s="487"/>
      <c r="CP215" s="487"/>
      <c r="CQ215" s="487"/>
      <c r="CS215" s="487"/>
      <c r="CT215" s="487"/>
      <c r="CU215" s="487"/>
      <c r="CX215" s="487"/>
      <c r="CY215" s="487"/>
      <c r="DB215" s="487"/>
      <c r="DC215" s="487"/>
      <c r="DF215" s="487"/>
      <c r="DG215" s="487"/>
      <c r="DJ215" s="487"/>
      <c r="DK215" s="487"/>
      <c r="DN215" s="487"/>
      <c r="DO215" s="487"/>
      <c r="DQ215" s="1025"/>
      <c r="DR215" s="794"/>
      <c r="DS215" s="794"/>
      <c r="DT215" s="794"/>
      <c r="DU215" s="794"/>
      <c r="DV215" s="794"/>
      <c r="DW215" s="794"/>
      <c r="DX215" s="794"/>
      <c r="DY215" s="794"/>
      <c r="DZ215" s="794"/>
      <c r="EA215" s="794"/>
      <c r="EB215" s="794"/>
    </row>
    <row r="216" spans="1:132" collapsed="1">
      <c r="A216" s="487"/>
      <c r="B216" s="487"/>
      <c r="C216" s="807"/>
      <c r="D216" s="808"/>
      <c r="E216" s="809"/>
      <c r="F216" s="809" t="str">
        <f>Z216</f>
        <v xml:space="preserve">10.  Average Shares Outstanding -- Fully Diluted  </v>
      </c>
      <c r="G216" s="811"/>
      <c r="H216" s="811"/>
      <c r="I216" s="811"/>
      <c r="J216" s="810"/>
      <c r="K216" s="811"/>
      <c r="L216" s="811"/>
      <c r="M216" s="811"/>
      <c r="N216" s="810"/>
      <c r="O216" s="811"/>
      <c r="P216" s="811"/>
      <c r="Q216" s="811"/>
      <c r="R216" s="810"/>
      <c r="S216" s="811"/>
      <c r="T216" s="811"/>
      <c r="U216" s="811"/>
      <c r="V216" s="810"/>
      <c r="W216" s="811"/>
      <c r="X216" s="811"/>
      <c r="Y216" s="487"/>
      <c r="Z216" s="810" t="s">
        <v>742</v>
      </c>
      <c r="AA216" s="811"/>
      <c r="AB216" s="811"/>
      <c r="AC216" s="811"/>
      <c r="AD216" s="810"/>
      <c r="AE216" s="811"/>
      <c r="AF216" s="811"/>
      <c r="AG216" s="811"/>
      <c r="AH216" s="810"/>
      <c r="AI216" s="811"/>
      <c r="AJ216" s="811"/>
      <c r="AK216" s="811"/>
      <c r="AL216" s="810"/>
      <c r="AM216" s="811"/>
      <c r="AN216" s="811"/>
      <c r="AO216" s="702"/>
      <c r="AP216" s="487"/>
      <c r="AQ216" s="811"/>
      <c r="AR216" s="811"/>
      <c r="AS216" s="811"/>
      <c r="AT216" s="487"/>
      <c r="AU216" s="921"/>
      <c r="AV216" s="921"/>
      <c r="AW216" s="921"/>
      <c r="AX216" s="921"/>
      <c r="AY216" s="921"/>
      <c r="AZ216" s="921"/>
      <c r="BA216" s="921"/>
      <c r="BB216" s="921"/>
      <c r="BC216" s="921"/>
      <c r="BD216" s="921"/>
      <c r="BE216" s="921"/>
      <c r="BF216" s="487"/>
      <c r="BG216" s="809"/>
      <c r="BH216" s="809"/>
      <c r="BI216" s="809"/>
      <c r="BJ216" s="809" t="s">
        <v>743</v>
      </c>
      <c r="BK216" s="809"/>
      <c r="BL216" s="809"/>
      <c r="BM216" s="809"/>
      <c r="BN216" s="809" t="s">
        <v>743</v>
      </c>
      <c r="BO216" s="809"/>
      <c r="BP216" s="809"/>
      <c r="BQ216" s="809"/>
      <c r="BR216" s="809"/>
      <c r="BS216" s="809"/>
      <c r="BT216" s="809"/>
      <c r="BU216" s="809"/>
      <c r="BV216" s="809"/>
      <c r="BW216" s="809"/>
      <c r="BX216" s="809"/>
      <c r="BY216" s="809"/>
      <c r="BZ216" s="809"/>
      <c r="CA216" s="809"/>
      <c r="CC216" s="809"/>
      <c r="CD216" s="809"/>
      <c r="CE216" s="809"/>
      <c r="CF216" s="810" t="str">
        <f>BN216</f>
        <v xml:space="preserve">10.  Average Shares Outstanding -- Fully Diluted  </v>
      </c>
      <c r="CG216" s="809"/>
      <c r="CH216" s="809"/>
      <c r="CI216" s="809"/>
      <c r="CJ216" s="809"/>
      <c r="CK216" s="809"/>
      <c r="CL216" s="809"/>
      <c r="CM216" s="809"/>
      <c r="CN216" s="809"/>
      <c r="CO216" s="809"/>
      <c r="CP216" s="809"/>
      <c r="CQ216" s="809"/>
      <c r="CS216" s="809"/>
      <c r="CT216" s="809"/>
      <c r="CU216" s="809"/>
      <c r="CX216" s="809"/>
      <c r="CY216" s="809"/>
      <c r="DB216" s="809">
        <f>CF2016</f>
        <v>0</v>
      </c>
      <c r="DC216" s="809"/>
      <c r="DD216" s="2056">
        <f>0.04/1.03</f>
        <v>3.8834951456310676E-2</v>
      </c>
      <c r="DF216" s="1942"/>
      <c r="DG216" s="809"/>
      <c r="DH216" s="493">
        <f>DJ216/DF181-1</f>
        <v>0.10809808259637821</v>
      </c>
      <c r="DJ216" s="1942">
        <f>4.03-0.11</f>
        <v>3.9200000000000004</v>
      </c>
      <c r="DK216" s="809"/>
      <c r="DN216" s="2103"/>
      <c r="DO216" s="809"/>
      <c r="DQ216" s="1016"/>
      <c r="DR216" s="794"/>
      <c r="DS216" s="794"/>
      <c r="DT216" s="794">
        <f>3.75*20.5</f>
        <v>76.875</v>
      </c>
      <c r="DU216" s="794"/>
      <c r="DV216" s="794"/>
      <c r="DW216" s="794"/>
      <c r="DX216" s="794"/>
      <c r="DY216" s="794"/>
      <c r="DZ216" s="794"/>
      <c r="EA216" s="794"/>
      <c r="EB216" s="794"/>
    </row>
    <row r="217" spans="1:132">
      <c r="A217" s="487"/>
      <c r="B217" s="487"/>
      <c r="C217" s="487"/>
      <c r="D217" s="487"/>
      <c r="E217" s="487"/>
      <c r="F217" s="487"/>
      <c r="G217" s="487"/>
      <c r="H217" s="487"/>
      <c r="I217" s="487"/>
      <c r="J217" s="487"/>
      <c r="K217" s="487"/>
      <c r="L217" s="487"/>
      <c r="M217" s="487"/>
      <c r="N217" s="487"/>
      <c r="O217" s="487"/>
      <c r="P217" s="487"/>
      <c r="Q217" s="487"/>
      <c r="R217" s="487"/>
      <c r="S217" s="487"/>
      <c r="T217" s="487"/>
      <c r="U217" s="487"/>
      <c r="V217" s="487"/>
      <c r="W217" s="487"/>
      <c r="X217" s="487"/>
      <c r="Y217" s="487"/>
      <c r="Z217" s="487"/>
      <c r="AA217" s="487"/>
      <c r="AB217" s="487"/>
      <c r="AC217" s="487"/>
      <c r="AD217" s="487"/>
      <c r="AE217" s="487"/>
      <c r="AF217" s="487"/>
      <c r="AG217" s="487"/>
      <c r="AH217" s="487"/>
      <c r="AI217" s="487"/>
      <c r="AJ217" s="487"/>
      <c r="AK217" s="487"/>
      <c r="AL217" s="487"/>
      <c r="AM217" s="487"/>
      <c r="AN217" s="487"/>
      <c r="AO217" s="487"/>
      <c r="AP217" s="487"/>
      <c r="AQ217" s="487"/>
      <c r="AR217" s="487"/>
      <c r="AS217" s="487"/>
      <c r="AT217" s="487"/>
      <c r="AU217" s="487"/>
      <c r="AV217" s="487"/>
      <c r="AW217" s="487"/>
      <c r="AX217" s="487"/>
      <c r="AY217" s="487"/>
      <c r="AZ217" s="487"/>
      <c r="BA217" s="487"/>
      <c r="BB217" s="487"/>
      <c r="BC217" s="487"/>
      <c r="BD217" s="487"/>
      <c r="BE217" s="487"/>
      <c r="BF217" s="487"/>
      <c r="BG217" s="487"/>
      <c r="BH217" s="487"/>
      <c r="BI217" s="487"/>
      <c r="BJ217" s="487"/>
      <c r="BK217" s="487"/>
      <c r="BL217" s="487"/>
      <c r="BM217" s="487"/>
      <c r="BN217" s="487"/>
      <c r="BO217" s="487"/>
      <c r="BP217" s="487"/>
      <c r="BQ217" s="487"/>
      <c r="BR217" s="487"/>
      <c r="BS217" s="487"/>
      <c r="BT217" s="487"/>
      <c r="BU217" s="487"/>
      <c r="BV217" s="487"/>
      <c r="BW217" s="487"/>
      <c r="BX217" s="487"/>
      <c r="BY217" s="487"/>
      <c r="BZ217" s="487"/>
      <c r="CA217" s="487"/>
      <c r="CB217" s="487"/>
      <c r="CC217" s="487"/>
      <c r="CD217" s="487"/>
      <c r="CE217" s="487"/>
      <c r="CF217" s="487"/>
      <c r="CG217" s="487"/>
      <c r="CH217" s="487"/>
      <c r="CI217" s="487"/>
      <c r="CJ217" s="487"/>
      <c r="CK217" s="487"/>
      <c r="CL217" s="487"/>
      <c r="CM217" s="487"/>
      <c r="CN217" s="487"/>
      <c r="CO217" s="487"/>
      <c r="CP217" s="487"/>
      <c r="CQ217" s="487"/>
      <c r="CS217" s="487"/>
      <c r="CT217" s="487"/>
      <c r="CU217" s="487"/>
      <c r="CX217" s="487"/>
      <c r="CY217" s="487"/>
      <c r="DB217" s="487"/>
      <c r="DC217" s="487"/>
      <c r="DF217" s="487"/>
      <c r="DG217" s="487"/>
      <c r="DH217" s="493"/>
      <c r="DJ217" s="487"/>
      <c r="DK217" s="487"/>
      <c r="DN217" s="487"/>
      <c r="DO217" s="487"/>
      <c r="DQ217" s="794"/>
      <c r="DR217" s="794"/>
      <c r="DS217" s="794"/>
      <c r="DT217" s="794"/>
      <c r="DU217" s="794"/>
      <c r="DV217" s="794"/>
      <c r="DW217" s="794"/>
      <c r="DX217" s="794"/>
      <c r="DY217" s="794"/>
      <c r="DZ217" s="794"/>
      <c r="EA217" s="794"/>
      <c r="EB217" s="794"/>
    </row>
    <row r="218" spans="1:132">
      <c r="A218" s="487" t="str">
        <f>$A$10</f>
        <v>1Q</v>
      </c>
      <c r="B218" s="487" t="str">
        <f>$B$10</f>
        <v>Apr</v>
      </c>
      <c r="C218" s="487"/>
      <c r="D218" s="831"/>
      <c r="E218" s="487"/>
      <c r="F218" s="831">
        <f>(69.821411*4*2)*2</f>
        <v>1117.142576</v>
      </c>
      <c r="G218" s="716"/>
      <c r="H218" s="716"/>
      <c r="I218" s="487"/>
      <c r="J218" s="831">
        <f>(69.998332*4*2)*2</f>
        <v>1119.9733120000001</v>
      </c>
      <c r="K218" s="716"/>
      <c r="L218" s="716"/>
      <c r="M218" s="487"/>
      <c r="N218" s="831">
        <f>(70.097034*4*2)*2</f>
        <v>1121.5525439999999</v>
      </c>
      <c r="O218" s="716"/>
      <c r="P218" s="716"/>
      <c r="Q218" s="487"/>
      <c r="R218" s="831">
        <f>(74.108809*4*2)*2</f>
        <v>1185.7409439999999</v>
      </c>
      <c r="S218" s="716"/>
      <c r="T218" s="716"/>
      <c r="U218" s="487"/>
      <c r="V218" s="831">
        <f>(74.076832*4*2)*2</f>
        <v>1185.2293119999999</v>
      </c>
      <c r="W218" s="716"/>
      <c r="X218" s="716"/>
      <c r="Y218" s="487"/>
      <c r="Z218" s="831">
        <f>(72.461854*4*2)*2</f>
        <v>1159.389664</v>
      </c>
      <c r="AA218" s="716"/>
      <c r="AB218" s="716"/>
      <c r="AC218" s="487"/>
      <c r="AD218" s="831">
        <f>(85.340267*4*2)*2</f>
        <v>1365.444272</v>
      </c>
      <c r="AE218" s="716"/>
      <c r="AF218" s="716"/>
      <c r="AG218" s="487"/>
      <c r="AH218" s="831">
        <f>(177.167438*2*2)*2</f>
        <v>1417.339504</v>
      </c>
      <c r="AI218" s="716"/>
      <c r="AJ218" s="716"/>
      <c r="AK218" s="487"/>
      <c r="AL218" s="831">
        <f>(170.155173*2*2)*2</f>
        <v>1361.2413839999999</v>
      </c>
      <c r="AM218" s="1029">
        <f>(AL218/AH218-1)*100</f>
        <v>-3.9579874717158847</v>
      </c>
      <c r="AN218" s="716"/>
      <c r="AO218" s="716"/>
      <c r="AP218" s="831">
        <f>(325.296145*2)*2</f>
        <v>1301.1845800000001</v>
      </c>
      <c r="AQ218" s="1029">
        <f>(AP218/AL218-1)*100</f>
        <v>-4.411914353024093</v>
      </c>
      <c r="AR218" s="487"/>
      <c r="AS218" s="487"/>
      <c r="AT218" s="831">
        <f>(300.044959*2)*2</f>
        <v>1200.179836</v>
      </c>
      <c r="AU218" s="1029">
        <f>(AT218/AP218-1)*100</f>
        <v>-7.7625223625075623</v>
      </c>
      <c r="AV218" s="487"/>
      <c r="AW218" s="487"/>
      <c r="AX218" s="831">
        <f>(282.128494*2)*2</f>
        <v>1128.513976</v>
      </c>
      <c r="AY218" s="1029">
        <f>(AX218/AT218-1)*100</f>
        <v>-5.9712601270531689</v>
      </c>
      <c r="AZ218" s="487"/>
      <c r="BA218" s="487"/>
      <c r="BB218" s="831">
        <f>(547.122216+16.9)*2</f>
        <v>1128.0444319999999</v>
      </c>
      <c r="BC218" s="1029">
        <f>(BB218/AX218-1)*100</f>
        <v>-4.160728267312841E-2</v>
      </c>
      <c r="BD218" s="487"/>
      <c r="BE218" s="487"/>
      <c r="BF218" s="831">
        <f>(520.5042+16.9)*2</f>
        <v>1074.8083999999999</v>
      </c>
      <c r="BG218" s="1030">
        <f>(BF218/BB218-1)*100</f>
        <v>-4.7193204886099789</v>
      </c>
      <c r="BH218" s="845">
        <f>BF218-BB221</f>
        <v>-17.576647999999977</v>
      </c>
      <c r="BI218" s="845">
        <f>8.2--BH218</f>
        <v>-9.3766479999999781</v>
      </c>
      <c r="BJ218" s="831">
        <f>(504.680698+16.9)*2</f>
        <v>1043.161396</v>
      </c>
      <c r="BK218" s="1030">
        <f>(BJ218/BF218-1)*100</f>
        <v>-2.9444321425102338</v>
      </c>
      <c r="BL218" s="845">
        <f>BJ218-BF221</f>
        <v>-4.6735900000001038</v>
      </c>
      <c r="BM218" s="845">
        <f>-5.6-BL218</f>
        <v>-0.92640999999989582</v>
      </c>
      <c r="BN218" s="831">
        <v>994.22913600000004</v>
      </c>
      <c r="BO218" s="1030"/>
      <c r="BP218" s="487"/>
      <c r="BQ218" s="487"/>
      <c r="BR218" s="831">
        <v>969.89494400000001</v>
      </c>
      <c r="BS218" s="1030"/>
      <c r="BT218" s="487"/>
      <c r="BU218" s="487"/>
      <c r="BV218" s="831">
        <v>958.05121199999996</v>
      </c>
      <c r="BW218" s="1030"/>
      <c r="BX218" s="487"/>
      <c r="BY218" s="487"/>
      <c r="BZ218" s="831">
        <v>900.80200000000002</v>
      </c>
      <c r="CA218" s="1030"/>
      <c r="CB218" s="487"/>
      <c r="CC218" s="487"/>
      <c r="CD218" s="831">
        <v>863.84</v>
      </c>
      <c r="CE218" s="1030"/>
      <c r="CF218" s="487"/>
      <c r="CG218" s="487"/>
      <c r="CH218" s="831">
        <v>828.8</v>
      </c>
      <c r="CI218" s="1030"/>
      <c r="CJ218" s="845"/>
      <c r="CK218" s="487"/>
      <c r="CL218" s="831">
        <v>788.00800000000004</v>
      </c>
      <c r="CM218" s="1030"/>
      <c r="CN218" s="845"/>
      <c r="CO218" s="487"/>
      <c r="CP218" s="831">
        <v>756.01599999999996</v>
      </c>
      <c r="CQ218" s="1030"/>
      <c r="CS218" s="487"/>
      <c r="CT218" s="831">
        <v>732.55499999999995</v>
      </c>
      <c r="CU218" s="1030"/>
      <c r="CX218" s="831">
        <v>712.90200000000004</v>
      </c>
      <c r="CY218" s="1031"/>
      <c r="DB218" s="831">
        <v>691.20600000000002</v>
      </c>
      <c r="DC218" s="1031"/>
      <c r="DF218" s="831">
        <v>670.38800000000003</v>
      </c>
      <c r="DG218" s="1031"/>
      <c r="DJ218" s="831">
        <v>654.79899999999998</v>
      </c>
      <c r="DK218" s="1031"/>
      <c r="DN218" s="1032">
        <f>DN279-DJ282+DJ221+1.8</f>
        <v>633.97358823529407</v>
      </c>
      <c r="DO218" s="1031"/>
      <c r="DQ218" s="794"/>
      <c r="DR218" s="794"/>
      <c r="DS218" s="794"/>
      <c r="DT218" s="794"/>
      <c r="DU218" s="794"/>
      <c r="DV218" s="794"/>
      <c r="DW218" s="794"/>
      <c r="DX218" s="794"/>
      <c r="DY218" s="794"/>
      <c r="DZ218" s="794"/>
      <c r="EA218" s="794"/>
      <c r="EB218" s="794"/>
    </row>
    <row r="219" spans="1:132">
      <c r="A219" s="487" t="str">
        <f>$A$11</f>
        <v>2Q</v>
      </c>
      <c r="B219" s="487" t="str">
        <f>$B$11</f>
        <v>Jul</v>
      </c>
      <c r="C219" s="487"/>
      <c r="D219" s="831"/>
      <c r="E219" s="487"/>
      <c r="F219" s="831">
        <f>(69.799988*4*2)*2</f>
        <v>1116.799808</v>
      </c>
      <c r="G219" s="716"/>
      <c r="H219" s="716"/>
      <c r="I219" s="487"/>
      <c r="J219" s="831">
        <f>(70.118004*4*2)*2</f>
        <v>1121.888064</v>
      </c>
      <c r="K219" s="716"/>
      <c r="L219" s="716"/>
      <c r="M219" s="487"/>
      <c r="N219" s="831">
        <f>(73.345635*4*2)*2</f>
        <v>1173.53016</v>
      </c>
      <c r="O219" s="716"/>
      <c r="P219" s="716"/>
      <c r="Q219" s="487"/>
      <c r="R219" s="831">
        <f>(74.156*4*2)*2</f>
        <v>1186.4960000000001</v>
      </c>
      <c r="S219" s="716"/>
      <c r="T219" s="716"/>
      <c r="U219" s="487"/>
      <c r="V219" s="831">
        <f>(73.864528*4*2)*2</f>
        <v>1181.8324480000001</v>
      </c>
      <c r="W219" s="716"/>
      <c r="X219" s="716"/>
      <c r="Y219" s="487"/>
      <c r="Z219" s="831">
        <f>(72.488989*4*2)*2</f>
        <v>1159.8238240000001</v>
      </c>
      <c r="AA219" s="716"/>
      <c r="AB219" s="716"/>
      <c r="AC219" s="487"/>
      <c r="AD219" s="831">
        <f>(89.986777*4*2)*2</f>
        <v>1439.7884320000001</v>
      </c>
      <c r="AE219" s="716"/>
      <c r="AF219" s="716"/>
      <c r="AG219" s="487"/>
      <c r="AH219" s="831">
        <f>(355.084486*2)*2</f>
        <v>1420.3379440000001</v>
      </c>
      <c r="AI219" s="716"/>
      <c r="AJ219" s="716"/>
      <c r="AK219" s="487"/>
      <c r="AL219" s="831">
        <f>(337.137025*2)*2</f>
        <v>1348.5481</v>
      </c>
      <c r="AM219" s="1029">
        <f>(AL219/AH219-1)*100</f>
        <v>-5.0544199219112134</v>
      </c>
      <c r="AN219" s="716"/>
      <c r="AO219" s="716"/>
      <c r="AP219" s="831">
        <f>(320.450875*2)*2</f>
        <v>1281.8035</v>
      </c>
      <c r="AQ219" s="1029">
        <f>(AP219/AL219-1)*100</f>
        <v>-4.9493673974254193</v>
      </c>
      <c r="AR219" s="487"/>
      <c r="AS219" s="487"/>
      <c r="AT219" s="831">
        <f>(292.665656*2)*2</f>
        <v>1170.6626240000001</v>
      </c>
      <c r="AU219" s="1029">
        <f>(AT219/AP219-1)*100</f>
        <v>-8.6706641072520014</v>
      </c>
      <c r="AV219" s="487"/>
      <c r="AW219" s="487"/>
      <c r="AX219" s="831">
        <f>(279.136327*2)*2</f>
        <v>1116.545308</v>
      </c>
      <c r="AY219" s="1029">
        <f>(AX219/AT219-1)*100</f>
        <v>-4.6227935265489517</v>
      </c>
      <c r="AZ219" s="487"/>
      <c r="BA219" s="487"/>
      <c r="BB219" s="831">
        <f>(542.224422+16.9)*2</f>
        <v>1118.248844</v>
      </c>
      <c r="BC219" s="1029">
        <f>(BB219/AX219-1)*100</f>
        <v>0.15257204412524317</v>
      </c>
      <c r="BD219" s="487"/>
      <c r="BE219" s="487"/>
      <c r="BF219" s="831">
        <f>(514.340496+16.9)*2</f>
        <v>1062.480992</v>
      </c>
      <c r="BG219" s="1030">
        <f>(BF219/BB219-1)*100</f>
        <v>-4.9870699441563637</v>
      </c>
      <c r="BH219" s="487"/>
      <c r="BI219" s="487"/>
      <c r="BJ219" s="831">
        <f>(499.183659+16.9)*2</f>
        <v>1032.167318</v>
      </c>
      <c r="BK219" s="1030">
        <f>(BJ219/BF219-1)*100</f>
        <v>-2.8531027122601027</v>
      </c>
      <c r="BL219" s="487"/>
      <c r="BM219" s="487"/>
      <c r="BN219" s="831">
        <v>985.63400000000001</v>
      </c>
      <c r="BO219" s="1030"/>
      <c r="BP219" s="487"/>
      <c r="BQ219" s="487"/>
      <c r="BR219" s="831">
        <v>954.97</v>
      </c>
      <c r="BS219" s="1030"/>
      <c r="BT219" s="487"/>
      <c r="BU219" s="487"/>
      <c r="BV219" s="831">
        <v>946.63800000000003</v>
      </c>
      <c r="BW219" s="1030"/>
      <c r="BX219" s="845"/>
      <c r="BY219" s="845"/>
      <c r="BZ219" s="831">
        <v>890.846</v>
      </c>
      <c r="CA219" s="1030"/>
      <c r="CB219" s="845"/>
      <c r="CC219" s="845"/>
      <c r="CD219" s="831">
        <v>860.90599999999995</v>
      </c>
      <c r="CE219" s="1030"/>
      <c r="CF219" s="845"/>
      <c r="CG219" s="845"/>
      <c r="CH219" s="831">
        <v>819.48400000000004</v>
      </c>
      <c r="CI219" s="1030"/>
      <c r="CJ219" s="845"/>
      <c r="CK219" s="845"/>
      <c r="CL219" s="831">
        <v>775.25</v>
      </c>
      <c r="CM219" s="1030"/>
      <c r="CN219" s="845"/>
      <c r="CO219" s="845"/>
      <c r="CP219" s="831">
        <v>751.24300000000005</v>
      </c>
      <c r="CQ219" s="1030"/>
      <c r="CS219" s="845"/>
      <c r="CT219" s="831">
        <v>728.59900000000005</v>
      </c>
      <c r="CU219" s="1030"/>
      <c r="CX219" s="831">
        <v>705.2</v>
      </c>
      <c r="CY219" s="1031"/>
      <c r="DB219" s="831">
        <v>685.322</v>
      </c>
      <c r="DC219" s="1031"/>
      <c r="DF219" s="831">
        <v>666.60599999999999</v>
      </c>
      <c r="DG219" s="1031"/>
      <c r="DJ219" s="831">
        <v>648.31700000000001</v>
      </c>
      <c r="DK219" s="1031"/>
      <c r="DN219" s="1032">
        <f>DN280-DN279+DN218+1.8</f>
        <v>628.71476470588232</v>
      </c>
      <c r="DO219" s="1031"/>
      <c r="DQ219" s="794"/>
      <c r="DR219" s="794"/>
      <c r="DS219" s="1033"/>
      <c r="DT219" s="794"/>
      <c r="DU219" s="794"/>
      <c r="DV219" s="794"/>
      <c r="DW219" s="794"/>
      <c r="DX219" s="794"/>
      <c r="DY219" s="794"/>
      <c r="DZ219" s="794"/>
      <c r="EA219" s="794"/>
      <c r="EB219" s="794"/>
    </row>
    <row r="220" spans="1:132">
      <c r="A220" s="487" t="str">
        <f>$A$12</f>
        <v>3Q</v>
      </c>
      <c r="B220" s="487" t="str">
        <f>$B$12</f>
        <v>Oct</v>
      </c>
      <c r="C220" s="487"/>
      <c r="D220" s="831"/>
      <c r="E220" s="487"/>
      <c r="F220" s="831">
        <f>(72.899646*4*2)*2</f>
        <v>1166.3943360000001</v>
      </c>
      <c r="G220" s="716"/>
      <c r="H220" s="716"/>
      <c r="I220" s="487"/>
      <c r="J220" s="831">
        <f>(73.079007*4*2)*2</f>
        <v>1169.2641120000001</v>
      </c>
      <c r="K220" s="716"/>
      <c r="L220" s="716"/>
      <c r="M220" s="487"/>
      <c r="N220" s="831">
        <f>(77.217425*4*2)*2</f>
        <v>1235.4788000000001</v>
      </c>
      <c r="O220" s="716"/>
      <c r="P220" s="716"/>
      <c r="Q220" s="487"/>
      <c r="R220" s="831">
        <f>(78.528854*4*2)*2</f>
        <v>1256.4616639999999</v>
      </c>
      <c r="S220" s="716"/>
      <c r="T220" s="716"/>
      <c r="U220" s="487"/>
      <c r="V220" s="831">
        <f>(77.8655*4*2)*2</f>
        <v>1245.848</v>
      </c>
      <c r="W220" s="716"/>
      <c r="X220" s="716"/>
      <c r="Y220" s="487"/>
      <c r="Z220" s="831">
        <f>(76.858182*4*2)*2</f>
        <v>1229.730912</v>
      </c>
      <c r="AA220" s="716"/>
      <c r="AB220" s="716"/>
      <c r="AC220" s="487"/>
      <c r="AD220" s="831">
        <f>(90.629506*4*2)*2</f>
        <v>1450.0720960000001</v>
      </c>
      <c r="AE220" s="716"/>
      <c r="AF220" s="716"/>
      <c r="AG220" s="487"/>
      <c r="AH220" s="831">
        <f>(347.565528*2)*2</f>
        <v>1390.2621119999999</v>
      </c>
      <c r="AI220" s="716"/>
      <c r="AJ220" s="716"/>
      <c r="AK220" s="487"/>
      <c r="AL220" s="831">
        <f>(331.766679*2)*2</f>
        <v>1327.066716</v>
      </c>
      <c r="AM220" s="1029">
        <f>(AL220/AH220-1)*100</f>
        <v>-4.5455742089589357</v>
      </c>
      <c r="AN220" s="716"/>
      <c r="AO220" s="716"/>
      <c r="AP220" s="831">
        <f>(316.313*2)*2</f>
        <v>1265.252</v>
      </c>
      <c r="AQ220" s="1029">
        <f>(AP220/AL220-1)*100</f>
        <v>-4.6579961093681792</v>
      </c>
      <c r="AR220" s="487" t="s">
        <v>144</v>
      </c>
      <c r="AS220" s="487"/>
      <c r="AT220" s="831">
        <f>(282.933718*2)*2</f>
        <v>1131.734872</v>
      </c>
      <c r="AU220" s="1029">
        <f>(AT220/AP220-1)*100</f>
        <v>-10.552611495575581</v>
      </c>
      <c r="AV220" s="487"/>
      <c r="AW220" s="487"/>
      <c r="AX220" s="831">
        <f>(276.079832*2)*2</f>
        <v>1104.319328</v>
      </c>
      <c r="AY220" s="1029">
        <f>(AX220/AT220-1)*100</f>
        <v>-2.4224352079521339</v>
      </c>
      <c r="AZ220" s="487"/>
      <c r="BA220" s="487"/>
      <c r="BB220" s="831">
        <f>(532.334846+16.9)*2</f>
        <v>1098.4696919999999</v>
      </c>
      <c r="BC220" s="1029">
        <f>(BB220/AX220-1)*100</f>
        <v>-0.52970511804717457</v>
      </c>
      <c r="BD220" s="487"/>
      <c r="BE220" s="487"/>
      <c r="BF220" s="831">
        <f>(511.062352+16.9)*2</f>
        <v>1055.924704</v>
      </c>
      <c r="BG220" s="1030">
        <f>(BF220/BB220-1)*100</f>
        <v>-3.8731144163420272</v>
      </c>
      <c r="BH220" s="487"/>
      <c r="BI220" s="487"/>
      <c r="BJ220" s="831">
        <f>(490.014852+16.9)*2</f>
        <v>1013.829704</v>
      </c>
      <c r="BK220" s="1030">
        <f>(BJ220/BF220-1)*100</f>
        <v>-3.9865531927170461</v>
      </c>
      <c r="BL220" s="487"/>
      <c r="BM220" s="487"/>
      <c r="BN220" s="831">
        <v>972.99075600000003</v>
      </c>
      <c r="BO220" s="1030"/>
      <c r="BP220" s="487"/>
      <c r="BQ220" s="716"/>
      <c r="BR220" s="831">
        <v>958.98216400000001</v>
      </c>
      <c r="BS220" s="1030"/>
      <c r="BT220" s="487"/>
      <c r="BU220" s="716"/>
      <c r="BV220" s="831">
        <v>929.06799999999998</v>
      </c>
      <c r="BW220" s="1030"/>
      <c r="BX220" s="845"/>
      <c r="BY220" s="845"/>
      <c r="BZ220" s="831">
        <v>881.49800000000005</v>
      </c>
      <c r="CA220" s="1030"/>
      <c r="CB220" s="845"/>
      <c r="CC220" s="845"/>
      <c r="CD220" s="831">
        <v>856.18399999999997</v>
      </c>
      <c r="CE220" s="1030"/>
      <c r="CF220" s="845"/>
      <c r="CG220" s="845"/>
      <c r="CH220" s="831">
        <v>806.08</v>
      </c>
      <c r="CI220" s="1030"/>
      <c r="CJ220" s="845"/>
      <c r="CK220" s="845"/>
      <c r="CL220" s="831">
        <v>766.05200000000002</v>
      </c>
      <c r="CM220" s="1030"/>
      <c r="CN220" s="845"/>
      <c r="CO220" s="845"/>
      <c r="CP220" s="831">
        <v>745.74099999999999</v>
      </c>
      <c r="CQ220" s="1030"/>
      <c r="CS220" s="845"/>
      <c r="CT220" s="831">
        <v>724.10799999999995</v>
      </c>
      <c r="CU220" s="1030"/>
      <c r="CX220" s="831">
        <v>701.005</v>
      </c>
      <c r="CY220" s="1031"/>
      <c r="DB220" s="831">
        <v>680.84400000000005</v>
      </c>
      <c r="DC220" s="1031"/>
      <c r="DF220" s="831">
        <v>661.721</v>
      </c>
      <c r="DG220" s="1031"/>
      <c r="DJ220" s="831">
        <v>642.88099999999997</v>
      </c>
      <c r="DK220" s="1031"/>
      <c r="DN220" s="1032">
        <f>DN281-DN280+DN219+1.8</f>
        <v>623.45594117647056</v>
      </c>
      <c r="DO220" s="1031"/>
      <c r="DQ220" s="794"/>
      <c r="DR220" s="794"/>
      <c r="DS220" s="1033"/>
      <c r="DT220" s="794"/>
      <c r="DU220" s="794"/>
      <c r="DV220" s="794"/>
      <c r="DW220" s="794"/>
      <c r="DX220" s="794"/>
      <c r="DY220" s="794"/>
      <c r="DZ220" s="794"/>
      <c r="EA220" s="794"/>
      <c r="EB220" s="794"/>
    </row>
    <row r="221" spans="1:132">
      <c r="A221" s="487" t="str">
        <f>$A$13</f>
        <v>4Q</v>
      </c>
      <c r="B221" s="487" t="str">
        <f>$B$13</f>
        <v>Jan</v>
      </c>
      <c r="C221" s="499"/>
      <c r="D221" s="849"/>
      <c r="E221" s="499"/>
      <c r="F221" s="849">
        <f>((15.284/0.22)*4*2)*2</f>
        <v>1111.5636363636363</v>
      </c>
      <c r="G221" s="716"/>
      <c r="H221" s="716"/>
      <c r="I221" s="487"/>
      <c r="J221" s="849">
        <f>((14.034/0.2)*4*2)*2</f>
        <v>1122.72</v>
      </c>
      <c r="K221" s="716"/>
      <c r="L221" s="716"/>
      <c r="M221" s="487"/>
      <c r="N221" s="849">
        <f>((29.351/0.38)*4*2)*2</f>
        <v>1235.8315789473684</v>
      </c>
      <c r="O221" s="716"/>
      <c r="P221" s="716"/>
      <c r="Q221" s="487"/>
      <c r="R221" s="849">
        <f>(74.229422*4*2)*2</f>
        <v>1187.670752</v>
      </c>
      <c r="S221" s="716"/>
      <c r="T221" s="716"/>
      <c r="U221" s="487"/>
      <c r="V221" s="849">
        <f>(72.513267*4*2)*2</f>
        <v>1160.212272</v>
      </c>
      <c r="W221" s="716"/>
      <c r="X221" s="716"/>
      <c r="Y221" s="487"/>
      <c r="Z221" s="849">
        <f>(74.422222*4*2)*2</f>
        <v>1190.7555520000001</v>
      </c>
      <c r="AA221" s="716"/>
      <c r="AB221" s="716"/>
      <c r="AC221" s="487"/>
      <c r="AD221" s="849">
        <f>(176.649704*2*2)*2</f>
        <v>1413.1976320000001</v>
      </c>
      <c r="AE221" s="716"/>
      <c r="AF221" s="716"/>
      <c r="AG221" s="487"/>
      <c r="AH221" s="849">
        <f>(171.142637*2*2)*2</f>
        <v>1369.1410960000001</v>
      </c>
      <c r="AI221" s="716"/>
      <c r="AJ221" s="716"/>
      <c r="AK221" s="487"/>
      <c r="AL221" s="849">
        <f>(328.800046*2)*2</f>
        <v>1315.200184</v>
      </c>
      <c r="AM221" s="1029">
        <f>(AL221/AH221-1)*100</f>
        <v>-3.9397628306966026</v>
      </c>
      <c r="AN221" s="716"/>
      <c r="AO221" s="716"/>
      <c r="AP221" s="849">
        <f>(308.281445*2)*2</f>
        <v>1233.1257800000001</v>
      </c>
      <c r="AQ221" s="1029">
        <f>(AP221/AL221-1)*100</f>
        <v>-6.2404495527351607</v>
      </c>
      <c r="AR221" s="487"/>
      <c r="AS221" s="487"/>
      <c r="AT221" s="849">
        <f>(282.515324*2)*2</f>
        <v>1130.0612960000001</v>
      </c>
      <c r="AU221" s="1029">
        <f>(AT221/AP221-1)*100</f>
        <v>-8.3579863199356623</v>
      </c>
      <c r="AV221" s="487"/>
      <c r="AW221" s="487"/>
      <c r="AX221" s="849">
        <f>(275.306275*2)*2</f>
        <v>1101.2251000000001</v>
      </c>
      <c r="AY221" s="1029">
        <f>(AX221/AT221-1)*100</f>
        <v>-2.5517373351400918</v>
      </c>
      <c r="AZ221" s="487"/>
      <c r="BA221" s="487"/>
      <c r="BB221" s="849">
        <f>(529.292524+16.9)*2</f>
        <v>1092.3850479999999</v>
      </c>
      <c r="BC221" s="1029">
        <f>(BB221/AX221-1)*100</f>
        <v>-0.80274704962683963</v>
      </c>
      <c r="BD221" s="487"/>
      <c r="BE221" s="487"/>
      <c r="BF221" s="849">
        <f>(524.917493-1)*2</f>
        <v>1047.8349860000001</v>
      </c>
      <c r="BG221" s="1030">
        <f>(BF221/BB221-1)*100</f>
        <v>-4.0782379877465917</v>
      </c>
      <c r="BH221" s="487"/>
      <c r="BI221" s="487"/>
      <c r="BJ221" s="849">
        <v>1013.025268</v>
      </c>
      <c r="BK221" s="1030">
        <f>(BJ221/BF221-1)*100</f>
        <v>-3.3220610558998942</v>
      </c>
      <c r="BL221" s="487"/>
      <c r="BM221" s="487"/>
      <c r="BN221" s="849">
        <v>970.90454599999998</v>
      </c>
      <c r="BO221" s="1030"/>
      <c r="BP221" s="487"/>
      <c r="BQ221" s="487"/>
      <c r="BR221" s="849">
        <v>957.42728</v>
      </c>
      <c r="BS221" s="1030"/>
      <c r="BT221" s="487"/>
      <c r="BU221" s="1034"/>
      <c r="BV221" s="849">
        <v>912.25199999999995</v>
      </c>
      <c r="BW221" s="1030"/>
      <c r="BX221" s="845"/>
      <c r="BY221" s="845"/>
      <c r="BZ221" s="849">
        <v>861.07</v>
      </c>
      <c r="CA221" s="1030"/>
      <c r="CB221" s="845"/>
      <c r="CC221" s="845"/>
      <c r="CD221" s="849">
        <v>838.36599999999999</v>
      </c>
      <c r="CE221" s="1030"/>
      <c r="CF221" s="845"/>
      <c r="CG221" s="845"/>
      <c r="CH221" s="849">
        <v>795.16</v>
      </c>
      <c r="CI221" s="1030"/>
      <c r="CJ221" s="845"/>
      <c r="CK221" s="845"/>
      <c r="CL221" s="849">
        <v>762.81899999999996</v>
      </c>
      <c r="CM221" s="1030"/>
      <c r="CN221" s="845"/>
      <c r="CO221" s="845"/>
      <c r="CP221" s="849">
        <v>737.91200000000003</v>
      </c>
      <c r="CQ221" s="1030"/>
      <c r="CS221" s="845"/>
      <c r="CT221" s="849">
        <v>719.49199999999996</v>
      </c>
      <c r="CU221" s="1030"/>
      <c r="CX221" s="849">
        <v>695.928</v>
      </c>
      <c r="CY221" s="1031"/>
      <c r="DB221" s="849">
        <v>674.67600000000004</v>
      </c>
      <c r="DC221" s="1031"/>
      <c r="DF221" s="849">
        <v>657.38599999999997</v>
      </c>
      <c r="DG221" s="1031"/>
      <c r="DJ221" s="849">
        <v>638.40300000000002</v>
      </c>
      <c r="DK221" s="1031"/>
      <c r="DN221" s="1035">
        <f>DN282-DN281+DN220+1.8</f>
        <v>617.60888235294112</v>
      </c>
      <c r="DO221" s="1031"/>
      <c r="DQ221" s="794"/>
      <c r="DR221" s="794"/>
      <c r="DS221" s="1033"/>
      <c r="DT221" s="794"/>
      <c r="DU221" s="794"/>
      <c r="DV221" s="794"/>
      <c r="DW221" s="794"/>
      <c r="DX221" s="794"/>
      <c r="DY221" s="794"/>
      <c r="DZ221" s="794"/>
      <c r="EA221" s="794"/>
      <c r="EB221" s="794"/>
    </row>
    <row r="222" spans="1:132">
      <c r="A222" s="487"/>
      <c r="B222" s="487" t="str">
        <f>$B$14</f>
        <v>Year</v>
      </c>
      <c r="C222" s="487"/>
      <c r="D222" s="1036"/>
      <c r="E222" s="487"/>
      <c r="F222" s="1036">
        <f>(72.924288*4*2)*2</f>
        <v>1166.7886080000001</v>
      </c>
      <c r="G222" s="1037"/>
      <c r="H222" s="1037"/>
      <c r="I222" s="1037"/>
      <c r="J222" s="1036">
        <f>(70.050835*4*2)*2</f>
        <v>1120.8133600000001</v>
      </c>
      <c r="K222" s="1037"/>
      <c r="L222" s="1037"/>
      <c r="M222" s="1037"/>
      <c r="N222" s="1036">
        <f>(73.873276*4*2)*2</f>
        <v>1181.9724160000001</v>
      </c>
      <c r="O222" s="1037"/>
      <c r="P222" s="1037"/>
      <c r="Q222" s="1037"/>
      <c r="R222" s="902">
        <f>(74.192358*4*2)*2</f>
        <v>1187.077728</v>
      </c>
      <c r="S222" s="1037"/>
      <c r="T222" s="1037"/>
      <c r="U222" s="1037"/>
      <c r="V222" s="902">
        <f>(73.467*4*2)*2</f>
        <v>1175.472</v>
      </c>
      <c r="W222" s="1037"/>
      <c r="X222" s="1037"/>
      <c r="Y222" s="1037"/>
      <c r="Z222" s="902">
        <f>(145.39095*2*2)*2</f>
        <v>1163.1276</v>
      </c>
      <c r="AA222" s="1038"/>
      <c r="AB222" s="1037"/>
      <c r="AC222" s="1037"/>
      <c r="AD222" s="902">
        <f>(175.32505*2*2)*2</f>
        <v>1402.6004</v>
      </c>
      <c r="AE222" s="1037"/>
      <c r="AF222" s="1037"/>
      <c r="AG222" s="1037"/>
      <c r="AH222" s="902">
        <f>(174.806092*2*2)*2</f>
        <v>1398.4487360000001</v>
      </c>
      <c r="AI222" s="1037"/>
      <c r="AJ222" s="1037"/>
      <c r="AK222" s="1037"/>
      <c r="AL222" s="902">
        <f>(334.64795*2)*2</f>
        <v>1338.5917999999999</v>
      </c>
      <c r="AM222" s="783">
        <f>(AL222/AH222-1)*100</f>
        <v>-4.2802381280853901</v>
      </c>
      <c r="AN222" s="1037"/>
      <c r="AO222" s="1037"/>
      <c r="AP222" s="902">
        <f>(317.790764*2)*2</f>
        <v>1271.1630560000001</v>
      </c>
      <c r="AQ222" s="783">
        <f>(AP222/AL222-1)*100</f>
        <v>-5.0372894858611739</v>
      </c>
      <c r="AR222" s="725"/>
      <c r="AS222" s="725"/>
      <c r="AT222" s="902">
        <v>1156.7840000000001</v>
      </c>
      <c r="AU222" s="783">
        <f>(AT222/AP222-1)*100</f>
        <v>-8.9979845984447753</v>
      </c>
      <c r="AV222" s="1037"/>
      <c r="AW222" s="1037"/>
      <c r="AX222" s="902">
        <v>1112.5360000000001</v>
      </c>
      <c r="AY222" s="783">
        <f>(AX222/AT222-1)*100</f>
        <v>-3.8250874839209414</v>
      </c>
      <c r="AZ222" s="1037"/>
      <c r="BA222" s="1037"/>
      <c r="BB222" s="902">
        <f>(537.74+16.9-2)*2</f>
        <v>1105.28</v>
      </c>
      <c r="BC222" s="487"/>
      <c r="BD222" s="845"/>
      <c r="BE222" s="1037"/>
      <c r="BF222" s="902">
        <v>1062.6020000000001</v>
      </c>
      <c r="BG222" s="890"/>
      <c r="BH222" s="890"/>
      <c r="BI222" s="1037"/>
      <c r="BJ222" s="902">
        <v>1019.321654</v>
      </c>
      <c r="BK222" s="487"/>
      <c r="BL222" s="890"/>
      <c r="BM222" s="1037"/>
      <c r="BN222" s="902">
        <v>982.99906199999998</v>
      </c>
      <c r="BO222" s="487"/>
      <c r="BP222" s="890"/>
      <c r="BQ222" s="487"/>
      <c r="BR222" s="902">
        <v>960.09</v>
      </c>
      <c r="BS222" s="890"/>
      <c r="BT222" s="890"/>
      <c r="BU222" s="845"/>
      <c r="BV222" s="902">
        <v>936.09199999999998</v>
      </c>
      <c r="BW222" s="890"/>
      <c r="BX222" s="890"/>
      <c r="BY222" s="890"/>
      <c r="BZ222" s="902">
        <v>884.51</v>
      </c>
      <c r="CA222" s="1039"/>
      <c r="CB222" s="1039"/>
      <c r="CC222" s="1039"/>
      <c r="CD222" s="902">
        <v>855.23800000000006</v>
      </c>
      <c r="CE222" s="1039"/>
      <c r="CF222" s="890"/>
      <c r="CG222" s="890"/>
      <c r="CH222" s="902">
        <v>812.82600000000002</v>
      </c>
      <c r="CI222" s="890"/>
      <c r="CJ222" s="890"/>
      <c r="CK222" s="890"/>
      <c r="CL222" s="902">
        <v>773.77200000000005</v>
      </c>
      <c r="CM222" s="890"/>
      <c r="CN222" s="890"/>
      <c r="CO222" s="890"/>
      <c r="CP222" s="902">
        <v>747.55499999999995</v>
      </c>
      <c r="CQ222" s="890"/>
      <c r="CS222" s="890"/>
      <c r="CT222" s="902">
        <v>726.37599999999998</v>
      </c>
      <c r="CU222" s="890"/>
      <c r="CX222" s="890">
        <f>AVERAGE(CX218:CX221)</f>
        <v>703.75874999999996</v>
      </c>
      <c r="CY222" s="890"/>
      <c r="DB222" s="1040">
        <f>AVERAGE(DB218:DB221)</f>
        <v>683.01200000000006</v>
      </c>
      <c r="DC222" s="890"/>
      <c r="DF222" s="890">
        <v>664.43200000000002</v>
      </c>
      <c r="DG222" s="890"/>
      <c r="DJ222" s="2105">
        <v>646.10500000000002</v>
      </c>
      <c r="DK222" s="890"/>
      <c r="DN222" s="1040">
        <f>AVERAGE(DN218:DN221)</f>
        <v>625.93829411764705</v>
      </c>
      <c r="DO222" s="890"/>
      <c r="DQ222" s="1041"/>
      <c r="DR222" s="1041"/>
      <c r="DS222" s="794"/>
      <c r="DT222" s="794"/>
      <c r="DU222" s="794"/>
      <c r="DV222" s="794"/>
      <c r="DW222" s="794"/>
      <c r="DX222" s="794"/>
      <c r="DY222" s="794"/>
      <c r="DZ222" s="794"/>
      <c r="EA222" s="794"/>
      <c r="EB222" s="794"/>
    </row>
    <row r="223" spans="1:132" outlineLevel="1">
      <c r="A223" s="487" t="str">
        <f>$A$15</f>
        <v>6 Mos</v>
      </c>
      <c r="B223" s="487"/>
      <c r="C223" s="487"/>
      <c r="D223" s="1037"/>
      <c r="E223" s="487"/>
      <c r="F223" s="1037">
        <f>(F218+F219)/2</f>
        <v>1116.971192</v>
      </c>
      <c r="G223" s="1037"/>
      <c r="H223" s="1037"/>
      <c r="I223" s="1037"/>
      <c r="J223" s="1037">
        <f>(J218+J219)/2</f>
        <v>1120.9306879999999</v>
      </c>
      <c r="K223" s="1037"/>
      <c r="L223" s="1037"/>
      <c r="M223" s="1037"/>
      <c r="N223" s="1037">
        <f>(N218+N219)/2</f>
        <v>1147.541352</v>
      </c>
      <c r="O223" s="1037"/>
      <c r="P223" s="1037"/>
      <c r="Q223" s="1037"/>
      <c r="R223" s="890">
        <f>(R218+R219)/2</f>
        <v>1186.1184720000001</v>
      </c>
      <c r="S223" s="1037"/>
      <c r="T223" s="1037"/>
      <c r="U223" s="1037"/>
      <c r="V223" s="1037">
        <f>(V218+V219)/2</f>
        <v>1183.53088</v>
      </c>
      <c r="W223" s="1037"/>
      <c r="X223" s="1037"/>
      <c r="Y223" s="1037"/>
      <c r="Z223" s="890">
        <f>(Z218+Z219)/2</f>
        <v>1159.6067440000002</v>
      </c>
      <c r="AA223" s="1037"/>
      <c r="AB223" s="1037"/>
      <c r="AC223" s="1037"/>
      <c r="AD223" s="890">
        <f>(AD218+AD219)/2</f>
        <v>1402.616352</v>
      </c>
      <c r="AE223" s="1037"/>
      <c r="AF223" s="1037"/>
      <c r="AG223" s="1037"/>
      <c r="AH223" s="890">
        <f>(AH218+AH219)/2</f>
        <v>1418.8387240000002</v>
      </c>
      <c r="AI223" s="1037"/>
      <c r="AJ223" s="1037"/>
      <c r="AK223" s="1037"/>
      <c r="AL223" s="890">
        <f>(AL218+AL219)/2</f>
        <v>1354.894742</v>
      </c>
      <c r="AM223" s="1037"/>
      <c r="AN223" s="1037"/>
      <c r="AO223" s="1037"/>
      <c r="AP223" s="890">
        <f>(AP218+AP219)/2</f>
        <v>1291.49404</v>
      </c>
      <c r="AQ223" s="487"/>
      <c r="AR223" s="487"/>
      <c r="AS223" s="487"/>
      <c r="AT223" s="890">
        <f>(AT218+AT219)/2</f>
        <v>1185.4212299999999</v>
      </c>
      <c r="AU223" s="948"/>
      <c r="AV223" s="948"/>
      <c r="AW223" s="948"/>
      <c r="AX223" s="890">
        <f>(AX218+AX219)/2</f>
        <v>1122.529642</v>
      </c>
      <c r="AY223" s="948"/>
      <c r="AZ223" s="948"/>
      <c r="BA223" s="948"/>
      <c r="BB223" s="890">
        <f>(BB218+BB219)/2</f>
        <v>1123.1466379999999</v>
      </c>
      <c r="BC223" s="487"/>
      <c r="BD223" s="487"/>
      <c r="BE223" s="948"/>
      <c r="BF223" s="864">
        <f>(BF218+BF219)/2</f>
        <v>1068.6446959999998</v>
      </c>
      <c r="BG223" s="864"/>
      <c r="BH223" s="864"/>
      <c r="BI223" s="864"/>
      <c r="BJ223" s="864">
        <f>(BJ218+BJ219)/2</f>
        <v>1037.6643570000001</v>
      </c>
      <c r="BK223" s="845">
        <f>+BJ220-BF220</f>
        <v>-42.095000000000027</v>
      </c>
      <c r="BL223" s="487"/>
      <c r="BM223" s="948"/>
      <c r="BN223" s="864">
        <f>(BN218+BN219)/2</f>
        <v>989.93156799999997</v>
      </c>
      <c r="BO223" s="487"/>
      <c r="BP223" s="487"/>
      <c r="BQ223" s="487"/>
      <c r="BR223" s="864">
        <f>(BR218+BR219)/2</f>
        <v>962.43247199999996</v>
      </c>
      <c r="BS223" s="487"/>
      <c r="BT223" s="487"/>
      <c r="BU223" s="487"/>
      <c r="BV223" s="864">
        <f>(BV218+BV219)/2</f>
        <v>952.344606</v>
      </c>
      <c r="BW223" s="487"/>
      <c r="BX223" s="487"/>
      <c r="BY223" s="487"/>
      <c r="BZ223" s="864">
        <f>(BZ218+BZ219)/2</f>
        <v>895.82400000000007</v>
      </c>
      <c r="CA223" s="487"/>
      <c r="CB223" s="487"/>
      <c r="CC223" s="487"/>
      <c r="CD223" s="864">
        <f>(CD218+CD219)/2</f>
        <v>862.37300000000005</v>
      </c>
      <c r="CE223" s="487"/>
      <c r="CF223" s="487"/>
      <c r="CG223" s="487"/>
      <c r="CH223" s="864">
        <f>(CH218+CH219)/2</f>
        <v>824.14200000000005</v>
      </c>
      <c r="CI223" s="487"/>
      <c r="CJ223" s="487"/>
      <c r="CK223" s="487"/>
      <c r="CL223" s="864">
        <f>(CL218+CL219)/2</f>
        <v>781.62900000000002</v>
      </c>
      <c r="CM223" s="487"/>
      <c r="CN223" s="487"/>
      <c r="CO223" s="487"/>
      <c r="CP223" s="864">
        <f>(CP218+CP219)/2</f>
        <v>753.62950000000001</v>
      </c>
      <c r="CQ223" s="487"/>
      <c r="CS223" s="487"/>
      <c r="CT223" s="864">
        <f>(CT218+CT219)/2</f>
        <v>730.577</v>
      </c>
      <c r="CU223" s="487"/>
      <c r="CX223" s="864">
        <f>(CX218+CX219)/2</f>
        <v>709.05100000000004</v>
      </c>
      <c r="CY223" s="487"/>
      <c r="DB223" s="864">
        <f>(DB218+DB219)/2</f>
        <v>688.26400000000001</v>
      </c>
      <c r="DC223" s="487"/>
      <c r="DF223" s="864">
        <f>(DF218+DF219)/2</f>
        <v>668.49700000000007</v>
      </c>
      <c r="DG223" s="487"/>
      <c r="DJ223" s="864">
        <f>(DJ218+DJ219)/2</f>
        <v>651.55799999999999</v>
      </c>
      <c r="DK223" s="487"/>
      <c r="DN223" s="864">
        <f>(DN218+DN219)/2</f>
        <v>631.3441764705882</v>
      </c>
      <c r="DO223" s="487"/>
      <c r="DQ223" s="794"/>
      <c r="DR223" s="794"/>
      <c r="DS223" s="794"/>
      <c r="DT223" s="794"/>
      <c r="DU223" s="794"/>
      <c r="DV223" s="794"/>
      <c r="DW223" s="794"/>
      <c r="DX223" s="794"/>
      <c r="DY223" s="794"/>
      <c r="DZ223" s="794"/>
      <c r="EA223" s="794"/>
      <c r="EB223" s="794"/>
    </row>
    <row r="224" spans="1:132" outlineLevel="1">
      <c r="A224" s="487" t="str">
        <f>$A$16</f>
        <v>9 Mos</v>
      </c>
      <c r="B224" s="487"/>
      <c r="C224" s="487"/>
      <c r="D224" s="1037"/>
      <c r="E224" s="487"/>
      <c r="F224" s="1037">
        <f>(F218+F219+F220)/3</f>
        <v>1133.4455733333334</v>
      </c>
      <c r="G224" s="1037"/>
      <c r="H224" s="1037"/>
      <c r="I224" s="1037"/>
      <c r="J224" s="1037">
        <f>(J218+J219+J220)/3</f>
        <v>1137.0418293333332</v>
      </c>
      <c r="K224" s="1037"/>
      <c r="L224" s="1037"/>
      <c r="M224" s="1037"/>
      <c r="N224" s="1037">
        <f>(N218+N219+N220)/3</f>
        <v>1176.8538346666667</v>
      </c>
      <c r="O224" s="1037"/>
      <c r="P224" s="1037"/>
      <c r="Q224" s="1037"/>
      <c r="R224" s="890">
        <f>(R218+R219+R220)/3</f>
        <v>1209.5662026666666</v>
      </c>
      <c r="S224" s="1037"/>
      <c r="T224" s="1037"/>
      <c r="U224" s="1037"/>
      <c r="V224" s="1037">
        <f>(V218+V219+V220)/3</f>
        <v>1204.3032533333333</v>
      </c>
      <c r="W224" s="1037"/>
      <c r="X224" s="1037"/>
      <c r="Y224" s="1037"/>
      <c r="Z224" s="890">
        <f>(Z218+Z219+Z220)/3</f>
        <v>1182.9814666666668</v>
      </c>
      <c r="AA224" s="1037"/>
      <c r="AB224" s="1037"/>
      <c r="AC224" s="1037"/>
      <c r="AD224" s="890">
        <f>(AD218+AD219+AD220)/3</f>
        <v>1418.4349333333332</v>
      </c>
      <c r="AE224" s="1037"/>
      <c r="AF224" s="1037"/>
      <c r="AG224" s="1037"/>
      <c r="AH224" s="890">
        <f>(AH218+AH219+AH220)/3</f>
        <v>1409.313186666667</v>
      </c>
      <c r="AI224" s="1037"/>
      <c r="AJ224" s="1037"/>
      <c r="AK224" s="1037"/>
      <c r="AL224" s="890">
        <f>(AL218+AL219+AL220)/3</f>
        <v>1345.6187333333335</v>
      </c>
      <c r="AM224" s="1037"/>
      <c r="AN224" s="1037"/>
      <c r="AO224" s="1037"/>
      <c r="AP224" s="890">
        <f>(AP218+AP219+AP220)/3</f>
        <v>1282.7466933333333</v>
      </c>
      <c r="AQ224" s="487"/>
      <c r="AR224" s="487"/>
      <c r="AS224" s="487"/>
      <c r="AT224" s="890">
        <f>(AT218+AT219+AT220)/3</f>
        <v>1167.5257773333333</v>
      </c>
      <c r="AU224" s="948"/>
      <c r="AV224" s="948"/>
      <c r="AW224" s="948"/>
      <c r="AX224" s="890">
        <f>(AX218+AX219+AX220)/3</f>
        <v>1116.4595373333334</v>
      </c>
      <c r="AY224" s="948"/>
      <c r="AZ224" s="948"/>
      <c r="BA224" s="948"/>
      <c r="BB224" s="890">
        <f>(BB218+BB219+BB220)/3</f>
        <v>1114.9209893333334</v>
      </c>
      <c r="BC224" s="487"/>
      <c r="BD224" s="487"/>
      <c r="BE224" s="948"/>
      <c r="BF224" s="864">
        <f>(BF218+BF219+BF220)/3</f>
        <v>1064.4046986666665</v>
      </c>
      <c r="BG224" s="864"/>
      <c r="BH224" s="864"/>
      <c r="BI224" s="864"/>
      <c r="BJ224" s="864">
        <f>(BJ218+BJ219+BJ220)/3</f>
        <v>1029.7194726666667</v>
      </c>
      <c r="BK224" s="487"/>
      <c r="BL224" s="487"/>
      <c r="BM224" s="948"/>
      <c r="BN224" s="864">
        <f>(BN218+BN219+BN220)/3</f>
        <v>984.28463066666666</v>
      </c>
      <c r="BO224" s="487"/>
      <c r="BP224" s="487"/>
      <c r="BQ224" s="487"/>
      <c r="BR224" s="864">
        <f>(BR218+BR219+BR220)/3</f>
        <v>961.28236933333335</v>
      </c>
      <c r="BS224" s="487"/>
      <c r="BT224" s="487"/>
      <c r="BU224" s="487"/>
      <c r="BV224" s="864">
        <f>(BV218+BV219+BV220)/3</f>
        <v>944.58573733333333</v>
      </c>
      <c r="BW224" s="487"/>
      <c r="BX224" s="487"/>
      <c r="BY224" s="487"/>
      <c r="BZ224" s="864">
        <f>(BZ218+BZ219+BZ220)/3</f>
        <v>891.04866666666669</v>
      </c>
      <c r="CA224" s="487"/>
      <c r="CB224" s="487"/>
      <c r="CC224" s="487"/>
      <c r="CD224" s="864">
        <f>(CD218+CD219+CD220)/3</f>
        <v>860.31000000000006</v>
      </c>
      <c r="CE224" s="487"/>
      <c r="CF224" s="487"/>
      <c r="CG224" s="487"/>
      <c r="CH224" s="864">
        <f>(CH218+CH219+CH220)/3</f>
        <v>818.12133333333338</v>
      </c>
      <c r="CI224" s="487"/>
      <c r="CJ224" s="487"/>
      <c r="CK224" s="487"/>
      <c r="CL224" s="864">
        <f>(CL218+CL219+CL220)/3</f>
        <v>776.43666666666661</v>
      </c>
      <c r="CM224" s="487"/>
      <c r="CN224" s="487"/>
      <c r="CO224" s="487"/>
      <c r="CP224" s="864">
        <f>(CP218+CP219+CP220)/3</f>
        <v>751</v>
      </c>
      <c r="CQ224" s="487"/>
      <c r="CS224" s="487"/>
      <c r="CT224" s="864">
        <f>(CT218+CT219+CT220)/3</f>
        <v>728.42066666666653</v>
      </c>
      <c r="CU224" s="487"/>
      <c r="CX224" s="864">
        <f>(CX218+CX219+CX220)/3</f>
        <v>706.36900000000003</v>
      </c>
      <c r="CY224" s="487"/>
      <c r="DB224" s="864">
        <f>(DB218+DB219+DB220)/3</f>
        <v>685.79066666666677</v>
      </c>
      <c r="DC224" s="487"/>
      <c r="DF224" s="864">
        <f>(DF218+DF219+DF220)/3</f>
        <v>666.23833333333334</v>
      </c>
      <c r="DG224" s="487"/>
      <c r="DJ224" s="864">
        <f>(DJ218+DJ219+DJ220)/3</f>
        <v>648.66566666666665</v>
      </c>
      <c r="DK224" s="487"/>
      <c r="DN224" s="864">
        <f>(DN218+DN219+DN220)/3</f>
        <v>628.71476470588232</v>
      </c>
      <c r="DO224" s="487"/>
      <c r="DQ224" s="794"/>
      <c r="DR224" s="794"/>
      <c r="DS224" s="794"/>
      <c r="DT224" s="794"/>
      <c r="DU224" s="794"/>
      <c r="DV224" s="794"/>
      <c r="DW224" s="794"/>
      <c r="DX224" s="794"/>
      <c r="DY224" s="794"/>
      <c r="DZ224" s="794"/>
      <c r="EA224" s="794"/>
      <c r="EB224" s="794"/>
    </row>
    <row r="225" spans="1:132">
      <c r="A225" s="487"/>
      <c r="B225" s="487"/>
      <c r="C225" s="487"/>
      <c r="D225" s="1037"/>
      <c r="E225" s="487"/>
      <c r="F225" s="1037"/>
      <c r="G225" s="1037"/>
      <c r="H225" s="1037"/>
      <c r="I225" s="1037"/>
      <c r="J225" s="1037"/>
      <c r="K225" s="1037"/>
      <c r="L225" s="1037"/>
      <c r="M225" s="1037"/>
      <c r="N225" s="1037"/>
      <c r="O225" s="1037"/>
      <c r="P225" s="1037"/>
      <c r="Q225" s="1037"/>
      <c r="R225" s="890"/>
      <c r="S225" s="1037"/>
      <c r="T225" s="1037"/>
      <c r="U225" s="1037"/>
      <c r="V225" s="1037"/>
      <c r="W225" s="1037"/>
      <c r="X225" s="1037"/>
      <c r="Y225" s="1037"/>
      <c r="Z225" s="890"/>
      <c r="AA225" s="1037"/>
      <c r="AB225" s="1037"/>
      <c r="AC225" s="1037"/>
      <c r="AD225" s="890"/>
      <c r="AE225" s="1037"/>
      <c r="AF225" s="1037"/>
      <c r="AG225" s="1037"/>
      <c r="AH225" s="890"/>
      <c r="AI225" s="1037"/>
      <c r="AJ225" s="1037"/>
      <c r="AK225" s="1037"/>
      <c r="AL225" s="890"/>
      <c r="AM225" s="1037"/>
      <c r="AN225" s="1037"/>
      <c r="AO225" s="1037"/>
      <c r="AP225" s="890"/>
      <c r="AQ225" s="487"/>
      <c r="AR225" s="487"/>
      <c r="AS225" s="487"/>
      <c r="AT225" s="890"/>
      <c r="AU225" s="948"/>
      <c r="AV225" s="948"/>
      <c r="AW225" s="948"/>
      <c r="AX225" s="890"/>
      <c r="AY225" s="948"/>
      <c r="AZ225" s="948"/>
      <c r="BA225" s="948"/>
      <c r="BB225" s="890"/>
      <c r="BC225" s="487"/>
      <c r="BD225" s="487"/>
      <c r="BE225" s="948"/>
      <c r="BF225" s="864"/>
      <c r="BG225" s="864"/>
      <c r="BH225" s="864"/>
      <c r="BI225" s="864"/>
      <c r="BJ225" s="864"/>
      <c r="BK225" s="487"/>
      <c r="BL225" s="487"/>
      <c r="BM225" s="948"/>
      <c r="BN225" s="864"/>
      <c r="BO225" s="487"/>
      <c r="BP225" s="487"/>
      <c r="BQ225" s="487"/>
      <c r="BR225" s="864"/>
      <c r="BS225" s="487"/>
      <c r="BT225" s="487"/>
      <c r="BU225" s="487"/>
      <c r="BV225" s="864"/>
      <c r="BW225" s="487"/>
      <c r="BX225" s="487"/>
      <c r="BY225" s="487"/>
      <c r="BZ225" s="792"/>
      <c r="CA225" s="487"/>
      <c r="CB225" s="487"/>
      <c r="CC225" s="487"/>
      <c r="CD225" s="756"/>
      <c r="CE225" s="487"/>
      <c r="CF225" s="487"/>
      <c r="CG225" s="487"/>
      <c r="CH225" s="756"/>
      <c r="CI225" s="487"/>
      <c r="CJ225" s="487"/>
      <c r="CK225" s="487"/>
      <c r="CL225" s="756"/>
      <c r="CM225" s="487"/>
      <c r="CN225" s="487"/>
      <c r="CO225" s="487"/>
      <c r="CP225" s="756"/>
      <c r="CQ225" s="487"/>
      <c r="CR225" s="487"/>
      <c r="CS225" s="487"/>
      <c r="CT225" s="756"/>
      <c r="CU225" s="487"/>
      <c r="CV225" s="487"/>
      <c r="CW225" s="794"/>
      <c r="CX225" s="756"/>
      <c r="CY225" s="487"/>
      <c r="CZ225" s="487"/>
      <c r="DA225" s="794"/>
      <c r="DB225" s="756"/>
      <c r="DC225" s="487"/>
      <c r="DD225" s="487"/>
      <c r="DE225" s="794"/>
      <c r="DF225" s="756"/>
      <c r="DG225" s="487"/>
      <c r="DH225" s="487"/>
      <c r="DI225" s="794"/>
      <c r="DJ225" s="756"/>
      <c r="DK225" s="487"/>
      <c r="DL225" s="487"/>
      <c r="DM225" s="794"/>
      <c r="DN225" s="756"/>
      <c r="DO225" s="487"/>
      <c r="DP225" s="487"/>
      <c r="DQ225" s="794"/>
      <c r="DR225" s="794"/>
      <c r="DS225" s="794"/>
      <c r="DT225" s="794"/>
      <c r="DU225" s="794"/>
      <c r="DV225" s="794"/>
      <c r="DW225" s="794"/>
      <c r="DX225" s="794"/>
      <c r="DY225" s="794"/>
      <c r="DZ225" s="794"/>
      <c r="EA225" s="794"/>
      <c r="EB225" s="794"/>
    </row>
    <row r="226" spans="1:132">
      <c r="A226" s="487" t="s">
        <v>257</v>
      </c>
      <c r="B226" s="487"/>
      <c r="C226" s="487"/>
      <c r="D226" s="487"/>
      <c r="E226" s="487"/>
      <c r="F226" s="487"/>
      <c r="G226" s="487"/>
      <c r="H226" s="487"/>
      <c r="I226" s="487"/>
      <c r="J226" s="487"/>
      <c r="K226" s="487"/>
      <c r="L226" s="487"/>
      <c r="M226" s="487"/>
      <c r="N226" s="487"/>
      <c r="O226" s="487"/>
      <c r="P226" s="487"/>
      <c r="Q226" s="487"/>
      <c r="R226" s="487"/>
      <c r="S226" s="487"/>
      <c r="T226" s="487"/>
      <c r="U226" s="487"/>
      <c r="V226" s="487"/>
      <c r="W226" s="487"/>
      <c r="X226" s="487"/>
      <c r="Y226" s="487"/>
      <c r="Z226" s="487"/>
      <c r="AA226" s="487"/>
      <c r="AB226" s="487"/>
      <c r="AC226" s="487"/>
      <c r="AD226" s="487"/>
      <c r="AE226" s="487"/>
      <c r="AF226" s="487"/>
      <c r="AG226" s="487"/>
      <c r="AH226" s="487"/>
      <c r="AI226" s="487"/>
      <c r="AJ226" s="487"/>
      <c r="AK226" s="487"/>
      <c r="AL226" s="487"/>
      <c r="AM226" s="487"/>
      <c r="AN226" s="487"/>
      <c r="AO226" s="487"/>
      <c r="AP226" s="487"/>
      <c r="AQ226" s="487"/>
      <c r="AR226" s="487"/>
      <c r="AS226" s="487"/>
      <c r="AT226" s="487"/>
      <c r="AU226" s="487"/>
      <c r="AV226" s="487"/>
      <c r="AW226" s="487"/>
      <c r="AX226" s="487"/>
      <c r="AY226" s="487"/>
      <c r="AZ226" s="487"/>
      <c r="BA226" s="487"/>
      <c r="BB226" s="487"/>
      <c r="BC226" s="487"/>
      <c r="BD226" s="487"/>
      <c r="BE226" s="487"/>
      <c r="BF226" s="487"/>
      <c r="BG226" s="487"/>
      <c r="BH226" s="487"/>
      <c r="BI226" s="487"/>
      <c r="BJ226" s="716"/>
      <c r="BK226" s="487"/>
      <c r="BL226" s="487"/>
      <c r="BM226" s="487"/>
      <c r="BN226" s="727"/>
      <c r="BO226" s="487"/>
      <c r="BP226" s="487"/>
      <c r="BQ226" s="487"/>
      <c r="BR226" s="487"/>
      <c r="BS226" s="487"/>
      <c r="BT226" s="487"/>
      <c r="BU226" s="487"/>
      <c r="BV226" s="864"/>
      <c r="BW226" s="487"/>
      <c r="BX226" s="487"/>
      <c r="BY226" s="487"/>
      <c r="BZ226" s="1042"/>
      <c r="CA226" s="487"/>
      <c r="CB226" s="487"/>
      <c r="CC226" s="487"/>
      <c r="CD226" s="1043"/>
      <c r="CE226" s="487"/>
      <c r="CF226" s="487"/>
      <c r="CG226" s="487"/>
      <c r="CH226" s="1043"/>
      <c r="CI226" s="487"/>
      <c r="CJ226" s="487"/>
      <c r="CK226" s="487"/>
      <c r="CL226" s="1043"/>
      <c r="CM226" s="487"/>
      <c r="CN226" s="487"/>
      <c r="CO226" s="487"/>
      <c r="CP226" s="1043"/>
      <c r="CQ226" s="487"/>
      <c r="CR226" s="487"/>
      <c r="CS226" s="487"/>
      <c r="CT226" s="1043"/>
      <c r="CU226" s="487"/>
      <c r="CV226" s="487"/>
      <c r="CW226" s="794"/>
      <c r="CX226" s="1043"/>
      <c r="CY226" s="487"/>
      <c r="CZ226" s="487"/>
      <c r="DA226" s="794"/>
      <c r="DB226" s="1043"/>
      <c r="DC226" s="487"/>
      <c r="DD226" s="487"/>
      <c r="DE226" s="794"/>
      <c r="DF226" s="1043"/>
      <c r="DG226" s="487"/>
      <c r="DH226" s="487"/>
      <c r="DI226" s="794"/>
      <c r="DJ226" s="1043"/>
      <c r="DK226" s="487"/>
      <c r="DL226" s="487"/>
      <c r="DM226" s="794"/>
      <c r="DN226" s="1043"/>
      <c r="DO226" s="487"/>
      <c r="DP226" s="487"/>
      <c r="DQ226" s="794"/>
      <c r="DR226" s="794"/>
      <c r="DS226" s="794"/>
      <c r="DT226" s="794"/>
      <c r="DU226" s="794"/>
      <c r="DV226" s="794"/>
      <c r="DW226" s="794"/>
      <c r="DX226" s="794"/>
      <c r="DY226" s="794"/>
      <c r="DZ226" s="794"/>
      <c r="EA226" s="794"/>
      <c r="EB226" s="794"/>
    </row>
    <row r="227" spans="1:132">
      <c r="A227" s="780" t="s">
        <v>295</v>
      </c>
      <c r="B227" s="1044"/>
      <c r="C227" s="1044"/>
      <c r="D227" s="1044"/>
      <c r="E227" s="1044"/>
      <c r="F227" s="1044"/>
      <c r="G227" s="1044"/>
      <c r="H227" s="1044"/>
      <c r="I227" s="1044"/>
      <c r="J227" s="1044"/>
      <c r="K227" s="1044"/>
      <c r="L227" s="1044"/>
      <c r="M227" s="1044"/>
      <c r="N227" s="1044"/>
      <c r="O227" s="1044"/>
      <c r="P227" s="1044"/>
      <c r="Q227" s="1044"/>
      <c r="R227" s="1044"/>
      <c r="S227" s="1044"/>
      <c r="T227" s="1044"/>
      <c r="U227" s="1044"/>
      <c r="V227" s="1044"/>
      <c r="W227" s="1044"/>
      <c r="X227" s="1044"/>
      <c r="Y227" s="1044"/>
      <c r="Z227" s="1044"/>
      <c r="AA227" s="1044"/>
      <c r="AB227" s="1044"/>
      <c r="AC227" s="1044"/>
      <c r="AD227" s="1044"/>
      <c r="AE227" s="1044"/>
      <c r="AF227" s="1044"/>
      <c r="AG227" s="1044"/>
      <c r="AH227" s="1044"/>
      <c r="AI227" s="1044"/>
      <c r="AJ227" s="1044"/>
      <c r="AK227" s="1044"/>
      <c r="AL227" s="1044"/>
      <c r="AM227" s="1044"/>
      <c r="AN227" s="1044"/>
      <c r="AO227" s="1044"/>
      <c r="AP227" s="1044"/>
      <c r="AQ227" s="1044"/>
      <c r="AR227" s="1044"/>
      <c r="AS227" s="1044"/>
      <c r="AT227" s="1044"/>
      <c r="AU227" s="1044"/>
      <c r="AV227" s="1044"/>
      <c r="AW227" s="1044"/>
      <c r="AX227" s="1044"/>
      <c r="AY227" s="1044"/>
      <c r="AZ227" s="1044"/>
      <c r="BA227" s="1044"/>
      <c r="BB227" s="1044"/>
      <c r="BC227" s="1044"/>
      <c r="BD227" s="1044"/>
      <c r="BE227" s="1044"/>
      <c r="BF227" s="1044"/>
      <c r="BG227" s="1044"/>
      <c r="BH227" s="1044"/>
      <c r="BI227" s="1044"/>
      <c r="BJ227" s="1044"/>
      <c r="BK227" s="1044"/>
      <c r="BL227" s="1044"/>
      <c r="BM227" s="1044"/>
      <c r="BN227" s="1044"/>
      <c r="BO227" s="1044"/>
      <c r="BP227" s="1044"/>
      <c r="BQ227" s="1044"/>
      <c r="BR227" s="1044"/>
      <c r="BS227" s="1044"/>
      <c r="BT227" s="1044"/>
      <c r="BU227" s="1044"/>
      <c r="BV227" s="1045"/>
      <c r="BW227" s="1046"/>
      <c r="BX227" s="1044"/>
      <c r="BY227" s="1044"/>
      <c r="BZ227" s="1047"/>
      <c r="CA227" s="1046"/>
      <c r="CB227" s="1044"/>
      <c r="CC227" s="1044"/>
      <c r="CD227" s="1047"/>
      <c r="CE227" s="1046"/>
      <c r="CF227" s="1044"/>
      <c r="CG227" s="1044"/>
      <c r="CH227" s="1047"/>
      <c r="CI227" s="1046"/>
      <c r="CJ227" s="1044"/>
      <c r="CK227" s="1044"/>
      <c r="CL227" s="1047"/>
      <c r="CM227" s="1046"/>
      <c r="CN227" s="1044"/>
      <c r="CO227" s="1044"/>
      <c r="CP227" s="1047"/>
      <c r="CQ227" s="1046"/>
      <c r="CR227" s="1044"/>
      <c r="CS227" s="1044"/>
      <c r="CT227" s="1047"/>
      <c r="CU227" s="1046"/>
      <c r="CV227" s="1044"/>
      <c r="CW227" s="1048"/>
      <c r="CX227" s="1047"/>
      <c r="CY227" s="1046"/>
      <c r="CZ227" s="1044"/>
      <c r="DA227" s="1048"/>
      <c r="DB227" s="1047"/>
      <c r="DC227" s="1046"/>
      <c r="DD227" s="1044"/>
      <c r="DE227" s="1048"/>
      <c r="DF227" s="1047"/>
      <c r="DG227" s="1046"/>
      <c r="DH227" s="1044"/>
      <c r="DI227" s="1048"/>
      <c r="DJ227" s="1047"/>
      <c r="DK227" s="1046"/>
      <c r="DL227" s="1044"/>
      <c r="DM227" s="1048"/>
      <c r="DN227" s="1047"/>
      <c r="DO227" s="1046"/>
      <c r="DP227" s="1044"/>
      <c r="DQ227" s="1049"/>
      <c r="DR227" s="1049"/>
      <c r="DS227" s="1049"/>
      <c r="DT227" s="1049"/>
      <c r="DU227" s="1049"/>
      <c r="DV227" s="1049"/>
      <c r="DW227" s="1049"/>
      <c r="DX227" s="1049"/>
      <c r="DY227" s="1049"/>
      <c r="DZ227" s="1049"/>
      <c r="EA227" s="1049"/>
      <c r="EB227" s="1049"/>
    </row>
    <row r="228" spans="1:132">
      <c r="A228" s="487"/>
      <c r="B228" s="487"/>
      <c r="C228" s="807"/>
      <c r="D228" s="807"/>
      <c r="E228" s="809"/>
      <c r="F228" s="809" t="str">
        <f>+BJ228</f>
        <v>Cash Dividends</v>
      </c>
      <c r="G228" s="811"/>
      <c r="H228" s="811"/>
      <c r="I228" s="811"/>
      <c r="J228" s="809"/>
      <c r="K228" s="811"/>
      <c r="L228" s="811"/>
      <c r="M228" s="811"/>
      <c r="N228" s="809"/>
      <c r="O228" s="811"/>
      <c r="P228" s="811"/>
      <c r="Q228" s="811"/>
      <c r="R228" s="809"/>
      <c r="S228" s="811"/>
      <c r="T228" s="811"/>
      <c r="U228" s="811"/>
      <c r="V228" s="809"/>
      <c r="W228" s="811"/>
      <c r="X228" s="811"/>
      <c r="Y228" s="487"/>
      <c r="Z228" s="809"/>
      <c r="AA228" s="811"/>
      <c r="AB228" s="811"/>
      <c r="AC228" s="811"/>
      <c r="AD228" s="809"/>
      <c r="AE228" s="811"/>
      <c r="AF228" s="811"/>
      <c r="AG228" s="811"/>
      <c r="AH228" s="809"/>
      <c r="AI228" s="811"/>
      <c r="AJ228" s="811"/>
      <c r="AK228" s="811"/>
      <c r="AL228" s="809"/>
      <c r="AM228" s="811"/>
      <c r="AN228" s="811"/>
      <c r="AO228" s="702"/>
      <c r="AP228" s="921"/>
      <c r="AQ228" s="702"/>
      <c r="AR228" s="702"/>
      <c r="AS228" s="702"/>
      <c r="AT228" s="872"/>
      <c r="AU228" s="811"/>
      <c r="AV228" s="811"/>
      <c r="AW228" s="702"/>
      <c r="AX228" s="809"/>
      <c r="AY228" s="811"/>
      <c r="AZ228" s="811"/>
      <c r="BA228" s="811"/>
      <c r="BB228" s="809"/>
      <c r="BC228" s="811"/>
      <c r="BD228" s="811"/>
      <c r="BE228" s="702"/>
      <c r="BF228" s="702"/>
      <c r="BG228" s="811"/>
      <c r="BH228" s="809"/>
      <c r="BI228" s="811"/>
      <c r="BJ228" s="809" t="s">
        <v>690</v>
      </c>
      <c r="BK228" s="811"/>
      <c r="BL228" s="809"/>
      <c r="BM228" s="811"/>
      <c r="BN228" s="809" t="s">
        <v>690</v>
      </c>
      <c r="BO228" s="811"/>
      <c r="BP228" s="809"/>
      <c r="BQ228" s="811"/>
      <c r="BR228" s="1050"/>
      <c r="BS228" s="811"/>
      <c r="BT228" s="809"/>
      <c r="BU228" s="811"/>
      <c r="BV228" s="1050"/>
      <c r="BW228" s="811"/>
      <c r="BX228" s="809"/>
      <c r="BY228" s="809"/>
      <c r="BZ228" s="1050"/>
      <c r="CA228" s="811"/>
      <c r="CC228" s="809"/>
      <c r="CD228" s="1050"/>
      <c r="CE228" s="811"/>
      <c r="CF228" s="810" t="str">
        <f>BN228</f>
        <v>Cash Dividends</v>
      </c>
      <c r="CG228" s="809"/>
      <c r="CH228" s="1050"/>
      <c r="CI228" s="811"/>
      <c r="CJ228" s="809"/>
      <c r="CK228" s="809"/>
      <c r="CL228" s="1050"/>
      <c r="CM228" s="811"/>
      <c r="CN228" s="809"/>
      <c r="CO228" s="809"/>
      <c r="CP228" s="1050"/>
      <c r="CQ228" s="811"/>
      <c r="CR228" s="809"/>
      <c r="CS228" s="809"/>
      <c r="CT228" s="1050"/>
      <c r="CU228" s="811"/>
      <c r="CV228" s="809"/>
      <c r="CW228" s="970"/>
      <c r="CX228" s="1050"/>
      <c r="CY228" s="811"/>
      <c r="CZ228" s="809"/>
      <c r="DA228" s="970"/>
      <c r="DB228" s="1050"/>
      <c r="DC228" s="811"/>
      <c r="DD228" s="809"/>
      <c r="DE228" s="970"/>
      <c r="DF228" s="1050"/>
      <c r="DG228" s="811"/>
      <c r="DH228" s="809"/>
      <c r="DI228" s="970"/>
      <c r="DJ228" s="1050"/>
      <c r="DK228" s="811"/>
      <c r="DL228" s="809"/>
      <c r="DM228" s="970"/>
      <c r="DN228" s="1050"/>
      <c r="DO228" s="811"/>
      <c r="DP228" s="809"/>
      <c r="DQ228" s="970"/>
      <c r="DR228" s="970"/>
      <c r="DS228" s="794"/>
      <c r="DT228" s="794"/>
      <c r="DU228" s="794"/>
      <c r="DV228" s="794"/>
      <c r="DW228" s="794"/>
      <c r="DX228" s="794"/>
      <c r="DY228" s="794"/>
      <c r="DZ228" s="794"/>
      <c r="EA228" s="794"/>
      <c r="EB228" s="794"/>
    </row>
    <row r="229" spans="1:132">
      <c r="A229" s="487"/>
      <c r="B229" s="487"/>
      <c r="C229" s="487"/>
      <c r="D229" s="487"/>
      <c r="E229" s="487"/>
      <c r="F229" s="487"/>
      <c r="G229" s="487"/>
      <c r="H229" s="487"/>
      <c r="I229" s="487"/>
      <c r="J229" s="487"/>
      <c r="K229" s="487"/>
      <c r="L229" s="487"/>
      <c r="M229" s="487"/>
      <c r="N229" s="487"/>
      <c r="O229" s="487"/>
      <c r="P229" s="487"/>
      <c r="Q229" s="487"/>
      <c r="R229" s="487"/>
      <c r="S229" s="487"/>
      <c r="T229" s="487"/>
      <c r="U229" s="487"/>
      <c r="V229" s="487"/>
      <c r="W229" s="487"/>
      <c r="X229" s="487"/>
      <c r="Y229" s="487"/>
      <c r="Z229" s="487"/>
      <c r="AA229" s="487"/>
      <c r="AB229" s="487"/>
      <c r="AC229" s="487"/>
      <c r="AD229" s="487"/>
      <c r="AE229" s="487"/>
      <c r="AF229" s="487"/>
      <c r="AG229" s="487"/>
      <c r="AH229" s="487"/>
      <c r="AI229" s="487"/>
      <c r="AJ229" s="487"/>
      <c r="AK229" s="487"/>
      <c r="AL229" s="487"/>
      <c r="AM229" s="487"/>
      <c r="AN229" s="487"/>
      <c r="AO229" s="487"/>
      <c r="AP229" s="487"/>
      <c r="AQ229" s="487"/>
      <c r="AR229" s="487"/>
      <c r="AS229" s="487"/>
      <c r="AT229" s="487"/>
      <c r="AU229" s="487"/>
      <c r="AV229" s="487"/>
      <c r="AW229" s="487"/>
      <c r="AX229" s="487"/>
      <c r="AY229" s="487"/>
      <c r="AZ229" s="487"/>
      <c r="BA229" s="487"/>
      <c r="BB229" s="487"/>
      <c r="BC229" s="487"/>
      <c r="BD229" s="487"/>
      <c r="BE229" s="487"/>
      <c r="BF229" s="487"/>
      <c r="BG229" s="487"/>
      <c r="BH229" s="487"/>
      <c r="BI229" s="487"/>
      <c r="BJ229" s="1051"/>
      <c r="BK229" s="487"/>
      <c r="BL229" s="487"/>
      <c r="BM229" s="487"/>
      <c r="BN229" s="1051"/>
      <c r="BO229" s="487"/>
      <c r="BP229" s="487"/>
      <c r="BQ229" s="487"/>
      <c r="BR229" s="1051"/>
      <c r="BS229" s="487"/>
      <c r="BT229" s="487"/>
      <c r="BU229" s="487"/>
      <c r="BV229" s="1051"/>
      <c r="BW229" s="487"/>
      <c r="BX229" s="487"/>
      <c r="BY229" s="487"/>
      <c r="BZ229" s="1051"/>
      <c r="CA229" s="487"/>
      <c r="CB229" s="487"/>
      <c r="CC229" s="487"/>
      <c r="CD229" s="1051"/>
      <c r="CE229" s="487"/>
      <c r="CF229" s="487"/>
      <c r="CG229" s="487"/>
      <c r="CH229" s="1051"/>
      <c r="CI229" s="487"/>
      <c r="CJ229" s="487"/>
      <c r="CK229" s="487"/>
      <c r="CL229" s="1051"/>
      <c r="CM229" s="487"/>
      <c r="CN229" s="487"/>
      <c r="CO229" s="487"/>
      <c r="CP229" s="1051"/>
      <c r="CQ229" s="487"/>
      <c r="CR229" s="487"/>
      <c r="CS229" s="487"/>
      <c r="CT229" s="1051"/>
      <c r="CU229" s="487"/>
      <c r="CV229" s="487"/>
      <c r="CW229" s="794"/>
      <c r="CX229" s="1051"/>
      <c r="CY229" s="487"/>
      <c r="CZ229" s="487"/>
      <c r="DA229" s="794"/>
      <c r="DB229" s="1051"/>
      <c r="DC229" s="487"/>
      <c r="DD229" s="487"/>
      <c r="DE229" s="794"/>
      <c r="DF229" s="1051"/>
      <c r="DG229" s="487"/>
      <c r="DH229" s="487"/>
      <c r="DI229" s="794"/>
      <c r="DJ229" s="1051"/>
      <c r="DK229" s="487"/>
      <c r="DL229" s="487"/>
      <c r="DM229" s="794"/>
      <c r="DN229" s="1051"/>
      <c r="DO229" s="487"/>
      <c r="DP229" s="487"/>
      <c r="DQ229" s="794"/>
      <c r="DR229" s="794"/>
      <c r="DS229" s="794"/>
      <c r="DT229" s="794"/>
      <c r="DU229" s="794"/>
      <c r="DV229" s="794"/>
      <c r="DW229" s="794"/>
      <c r="DX229" s="794"/>
      <c r="DY229" s="794"/>
      <c r="DZ229" s="794"/>
      <c r="EA229" s="794"/>
      <c r="EB229" s="794"/>
    </row>
    <row r="230" spans="1:132">
      <c r="A230" s="487" t="str">
        <f>$A$10</f>
        <v>1Q</v>
      </c>
      <c r="B230" s="487" t="str">
        <f>$B$10</f>
        <v>Apr</v>
      </c>
      <c r="C230" s="487"/>
      <c r="D230" s="867"/>
      <c r="E230" s="487"/>
      <c r="F230" s="867">
        <f>0.115/4/2</f>
        <v>1.4375000000000001E-2</v>
      </c>
      <c r="G230" s="906"/>
      <c r="H230" s="487"/>
      <c r="I230" s="487"/>
      <c r="J230" s="867">
        <f>0.115/4/2</f>
        <v>1.4375000000000001E-2</v>
      </c>
      <c r="K230" s="783"/>
      <c r="L230" s="487"/>
      <c r="M230" s="487"/>
      <c r="N230" s="867">
        <f>0.115/4/2</f>
        <v>1.4375000000000001E-2</v>
      </c>
      <c r="O230" s="783"/>
      <c r="P230" s="487"/>
      <c r="Q230" s="487"/>
      <c r="R230" s="867">
        <f>0.125/4/2</f>
        <v>1.5625E-2</v>
      </c>
      <c r="S230" s="783"/>
      <c r="T230" s="487"/>
      <c r="U230" s="487"/>
      <c r="V230" s="867">
        <f>0.14/4/2</f>
        <v>1.7500000000000002E-2</v>
      </c>
      <c r="W230" s="783"/>
      <c r="X230" s="487"/>
      <c r="Y230" s="487"/>
      <c r="Z230" s="867">
        <f>0.1225/4/2</f>
        <v>1.53125E-2</v>
      </c>
      <c r="AA230" s="783"/>
      <c r="AB230" s="487"/>
      <c r="AC230" s="487"/>
      <c r="AD230" s="867">
        <f>0.07/4/2</f>
        <v>8.7500000000000008E-3</v>
      </c>
      <c r="AE230" s="783"/>
      <c r="AF230" s="487"/>
      <c r="AG230" s="487"/>
      <c r="AH230" s="862">
        <v>1.2500000000000001E-2</v>
      </c>
      <c r="AI230" s="783"/>
      <c r="AJ230" s="487"/>
      <c r="AK230" s="487"/>
      <c r="AL230" s="867">
        <v>1.4999999999999999E-2</v>
      </c>
      <c r="AM230" s="783"/>
      <c r="AN230" s="487"/>
      <c r="AO230" s="487"/>
      <c r="AP230" s="867">
        <v>1.7500000000000002E-2</v>
      </c>
      <c r="AQ230" s="783">
        <f t="shared" ref="AQ230:AQ236" si="472">IF(AL230&lt;0,"       NM",(AP230/AL230-1)*100)</f>
        <v>16.666666666666675</v>
      </c>
      <c r="AR230" s="487"/>
      <c r="AS230" s="487"/>
      <c r="AT230" s="867">
        <v>0.02</v>
      </c>
      <c r="AU230" s="783"/>
      <c r="AV230" s="487"/>
      <c r="AW230" s="487"/>
      <c r="AX230" s="867">
        <v>2.2499999999999999E-2</v>
      </c>
      <c r="AY230" s="783"/>
      <c r="AZ230" s="487"/>
      <c r="BA230" s="487"/>
      <c r="BB230" s="867">
        <v>0.03</v>
      </c>
      <c r="BC230" s="783"/>
      <c r="BD230" s="487"/>
      <c r="BE230" s="487"/>
      <c r="BF230" s="867">
        <v>3.5000000000000003E-2</v>
      </c>
      <c r="BG230" s="783"/>
      <c r="BH230" s="487"/>
      <c r="BI230" s="487"/>
      <c r="BJ230" s="867">
        <v>4.4999999999999998E-2</v>
      </c>
      <c r="BK230" s="783"/>
      <c r="BL230" s="487"/>
      <c r="BM230" s="487"/>
      <c r="BN230" s="867">
        <f>0.06/2</f>
        <v>0.03</v>
      </c>
      <c r="BO230" s="783"/>
      <c r="BP230" s="487"/>
      <c r="BQ230" s="487"/>
      <c r="BR230" s="862">
        <f>0.07/2</f>
        <v>3.5000000000000003E-2</v>
      </c>
      <c r="BS230" s="783"/>
      <c r="BT230" s="487"/>
      <c r="BU230" s="487"/>
      <c r="BV230" s="1052">
        <f>0.09/2</f>
        <v>4.4999999999999998E-2</v>
      </c>
      <c r="BW230" s="783"/>
      <c r="BX230" s="487"/>
      <c r="BY230" s="487"/>
      <c r="BZ230" s="1052">
        <f>0.09/2</f>
        <v>4.4999999999999998E-2</v>
      </c>
      <c r="CA230" s="783"/>
      <c r="CB230" s="487"/>
      <c r="CC230" s="487"/>
      <c r="CD230" s="1053">
        <f>0.12/2</f>
        <v>0.06</v>
      </c>
      <c r="CE230" s="783"/>
      <c r="CF230" s="487"/>
      <c r="CG230" s="487"/>
      <c r="CH230" s="1052">
        <f>0.15/2</f>
        <v>7.4999999999999997E-2</v>
      </c>
      <c r="CI230" s="783"/>
      <c r="CJ230" s="487"/>
      <c r="CK230" s="487"/>
      <c r="CL230" s="1052">
        <f>0.19/2</f>
        <v>9.5000000000000001E-2</v>
      </c>
      <c r="CM230" s="783"/>
      <c r="CN230" s="487"/>
      <c r="CO230" s="487"/>
      <c r="CP230" s="1052">
        <v>0.115</v>
      </c>
      <c r="CQ230" s="783"/>
      <c r="CR230" s="487"/>
      <c r="CS230" s="487"/>
      <c r="CT230" s="1052">
        <v>0.14499999999999999</v>
      </c>
      <c r="CU230" s="783"/>
      <c r="CV230" s="487"/>
      <c r="CW230" s="794"/>
      <c r="CX230" s="1054">
        <v>0.17499999999999999</v>
      </c>
      <c r="CY230" s="783"/>
      <c r="CZ230" s="487"/>
      <c r="DA230" s="794"/>
      <c r="DB230" s="1054">
        <v>0.21</v>
      </c>
      <c r="DC230" s="783"/>
      <c r="DD230" s="487"/>
      <c r="DE230" s="794"/>
      <c r="DF230" s="1054">
        <v>0.26</v>
      </c>
      <c r="DG230" s="783"/>
      <c r="DH230" s="487"/>
      <c r="DI230" s="794"/>
      <c r="DJ230" s="1953">
        <v>0.3125</v>
      </c>
      <c r="DK230" s="783"/>
      <c r="DL230" s="487"/>
      <c r="DM230" s="794"/>
      <c r="DN230" s="956">
        <v>0.39</v>
      </c>
      <c r="DO230" s="783"/>
      <c r="DP230" s="487"/>
      <c r="DQ230" s="794"/>
      <c r="DR230" s="794"/>
      <c r="DS230" s="978">
        <f>BV233</f>
        <v>4.4999999999999998E-2</v>
      </c>
      <c r="DT230" s="794"/>
      <c r="DU230" s="794"/>
      <c r="DV230" s="794"/>
      <c r="DW230" s="794"/>
      <c r="DX230" s="794"/>
      <c r="DY230" s="794"/>
      <c r="DZ230" s="794"/>
      <c r="EA230" s="794"/>
      <c r="EB230" s="794"/>
    </row>
    <row r="231" spans="1:132">
      <c r="A231" s="487" t="str">
        <f>$A$11</f>
        <v>2Q</v>
      </c>
      <c r="B231" s="487" t="str">
        <f>$B$11</f>
        <v>Jul</v>
      </c>
      <c r="C231" s="487"/>
      <c r="D231" s="792"/>
      <c r="E231" s="487"/>
      <c r="F231" s="792">
        <f>0.115/4/2</f>
        <v>1.4375000000000001E-2</v>
      </c>
      <c r="G231" s="783"/>
      <c r="H231" s="487"/>
      <c r="I231" s="487"/>
      <c r="J231" s="792">
        <f>0.115/4/2</f>
        <v>1.4375000000000001E-2</v>
      </c>
      <c r="K231" s="783"/>
      <c r="L231" s="487"/>
      <c r="M231" s="487"/>
      <c r="N231" s="792">
        <f>0.115/4/2</f>
        <v>1.4375000000000001E-2</v>
      </c>
      <c r="O231" s="783"/>
      <c r="P231" s="487"/>
      <c r="Q231" s="487"/>
      <c r="R231" s="792">
        <f>0.125/4/2</f>
        <v>1.5625E-2</v>
      </c>
      <c r="S231" s="783"/>
      <c r="T231" s="487"/>
      <c r="U231" s="487"/>
      <c r="V231" s="792">
        <f>0.14/4/2</f>
        <v>1.7500000000000002E-2</v>
      </c>
      <c r="W231" s="783"/>
      <c r="X231" s="487"/>
      <c r="Y231" s="487"/>
      <c r="Z231" s="792">
        <f>0.1225/4/2</f>
        <v>1.53125E-2</v>
      </c>
      <c r="AA231" s="783"/>
      <c r="AB231" s="487"/>
      <c r="AC231" s="487"/>
      <c r="AD231" s="792">
        <f>0.07/4/2</f>
        <v>8.7500000000000008E-3</v>
      </c>
      <c r="AE231" s="783"/>
      <c r="AF231" s="487"/>
      <c r="AG231" s="487"/>
      <c r="AH231" s="948">
        <v>1.2500000000000001E-2</v>
      </c>
      <c r="AI231" s="783"/>
      <c r="AJ231" s="487"/>
      <c r="AK231" s="487"/>
      <c r="AL231" s="792">
        <v>1.4999999999999999E-2</v>
      </c>
      <c r="AM231" s="783"/>
      <c r="AN231" s="487"/>
      <c r="AO231" s="487"/>
      <c r="AP231" s="792">
        <v>1.7500000000000002E-2</v>
      </c>
      <c r="AQ231" s="783">
        <f t="shared" si="472"/>
        <v>16.666666666666675</v>
      </c>
      <c r="AR231" s="487"/>
      <c r="AS231" s="487"/>
      <c r="AT231" s="792">
        <v>0.02</v>
      </c>
      <c r="AU231" s="783"/>
      <c r="AV231" s="487"/>
      <c r="AW231" s="487"/>
      <c r="AX231" s="792">
        <v>2.2499999999999999E-2</v>
      </c>
      <c r="AY231" s="783"/>
      <c r="AZ231" s="487"/>
      <c r="BA231" s="487"/>
      <c r="BB231" s="792">
        <v>0.03</v>
      </c>
      <c r="BC231" s="783"/>
      <c r="BD231" s="487"/>
      <c r="BE231" s="487"/>
      <c r="BF231" s="792">
        <v>3.5000000000000003E-2</v>
      </c>
      <c r="BG231" s="783"/>
      <c r="BH231" s="487"/>
      <c r="BI231" s="487"/>
      <c r="BJ231" s="792">
        <v>4.4999999999999998E-2</v>
      </c>
      <c r="BK231" s="783"/>
      <c r="BL231" s="487"/>
      <c r="BM231" s="487"/>
      <c r="BN231" s="792">
        <f>0.06/2</f>
        <v>0.03</v>
      </c>
      <c r="BO231" s="783"/>
      <c r="BP231" s="487"/>
      <c r="BQ231" s="487"/>
      <c r="BR231" s="1055">
        <f>0.07/2</f>
        <v>3.5000000000000003E-2</v>
      </c>
      <c r="BS231" s="783"/>
      <c r="BT231" s="487"/>
      <c r="BU231" s="487"/>
      <c r="BV231" s="1055">
        <f>0.09/2</f>
        <v>4.4999999999999998E-2</v>
      </c>
      <c r="BW231" s="783"/>
      <c r="BX231" s="487"/>
      <c r="BY231" s="487"/>
      <c r="BZ231" s="1055">
        <f>0.11/2</f>
        <v>5.5E-2</v>
      </c>
      <c r="CA231" s="783"/>
      <c r="CB231" s="487"/>
      <c r="CC231" s="487"/>
      <c r="CD231" s="1056">
        <f>0.12/2</f>
        <v>0.06</v>
      </c>
      <c r="CE231" s="783"/>
      <c r="CF231" s="487"/>
      <c r="CG231" s="487"/>
      <c r="CH231" s="1055">
        <f>0.15/2</f>
        <v>7.4999999999999997E-2</v>
      </c>
      <c r="CI231" s="783"/>
      <c r="CJ231" s="487"/>
      <c r="CK231" s="487"/>
      <c r="CL231" s="1055">
        <f>0.19/2</f>
        <v>9.5000000000000001E-2</v>
      </c>
      <c r="CM231" s="783"/>
      <c r="CN231" s="487"/>
      <c r="CO231" s="487"/>
      <c r="CP231" s="1055">
        <v>0.115</v>
      </c>
      <c r="CQ231" s="783"/>
      <c r="CR231" s="487"/>
      <c r="CS231" s="487"/>
      <c r="CT231" s="1055">
        <v>0.14499999999999999</v>
      </c>
      <c r="CU231" s="783"/>
      <c r="CV231" s="487"/>
      <c r="CW231" s="794"/>
      <c r="CX231" s="1054">
        <v>0.17499999999999999</v>
      </c>
      <c r="CY231" s="783"/>
      <c r="CZ231" s="487"/>
      <c r="DA231" s="794"/>
      <c r="DB231" s="1054">
        <v>0.21</v>
      </c>
      <c r="DC231" s="783"/>
      <c r="DD231" s="487"/>
      <c r="DE231" s="794"/>
      <c r="DF231" s="1054">
        <v>0.26</v>
      </c>
      <c r="DG231" s="783"/>
      <c r="DH231" s="487"/>
      <c r="DI231" s="794"/>
      <c r="DJ231" s="1953">
        <f>DJ230</f>
        <v>0.3125</v>
      </c>
      <c r="DK231" s="783"/>
      <c r="DL231" s="487"/>
      <c r="DM231" s="794"/>
      <c r="DN231" s="956">
        <f>DN230</f>
        <v>0.39</v>
      </c>
      <c r="DO231" s="783"/>
      <c r="DP231" s="487"/>
      <c r="DQ231" s="794"/>
      <c r="DR231" s="794"/>
      <c r="DS231" s="1057">
        <f>+DS230</f>
        <v>4.4999999999999998E-2</v>
      </c>
      <c r="DT231" s="794"/>
      <c r="DU231" s="794"/>
      <c r="DV231" s="794"/>
      <c r="DW231" s="794"/>
      <c r="DX231" s="794"/>
      <c r="DY231" s="794"/>
      <c r="DZ231" s="794"/>
      <c r="EA231" s="794"/>
      <c r="EB231" s="794"/>
    </row>
    <row r="232" spans="1:132">
      <c r="A232" s="487" t="str">
        <f>$A$12</f>
        <v>3Q</v>
      </c>
      <c r="B232" s="487" t="str">
        <f>$B$12</f>
        <v>Oct</v>
      </c>
      <c r="C232" s="487"/>
      <c r="D232" s="792"/>
      <c r="E232" s="487"/>
      <c r="F232" s="792">
        <f>0.115/4/2</f>
        <v>1.4375000000000001E-2</v>
      </c>
      <c r="G232" s="783"/>
      <c r="H232" s="487"/>
      <c r="I232" s="487"/>
      <c r="J232" s="792">
        <f>0.115/4/2</f>
        <v>1.4375000000000001E-2</v>
      </c>
      <c r="K232" s="783"/>
      <c r="L232" s="487"/>
      <c r="M232" s="487"/>
      <c r="N232" s="792">
        <f>0.115/4/2</f>
        <v>1.4375000000000001E-2</v>
      </c>
      <c r="O232" s="783"/>
      <c r="P232" s="487"/>
      <c r="Q232" s="487"/>
      <c r="R232" s="792">
        <f>0.125/4/2</f>
        <v>1.5625E-2</v>
      </c>
      <c r="S232" s="783"/>
      <c r="T232" s="487"/>
      <c r="U232" s="487"/>
      <c r="V232" s="948">
        <f>0.14/4/2</f>
        <v>1.7500000000000002E-2</v>
      </c>
      <c r="W232" s="783"/>
      <c r="X232" s="487"/>
      <c r="Y232" s="487"/>
      <c r="Z232" s="792">
        <f>0.1225/4/2</f>
        <v>1.53125E-2</v>
      </c>
      <c r="AA232" s="783"/>
      <c r="AB232" s="487"/>
      <c r="AC232" s="487"/>
      <c r="AD232" s="792">
        <f>0.07/4/2</f>
        <v>8.7500000000000008E-3</v>
      </c>
      <c r="AE232" s="783"/>
      <c r="AF232" s="487"/>
      <c r="AG232" s="487"/>
      <c r="AH232" s="948">
        <v>1.2500000000000001E-2</v>
      </c>
      <c r="AI232" s="783"/>
      <c r="AJ232" s="487"/>
      <c r="AK232" s="487"/>
      <c r="AL232" s="792">
        <v>1.4999999999999999E-2</v>
      </c>
      <c r="AM232" s="783"/>
      <c r="AN232" s="487"/>
      <c r="AO232" s="487"/>
      <c r="AP232" s="792">
        <v>1.7500000000000002E-2</v>
      </c>
      <c r="AQ232" s="783">
        <f t="shared" si="472"/>
        <v>16.666666666666675</v>
      </c>
      <c r="AR232" s="487"/>
      <c r="AS232" s="487"/>
      <c r="AT232" s="792">
        <v>0.02</v>
      </c>
      <c r="AU232" s="783"/>
      <c r="AV232" s="487"/>
      <c r="AW232" s="487"/>
      <c r="AX232" s="792">
        <v>2.2499999999999999E-2</v>
      </c>
      <c r="AY232" s="783"/>
      <c r="AZ232" s="487"/>
      <c r="BA232" s="487"/>
      <c r="BB232" s="792">
        <v>0.03</v>
      </c>
      <c r="BC232" s="783"/>
      <c r="BD232" s="487"/>
      <c r="BE232" s="487"/>
      <c r="BF232" s="792">
        <v>3.5000000000000003E-2</v>
      </c>
      <c r="BG232" s="783"/>
      <c r="BH232" s="487"/>
      <c r="BI232" s="487"/>
      <c r="BJ232" s="792">
        <v>4.4999999999999998E-2</v>
      </c>
      <c r="BK232" s="783"/>
      <c r="BL232" s="487"/>
      <c r="BM232" s="487"/>
      <c r="BN232" s="792">
        <f>0.06/2</f>
        <v>0.03</v>
      </c>
      <c r="BO232" s="783"/>
      <c r="BP232" s="487"/>
      <c r="BQ232" s="487"/>
      <c r="BR232" s="1055">
        <f>0.07/2</f>
        <v>3.5000000000000003E-2</v>
      </c>
      <c r="BS232" s="783"/>
      <c r="BT232" s="487"/>
      <c r="BU232" s="487"/>
      <c r="BV232" s="1055">
        <f>0.09/2</f>
        <v>4.4999999999999998E-2</v>
      </c>
      <c r="BW232" s="783"/>
      <c r="BX232" s="487"/>
      <c r="BY232" s="487"/>
      <c r="BZ232" s="1055">
        <f>BZ231</f>
        <v>5.5E-2</v>
      </c>
      <c r="CA232" s="783"/>
      <c r="CB232" s="487"/>
      <c r="CC232" s="487"/>
      <c r="CD232" s="1056">
        <f>0.12/2</f>
        <v>0.06</v>
      </c>
      <c r="CE232" s="783"/>
      <c r="CF232" s="487"/>
      <c r="CG232" s="487"/>
      <c r="CH232" s="1055">
        <f>0.15/2</f>
        <v>7.4999999999999997E-2</v>
      </c>
      <c r="CI232" s="783"/>
      <c r="CJ232" s="487"/>
      <c r="CK232" s="487"/>
      <c r="CL232" s="1055">
        <f>0.19/2</f>
        <v>9.5000000000000001E-2</v>
      </c>
      <c r="CM232" s="783"/>
      <c r="CN232" s="487"/>
      <c r="CO232" s="487"/>
      <c r="CP232" s="956">
        <f>CP231</f>
        <v>0.115</v>
      </c>
      <c r="CQ232" s="783"/>
      <c r="CR232" s="487"/>
      <c r="CS232" s="487"/>
      <c r="CT232" s="1055">
        <v>0.14499999999999999</v>
      </c>
      <c r="CU232" s="783"/>
      <c r="CV232" s="487"/>
      <c r="CW232" s="794"/>
      <c r="CX232" s="1054">
        <v>0.17499999999999999</v>
      </c>
      <c r="CY232" s="783"/>
      <c r="CZ232" s="487"/>
      <c r="DA232" s="794"/>
      <c r="DB232" s="1054">
        <v>0.21</v>
      </c>
      <c r="DC232" s="783"/>
      <c r="DD232" s="487"/>
      <c r="DE232" s="794"/>
      <c r="DF232" s="1054">
        <v>0.26</v>
      </c>
      <c r="DG232" s="783"/>
      <c r="DH232" s="487"/>
      <c r="DI232" s="794"/>
      <c r="DJ232" s="1953">
        <f>DJ231</f>
        <v>0.3125</v>
      </c>
      <c r="DK232" s="783"/>
      <c r="DL232" s="487"/>
      <c r="DM232" s="794"/>
      <c r="DN232" s="956">
        <f>DN231</f>
        <v>0.39</v>
      </c>
      <c r="DO232" s="783"/>
      <c r="DP232" s="487"/>
      <c r="DQ232" s="794"/>
      <c r="DR232" s="794"/>
      <c r="DS232" s="1057">
        <f>+DS231</f>
        <v>4.4999999999999998E-2</v>
      </c>
      <c r="DT232" s="794"/>
      <c r="DU232" s="794"/>
      <c r="DV232" s="794"/>
      <c r="DW232" s="794"/>
      <c r="DX232" s="794"/>
      <c r="DY232" s="794"/>
      <c r="DZ232" s="794"/>
      <c r="EA232" s="794"/>
      <c r="EB232" s="794"/>
    </row>
    <row r="233" spans="1:132">
      <c r="A233" s="487" t="str">
        <f>$A$13</f>
        <v>4Q</v>
      </c>
      <c r="B233" s="487" t="str">
        <f>$B$13</f>
        <v>Jan</v>
      </c>
      <c r="C233" s="499"/>
      <c r="D233" s="988"/>
      <c r="E233" s="499"/>
      <c r="F233" s="988">
        <f>0.115/4/2</f>
        <v>1.4375000000000001E-2</v>
      </c>
      <c r="G233" s="783"/>
      <c r="H233" s="487"/>
      <c r="I233" s="487"/>
      <c r="J233" s="988">
        <f>0.115/4/2</f>
        <v>1.4375000000000001E-2</v>
      </c>
      <c r="K233" s="783"/>
      <c r="L233" s="487"/>
      <c r="M233" s="487"/>
      <c r="N233" s="988">
        <f>0.115/4/2</f>
        <v>1.4375000000000001E-2</v>
      </c>
      <c r="O233" s="783"/>
      <c r="P233" s="487"/>
      <c r="Q233" s="487"/>
      <c r="R233" s="988">
        <f>0.125/4/2</f>
        <v>1.5625E-2</v>
      </c>
      <c r="S233" s="783"/>
      <c r="T233" s="487"/>
      <c r="U233" s="487"/>
      <c r="V233" s="988">
        <v>1.7500000000000002E-2</v>
      </c>
      <c r="W233" s="783"/>
      <c r="X233" s="487"/>
      <c r="Y233" s="487"/>
      <c r="Z233" s="988">
        <f>0.1225/4/2</f>
        <v>1.53125E-2</v>
      </c>
      <c r="AA233" s="783"/>
      <c r="AB233" s="487"/>
      <c r="AC233" s="487"/>
      <c r="AD233" s="988">
        <v>8.7500000000000008E-3</v>
      </c>
      <c r="AE233" s="783"/>
      <c r="AF233" s="487"/>
      <c r="AG233" s="487"/>
      <c r="AH233" s="949">
        <v>1.2500000000000001E-2</v>
      </c>
      <c r="AI233" s="783"/>
      <c r="AJ233" s="487"/>
      <c r="AK233" s="487"/>
      <c r="AL233" s="988">
        <v>1.4999999999999999E-2</v>
      </c>
      <c r="AM233" s="783"/>
      <c r="AN233" s="487"/>
      <c r="AO233" s="487"/>
      <c r="AP233" s="988">
        <v>1.7500000000000002E-2</v>
      </c>
      <c r="AQ233" s="783">
        <f t="shared" si="472"/>
        <v>16.666666666666675</v>
      </c>
      <c r="AR233" s="487"/>
      <c r="AS233" s="487"/>
      <c r="AT233" s="988">
        <v>0.02</v>
      </c>
      <c r="AU233" s="783"/>
      <c r="AV233" s="487"/>
      <c r="AW233" s="487"/>
      <c r="AX233" s="988">
        <v>2.2499999999999999E-2</v>
      </c>
      <c r="AY233" s="783"/>
      <c r="AZ233" s="716"/>
      <c r="BA233" s="487"/>
      <c r="BB233" s="988">
        <v>0.03</v>
      </c>
      <c r="BC233" s="783"/>
      <c r="BD233" s="487"/>
      <c r="BE233" s="487"/>
      <c r="BF233" s="988">
        <v>3.5000000000000003E-2</v>
      </c>
      <c r="BG233" s="783"/>
      <c r="BH233" s="487"/>
      <c r="BI233" s="487"/>
      <c r="BJ233" s="988">
        <v>4.4999999999999998E-2</v>
      </c>
      <c r="BK233" s="783"/>
      <c r="BL233" s="487"/>
      <c r="BM233" s="487"/>
      <c r="BN233" s="988">
        <f>0.06/2</f>
        <v>0.03</v>
      </c>
      <c r="BO233" s="783"/>
      <c r="BP233" s="487"/>
      <c r="BQ233" s="487"/>
      <c r="BR233" s="1058">
        <f>0.07/2</f>
        <v>3.5000000000000003E-2</v>
      </c>
      <c r="BS233" s="783"/>
      <c r="BT233" s="487"/>
      <c r="BU233" s="487"/>
      <c r="BV233" s="949">
        <f>BV232</f>
        <v>4.4999999999999998E-2</v>
      </c>
      <c r="BW233" s="783"/>
      <c r="BX233" s="487"/>
      <c r="BY233" s="487"/>
      <c r="BZ233" s="1058">
        <f>BZ232</f>
        <v>5.5E-2</v>
      </c>
      <c r="CA233" s="783"/>
      <c r="CB233" s="487"/>
      <c r="CC233" s="487"/>
      <c r="CD233" s="1059">
        <f>0.12/2</f>
        <v>0.06</v>
      </c>
      <c r="CE233" s="783"/>
      <c r="CF233" s="487"/>
      <c r="CG233" s="487"/>
      <c r="CH233" s="949">
        <f>0.15/2</f>
        <v>7.4999999999999997E-2</v>
      </c>
      <c r="CI233" s="783"/>
      <c r="CJ233" s="487"/>
      <c r="CK233" s="487"/>
      <c r="CL233" s="949">
        <f>CL232</f>
        <v>9.5000000000000001E-2</v>
      </c>
      <c r="CM233" s="783"/>
      <c r="CN233" s="487"/>
      <c r="CO233" s="487"/>
      <c r="CP233" s="949">
        <f>CP232</f>
        <v>0.115</v>
      </c>
      <c r="CQ233" s="783"/>
      <c r="CR233" s="487"/>
      <c r="CS233" s="487"/>
      <c r="CT233" s="949">
        <f>CT232</f>
        <v>0.14499999999999999</v>
      </c>
      <c r="CU233" s="783"/>
      <c r="CV233" s="487"/>
      <c r="CW233" s="794"/>
      <c r="CX233" s="949">
        <f>CX232</f>
        <v>0.17499999999999999</v>
      </c>
      <c r="CY233" s="783"/>
      <c r="CZ233" s="487"/>
      <c r="DA233" s="794"/>
      <c r="DB233" s="1058">
        <v>0.21</v>
      </c>
      <c r="DC233" s="783"/>
      <c r="DD233" s="487"/>
      <c r="DE233" s="794"/>
      <c r="DF233" s="1058">
        <v>0.26</v>
      </c>
      <c r="DG233" s="783"/>
      <c r="DH233" s="487"/>
      <c r="DI233" s="794"/>
      <c r="DJ233" s="2106">
        <f>DJ232</f>
        <v>0.3125</v>
      </c>
      <c r="DK233" s="783"/>
      <c r="DL233" s="487"/>
      <c r="DM233" s="794"/>
      <c r="DN233" s="949">
        <f>DN232</f>
        <v>0.39</v>
      </c>
      <c r="DO233" s="783"/>
      <c r="DP233" s="487"/>
      <c r="DQ233" s="794"/>
      <c r="DR233" s="794"/>
      <c r="DS233" s="1060">
        <f>+DS232</f>
        <v>4.4999999999999998E-2</v>
      </c>
      <c r="DT233" s="794"/>
      <c r="DU233" s="794"/>
      <c r="DV233" s="794"/>
      <c r="DW233" s="794"/>
      <c r="DX233" s="794"/>
      <c r="DY233" s="794"/>
      <c r="DZ233" s="794"/>
      <c r="EA233" s="794"/>
      <c r="EB233" s="794"/>
    </row>
    <row r="234" spans="1:132">
      <c r="A234" s="487"/>
      <c r="B234" s="487" t="str">
        <f>$B$14</f>
        <v>Year</v>
      </c>
      <c r="C234" s="487"/>
      <c r="D234" s="867"/>
      <c r="E234" s="487"/>
      <c r="F234" s="867">
        <f>SUM(F230:F233)</f>
        <v>5.7500000000000002E-2</v>
      </c>
      <c r="G234" s="783"/>
      <c r="H234" s="487"/>
      <c r="I234" s="487"/>
      <c r="J234" s="867">
        <f>SUM(J230:J233)</f>
        <v>5.7500000000000002E-2</v>
      </c>
      <c r="K234" s="783"/>
      <c r="L234" s="487"/>
      <c r="M234" s="487"/>
      <c r="N234" s="867">
        <f>SUM(N230:N233)</f>
        <v>5.7500000000000002E-2</v>
      </c>
      <c r="O234" s="783">
        <f>IF(J234&lt;0,"       NM",(N234/J234-1)*100)</f>
        <v>0</v>
      </c>
      <c r="P234" s="487"/>
      <c r="Q234" s="487"/>
      <c r="R234" s="867">
        <f>SUM(R230:R233)</f>
        <v>6.25E-2</v>
      </c>
      <c r="S234" s="783">
        <f>IF(N234&lt;0,"       NM",(R234/N234-1)*100)</f>
        <v>8.6956521739130377</v>
      </c>
      <c r="T234" s="487"/>
      <c r="U234" s="487"/>
      <c r="V234" s="867">
        <f>SUM(V230:V233)</f>
        <v>7.0000000000000007E-2</v>
      </c>
      <c r="W234" s="783">
        <f>IF(R234&lt;0,"       NM",(V234/R234-1)*100)</f>
        <v>12.000000000000011</v>
      </c>
      <c r="X234" s="487"/>
      <c r="Y234" s="487"/>
      <c r="Z234" s="867">
        <f>SUM(Z230:Z233)</f>
        <v>6.1249999999999999E-2</v>
      </c>
      <c r="AA234" s="783">
        <f>IF(V234&lt;0,"       NM",(Z234/V234-1)*100)</f>
        <v>-12.500000000000011</v>
      </c>
      <c r="AB234" s="487"/>
      <c r="AC234" s="487"/>
      <c r="AD234" s="867">
        <f>SUM(AD230:AD233)</f>
        <v>3.5000000000000003E-2</v>
      </c>
      <c r="AE234" s="783">
        <f>IF(Z234&lt;0,"       NM",(AD234/Z234-1)*100)</f>
        <v>-42.857142857142847</v>
      </c>
      <c r="AF234" s="487"/>
      <c r="AG234" s="487"/>
      <c r="AH234" s="867">
        <f>SUM(AH230:AH233)</f>
        <v>0.05</v>
      </c>
      <c r="AI234" s="783">
        <f>IF(AD234&lt;0,"       NM",(AH234/AD234-1)*100)</f>
        <v>42.857142857142861</v>
      </c>
      <c r="AJ234" s="487"/>
      <c r="AK234" s="487"/>
      <c r="AL234" s="867">
        <f>SUM(AL230:AL233)</f>
        <v>0.06</v>
      </c>
      <c r="AM234" s="783">
        <f>IF(AH234&lt;0,"       NM",(AL234/AH234-1)*100)</f>
        <v>19.999999999999996</v>
      </c>
      <c r="AN234" s="487"/>
      <c r="AO234" s="487"/>
      <c r="AP234" s="867">
        <f>SUM(AP230:AP233)</f>
        <v>7.0000000000000007E-2</v>
      </c>
      <c r="AQ234" s="783">
        <f t="shared" si="472"/>
        <v>16.666666666666675</v>
      </c>
      <c r="AR234" s="487"/>
      <c r="AS234" s="487"/>
      <c r="AT234" s="867">
        <f>SUM(AT230:AT233)</f>
        <v>0.08</v>
      </c>
      <c r="AU234" s="783">
        <f>IF(AP234&lt;0,"       NM",(AT234/AP234-1)*100)</f>
        <v>14.285714285714279</v>
      </c>
      <c r="AV234" s="487"/>
      <c r="AW234" s="487"/>
      <c r="AX234" s="867">
        <f>SUM(AX230:AX233)</f>
        <v>0.09</v>
      </c>
      <c r="AY234" s="783">
        <f>IF(AT234&lt;0,"       NM",(AX234/AT234-1)*100)</f>
        <v>12.5</v>
      </c>
      <c r="AZ234" s="487"/>
      <c r="BA234" s="487"/>
      <c r="BB234" s="867">
        <f>SUM(BB230:BB233)</f>
        <v>0.12</v>
      </c>
      <c r="BC234" s="783">
        <f>IF(AX234&lt;0,"       NM",(BB234/AX234-1)*100)</f>
        <v>33.333333333333329</v>
      </c>
      <c r="BD234" s="487"/>
      <c r="BE234" s="487"/>
      <c r="BF234" s="867">
        <f>SUM(BF230:BF233)</f>
        <v>0.14000000000000001</v>
      </c>
      <c r="BG234" s="783">
        <f>IF(BB234&lt;0,"       NM",(BF234/BB234-1)*100)</f>
        <v>16.666666666666675</v>
      </c>
      <c r="BH234" s="487"/>
      <c r="BI234" s="487"/>
      <c r="BJ234" s="867">
        <f>SUM(BJ230:BJ233)</f>
        <v>0.18</v>
      </c>
      <c r="BK234" s="783">
        <f>IF(BF234&lt;0,"       NM",(BJ234/BF234-1)*100)</f>
        <v>28.571428571428559</v>
      </c>
      <c r="BL234" s="487"/>
      <c r="BM234" s="487"/>
      <c r="BN234" s="867">
        <f>SUM(BN230:BN233)</f>
        <v>0.12</v>
      </c>
      <c r="BO234" s="783">
        <f>IF(BJ234&lt;0,"       NM",(BN234/BJ234-1)*100)</f>
        <v>-33.333333333333336</v>
      </c>
      <c r="BP234" s="487"/>
      <c r="BQ234" s="487"/>
      <c r="BR234" s="867">
        <f>SUM(BR230:BR233)</f>
        <v>0.14000000000000001</v>
      </c>
      <c r="BS234" s="783">
        <f>IF(BN234&lt;0,"       NM",(BR234/BN234-1)*100)</f>
        <v>16.666666666666675</v>
      </c>
      <c r="BT234" s="487"/>
      <c r="BU234" s="487"/>
      <c r="BV234" s="867">
        <f>SUM(BV230:BV233)</f>
        <v>0.18</v>
      </c>
      <c r="BW234" s="783">
        <f>IF(BR234&lt;0,"       NM",(BV234/BR234-1)*100)</f>
        <v>28.571428571428559</v>
      </c>
      <c r="BX234" s="487"/>
      <c r="BY234" s="487"/>
      <c r="BZ234" s="867">
        <f>SUM(BZ230:BZ233)</f>
        <v>0.21</v>
      </c>
      <c r="CA234" s="783">
        <f>IF(BV234&lt;0,"       NM",(BZ234/BV234-1)*100)</f>
        <v>16.666666666666675</v>
      </c>
      <c r="CB234" s="487"/>
      <c r="CC234" s="487"/>
      <c r="CD234" s="867">
        <f>SUM(CD230:CD233)</f>
        <v>0.24</v>
      </c>
      <c r="CE234" s="783">
        <f>IF(BZ234&lt;0,"       NM",(CD234/BZ234-1)*100)</f>
        <v>14.285714285714279</v>
      </c>
      <c r="CF234" s="487"/>
      <c r="CG234" s="487"/>
      <c r="CH234" s="867">
        <f>SUM(CH230:CH233)</f>
        <v>0.3</v>
      </c>
      <c r="CI234" s="783">
        <f>IF(CD234&lt;0,"       NM",(CH234/CD234-1)*100)</f>
        <v>25</v>
      </c>
      <c r="CJ234" s="487"/>
      <c r="CK234" s="487"/>
      <c r="CL234" s="867">
        <f>SUM(CL230:CL233)</f>
        <v>0.38</v>
      </c>
      <c r="CM234" s="783">
        <f>IF(CH234&lt;0,"       NM",(CL234/CH234-1)*100)</f>
        <v>26.666666666666682</v>
      </c>
      <c r="CN234" s="487"/>
      <c r="CO234" s="487"/>
      <c r="CP234" s="867">
        <f>SUM(CP230:CP233)</f>
        <v>0.46</v>
      </c>
      <c r="CQ234" s="783">
        <f>IF(CL234&lt;0,"       NM",(CP234/CL234-1)*100)</f>
        <v>21.052631578947366</v>
      </c>
      <c r="CR234" s="487"/>
      <c r="CS234" s="487"/>
      <c r="CT234" s="867">
        <f>SUM(CT230:CT233)</f>
        <v>0.57999999999999996</v>
      </c>
      <c r="CU234" s="783">
        <f>IF(CP234&lt;0,"       NM",(CT234/CP234-1)*100)</f>
        <v>26.086956521739111</v>
      </c>
      <c r="CV234" s="487"/>
      <c r="CW234" s="794"/>
      <c r="CX234" s="867">
        <f>SUM(CX230:CX233)</f>
        <v>0.7</v>
      </c>
      <c r="CY234" s="783">
        <f>IF(CT234&lt;0,"       NM",(CX234/CT234-1)*100)</f>
        <v>20.68965517241379</v>
      </c>
      <c r="CZ234" s="487"/>
      <c r="DA234" s="794"/>
      <c r="DB234" s="867">
        <f>SUM(DB230:DB233)</f>
        <v>0.84</v>
      </c>
      <c r="DC234" s="783">
        <f>IF(CX234&lt;0,"       NM",(DB234/CX234-1)*100)</f>
        <v>19.999999999999996</v>
      </c>
      <c r="DD234" s="487"/>
      <c r="DE234" s="794"/>
      <c r="DF234" s="867">
        <f>SUM(DF230:DF233)</f>
        <v>1.04</v>
      </c>
      <c r="DG234" s="783">
        <f>IF(DB234&lt;0,"       NM",(DF234/DB234-1)*100)</f>
        <v>23.809523809523814</v>
      </c>
      <c r="DH234" s="487"/>
      <c r="DI234" s="794"/>
      <c r="DJ234" s="867">
        <f>SUM(DJ230:DJ233)</f>
        <v>1.25</v>
      </c>
      <c r="DK234" s="783">
        <f>IF(DF234&lt;0,"       NM",(DJ234/DF234-1)*100)</f>
        <v>20.192307692307686</v>
      </c>
      <c r="DL234" s="487"/>
      <c r="DM234" s="794"/>
      <c r="DN234" s="867">
        <f>SUM(DN230:DN233)</f>
        <v>1.56</v>
      </c>
      <c r="DO234" s="783">
        <f>IF(DJ234&lt;0,"       NM",(DN234/DJ234-1)*100)</f>
        <v>24.8</v>
      </c>
      <c r="DP234" s="487"/>
      <c r="DQ234" s="794"/>
      <c r="DR234" s="794"/>
      <c r="DS234" s="978">
        <f>SUM(DS230:DS233)</f>
        <v>0.18</v>
      </c>
      <c r="DT234" s="794"/>
      <c r="DU234" s="794"/>
      <c r="DV234" s="794"/>
      <c r="DW234" s="794"/>
      <c r="DX234" s="794"/>
      <c r="DY234" s="794"/>
      <c r="DZ234" s="794"/>
      <c r="EA234" s="794"/>
      <c r="EB234" s="794"/>
    </row>
    <row r="235" spans="1:132" outlineLevel="1">
      <c r="A235" s="487" t="str">
        <f>$A$15</f>
        <v>6 Mos</v>
      </c>
      <c r="B235" s="487"/>
      <c r="C235" s="487"/>
      <c r="D235" s="792"/>
      <c r="E235" s="487"/>
      <c r="F235" s="792">
        <f>SUM(F230:F231)</f>
        <v>2.8750000000000001E-2</v>
      </c>
      <c r="G235" s="783"/>
      <c r="H235" s="487"/>
      <c r="I235" s="487"/>
      <c r="J235" s="792">
        <f>SUM(J230:J231)</f>
        <v>2.8750000000000001E-2</v>
      </c>
      <c r="K235" s="783"/>
      <c r="L235" s="487"/>
      <c r="M235" s="487"/>
      <c r="N235" s="792">
        <f>SUM(N230:N231)</f>
        <v>2.8750000000000001E-2</v>
      </c>
      <c r="O235" s="783">
        <f>IF(J235&lt;0,"       NM",(N235/J235-1)*100)</f>
        <v>0</v>
      </c>
      <c r="P235" s="487"/>
      <c r="Q235" s="487"/>
      <c r="R235" s="792">
        <f>SUM(R230:R231)</f>
        <v>3.125E-2</v>
      </c>
      <c r="S235" s="783">
        <f>IF(N235&lt;0,"       NM",(R235/N235-1)*100)</f>
        <v>8.6956521739130377</v>
      </c>
      <c r="T235" s="487"/>
      <c r="U235" s="487"/>
      <c r="V235" s="792">
        <f>SUM(V230:V231)</f>
        <v>3.5000000000000003E-2</v>
      </c>
      <c r="W235" s="783">
        <f>IF(R235&lt;0,"       NM",(V235/R235-1)*100)</f>
        <v>12.000000000000011</v>
      </c>
      <c r="X235" s="487"/>
      <c r="Y235" s="487"/>
      <c r="Z235" s="792">
        <f>SUM(Z230:Z231)</f>
        <v>3.0624999999999999E-2</v>
      </c>
      <c r="AA235" s="783">
        <f>IF(V235&lt;0,"       NM",(Z235/V235-1)*100)</f>
        <v>-12.500000000000011</v>
      </c>
      <c r="AB235" s="487"/>
      <c r="AC235" s="487"/>
      <c r="AD235" s="792">
        <f>SUM(AD230:AD231)</f>
        <v>1.7500000000000002E-2</v>
      </c>
      <c r="AE235" s="783">
        <f>IF(Z235&lt;0,"       NM",(AD235/Z235-1)*100)</f>
        <v>-42.857142857142847</v>
      </c>
      <c r="AF235" s="487"/>
      <c r="AG235" s="487"/>
      <c r="AH235" s="792">
        <f>SUM(AH230:AH231)</f>
        <v>2.5000000000000001E-2</v>
      </c>
      <c r="AI235" s="783">
        <f>IF(AD235&lt;0,"       NM",(AH235/AD235-1)*100)</f>
        <v>42.857142857142861</v>
      </c>
      <c r="AJ235" s="487"/>
      <c r="AK235" s="487"/>
      <c r="AL235" s="792">
        <f>SUM(AL230:AL231)</f>
        <v>0.03</v>
      </c>
      <c r="AM235" s="783">
        <f>IF(AH235&lt;0,"       NM",(AL235/AH235-1)*100)</f>
        <v>19.999999999999996</v>
      </c>
      <c r="AN235" s="487"/>
      <c r="AO235" s="487"/>
      <c r="AP235" s="792">
        <f>SUM(AP230:AP231)</f>
        <v>3.5000000000000003E-2</v>
      </c>
      <c r="AQ235" s="783">
        <f t="shared" si="472"/>
        <v>16.666666666666675</v>
      </c>
      <c r="AR235" s="487"/>
      <c r="AS235" s="487"/>
      <c r="AT235" s="792">
        <f>SUM(AT230:AT231)</f>
        <v>0.04</v>
      </c>
      <c r="AU235" s="783">
        <f>IF(AP235&lt;0,"       NM",(AT235/AP235-1)*100)</f>
        <v>14.285714285714279</v>
      </c>
      <c r="AV235" s="487"/>
      <c r="AW235" s="487"/>
      <c r="AX235" s="792">
        <f>SUM(AX230:AX231)</f>
        <v>4.4999999999999998E-2</v>
      </c>
      <c r="AY235" s="783">
        <f>IF(AT235&lt;0,"       NM",(AX235/AT235-1)*100)</f>
        <v>12.5</v>
      </c>
      <c r="AZ235" s="487"/>
      <c r="BA235" s="487"/>
      <c r="BB235" s="792">
        <f>SUM(BB230:BB231)</f>
        <v>0.06</v>
      </c>
      <c r="BC235" s="783">
        <f>IF(AX235&lt;0,"       NM",(BB235/AX235-1)*100)</f>
        <v>33.333333333333329</v>
      </c>
      <c r="BD235" s="487"/>
      <c r="BE235" s="487"/>
      <c r="BF235" s="792">
        <f>SUM(BF230:BF231)</f>
        <v>7.0000000000000007E-2</v>
      </c>
      <c r="BG235" s="783">
        <f>IF(BB235&lt;0,"       NM",(BF235/BB235-1)*100)</f>
        <v>16.666666666666675</v>
      </c>
      <c r="BH235" s="487"/>
      <c r="BI235" s="487"/>
      <c r="BJ235" s="792">
        <f>SUM(BJ230:BJ231)</f>
        <v>0.09</v>
      </c>
      <c r="BK235" s="783">
        <f>IF(BF235&lt;0,"       NM",(BJ235/BF235-1)*100)</f>
        <v>28.571428571428559</v>
      </c>
      <c r="BL235" s="487"/>
      <c r="BM235" s="487"/>
      <c r="BN235" s="792">
        <f>SUM(BN230:BN231)</f>
        <v>0.06</v>
      </c>
      <c r="BO235" s="783">
        <f>IF(BJ235&lt;0,"       NM",(BN235/BJ235-1)*100)</f>
        <v>-33.333333333333336</v>
      </c>
      <c r="BP235" s="487"/>
      <c r="BQ235" s="487"/>
      <c r="BR235" s="792">
        <f>SUM(BR230:BR231)</f>
        <v>7.0000000000000007E-2</v>
      </c>
      <c r="BS235" s="783">
        <f>IF(BN235&lt;0,"       NM",(BR235/BN235-1)*100)</f>
        <v>16.666666666666675</v>
      </c>
      <c r="BT235" s="487"/>
      <c r="BU235" s="487"/>
      <c r="BV235" s="792">
        <f>SUM(BV230:BV231)</f>
        <v>0.09</v>
      </c>
      <c r="BW235" s="783">
        <f>IF(BR235&lt;0,"       NM",(BV235/BR235-1)*100)</f>
        <v>28.571428571428559</v>
      </c>
      <c r="BX235" s="487"/>
      <c r="BY235" s="487"/>
      <c r="BZ235" s="792">
        <f>SUM(BZ230:BZ231)</f>
        <v>0.1</v>
      </c>
      <c r="CA235" s="783">
        <f>IF(BV235&lt;0,"       NM",(BZ235/BV235-1)*100)</f>
        <v>11.111111111111116</v>
      </c>
      <c r="CB235" s="487"/>
      <c r="CC235" s="487"/>
      <c r="CD235" s="792">
        <f>SUM(CD230:CD231)</f>
        <v>0.12</v>
      </c>
      <c r="CE235" s="783">
        <f>IF(BZ235&lt;0,"       NM",(CD235/BZ235-1)*100)</f>
        <v>19.999999999999996</v>
      </c>
      <c r="CF235" s="487"/>
      <c r="CG235" s="487"/>
      <c r="CH235" s="792">
        <f>SUM(CH230:CH231)</f>
        <v>0.15</v>
      </c>
      <c r="CI235" s="783">
        <f>IF(CD235&lt;0,"       NM",(CH235/CD235-1)*100)</f>
        <v>25</v>
      </c>
      <c r="CJ235" s="487"/>
      <c r="CK235" s="487"/>
      <c r="CL235" s="792">
        <f>SUM(CL230:CL231)</f>
        <v>0.19</v>
      </c>
      <c r="CM235" s="783">
        <f>IF(CH235&lt;0,"       NM",(CL235/CH235-1)*100)</f>
        <v>26.666666666666682</v>
      </c>
      <c r="CN235" s="487"/>
      <c r="CO235" s="487"/>
      <c r="CP235" s="792">
        <f>SUM(CP230:CP231)</f>
        <v>0.23</v>
      </c>
      <c r="CQ235" s="783">
        <f>IF(CL235&lt;0,"       NM",(CP235/CL235-1)*100)</f>
        <v>21.052631578947366</v>
      </c>
      <c r="CR235" s="487"/>
      <c r="CS235" s="487"/>
      <c r="CT235" s="792">
        <f>SUM(CT230:CT231)</f>
        <v>0.28999999999999998</v>
      </c>
      <c r="CU235" s="783">
        <f>IF(CP235&lt;0,"       NM",(CT235/CP235-1)*100)</f>
        <v>26.086956521739111</v>
      </c>
      <c r="CV235" s="487"/>
      <c r="CW235" s="794"/>
      <c r="CX235" s="792">
        <f>SUM(CX230:CX231)</f>
        <v>0.35</v>
      </c>
      <c r="CY235" s="783">
        <f>IF(CT235&lt;0,"       NM",(CX235/CT235-1)*100)</f>
        <v>20.68965517241379</v>
      </c>
      <c r="CZ235" s="487"/>
      <c r="DA235" s="794"/>
      <c r="DB235" s="792">
        <f>SUM(DB230:DB231)</f>
        <v>0.42</v>
      </c>
      <c r="DC235" s="783">
        <f>IF(CX235&lt;0,"       NM",(DB235/CX235-1)*100)</f>
        <v>19.999999999999996</v>
      </c>
      <c r="DD235" s="487"/>
      <c r="DE235" s="794"/>
      <c r="DF235" s="792">
        <f>SUM(DF230:DF231)</f>
        <v>0.52</v>
      </c>
      <c r="DG235" s="783">
        <f>IF(DB235&lt;0,"       NM",(DF235/DB235-1)*100)</f>
        <v>23.809523809523814</v>
      </c>
      <c r="DH235" s="487"/>
      <c r="DI235" s="794"/>
      <c r="DJ235" s="792">
        <f>SUM(DJ230:DJ231)</f>
        <v>0.625</v>
      </c>
      <c r="DK235" s="783">
        <f>IF(DF235&lt;0,"       NM",(DJ235/DF235-1)*100)</f>
        <v>20.192307692307686</v>
      </c>
      <c r="DL235" s="487"/>
      <c r="DM235" s="794"/>
      <c r="DN235" s="792">
        <f>SUM(DN230:DN231)</f>
        <v>0.78</v>
      </c>
      <c r="DO235" s="783">
        <f>IF(DJ235&lt;0,"       NM",(DN235/DJ235-1)*100)</f>
        <v>24.8</v>
      </c>
      <c r="DP235" s="487"/>
      <c r="DQ235" s="794"/>
      <c r="DR235" s="794"/>
      <c r="DS235" s="794"/>
      <c r="DT235" s="794"/>
      <c r="DU235" s="794"/>
      <c r="DV235" s="794"/>
      <c r="DW235" s="794"/>
      <c r="DX235" s="794"/>
      <c r="DY235" s="794"/>
      <c r="DZ235" s="794"/>
      <c r="EA235" s="794"/>
      <c r="EB235" s="794"/>
    </row>
    <row r="236" spans="1:132" outlineLevel="1">
      <c r="A236" s="487" t="str">
        <f>$A$16</f>
        <v>9 Mos</v>
      </c>
      <c r="B236" s="487"/>
      <c r="C236" s="487"/>
      <c r="D236" s="792"/>
      <c r="E236" s="487"/>
      <c r="F236" s="792">
        <f>SUM(F230:F232)</f>
        <v>4.3125000000000004E-2</v>
      </c>
      <c r="G236" s="783"/>
      <c r="H236" s="487"/>
      <c r="I236" s="487"/>
      <c r="J236" s="792">
        <f>SUM(J230:J232)</f>
        <v>4.3125000000000004E-2</v>
      </c>
      <c r="K236" s="783"/>
      <c r="L236" s="487"/>
      <c r="M236" s="487"/>
      <c r="N236" s="792">
        <f>SUM(N230:N232)</f>
        <v>4.3125000000000004E-2</v>
      </c>
      <c r="O236" s="783">
        <f>IF(J236&lt;0,"       NM",(N236/J236-1)*100)</f>
        <v>0</v>
      </c>
      <c r="P236" s="487"/>
      <c r="Q236" s="487"/>
      <c r="R236" s="792">
        <f>SUM(R230:R232)</f>
        <v>4.6875E-2</v>
      </c>
      <c r="S236" s="783">
        <f>IF(N236&lt;0,"       NM",(R236/N236-1)*100)</f>
        <v>8.6956521739130377</v>
      </c>
      <c r="T236" s="487"/>
      <c r="U236" s="487"/>
      <c r="V236" s="792">
        <f>SUM(V230:V232)</f>
        <v>5.2500000000000005E-2</v>
      </c>
      <c r="W236" s="783">
        <f>IF(R236&lt;0,"       NM",(V236/R236-1)*100)</f>
        <v>12.000000000000011</v>
      </c>
      <c r="X236" s="487"/>
      <c r="Y236" s="487"/>
      <c r="Z236" s="792">
        <f>SUM(Z230:Z232)</f>
        <v>4.5937499999999999E-2</v>
      </c>
      <c r="AA236" s="783">
        <f>IF(V236&lt;0,"       NM",(Z236/V236-1)*100)</f>
        <v>-12.500000000000011</v>
      </c>
      <c r="AB236" s="487"/>
      <c r="AC236" s="487"/>
      <c r="AD236" s="792">
        <f>SUM(AD230:AD232)</f>
        <v>2.6250000000000002E-2</v>
      </c>
      <c r="AE236" s="783">
        <f>IF(Z236&lt;0,"       NM",(AD236/Z236-1)*100)</f>
        <v>-42.857142857142847</v>
      </c>
      <c r="AF236" s="487"/>
      <c r="AG236" s="487"/>
      <c r="AH236" s="792">
        <f>SUM(AH230:AH232)</f>
        <v>3.7500000000000006E-2</v>
      </c>
      <c r="AI236" s="783">
        <f>IF(AD236&lt;0,"       NM",(AH236/AD236-1)*100)</f>
        <v>42.857142857142861</v>
      </c>
      <c r="AJ236" s="487"/>
      <c r="AK236" s="487"/>
      <c r="AL236" s="792">
        <f>SUM(AL230:AL232)</f>
        <v>4.4999999999999998E-2</v>
      </c>
      <c r="AM236" s="783">
        <f>IF(AH236&lt;0,"       NM",(AL236/AH236-1)*100)</f>
        <v>19.999999999999972</v>
      </c>
      <c r="AN236" s="487"/>
      <c r="AO236" s="487"/>
      <c r="AP236" s="792">
        <f>SUM(AP230:AP232)</f>
        <v>5.2500000000000005E-2</v>
      </c>
      <c r="AQ236" s="783">
        <f t="shared" si="472"/>
        <v>16.666666666666675</v>
      </c>
      <c r="AR236" s="487"/>
      <c r="AS236" s="487"/>
      <c r="AT236" s="792">
        <f>SUM(AT230:AT232)</f>
        <v>0.06</v>
      </c>
      <c r="AU236" s="783">
        <f>IF(AP236&lt;0,"       NM",(AT236/AP236-1)*100)</f>
        <v>14.285714285714279</v>
      </c>
      <c r="AV236" s="487"/>
      <c r="AW236" s="487"/>
      <c r="AX236" s="792">
        <f>SUM(AX230:AX232)</f>
        <v>6.7500000000000004E-2</v>
      </c>
      <c r="AY236" s="783">
        <f>IF(AT236&lt;0,"       NM",(AX236/AT236-1)*100)</f>
        <v>12.500000000000021</v>
      </c>
      <c r="AZ236" s="487"/>
      <c r="BA236" s="487"/>
      <c r="BB236" s="792">
        <f>SUM(BB230:BB232)</f>
        <v>0.09</v>
      </c>
      <c r="BC236" s="783">
        <f>IF(AX236&lt;0,"       NM",(BB236/AX236-1)*100)</f>
        <v>33.333333333333329</v>
      </c>
      <c r="BD236" s="487"/>
      <c r="BE236" s="487"/>
      <c r="BF236" s="792">
        <f>SUM(BF230:BF232)</f>
        <v>0.10500000000000001</v>
      </c>
      <c r="BG236" s="783">
        <f>IF(BB236&lt;0,"       NM",(BF236/BB236-1)*100)</f>
        <v>16.666666666666675</v>
      </c>
      <c r="BH236" s="487"/>
      <c r="BI236" s="487"/>
      <c r="BJ236" s="792">
        <f>SUM(BJ230:BJ232)</f>
        <v>0.13500000000000001</v>
      </c>
      <c r="BK236" s="783">
        <f>IF(BF236&lt;0,"       NM",(BJ236/BF236-1)*100)</f>
        <v>28.571428571428559</v>
      </c>
      <c r="BL236" s="487"/>
      <c r="BM236" s="487"/>
      <c r="BN236" s="792">
        <f>SUM(BN230:BN232)</f>
        <v>0.09</v>
      </c>
      <c r="BO236" s="783">
        <f>IF(BJ236&lt;0,"       NM",(BN236/BJ236-1)*100)</f>
        <v>-33.333333333333336</v>
      </c>
      <c r="BP236" s="487"/>
      <c r="BQ236" s="487"/>
      <c r="BR236" s="792">
        <f>SUM(BR230:BR232)</f>
        <v>0.10500000000000001</v>
      </c>
      <c r="BS236" s="783">
        <f>IF(BN236&lt;0,"       NM",(BR236/BN236-1)*100)</f>
        <v>16.666666666666675</v>
      </c>
      <c r="BT236" s="487"/>
      <c r="BU236" s="487"/>
      <c r="BV236" s="792">
        <f>SUM(BV230:BV232)</f>
        <v>0.13500000000000001</v>
      </c>
      <c r="BW236" s="783">
        <f>IF(BR236&lt;0,"       NM",(BV236/BR236-1)*100)</f>
        <v>28.571428571428559</v>
      </c>
      <c r="BX236" s="487"/>
      <c r="BY236" s="487"/>
      <c r="BZ236" s="792">
        <f>SUM(BZ230:BZ232)</f>
        <v>0.155</v>
      </c>
      <c r="CA236" s="783">
        <f>IF(BV236&lt;0,"       NM",(BZ236/BV236-1)*100)</f>
        <v>14.814814814814813</v>
      </c>
      <c r="CB236" s="487"/>
      <c r="CC236" s="487"/>
      <c r="CD236" s="792">
        <f>SUM(CD230:CD232)</f>
        <v>0.18</v>
      </c>
      <c r="CE236" s="783">
        <f>IF(BZ236&lt;0,"       NM",(CD236/BZ236-1)*100)</f>
        <v>16.129032258064502</v>
      </c>
      <c r="CF236" s="487"/>
      <c r="CG236" s="487"/>
      <c r="CH236" s="792">
        <f>SUM(CH230:CH232)</f>
        <v>0.22499999999999998</v>
      </c>
      <c r="CI236" s="783">
        <f>IF(CD236&lt;0,"       NM",(CH236/CD236-1)*100)</f>
        <v>25</v>
      </c>
      <c r="CJ236" s="487"/>
      <c r="CK236" s="487"/>
      <c r="CL236" s="792">
        <f>SUM(CL230:CL232)</f>
        <v>0.28500000000000003</v>
      </c>
      <c r="CM236" s="783">
        <f>IF(CH236&lt;0,"       NM",(CL236/CH236-1)*100)</f>
        <v>26.666666666666682</v>
      </c>
      <c r="CN236" s="487"/>
      <c r="CO236" s="487"/>
      <c r="CP236" s="792">
        <f>SUM(CP230:CP232)</f>
        <v>0.34500000000000003</v>
      </c>
      <c r="CQ236" s="783">
        <f>IF(CL236&lt;0,"       NM",(CP236/CL236-1)*100)</f>
        <v>21.052631578947366</v>
      </c>
      <c r="CR236" s="487"/>
      <c r="CS236" s="487"/>
      <c r="CT236" s="792">
        <f>SUM(CT230:CT232)</f>
        <v>0.43499999999999994</v>
      </c>
      <c r="CU236" s="783">
        <f>IF(CP236&lt;0,"       NM",(CT236/CP236-1)*100)</f>
        <v>26.086956521739111</v>
      </c>
      <c r="CV236" s="487"/>
      <c r="CW236" s="794"/>
      <c r="CX236" s="792">
        <f>SUM(CX230:CX232)</f>
        <v>0.52499999999999991</v>
      </c>
      <c r="CY236" s="783">
        <f>IF(CT236&lt;0,"       NM",(CX236/CT236-1)*100)</f>
        <v>20.68965517241379</v>
      </c>
      <c r="CZ236" s="487"/>
      <c r="DA236" s="794"/>
      <c r="DB236" s="792">
        <f>SUM(DB230:DB232)</f>
        <v>0.63</v>
      </c>
      <c r="DC236" s="783">
        <f>IF(CX236&lt;0,"       NM",(DB236/CX236-1)*100)</f>
        <v>20.000000000000018</v>
      </c>
      <c r="DD236" s="487"/>
      <c r="DE236" s="794"/>
      <c r="DF236" s="792">
        <f>SUM(DF230:DF232)</f>
        <v>0.78</v>
      </c>
      <c r="DG236" s="783">
        <f>IF(DB236&lt;0,"       NM",(DF236/DB236-1)*100)</f>
        <v>23.809523809523814</v>
      </c>
      <c r="DH236" s="487"/>
      <c r="DI236" s="794"/>
      <c r="DJ236" s="792">
        <f>SUM(DJ230:DJ232)</f>
        <v>0.9375</v>
      </c>
      <c r="DK236" s="783">
        <f>IF(DF236&lt;0,"       NM",(DJ236/DF236-1)*100)</f>
        <v>20.192307692307686</v>
      </c>
      <c r="DL236" s="487"/>
      <c r="DM236" s="794"/>
      <c r="DN236" s="792">
        <f>SUM(DN230:DN232)</f>
        <v>1.17</v>
      </c>
      <c r="DO236" s="783">
        <f>IF(DJ236&lt;0,"       NM",(DN236/DJ236-1)*100)</f>
        <v>24.8</v>
      </c>
      <c r="DP236" s="487"/>
      <c r="DQ236" s="794"/>
      <c r="DR236" s="794"/>
      <c r="DS236" s="794"/>
      <c r="DT236" s="794"/>
      <c r="DU236" s="794"/>
      <c r="DV236" s="794"/>
      <c r="DW236" s="794"/>
      <c r="DX236" s="794"/>
      <c r="DY236" s="794"/>
      <c r="DZ236" s="794"/>
      <c r="EA236" s="794"/>
      <c r="EB236" s="794"/>
    </row>
    <row r="237" spans="1:132">
      <c r="A237" s="487"/>
      <c r="B237" s="487"/>
      <c r="C237" s="487"/>
      <c r="D237" s="487"/>
      <c r="E237" s="487"/>
      <c r="F237" s="487"/>
      <c r="G237" s="487"/>
      <c r="H237" s="487"/>
      <c r="I237" s="487"/>
      <c r="J237" s="487"/>
      <c r="K237" s="487"/>
      <c r="L237" s="487"/>
      <c r="M237" s="487"/>
      <c r="N237" s="487"/>
      <c r="O237" s="487"/>
      <c r="P237" s="487"/>
      <c r="Q237" s="487"/>
      <c r="R237" s="487"/>
      <c r="S237" s="487"/>
      <c r="T237" s="487"/>
      <c r="U237" s="487"/>
      <c r="V237" s="487"/>
      <c r="W237" s="487"/>
      <c r="X237" s="487"/>
      <c r="Y237" s="487"/>
      <c r="Z237" s="487"/>
      <c r="AA237" s="487"/>
      <c r="AB237" s="487"/>
      <c r="AC237" s="487"/>
      <c r="AD237" s="487"/>
      <c r="AE237" s="487"/>
      <c r="AF237" s="487"/>
      <c r="AG237" s="487"/>
      <c r="AH237" s="487"/>
      <c r="AI237" s="487"/>
      <c r="AJ237" s="487"/>
      <c r="AK237" s="487"/>
      <c r="AL237" s="487"/>
      <c r="AM237" s="487"/>
      <c r="AN237" s="487"/>
      <c r="AO237" s="487"/>
      <c r="AP237" s="487"/>
      <c r="AQ237" s="487"/>
      <c r="AR237" s="487"/>
      <c r="AS237" s="487"/>
      <c r="AT237" s="487"/>
      <c r="AU237" s="487"/>
      <c r="AV237" s="487"/>
      <c r="AW237" s="487"/>
      <c r="AX237" s="487"/>
      <c r="AY237" s="487"/>
      <c r="AZ237" s="487"/>
      <c r="BA237" s="487"/>
      <c r="BB237" s="487"/>
      <c r="BC237" s="487"/>
      <c r="BD237" s="487"/>
      <c r="BE237" s="487"/>
      <c r="BF237" s="487"/>
      <c r="BG237" s="487"/>
      <c r="BH237" s="487"/>
      <c r="BI237" s="487"/>
      <c r="BJ237" s="487"/>
      <c r="BK237" s="487"/>
      <c r="BL237" s="487"/>
      <c r="BM237" s="487"/>
      <c r="BN237" s="487"/>
      <c r="BO237" s="487"/>
      <c r="BP237" s="487"/>
      <c r="BQ237" s="487"/>
      <c r="BR237" s="487"/>
      <c r="BS237" s="487"/>
      <c r="BT237" s="487"/>
      <c r="BU237" s="487"/>
      <c r="BV237" s="487"/>
      <c r="BW237" s="487"/>
      <c r="BX237" s="487"/>
      <c r="BY237" s="487"/>
      <c r="BZ237" s="487"/>
      <c r="CA237" s="487"/>
      <c r="CB237" s="487"/>
      <c r="CC237" s="487"/>
      <c r="CD237" s="1061"/>
      <c r="CE237" s="487"/>
      <c r="CF237" s="487"/>
      <c r="CG237" s="487"/>
      <c r="CH237" s="1061"/>
      <c r="CI237" s="487"/>
      <c r="CJ237" s="487"/>
      <c r="CK237" s="487"/>
      <c r="CL237" s="1061"/>
      <c r="CM237" s="487"/>
      <c r="CN237" s="487"/>
      <c r="CO237" s="487"/>
      <c r="CP237" s="1061"/>
      <c r="CQ237" s="487"/>
      <c r="CR237" s="487"/>
      <c r="CS237" s="487"/>
      <c r="CT237" s="1061"/>
      <c r="CU237" s="487"/>
      <c r="CV237" s="487"/>
      <c r="CW237" s="794"/>
      <c r="CX237" s="1061"/>
      <c r="CY237" s="487"/>
      <c r="CZ237" s="487"/>
      <c r="DA237" s="794"/>
      <c r="DB237" s="1061"/>
      <c r="DC237" s="487"/>
      <c r="DD237" s="487"/>
      <c r="DE237" s="794"/>
      <c r="DF237" s="1061"/>
      <c r="DG237" s="487"/>
      <c r="DH237" s="487"/>
      <c r="DI237" s="794"/>
      <c r="DJ237" s="1061"/>
      <c r="DK237" s="487"/>
      <c r="DL237" s="487"/>
      <c r="DM237" s="794"/>
      <c r="DN237" s="1061"/>
      <c r="DO237" s="487"/>
      <c r="DP237" s="487"/>
      <c r="DQ237" s="794"/>
      <c r="DR237" s="794"/>
      <c r="DS237" s="794"/>
      <c r="DT237" s="794"/>
      <c r="DU237" s="794"/>
      <c r="DV237" s="794"/>
      <c r="DW237" s="794"/>
      <c r="DX237" s="794"/>
      <c r="DY237" s="794"/>
      <c r="DZ237" s="794"/>
      <c r="EA237" s="794"/>
      <c r="EB237" s="794"/>
    </row>
    <row r="238" spans="1:132" hidden="1" outlineLevel="1">
      <c r="A238" s="487"/>
      <c r="B238" s="487"/>
      <c r="C238" s="487"/>
      <c r="D238" s="487"/>
      <c r="E238" s="487"/>
      <c r="F238" s="487"/>
      <c r="G238" s="487"/>
      <c r="H238" s="487"/>
      <c r="I238" s="487"/>
      <c r="J238" s="487"/>
      <c r="K238" s="487"/>
      <c r="L238" s="487"/>
      <c r="M238" s="487"/>
      <c r="N238" s="487"/>
      <c r="O238" s="487"/>
      <c r="P238" s="487"/>
      <c r="Q238" s="487"/>
      <c r="R238" s="487"/>
      <c r="S238" s="487"/>
      <c r="T238" s="487"/>
      <c r="U238" s="487"/>
      <c r="V238" s="487"/>
      <c r="W238" s="487"/>
      <c r="X238" s="487"/>
      <c r="Y238" s="487"/>
      <c r="Z238" s="487"/>
      <c r="AA238" s="487"/>
      <c r="AB238" s="487"/>
      <c r="AC238" s="487"/>
      <c r="AD238" s="487"/>
      <c r="AE238" s="487"/>
      <c r="AF238" s="487"/>
      <c r="AG238" s="487"/>
      <c r="AH238" s="487"/>
      <c r="AI238" s="487"/>
      <c r="AJ238" s="487"/>
      <c r="AK238" s="487"/>
      <c r="AL238" s="487"/>
      <c r="AM238" s="487"/>
      <c r="AN238" s="487"/>
      <c r="AO238" s="487"/>
      <c r="AP238" s="487"/>
      <c r="AQ238" s="487"/>
      <c r="AR238" s="487"/>
      <c r="AS238" s="487"/>
      <c r="AT238" s="487"/>
      <c r="AU238" s="487"/>
      <c r="AV238" s="487"/>
      <c r="AW238" s="487"/>
      <c r="AX238" s="487"/>
      <c r="AY238" s="487"/>
      <c r="AZ238" s="487"/>
      <c r="BA238" s="487"/>
      <c r="BB238" s="487"/>
      <c r="BC238" s="487"/>
      <c r="BD238" s="487"/>
      <c r="BE238" s="487"/>
      <c r="BF238" s="487" t="s">
        <v>705</v>
      </c>
      <c r="BG238" s="487"/>
      <c r="BH238" s="487"/>
      <c r="BI238" s="487"/>
      <c r="BJ238" s="487" t="s">
        <v>705</v>
      </c>
      <c r="BK238" s="487"/>
      <c r="BL238" s="487"/>
      <c r="BM238" s="487"/>
      <c r="BN238" s="487" t="s">
        <v>705</v>
      </c>
      <c r="BO238" s="487"/>
      <c r="BP238" s="487"/>
      <c r="BQ238" s="487"/>
      <c r="BR238" s="487" t="s">
        <v>705</v>
      </c>
      <c r="BS238" s="487"/>
      <c r="BT238" s="487"/>
      <c r="BU238" s="487"/>
      <c r="BV238" s="487" t="s">
        <v>705</v>
      </c>
      <c r="BW238" s="487"/>
      <c r="BX238" s="487"/>
      <c r="BY238" s="487"/>
      <c r="BZ238" s="487" t="s">
        <v>705</v>
      </c>
      <c r="CA238" s="487"/>
      <c r="CB238" s="487"/>
      <c r="CC238" s="487"/>
      <c r="CD238" s="487" t="s">
        <v>705</v>
      </c>
      <c r="CE238" s="487"/>
      <c r="CF238" s="487"/>
      <c r="CG238" s="487"/>
      <c r="CH238" s="487"/>
      <c r="CI238" s="487"/>
      <c r="CJ238" s="487"/>
      <c r="CK238" s="487"/>
      <c r="CL238" s="487"/>
      <c r="CM238" s="487"/>
      <c r="CN238" s="487"/>
      <c r="CO238" s="487"/>
      <c r="CP238" s="487"/>
      <c r="CQ238" s="487"/>
      <c r="CR238" s="487"/>
      <c r="CS238" s="487"/>
      <c r="CT238" s="487"/>
      <c r="CU238" s="487"/>
      <c r="CV238" s="487"/>
      <c r="CW238" s="794"/>
      <c r="CX238" s="487"/>
      <c r="CY238" s="487"/>
      <c r="CZ238" s="487"/>
      <c r="DA238" s="794"/>
      <c r="DB238" s="487"/>
      <c r="DC238" s="487"/>
      <c r="DD238" s="487"/>
      <c r="DE238" s="794"/>
      <c r="DF238" s="487"/>
      <c r="DG238" s="487"/>
      <c r="DH238" s="487"/>
      <c r="DI238" s="794"/>
      <c r="DJ238" s="487"/>
      <c r="DK238" s="487"/>
      <c r="DL238" s="487"/>
      <c r="DM238" s="794"/>
      <c r="DN238" s="487"/>
      <c r="DO238" s="487"/>
      <c r="DP238" s="487"/>
      <c r="DQ238" s="794"/>
      <c r="DR238" s="794"/>
      <c r="DS238" s="794"/>
      <c r="DT238" s="794"/>
      <c r="DU238" s="794"/>
      <c r="DV238" s="794"/>
      <c r="DW238" s="794"/>
      <c r="DX238" s="794"/>
      <c r="DY238" s="794"/>
      <c r="DZ238" s="794"/>
      <c r="EA238" s="794"/>
      <c r="EB238" s="794"/>
    </row>
    <row r="239" spans="1:132" hidden="1" outlineLevel="1">
      <c r="A239" s="487"/>
      <c r="B239" s="487"/>
      <c r="C239" s="487"/>
      <c r="D239" s="487"/>
      <c r="E239" s="487"/>
      <c r="F239" s="487"/>
      <c r="G239" s="487"/>
      <c r="H239" s="487"/>
      <c r="I239" s="487"/>
      <c r="J239" s="487"/>
      <c r="K239" s="487"/>
      <c r="L239" s="487"/>
      <c r="M239" s="487"/>
      <c r="N239" s="487"/>
      <c r="O239" s="487"/>
      <c r="P239" s="487"/>
      <c r="Q239" s="487"/>
      <c r="R239" s="487"/>
      <c r="S239" s="487"/>
      <c r="T239" s="487"/>
      <c r="U239" s="487"/>
      <c r="V239" s="487"/>
      <c r="W239" s="487"/>
      <c r="X239" s="487"/>
      <c r="Y239" s="487"/>
      <c r="Z239" s="487"/>
      <c r="AA239" s="487"/>
      <c r="AB239" s="487"/>
      <c r="AC239" s="487"/>
      <c r="AD239" s="487"/>
      <c r="AE239" s="487"/>
      <c r="AF239" s="487"/>
      <c r="AG239" s="487"/>
      <c r="AH239" s="487"/>
      <c r="AI239" s="487"/>
      <c r="AJ239" s="487"/>
      <c r="AK239" s="487"/>
      <c r="AL239" s="487"/>
      <c r="AM239" s="487"/>
      <c r="AN239" s="487"/>
      <c r="AO239" s="487"/>
      <c r="AP239" s="487"/>
      <c r="AQ239" s="487"/>
      <c r="AR239" s="487"/>
      <c r="AS239" s="487"/>
      <c r="AT239" s="487"/>
      <c r="AU239" s="487"/>
      <c r="AV239" s="487"/>
      <c r="AW239" s="487"/>
      <c r="AX239" s="487"/>
      <c r="AY239" s="487"/>
      <c r="AZ239" s="487"/>
      <c r="BA239" s="487"/>
      <c r="BB239" s="487"/>
      <c r="BC239" s="487"/>
      <c r="BD239" s="487"/>
      <c r="BE239" s="686" t="s">
        <v>706</v>
      </c>
      <c r="BF239" s="1062">
        <v>1.1359999999999999</v>
      </c>
      <c r="BG239" s="487"/>
      <c r="BH239" s="487"/>
      <c r="BI239" s="487"/>
      <c r="BJ239" s="1062">
        <v>1.1359999999999999</v>
      </c>
      <c r="BK239" s="487"/>
      <c r="BL239" s="487"/>
      <c r="BM239" s="487"/>
      <c r="BN239" s="1063">
        <v>1.1259999999999999</v>
      </c>
      <c r="BO239" s="487"/>
      <c r="BP239" s="487"/>
      <c r="BQ239" s="487"/>
      <c r="BR239" s="1062">
        <v>1.1359999999999999</v>
      </c>
      <c r="BS239" s="487"/>
      <c r="BT239" s="487"/>
      <c r="BU239" s="487"/>
      <c r="BV239" s="1064">
        <f>2.346-BV240</f>
        <v>1.171</v>
      </c>
      <c r="BW239" s="487"/>
      <c r="BX239" s="487"/>
      <c r="BY239" s="487"/>
      <c r="BZ239" s="1062">
        <f>2.397-BZ240</f>
        <v>1.1949999999999998</v>
      </c>
      <c r="CA239" s="487"/>
      <c r="CB239" s="487"/>
      <c r="CC239" s="487"/>
      <c r="CD239" s="1062">
        <v>1</v>
      </c>
      <c r="CE239" s="487"/>
      <c r="CF239" s="487"/>
      <c r="CG239" s="487"/>
      <c r="CH239" s="499"/>
      <c r="CI239" s="499"/>
      <c r="CJ239" s="487"/>
      <c r="CK239" s="487"/>
      <c r="CL239" s="499"/>
      <c r="CM239" s="499"/>
      <c r="CN239" s="487"/>
      <c r="CO239" s="487"/>
      <c r="CP239" s="499"/>
      <c r="CQ239" s="499"/>
      <c r="CR239" s="487"/>
      <c r="CS239" s="487"/>
      <c r="CT239" s="499"/>
      <c r="CU239" s="499"/>
      <c r="CV239" s="487"/>
      <c r="CW239" s="794"/>
      <c r="CX239" s="499"/>
      <c r="CY239" s="499"/>
      <c r="CZ239" s="487"/>
      <c r="DA239" s="794"/>
      <c r="DB239" s="499"/>
      <c r="DC239" s="499"/>
      <c r="DD239" s="487"/>
      <c r="DE239" s="794"/>
      <c r="DF239" s="499"/>
      <c r="DG239" s="499"/>
      <c r="DH239" s="487"/>
      <c r="DI239" s="794"/>
      <c r="DJ239" s="499"/>
      <c r="DK239" s="499"/>
      <c r="DL239" s="487"/>
      <c r="DM239" s="794"/>
      <c r="DN239" s="499"/>
      <c r="DO239" s="499"/>
      <c r="DP239" s="487"/>
      <c r="DQ239" s="794"/>
      <c r="DR239" s="794"/>
      <c r="DS239" s="794"/>
      <c r="DT239" s="794"/>
      <c r="DU239" s="794"/>
      <c r="DV239" s="794"/>
      <c r="DW239" s="794"/>
      <c r="DX239" s="794"/>
      <c r="DY239" s="794"/>
      <c r="DZ239" s="794"/>
      <c r="EA239" s="794"/>
      <c r="EB239" s="794"/>
    </row>
    <row r="240" spans="1:132" hidden="1" outlineLevel="1">
      <c r="A240" s="487"/>
      <c r="B240" s="487"/>
      <c r="C240" s="487"/>
      <c r="D240" s="487"/>
      <c r="E240" s="487"/>
      <c r="F240" s="487"/>
      <c r="G240" s="487"/>
      <c r="H240" s="487"/>
      <c r="I240" s="487"/>
      <c r="J240" s="487"/>
      <c r="K240" s="487"/>
      <c r="L240" s="487"/>
      <c r="M240" s="487"/>
      <c r="N240" s="487"/>
      <c r="O240" s="487"/>
      <c r="P240" s="487"/>
      <c r="Q240" s="487"/>
      <c r="R240" s="487"/>
      <c r="S240" s="487"/>
      <c r="T240" s="487"/>
      <c r="U240" s="487"/>
      <c r="V240" s="487"/>
      <c r="W240" s="487"/>
      <c r="X240" s="487"/>
      <c r="Y240" s="487"/>
      <c r="Z240" s="487"/>
      <c r="AA240" s="487"/>
      <c r="AB240" s="487"/>
      <c r="AC240" s="487"/>
      <c r="AD240" s="487"/>
      <c r="AE240" s="487"/>
      <c r="AF240" s="487"/>
      <c r="AG240" s="487"/>
      <c r="AH240" s="487"/>
      <c r="AI240" s="487"/>
      <c r="AJ240" s="487"/>
      <c r="AK240" s="487"/>
      <c r="AL240" s="487"/>
      <c r="AM240" s="487"/>
      <c r="AN240" s="487"/>
      <c r="AO240" s="487"/>
      <c r="AP240" s="487"/>
      <c r="AQ240" s="487"/>
      <c r="AR240" s="487"/>
      <c r="AS240" s="487"/>
      <c r="AT240" s="487"/>
      <c r="AU240" s="487"/>
      <c r="AV240" s="487"/>
      <c r="AW240" s="487"/>
      <c r="AX240" s="487"/>
      <c r="AY240" s="487"/>
      <c r="AZ240" s="487"/>
      <c r="BA240" s="487"/>
      <c r="BB240" s="487"/>
      <c r="BC240" s="487"/>
      <c r="BD240" s="487"/>
      <c r="BE240" s="487"/>
      <c r="BF240" s="1065">
        <v>1.1359999999999999</v>
      </c>
      <c r="BG240" s="487"/>
      <c r="BH240" s="487"/>
      <c r="BI240" s="487"/>
      <c r="BJ240" s="1065">
        <v>1.1359999999999999</v>
      </c>
      <c r="BK240" s="487"/>
      <c r="BL240" s="487"/>
      <c r="BM240" s="487"/>
      <c r="BN240" s="1065">
        <v>1.129</v>
      </c>
      <c r="BO240" s="487"/>
      <c r="BP240" s="487"/>
      <c r="BQ240" s="487"/>
      <c r="BR240" s="1065">
        <v>1.1519999999999999</v>
      </c>
      <c r="BS240" s="487"/>
      <c r="BT240" s="487"/>
      <c r="BU240" s="487"/>
      <c r="BV240" s="1066">
        <v>1.175</v>
      </c>
      <c r="BW240" s="487"/>
      <c r="BX240" s="487"/>
      <c r="BY240" s="487"/>
      <c r="BZ240" s="1065">
        <v>1.202</v>
      </c>
      <c r="CA240" s="487"/>
      <c r="CB240" s="487"/>
      <c r="CC240" s="487"/>
      <c r="CD240" s="1065"/>
      <c r="CE240" s="487"/>
      <c r="CF240" s="487"/>
      <c r="CG240" s="487"/>
      <c r="CH240" s="499"/>
      <c r="CI240" s="499"/>
      <c r="CJ240" s="487"/>
      <c r="CK240" s="487"/>
      <c r="CL240" s="499"/>
      <c r="CM240" s="499"/>
      <c r="CN240" s="487"/>
      <c r="CO240" s="487"/>
      <c r="CP240" s="499"/>
      <c r="CQ240" s="499"/>
      <c r="CR240" s="487"/>
      <c r="CS240" s="487"/>
      <c r="CT240" s="499"/>
      <c r="CU240" s="499"/>
      <c r="CV240" s="487"/>
      <c r="CW240" s="794"/>
      <c r="CX240" s="499"/>
      <c r="CY240" s="499"/>
      <c r="CZ240" s="487"/>
      <c r="DA240" s="794"/>
      <c r="DB240" s="499"/>
      <c r="DC240" s="499"/>
      <c r="DD240" s="487"/>
      <c r="DE240" s="794"/>
      <c r="DF240" s="499"/>
      <c r="DG240" s="499"/>
      <c r="DH240" s="487"/>
      <c r="DI240" s="794"/>
      <c r="DJ240" s="499"/>
      <c r="DK240" s="499"/>
      <c r="DL240" s="487"/>
      <c r="DM240" s="794"/>
      <c r="DN240" s="499"/>
      <c r="DO240" s="499"/>
      <c r="DP240" s="487"/>
      <c r="DQ240" s="794"/>
      <c r="DR240" s="794"/>
      <c r="DS240" s="794"/>
      <c r="DT240" s="794"/>
      <c r="DU240" s="794"/>
      <c r="DV240" s="794"/>
      <c r="DW240" s="794"/>
      <c r="DX240" s="794"/>
      <c r="DY240" s="794"/>
      <c r="DZ240" s="794"/>
      <c r="EA240" s="794"/>
      <c r="EB240" s="794"/>
    </row>
    <row r="241" spans="1:132" hidden="1" outlineLevel="1">
      <c r="A241" s="487"/>
      <c r="B241" s="487"/>
      <c r="C241" s="487"/>
      <c r="D241" s="487"/>
      <c r="E241" s="487"/>
      <c r="F241" s="487"/>
      <c r="G241" s="487"/>
      <c r="H241" s="487"/>
      <c r="I241" s="487"/>
      <c r="J241" s="487"/>
      <c r="K241" s="487"/>
      <c r="L241" s="487"/>
      <c r="M241" s="487"/>
      <c r="N241" s="487"/>
      <c r="O241" s="487"/>
      <c r="P241" s="487"/>
      <c r="Q241" s="487"/>
      <c r="R241" s="487"/>
      <c r="S241" s="487"/>
      <c r="T241" s="487"/>
      <c r="U241" s="487"/>
      <c r="V241" s="487"/>
      <c r="W241" s="487"/>
      <c r="X241" s="487"/>
      <c r="Y241" s="487"/>
      <c r="Z241" s="487"/>
      <c r="AA241" s="487"/>
      <c r="AB241" s="487"/>
      <c r="AC241" s="487"/>
      <c r="AD241" s="487"/>
      <c r="AE241" s="487"/>
      <c r="AF241" s="487"/>
      <c r="AG241" s="487"/>
      <c r="AH241" s="487"/>
      <c r="AI241" s="487"/>
      <c r="AJ241" s="487"/>
      <c r="AK241" s="487"/>
      <c r="AL241" s="487"/>
      <c r="AM241" s="487"/>
      <c r="AN241" s="487"/>
      <c r="AO241" s="487"/>
      <c r="AP241" s="487"/>
      <c r="AQ241" s="487"/>
      <c r="AR241" s="487"/>
      <c r="AS241" s="487"/>
      <c r="AT241" s="487"/>
      <c r="AU241" s="487"/>
      <c r="AV241" s="487"/>
      <c r="AW241" s="487"/>
      <c r="AX241" s="487"/>
      <c r="AY241" s="487"/>
      <c r="AZ241" s="487"/>
      <c r="BA241" s="487"/>
      <c r="BB241" s="487"/>
      <c r="BC241" s="487"/>
      <c r="BD241" s="487"/>
      <c r="BE241" s="487"/>
      <c r="BF241" s="1065">
        <v>1.1359999999999999</v>
      </c>
      <c r="BG241" s="487"/>
      <c r="BH241" s="487"/>
      <c r="BI241" s="487"/>
      <c r="BJ241" s="1065">
        <v>1.1359999999999999</v>
      </c>
      <c r="BK241" s="487"/>
      <c r="BL241" s="487"/>
      <c r="BM241" s="487"/>
      <c r="BN241" s="1065">
        <v>1.1359999999999999</v>
      </c>
      <c r="BO241" s="487"/>
      <c r="BP241" s="487"/>
      <c r="BQ241" s="487"/>
      <c r="BR241" s="1065">
        <v>1.159</v>
      </c>
      <c r="BS241" s="487"/>
      <c r="BT241" s="487"/>
      <c r="BU241" s="487"/>
      <c r="BV241" s="1066">
        <v>1.175</v>
      </c>
      <c r="BW241" s="487"/>
      <c r="BX241" s="487"/>
      <c r="BY241" s="487"/>
      <c r="BZ241" s="1065">
        <v>1.1359999999999999</v>
      </c>
      <c r="CA241" s="487"/>
      <c r="CB241" s="487"/>
      <c r="CC241" s="487"/>
      <c r="CD241" s="1065"/>
      <c r="CE241" s="487"/>
      <c r="CF241" s="487"/>
      <c r="CG241" s="487"/>
      <c r="CH241" s="499"/>
      <c r="CI241" s="499"/>
      <c r="CJ241" s="487"/>
      <c r="CK241" s="487"/>
      <c r="CL241" s="499"/>
      <c r="CM241" s="499"/>
      <c r="CN241" s="487"/>
      <c r="CO241" s="487"/>
      <c r="CP241" s="499"/>
      <c r="CQ241" s="499"/>
      <c r="CR241" s="487"/>
      <c r="CS241" s="487"/>
      <c r="CT241" s="499"/>
      <c r="CU241" s="499"/>
      <c r="CV241" s="487"/>
      <c r="CW241" s="794"/>
      <c r="CX241" s="499"/>
      <c r="CY241" s="499"/>
      <c r="CZ241" s="487"/>
      <c r="DA241" s="794"/>
      <c r="DB241" s="499"/>
      <c r="DC241" s="499"/>
      <c r="DD241" s="487"/>
      <c r="DE241" s="794"/>
      <c r="DF241" s="499"/>
      <c r="DG241" s="499"/>
      <c r="DH241" s="487"/>
      <c r="DI241" s="794"/>
      <c r="DJ241" s="499"/>
      <c r="DK241" s="499"/>
      <c r="DL241" s="487"/>
      <c r="DM241" s="794"/>
      <c r="DN241" s="499"/>
      <c r="DO241" s="499"/>
      <c r="DP241" s="487"/>
      <c r="DQ241" s="794"/>
      <c r="DR241" s="794"/>
      <c r="DS241" s="794"/>
      <c r="DT241" s="794"/>
      <c r="DU241" s="794"/>
      <c r="DV241" s="794"/>
      <c r="DW241" s="794"/>
      <c r="DX241" s="794"/>
      <c r="DY241" s="794"/>
      <c r="DZ241" s="794"/>
      <c r="EA241" s="794"/>
      <c r="EB241" s="794"/>
    </row>
    <row r="242" spans="1:132" hidden="1" outlineLevel="1">
      <c r="A242" s="487"/>
      <c r="B242" s="487"/>
      <c r="C242" s="487"/>
      <c r="D242" s="487"/>
      <c r="E242" s="487"/>
      <c r="F242" s="487"/>
      <c r="G242" s="487"/>
      <c r="H242" s="487"/>
      <c r="I242" s="487"/>
      <c r="J242" s="487"/>
      <c r="K242" s="487"/>
      <c r="L242" s="487"/>
      <c r="M242" s="487"/>
      <c r="N242" s="487"/>
      <c r="O242" s="487"/>
      <c r="P242" s="487"/>
      <c r="Q242" s="487"/>
      <c r="R242" s="487"/>
      <c r="S242" s="487"/>
      <c r="T242" s="487"/>
      <c r="U242" s="487"/>
      <c r="V242" s="487"/>
      <c r="W242" s="487"/>
      <c r="X242" s="487"/>
      <c r="Y242" s="487"/>
      <c r="Z242" s="487"/>
      <c r="AA242" s="487"/>
      <c r="AB242" s="487"/>
      <c r="AC242" s="487"/>
      <c r="AD242" s="487"/>
      <c r="AE242" s="487"/>
      <c r="AF242" s="487"/>
      <c r="AG242" s="487"/>
      <c r="AH242" s="487"/>
      <c r="AI242" s="487"/>
      <c r="AJ242" s="487"/>
      <c r="AK242" s="487"/>
      <c r="AL242" s="487"/>
      <c r="AM242" s="487"/>
      <c r="AN242" s="487"/>
      <c r="AO242" s="487"/>
      <c r="AP242" s="487"/>
      <c r="AQ242" s="487"/>
      <c r="AR242" s="487"/>
      <c r="AS242" s="487"/>
      <c r="AT242" s="487"/>
      <c r="AU242" s="487"/>
      <c r="AV242" s="487"/>
      <c r="AW242" s="487"/>
      <c r="AX242" s="487"/>
      <c r="AY242" s="487"/>
      <c r="AZ242" s="487"/>
      <c r="BA242" s="487"/>
      <c r="BB242" s="487"/>
      <c r="BC242" s="487"/>
      <c r="BD242" s="487"/>
      <c r="BE242" s="487"/>
      <c r="BF242" s="1067">
        <v>1.1359999999999999</v>
      </c>
      <c r="BG242" s="487"/>
      <c r="BH242" s="487"/>
      <c r="BI242" s="487"/>
      <c r="BJ242" s="1067">
        <v>1.1359999999999999</v>
      </c>
      <c r="BK242" s="487"/>
      <c r="BL242" s="487"/>
      <c r="BM242" s="487"/>
      <c r="BN242" s="1067">
        <v>1.1359999999999999</v>
      </c>
      <c r="BO242" s="487"/>
      <c r="BP242" s="487"/>
      <c r="BQ242" s="487"/>
      <c r="BR242" s="1067">
        <v>1.1359999999999999</v>
      </c>
      <c r="BS242" s="487"/>
      <c r="BT242" s="487"/>
      <c r="BU242" s="487"/>
      <c r="BV242" s="1067">
        <f>BV241</f>
        <v>1.175</v>
      </c>
      <c r="BW242" s="487"/>
      <c r="BX242" s="487"/>
      <c r="BY242" s="487"/>
      <c r="BZ242" s="1067">
        <v>1.1359999999999999</v>
      </c>
      <c r="CA242" s="487"/>
      <c r="CB242" s="487"/>
      <c r="CC242" s="487"/>
      <c r="CD242" s="1067"/>
      <c r="CE242" s="487"/>
      <c r="CF242" s="487"/>
      <c r="CG242" s="487"/>
      <c r="CH242" s="499"/>
      <c r="CI242" s="499"/>
      <c r="CJ242" s="487"/>
      <c r="CK242" s="487"/>
      <c r="CL242" s="499"/>
      <c r="CM242" s="499"/>
      <c r="CN242" s="487"/>
      <c r="CO242" s="487"/>
      <c r="CP242" s="499"/>
      <c r="CQ242" s="499"/>
      <c r="CR242" s="487"/>
      <c r="CS242" s="487"/>
      <c r="CT242" s="499"/>
      <c r="CU242" s="499"/>
      <c r="CV242" s="487"/>
      <c r="CW242" s="794"/>
      <c r="CX242" s="499"/>
      <c r="CY242" s="499"/>
      <c r="CZ242" s="487"/>
      <c r="DA242" s="794"/>
      <c r="DB242" s="499"/>
      <c r="DC242" s="499"/>
      <c r="DD242" s="487"/>
      <c r="DE242" s="794"/>
      <c r="DF242" s="499"/>
      <c r="DG242" s="499"/>
      <c r="DH242" s="487"/>
      <c r="DI242" s="794"/>
      <c r="DJ242" s="499"/>
      <c r="DK242" s="499"/>
      <c r="DL242" s="487"/>
      <c r="DM242" s="794"/>
      <c r="DN242" s="499"/>
      <c r="DO242" s="499"/>
      <c r="DP242" s="487"/>
      <c r="DQ242" s="794"/>
      <c r="DR242" s="794"/>
      <c r="DS242" s="794"/>
      <c r="DT242" s="794"/>
      <c r="DU242" s="794"/>
      <c r="DV242" s="794"/>
      <c r="DW242" s="794"/>
      <c r="DX242" s="794"/>
      <c r="DY242" s="794"/>
      <c r="DZ242" s="794"/>
      <c r="EA242" s="794"/>
      <c r="EB242" s="794"/>
    </row>
    <row r="243" spans="1:132" hidden="1" outlineLevel="1">
      <c r="A243" s="487"/>
      <c r="B243" s="487"/>
      <c r="C243" s="487"/>
      <c r="D243" s="487"/>
      <c r="E243" s="487"/>
      <c r="F243" s="487"/>
      <c r="G243" s="487"/>
      <c r="H243" s="487"/>
      <c r="I243" s="487"/>
      <c r="J243" s="487"/>
      <c r="K243" s="487"/>
      <c r="L243" s="487"/>
      <c r="M243" s="487"/>
      <c r="N243" s="487"/>
      <c r="O243" s="487"/>
      <c r="P243" s="487"/>
      <c r="Q243" s="487"/>
      <c r="R243" s="487"/>
      <c r="S243" s="487"/>
      <c r="T243" s="487"/>
      <c r="U243" s="487"/>
      <c r="V243" s="487"/>
      <c r="W243" s="487"/>
      <c r="X243" s="487"/>
      <c r="Y243" s="487"/>
      <c r="Z243" s="487"/>
      <c r="AA243" s="487"/>
      <c r="AB243" s="487"/>
      <c r="AC243" s="487"/>
      <c r="AD243" s="487"/>
      <c r="AE243" s="487"/>
      <c r="AF243" s="487"/>
      <c r="AG243" s="487"/>
      <c r="AH243" s="487"/>
      <c r="AI243" s="487"/>
      <c r="AJ243" s="487"/>
      <c r="AK243" s="487"/>
      <c r="AL243" s="487"/>
      <c r="AM243" s="487"/>
      <c r="AN243" s="487"/>
      <c r="AO243" s="487"/>
      <c r="AP243" s="487"/>
      <c r="AQ243" s="487"/>
      <c r="AR243" s="487"/>
      <c r="AS243" s="487"/>
      <c r="AT243" s="487"/>
      <c r="AU243" s="487"/>
      <c r="AV243" s="487"/>
      <c r="AW243" s="487"/>
      <c r="AX243" s="487"/>
      <c r="AY243" s="487"/>
      <c r="AZ243" s="487"/>
      <c r="BA243" s="487"/>
      <c r="BB243" s="487"/>
      <c r="BC243" s="487"/>
      <c r="BD243" s="487"/>
      <c r="BE243" s="487"/>
      <c r="BF243" s="974">
        <f>SUM(BF239:BF242)</f>
        <v>4.5439999999999996</v>
      </c>
      <c r="BG243" s="487"/>
      <c r="BH243" s="487"/>
      <c r="BI243" s="487"/>
      <c r="BJ243" s="1068">
        <v>9</v>
      </c>
      <c r="BK243" s="487"/>
      <c r="BL243" s="487"/>
      <c r="BM243" s="487"/>
      <c r="BN243" s="1068">
        <v>5</v>
      </c>
      <c r="BO243" s="487"/>
      <c r="BP243" s="487"/>
      <c r="BQ243" s="487"/>
      <c r="BR243" s="974">
        <v>3</v>
      </c>
      <c r="BS243" s="487"/>
      <c r="BT243" s="487"/>
      <c r="BU243" s="487"/>
      <c r="BV243" s="974">
        <v>3</v>
      </c>
      <c r="BW243" s="487"/>
      <c r="BX243" s="487"/>
      <c r="BY243" s="487"/>
      <c r="BZ243" s="974">
        <v>3</v>
      </c>
      <c r="CA243" s="487"/>
      <c r="CB243" s="487"/>
      <c r="CC243" s="487"/>
      <c r="CD243" s="974"/>
      <c r="CE243" s="487"/>
      <c r="CF243" s="487"/>
      <c r="CG243" s="487"/>
      <c r="CH243" s="1018"/>
      <c r="CI243" s="499"/>
      <c r="CJ243" s="487"/>
      <c r="CK243" s="487"/>
      <c r="CL243" s="1018"/>
      <c r="CM243" s="499"/>
      <c r="CN243" s="487"/>
      <c r="CO243" s="487"/>
      <c r="CP243" s="1018"/>
      <c r="CQ243" s="499"/>
      <c r="CR243" s="487"/>
      <c r="CS243" s="487"/>
      <c r="CT243" s="1018"/>
      <c r="CU243" s="499"/>
      <c r="CV243" s="487"/>
      <c r="CW243" s="794"/>
      <c r="CX243" s="1018"/>
      <c r="CY243" s="499"/>
      <c r="CZ243" s="487"/>
      <c r="DA243" s="794"/>
      <c r="DB243" s="1018"/>
      <c r="DC243" s="499"/>
      <c r="DD243" s="487"/>
      <c r="DE243" s="794"/>
      <c r="DF243" s="1018"/>
      <c r="DG243" s="499"/>
      <c r="DH243" s="487"/>
      <c r="DI243" s="794"/>
      <c r="DJ243" s="1018"/>
      <c r="DK243" s="499"/>
      <c r="DL243" s="487"/>
      <c r="DM243" s="794"/>
      <c r="DN243" s="1018"/>
      <c r="DO243" s="499"/>
      <c r="DP243" s="487"/>
      <c r="DQ243" s="794"/>
      <c r="DR243" s="794"/>
      <c r="DS243" s="794"/>
      <c r="DT243" s="794"/>
      <c r="DU243" s="794"/>
      <c r="DV243" s="794"/>
      <c r="DW243" s="794"/>
      <c r="DX243" s="794"/>
      <c r="DY243" s="794"/>
      <c r="DZ243" s="794"/>
      <c r="EA243" s="794"/>
      <c r="EB243" s="794"/>
    </row>
    <row r="244" spans="1:132" hidden="1" outlineLevel="1">
      <c r="A244" s="487"/>
      <c r="B244" s="487"/>
      <c r="C244" s="487"/>
      <c r="D244" s="487"/>
      <c r="E244" s="487"/>
      <c r="F244" s="487"/>
      <c r="G244" s="487"/>
      <c r="H244" s="487"/>
      <c r="I244" s="487"/>
      <c r="J244" s="487"/>
      <c r="K244" s="487"/>
      <c r="L244" s="487"/>
      <c r="M244" s="487"/>
      <c r="N244" s="487"/>
      <c r="O244" s="487"/>
      <c r="P244" s="487"/>
      <c r="Q244" s="487"/>
      <c r="R244" s="487"/>
      <c r="S244" s="487"/>
      <c r="T244" s="487"/>
      <c r="U244" s="487"/>
      <c r="V244" s="487"/>
      <c r="W244" s="487"/>
      <c r="X244" s="487"/>
      <c r="Y244" s="487"/>
      <c r="Z244" s="487"/>
      <c r="AA244" s="487"/>
      <c r="AB244" s="487"/>
      <c r="AC244" s="487"/>
      <c r="AD244" s="487"/>
      <c r="AE244" s="487"/>
      <c r="AF244" s="487"/>
      <c r="AG244" s="487"/>
      <c r="AH244" s="487"/>
      <c r="AI244" s="487"/>
      <c r="AJ244" s="487"/>
      <c r="AK244" s="487"/>
      <c r="AL244" s="487"/>
      <c r="AM244" s="487"/>
      <c r="AN244" s="487"/>
      <c r="AO244" s="487"/>
      <c r="AP244" s="487"/>
      <c r="AQ244" s="487"/>
      <c r="AR244" s="487"/>
      <c r="AS244" s="487"/>
      <c r="AT244" s="487"/>
      <c r="AU244" s="487"/>
      <c r="AV244" s="487"/>
      <c r="AW244" s="487"/>
      <c r="AX244" s="487"/>
      <c r="AY244" s="487"/>
      <c r="AZ244" s="487"/>
      <c r="BA244" s="487"/>
      <c r="BB244" s="487"/>
      <c r="BC244" s="487"/>
      <c r="BD244" s="487"/>
      <c r="BE244" s="487"/>
      <c r="BF244" s="487"/>
      <c r="BG244" s="487"/>
      <c r="BH244" s="487"/>
      <c r="BI244" s="487"/>
      <c r="BJ244" s="487"/>
      <c r="BK244" s="487"/>
      <c r="BL244" s="487"/>
      <c r="BM244" s="487"/>
      <c r="BN244" s="974"/>
      <c r="BO244" s="487"/>
      <c r="BP244" s="487"/>
      <c r="BQ244" s="487"/>
      <c r="BR244" s="487"/>
      <c r="BS244" s="487"/>
      <c r="BT244" s="487"/>
      <c r="BU244" s="487"/>
      <c r="BV244" s="487"/>
      <c r="BW244" s="487"/>
      <c r="BX244" s="487"/>
      <c r="BY244" s="487"/>
      <c r="BZ244" s="487"/>
      <c r="CA244" s="487"/>
      <c r="CB244" s="487"/>
      <c r="CC244" s="487"/>
      <c r="CD244" s="487"/>
      <c r="CE244" s="487"/>
      <c r="CF244" s="487"/>
      <c r="CG244" s="487"/>
      <c r="CH244" s="487"/>
      <c r="CI244" s="487"/>
      <c r="CJ244" s="487"/>
      <c r="CK244" s="487"/>
      <c r="CL244" s="487"/>
      <c r="CM244" s="487"/>
      <c r="CN244" s="487"/>
      <c r="CO244" s="487"/>
      <c r="CP244" s="487"/>
      <c r="CQ244" s="487"/>
      <c r="CR244" s="487"/>
      <c r="CS244" s="487"/>
      <c r="CT244" s="487"/>
      <c r="CU244" s="487"/>
      <c r="CV244" s="487"/>
      <c r="CW244" s="794"/>
      <c r="CX244" s="487"/>
      <c r="CY244" s="487"/>
      <c r="CZ244" s="487"/>
      <c r="DA244" s="794"/>
      <c r="DB244" s="487"/>
      <c r="DC244" s="487"/>
      <c r="DD244" s="487"/>
      <c r="DE244" s="794"/>
      <c r="DF244" s="487"/>
      <c r="DG244" s="487"/>
      <c r="DH244" s="487"/>
      <c r="DI244" s="794"/>
      <c r="DJ244" s="487"/>
      <c r="DK244" s="487"/>
      <c r="DL244" s="487"/>
      <c r="DM244" s="794"/>
      <c r="DN244" s="487"/>
      <c r="DO244" s="487"/>
      <c r="DP244" s="487"/>
      <c r="DQ244" s="794"/>
      <c r="DR244" s="794"/>
      <c r="DS244" s="794"/>
      <c r="DT244" s="794"/>
      <c r="DU244" s="794"/>
      <c r="DV244" s="794"/>
      <c r="DW244" s="794"/>
      <c r="DX244" s="794"/>
      <c r="DY244" s="794"/>
      <c r="DZ244" s="794"/>
      <c r="EA244" s="794"/>
      <c r="EB244" s="794"/>
    </row>
    <row r="245" spans="1:132" hidden="1" outlineLevel="1">
      <c r="A245" s="487"/>
      <c r="B245" s="487"/>
      <c r="C245" s="487"/>
      <c r="D245" s="487"/>
      <c r="E245" s="487"/>
      <c r="F245" s="487"/>
      <c r="G245" s="487"/>
      <c r="H245" s="487"/>
      <c r="I245" s="487"/>
      <c r="J245" s="487"/>
      <c r="K245" s="487"/>
      <c r="L245" s="487"/>
      <c r="M245" s="487"/>
      <c r="N245" s="487"/>
      <c r="O245" s="487"/>
      <c r="P245" s="487"/>
      <c r="Q245" s="487"/>
      <c r="R245" s="487"/>
      <c r="S245" s="487"/>
      <c r="T245" s="487"/>
      <c r="U245" s="487"/>
      <c r="V245" s="487"/>
      <c r="W245" s="487"/>
      <c r="X245" s="487"/>
      <c r="Y245" s="487"/>
      <c r="Z245" s="487"/>
      <c r="AA245" s="487"/>
      <c r="AB245" s="487"/>
      <c r="AC245" s="487"/>
      <c r="AD245" s="487"/>
      <c r="AE245" s="487"/>
      <c r="AF245" s="487"/>
      <c r="AG245" s="487"/>
      <c r="AH245" s="487"/>
      <c r="AI245" s="487"/>
      <c r="AJ245" s="487"/>
      <c r="AK245" s="487"/>
      <c r="AL245" s="487"/>
      <c r="AM245" s="487"/>
      <c r="AN245" s="487"/>
      <c r="AO245" s="487"/>
      <c r="AP245" s="487"/>
      <c r="AQ245" s="487"/>
      <c r="AR245" s="487"/>
      <c r="AS245" s="487"/>
      <c r="AT245" s="487"/>
      <c r="AU245" s="487"/>
      <c r="AV245" s="487"/>
      <c r="AW245" s="487"/>
      <c r="AX245" s="487"/>
      <c r="AY245" s="487"/>
      <c r="AZ245" s="487"/>
      <c r="BA245" s="487"/>
      <c r="BB245" s="487"/>
      <c r="BC245" s="487"/>
      <c r="BD245" s="487"/>
      <c r="BE245" s="487"/>
      <c r="BF245" s="487"/>
      <c r="BG245" s="487"/>
      <c r="BH245" s="487"/>
      <c r="BI245" s="487"/>
      <c r="BJ245" s="1022" t="s">
        <v>353</v>
      </c>
      <c r="BK245" s="487"/>
      <c r="BL245" s="487"/>
      <c r="BM245" s="487"/>
      <c r="BN245" s="1022" t="s">
        <v>353</v>
      </c>
      <c r="BO245" s="487"/>
      <c r="BP245" s="487"/>
      <c r="BQ245" s="487"/>
      <c r="BR245" s="1022" t="s">
        <v>353</v>
      </c>
      <c r="BS245" s="487"/>
      <c r="BT245" s="487"/>
      <c r="BU245" s="487"/>
      <c r="BV245" s="1022" t="s">
        <v>353</v>
      </c>
      <c r="BW245" s="487"/>
      <c r="BX245" s="487"/>
      <c r="BY245" s="487"/>
      <c r="BZ245" s="1022" t="s">
        <v>353</v>
      </c>
      <c r="CA245" s="487"/>
      <c r="CB245" s="487"/>
      <c r="CC245" s="487"/>
      <c r="CD245" s="1022" t="s">
        <v>353</v>
      </c>
      <c r="CE245" s="487"/>
      <c r="CF245" s="487"/>
      <c r="CG245" s="487"/>
      <c r="CH245" s="1022" t="s">
        <v>353</v>
      </c>
      <c r="CI245" s="487"/>
      <c r="CJ245" s="487"/>
      <c r="CK245" s="487"/>
      <c r="CL245" s="1022" t="s">
        <v>353</v>
      </c>
      <c r="CM245" s="487"/>
      <c r="CN245" s="487"/>
      <c r="CO245" s="487"/>
      <c r="CP245" s="1022" t="s">
        <v>353</v>
      </c>
      <c r="CQ245" s="487"/>
      <c r="CR245" s="487"/>
      <c r="CS245" s="487"/>
      <c r="CT245" s="1022" t="s">
        <v>353</v>
      </c>
      <c r="CU245" s="487"/>
      <c r="CV245" s="487"/>
      <c r="CW245" s="794"/>
      <c r="CX245" s="1022" t="s">
        <v>353</v>
      </c>
      <c r="CY245" s="487"/>
      <c r="CZ245" s="487"/>
      <c r="DA245" s="794"/>
      <c r="DB245" s="1022" t="s">
        <v>353</v>
      </c>
      <c r="DC245" s="487"/>
      <c r="DD245" s="487"/>
      <c r="DE245" s="794"/>
      <c r="DF245" s="1022" t="s">
        <v>353</v>
      </c>
      <c r="DG245" s="487"/>
      <c r="DH245" s="487"/>
      <c r="DI245" s="794"/>
      <c r="DJ245" s="1022" t="s">
        <v>353</v>
      </c>
      <c r="DK245" s="487"/>
      <c r="DL245" s="487"/>
      <c r="DM245" s="794"/>
      <c r="DN245" s="1022" t="s">
        <v>353</v>
      </c>
      <c r="DO245" s="487"/>
      <c r="DP245" s="487"/>
      <c r="DQ245" s="794"/>
      <c r="DR245" s="794"/>
      <c r="DS245" s="794"/>
      <c r="DT245" s="794"/>
      <c r="DU245" s="794"/>
      <c r="DV245" s="794"/>
      <c r="DW245" s="794"/>
      <c r="DX245" s="794"/>
      <c r="DY245" s="794"/>
      <c r="DZ245" s="794"/>
      <c r="EA245" s="794"/>
      <c r="EB245" s="794"/>
    </row>
    <row r="246" spans="1:132" hidden="1" outlineLevel="1">
      <c r="A246" s="487"/>
      <c r="B246" s="487"/>
      <c r="C246" s="487"/>
      <c r="D246" s="487"/>
      <c r="E246" s="487"/>
      <c r="F246" s="809" t="s">
        <v>698</v>
      </c>
      <c r="G246" s="811"/>
      <c r="H246" s="811"/>
      <c r="I246" s="811"/>
      <c r="J246" s="809"/>
      <c r="K246" s="811"/>
      <c r="L246" s="811"/>
      <c r="M246" s="811"/>
      <c r="N246" s="809"/>
      <c r="O246" s="811"/>
      <c r="P246" s="811"/>
      <c r="Q246" s="811"/>
      <c r="R246" s="809"/>
      <c r="S246" s="811"/>
      <c r="T246" s="811"/>
      <c r="U246" s="811"/>
      <c r="V246" s="809"/>
      <c r="W246" s="811"/>
      <c r="X246" s="811"/>
      <c r="Y246" s="487"/>
      <c r="Z246" s="487"/>
      <c r="AA246" s="487"/>
      <c r="AB246" s="487"/>
      <c r="AC246" s="487"/>
      <c r="AD246" s="487"/>
      <c r="AE246" s="487"/>
      <c r="AF246" s="487"/>
      <c r="AG246" s="487"/>
      <c r="AH246" s="487"/>
      <c r="AI246" s="487"/>
      <c r="AJ246" s="487"/>
      <c r="AK246" s="487"/>
      <c r="AL246" s="487"/>
      <c r="AM246" s="487"/>
      <c r="AN246" s="487"/>
      <c r="AO246" s="487"/>
      <c r="AP246" s="487"/>
      <c r="AQ246" s="487"/>
      <c r="AR246" s="487"/>
      <c r="AS246" s="487"/>
      <c r="AT246" s="487"/>
      <c r="AU246" s="487"/>
      <c r="AV246" s="487"/>
      <c r="AW246" s="487"/>
      <c r="AX246" s="487"/>
      <c r="AY246" s="487"/>
      <c r="AZ246" s="487"/>
      <c r="BA246" s="487"/>
      <c r="BB246" s="487"/>
      <c r="BC246" s="487"/>
      <c r="BD246" s="487"/>
      <c r="BE246" s="487"/>
      <c r="BF246" s="487"/>
      <c r="BG246" s="487"/>
      <c r="BH246" s="1069" t="s">
        <v>354</v>
      </c>
      <c r="BI246" s="487"/>
      <c r="BJ246" s="487"/>
      <c r="BK246" s="487"/>
      <c r="BL246" s="487"/>
      <c r="BM246" s="487"/>
      <c r="BN246" s="487"/>
      <c r="BO246" s="487"/>
      <c r="BP246" s="487"/>
      <c r="BQ246" s="487"/>
      <c r="BR246" s="487"/>
      <c r="BS246" s="487"/>
      <c r="BT246" s="487"/>
      <c r="BU246" s="487"/>
      <c r="BV246" s="487"/>
      <c r="BW246" s="487"/>
      <c r="BX246" s="487"/>
      <c r="BY246" s="487"/>
      <c r="BZ246" s="487"/>
      <c r="CA246" s="487"/>
      <c r="CB246" s="487"/>
      <c r="CC246" s="487"/>
      <c r="CD246" s="487"/>
      <c r="CE246" s="487"/>
      <c r="CF246" s="487"/>
      <c r="CG246" s="487"/>
      <c r="CH246" s="487"/>
      <c r="CI246" s="487"/>
      <c r="CJ246" s="487"/>
      <c r="CK246" s="487"/>
      <c r="CL246" s="487"/>
      <c r="CM246" s="487"/>
      <c r="CN246" s="487"/>
      <c r="CO246" s="487"/>
      <c r="CP246" s="487"/>
      <c r="CQ246" s="487"/>
      <c r="CR246" s="487"/>
      <c r="CS246" s="487"/>
      <c r="CT246" s="487"/>
      <c r="CU246" s="487"/>
      <c r="CV246" s="487"/>
      <c r="CW246" s="794"/>
      <c r="CX246" s="487"/>
      <c r="CY246" s="487"/>
      <c r="CZ246" s="487"/>
      <c r="DA246" s="794"/>
      <c r="DB246" s="487"/>
      <c r="DC246" s="487"/>
      <c r="DD246" s="487"/>
      <c r="DE246" s="794"/>
      <c r="DF246" s="487"/>
      <c r="DG246" s="487"/>
      <c r="DH246" s="487"/>
      <c r="DI246" s="794"/>
      <c r="DJ246" s="487"/>
      <c r="DK246" s="487"/>
      <c r="DL246" s="487"/>
      <c r="DM246" s="794"/>
      <c r="DN246" s="487"/>
      <c r="DO246" s="487"/>
      <c r="DP246" s="487"/>
      <c r="DQ246" s="794"/>
      <c r="DR246" s="794"/>
      <c r="DS246" s="794"/>
      <c r="DT246" s="794"/>
      <c r="DU246" s="794"/>
      <c r="DV246" s="794"/>
      <c r="DW246" s="794"/>
      <c r="DX246" s="794"/>
      <c r="DY246" s="794"/>
      <c r="DZ246" s="794"/>
      <c r="EA246" s="794"/>
      <c r="EB246" s="794"/>
    </row>
    <row r="247" spans="1:132" hidden="1" outlineLevel="1">
      <c r="A247" s="487"/>
      <c r="B247" s="487"/>
      <c r="C247" s="487"/>
      <c r="D247" s="487"/>
      <c r="E247" s="487"/>
      <c r="F247" s="487"/>
      <c r="G247" s="487"/>
      <c r="H247" s="487"/>
      <c r="I247" s="487"/>
      <c r="J247" s="487"/>
      <c r="K247" s="487"/>
      <c r="L247" s="487"/>
      <c r="M247" s="487"/>
      <c r="N247" s="487"/>
      <c r="O247" s="487"/>
      <c r="P247" s="487"/>
      <c r="Q247" s="487"/>
      <c r="R247" s="487"/>
      <c r="S247" s="487"/>
      <c r="T247" s="487"/>
      <c r="U247" s="487"/>
      <c r="V247" s="487"/>
      <c r="W247" s="487"/>
      <c r="X247" s="487"/>
      <c r="Y247" s="487"/>
      <c r="Z247" s="487"/>
      <c r="AA247" s="487"/>
      <c r="AB247" s="487"/>
      <c r="AC247" s="487"/>
      <c r="AD247" s="487"/>
      <c r="AE247" s="487"/>
      <c r="AF247" s="487"/>
      <c r="AG247" s="487"/>
      <c r="AH247" s="925"/>
      <c r="AI247" s="487"/>
      <c r="AJ247" s="487"/>
      <c r="AK247" s="487"/>
      <c r="AL247" s="925"/>
      <c r="AM247" s="487"/>
      <c r="AN247" s="487"/>
      <c r="AO247" s="487"/>
      <c r="AP247" s="925"/>
      <c r="AQ247" s="487"/>
      <c r="AR247" s="487"/>
      <c r="AS247" s="487"/>
      <c r="AT247" s="925"/>
      <c r="AU247" s="487"/>
      <c r="AV247" s="487"/>
      <c r="AW247" s="487"/>
      <c r="AX247" s="925"/>
      <c r="AY247" s="487"/>
      <c r="AZ247" s="487"/>
      <c r="BA247" s="487"/>
      <c r="BB247" s="925"/>
      <c r="BC247" s="487"/>
      <c r="BD247" s="487"/>
      <c r="BE247" s="487"/>
      <c r="BF247" s="925"/>
      <c r="BG247" s="487" t="str">
        <f>$A$10</f>
        <v>1Q</v>
      </c>
      <c r="BH247" s="487" t="str">
        <f>$B$10</f>
        <v>Apr</v>
      </c>
      <c r="BI247" s="487"/>
      <c r="BJ247" s="831">
        <f>+BJ218+16.9</f>
        <v>1060.0613960000001</v>
      </c>
      <c r="BK247" s="487"/>
      <c r="BL247" s="487"/>
      <c r="BM247" s="487"/>
      <c r="BN247" s="831">
        <f>+BN218+16.9</f>
        <v>1011.129136</v>
      </c>
      <c r="BO247" s="487"/>
      <c r="BP247" s="487"/>
      <c r="BQ247" s="487"/>
      <c r="BR247" s="831">
        <f>+BR218+16.9</f>
        <v>986.79494399999999</v>
      </c>
      <c r="BS247" s="487"/>
      <c r="BT247" s="487"/>
      <c r="BU247" s="487"/>
      <c r="BV247" s="831">
        <f>+BV218+16.9</f>
        <v>974.95121199999994</v>
      </c>
      <c r="BW247" s="487"/>
      <c r="BX247" s="487"/>
      <c r="BY247" s="487"/>
      <c r="BZ247" s="831">
        <f>+BZ218+16.9</f>
        <v>917.702</v>
      </c>
      <c r="CA247" s="487"/>
      <c r="CB247" s="487"/>
      <c r="CC247" s="487"/>
      <c r="CD247" s="831">
        <f>+CD218+16.9</f>
        <v>880.74</v>
      </c>
      <c r="CE247" s="487"/>
      <c r="CF247" s="487"/>
      <c r="CG247" s="487"/>
      <c r="CH247" s="831">
        <f>+CH218+16.9</f>
        <v>845.69999999999993</v>
      </c>
      <c r="CI247" s="487"/>
      <c r="CJ247" s="487"/>
      <c r="CK247" s="487"/>
      <c r="CL247" s="831">
        <f>+CL218+16.9</f>
        <v>804.90800000000002</v>
      </c>
      <c r="CM247" s="487"/>
      <c r="CN247" s="487"/>
      <c r="CO247" s="487"/>
      <c r="CP247" s="831">
        <f>+CP218+16.9</f>
        <v>772.91599999999994</v>
      </c>
      <c r="CQ247" s="487"/>
      <c r="CR247" s="487"/>
      <c r="CS247" s="487"/>
      <c r="CT247" s="831">
        <f>+CT218+16.9</f>
        <v>749.45499999999993</v>
      </c>
      <c r="CU247" s="487"/>
      <c r="CV247" s="487"/>
      <c r="CW247" s="794"/>
      <c r="CX247" s="831">
        <f>+CX218+16.9</f>
        <v>729.80200000000002</v>
      </c>
      <c r="CY247" s="487"/>
      <c r="CZ247" s="487"/>
      <c r="DA247" s="794"/>
      <c r="DB247" s="831">
        <f>+DB218+16.9</f>
        <v>708.10599999999999</v>
      </c>
      <c r="DC247" s="487"/>
      <c r="DD247" s="487"/>
      <c r="DE247" s="794"/>
      <c r="DF247" s="831">
        <f>+DF218+16.9</f>
        <v>687.28800000000001</v>
      </c>
      <c r="DG247" s="487"/>
      <c r="DH247" s="487"/>
      <c r="DI247" s="794"/>
      <c r="DJ247" s="831">
        <f>+DJ218+16.9</f>
        <v>671.69899999999996</v>
      </c>
      <c r="DK247" s="487"/>
      <c r="DL247" s="487"/>
      <c r="DM247" s="794"/>
      <c r="DN247" s="831">
        <f>+DN218+16.9</f>
        <v>650.87358823529405</v>
      </c>
      <c r="DO247" s="487"/>
      <c r="DP247" s="487"/>
      <c r="DQ247" s="794"/>
      <c r="DR247" s="794"/>
      <c r="DS247" s="794"/>
      <c r="DT247" s="794"/>
      <c r="DU247" s="794"/>
      <c r="DV247" s="794"/>
      <c r="DW247" s="794"/>
      <c r="DX247" s="794"/>
      <c r="DY247" s="794"/>
      <c r="DZ247" s="794"/>
      <c r="EA247" s="794"/>
      <c r="EB247" s="794"/>
    </row>
    <row r="248" spans="1:132" hidden="1" outlineLevel="1">
      <c r="A248" s="487" t="str">
        <f>$A$10</f>
        <v>1Q</v>
      </c>
      <c r="B248" s="487" t="str">
        <f>$B$10</f>
        <v>Apr</v>
      </c>
      <c r="C248" s="487"/>
      <c r="D248" s="487"/>
      <c r="E248" s="487"/>
      <c r="F248" s="814">
        <v>0</v>
      </c>
      <c r="G248" s="487"/>
      <c r="H248" s="487"/>
      <c r="I248" s="487"/>
      <c r="J248" s="814">
        <v>0</v>
      </c>
      <c r="K248" s="487"/>
      <c r="L248" s="487"/>
      <c r="M248" s="487"/>
      <c r="N248" s="814">
        <v>0</v>
      </c>
      <c r="O248" s="487"/>
      <c r="P248" s="487"/>
      <c r="Q248" s="487"/>
      <c r="R248" s="814">
        <v>0</v>
      </c>
      <c r="S248" s="487"/>
      <c r="T248" s="487"/>
      <c r="U248" s="487"/>
      <c r="V248" s="487"/>
      <c r="W248" s="487"/>
      <c r="X248" s="487"/>
      <c r="Y248" s="487"/>
      <c r="Z248" s="487"/>
      <c r="AA248" s="487"/>
      <c r="AB248" s="487"/>
      <c r="AC248" s="487"/>
      <c r="AD248" s="487"/>
      <c r="AE248" s="487"/>
      <c r="AF248" s="487"/>
      <c r="AG248" s="487"/>
      <c r="AH248" s="487"/>
      <c r="AI248" s="487"/>
      <c r="AJ248" s="487"/>
      <c r="AK248" s="487"/>
      <c r="AL248" s="487"/>
      <c r="AM248" s="487"/>
      <c r="AN248" s="487"/>
      <c r="AO248" s="487"/>
      <c r="AP248" s="487"/>
      <c r="AQ248" s="487"/>
      <c r="AR248" s="487"/>
      <c r="AS248" s="487"/>
      <c r="AT248" s="487"/>
      <c r="AU248" s="487"/>
      <c r="AV248" s="487"/>
      <c r="AW248" s="487"/>
      <c r="AX248" s="487"/>
      <c r="AY248" s="487"/>
      <c r="AZ248" s="487"/>
      <c r="BA248" s="487"/>
      <c r="BB248" s="487"/>
      <c r="BC248" s="487"/>
      <c r="BD248" s="487"/>
      <c r="BE248" s="487"/>
      <c r="BF248" s="487"/>
      <c r="BG248" s="487" t="str">
        <f>$A$11</f>
        <v>2Q</v>
      </c>
      <c r="BH248" s="487" t="str">
        <f>$B$11</f>
        <v>Jul</v>
      </c>
      <c r="BI248" s="487"/>
      <c r="BJ248" s="831">
        <f>+BJ219+16.9</f>
        <v>1049.0673180000001</v>
      </c>
      <c r="BK248" s="487"/>
      <c r="BL248" s="487"/>
      <c r="BM248" s="487"/>
      <c r="BN248" s="831">
        <f>+BN219+16.9</f>
        <v>1002.534</v>
      </c>
      <c r="BO248" s="487"/>
      <c r="BP248" s="487"/>
      <c r="BQ248" s="487"/>
      <c r="BR248" s="831">
        <f>+BR219+16.9</f>
        <v>971.87</v>
      </c>
      <c r="BS248" s="487"/>
      <c r="BT248" s="487"/>
      <c r="BU248" s="487"/>
      <c r="BV248" s="831">
        <f>+BV219+16.9</f>
        <v>963.53800000000001</v>
      </c>
      <c r="BW248" s="487"/>
      <c r="BX248" s="487"/>
      <c r="BY248" s="487"/>
      <c r="BZ248" s="831">
        <f>+BZ219+16.9</f>
        <v>907.74599999999998</v>
      </c>
      <c r="CA248" s="487"/>
      <c r="CB248" s="487"/>
      <c r="CC248" s="487"/>
      <c r="CD248" s="831">
        <f>+CD219+16.9</f>
        <v>877.80599999999993</v>
      </c>
      <c r="CE248" s="487"/>
      <c r="CF248" s="487"/>
      <c r="CG248" s="487"/>
      <c r="CH248" s="831">
        <f>+CH219+16.9</f>
        <v>836.38400000000001</v>
      </c>
      <c r="CI248" s="487"/>
      <c r="CJ248" s="487"/>
      <c r="CK248" s="487"/>
      <c r="CL248" s="831">
        <f>+CL219+16.9</f>
        <v>792.15</v>
      </c>
      <c r="CM248" s="487"/>
      <c r="CN248" s="487"/>
      <c r="CO248" s="487"/>
      <c r="CP248" s="831">
        <f>+CP219+16.9</f>
        <v>768.14300000000003</v>
      </c>
      <c r="CQ248" s="487"/>
      <c r="CR248" s="487"/>
      <c r="CS248" s="487"/>
      <c r="CT248" s="831">
        <f>+CT219+16.9</f>
        <v>745.49900000000002</v>
      </c>
      <c r="CU248" s="487"/>
      <c r="CV248" s="487"/>
      <c r="CW248" s="794"/>
      <c r="CX248" s="831">
        <f>+CX219+16.9</f>
        <v>722.1</v>
      </c>
      <c r="CY248" s="487"/>
      <c r="CZ248" s="487"/>
      <c r="DA248" s="794"/>
      <c r="DB248" s="831">
        <f>+DB219+16.9</f>
        <v>702.22199999999998</v>
      </c>
      <c r="DC248" s="487"/>
      <c r="DD248" s="487"/>
      <c r="DE248" s="794"/>
      <c r="DF248" s="831">
        <f>+DF219+16.9</f>
        <v>683.50599999999997</v>
      </c>
      <c r="DG248" s="487"/>
      <c r="DH248" s="487"/>
      <c r="DI248" s="794"/>
      <c r="DJ248" s="831">
        <f>+DJ219+16.9</f>
        <v>665.21699999999998</v>
      </c>
      <c r="DK248" s="487"/>
      <c r="DL248" s="487"/>
      <c r="DM248" s="794"/>
      <c r="DN248" s="831">
        <f>+DN219+16.9</f>
        <v>645.61476470588229</v>
      </c>
      <c r="DO248" s="487"/>
      <c r="DP248" s="487"/>
      <c r="DQ248" s="794"/>
      <c r="DR248" s="794"/>
      <c r="DS248" s="794"/>
      <c r="DT248" s="794"/>
      <c r="DU248" s="794"/>
      <c r="DV248" s="794"/>
      <c r="DW248" s="794"/>
      <c r="DX248" s="794"/>
      <c r="DY248" s="794"/>
      <c r="DZ248" s="794"/>
      <c r="EA248" s="794"/>
      <c r="EB248" s="794"/>
    </row>
    <row r="249" spans="1:132" hidden="1" outlineLevel="1">
      <c r="A249" s="487" t="str">
        <f>$A$11</f>
        <v>2Q</v>
      </c>
      <c r="B249" s="487" t="str">
        <f>$B$11</f>
        <v>Jul</v>
      </c>
      <c r="C249" s="487"/>
      <c r="D249" s="487"/>
      <c r="E249" s="487"/>
      <c r="F249" s="831">
        <v>0</v>
      </c>
      <c r="G249" s="487"/>
      <c r="H249" s="487"/>
      <c r="I249" s="487"/>
      <c r="J249" s="831">
        <v>0</v>
      </c>
      <c r="K249" s="487"/>
      <c r="L249" s="487"/>
      <c r="M249" s="487"/>
      <c r="N249" s="831">
        <v>0.76700000000000002</v>
      </c>
      <c r="O249" s="487"/>
      <c r="P249" s="487"/>
      <c r="Q249" s="487"/>
      <c r="R249" s="831"/>
      <c r="S249" s="487"/>
      <c r="T249" s="487"/>
      <c r="U249" s="487"/>
      <c r="V249" s="487"/>
      <c r="W249" s="487"/>
      <c r="X249" s="487"/>
      <c r="Y249" s="487"/>
      <c r="Z249" s="487"/>
      <c r="AA249" s="487"/>
      <c r="AB249" s="487"/>
      <c r="AC249" s="487"/>
      <c r="AD249" s="487"/>
      <c r="AE249" s="487"/>
      <c r="AF249" s="487"/>
      <c r="AG249" s="487"/>
      <c r="AH249" s="487"/>
      <c r="AI249" s="487"/>
      <c r="AJ249" s="487"/>
      <c r="AK249" s="487"/>
      <c r="AL249" s="487"/>
      <c r="AM249" s="487"/>
      <c r="AN249" s="487"/>
      <c r="AO249" s="487"/>
      <c r="AP249" s="487"/>
      <c r="AQ249" s="487"/>
      <c r="AR249" s="487"/>
      <c r="AS249" s="487"/>
      <c r="AT249" s="487"/>
      <c r="AU249" s="487"/>
      <c r="AV249" s="487"/>
      <c r="AW249" s="487"/>
      <c r="AX249" s="487"/>
      <c r="AY249" s="487"/>
      <c r="AZ249" s="487"/>
      <c r="BA249" s="487"/>
      <c r="BB249" s="487"/>
      <c r="BC249" s="487"/>
      <c r="BD249" s="487"/>
      <c r="BE249" s="487"/>
      <c r="BF249" s="487"/>
      <c r="BG249" s="487" t="str">
        <f>$A$12</f>
        <v>3Q</v>
      </c>
      <c r="BH249" s="487" t="str">
        <f>$B$12</f>
        <v>Oct</v>
      </c>
      <c r="BI249" s="487"/>
      <c r="BJ249" s="831">
        <f>+BJ220+16.9</f>
        <v>1030.7297040000001</v>
      </c>
      <c r="BK249" s="487"/>
      <c r="BL249" s="487"/>
      <c r="BM249" s="487"/>
      <c r="BN249" s="831">
        <f>+BN220+16.9</f>
        <v>989.89075600000001</v>
      </c>
      <c r="BO249" s="487"/>
      <c r="BP249" s="487"/>
      <c r="BQ249" s="487"/>
      <c r="BR249" s="831">
        <f>+BR220+16.9</f>
        <v>975.88216399999999</v>
      </c>
      <c r="BS249" s="487"/>
      <c r="BT249" s="487"/>
      <c r="BU249" s="487"/>
      <c r="BV249" s="831">
        <f>+BV220+16.9</f>
        <v>945.96799999999996</v>
      </c>
      <c r="BW249" s="487"/>
      <c r="BX249" s="487"/>
      <c r="BY249" s="487"/>
      <c r="BZ249" s="831">
        <f>+BZ220+16.9</f>
        <v>898.39800000000002</v>
      </c>
      <c r="CA249" s="487"/>
      <c r="CB249" s="487"/>
      <c r="CC249" s="487"/>
      <c r="CD249" s="831">
        <f>+CD220+16.9</f>
        <v>873.08399999999995</v>
      </c>
      <c r="CE249" s="487"/>
      <c r="CF249" s="487"/>
      <c r="CG249" s="487"/>
      <c r="CH249" s="831">
        <f>+CH220+16.9</f>
        <v>822.98</v>
      </c>
      <c r="CI249" s="487"/>
      <c r="CJ249" s="487"/>
      <c r="CK249" s="487"/>
      <c r="CL249" s="831">
        <f>+CL220+16.9</f>
        <v>782.952</v>
      </c>
      <c r="CM249" s="487"/>
      <c r="CN249" s="487"/>
      <c r="CO249" s="487"/>
      <c r="CP249" s="831">
        <f>+CP220+16.9</f>
        <v>762.64099999999996</v>
      </c>
      <c r="CQ249" s="487"/>
      <c r="CR249" s="487"/>
      <c r="CS249" s="487"/>
      <c r="CT249" s="831">
        <f>+CT220+16.9</f>
        <v>741.00799999999992</v>
      </c>
      <c r="CU249" s="487"/>
      <c r="CV249" s="487"/>
      <c r="CW249" s="794"/>
      <c r="CX249" s="831">
        <f>+CX220+16.9</f>
        <v>717.90499999999997</v>
      </c>
      <c r="CY249" s="487"/>
      <c r="CZ249" s="487"/>
      <c r="DA249" s="794"/>
      <c r="DB249" s="831">
        <f>+DB220+16.9</f>
        <v>697.74400000000003</v>
      </c>
      <c r="DC249" s="487"/>
      <c r="DD249" s="487"/>
      <c r="DE249" s="794"/>
      <c r="DF249" s="831">
        <f>+DF220+16.9</f>
        <v>678.62099999999998</v>
      </c>
      <c r="DG249" s="487"/>
      <c r="DH249" s="487"/>
      <c r="DI249" s="794"/>
      <c r="DJ249" s="831">
        <f>+DJ220+16.9</f>
        <v>659.78099999999995</v>
      </c>
      <c r="DK249" s="487"/>
      <c r="DL249" s="487"/>
      <c r="DM249" s="794"/>
      <c r="DN249" s="831">
        <f>+DN220+16.9</f>
        <v>640.35594117647054</v>
      </c>
      <c r="DO249" s="487"/>
      <c r="DP249" s="487"/>
      <c r="DQ249" s="794"/>
      <c r="DR249" s="794"/>
      <c r="DS249" s="794"/>
      <c r="DT249" s="794"/>
      <c r="DU249" s="794"/>
      <c r="DV249" s="794"/>
      <c r="DW249" s="794"/>
      <c r="DX249" s="794"/>
      <c r="DY249" s="794"/>
      <c r="DZ249" s="794"/>
      <c r="EA249" s="794"/>
      <c r="EB249" s="794"/>
    </row>
    <row r="250" spans="1:132" hidden="1" outlineLevel="1">
      <c r="A250" s="487" t="str">
        <f>$A$12</f>
        <v>3Q</v>
      </c>
      <c r="B250" s="487" t="str">
        <f>$B$12</f>
        <v>Oct</v>
      </c>
      <c r="C250" s="487"/>
      <c r="D250" s="487"/>
      <c r="E250" s="487"/>
      <c r="F250" s="831">
        <v>0.82399999999999995</v>
      </c>
      <c r="G250" s="487"/>
      <c r="H250" s="487"/>
      <c r="I250" s="487"/>
      <c r="J250" s="831">
        <v>0.78</v>
      </c>
      <c r="K250" s="487"/>
      <c r="L250" s="487"/>
      <c r="M250" s="487"/>
      <c r="N250" s="831">
        <v>0.76700000000000002</v>
      </c>
      <c r="O250" s="487"/>
      <c r="P250" s="487"/>
      <c r="Q250" s="487"/>
      <c r="R250" s="831"/>
      <c r="S250" s="487"/>
      <c r="T250" s="487"/>
      <c r="U250" s="487"/>
      <c r="V250" s="487"/>
      <c r="W250" s="487"/>
      <c r="X250" s="487"/>
      <c r="Y250" s="487"/>
      <c r="Z250" s="487"/>
      <c r="AA250" s="487"/>
      <c r="AB250" s="487"/>
      <c r="AC250" s="487"/>
      <c r="AD250" s="487"/>
      <c r="AE250" s="487"/>
      <c r="AF250" s="487"/>
      <c r="AG250" s="487"/>
      <c r="AH250" s="487"/>
      <c r="AI250" s="487"/>
      <c r="AJ250" s="487"/>
      <c r="AK250" s="487"/>
      <c r="AL250" s="487"/>
      <c r="AM250" s="487"/>
      <c r="AN250" s="487"/>
      <c r="AO250" s="487"/>
      <c r="AP250" s="487"/>
      <c r="AQ250" s="487"/>
      <c r="AR250" s="487"/>
      <c r="AS250" s="487"/>
      <c r="AT250" s="487"/>
      <c r="AU250" s="487"/>
      <c r="AV250" s="487"/>
      <c r="AW250" s="487"/>
      <c r="AX250" s="487"/>
      <c r="AY250" s="487"/>
      <c r="AZ250" s="487"/>
      <c r="BA250" s="487"/>
      <c r="BB250" s="487"/>
      <c r="BC250" s="487"/>
      <c r="BD250" s="487"/>
      <c r="BE250" s="487"/>
      <c r="BF250" s="487"/>
      <c r="BG250" s="487" t="str">
        <f>$A$13</f>
        <v>4Q</v>
      </c>
      <c r="BH250" s="487" t="str">
        <f>$B$13</f>
        <v>Jan</v>
      </c>
      <c r="BI250" s="487"/>
      <c r="BJ250" s="849">
        <f>+BJ221+16.9</f>
        <v>1029.925268</v>
      </c>
      <c r="BK250" s="487"/>
      <c r="BL250" s="487"/>
      <c r="BM250" s="487"/>
      <c r="BN250" s="849">
        <f>+BN221+16.9</f>
        <v>987.80454599999996</v>
      </c>
      <c r="BO250" s="487"/>
      <c r="BP250" s="487"/>
      <c r="BQ250" s="487"/>
      <c r="BR250" s="849">
        <f>+BR221+16.9</f>
        <v>974.32727999999997</v>
      </c>
      <c r="BS250" s="487"/>
      <c r="BT250" s="487"/>
      <c r="BU250" s="487"/>
      <c r="BV250" s="849">
        <f>+BV221+16.9</f>
        <v>929.15199999999993</v>
      </c>
      <c r="BW250" s="487"/>
      <c r="BX250" s="487"/>
      <c r="BY250" s="487"/>
      <c r="BZ250" s="849">
        <f>+BZ221+16.9</f>
        <v>877.97</v>
      </c>
      <c r="CA250" s="487"/>
      <c r="CB250" s="487"/>
      <c r="CC250" s="487"/>
      <c r="CD250" s="849">
        <f>+CD221+16.9</f>
        <v>855.26599999999996</v>
      </c>
      <c r="CE250" s="487"/>
      <c r="CF250" s="487"/>
      <c r="CG250" s="487"/>
      <c r="CH250" s="849">
        <f>+CH221+16.9</f>
        <v>812.06</v>
      </c>
      <c r="CI250" s="487"/>
      <c r="CJ250" s="487"/>
      <c r="CK250" s="487"/>
      <c r="CL250" s="849">
        <f>+CL221+16.9</f>
        <v>779.71899999999994</v>
      </c>
      <c r="CM250" s="487"/>
      <c r="CN250" s="487"/>
      <c r="CO250" s="487"/>
      <c r="CP250" s="849">
        <f>+CP221+16.9</f>
        <v>754.81200000000001</v>
      </c>
      <c r="CQ250" s="487"/>
      <c r="CR250" s="487"/>
      <c r="CS250" s="487"/>
      <c r="CT250" s="849">
        <f>+CT221+16.9</f>
        <v>736.39199999999994</v>
      </c>
      <c r="CU250" s="487"/>
      <c r="CV250" s="487"/>
      <c r="CW250" s="794"/>
      <c r="CX250" s="849">
        <f>+CX221+16.9</f>
        <v>712.82799999999997</v>
      </c>
      <c r="CY250" s="487"/>
      <c r="CZ250" s="487"/>
      <c r="DA250" s="794"/>
      <c r="DB250" s="849">
        <f>+DB221+16.9</f>
        <v>691.57600000000002</v>
      </c>
      <c r="DC250" s="487"/>
      <c r="DD250" s="487"/>
      <c r="DE250" s="794"/>
      <c r="DF250" s="849">
        <f>+DF221+16.9</f>
        <v>674.28599999999994</v>
      </c>
      <c r="DG250" s="487"/>
      <c r="DH250" s="487"/>
      <c r="DI250" s="794"/>
      <c r="DJ250" s="849">
        <f>+DJ221+16.9</f>
        <v>655.303</v>
      </c>
      <c r="DK250" s="487"/>
      <c r="DL250" s="487"/>
      <c r="DM250" s="794"/>
      <c r="DN250" s="849">
        <f>+DN221+16.9</f>
        <v>634.5088823529411</v>
      </c>
      <c r="DO250" s="487"/>
      <c r="DP250" s="487"/>
      <c r="DQ250" s="794"/>
      <c r="DR250" s="794"/>
      <c r="DS250" s="794"/>
      <c r="DT250" s="794"/>
      <c r="DU250" s="794"/>
      <c r="DV250" s="794"/>
      <c r="DW250" s="794"/>
      <c r="DX250" s="794"/>
      <c r="DY250" s="794"/>
      <c r="DZ250" s="794"/>
      <c r="EA250" s="794"/>
      <c r="EB250" s="794"/>
    </row>
    <row r="251" spans="1:132" hidden="1" outlineLevel="1">
      <c r="A251" s="487" t="str">
        <f>$A$13</f>
        <v>4Q</v>
      </c>
      <c r="B251" s="487" t="str">
        <f>$B$13</f>
        <v>Jan</v>
      </c>
      <c r="C251" s="487"/>
      <c r="D251" s="487"/>
      <c r="E251" s="487"/>
      <c r="F251" s="849">
        <v>0</v>
      </c>
      <c r="G251" s="487"/>
      <c r="H251" s="487"/>
      <c r="I251" s="487"/>
      <c r="J251" s="849"/>
      <c r="K251" s="487"/>
      <c r="L251" s="487"/>
      <c r="M251" s="487"/>
      <c r="N251" s="849">
        <f>N252-N250-N249</f>
        <v>1.5350000000000001</v>
      </c>
      <c r="O251" s="487"/>
      <c r="P251" s="487"/>
      <c r="Q251" s="487"/>
      <c r="R251" s="849"/>
      <c r="S251" s="487"/>
      <c r="T251" s="487"/>
      <c r="U251" s="487"/>
      <c r="V251" s="487"/>
      <c r="W251" s="487"/>
      <c r="X251" s="487"/>
      <c r="Y251" s="487"/>
      <c r="Z251" s="487"/>
      <c r="AA251" s="487"/>
      <c r="AB251" s="487"/>
      <c r="AC251" s="487"/>
      <c r="AD251" s="487"/>
      <c r="AE251" s="487"/>
      <c r="AF251" s="487"/>
      <c r="AG251" s="487"/>
      <c r="AH251" s="487"/>
      <c r="AI251" s="487"/>
      <c r="AJ251" s="487"/>
      <c r="AK251" s="487"/>
      <c r="AL251" s="487"/>
      <c r="AM251" s="487"/>
      <c r="AN251" s="487"/>
      <c r="AO251" s="487"/>
      <c r="AP251" s="487"/>
      <c r="AQ251" s="487"/>
      <c r="AR251" s="487"/>
      <c r="AS251" s="487"/>
      <c r="AT251" s="487"/>
      <c r="AU251" s="487"/>
      <c r="AV251" s="487"/>
      <c r="AW251" s="487"/>
      <c r="AX251" s="487"/>
      <c r="AY251" s="487"/>
      <c r="AZ251" s="487"/>
      <c r="BA251" s="487"/>
      <c r="BB251" s="487"/>
      <c r="BC251" s="487"/>
      <c r="BD251" s="487"/>
      <c r="BE251" s="487"/>
      <c r="BF251" s="487"/>
      <c r="BG251" s="487"/>
      <c r="BH251" s="487" t="str">
        <f>$B$14</f>
        <v>Year</v>
      </c>
      <c r="BI251" s="487"/>
      <c r="BJ251" s="902">
        <f>AVERAGE(BJ247:BJ250)</f>
        <v>1042.4459215000002</v>
      </c>
      <c r="BK251" s="487"/>
      <c r="BL251" s="487"/>
      <c r="BM251" s="487"/>
      <c r="BN251" s="902">
        <f>AVERAGE(BN247:BN250)</f>
        <v>997.83960949999994</v>
      </c>
      <c r="BO251" s="487"/>
      <c r="BP251" s="487"/>
      <c r="BQ251" s="487"/>
      <c r="BR251" s="902">
        <f>AVERAGE(BR247:BR250)</f>
        <v>977.21859700000005</v>
      </c>
      <c r="BS251" s="487"/>
      <c r="BT251" s="487"/>
      <c r="BU251" s="487"/>
      <c r="BV251" s="902">
        <f>AVERAGE(BV247:BV250)</f>
        <v>953.40230299999996</v>
      </c>
      <c r="BW251" s="487"/>
      <c r="BX251" s="487"/>
      <c r="BY251" s="487"/>
      <c r="BZ251" s="902">
        <f>AVERAGE(BZ247:BZ250)</f>
        <v>900.45399999999995</v>
      </c>
      <c r="CA251" s="487"/>
      <c r="CB251" s="487"/>
      <c r="CC251" s="487"/>
      <c r="CD251" s="902">
        <f>AVERAGE(CD247:CD250)</f>
        <v>871.72399999999993</v>
      </c>
      <c r="CE251" s="487"/>
      <c r="CF251" s="487"/>
      <c r="CG251" s="487"/>
      <c r="CH251" s="902">
        <f>AVERAGE(CH247:CH250)</f>
        <v>829.28099999999995</v>
      </c>
      <c r="CI251" s="487"/>
      <c r="CJ251" s="487"/>
      <c r="CK251" s="487"/>
      <c r="CL251" s="902">
        <f>AVERAGE(CL247:CL250)</f>
        <v>789.93225000000007</v>
      </c>
      <c r="CM251" s="487"/>
      <c r="CN251" s="487"/>
      <c r="CO251" s="487"/>
      <c r="CP251" s="902">
        <f>AVERAGE(CP247:CP250)</f>
        <v>764.62799999999993</v>
      </c>
      <c r="CQ251" s="487"/>
      <c r="CR251" s="487"/>
      <c r="CS251" s="487"/>
      <c r="CT251" s="902">
        <f>AVERAGE(CT247:CT250)</f>
        <v>743.08849999999995</v>
      </c>
      <c r="CU251" s="487"/>
      <c r="CV251" s="487"/>
      <c r="CW251" s="794"/>
      <c r="CX251" s="902">
        <f>AVERAGE(CX247:CX250)</f>
        <v>720.65874999999994</v>
      </c>
      <c r="CY251" s="487"/>
      <c r="CZ251" s="487"/>
      <c r="DA251" s="794"/>
      <c r="DB251" s="902">
        <f>AVERAGE(DB247:DB250)</f>
        <v>699.91200000000003</v>
      </c>
      <c r="DC251" s="487"/>
      <c r="DD251" s="487"/>
      <c r="DE251" s="794"/>
      <c r="DF251" s="902">
        <f>AVERAGE(DF247:DF250)</f>
        <v>680.92525000000001</v>
      </c>
      <c r="DG251" s="487"/>
      <c r="DH251" s="487"/>
      <c r="DI251" s="794"/>
      <c r="DJ251" s="902">
        <f>AVERAGE(DJ247:DJ250)</f>
        <v>663</v>
      </c>
      <c r="DK251" s="487"/>
      <c r="DL251" s="487"/>
      <c r="DM251" s="794"/>
      <c r="DN251" s="902">
        <f>AVERAGE(DN247:DN250)</f>
        <v>642.83829411764691</v>
      </c>
      <c r="DO251" s="487"/>
      <c r="DP251" s="487"/>
      <c r="DQ251" s="794"/>
      <c r="DR251" s="794"/>
      <c r="DS251" s="794"/>
      <c r="DT251" s="794"/>
      <c r="DU251" s="794"/>
      <c r="DV251" s="794"/>
      <c r="DW251" s="794"/>
      <c r="DX251" s="794"/>
      <c r="DY251" s="794"/>
      <c r="DZ251" s="794"/>
      <c r="EA251" s="794"/>
      <c r="EB251" s="794"/>
    </row>
    <row r="252" spans="1:132" hidden="1" outlineLevel="1">
      <c r="A252" s="487"/>
      <c r="B252" s="487" t="str">
        <f>$B$14</f>
        <v>Year</v>
      </c>
      <c r="C252" s="487"/>
      <c r="D252" s="487"/>
      <c r="E252" s="487"/>
      <c r="F252" s="1053">
        <v>3.3159999999999998</v>
      </c>
      <c r="G252" s="487"/>
      <c r="H252" s="487"/>
      <c r="I252" s="487"/>
      <c r="J252" s="860">
        <v>0</v>
      </c>
      <c r="K252" s="487"/>
      <c r="L252" s="487"/>
      <c r="M252" s="487"/>
      <c r="N252" s="860">
        <v>3.069</v>
      </c>
      <c r="O252" s="487"/>
      <c r="P252" s="487"/>
      <c r="Q252" s="487"/>
      <c r="R252" s="860"/>
      <c r="S252" s="487"/>
      <c r="T252" s="487"/>
      <c r="U252" s="487"/>
      <c r="V252" s="487"/>
      <c r="W252" s="487"/>
      <c r="X252" s="487"/>
      <c r="Y252" s="487"/>
      <c r="Z252" s="487"/>
      <c r="AA252" s="487"/>
      <c r="AB252" s="487"/>
      <c r="AC252" s="487"/>
      <c r="AD252" s="487"/>
      <c r="AE252" s="487"/>
      <c r="AF252" s="487"/>
      <c r="AG252" s="487"/>
      <c r="AH252" s="487"/>
      <c r="AI252" s="487"/>
      <c r="AJ252" s="487"/>
      <c r="AK252" s="487"/>
      <c r="AL252" s="487"/>
      <c r="AM252" s="487"/>
      <c r="AN252" s="487"/>
      <c r="AO252" s="487"/>
      <c r="AP252" s="487"/>
      <c r="AQ252" s="487"/>
      <c r="AR252" s="487"/>
      <c r="AS252" s="487"/>
      <c r="AT252" s="487"/>
      <c r="AU252" s="487"/>
      <c r="AV252" s="487"/>
      <c r="AW252" s="487"/>
      <c r="AX252" s="487"/>
      <c r="AY252" s="487"/>
      <c r="AZ252" s="487"/>
      <c r="BA252" s="487"/>
      <c r="BB252" s="487"/>
      <c r="BC252" s="487"/>
      <c r="BD252" s="487"/>
      <c r="BE252" s="487"/>
      <c r="BF252" s="487"/>
      <c r="BG252" s="487" t="str">
        <f>$A$15</f>
        <v>6 Mos</v>
      </c>
      <c r="BH252" s="487"/>
      <c r="BI252" s="487"/>
      <c r="BJ252" s="948"/>
      <c r="BK252" s="487"/>
      <c r="BL252" s="487"/>
      <c r="BM252" s="487"/>
      <c r="BN252" s="948"/>
      <c r="BO252" s="487"/>
      <c r="BP252" s="487"/>
      <c r="BQ252" s="487"/>
      <c r="BR252" s="948"/>
      <c r="BS252" s="487"/>
      <c r="BT252" s="487"/>
      <c r="BU252" s="487"/>
      <c r="BV252" s="948"/>
      <c r="BW252" s="487"/>
      <c r="BX252" s="487"/>
      <c r="BY252" s="487"/>
      <c r="BZ252" s="948"/>
      <c r="CA252" s="487"/>
      <c r="CB252" s="487"/>
      <c r="CC252" s="487"/>
      <c r="CD252" s="948"/>
      <c r="CE252" s="487"/>
      <c r="CF252" s="487"/>
      <c r="CG252" s="487"/>
      <c r="CH252" s="948"/>
      <c r="CI252" s="487"/>
      <c r="CJ252" s="487"/>
      <c r="CK252" s="487"/>
      <c r="CL252" s="948"/>
      <c r="CM252" s="487"/>
      <c r="CN252" s="487"/>
      <c r="CO252" s="487"/>
      <c r="CP252" s="948"/>
      <c r="CQ252" s="487"/>
      <c r="CR252" s="487"/>
      <c r="CS252" s="487"/>
      <c r="CT252" s="948"/>
      <c r="CU252" s="487"/>
      <c r="CV252" s="487"/>
      <c r="CW252" s="794"/>
      <c r="CX252" s="948"/>
      <c r="CY252" s="487"/>
      <c r="CZ252" s="487"/>
      <c r="DA252" s="794"/>
      <c r="DB252" s="948"/>
      <c r="DC252" s="487"/>
      <c r="DD252" s="487"/>
      <c r="DE252" s="794"/>
      <c r="DF252" s="948"/>
      <c r="DG252" s="487"/>
      <c r="DH252" s="487"/>
      <c r="DI252" s="794"/>
      <c r="DJ252" s="948"/>
      <c r="DK252" s="487"/>
      <c r="DL252" s="487"/>
      <c r="DM252" s="794"/>
      <c r="DN252" s="948"/>
      <c r="DO252" s="487"/>
      <c r="DP252" s="487"/>
      <c r="DQ252" s="794"/>
      <c r="DR252" s="794"/>
      <c r="DS252" s="794"/>
      <c r="DT252" s="794"/>
      <c r="DU252" s="794"/>
      <c r="DV252" s="794"/>
      <c r="DW252" s="794"/>
      <c r="DX252" s="794"/>
      <c r="DY252" s="794"/>
      <c r="DZ252" s="794"/>
      <c r="EA252" s="794"/>
      <c r="EB252" s="794"/>
    </row>
    <row r="253" spans="1:132" hidden="1" outlineLevel="1">
      <c r="A253" s="487" t="str">
        <f>$A$15</f>
        <v>6 Mos</v>
      </c>
      <c r="B253" s="487"/>
      <c r="C253" s="487"/>
      <c r="D253" s="487"/>
      <c r="E253" s="487"/>
      <c r="F253" s="487"/>
      <c r="G253" s="487"/>
      <c r="H253" s="487"/>
      <c r="I253" s="487"/>
      <c r="J253" s="864"/>
      <c r="K253" s="487"/>
      <c r="L253" s="487"/>
      <c r="M253" s="487"/>
      <c r="N253" s="864"/>
      <c r="O253" s="487"/>
      <c r="P253" s="487"/>
      <c r="Q253" s="487"/>
      <c r="R253" s="864"/>
      <c r="S253" s="487"/>
      <c r="T253" s="487"/>
      <c r="U253" s="487"/>
      <c r="V253" s="487"/>
      <c r="W253" s="487"/>
      <c r="X253" s="487"/>
      <c r="Y253" s="487"/>
      <c r="Z253" s="487"/>
      <c r="AA253" s="487"/>
      <c r="AB253" s="487"/>
      <c r="AC253" s="487"/>
      <c r="AD253" s="487"/>
      <c r="AE253" s="487"/>
      <c r="AF253" s="487"/>
      <c r="AG253" s="487"/>
      <c r="AH253" s="487"/>
      <c r="AI253" s="487"/>
      <c r="AJ253" s="487"/>
      <c r="AK253" s="487"/>
      <c r="AL253" s="487"/>
      <c r="AM253" s="487"/>
      <c r="AN253" s="487"/>
      <c r="AO253" s="487"/>
      <c r="AP253" s="487"/>
      <c r="AQ253" s="487"/>
      <c r="AR253" s="487"/>
      <c r="AS253" s="487"/>
      <c r="AT253" s="487"/>
      <c r="AU253" s="487"/>
      <c r="AV253" s="487"/>
      <c r="AW253" s="487"/>
      <c r="AX253" s="487"/>
      <c r="AY253" s="487"/>
      <c r="AZ253" s="487"/>
      <c r="BA253" s="487"/>
      <c r="BB253" s="487"/>
      <c r="BC253" s="487"/>
      <c r="BD253" s="487"/>
      <c r="BE253" s="487"/>
      <c r="BF253" s="487"/>
      <c r="BG253" s="487" t="str">
        <f>$A$16</f>
        <v>9 Mos</v>
      </c>
      <c r="BH253" s="487"/>
      <c r="BI253" s="487"/>
      <c r="BJ253" s="948"/>
      <c r="BK253" s="487"/>
      <c r="BL253" s="487"/>
      <c r="BM253" s="487"/>
      <c r="BN253" s="948"/>
      <c r="BO253" s="487"/>
      <c r="BP253" s="487"/>
      <c r="BQ253" s="487"/>
      <c r="BR253" s="948"/>
      <c r="BS253" s="487"/>
      <c r="BT253" s="487"/>
      <c r="BU253" s="487"/>
      <c r="BV253" s="948"/>
      <c r="BW253" s="487"/>
      <c r="BX253" s="487"/>
      <c r="BY253" s="487"/>
      <c r="BZ253" s="948"/>
      <c r="CA253" s="487"/>
      <c r="CB253" s="487"/>
      <c r="CC253" s="487"/>
      <c r="CD253" s="948"/>
      <c r="CE253" s="487"/>
      <c r="CF253" s="487"/>
      <c r="CG253" s="487"/>
      <c r="CH253" s="948"/>
      <c r="CI253" s="487"/>
      <c r="CJ253" s="487"/>
      <c r="CK253" s="487"/>
      <c r="CL253" s="948"/>
      <c r="CM253" s="487"/>
      <c r="CN253" s="487"/>
      <c r="CO253" s="487"/>
      <c r="CP253" s="948"/>
      <c r="CQ253" s="487"/>
      <c r="CR253" s="487"/>
      <c r="CS253" s="487"/>
      <c r="CT253" s="948"/>
      <c r="CU253" s="487"/>
      <c r="CV253" s="487"/>
      <c r="CW253" s="794"/>
      <c r="CX253" s="948"/>
      <c r="CY253" s="487"/>
      <c r="CZ253" s="487"/>
      <c r="DA253" s="794"/>
      <c r="DB253" s="948"/>
      <c r="DC253" s="487"/>
      <c r="DD253" s="487"/>
      <c r="DE253" s="794"/>
      <c r="DF253" s="948"/>
      <c r="DG253" s="487"/>
      <c r="DH253" s="487"/>
      <c r="DI253" s="794"/>
      <c r="DJ253" s="948"/>
      <c r="DK253" s="487"/>
      <c r="DL253" s="487"/>
      <c r="DM253" s="794"/>
      <c r="DN253" s="948"/>
      <c r="DO253" s="487"/>
      <c r="DP253" s="487"/>
      <c r="DQ253" s="794"/>
      <c r="DR253" s="794"/>
      <c r="DS253" s="794"/>
      <c r="DT253" s="794"/>
      <c r="DU253" s="794"/>
      <c r="DV253" s="794"/>
      <c r="DW253" s="794"/>
      <c r="DX253" s="794"/>
      <c r="DY253" s="794"/>
      <c r="DZ253" s="794"/>
      <c r="EA253" s="794"/>
      <c r="EB253" s="794"/>
    </row>
    <row r="254" spans="1:132" hidden="1" outlineLevel="1">
      <c r="A254" s="487" t="str">
        <f>$A$16</f>
        <v>9 Mos</v>
      </c>
      <c r="B254" s="487"/>
      <c r="C254" s="487"/>
      <c r="D254" s="487"/>
      <c r="E254" s="487"/>
      <c r="F254" s="487"/>
      <c r="G254" s="487"/>
      <c r="H254" s="487"/>
      <c r="I254" s="487"/>
      <c r="J254" s="864"/>
      <c r="K254" s="487"/>
      <c r="L254" s="487"/>
      <c r="M254" s="487"/>
      <c r="N254" s="864"/>
      <c r="O254" s="487"/>
      <c r="P254" s="487"/>
      <c r="Q254" s="487"/>
      <c r="R254" s="864"/>
      <c r="S254" s="487"/>
      <c r="T254" s="487"/>
      <c r="U254" s="487"/>
      <c r="V254" s="487"/>
      <c r="W254" s="487"/>
      <c r="X254" s="487"/>
      <c r="Y254" s="487"/>
      <c r="Z254" s="487"/>
      <c r="AA254" s="487"/>
      <c r="AB254" s="487"/>
      <c r="AC254" s="487"/>
      <c r="AD254" s="487"/>
      <c r="AE254" s="487"/>
      <c r="AF254" s="487"/>
      <c r="AG254" s="487"/>
      <c r="AH254" s="487"/>
      <c r="AI254" s="487"/>
      <c r="AJ254" s="487"/>
      <c r="AK254" s="487"/>
      <c r="AL254" s="487"/>
      <c r="AM254" s="487"/>
      <c r="AN254" s="487"/>
      <c r="AO254" s="487"/>
      <c r="AP254" s="487"/>
      <c r="AQ254" s="487"/>
      <c r="AR254" s="487"/>
      <c r="AS254" s="487"/>
      <c r="AT254" s="487"/>
      <c r="AU254" s="487"/>
      <c r="AV254" s="487"/>
      <c r="AW254" s="487"/>
      <c r="AX254" s="487"/>
      <c r="AY254" s="487"/>
      <c r="AZ254" s="487"/>
      <c r="BA254" s="487"/>
      <c r="BB254" s="487"/>
      <c r="BC254" s="487"/>
      <c r="BD254" s="487"/>
      <c r="BE254" s="487"/>
      <c r="BF254" s="487"/>
      <c r="BG254" s="487"/>
      <c r="BH254" s="487"/>
      <c r="BI254" s="487"/>
      <c r="BJ254" s="487"/>
      <c r="BK254" s="487"/>
      <c r="BL254" s="487"/>
      <c r="BM254" s="487"/>
      <c r="BN254" s="487"/>
      <c r="BO254" s="487"/>
      <c r="BP254" s="487"/>
      <c r="BQ254" s="487"/>
      <c r="BR254" s="487"/>
      <c r="BS254" s="487"/>
      <c r="BT254" s="487"/>
      <c r="BU254" s="487"/>
      <c r="BV254" s="487"/>
      <c r="BW254" s="487"/>
      <c r="BX254" s="487"/>
      <c r="BY254" s="487"/>
      <c r="BZ254" s="487"/>
      <c r="CA254" s="487"/>
      <c r="CB254" s="487"/>
      <c r="CC254" s="487"/>
      <c r="CD254" s="487"/>
      <c r="CE254" s="487"/>
      <c r="CF254" s="487"/>
      <c r="CG254" s="487"/>
      <c r="CH254" s="487"/>
      <c r="CI254" s="487"/>
      <c r="CJ254" s="487"/>
      <c r="CK254" s="487"/>
      <c r="CL254" s="487"/>
      <c r="CM254" s="487"/>
      <c r="CN254" s="487"/>
      <c r="CO254" s="487"/>
      <c r="CP254" s="487"/>
      <c r="CQ254" s="487"/>
      <c r="CR254" s="487"/>
      <c r="CS254" s="487"/>
      <c r="CT254" s="487"/>
      <c r="CU254" s="487"/>
      <c r="CV254" s="487"/>
      <c r="CW254" s="794"/>
      <c r="CX254" s="487"/>
      <c r="CY254" s="487"/>
      <c r="CZ254" s="487"/>
      <c r="DA254" s="794"/>
      <c r="DB254" s="487"/>
      <c r="DC254" s="487"/>
      <c r="DD254" s="487"/>
      <c r="DE254" s="794"/>
      <c r="DF254" s="487"/>
      <c r="DG254" s="487"/>
      <c r="DH254" s="487"/>
      <c r="DI254" s="794"/>
      <c r="DJ254" s="487"/>
      <c r="DK254" s="487"/>
      <c r="DL254" s="487"/>
      <c r="DM254" s="794"/>
      <c r="DN254" s="487"/>
      <c r="DO254" s="487"/>
      <c r="DP254" s="487"/>
      <c r="DQ254" s="794"/>
      <c r="DR254" s="794"/>
      <c r="DS254" s="794"/>
      <c r="DT254" s="794"/>
      <c r="DU254" s="794"/>
      <c r="DV254" s="794"/>
      <c r="DW254" s="794"/>
      <c r="DX254" s="794"/>
      <c r="DY254" s="794"/>
      <c r="DZ254" s="794"/>
      <c r="EA254" s="794"/>
      <c r="EB254" s="794"/>
    </row>
    <row r="255" spans="1:132" hidden="1" outlineLevel="1">
      <c r="A255" s="487"/>
      <c r="B255" s="487"/>
      <c r="C255" s="487"/>
      <c r="D255" s="487"/>
      <c r="E255" s="487"/>
      <c r="F255" s="487"/>
      <c r="G255" s="487"/>
      <c r="H255" s="487"/>
      <c r="I255" s="487"/>
      <c r="J255" s="487"/>
      <c r="K255" s="487"/>
      <c r="L255" s="487"/>
      <c r="M255" s="487"/>
      <c r="N255" s="487"/>
      <c r="O255" s="487"/>
      <c r="P255" s="487"/>
      <c r="Q255" s="487"/>
      <c r="R255" s="487"/>
      <c r="S255" s="487"/>
      <c r="T255" s="487"/>
      <c r="U255" s="487"/>
      <c r="V255" s="487"/>
      <c r="W255" s="487"/>
      <c r="X255" s="487"/>
      <c r="Y255" s="487"/>
      <c r="Z255" s="487"/>
      <c r="AA255" s="487"/>
      <c r="AB255" s="487"/>
      <c r="AC255" s="487"/>
      <c r="AD255" s="487"/>
      <c r="AE255" s="487"/>
      <c r="AF255" s="487"/>
      <c r="AG255" s="487"/>
      <c r="AH255" s="487"/>
      <c r="AI255" s="487"/>
      <c r="AJ255" s="487"/>
      <c r="AK255" s="487"/>
      <c r="AL255" s="487"/>
      <c r="AM255" s="487"/>
      <c r="AN255" s="487"/>
      <c r="AO255" s="487"/>
      <c r="AP255" s="487"/>
      <c r="AQ255" s="487"/>
      <c r="AR255" s="487"/>
      <c r="AS255" s="487"/>
      <c r="AT255" s="487"/>
      <c r="AU255" s="487"/>
      <c r="AV255" s="487"/>
      <c r="AW255" s="487"/>
      <c r="AX255" s="487"/>
      <c r="AY255" s="487"/>
      <c r="AZ255" s="487"/>
      <c r="BA255" s="487"/>
      <c r="BB255" s="487"/>
      <c r="BC255" s="487"/>
      <c r="BD255" s="487"/>
      <c r="BE255" s="487"/>
      <c r="BF255" s="487"/>
      <c r="BG255" s="487"/>
      <c r="BH255" s="487" t="s">
        <v>438</v>
      </c>
      <c r="BI255" s="487"/>
      <c r="BJ255" s="487"/>
      <c r="BK255" s="487"/>
      <c r="BL255" s="487"/>
      <c r="BM255" s="487"/>
      <c r="BN255" s="487"/>
      <c r="BO255" s="487"/>
      <c r="BP255" s="487"/>
      <c r="BQ255" s="487"/>
      <c r="BR255" s="487"/>
      <c r="BS255" s="487"/>
      <c r="BT255" s="487"/>
      <c r="BU255" s="487"/>
      <c r="BV255" s="487"/>
      <c r="BW255" s="487"/>
      <c r="BX255" s="487"/>
      <c r="BY255" s="487"/>
      <c r="BZ255" s="487"/>
      <c r="CA255" s="487"/>
      <c r="CB255" s="487"/>
      <c r="CC255" s="487"/>
      <c r="CD255" s="487"/>
      <c r="CE255" s="487"/>
      <c r="CF255" s="487"/>
      <c r="CG255" s="487"/>
      <c r="CH255" s="487"/>
      <c r="CI255" s="487"/>
      <c r="CJ255" s="487"/>
      <c r="CK255" s="487"/>
      <c r="CL255" s="487"/>
      <c r="CM255" s="487"/>
      <c r="CN255" s="487"/>
      <c r="CO255" s="487"/>
      <c r="CP255" s="487"/>
      <c r="CQ255" s="487"/>
      <c r="CR255" s="487"/>
      <c r="CS255" s="487"/>
      <c r="CT255" s="487"/>
      <c r="CU255" s="487"/>
      <c r="CV255" s="487"/>
      <c r="CW255" s="794"/>
      <c r="CX255" s="487"/>
      <c r="CY255" s="487"/>
      <c r="CZ255" s="487"/>
      <c r="DA255" s="794"/>
      <c r="DB255" s="487"/>
      <c r="DC255" s="487"/>
      <c r="DD255" s="487"/>
      <c r="DE255" s="794"/>
      <c r="DF255" s="487"/>
      <c r="DG255" s="487"/>
      <c r="DH255" s="487"/>
      <c r="DI255" s="794"/>
      <c r="DJ255" s="487"/>
      <c r="DK255" s="487"/>
      <c r="DL255" s="487"/>
      <c r="DM255" s="794"/>
      <c r="DN255" s="487"/>
      <c r="DO255" s="487"/>
      <c r="DP255" s="487"/>
      <c r="DQ255" s="794"/>
      <c r="DR255" s="794"/>
      <c r="DS255" s="794"/>
      <c r="DT255" s="794"/>
      <c r="DU255" s="794"/>
      <c r="DV255" s="794"/>
      <c r="DW255" s="794"/>
      <c r="DX255" s="794"/>
      <c r="DY255" s="794"/>
      <c r="DZ255" s="794"/>
      <c r="EA255" s="794"/>
      <c r="EB255" s="794"/>
    </row>
    <row r="256" spans="1:132" hidden="1" outlineLevel="1">
      <c r="A256" s="487" t="s">
        <v>696</v>
      </c>
      <c r="B256" s="487"/>
      <c r="C256" s="487"/>
      <c r="D256" s="487"/>
      <c r="E256" s="487"/>
      <c r="F256" s="487"/>
      <c r="G256" s="487"/>
      <c r="H256" s="487"/>
      <c r="I256" s="487"/>
      <c r="J256" s="487"/>
      <c r="K256" s="487"/>
      <c r="L256" s="487"/>
      <c r="M256" s="487"/>
      <c r="N256" s="487"/>
      <c r="O256" s="487"/>
      <c r="P256" s="487"/>
      <c r="Q256" s="487"/>
      <c r="R256" s="487"/>
      <c r="S256" s="487"/>
      <c r="T256" s="487"/>
      <c r="U256" s="487"/>
      <c r="V256" s="487"/>
      <c r="W256" s="487"/>
      <c r="X256" s="487"/>
      <c r="Y256" s="487"/>
      <c r="Z256" s="487"/>
      <c r="AA256" s="487"/>
      <c r="AB256" s="487"/>
      <c r="AC256" s="487"/>
      <c r="AD256" s="487"/>
      <c r="AE256" s="487"/>
      <c r="AF256" s="487"/>
      <c r="AG256" s="487"/>
      <c r="AH256" s="487"/>
      <c r="AI256" s="487"/>
      <c r="AJ256" s="487"/>
      <c r="AK256" s="487"/>
      <c r="AL256" s="487"/>
      <c r="AM256" s="487"/>
      <c r="AN256" s="487"/>
      <c r="AO256" s="487"/>
      <c r="AP256" s="487"/>
      <c r="AQ256" s="487"/>
      <c r="AR256" s="487"/>
      <c r="AS256" s="487"/>
      <c r="AT256" s="487"/>
      <c r="AU256" s="487"/>
      <c r="AV256" s="487"/>
      <c r="AW256" s="487"/>
      <c r="AX256" s="487"/>
      <c r="AY256" s="487"/>
      <c r="AZ256" s="487"/>
      <c r="BA256" s="487"/>
      <c r="BB256" s="487"/>
      <c r="BC256" s="487"/>
      <c r="BD256" s="487"/>
      <c r="BE256" s="487"/>
      <c r="BF256" s="487"/>
      <c r="BG256" s="487" t="str">
        <f>$A$10</f>
        <v>1Q</v>
      </c>
      <c r="BH256" s="487" t="str">
        <f>$B$10</f>
        <v>Apr</v>
      </c>
      <c r="BI256" s="487"/>
      <c r="BJ256" s="867">
        <f>+BJ147/BJ247</f>
        <v>0.14614625207991253</v>
      </c>
      <c r="BK256" s="487"/>
      <c r="BL256" s="487"/>
      <c r="BM256" s="487"/>
      <c r="BN256" s="867">
        <f>+BN147/BN247</f>
        <v>0.13408870852674165</v>
      </c>
      <c r="BO256" s="487"/>
      <c r="BP256" s="487"/>
      <c r="BQ256" s="487"/>
      <c r="BR256" s="867">
        <f>+BR147/BR247</f>
        <v>0.16605476243704753</v>
      </c>
      <c r="BS256" s="487"/>
      <c r="BT256" s="487"/>
      <c r="BU256" s="487"/>
      <c r="BV256" s="867">
        <f>+BV147/BV247</f>
        <v>0.18299343459221917</v>
      </c>
      <c r="BW256" s="487"/>
      <c r="BX256" s="487"/>
      <c r="BY256" s="487"/>
      <c r="BZ256" s="867">
        <f>+BZ147/BZ247</f>
        <v>0.21575631305151358</v>
      </c>
      <c r="CA256" s="487"/>
      <c r="CB256" s="487"/>
      <c r="CC256" s="487"/>
      <c r="CD256" s="867">
        <f>+CD147/CD247</f>
        <v>0.23754342938892312</v>
      </c>
      <c r="CE256" s="487"/>
      <c r="CF256" s="487"/>
      <c r="CG256" s="487"/>
      <c r="CH256" s="867">
        <f>+CH147/CH247</f>
        <v>0.39190493082653421</v>
      </c>
      <c r="CI256" s="487"/>
      <c r="CJ256" s="487"/>
      <c r="CK256" s="487"/>
      <c r="CL256" s="867">
        <f>+CL147/CL247</f>
        <v>0.38329861673632265</v>
      </c>
      <c r="CM256" s="487"/>
      <c r="CN256" s="487"/>
      <c r="CO256" s="487"/>
      <c r="CP256" s="867">
        <f>+CP147/CP247</f>
        <v>0.5423616537890279</v>
      </c>
      <c r="CQ256" s="487"/>
      <c r="CR256" s="487"/>
      <c r="CS256" s="487"/>
      <c r="CT256" s="867">
        <f>+CT147/CT247</f>
        <v>0.60429245251549468</v>
      </c>
      <c r="CU256" s="487"/>
      <c r="CV256" s="487"/>
      <c r="CW256" s="794"/>
      <c r="CX256" s="867">
        <f>+CX147/CX247</f>
        <v>0.62252090292983631</v>
      </c>
      <c r="CY256" s="487"/>
      <c r="CZ256" s="487"/>
      <c r="DA256" s="794"/>
      <c r="DB256" s="867">
        <f>+DB147/DB247</f>
        <v>0.67024004880625188</v>
      </c>
      <c r="DC256" s="487"/>
      <c r="DD256" s="487"/>
      <c r="DE256" s="794"/>
      <c r="DF256" s="867">
        <f>+DF147/DF247</f>
        <v>0.73964044185261468</v>
      </c>
      <c r="DG256" s="487"/>
      <c r="DH256" s="487"/>
      <c r="DI256" s="794"/>
      <c r="DJ256" s="867">
        <f>+DJ147/DJ247</f>
        <v>0</v>
      </c>
      <c r="DK256" s="487"/>
      <c r="DL256" s="487"/>
      <c r="DM256" s="794"/>
      <c r="DN256" s="867">
        <f>+DN147/DN247</f>
        <v>0</v>
      </c>
      <c r="DO256" s="487"/>
      <c r="DP256" s="487"/>
      <c r="DQ256" s="794"/>
      <c r="DR256" s="794"/>
      <c r="DS256" s="794"/>
      <c r="DT256" s="794"/>
      <c r="DU256" s="794"/>
      <c r="DV256" s="794"/>
      <c r="DW256" s="794"/>
      <c r="DX256" s="794"/>
      <c r="DY256" s="794"/>
      <c r="DZ256" s="794"/>
      <c r="EA256" s="794"/>
      <c r="EB256" s="794"/>
    </row>
    <row r="257" spans="1:132" hidden="1" outlineLevel="1">
      <c r="A257" s="487"/>
      <c r="B257" s="487"/>
      <c r="C257" s="487"/>
      <c r="D257" s="487"/>
      <c r="E257" s="487"/>
      <c r="F257" s="487"/>
      <c r="G257" s="487"/>
      <c r="H257" s="487"/>
      <c r="I257" s="487"/>
      <c r="J257" s="487"/>
      <c r="K257" s="487"/>
      <c r="L257" s="487"/>
      <c r="M257" s="487"/>
      <c r="N257" s="487"/>
      <c r="O257" s="487"/>
      <c r="P257" s="487"/>
      <c r="Q257" s="487"/>
      <c r="R257" s="487"/>
      <c r="S257" s="487"/>
      <c r="T257" s="487"/>
      <c r="U257" s="487"/>
      <c r="V257" s="487"/>
      <c r="W257" s="487"/>
      <c r="X257" s="487"/>
      <c r="Y257" s="487"/>
      <c r="Z257" s="487"/>
      <c r="AA257" s="487"/>
      <c r="AB257" s="487"/>
      <c r="AC257" s="487"/>
      <c r="AD257" s="487"/>
      <c r="AE257" s="487"/>
      <c r="AF257" s="487"/>
      <c r="AG257" s="487"/>
      <c r="AH257" s="487"/>
      <c r="AI257" s="487"/>
      <c r="AJ257" s="487"/>
      <c r="AK257" s="487"/>
      <c r="AL257" s="487"/>
      <c r="AM257" s="487"/>
      <c r="AN257" s="487"/>
      <c r="AO257" s="487"/>
      <c r="AP257" s="487"/>
      <c r="AQ257" s="487"/>
      <c r="AR257" s="487"/>
      <c r="AS257" s="487"/>
      <c r="AT257" s="487"/>
      <c r="AU257" s="487"/>
      <c r="AV257" s="487"/>
      <c r="AW257" s="487"/>
      <c r="AX257" s="487"/>
      <c r="AY257" s="487"/>
      <c r="AZ257" s="487"/>
      <c r="BA257" s="487"/>
      <c r="BB257" s="487"/>
      <c r="BC257" s="487"/>
      <c r="BD257" s="487"/>
      <c r="BE257" s="487"/>
      <c r="BF257" s="487"/>
      <c r="BG257" s="487" t="str">
        <f>$A$11</f>
        <v>2Q</v>
      </c>
      <c r="BH257" s="487" t="str">
        <f>$B$11</f>
        <v>Jul</v>
      </c>
      <c r="BI257" s="487"/>
      <c r="BJ257" s="792">
        <f>+BJ148/BJ248</f>
        <v>0.10042539519851865</v>
      </c>
      <c r="BK257" s="487"/>
      <c r="BL257" s="487"/>
      <c r="BM257" s="487"/>
      <c r="BN257" s="792">
        <f>+BN148/BN248</f>
        <v>0.11053390707946073</v>
      </c>
      <c r="BO257" s="487"/>
      <c r="BP257" s="487"/>
      <c r="BQ257" s="487"/>
      <c r="BR257" s="792">
        <f>+BR148/BR248</f>
        <v>0.14284214967022363</v>
      </c>
      <c r="BS257" s="487"/>
      <c r="BT257" s="487"/>
      <c r="BU257" s="487"/>
      <c r="BV257" s="792">
        <f>+BV148/BV248</f>
        <v>0.18591761404324439</v>
      </c>
      <c r="BW257" s="487"/>
      <c r="BX257" s="487"/>
      <c r="BY257" s="487"/>
      <c r="BZ257" s="792">
        <f>+BZ148/BZ248</f>
        <v>0.23362592619521336</v>
      </c>
      <c r="CA257" s="487"/>
      <c r="CB257" s="487"/>
      <c r="CC257" s="487"/>
      <c r="CD257" s="792">
        <f>+CD148/CD248</f>
        <v>0.29797130573270197</v>
      </c>
      <c r="CE257" s="487"/>
      <c r="CF257" s="487"/>
      <c r="CG257" s="487"/>
      <c r="CH257" s="792">
        <f>+CH148/CH248</f>
        <v>0.3562911892145233</v>
      </c>
      <c r="CI257" s="487"/>
      <c r="CJ257" s="487"/>
      <c r="CK257" s="487"/>
      <c r="CL257" s="792">
        <f>+CL148/CL248</f>
        <v>0.43973742346777817</v>
      </c>
      <c r="CM257" s="487"/>
      <c r="CN257" s="487"/>
      <c r="CO257" s="487"/>
      <c r="CP257" s="792">
        <f>+CP148/CP248</f>
        <v>0.5481948022698897</v>
      </c>
      <c r="CQ257" s="487"/>
      <c r="CR257" s="487"/>
      <c r="CS257" s="487"/>
      <c r="CT257" s="792">
        <f>+CT148/CT248</f>
        <v>0.64327249265257291</v>
      </c>
      <c r="CU257" s="487"/>
      <c r="CV257" s="487"/>
      <c r="CW257" s="794"/>
      <c r="CX257" s="792">
        <f>+CX148/CX248</f>
        <v>0.73135173798642927</v>
      </c>
      <c r="CY257" s="487"/>
      <c r="CZ257" s="487"/>
      <c r="DA257" s="794"/>
      <c r="DB257" s="792">
        <f>+DB148/DB248</f>
        <v>0.78228110198769063</v>
      </c>
      <c r="DC257" s="487"/>
      <c r="DD257" s="487"/>
      <c r="DE257" s="794"/>
      <c r="DF257" s="792">
        <f>+DF148/DF248</f>
        <v>0.82248583040968137</v>
      </c>
      <c r="DG257" s="487"/>
      <c r="DH257" s="487"/>
      <c r="DI257" s="794"/>
      <c r="DJ257" s="792">
        <f>+DJ148/DJ248</f>
        <v>0</v>
      </c>
      <c r="DK257" s="487"/>
      <c r="DL257" s="487"/>
      <c r="DM257" s="794"/>
      <c r="DN257" s="792">
        <f>+DN148/DN248</f>
        <v>0</v>
      </c>
      <c r="DO257" s="487"/>
      <c r="DP257" s="487"/>
      <c r="DQ257" s="794"/>
      <c r="DR257" s="794"/>
      <c r="DS257" s="794"/>
      <c r="DT257" s="794"/>
      <c r="DU257" s="794"/>
      <c r="DV257" s="794"/>
      <c r="DW257" s="794"/>
      <c r="DX257" s="794"/>
      <c r="DY257" s="794"/>
      <c r="DZ257" s="794"/>
      <c r="EA257" s="794"/>
      <c r="EB257" s="794"/>
    </row>
    <row r="258" spans="1:132" hidden="1" outlineLevel="1">
      <c r="A258" s="487"/>
      <c r="B258" s="487"/>
      <c r="C258" s="487"/>
      <c r="D258" s="487"/>
      <c r="E258" s="487"/>
      <c r="F258" s="487"/>
      <c r="G258" s="487"/>
      <c r="H258" s="487"/>
      <c r="I258" s="487"/>
      <c r="J258" s="487"/>
      <c r="K258" s="487"/>
      <c r="L258" s="487"/>
      <c r="M258" s="487"/>
      <c r="N258" s="487"/>
      <c r="O258" s="487"/>
      <c r="P258" s="487"/>
      <c r="Q258" s="487"/>
      <c r="R258" s="487"/>
      <c r="S258" s="487"/>
      <c r="T258" s="487"/>
      <c r="U258" s="487"/>
      <c r="V258" s="487"/>
      <c r="W258" s="487"/>
      <c r="X258" s="487"/>
      <c r="Y258" s="487"/>
      <c r="Z258" s="487"/>
      <c r="AA258" s="487"/>
      <c r="AB258" s="487"/>
      <c r="AC258" s="487"/>
      <c r="AD258" s="487"/>
      <c r="AE258" s="487"/>
      <c r="AF258" s="487"/>
      <c r="AG258" s="487"/>
      <c r="AH258" s="487"/>
      <c r="AI258" s="487"/>
      <c r="AJ258" s="487"/>
      <c r="AK258" s="487"/>
      <c r="AL258" s="487"/>
      <c r="AM258" s="487"/>
      <c r="AN258" s="487"/>
      <c r="AO258" s="487"/>
      <c r="AP258" s="487"/>
      <c r="AQ258" s="487"/>
      <c r="AR258" s="487"/>
      <c r="AS258" s="487"/>
      <c r="AT258" s="487"/>
      <c r="AU258" s="487"/>
      <c r="AV258" s="487"/>
      <c r="AW258" s="487"/>
      <c r="AX258" s="487"/>
      <c r="AY258" s="487"/>
      <c r="AZ258" s="487"/>
      <c r="BA258" s="487"/>
      <c r="BB258" s="487"/>
      <c r="BC258" s="487"/>
      <c r="BD258" s="487"/>
      <c r="BE258" s="487"/>
      <c r="BF258" s="487"/>
      <c r="BG258" s="487" t="str">
        <f>$A$12</f>
        <v>3Q</v>
      </c>
      <c r="BH258" s="487" t="str">
        <f>$B$12</f>
        <v>Oct</v>
      </c>
      <c r="BI258" s="487"/>
      <c r="BJ258" s="792">
        <f>+BJ149/BJ249</f>
        <v>0.1789431305649071</v>
      </c>
      <c r="BK258" s="487"/>
      <c r="BL258" s="487"/>
      <c r="BM258" s="487"/>
      <c r="BN258" s="792">
        <f>+BN149/BN249</f>
        <v>0.1569112541545945</v>
      </c>
      <c r="BO258" s="487"/>
      <c r="BP258" s="487"/>
      <c r="BQ258" s="487"/>
      <c r="BR258" s="792">
        <f>+BR149/BR249</f>
        <v>0.23652343337632742</v>
      </c>
      <c r="BS258" s="487"/>
      <c r="BT258" s="487"/>
      <c r="BU258" s="487"/>
      <c r="BV258" s="792">
        <f>+BV149/BV249</f>
        <v>0.26561257886101847</v>
      </c>
      <c r="BW258" s="487"/>
      <c r="BX258" s="487"/>
      <c r="BY258" s="487"/>
      <c r="BZ258" s="792">
        <f>+BZ149/BZ249</f>
        <v>0.27810280076313615</v>
      </c>
      <c r="CA258" s="487"/>
      <c r="CB258" s="487"/>
      <c r="CC258" s="487"/>
      <c r="CD258" s="792">
        <f>+CD149/CD249</f>
        <v>0.3983568591338289</v>
      </c>
      <c r="CE258" s="487"/>
      <c r="CF258" s="487"/>
      <c r="CG258" s="487"/>
      <c r="CH258" s="792">
        <f>+CH149/CH249</f>
        <v>0.45239130963085339</v>
      </c>
      <c r="CI258" s="487"/>
      <c r="CJ258" s="487"/>
      <c r="CK258" s="487"/>
      <c r="CL258" s="792">
        <f>+CL149/CL249</f>
        <v>0.51917231196803781</v>
      </c>
      <c r="CM258" s="487"/>
      <c r="CN258" s="487"/>
      <c r="CO258" s="487"/>
      <c r="CP258" s="792">
        <f>+CP149/CP249</f>
        <v>0.60520087433012293</v>
      </c>
      <c r="CQ258" s="487"/>
      <c r="CR258" s="487"/>
      <c r="CS258" s="487"/>
      <c r="CT258" s="792">
        <f>+CT149/CT249</f>
        <v>0.73413933452810265</v>
      </c>
      <c r="CU258" s="487"/>
      <c r="CV258" s="487"/>
      <c r="CW258" s="794"/>
      <c r="CX258" s="792">
        <f>+CX149/CX249</f>
        <v>0.82874057152408731</v>
      </c>
      <c r="CY258" s="487"/>
      <c r="CZ258" s="487"/>
      <c r="DA258" s="794"/>
      <c r="DB258" s="792">
        <f>+DB149/DB249</f>
        <v>0.84164965947396086</v>
      </c>
      <c r="DC258" s="487"/>
      <c r="DD258" s="487"/>
      <c r="DE258" s="794"/>
      <c r="DF258" s="792">
        <f>+DF149/DF249</f>
        <v>0.88715495099621211</v>
      </c>
      <c r="DG258" s="487"/>
      <c r="DH258" s="487"/>
      <c r="DI258" s="794"/>
      <c r="DJ258" s="792">
        <f>+DJ149/DJ249</f>
        <v>0</v>
      </c>
      <c r="DK258" s="487"/>
      <c r="DL258" s="487"/>
      <c r="DM258" s="794"/>
      <c r="DN258" s="792">
        <f>+DN149/DN249</f>
        <v>0</v>
      </c>
      <c r="DO258" s="487"/>
      <c r="DP258" s="487"/>
      <c r="DQ258" s="794"/>
      <c r="DR258" s="794"/>
      <c r="DS258" s="794"/>
      <c r="DT258" s="794"/>
      <c r="DU258" s="794"/>
      <c r="DV258" s="794"/>
      <c r="DW258" s="794"/>
      <c r="DX258" s="794"/>
      <c r="DY258" s="794"/>
      <c r="DZ258" s="794"/>
      <c r="EA258" s="794"/>
      <c r="EB258" s="794"/>
    </row>
    <row r="259" spans="1:132" hidden="1" outlineLevel="1">
      <c r="A259" s="487"/>
      <c r="B259" s="487"/>
      <c r="C259" s="487"/>
      <c r="D259" s="487"/>
      <c r="E259" s="487"/>
      <c r="F259" s="487"/>
      <c r="G259" s="487"/>
      <c r="H259" s="487"/>
      <c r="I259" s="487"/>
      <c r="J259" s="487"/>
      <c r="K259" s="487"/>
      <c r="L259" s="487"/>
      <c r="M259" s="487"/>
      <c r="N259" s="487"/>
      <c r="O259" s="487"/>
      <c r="P259" s="487"/>
      <c r="Q259" s="487"/>
      <c r="R259" s="487"/>
      <c r="S259" s="487"/>
      <c r="T259" s="487"/>
      <c r="U259" s="487"/>
      <c r="V259" s="487"/>
      <c r="W259" s="487"/>
      <c r="X259" s="487"/>
      <c r="Y259" s="487"/>
      <c r="Z259" s="487"/>
      <c r="AA259" s="487"/>
      <c r="AB259" s="487"/>
      <c r="AC259" s="487"/>
      <c r="AD259" s="487"/>
      <c r="AE259" s="487"/>
      <c r="AF259" s="487"/>
      <c r="AG259" s="487"/>
      <c r="AH259" s="487"/>
      <c r="AI259" s="487"/>
      <c r="AJ259" s="487"/>
      <c r="AK259" s="487"/>
      <c r="AL259" s="487"/>
      <c r="AM259" s="487"/>
      <c r="AN259" s="487"/>
      <c r="AO259" s="487"/>
      <c r="AP259" s="487"/>
      <c r="AQ259" s="487"/>
      <c r="AR259" s="487"/>
      <c r="AS259" s="487"/>
      <c r="AT259" s="487"/>
      <c r="AU259" s="487"/>
      <c r="AV259" s="487"/>
      <c r="AW259" s="487"/>
      <c r="AX259" s="487"/>
      <c r="AY259" s="487"/>
      <c r="AZ259" s="487"/>
      <c r="BA259" s="487"/>
      <c r="BB259" s="487"/>
      <c r="BC259" s="487"/>
      <c r="BD259" s="487"/>
      <c r="BE259" s="487"/>
      <c r="BF259" s="487"/>
      <c r="BG259" s="487" t="str">
        <f>$A$13</f>
        <v>4Q</v>
      </c>
      <c r="BH259" s="487" t="str">
        <f>$B$13</f>
        <v>Jan</v>
      </c>
      <c r="BI259" s="487"/>
      <c r="BJ259" s="988">
        <f>+BJ150/BJ250</f>
        <v>0.16018637965876228</v>
      </c>
      <c r="BK259" s="487"/>
      <c r="BL259" s="487"/>
      <c r="BM259" s="487"/>
      <c r="BN259" s="988">
        <f>+BN150/BN250</f>
        <v>0.29226733281302425</v>
      </c>
      <c r="BO259" s="487"/>
      <c r="BP259" s="487"/>
      <c r="BQ259" s="487"/>
      <c r="BR259" s="988">
        <f>+BR150/BR250</f>
        <v>0.25291935215591349</v>
      </c>
      <c r="BS259" s="487"/>
      <c r="BT259" s="487"/>
      <c r="BU259" s="487"/>
      <c r="BV259" s="988">
        <f>+BV150/BV250</f>
        <v>0.31543816297010624</v>
      </c>
      <c r="BW259" s="487"/>
      <c r="BX259" s="487"/>
      <c r="BY259" s="487"/>
      <c r="BZ259" s="988">
        <f>+BZ150/BZ250</f>
        <v>0.26921307106165299</v>
      </c>
      <c r="CA259" s="487"/>
      <c r="CB259" s="487"/>
      <c r="CC259" s="487"/>
      <c r="CD259" s="988">
        <f>+CD150/CD250</f>
        <v>0.46184228064719074</v>
      </c>
      <c r="CE259" s="487"/>
      <c r="CF259" s="487"/>
      <c r="CG259" s="487"/>
      <c r="CH259" s="988">
        <f>+CH150/CH250</f>
        <v>0.51549725389749534</v>
      </c>
      <c r="CI259" s="487"/>
      <c r="CJ259" s="487"/>
      <c r="CK259" s="487"/>
      <c r="CL259" s="988">
        <f>+CL150/CL250</f>
        <v>0.60959653413601578</v>
      </c>
      <c r="CM259" s="487"/>
      <c r="CN259" s="487"/>
      <c r="CO259" s="487"/>
      <c r="CP259" s="988">
        <f>+CP150/CP250</f>
        <v>0.80131741413756075</v>
      </c>
      <c r="CQ259" s="487"/>
      <c r="CR259" s="487"/>
      <c r="CS259" s="487"/>
      <c r="CT259" s="988">
        <f>+CT150/CT250</f>
        <v>0.79073645558343941</v>
      </c>
      <c r="CU259" s="487"/>
      <c r="CV259" s="487"/>
      <c r="CW259" s="794"/>
      <c r="CX259" s="988">
        <f>+CX150/CX250</f>
        <v>0.90937785833328566</v>
      </c>
      <c r="CY259" s="487"/>
      <c r="CZ259" s="487"/>
      <c r="DA259" s="794"/>
      <c r="DB259" s="988">
        <f>+DB150/DB250</f>
        <v>0.96369162608303471</v>
      </c>
      <c r="DC259" s="487"/>
      <c r="DD259" s="487"/>
      <c r="DE259" s="794"/>
      <c r="DF259" s="988">
        <f>+DF150/DF250</f>
        <v>1.0054012688977687</v>
      </c>
      <c r="DG259" s="487"/>
      <c r="DH259" s="487"/>
      <c r="DI259" s="794"/>
      <c r="DJ259" s="988">
        <f>+DJ150/DJ250</f>
        <v>0</v>
      </c>
      <c r="DK259" s="487"/>
      <c r="DL259" s="487"/>
      <c r="DM259" s="794"/>
      <c r="DN259" s="988">
        <f>+DN150/DN250</f>
        <v>0</v>
      </c>
      <c r="DO259" s="487"/>
      <c r="DP259" s="487"/>
      <c r="DQ259" s="794"/>
      <c r="DR259" s="794"/>
      <c r="DS259" s="794"/>
      <c r="DT259" s="794"/>
      <c r="DU259" s="794"/>
      <c r="DV259" s="794"/>
      <c r="DW259" s="794"/>
      <c r="DX259" s="794"/>
      <c r="DY259" s="794"/>
      <c r="DZ259" s="794"/>
      <c r="EA259" s="794"/>
      <c r="EB259" s="794"/>
    </row>
    <row r="260" spans="1:132" hidden="1" outlineLevel="1">
      <c r="A260" s="487"/>
      <c r="B260" s="487"/>
      <c r="C260" s="487"/>
      <c r="D260" s="487"/>
      <c r="E260" s="487"/>
      <c r="F260" s="487"/>
      <c r="G260" s="487"/>
      <c r="H260" s="487"/>
      <c r="I260" s="487"/>
      <c r="J260" s="487"/>
      <c r="K260" s="487"/>
      <c r="L260" s="487"/>
      <c r="M260" s="487"/>
      <c r="N260" s="487"/>
      <c r="O260" s="487"/>
      <c r="P260" s="487"/>
      <c r="Q260" s="487"/>
      <c r="R260" s="487"/>
      <c r="S260" s="487"/>
      <c r="T260" s="487"/>
      <c r="U260" s="487"/>
      <c r="V260" s="487"/>
      <c r="W260" s="487"/>
      <c r="X260" s="487"/>
      <c r="Y260" s="487"/>
      <c r="Z260" s="487"/>
      <c r="AA260" s="487"/>
      <c r="AB260" s="487"/>
      <c r="AC260" s="487"/>
      <c r="AD260" s="487"/>
      <c r="AE260" s="487"/>
      <c r="AF260" s="487"/>
      <c r="AG260" s="487"/>
      <c r="AH260" s="487"/>
      <c r="AI260" s="487"/>
      <c r="AJ260" s="487"/>
      <c r="AK260" s="487"/>
      <c r="AL260" s="487"/>
      <c r="AM260" s="487"/>
      <c r="AN260" s="487"/>
      <c r="AO260" s="487"/>
      <c r="AP260" s="487"/>
      <c r="AQ260" s="487"/>
      <c r="AR260" s="487"/>
      <c r="AS260" s="487"/>
      <c r="AT260" s="487"/>
      <c r="AU260" s="487"/>
      <c r="AV260" s="487"/>
      <c r="AW260" s="487"/>
      <c r="AX260" s="487"/>
      <c r="AY260" s="487"/>
      <c r="AZ260" s="487"/>
      <c r="BA260" s="487"/>
      <c r="BB260" s="487"/>
      <c r="BC260" s="487"/>
      <c r="BD260" s="487"/>
      <c r="BE260" s="487"/>
      <c r="BF260" s="487"/>
      <c r="BG260" s="487"/>
      <c r="BH260" s="487" t="str">
        <f>$B$14</f>
        <v>Year</v>
      </c>
      <c r="BI260" s="487"/>
      <c r="BJ260" s="867">
        <f>+BJ151/BJ251</f>
        <v>0.58487350511448144</v>
      </c>
      <c r="BK260" s="487"/>
      <c r="BL260" s="487"/>
      <c r="BM260" s="487"/>
      <c r="BN260" s="867">
        <f>+BN151/BN251</f>
        <v>0.69191781266927177</v>
      </c>
      <c r="BO260" s="487"/>
      <c r="BP260" s="487"/>
      <c r="BQ260" s="487"/>
      <c r="BR260" s="867">
        <f>+BR151/BR251</f>
        <v>0.79811336669172428</v>
      </c>
      <c r="BS260" s="487"/>
      <c r="BT260" s="487"/>
      <c r="BU260" s="487"/>
      <c r="BV260" s="867">
        <f>+BV151/BV251</f>
        <v>0.94597983873731695</v>
      </c>
      <c r="BW260" s="487"/>
      <c r="BX260" s="487"/>
      <c r="BY260" s="487"/>
      <c r="BZ260" s="867">
        <f>+BZ151/BZ251</f>
        <v>0.99536567109480301</v>
      </c>
      <c r="CA260" s="487"/>
      <c r="CB260" s="487"/>
      <c r="CC260" s="487"/>
      <c r="CD260" s="867">
        <f>+CD151/CD251</f>
        <v>1.3921516443277924</v>
      </c>
      <c r="CE260" s="487"/>
      <c r="CF260" s="487"/>
      <c r="CG260" s="487"/>
      <c r="CH260" s="867">
        <f>+CH151/CH251</f>
        <v>1.7127535178063886</v>
      </c>
      <c r="CI260" s="487"/>
      <c r="CJ260" s="487"/>
      <c r="CK260" s="487"/>
      <c r="CL260" s="867">
        <f>+CL151/CL251</f>
        <v>1.9478368214489274</v>
      </c>
      <c r="CM260" s="487"/>
      <c r="CN260" s="487"/>
      <c r="CO260" s="487"/>
      <c r="CP260" s="867">
        <f>+CP151/CP251</f>
        <v>2.4936138880605996</v>
      </c>
      <c r="CQ260" s="487"/>
      <c r="CR260" s="487"/>
      <c r="CS260" s="487"/>
      <c r="CT260" s="867">
        <f>+CT151/CT251</f>
        <v>2.7705234571656012</v>
      </c>
      <c r="CU260" s="487"/>
      <c r="CV260" s="487"/>
      <c r="CW260" s="794"/>
      <c r="CX260" s="867">
        <f>+CX151/CX251</f>
        <v>3.0883037082391636</v>
      </c>
      <c r="CY260" s="487"/>
      <c r="CZ260" s="487"/>
      <c r="DA260" s="794"/>
      <c r="DB260" s="867">
        <f>+DB151/DB251</f>
        <v>3.2542062430705569</v>
      </c>
      <c r="DC260" s="487"/>
      <c r="DD260" s="487"/>
      <c r="DE260" s="794"/>
      <c r="DF260" s="867">
        <f>+DF151/DF251</f>
        <v>3.451906035207243</v>
      </c>
      <c r="DG260" s="487"/>
      <c r="DH260" s="487"/>
      <c r="DI260" s="794"/>
      <c r="DJ260" s="867">
        <f>+DJ151/DJ251</f>
        <v>0</v>
      </c>
      <c r="DK260" s="487"/>
      <c r="DL260" s="487"/>
      <c r="DM260" s="794"/>
      <c r="DN260" s="867">
        <f>+DN151/DN251</f>
        <v>0</v>
      </c>
      <c r="DO260" s="487"/>
      <c r="DP260" s="487"/>
      <c r="DQ260" s="794"/>
      <c r="DR260" s="794"/>
      <c r="DS260" s="794"/>
      <c r="DT260" s="794"/>
      <c r="DU260" s="794"/>
      <c r="DV260" s="794"/>
      <c r="DW260" s="794"/>
      <c r="DX260" s="794"/>
      <c r="DY260" s="794"/>
      <c r="DZ260" s="794"/>
      <c r="EA260" s="794"/>
      <c r="EB260" s="794"/>
    </row>
    <row r="261" spans="1:132" collapsed="1">
      <c r="A261" s="487"/>
      <c r="B261" s="487"/>
      <c r="C261" s="487"/>
      <c r="D261" s="487"/>
      <c r="E261" s="487"/>
      <c r="F261" s="487"/>
      <c r="G261" s="487"/>
      <c r="H261" s="487"/>
      <c r="I261" s="487"/>
      <c r="J261" s="487"/>
      <c r="K261" s="487"/>
      <c r="L261" s="487"/>
      <c r="M261" s="487"/>
      <c r="N261" s="487"/>
      <c r="O261" s="487"/>
      <c r="P261" s="487"/>
      <c r="Q261" s="487"/>
      <c r="R261" s="487"/>
      <c r="S261" s="487"/>
      <c r="T261" s="487"/>
      <c r="U261" s="487"/>
      <c r="V261" s="487"/>
      <c r="W261" s="487"/>
      <c r="X261" s="487"/>
      <c r="Y261" s="487"/>
      <c r="Z261" s="487"/>
      <c r="AA261" s="487"/>
      <c r="AB261" s="487"/>
      <c r="AC261" s="487"/>
      <c r="AD261" s="487"/>
      <c r="AE261" s="487"/>
      <c r="AF261" s="487"/>
      <c r="AG261" s="487"/>
      <c r="AH261" s="487"/>
      <c r="AI261" s="487"/>
      <c r="AJ261" s="487"/>
      <c r="AK261" s="487"/>
      <c r="AL261" s="487"/>
      <c r="AM261" s="487"/>
      <c r="AN261" s="487"/>
      <c r="AO261" s="487"/>
      <c r="AP261" s="487"/>
      <c r="AQ261" s="487"/>
      <c r="AR261" s="487"/>
      <c r="AS261" s="487"/>
      <c r="AT261" s="487"/>
      <c r="AU261" s="487"/>
      <c r="AV261" s="487"/>
      <c r="AW261" s="487"/>
      <c r="AX261" s="487"/>
      <c r="AY261" s="487"/>
      <c r="AZ261" s="487"/>
      <c r="BA261" s="487"/>
      <c r="BB261" s="487"/>
      <c r="BC261" s="487"/>
      <c r="BD261" s="487"/>
      <c r="BE261" s="487"/>
      <c r="BF261" s="487"/>
      <c r="BG261" s="487" t="str">
        <f>$A$15</f>
        <v>6 Mos</v>
      </c>
      <c r="BH261" s="487"/>
      <c r="BI261" s="487"/>
      <c r="BJ261" s="792"/>
      <c r="BK261" s="487"/>
      <c r="BL261" s="487"/>
      <c r="BM261" s="487"/>
      <c r="BN261" s="792"/>
      <c r="BO261" s="487"/>
      <c r="BP261" s="487"/>
      <c r="BQ261" s="487"/>
      <c r="BR261" s="792"/>
      <c r="BS261" s="487"/>
      <c r="BT261" s="487"/>
      <c r="BU261" s="487"/>
      <c r="BV261" s="792"/>
      <c r="BW261" s="487"/>
      <c r="BX261" s="487"/>
      <c r="BY261" s="487"/>
      <c r="BZ261" s="792"/>
      <c r="CA261" s="487"/>
      <c r="CB261" s="487"/>
      <c r="CC261" s="487"/>
      <c r="CD261" s="792"/>
      <c r="CE261" s="487"/>
      <c r="CF261" s="487"/>
      <c r="CG261" s="487"/>
      <c r="CH261" s="792"/>
      <c r="CI261" s="487"/>
      <c r="CJ261" s="487"/>
      <c r="CK261" s="487"/>
      <c r="CL261" s="792"/>
      <c r="CM261" s="487"/>
      <c r="CN261" s="487"/>
      <c r="CO261" s="487"/>
      <c r="CP261" s="792"/>
      <c r="CQ261" s="487"/>
      <c r="CR261" s="487"/>
      <c r="CS261" s="487"/>
      <c r="CT261" s="792"/>
      <c r="CU261" s="487"/>
      <c r="CV261" s="487"/>
      <c r="CW261" s="487"/>
      <c r="CX261" s="792"/>
      <c r="CY261" s="487"/>
      <c r="CZ261" s="487"/>
      <c r="DA261" s="487"/>
      <c r="DB261" s="792"/>
      <c r="DC261" s="487"/>
      <c r="DD261" s="487"/>
      <c r="DE261" s="487"/>
      <c r="DF261" s="792"/>
      <c r="DG261" s="487"/>
      <c r="DH261" s="487"/>
      <c r="DI261" s="487"/>
      <c r="DJ261" s="792"/>
      <c r="DK261" s="487"/>
      <c r="DL261" s="487"/>
      <c r="DM261" s="487"/>
      <c r="DN261" s="792"/>
      <c r="DO261" s="487"/>
      <c r="DP261" s="487"/>
      <c r="DQ261" s="794"/>
      <c r="DR261" s="794"/>
      <c r="DS261" s="794"/>
      <c r="DT261" s="794"/>
      <c r="DU261" s="794"/>
      <c r="DV261" s="794"/>
      <c r="DW261" s="794"/>
      <c r="DX261" s="794"/>
      <c r="DY261" s="794"/>
      <c r="DZ261" s="794"/>
      <c r="EA261" s="794"/>
      <c r="EB261" s="794"/>
    </row>
    <row r="262" spans="1:132">
      <c r="A262" s="487"/>
      <c r="B262" s="487"/>
      <c r="C262" s="487"/>
      <c r="D262" s="487"/>
      <c r="E262" s="487"/>
      <c r="F262" s="487"/>
      <c r="G262" s="487"/>
      <c r="H262" s="487"/>
      <c r="I262" s="487"/>
      <c r="J262" s="487"/>
      <c r="K262" s="487"/>
      <c r="L262" s="487"/>
      <c r="M262" s="487"/>
      <c r="N262" s="487"/>
      <c r="O262" s="487"/>
      <c r="P262" s="487"/>
      <c r="Q262" s="487"/>
      <c r="R262" s="487"/>
      <c r="S262" s="487"/>
      <c r="T262" s="487"/>
      <c r="U262" s="487"/>
      <c r="V262" s="487"/>
      <c r="W262" s="487"/>
      <c r="X262" s="487"/>
      <c r="Y262" s="487"/>
      <c r="Z262" s="487"/>
      <c r="AA262" s="487"/>
      <c r="AB262" s="487"/>
      <c r="AC262" s="487"/>
      <c r="AD262" s="487"/>
      <c r="AE262" s="487"/>
      <c r="AF262" s="487"/>
      <c r="AG262" s="487"/>
      <c r="AH262" s="487"/>
      <c r="AI262" s="487"/>
      <c r="AJ262" s="487"/>
      <c r="AK262" s="487"/>
      <c r="AL262" s="487"/>
      <c r="AM262" s="487"/>
      <c r="AN262" s="487"/>
      <c r="AO262" s="487"/>
      <c r="AP262" s="487"/>
      <c r="AQ262" s="487"/>
      <c r="AR262" s="487"/>
      <c r="AS262" s="487"/>
      <c r="AT262" s="487"/>
      <c r="AU262" s="487"/>
      <c r="AV262" s="487"/>
      <c r="AW262" s="487"/>
      <c r="AX262" s="487"/>
      <c r="AY262" s="487"/>
      <c r="AZ262" s="487"/>
      <c r="BA262" s="487"/>
      <c r="BB262" s="487"/>
      <c r="BC262" s="487"/>
      <c r="BD262" s="487"/>
      <c r="BE262" s="487"/>
      <c r="BF262" s="487"/>
      <c r="BG262" s="487" t="str">
        <f>$A$16</f>
        <v>9 Mos</v>
      </c>
      <c r="BH262" s="487"/>
      <c r="BI262" s="487"/>
      <c r="BJ262" s="792"/>
      <c r="BK262" s="487"/>
      <c r="BL262" s="487"/>
      <c r="BM262" s="487"/>
      <c r="BN262" s="792"/>
      <c r="BO262" s="487"/>
      <c r="BP262" s="487"/>
      <c r="BQ262" s="487"/>
      <c r="BR262" s="792"/>
      <c r="BS262" s="487"/>
      <c r="BT262" s="487"/>
      <c r="BU262" s="487"/>
      <c r="BV262" s="792"/>
      <c r="BW262" s="487"/>
      <c r="BX262" s="487"/>
      <c r="BY262" s="487"/>
      <c r="BZ262" s="792"/>
      <c r="CA262" s="487"/>
      <c r="CB262" s="487"/>
      <c r="CC262" s="487"/>
      <c r="CD262" s="792"/>
      <c r="CE262" s="487"/>
      <c r="CF262" s="487"/>
      <c r="CG262" s="487"/>
      <c r="CH262" s="792"/>
      <c r="CI262" s="487"/>
      <c r="CJ262" s="487"/>
      <c r="CK262" s="487"/>
      <c r="CL262" s="792"/>
      <c r="CM262" s="487"/>
      <c r="CN262" s="487"/>
      <c r="CO262" s="487"/>
      <c r="CP262" s="792"/>
      <c r="CQ262" s="487"/>
      <c r="CR262" s="487"/>
      <c r="CS262" s="487"/>
      <c r="CT262" s="487"/>
      <c r="CU262" s="487"/>
      <c r="CV262" s="487"/>
      <c r="CW262" s="487"/>
      <c r="CX262" s="487"/>
      <c r="CY262" s="487"/>
      <c r="CZ262" s="487"/>
      <c r="DA262" s="487"/>
      <c r="DB262" s="487"/>
      <c r="DC262" s="487"/>
      <c r="DD262" s="487"/>
      <c r="DE262" s="487"/>
      <c r="DF262" s="487"/>
      <c r="DG262" s="487"/>
      <c r="DH262" s="487"/>
      <c r="DI262" s="487"/>
      <c r="DJ262" s="487"/>
      <c r="DK262" s="487"/>
      <c r="DL262" s="487"/>
      <c r="DM262" s="487"/>
      <c r="DN262" s="487"/>
      <c r="DO262" s="487"/>
      <c r="DP262" s="487"/>
      <c r="DQ262" s="794"/>
      <c r="DR262" s="794"/>
      <c r="DS262" s="794"/>
      <c r="DT262" s="794"/>
      <c r="DU262" s="794"/>
      <c r="DV262" s="794"/>
      <c r="DW262" s="794"/>
      <c r="DX262" s="794"/>
      <c r="DY262" s="794"/>
      <c r="DZ262" s="794"/>
      <c r="EA262" s="794"/>
      <c r="EB262" s="794"/>
    </row>
    <row r="263" spans="1:132">
      <c r="A263" s="487"/>
      <c r="B263" s="487"/>
      <c r="C263" s="487"/>
      <c r="D263" s="487"/>
      <c r="E263" s="487"/>
      <c r="F263" s="487"/>
      <c r="G263" s="487"/>
      <c r="H263" s="487"/>
      <c r="I263" s="487"/>
      <c r="J263" s="487"/>
      <c r="K263" s="487"/>
      <c r="L263" s="487"/>
      <c r="M263" s="487"/>
      <c r="N263" s="487"/>
      <c r="O263" s="487"/>
      <c r="P263" s="487"/>
      <c r="Q263" s="487"/>
      <c r="R263" s="487"/>
      <c r="S263" s="487"/>
      <c r="T263" s="487"/>
      <c r="U263" s="487"/>
      <c r="V263" s="487"/>
      <c r="W263" s="487"/>
      <c r="X263" s="487"/>
      <c r="Y263" s="487"/>
      <c r="Z263" s="487"/>
      <c r="AA263" s="487"/>
      <c r="AB263" s="487"/>
      <c r="AC263" s="487"/>
      <c r="AD263" s="487"/>
      <c r="AE263" s="487"/>
      <c r="AF263" s="487"/>
      <c r="AG263" s="487"/>
      <c r="AH263" s="487"/>
      <c r="AI263" s="487"/>
      <c r="AJ263" s="487"/>
      <c r="AK263" s="487"/>
      <c r="AL263" s="487"/>
      <c r="AM263" s="487"/>
      <c r="AN263" s="487"/>
      <c r="AO263" s="487"/>
      <c r="AP263" s="487"/>
      <c r="AQ263" s="487"/>
      <c r="AR263" s="487"/>
      <c r="AS263" s="487"/>
      <c r="AT263" s="487"/>
      <c r="AU263" s="487"/>
      <c r="AV263" s="487"/>
      <c r="AW263" s="487"/>
      <c r="AX263" s="487"/>
      <c r="AY263" s="487"/>
      <c r="AZ263" s="487"/>
      <c r="BA263" s="487"/>
      <c r="BB263" s="487"/>
      <c r="BC263" s="487"/>
      <c r="BD263" s="487"/>
      <c r="BE263" s="487"/>
      <c r="BF263" s="487"/>
      <c r="BG263" s="487"/>
      <c r="BH263" s="487"/>
      <c r="BI263" s="487"/>
      <c r="BJ263" s="487"/>
      <c r="BK263" s="487"/>
      <c r="BL263" s="487"/>
      <c r="BM263" s="487"/>
      <c r="BN263" s="487"/>
      <c r="BO263" s="487"/>
      <c r="BP263" s="487"/>
      <c r="BQ263" s="487"/>
      <c r="BR263" s="487"/>
      <c r="BS263" s="487"/>
      <c r="BT263" s="487"/>
      <c r="BU263" s="487"/>
      <c r="BV263" s="487"/>
      <c r="BW263" s="487"/>
      <c r="BX263" s="487"/>
      <c r="BY263" s="487"/>
      <c r="BZ263" s="487"/>
      <c r="CA263" s="487"/>
      <c r="CB263" s="487"/>
      <c r="CC263" s="487"/>
      <c r="CD263" s="487"/>
      <c r="CE263" s="487"/>
      <c r="CF263" s="487"/>
      <c r="CG263" s="487"/>
      <c r="CH263" s="487"/>
      <c r="CI263" s="487"/>
      <c r="CJ263" s="487"/>
      <c r="CK263" s="487"/>
      <c r="CL263" s="487"/>
      <c r="CM263" s="487"/>
      <c r="CN263" s="487"/>
      <c r="CO263" s="487"/>
      <c r="CP263" s="487"/>
      <c r="CQ263" s="487"/>
      <c r="CR263" s="487"/>
      <c r="CS263" s="487"/>
      <c r="CT263" s="487"/>
      <c r="CU263" s="487"/>
      <c r="CV263" s="487"/>
      <c r="CW263" s="487"/>
      <c r="CX263" s="487"/>
      <c r="CY263" s="487"/>
      <c r="CZ263" s="487"/>
      <c r="DA263" s="487"/>
      <c r="DB263" s="487"/>
      <c r="DC263" s="487"/>
      <c r="DD263" s="487"/>
      <c r="DE263" s="487"/>
      <c r="DF263" s="487"/>
      <c r="DG263" s="487"/>
      <c r="DH263" s="487"/>
      <c r="DI263" s="487"/>
      <c r="DJ263" s="487"/>
      <c r="DK263" s="487"/>
      <c r="DL263" s="487"/>
      <c r="DM263" s="487"/>
      <c r="DN263" s="487"/>
      <c r="DO263" s="487"/>
      <c r="DP263" s="487"/>
      <c r="DQ263" s="794"/>
      <c r="DR263" s="794"/>
      <c r="DS263" s="794"/>
      <c r="DT263" s="794"/>
      <c r="DU263" s="794"/>
      <c r="DV263" s="794"/>
      <c r="DW263" s="794"/>
      <c r="DX263" s="794"/>
      <c r="DY263" s="794"/>
      <c r="DZ263" s="794"/>
      <c r="EA263" s="794"/>
      <c r="EB263" s="794"/>
    </row>
    <row r="264" spans="1:132">
      <c r="A264" s="487"/>
      <c r="B264" s="487"/>
      <c r="C264" s="487"/>
      <c r="D264" s="487"/>
      <c r="E264" s="487"/>
      <c r="F264" s="487"/>
      <c r="G264" s="487"/>
      <c r="H264" s="487"/>
      <c r="I264" s="487"/>
      <c r="J264" s="487"/>
      <c r="K264" s="487"/>
      <c r="L264" s="487"/>
      <c r="M264" s="487"/>
      <c r="N264" s="487"/>
      <c r="O264" s="487"/>
      <c r="P264" s="487"/>
      <c r="Q264" s="487"/>
      <c r="R264" s="487"/>
      <c r="S264" s="487"/>
      <c r="T264" s="487"/>
      <c r="U264" s="487"/>
      <c r="V264" s="487"/>
      <c r="W264" s="487"/>
      <c r="X264" s="487"/>
      <c r="Y264" s="487"/>
      <c r="Z264" s="487"/>
      <c r="AA264" s="487"/>
      <c r="AB264" s="487"/>
      <c r="AC264" s="487"/>
      <c r="AD264" s="487"/>
      <c r="AE264" s="487"/>
      <c r="AF264" s="487"/>
      <c r="AG264" s="487"/>
      <c r="AH264" s="487"/>
      <c r="AI264" s="487"/>
      <c r="AJ264" s="487"/>
      <c r="AK264" s="487"/>
      <c r="AL264" s="487"/>
      <c r="AM264" s="487"/>
      <c r="AN264" s="487"/>
      <c r="AO264" s="487"/>
      <c r="AP264" s="487"/>
      <c r="AQ264" s="487"/>
      <c r="AR264" s="487"/>
      <c r="AS264" s="487"/>
      <c r="AT264" s="487"/>
      <c r="AU264" s="487"/>
      <c r="AV264" s="487"/>
      <c r="AW264" s="487"/>
      <c r="AX264" s="487"/>
      <c r="AY264" s="487"/>
      <c r="AZ264" s="487"/>
      <c r="BA264" s="487"/>
      <c r="BB264" s="487"/>
      <c r="BC264" s="487"/>
      <c r="BD264" s="487"/>
      <c r="BE264" s="487"/>
      <c r="BF264" s="487"/>
      <c r="BG264" s="487"/>
      <c r="BH264" s="487"/>
      <c r="BI264" s="487"/>
      <c r="BJ264" s="487"/>
      <c r="BK264" s="487"/>
      <c r="BL264" s="487"/>
      <c r="BM264" s="487"/>
      <c r="BN264" s="487"/>
      <c r="BO264" s="487"/>
      <c r="BP264" s="487"/>
      <c r="BQ264" s="487"/>
      <c r="BR264" s="487"/>
      <c r="BS264" s="487"/>
      <c r="BT264" s="487"/>
      <c r="BU264" s="487"/>
      <c r="BV264" s="487"/>
      <c r="BW264" s="487"/>
      <c r="BX264" s="487"/>
      <c r="BY264" s="487"/>
      <c r="BZ264" s="487"/>
      <c r="CA264" s="487"/>
      <c r="CB264" s="487"/>
      <c r="CC264" s="487"/>
      <c r="CD264" s="487"/>
      <c r="CE264" s="487"/>
      <c r="CF264" s="487"/>
      <c r="CG264" s="487"/>
      <c r="CH264" s="487"/>
      <c r="CI264" s="487"/>
      <c r="CJ264" s="487"/>
      <c r="CK264" s="487"/>
      <c r="CL264" s="487"/>
      <c r="CM264" s="487"/>
      <c r="CN264" s="487"/>
      <c r="CO264" s="487"/>
      <c r="CP264" s="487"/>
      <c r="CQ264" s="487"/>
      <c r="CR264" s="487"/>
      <c r="CS264" s="487"/>
      <c r="CT264" s="487"/>
      <c r="CU264" s="487"/>
      <c r="CV264" s="487"/>
      <c r="CW264" s="487"/>
      <c r="CX264" s="487"/>
      <c r="CY264" s="487"/>
      <c r="CZ264" s="487"/>
      <c r="DA264" s="487"/>
      <c r="DB264" s="487"/>
      <c r="DC264" s="487"/>
      <c r="DD264" s="487"/>
      <c r="DE264" s="487"/>
      <c r="DF264" s="487"/>
      <c r="DG264" s="487"/>
      <c r="DH264" s="487"/>
      <c r="DI264" s="487"/>
      <c r="DJ264" s="487"/>
      <c r="DK264" s="487"/>
      <c r="DL264" s="487"/>
      <c r="DM264" s="487"/>
      <c r="DN264" s="487"/>
      <c r="DO264" s="487"/>
      <c r="DP264" s="487"/>
      <c r="DQ264" s="794"/>
      <c r="DR264" s="794"/>
      <c r="DS264" s="794"/>
      <c r="DT264" s="794"/>
      <c r="DU264" s="794"/>
      <c r="DV264" s="794"/>
      <c r="DW264" s="794"/>
      <c r="DX264" s="794"/>
      <c r="DY264" s="794"/>
      <c r="DZ264" s="794"/>
      <c r="EA264" s="794"/>
      <c r="EB264" s="794"/>
    </row>
    <row r="265" spans="1:132">
      <c r="A265" s="487"/>
      <c r="B265" s="487"/>
      <c r="C265" s="487"/>
      <c r="D265" s="487"/>
      <c r="E265" s="487"/>
      <c r="F265" s="487"/>
      <c r="G265" s="487"/>
      <c r="H265" s="487"/>
      <c r="I265" s="487"/>
      <c r="J265" s="487"/>
      <c r="K265" s="487"/>
      <c r="L265" s="487"/>
      <c r="M265" s="487"/>
      <c r="N265" s="487"/>
      <c r="O265" s="487"/>
      <c r="P265" s="487"/>
      <c r="Q265" s="487"/>
      <c r="R265" s="487"/>
      <c r="S265" s="487"/>
      <c r="T265" s="487"/>
      <c r="U265" s="487"/>
      <c r="V265" s="487"/>
      <c r="W265" s="487"/>
      <c r="X265" s="487"/>
      <c r="Y265" s="487"/>
      <c r="Z265" s="487"/>
      <c r="AA265" s="487"/>
      <c r="AB265" s="487"/>
      <c r="AC265" s="487"/>
      <c r="AD265" s="487"/>
      <c r="AE265" s="487"/>
      <c r="AF265" s="487"/>
      <c r="AG265" s="487"/>
      <c r="AH265" s="487"/>
      <c r="AI265" s="487"/>
      <c r="AJ265" s="487"/>
      <c r="AK265" s="487"/>
      <c r="AL265" s="487"/>
      <c r="AM265" s="487"/>
      <c r="AN265" s="487"/>
      <c r="AO265" s="487"/>
      <c r="AP265" s="487"/>
      <c r="AQ265" s="487"/>
      <c r="AR265" s="487"/>
      <c r="AS265" s="487"/>
      <c r="AT265" s="487"/>
      <c r="AU265" s="487"/>
      <c r="AV265" s="487"/>
      <c r="AW265" s="487"/>
      <c r="AX265" s="487"/>
      <c r="AY265" s="487"/>
      <c r="AZ265" s="487"/>
      <c r="BA265" s="487"/>
      <c r="BB265" s="487"/>
      <c r="BC265" s="487"/>
      <c r="BD265" s="487"/>
      <c r="BE265" s="487"/>
      <c r="BF265" s="487"/>
      <c r="BG265" s="487"/>
      <c r="BH265" s="487"/>
      <c r="BI265" s="487"/>
      <c r="BJ265" s="487"/>
      <c r="BK265" s="487"/>
      <c r="BL265" s="487"/>
      <c r="BM265" s="487"/>
      <c r="BN265" s="487"/>
      <c r="BO265" s="487"/>
      <c r="BP265" s="487"/>
      <c r="BQ265" s="487"/>
      <c r="BR265" s="487"/>
      <c r="BS265" s="487"/>
      <c r="BT265" s="487"/>
      <c r="BU265" s="487"/>
      <c r="BV265" s="487"/>
      <c r="BW265" s="487"/>
      <c r="BX265" s="487"/>
      <c r="BY265" s="487"/>
      <c r="BZ265" s="487"/>
      <c r="CA265" s="487"/>
      <c r="CB265" s="487"/>
      <c r="CC265" s="487"/>
      <c r="CD265" s="487"/>
      <c r="CE265" s="487"/>
      <c r="CF265" s="487"/>
      <c r="CG265" s="487"/>
      <c r="CH265" s="487"/>
      <c r="CI265" s="487"/>
      <c r="CJ265" s="487"/>
      <c r="CK265" s="487"/>
      <c r="CL265" s="487"/>
      <c r="CM265" s="487"/>
      <c r="CN265" s="487"/>
      <c r="CO265" s="487"/>
      <c r="CP265" s="487"/>
      <c r="CQ265" s="487"/>
      <c r="CR265" s="487"/>
      <c r="CS265" s="487"/>
      <c r="CT265" s="487"/>
      <c r="CU265" s="487"/>
      <c r="CV265" s="487"/>
      <c r="CW265" s="487"/>
      <c r="CX265" s="487"/>
      <c r="CY265" s="487"/>
      <c r="CZ265" s="487"/>
      <c r="DA265" s="487"/>
      <c r="DB265" s="487"/>
      <c r="DC265" s="487"/>
      <c r="DD265" s="487"/>
      <c r="DE265" s="487"/>
      <c r="DF265" s="487"/>
      <c r="DG265" s="487"/>
      <c r="DH265" s="487"/>
      <c r="DI265" s="487"/>
      <c r="DJ265" s="487"/>
      <c r="DK265" s="487"/>
      <c r="DL265" s="487"/>
      <c r="DM265" s="487"/>
      <c r="DN265" s="487"/>
      <c r="DO265" s="487"/>
      <c r="DP265" s="487"/>
      <c r="DQ265" s="794"/>
      <c r="DR265" s="794"/>
      <c r="DS265" s="794"/>
      <c r="DT265" s="794"/>
      <c r="DU265" s="794"/>
      <c r="DV265" s="794"/>
      <c r="DW265" s="794"/>
      <c r="DX265" s="794"/>
      <c r="DY265" s="794"/>
      <c r="DZ265" s="794"/>
      <c r="EA265" s="794"/>
      <c r="EB265" s="794"/>
    </row>
    <row r="266" spans="1:132" collapsed="1">
      <c r="A266" s="487"/>
      <c r="B266" s="487"/>
      <c r="C266" s="807"/>
      <c r="D266" s="808"/>
      <c r="E266" s="809"/>
      <c r="F266" s="809" t="str">
        <f>Z266</f>
        <v xml:space="preserve">Average Shares Outstanding -- Fully Diluted  </v>
      </c>
      <c r="G266" s="811"/>
      <c r="H266" s="811"/>
      <c r="I266" s="811"/>
      <c r="J266" s="810"/>
      <c r="K266" s="811"/>
      <c r="L266" s="811"/>
      <c r="M266" s="811"/>
      <c r="N266" s="810"/>
      <c r="O266" s="811"/>
      <c r="P266" s="811"/>
      <c r="Q266" s="811"/>
      <c r="R266" s="810"/>
      <c r="S266" s="811"/>
      <c r="T266" s="811"/>
      <c r="U266" s="811"/>
      <c r="V266" s="810"/>
      <c r="W266" s="811"/>
      <c r="X266" s="811"/>
      <c r="Y266" s="487"/>
      <c r="Z266" s="810" t="s">
        <v>744</v>
      </c>
      <c r="AA266" s="811"/>
      <c r="AB266" s="811"/>
      <c r="AC266" s="811"/>
      <c r="AD266" s="810"/>
      <c r="AE266" s="811"/>
      <c r="AF266" s="811"/>
      <c r="AG266" s="811"/>
      <c r="AH266" s="810"/>
      <c r="AI266" s="811"/>
      <c r="AJ266" s="811"/>
      <c r="AK266" s="811"/>
      <c r="AL266" s="810"/>
      <c r="AM266" s="811"/>
      <c r="AN266" s="811"/>
      <c r="AO266" s="702"/>
      <c r="AP266" s="810" t="s">
        <v>745</v>
      </c>
      <c r="AQ266" s="811"/>
      <c r="AR266" s="811"/>
      <c r="AS266" s="811"/>
      <c r="AT266" s="809"/>
      <c r="AU266" s="811"/>
      <c r="AV266" s="811"/>
      <c r="AW266" s="811"/>
      <c r="AX266" s="809"/>
      <c r="AY266" s="811"/>
      <c r="AZ266" s="811"/>
      <c r="BA266" s="811"/>
      <c r="BB266" s="809"/>
      <c r="BC266" s="811"/>
      <c r="BD266" s="811"/>
      <c r="BE266" s="811"/>
      <c r="BF266" s="809"/>
      <c r="BG266" s="811"/>
      <c r="BH266" s="811"/>
      <c r="BI266" s="811"/>
      <c r="BJ266" s="810" t="s">
        <v>745</v>
      </c>
      <c r="BK266" s="811"/>
      <c r="BL266" s="811"/>
      <c r="BM266" s="811"/>
      <c r="BN266" s="810" t="s">
        <v>745</v>
      </c>
      <c r="BO266" s="811"/>
      <c r="BP266" s="811"/>
      <c r="BQ266" s="811"/>
      <c r="BR266" s="809"/>
      <c r="BS266" s="811"/>
      <c r="BT266" s="811"/>
      <c r="BU266" s="811"/>
      <c r="BV266" s="809"/>
      <c r="BW266" s="811"/>
      <c r="BX266" s="811"/>
      <c r="BY266" s="811"/>
      <c r="BZ266" s="809"/>
      <c r="CA266" s="811"/>
      <c r="CB266" s="811"/>
      <c r="CC266" s="811"/>
      <c r="CD266" s="809"/>
      <c r="CE266" s="811"/>
      <c r="CF266" s="811"/>
      <c r="CG266" s="811"/>
      <c r="CH266" s="809"/>
      <c r="CI266" s="811"/>
      <c r="CJ266" s="811"/>
      <c r="CK266" s="811"/>
      <c r="CL266" s="809"/>
      <c r="CM266" s="811"/>
      <c r="CN266" s="811"/>
      <c r="CO266" s="811"/>
      <c r="CP266" s="809"/>
      <c r="CQ266" s="811"/>
      <c r="CS266" s="811"/>
      <c r="CT266" s="811"/>
      <c r="CU266" s="811"/>
      <c r="CV266" s="811"/>
      <c r="CW266" s="811"/>
      <c r="CX266" s="811"/>
      <c r="CY266" s="811"/>
      <c r="CZ266" s="811"/>
      <c r="DA266" s="811"/>
      <c r="DB266" s="811"/>
      <c r="DC266" s="811"/>
      <c r="DD266" s="811"/>
      <c r="DE266" s="811"/>
      <c r="DF266" s="811"/>
      <c r="DG266" s="811"/>
      <c r="DH266" s="811"/>
      <c r="DI266" s="811"/>
      <c r="DJ266" s="811"/>
      <c r="DK266" s="811"/>
      <c r="DL266" s="811"/>
      <c r="DM266" s="811"/>
      <c r="DN266" s="811"/>
      <c r="DO266" s="811"/>
      <c r="DP266" s="811"/>
      <c r="DQ266" s="794"/>
      <c r="DR266" s="794"/>
      <c r="DS266" s="794"/>
      <c r="DT266" s="794"/>
      <c r="DU266" s="794"/>
      <c r="DV266" s="794"/>
      <c r="DW266" s="794"/>
      <c r="DX266" s="794"/>
      <c r="DY266" s="794"/>
      <c r="DZ266" s="794"/>
      <c r="EA266" s="794"/>
      <c r="EB266" s="794"/>
    </row>
    <row r="267" spans="1:132">
      <c r="A267" s="487"/>
      <c r="B267" s="487"/>
      <c r="C267" s="487"/>
      <c r="D267" s="487"/>
      <c r="E267" s="487"/>
      <c r="F267" s="487"/>
      <c r="G267" s="487"/>
      <c r="H267" s="487"/>
      <c r="I267" s="487"/>
      <c r="J267" s="487"/>
      <c r="K267" s="487"/>
      <c r="L267" s="487"/>
      <c r="M267" s="487"/>
      <c r="N267" s="487"/>
      <c r="O267" s="487"/>
      <c r="P267" s="487"/>
      <c r="Q267" s="487"/>
      <c r="R267" s="487"/>
      <c r="S267" s="487"/>
      <c r="T267" s="487"/>
      <c r="U267" s="487"/>
      <c r="V267" s="487"/>
      <c r="W267" s="487"/>
      <c r="X267" s="487"/>
      <c r="Y267" s="487"/>
      <c r="Z267" s="487"/>
      <c r="AA267" s="487"/>
      <c r="AB267" s="487"/>
      <c r="AC267" s="487"/>
      <c r="AD267" s="487"/>
      <c r="AE267" s="487"/>
      <c r="AF267" s="487"/>
      <c r="AG267" s="487"/>
      <c r="AH267" s="487"/>
      <c r="AI267" s="487"/>
      <c r="AJ267" s="487"/>
      <c r="AK267" s="487"/>
      <c r="AL267" s="487"/>
      <c r="AM267" s="487"/>
      <c r="AN267" s="487"/>
      <c r="AO267" s="487"/>
      <c r="AP267" s="487"/>
      <c r="AQ267" s="487"/>
      <c r="AR267" s="487"/>
      <c r="AS267" s="487"/>
      <c r="AT267" s="487"/>
      <c r="AU267" s="487"/>
      <c r="AV267" s="487"/>
      <c r="AW267" s="487"/>
      <c r="AX267" s="487"/>
      <c r="AY267" s="487"/>
      <c r="AZ267" s="487"/>
      <c r="BA267" s="487"/>
      <c r="BB267" s="487"/>
      <c r="BC267" s="487"/>
      <c r="BD267" s="487"/>
      <c r="BE267" s="487"/>
      <c r="BF267" s="487"/>
      <c r="BG267" s="487"/>
      <c r="BH267" s="487"/>
      <c r="BI267" s="487"/>
      <c r="BJ267" s="487"/>
      <c r="BK267" s="487"/>
      <c r="BL267" s="487"/>
      <c r="BM267" s="487"/>
      <c r="BN267" s="487"/>
      <c r="BO267" s="487"/>
      <c r="BP267" s="487"/>
      <c r="BQ267" s="487"/>
      <c r="BR267" s="487"/>
      <c r="BS267" s="487"/>
      <c r="BT267" s="487"/>
      <c r="BU267" s="487"/>
      <c r="BV267" s="487"/>
      <c r="BW267" s="487"/>
      <c r="BX267" s="487"/>
      <c r="BY267" s="487"/>
      <c r="BZ267" s="795"/>
      <c r="CA267" s="487"/>
      <c r="CB267" s="487"/>
      <c r="CC267" s="487"/>
      <c r="CD267" s="487"/>
      <c r="CE267" s="487"/>
      <c r="CF267" s="487"/>
      <c r="CG267" s="487"/>
      <c r="CH267" s="487"/>
      <c r="CI267" s="487"/>
      <c r="CJ267" s="487"/>
      <c r="CK267" s="487"/>
      <c r="CL267" s="807" t="s">
        <v>768</v>
      </c>
      <c r="CM267" s="487"/>
      <c r="CN267" s="487"/>
      <c r="CO267" s="487"/>
      <c r="CP267" s="487"/>
      <c r="CQ267" s="487"/>
      <c r="CS267" s="487"/>
      <c r="CT267" s="487"/>
      <c r="CU267" s="487"/>
      <c r="CV267" s="487"/>
      <c r="CW267" s="487"/>
      <c r="CX267" s="487"/>
      <c r="CY267" s="487"/>
      <c r="DA267" s="487"/>
      <c r="DB267" s="487"/>
      <c r="DC267" s="487"/>
      <c r="DE267" s="487"/>
      <c r="DF267" s="487"/>
      <c r="DG267" s="487"/>
      <c r="DI267" s="487"/>
      <c r="DJ267" s="487"/>
      <c r="DK267" s="487"/>
      <c r="DM267" s="487"/>
      <c r="DN267" s="487"/>
      <c r="DO267" s="487"/>
      <c r="DQ267" s="794"/>
      <c r="DR267" s="794"/>
      <c r="DS267" s="794"/>
      <c r="DT267" s="794"/>
      <c r="DU267" s="794"/>
      <c r="DV267" s="794"/>
      <c r="DW267" s="794"/>
      <c r="DX267" s="794"/>
      <c r="DY267" s="794"/>
      <c r="DZ267" s="794"/>
      <c r="EA267" s="794"/>
      <c r="EB267" s="794"/>
    </row>
    <row r="268" spans="1:132">
      <c r="A268" s="487" t="str">
        <f>$A$10</f>
        <v>1Q</v>
      </c>
      <c r="B268" s="487" t="str">
        <f>$B$10</f>
        <v>Apr</v>
      </c>
      <c r="C268" s="487"/>
      <c r="D268" s="831"/>
      <c r="E268" s="487"/>
      <c r="F268" s="831">
        <f>(69.821411*4*2)*2</f>
        <v>1117.142576</v>
      </c>
      <c r="G268" s="716"/>
      <c r="H268" s="716"/>
      <c r="I268" s="487"/>
      <c r="J268" s="831">
        <f>(69.998332*4*2)*2</f>
        <v>1119.9733120000001</v>
      </c>
      <c r="K268" s="716"/>
      <c r="L268" s="716"/>
      <c r="M268" s="487"/>
      <c r="N268" s="831">
        <f>(70.097034*4*2)*2</f>
        <v>1121.5525439999999</v>
      </c>
      <c r="O268" s="716"/>
      <c r="P268" s="716"/>
      <c r="Q268" s="487"/>
      <c r="R268" s="831">
        <f>(74.108809*4*2)*2</f>
        <v>1185.7409439999999</v>
      </c>
      <c r="S268" s="716"/>
      <c r="T268" s="716"/>
      <c r="U268" s="487"/>
      <c r="V268" s="831">
        <f>(74.076832*4*2)*2</f>
        <v>1185.2293119999999</v>
      </c>
      <c r="W268" s="716"/>
      <c r="X268" s="716"/>
      <c r="Y268" s="487"/>
      <c r="Z268" s="831">
        <f>(72.461854*4*2)*2</f>
        <v>1159.389664</v>
      </c>
      <c r="AA268" s="716"/>
      <c r="AB268" s="716"/>
      <c r="AC268" s="487"/>
      <c r="AD268" s="831">
        <f>(85.340267*4*2)*2</f>
        <v>1365.444272</v>
      </c>
      <c r="AE268" s="716"/>
      <c r="AF268" s="716"/>
      <c r="AG268" s="487"/>
      <c r="AH268" s="831">
        <f>(177.167438*2*2)*2</f>
        <v>1417.339504</v>
      </c>
      <c r="AI268" s="716"/>
      <c r="AJ268" s="716"/>
      <c r="AK268" s="487"/>
      <c r="AL268" s="831">
        <f>(170.155173*2*2)*2</f>
        <v>1361.2413839999999</v>
      </c>
      <c r="AM268" s="1029">
        <f>(AL268/AH268-1)*100</f>
        <v>-3.9579874717158847</v>
      </c>
      <c r="AN268" s="716"/>
      <c r="AO268" s="716"/>
      <c r="AP268" s="831">
        <f>(325.296145*2)*2</f>
        <v>1301.1845800000001</v>
      </c>
      <c r="AQ268" s="1029">
        <f>(AP268/AL268-1)*100</f>
        <v>-4.411914353024093</v>
      </c>
      <c r="AR268" s="487"/>
      <c r="AS268" s="487"/>
      <c r="AT268" s="831">
        <f>(300.044959*2)*2</f>
        <v>1200.179836</v>
      </c>
      <c r="AU268" s="1029">
        <f>(AT268/AP268-1)*100</f>
        <v>-7.7625223625075623</v>
      </c>
      <c r="AV268" s="487"/>
      <c r="AW268" s="487"/>
      <c r="AX268" s="831">
        <f>(282.128494*2)*2</f>
        <v>1128.513976</v>
      </c>
      <c r="AY268" s="1029">
        <f>(AX268/AT268-1)*100</f>
        <v>-5.9712601270531689</v>
      </c>
      <c r="AZ268" s="487"/>
      <c r="BA268" s="487"/>
      <c r="BB268" s="831">
        <v>1094.244432</v>
      </c>
      <c r="BC268" s="1029">
        <f>(BB268/AX268-1)*100</f>
        <v>-3.0366964635624494</v>
      </c>
      <c r="BD268" s="487"/>
      <c r="BE268" s="487"/>
      <c r="BF268" s="831">
        <v>1041.0083999999999</v>
      </c>
      <c r="BG268" s="1030">
        <f>(BF268/BB268-1)*100</f>
        <v>-4.8650950777696096</v>
      </c>
      <c r="BH268" s="487"/>
      <c r="BI268" s="487"/>
      <c r="BJ268" s="831">
        <v>1009.361396</v>
      </c>
      <c r="BK268" s="1030">
        <f>(BJ268/BF268-1)*100</f>
        <v>-3.0400334906039106</v>
      </c>
      <c r="BL268" s="487"/>
      <c r="BM268" s="487"/>
      <c r="BN268" s="831">
        <v>940.86290799999995</v>
      </c>
      <c r="BO268" s="1030">
        <f>(BN268/BJ268-1)*100</f>
        <v>-6.7863193769300949</v>
      </c>
      <c r="BP268" s="487"/>
      <c r="BQ268" s="487"/>
      <c r="BR268" s="831">
        <v>914.05507999999998</v>
      </c>
      <c r="BS268" s="1030">
        <f>(BR268/BN268-1)*100</f>
        <v>-2.8492809921676687</v>
      </c>
      <c r="BT268" s="487"/>
      <c r="BU268" s="487"/>
      <c r="BV268" s="831">
        <v>909.74080000000004</v>
      </c>
      <c r="BW268" s="1030">
        <f>(BV268/BR268-1)*100</f>
        <v>-0.47199343829475993</v>
      </c>
      <c r="BX268" s="487"/>
      <c r="BY268" s="487"/>
      <c r="BZ268" s="831">
        <v>849.40212199999996</v>
      </c>
      <c r="CA268" s="1030">
        <f>(BZ268/BV268-1)*100</f>
        <v>-6.6325131290143391</v>
      </c>
      <c r="CB268" s="487"/>
      <c r="CC268" s="487"/>
      <c r="CD268" s="831">
        <v>827.06726800000001</v>
      </c>
      <c r="CE268" s="1030">
        <f>(CD268/BZ268-1)*100</f>
        <v>-2.6294794210556471</v>
      </c>
      <c r="CF268" s="487"/>
      <c r="CG268" s="487"/>
      <c r="CH268" s="913">
        <f>(CD271*(CH218/CD221))</f>
        <v>809.42982236588784</v>
      </c>
      <c r="CI268" s="1030">
        <f>(CH268/CD268-1)*100</f>
        <v>-2.1325285519716797</v>
      </c>
      <c r="CJ268" s="487"/>
      <c r="CK268" s="487"/>
      <c r="CL268" s="831">
        <v>775.95600000000002</v>
      </c>
      <c r="CM268" s="1030">
        <f>(CL268/CH268-1)*100</f>
        <v>-4.1354817231773033</v>
      </c>
      <c r="CN268" s="487"/>
      <c r="CO268" s="487"/>
      <c r="CP268" s="831">
        <f>740.952103</f>
        <v>740.95210299999997</v>
      </c>
      <c r="CQ268" s="1030">
        <f>(CP268/CL268-1)*100</f>
        <v>-4.5110672512359002</v>
      </c>
      <c r="CR268" s="487"/>
      <c r="CS268" s="487"/>
      <c r="CT268" s="831">
        <v>719.77325299999995</v>
      </c>
      <c r="CU268" s="1030">
        <f>(CT268/CP268-1)*100</f>
        <v>-2.8583291570737357</v>
      </c>
      <c r="CV268" s="487"/>
      <c r="CW268" s="487"/>
      <c r="CX268" s="1070">
        <f>CT271-CY288</f>
        <v>692.77325300000007</v>
      </c>
      <c r="CY268" s="1030">
        <f>(CX268/CT268-1)*100</f>
        <v>-3.7511813459953469</v>
      </c>
      <c r="CZ268" s="794"/>
      <c r="DA268" s="487"/>
      <c r="DB268" s="1070">
        <f>CX271-DC288</f>
        <v>664.973253</v>
      </c>
      <c r="DC268" s="1030">
        <f>(DB268/CX268-1)*100</f>
        <v>-4.0128570033000521</v>
      </c>
      <c r="DD268" s="794"/>
      <c r="DE268" s="487"/>
      <c r="DF268" s="1070">
        <f>DB271-DG288</f>
        <v>639.67325300000005</v>
      </c>
      <c r="DG268" s="1030">
        <f>(DF268/DB268-1)*100</f>
        <v>-3.8046643057987661</v>
      </c>
      <c r="DH268" s="794"/>
      <c r="DI268" s="487"/>
      <c r="DJ268" s="1070">
        <f>DF271-DK288</f>
        <v>617.87325299999998</v>
      </c>
      <c r="DK268" s="1030">
        <f>(DJ268/DF268-1)*100</f>
        <v>-3.4079899226300836</v>
      </c>
      <c r="DL268" s="794"/>
      <c r="DM268" s="487"/>
      <c r="DN268" s="1070">
        <f>DJ271-DO288</f>
        <v>593.01442947058831</v>
      </c>
      <c r="DO268" s="1030">
        <f>(DN268/DJ268-1)*100</f>
        <v>-4.023288499496136</v>
      </c>
      <c r="DP268" s="794"/>
      <c r="DQ268" s="794"/>
      <c r="DR268" s="794"/>
      <c r="DS268" s="794"/>
      <c r="DT268" s="794"/>
      <c r="DU268" s="794"/>
      <c r="DV268" s="794"/>
      <c r="DW268" s="794"/>
      <c r="DX268" s="794"/>
      <c r="DY268" s="794"/>
      <c r="DZ268" s="794"/>
      <c r="EA268" s="794"/>
      <c r="EB268" s="794"/>
    </row>
    <row r="269" spans="1:132">
      <c r="A269" s="487" t="str">
        <f>$A$11</f>
        <v>2Q</v>
      </c>
      <c r="B269" s="487" t="str">
        <f>$B$11</f>
        <v>Jul</v>
      </c>
      <c r="C269" s="487"/>
      <c r="D269" s="831"/>
      <c r="E269" s="487"/>
      <c r="F269" s="831">
        <f>(69.799988*4*2)*2</f>
        <v>1116.799808</v>
      </c>
      <c r="G269" s="716"/>
      <c r="H269" s="716"/>
      <c r="I269" s="487"/>
      <c r="J269" s="831">
        <f>(70.118004*4*2)*2</f>
        <v>1121.888064</v>
      </c>
      <c r="K269" s="716"/>
      <c r="L269" s="716"/>
      <c r="M269" s="487"/>
      <c r="N269" s="831">
        <f>(73.345635*4*2)*2</f>
        <v>1173.53016</v>
      </c>
      <c r="O269" s="716"/>
      <c r="P269" s="716"/>
      <c r="Q269" s="487"/>
      <c r="R269" s="831">
        <f>(74.156*4*2)*2</f>
        <v>1186.4960000000001</v>
      </c>
      <c r="S269" s="716"/>
      <c r="T269" s="716"/>
      <c r="U269" s="487"/>
      <c r="V269" s="831">
        <f>(73.864528*4*2)*2</f>
        <v>1181.8324480000001</v>
      </c>
      <c r="W269" s="716"/>
      <c r="X269" s="716"/>
      <c r="Y269" s="487"/>
      <c r="Z269" s="831">
        <f>(72.488989*4*2)*2</f>
        <v>1159.8238240000001</v>
      </c>
      <c r="AA269" s="716"/>
      <c r="AB269" s="716"/>
      <c r="AC269" s="487"/>
      <c r="AD269" s="831">
        <f>(89.986777*4*2)*2</f>
        <v>1439.7884320000001</v>
      </c>
      <c r="AE269" s="716"/>
      <c r="AF269" s="716"/>
      <c r="AG269" s="487"/>
      <c r="AH269" s="831">
        <f>(355.084486*2)*2</f>
        <v>1420.3379440000001</v>
      </c>
      <c r="AI269" s="716"/>
      <c r="AJ269" s="716"/>
      <c r="AK269" s="487"/>
      <c r="AL269" s="831">
        <f>(337.137025*2)*2</f>
        <v>1348.5481</v>
      </c>
      <c r="AM269" s="1029">
        <f>(AL269/AH269-1)*100</f>
        <v>-5.0544199219112134</v>
      </c>
      <c r="AN269" s="716"/>
      <c r="AO269" s="716"/>
      <c r="AP269" s="831">
        <f>(320.450875*2)*2</f>
        <v>1281.8035</v>
      </c>
      <c r="AQ269" s="1029">
        <f>(AP269/AL269-1)*100</f>
        <v>-4.9493673974254193</v>
      </c>
      <c r="AR269" s="487"/>
      <c r="AS269" s="487"/>
      <c r="AT269" s="831">
        <f>(292.665656*2)*2</f>
        <v>1170.6626240000001</v>
      </c>
      <c r="AU269" s="1029">
        <f>(AT269/AP269-1)*100</f>
        <v>-8.6706641072520014</v>
      </c>
      <c r="AV269" s="487"/>
      <c r="AW269" s="487"/>
      <c r="AX269" s="831">
        <f>(279.136327*2)*2</f>
        <v>1116.545308</v>
      </c>
      <c r="AY269" s="1029">
        <f>(AX269/AT269-1)*100</f>
        <v>-4.6227935265489517</v>
      </c>
      <c r="AZ269" s="487"/>
      <c r="BA269" s="487"/>
      <c r="BB269" s="831">
        <v>1084.448844</v>
      </c>
      <c r="BC269" s="1029">
        <f>(BB269/AX269-1)*100</f>
        <v>-2.8746226212255088</v>
      </c>
      <c r="BD269" s="487"/>
      <c r="BE269" s="487"/>
      <c r="BF269" s="831">
        <v>1028.6809920000001</v>
      </c>
      <c r="BG269" s="1030">
        <f>(BF269/BB269-1)*100</f>
        <v>-5.1425064730854171</v>
      </c>
      <c r="BH269" s="487"/>
      <c r="BI269" s="487"/>
      <c r="BJ269" s="831">
        <v>998.36731799999995</v>
      </c>
      <c r="BK269" s="1030">
        <f>(BJ269/BF269-1)*100</f>
        <v>-2.9468488516603331</v>
      </c>
      <c r="BL269" s="487"/>
      <c r="BM269" s="487"/>
      <c r="BN269" s="831">
        <v>931.84519399999999</v>
      </c>
      <c r="BO269" s="1030">
        <f>(BN269/BJ269-1)*100</f>
        <v>-6.6630911089178841</v>
      </c>
      <c r="BP269" s="487"/>
      <c r="BQ269" s="487"/>
      <c r="BR269" s="831">
        <v>898.99801200000002</v>
      </c>
      <c r="BS269" s="1030">
        <f>(BR269/BN269-1)*100</f>
        <v>-3.5249612501623284</v>
      </c>
      <c r="BT269" s="487"/>
      <c r="BU269" s="487"/>
      <c r="BV269" s="831">
        <v>889.24452399999996</v>
      </c>
      <c r="BW269" s="1030">
        <f>(BV269/BR269-1)*100</f>
        <v>-1.084928761777959</v>
      </c>
      <c r="BX269" s="487"/>
      <c r="BY269" s="487"/>
      <c r="BZ269" s="831">
        <v>838.82212600000003</v>
      </c>
      <c r="CA269" s="1030">
        <f>(BZ269/BV269-1)*100</f>
        <v>-5.6702511670456923</v>
      </c>
      <c r="CB269" s="487"/>
      <c r="CC269" s="487"/>
      <c r="CD269" s="831">
        <v>847.707854</v>
      </c>
      <c r="CE269" s="1030">
        <f>(CD269/BZ269-1)*100</f>
        <v>1.0593101593984411</v>
      </c>
      <c r="CF269" s="487"/>
      <c r="CG269" s="487"/>
      <c r="CH269" s="913">
        <v>807.41600000000005</v>
      </c>
      <c r="CI269" s="1030">
        <f>(CH269/CD269-1)*100</f>
        <v>-4.7530353540879089</v>
      </c>
      <c r="CJ269" s="487"/>
      <c r="CK269" s="487"/>
      <c r="CL269" s="831">
        <v>763.71400000000006</v>
      </c>
      <c r="CM269" s="1030">
        <f>(CL269/CH269-1)*100</f>
        <v>-5.412575425802812</v>
      </c>
      <c r="CN269" s="487"/>
      <c r="CO269" s="487"/>
      <c r="CP269" s="831">
        <f>CP268-7.1</f>
        <v>733.85210299999994</v>
      </c>
      <c r="CQ269" s="1030">
        <f>(CP269/CL269-1)*100</f>
        <v>-3.9100889861911847</v>
      </c>
      <c r="CR269" s="487"/>
      <c r="CS269" s="487"/>
      <c r="CT269" s="1070">
        <f>CT268-CU289</f>
        <v>713.37325299999998</v>
      </c>
      <c r="CU269" s="1030">
        <f>(CT269/CP269-1)*100</f>
        <v>-2.7905963499023967</v>
      </c>
      <c r="CV269" s="487"/>
      <c r="CW269" s="487"/>
      <c r="CX269" s="1070">
        <f>CX268-CY289</f>
        <v>684.77325300000007</v>
      </c>
      <c r="CY269" s="1030">
        <f>(CX269/CT269-1)*100</f>
        <v>-4.0091214353392468</v>
      </c>
      <c r="CZ269" s="794"/>
      <c r="DA269" s="487"/>
      <c r="DB269" s="1070">
        <f>DB268-DC289</f>
        <v>658.37325299999998</v>
      </c>
      <c r="DC269" s="1030">
        <f>(DB269/CX269-1)*100</f>
        <v>-3.8552907673220838</v>
      </c>
      <c r="DD269" s="794"/>
      <c r="DE269" s="487"/>
      <c r="DF269" s="1070">
        <f>DF268-DG289</f>
        <v>634.473253</v>
      </c>
      <c r="DG269" s="1030">
        <f>(DF269/DB269-1)*100</f>
        <v>-3.6301596231461675</v>
      </c>
      <c r="DH269" s="794"/>
      <c r="DI269" s="487"/>
      <c r="DJ269" s="1070">
        <f>DJ268-DK289</f>
        <v>610.37325299999998</v>
      </c>
      <c r="DK269" s="1030">
        <f>(DJ269/DF269-1)*100</f>
        <v>-3.7984264720454686</v>
      </c>
      <c r="DL269" s="794"/>
      <c r="DM269" s="487"/>
      <c r="DN269" s="1070">
        <f>DN268-DO289</f>
        <v>585.9556059411766</v>
      </c>
      <c r="DO269" s="1030">
        <f>(DN269/DJ269-1)*100</f>
        <v>-4.0004451274380131</v>
      </c>
      <c r="DP269" s="794"/>
      <c r="DQ269" s="794"/>
      <c r="DR269" s="794"/>
      <c r="DS269" s="1033"/>
      <c r="DT269" s="794"/>
      <c r="DU269" s="794"/>
      <c r="DV269" s="794"/>
      <c r="DW269" s="794"/>
      <c r="DX269" s="794"/>
      <c r="DY269" s="794"/>
      <c r="DZ269" s="794"/>
      <c r="EA269" s="794"/>
      <c r="EB269" s="794"/>
    </row>
    <row r="270" spans="1:132">
      <c r="A270" s="487" t="str">
        <f>$A$12</f>
        <v>3Q</v>
      </c>
      <c r="B270" s="487" t="str">
        <f>$B$12</f>
        <v>Oct</v>
      </c>
      <c r="C270" s="487"/>
      <c r="D270" s="831"/>
      <c r="E270" s="487"/>
      <c r="F270" s="831">
        <f>(72.899646*4*2)*2</f>
        <v>1166.3943360000001</v>
      </c>
      <c r="G270" s="716"/>
      <c r="H270" s="716"/>
      <c r="I270" s="487"/>
      <c r="J270" s="831">
        <f>(73.079007*4*2)*2</f>
        <v>1169.2641120000001</v>
      </c>
      <c r="K270" s="716"/>
      <c r="L270" s="716"/>
      <c r="M270" s="487"/>
      <c r="N270" s="831">
        <f>(77.217425*4*2)*2</f>
        <v>1235.4788000000001</v>
      </c>
      <c r="O270" s="716"/>
      <c r="P270" s="716"/>
      <c r="Q270" s="487"/>
      <c r="R270" s="831">
        <f>(78.528854*4*2)*2</f>
        <v>1256.4616639999999</v>
      </c>
      <c r="S270" s="716"/>
      <c r="T270" s="716"/>
      <c r="U270" s="487"/>
      <c r="V270" s="831">
        <f>(77.8655*4*2)*2</f>
        <v>1245.848</v>
      </c>
      <c r="W270" s="716"/>
      <c r="X270" s="716"/>
      <c r="Y270" s="487"/>
      <c r="Z270" s="831">
        <f>(76.858182*4*2)*2</f>
        <v>1229.730912</v>
      </c>
      <c r="AA270" s="716"/>
      <c r="AB270" s="716"/>
      <c r="AC270" s="487"/>
      <c r="AD270" s="831">
        <f>(90.629506*4*2)*2</f>
        <v>1450.0720960000001</v>
      </c>
      <c r="AE270" s="716"/>
      <c r="AF270" s="716"/>
      <c r="AG270" s="487"/>
      <c r="AH270" s="831">
        <f>(347.565528*2)*2</f>
        <v>1390.2621119999999</v>
      </c>
      <c r="AI270" s="716"/>
      <c r="AJ270" s="716"/>
      <c r="AK270" s="487"/>
      <c r="AL270" s="831">
        <f>(331.766679*2)*2</f>
        <v>1327.066716</v>
      </c>
      <c r="AM270" s="1029">
        <f>(AL270/AH270-1)*100</f>
        <v>-4.5455742089589357</v>
      </c>
      <c r="AN270" s="716"/>
      <c r="AO270" s="716"/>
      <c r="AP270" s="831">
        <f>(316.313*2)*2</f>
        <v>1265.252</v>
      </c>
      <c r="AQ270" s="1029">
        <f>(AP270/AL270-1)*100</f>
        <v>-4.6579961093681792</v>
      </c>
      <c r="AR270" s="487" t="s">
        <v>144</v>
      </c>
      <c r="AS270" s="487"/>
      <c r="AT270" s="831">
        <f>(282.933718*2)*2</f>
        <v>1131.734872</v>
      </c>
      <c r="AU270" s="1029">
        <f>(AT270/AP270-1)*100</f>
        <v>-10.552611495575581</v>
      </c>
      <c r="AV270" s="487"/>
      <c r="AW270" s="487"/>
      <c r="AX270" s="831">
        <f>(276.079832*2)*2</f>
        <v>1104.319328</v>
      </c>
      <c r="AY270" s="1029">
        <f>(AX270/AT270-1)*100</f>
        <v>-2.4224352079521339</v>
      </c>
      <c r="AZ270" s="487"/>
      <c r="BA270" s="487"/>
      <c r="BB270" s="831">
        <v>1064.6696919999999</v>
      </c>
      <c r="BC270" s="1029">
        <f>(BB270/AX270-1)*100</f>
        <v>-3.590414021984778</v>
      </c>
      <c r="BD270" s="487"/>
      <c r="BE270" s="487"/>
      <c r="BF270" s="831">
        <v>1022.124704</v>
      </c>
      <c r="BG270" s="1030">
        <f>(BF270/BB270-1)*100</f>
        <v>-3.9960739297536074</v>
      </c>
      <c r="BH270" s="487"/>
      <c r="BI270" s="487"/>
      <c r="BJ270" s="831">
        <v>963.74512000000004</v>
      </c>
      <c r="BK270" s="1030">
        <f>(BJ270/BF270-1)*100</f>
        <v>-5.7115911367307977</v>
      </c>
      <c r="BL270" s="487"/>
      <c r="BM270" s="487"/>
      <c r="BN270" s="831">
        <v>921.37900000000002</v>
      </c>
      <c r="BO270" s="1030">
        <f>(BN270/BJ270-1)*100</f>
        <v>-4.3959880180768129</v>
      </c>
      <c r="BP270" s="487"/>
      <c r="BQ270" s="716"/>
      <c r="BR270" s="831">
        <v>910.19789400000002</v>
      </c>
      <c r="BS270" s="1030">
        <f>(BR270/BN270-1)*100</f>
        <v>-1.2135186497630235</v>
      </c>
      <c r="BT270" s="487"/>
      <c r="BU270" s="487"/>
      <c r="BV270" s="831">
        <v>874.03527399999996</v>
      </c>
      <c r="BW270" s="1030">
        <f>(BV270/BR270-1)*100</f>
        <v>-3.9730502826234915</v>
      </c>
      <c r="BX270" s="487"/>
      <c r="BY270" s="487"/>
      <c r="BZ270" s="831">
        <v>832.68006200000002</v>
      </c>
      <c r="CA270" s="1030">
        <f>(BZ270/BV270-1)*100</f>
        <v>-4.7315266591860583</v>
      </c>
      <c r="CB270" s="487"/>
      <c r="CC270" s="487"/>
      <c r="CD270" s="831">
        <v>839.41726800000004</v>
      </c>
      <c r="CE270" s="1030">
        <f>(CD270/BZ270-1)*100</f>
        <v>0.80909899341388147</v>
      </c>
      <c r="CF270" s="487"/>
      <c r="CG270" s="487"/>
      <c r="CH270" s="913">
        <v>794.43399999999997</v>
      </c>
      <c r="CI270" s="1030">
        <f>(CH270/CD270-1)*100</f>
        <v>-5.3588685526064328</v>
      </c>
      <c r="CJ270" s="487"/>
      <c r="CK270" s="487"/>
      <c r="CL270" s="831">
        <v>754.274</v>
      </c>
      <c r="CM270" s="1030">
        <f>(CL270/CH270-1)*100</f>
        <v>-5.0551713547003274</v>
      </c>
      <c r="CN270" s="487"/>
      <c r="CO270" s="487"/>
      <c r="CP270" s="831">
        <v>729.25270499999999</v>
      </c>
      <c r="CQ270" s="1030">
        <f>(CP270/CL270-1)*100</f>
        <v>-3.3172686583390121</v>
      </c>
      <c r="CR270" s="487"/>
      <c r="CS270" s="487"/>
      <c r="CT270" s="1070">
        <f>CT269-CU290</f>
        <v>706.57325300000002</v>
      </c>
      <c r="CU270" s="1030">
        <f>(CT270/CP270-1)*100</f>
        <v>-3.1099578849008158</v>
      </c>
      <c r="CV270" s="487"/>
      <c r="CW270" s="487"/>
      <c r="CX270" s="1070">
        <f>CX269-CY290</f>
        <v>677.27325300000007</v>
      </c>
      <c r="CY270" s="1030">
        <f>(CX270/CT270-1)*100</f>
        <v>-4.1467745737043815</v>
      </c>
      <c r="CZ270" s="794"/>
      <c r="DA270" s="487"/>
      <c r="DB270" s="1070">
        <f>DB269-DC290</f>
        <v>651.973253</v>
      </c>
      <c r="DC270" s="1030">
        <f>(DB270/CX270-1)*100</f>
        <v>-3.735567570095677</v>
      </c>
      <c r="DD270" s="794"/>
      <c r="DE270" s="487"/>
      <c r="DF270" s="1070">
        <f>DF269-DG290</f>
        <v>629.27325299999995</v>
      </c>
      <c r="DG270" s="1030">
        <f>(DF270/DB270-1)*100</f>
        <v>-3.4817379233807344</v>
      </c>
      <c r="DH270" s="794"/>
      <c r="DI270" s="487"/>
      <c r="DJ270" s="1070">
        <f>DJ269-DK290</f>
        <v>605.473253</v>
      </c>
      <c r="DK270" s="1030">
        <f>(DJ270/DF270-1)*100</f>
        <v>-3.7821407292516818</v>
      </c>
      <c r="DL270" s="794"/>
      <c r="DM270" s="487"/>
      <c r="DN270" s="1070">
        <f>DN269-DO290</f>
        <v>578.89678241176489</v>
      </c>
      <c r="DO270" s="1030">
        <f>(DN270/DJ270-1)*100</f>
        <v>-4.3893715298824461</v>
      </c>
      <c r="DP270" s="794"/>
      <c r="DQ270" s="794"/>
      <c r="DR270" s="794"/>
      <c r="DS270" s="794"/>
      <c r="DT270" s="794"/>
      <c r="DU270" s="794"/>
      <c r="DV270" s="794"/>
      <c r="DW270" s="794"/>
      <c r="DX270" s="794"/>
      <c r="DY270" s="794"/>
      <c r="DZ270" s="794"/>
      <c r="EA270" s="794"/>
      <c r="EB270" s="794"/>
    </row>
    <row r="271" spans="1:132">
      <c r="A271" s="487" t="str">
        <f>$A$13</f>
        <v>4Q</v>
      </c>
      <c r="B271" s="487" t="str">
        <f>$B$13</f>
        <v>Jan</v>
      </c>
      <c r="C271" s="499"/>
      <c r="D271" s="849"/>
      <c r="E271" s="499"/>
      <c r="F271" s="849">
        <f>((15.284/0.22)*4*2)*2</f>
        <v>1111.5636363636363</v>
      </c>
      <c r="G271" s="716"/>
      <c r="H271" s="716"/>
      <c r="I271" s="487"/>
      <c r="J271" s="849">
        <f>((14.034/0.2)*4*2)*2</f>
        <v>1122.72</v>
      </c>
      <c r="K271" s="716"/>
      <c r="L271" s="716"/>
      <c r="M271" s="487"/>
      <c r="N271" s="849">
        <f>((29.351/0.38)*4*2)*2</f>
        <v>1235.8315789473684</v>
      </c>
      <c r="O271" s="716"/>
      <c r="P271" s="716"/>
      <c r="Q271" s="487"/>
      <c r="R271" s="849">
        <f>(74.229422*4*2)*2</f>
        <v>1187.670752</v>
      </c>
      <c r="S271" s="716"/>
      <c r="T271" s="716"/>
      <c r="U271" s="487"/>
      <c r="V271" s="849">
        <f>(72.513267*4*2)*2</f>
        <v>1160.212272</v>
      </c>
      <c r="W271" s="716"/>
      <c r="X271" s="716"/>
      <c r="Y271" s="487"/>
      <c r="Z271" s="849">
        <f>(74.422222*4*2)*2</f>
        <v>1190.7555520000001</v>
      </c>
      <c r="AA271" s="716"/>
      <c r="AB271" s="716"/>
      <c r="AC271" s="487"/>
      <c r="AD271" s="849">
        <f>(176.649704*2*2)*2</f>
        <v>1413.1976320000001</v>
      </c>
      <c r="AE271" s="716"/>
      <c r="AF271" s="716"/>
      <c r="AG271" s="487"/>
      <c r="AH271" s="849">
        <f>(171.142637*2*2)*2</f>
        <v>1369.1410960000001</v>
      </c>
      <c r="AI271" s="716"/>
      <c r="AJ271" s="716"/>
      <c r="AK271" s="487"/>
      <c r="AL271" s="849">
        <f>(328.800046*2)*2</f>
        <v>1315.200184</v>
      </c>
      <c r="AM271" s="1029">
        <f>(AL271/AH271-1)*100</f>
        <v>-3.9397628306966026</v>
      </c>
      <c r="AN271" s="716"/>
      <c r="AO271" s="716"/>
      <c r="AP271" s="849">
        <f>(308.281445*2)*2</f>
        <v>1233.1257800000001</v>
      </c>
      <c r="AQ271" s="1029">
        <f>(AP271/AL271-1)*100</f>
        <v>-6.2404495527351607</v>
      </c>
      <c r="AR271" s="487"/>
      <c r="AS271" s="487"/>
      <c r="AT271" s="849">
        <f>(282.515324*2)*2</f>
        <v>1130.0612960000001</v>
      </c>
      <c r="AU271" s="1029">
        <f>(AT271/AP271-1)*100</f>
        <v>-8.3579863199356623</v>
      </c>
      <c r="AV271" s="487"/>
      <c r="AW271" s="487"/>
      <c r="AX271" s="849">
        <f>(275.306275*2)*2</f>
        <v>1101.2251000000001</v>
      </c>
      <c r="AY271" s="1029">
        <f>(AX271/AT271-1)*100</f>
        <v>-2.5517373351400918</v>
      </c>
      <c r="AZ271" s="487"/>
      <c r="BA271" s="487"/>
      <c r="BB271" s="849">
        <v>1058.5850479999999</v>
      </c>
      <c r="BC271" s="1029">
        <f>(BB271/AX271-1)*100</f>
        <v>-3.8720559493240936</v>
      </c>
      <c r="BD271" s="487"/>
      <c r="BE271" s="487"/>
      <c r="BF271" s="849">
        <v>1016.02464</v>
      </c>
      <c r="BG271" s="1030">
        <f>(BF271/BB271-1)*100</f>
        <v>-4.0204996358497507</v>
      </c>
      <c r="BH271" s="487"/>
      <c r="BI271" s="487"/>
      <c r="BJ271" s="849">
        <v>961.39830800000004</v>
      </c>
      <c r="BK271" s="1030">
        <f>(BJ271/BF271-1)*100</f>
        <v>-5.3764770901619023</v>
      </c>
      <c r="BL271" s="487"/>
      <c r="BM271" s="487"/>
      <c r="BN271" s="849">
        <v>921.34119999999996</v>
      </c>
      <c r="BO271" s="1030">
        <f>(BN271/BJ271-1)*100</f>
        <v>-4.1665465464913343</v>
      </c>
      <c r="BP271" s="487"/>
      <c r="BQ271" s="487"/>
      <c r="BR271" s="849">
        <v>907.29962599999999</v>
      </c>
      <c r="BS271" s="1030">
        <f>(BR271/BN271-1)*100</f>
        <v>-1.524036263655637</v>
      </c>
      <c r="BT271" s="487"/>
      <c r="BU271" s="487"/>
      <c r="BV271" s="849">
        <v>855.89906599999995</v>
      </c>
      <c r="BW271" s="1030">
        <f>(BV271/BR271-1)*100</f>
        <v>-5.6652244227862187</v>
      </c>
      <c r="BX271" s="487"/>
      <c r="BY271" s="487"/>
      <c r="BZ271" s="849">
        <v>825.64318400000002</v>
      </c>
      <c r="CA271" s="1030">
        <f>(BZ271/BV271-1)*100</f>
        <v>-3.5349824765435467</v>
      </c>
      <c r="CB271" s="487"/>
      <c r="CC271" s="487"/>
      <c r="CD271" s="849">
        <v>818.77225199999998</v>
      </c>
      <c r="CE271" s="1030">
        <f>(CD271/BZ271-1)*100</f>
        <v>-0.83219145184635357</v>
      </c>
      <c r="CF271" s="487"/>
      <c r="CG271" s="487"/>
      <c r="CH271" s="851">
        <f>CH270*(CH221/CH220)</f>
        <v>783.67176885668914</v>
      </c>
      <c r="CI271" s="1030">
        <f>(CH271/CD271-1)*100</f>
        <v>-4.2869653994223045</v>
      </c>
      <c r="CJ271" s="487"/>
      <c r="CK271" s="487"/>
      <c r="CL271" s="851">
        <f>CL270*(CL221/CL220)</f>
        <v>751.09070716609301</v>
      </c>
      <c r="CM271" s="1030">
        <f>(CL271/CH271-1)*100</f>
        <v>-4.1574882476791419</v>
      </c>
      <c r="CN271" s="487"/>
      <c r="CO271" s="487"/>
      <c r="CP271" s="849">
        <v>723.90200100000004</v>
      </c>
      <c r="CQ271" s="1030">
        <f>(CP271/CL271-1)*100</f>
        <v>-3.6198964927521837</v>
      </c>
      <c r="CR271" s="487"/>
      <c r="CS271" s="487"/>
      <c r="CT271" s="1035">
        <f>CT270-CU291</f>
        <v>699.27325300000007</v>
      </c>
      <c r="CU271" s="1030">
        <f>(CT271/CP271-1)*100</f>
        <v>-3.4022212904478488</v>
      </c>
      <c r="CV271" s="487"/>
      <c r="CW271" s="487"/>
      <c r="CX271" s="1035">
        <f>CX270-CY291</f>
        <v>671.07325300000002</v>
      </c>
      <c r="CY271" s="1030">
        <f>(CX271/CT271-1)*100</f>
        <v>-4.0327582785438025</v>
      </c>
      <c r="CZ271" s="794"/>
      <c r="DA271" s="487"/>
      <c r="DB271" s="1035">
        <f>DB270-DC291</f>
        <v>644.67325300000005</v>
      </c>
      <c r="DC271" s="1030">
        <f>(DB271/CX271-1)*100</f>
        <v>-3.9339967554927968</v>
      </c>
      <c r="DD271" s="794"/>
      <c r="DE271" s="487"/>
      <c r="DF271" s="1035">
        <f>DF270-DG291</f>
        <v>622.37325299999998</v>
      </c>
      <c r="DG271" s="1030">
        <f>(DF271/DB271-1)*100</f>
        <v>-3.4591166759636138</v>
      </c>
      <c r="DH271" s="794"/>
      <c r="DI271" s="487"/>
      <c r="DJ271" s="1035">
        <f>DJ270-DK291</f>
        <v>600.07325300000002</v>
      </c>
      <c r="DK271" s="1030">
        <f>(DJ271/DF271-1)*100</f>
        <v>-3.5830588625889948</v>
      </c>
      <c r="DL271" s="794"/>
      <c r="DM271" s="487"/>
      <c r="DN271" s="1035">
        <f>DN270-DO291</f>
        <v>570.66148829411782</v>
      </c>
      <c r="DO271" s="1030">
        <f>(DN271/DJ271-1)*100</f>
        <v>-4.9013623851490333</v>
      </c>
      <c r="DP271" s="794"/>
      <c r="DQ271" s="794"/>
      <c r="DR271" s="794"/>
      <c r="DS271" s="794"/>
      <c r="DT271" s="794"/>
      <c r="DU271" s="794"/>
      <c r="DV271" s="794"/>
      <c r="DW271" s="794"/>
      <c r="DX271" s="794"/>
      <c r="DY271" s="794"/>
      <c r="DZ271" s="794"/>
      <c r="EA271" s="794"/>
      <c r="EB271" s="794"/>
    </row>
    <row r="272" spans="1:132">
      <c r="A272" s="487"/>
      <c r="B272" s="487" t="str">
        <f>$B$14</f>
        <v>Year</v>
      </c>
      <c r="C272" s="487"/>
      <c r="D272" s="1036"/>
      <c r="E272" s="487"/>
      <c r="F272" s="1036">
        <f>(72.924288*4*2)*2</f>
        <v>1166.7886080000001</v>
      </c>
      <c r="G272" s="1037"/>
      <c r="H272" s="1037"/>
      <c r="I272" s="1037"/>
      <c r="J272" s="1036">
        <f>(70.050835*4*2)*2</f>
        <v>1120.8133600000001</v>
      </c>
      <c r="K272" s="1037"/>
      <c r="L272" s="1037"/>
      <c r="M272" s="1037"/>
      <c r="N272" s="1036">
        <f>(73.873276*4*2)*2</f>
        <v>1181.9724160000001</v>
      </c>
      <c r="O272" s="1037"/>
      <c r="P272" s="1037"/>
      <c r="Q272" s="1037"/>
      <c r="R272" s="902">
        <f>(74.192358*4*2)*2</f>
        <v>1187.077728</v>
      </c>
      <c r="S272" s="1037"/>
      <c r="T272" s="1037"/>
      <c r="U272" s="1037"/>
      <c r="V272" s="902">
        <f>(73.467*4*2)*2</f>
        <v>1175.472</v>
      </c>
      <c r="W272" s="1037"/>
      <c r="X272" s="1037"/>
      <c r="Y272" s="1037"/>
      <c r="Z272" s="902">
        <f>(145.39095*2*2)*2</f>
        <v>1163.1276</v>
      </c>
      <c r="AA272" s="1038"/>
      <c r="AB272" s="1037"/>
      <c r="AC272" s="1037"/>
      <c r="AD272" s="902">
        <f>(175.32505*2*2)*2</f>
        <v>1402.6004</v>
      </c>
      <c r="AE272" s="1037"/>
      <c r="AF272" s="1037"/>
      <c r="AG272" s="1037"/>
      <c r="AH272" s="902">
        <f>(174.806092*2*2)*2</f>
        <v>1398.4487360000001</v>
      </c>
      <c r="AI272" s="1037"/>
      <c r="AJ272" s="1037"/>
      <c r="AK272" s="1037"/>
      <c r="AL272" s="902">
        <f>(334.64795*2)*2</f>
        <v>1338.5917999999999</v>
      </c>
      <c r="AM272" s="783">
        <f>(AL272/AH272-1)*100</f>
        <v>-4.2802381280853901</v>
      </c>
      <c r="AN272" s="1037"/>
      <c r="AO272" s="1037"/>
      <c r="AP272" s="902">
        <f>(317.790764*2)*2</f>
        <v>1271.1630560000001</v>
      </c>
      <c r="AQ272" s="783">
        <f>(AP272/AL272-1)*100</f>
        <v>-5.0372894858611739</v>
      </c>
      <c r="AR272" s="725"/>
      <c r="AS272" s="725"/>
      <c r="AT272" s="902">
        <v>1156.7840000000001</v>
      </c>
      <c r="AU272" s="783">
        <f>(AT272/AP272-1)*100</f>
        <v>-8.9979845984447753</v>
      </c>
      <c r="AV272" s="1037"/>
      <c r="AW272" s="1037"/>
      <c r="AX272" s="902">
        <v>1112.5360000000001</v>
      </c>
      <c r="AY272" s="783">
        <f>(AX272/AT272-1)*100</f>
        <v>-3.8250874839209414</v>
      </c>
      <c r="AZ272" s="1037"/>
      <c r="BA272" s="1037"/>
      <c r="BB272" s="890">
        <v>1075.48</v>
      </c>
      <c r="BC272" s="487"/>
      <c r="BD272" s="487"/>
      <c r="BE272" s="1037"/>
      <c r="BF272" s="902">
        <f>AVERAGE(BF268:BF271)</f>
        <v>1026.9596839999999</v>
      </c>
      <c r="BG272" s="487"/>
      <c r="BH272" s="890"/>
      <c r="BI272" s="1037"/>
      <c r="BJ272" s="902">
        <f>AVERAGE(BJ268:BJ271)</f>
        <v>983.21803550000004</v>
      </c>
      <c r="BK272" s="487"/>
      <c r="BL272" s="890"/>
      <c r="BM272" s="1037"/>
      <c r="BN272" s="902">
        <f>+BN271</f>
        <v>921.34119999999996</v>
      </c>
      <c r="BO272" s="487"/>
      <c r="BP272" s="890"/>
      <c r="BQ272" s="487"/>
      <c r="BR272" s="902">
        <f>+BR271</f>
        <v>907.29962599999999</v>
      </c>
      <c r="BS272" s="487"/>
      <c r="BT272" s="890"/>
      <c r="BU272" s="487"/>
      <c r="BV272" s="902">
        <f>+BV271</f>
        <v>855.89906599999995</v>
      </c>
      <c r="BW272" s="487"/>
      <c r="BX272" s="890"/>
      <c r="BY272" s="890"/>
      <c r="BZ272" s="902">
        <f>+BZ271</f>
        <v>825.64318400000002</v>
      </c>
      <c r="CA272" s="487"/>
      <c r="CB272" s="890"/>
      <c r="CC272" s="890"/>
      <c r="CD272" s="902">
        <f>+CD271</f>
        <v>818.77225199999998</v>
      </c>
      <c r="CE272" s="487"/>
      <c r="CF272" s="890"/>
      <c r="CG272" s="890"/>
      <c r="CH272" s="902">
        <v>800.29</v>
      </c>
      <c r="CI272" s="487"/>
      <c r="CJ272" s="890"/>
      <c r="CK272" s="890"/>
      <c r="CL272" s="890">
        <f>AVERAGE(CL268:CL271)</f>
        <v>761.25867679152327</v>
      </c>
      <c r="CM272" s="487"/>
      <c r="CN272" s="890"/>
      <c r="CO272" s="890"/>
      <c r="CP272" s="890">
        <f>AVERAGE(CP268:CP271)</f>
        <v>731.9897279999999</v>
      </c>
      <c r="CQ272" s="487"/>
      <c r="CS272" s="890"/>
      <c r="CT272" s="890">
        <f>AVERAGE(CT268:CT271)</f>
        <v>709.74825299999998</v>
      </c>
      <c r="CU272" s="487"/>
      <c r="CX272" s="890">
        <f>AVERAGE(CX268:CX271)</f>
        <v>681.473253</v>
      </c>
      <c r="CY272" s="487"/>
      <c r="DB272" s="890">
        <f>AVERAGE(DB268:DB271)</f>
        <v>654.99825299999998</v>
      </c>
      <c r="DC272" s="487"/>
      <c r="DF272" s="890">
        <f>AVERAGE(DF268:DF271)</f>
        <v>631.44825300000002</v>
      </c>
      <c r="DG272" s="487"/>
      <c r="DJ272" s="890">
        <f>AVERAGE(DJ268:DJ271)</f>
        <v>608.44825300000002</v>
      </c>
      <c r="DK272" s="487"/>
      <c r="DN272" s="890">
        <f>AVERAGE(DN268:DN271)</f>
        <v>582.13207652941196</v>
      </c>
      <c r="DO272" s="487"/>
      <c r="DQ272" s="1041"/>
      <c r="DR272" s="1041"/>
      <c r="DS272" s="794"/>
      <c r="DT272" s="794"/>
      <c r="DU272" s="794"/>
      <c r="DV272" s="794"/>
      <c r="DW272" s="794"/>
      <c r="DX272" s="794"/>
      <c r="DY272" s="794"/>
      <c r="DZ272" s="794"/>
      <c r="EA272" s="794"/>
      <c r="EB272" s="794"/>
    </row>
    <row r="273" spans="1:132">
      <c r="A273" s="487" t="str">
        <f>$A$15</f>
        <v>6 Mos</v>
      </c>
      <c r="B273" s="487"/>
      <c r="C273" s="890"/>
      <c r="D273" s="890"/>
      <c r="E273" s="890"/>
      <c r="F273" s="890">
        <f>(F268+F269)/2</f>
        <v>1116.971192</v>
      </c>
      <c r="G273" s="890"/>
      <c r="H273" s="890"/>
      <c r="I273" s="890"/>
      <c r="J273" s="890">
        <f>(J268+J269)/2</f>
        <v>1120.9306879999999</v>
      </c>
      <c r="K273" s="890"/>
      <c r="L273" s="890"/>
      <c r="M273" s="890"/>
      <c r="N273" s="890">
        <f>(N268+N269)/2</f>
        <v>1147.541352</v>
      </c>
      <c r="O273" s="890"/>
      <c r="P273" s="890"/>
      <c r="Q273" s="890"/>
      <c r="R273" s="890">
        <f>(R268+R269)/2</f>
        <v>1186.1184720000001</v>
      </c>
      <c r="S273" s="890"/>
      <c r="T273" s="890"/>
      <c r="U273" s="890"/>
      <c r="V273" s="890">
        <f>(V268+V269)/2</f>
        <v>1183.53088</v>
      </c>
      <c r="W273" s="890"/>
      <c r="X273" s="890"/>
      <c r="Y273" s="890"/>
      <c r="Z273" s="890">
        <f>(Z268+Z269)/2</f>
        <v>1159.6067440000002</v>
      </c>
      <c r="AA273" s="890"/>
      <c r="AB273" s="890"/>
      <c r="AC273" s="890"/>
      <c r="AD273" s="890">
        <f>(AD268+AD269)/2</f>
        <v>1402.616352</v>
      </c>
      <c r="AE273" s="890"/>
      <c r="AF273" s="890"/>
      <c r="AG273" s="890"/>
      <c r="AH273" s="890">
        <f>(AH268+AH269)/2</f>
        <v>1418.8387240000002</v>
      </c>
      <c r="AI273" s="890"/>
      <c r="AJ273" s="890"/>
      <c r="AK273" s="890"/>
      <c r="AL273" s="890">
        <f>(AL268+AL269)/2</f>
        <v>1354.894742</v>
      </c>
      <c r="AM273" s="890"/>
      <c r="AN273" s="890"/>
      <c r="AO273" s="890"/>
      <c r="AP273" s="890">
        <f>(AP268+AP269)/2</f>
        <v>1291.49404</v>
      </c>
      <c r="AQ273" s="890"/>
      <c r="AR273" s="890"/>
      <c r="AS273" s="890"/>
      <c r="AT273" s="890">
        <f>(AT268+AT269)/2</f>
        <v>1185.4212299999999</v>
      </c>
      <c r="AU273" s="890"/>
      <c r="AV273" s="890"/>
      <c r="AW273" s="890"/>
      <c r="AX273" s="890">
        <f>(AX268+AX269)/2</f>
        <v>1122.529642</v>
      </c>
      <c r="AY273" s="890"/>
      <c r="AZ273" s="890"/>
      <c r="BA273" s="890"/>
      <c r="BB273" s="890">
        <f>(BB268+BB269)/2</f>
        <v>1089.346638</v>
      </c>
      <c r="BC273" s="890"/>
      <c r="BD273" s="890"/>
      <c r="BE273" s="890"/>
      <c r="BF273" s="890">
        <f>(BF268+BF269)/2</f>
        <v>1034.8446960000001</v>
      </c>
      <c r="BG273" s="890"/>
      <c r="BH273" s="890"/>
      <c r="BI273" s="890"/>
      <c r="BJ273" s="890">
        <f>(BJ268+BJ269)/2</f>
        <v>1003.8643569999999</v>
      </c>
      <c r="BK273" s="890"/>
      <c r="BL273" s="890"/>
      <c r="BM273" s="890"/>
      <c r="BN273" s="890">
        <f>(BN268+BN269)/2</f>
        <v>936.35405100000003</v>
      </c>
      <c r="BO273" s="890"/>
      <c r="BP273" s="890"/>
      <c r="BQ273" s="890"/>
      <c r="BR273" s="890">
        <f>(BR268+BR269)/2</f>
        <v>906.52654600000005</v>
      </c>
      <c r="BS273" s="890"/>
      <c r="BT273" s="890"/>
      <c r="BU273" s="890"/>
      <c r="BV273" s="890">
        <f>(BV268+BV269)/2</f>
        <v>899.492662</v>
      </c>
      <c r="BW273" s="890"/>
      <c r="BX273" s="890"/>
      <c r="BY273" s="890"/>
      <c r="BZ273" s="890">
        <f>(BZ268+BZ269)/2</f>
        <v>844.11212399999999</v>
      </c>
      <c r="CA273" s="890"/>
      <c r="CB273" s="890"/>
      <c r="CC273" s="890"/>
      <c r="CD273" s="890">
        <f>(CD268+CD269)/2</f>
        <v>837.38756100000001</v>
      </c>
      <c r="CE273" s="890"/>
      <c r="CF273" s="890"/>
      <c r="CG273" s="890"/>
      <c r="CH273" s="890">
        <f>(CH268+CH269)/2</f>
        <v>808.42291118294395</v>
      </c>
      <c r="CI273" s="890"/>
      <c r="CJ273" s="890"/>
      <c r="CK273" s="890"/>
      <c r="CL273" s="890">
        <f>(CL268+CL269)/2</f>
        <v>769.83500000000004</v>
      </c>
      <c r="CM273" s="890"/>
      <c r="CN273" s="890"/>
      <c r="CO273" s="890"/>
      <c r="CP273" s="890">
        <f>(CP268+CP269)/2</f>
        <v>737.4021029999999</v>
      </c>
      <c r="CQ273" s="890"/>
      <c r="CR273" s="890"/>
      <c r="CS273" s="890"/>
      <c r="CT273" s="890">
        <f>(CT268+CT269)/2</f>
        <v>716.57325300000002</v>
      </c>
      <c r="CU273" s="487"/>
      <c r="CX273" s="890">
        <f>(CX268+CX269)/2</f>
        <v>688.77325300000007</v>
      </c>
      <c r="CY273" s="487"/>
      <c r="DB273" s="890">
        <f>(DB268+DB269)/2</f>
        <v>661.67325299999993</v>
      </c>
      <c r="DC273" s="487"/>
      <c r="DF273" s="890">
        <f>(DF268+DF269)/2</f>
        <v>637.07325300000002</v>
      </c>
      <c r="DG273" s="487"/>
      <c r="DJ273" s="890">
        <f>(DJ268+DJ269)/2</f>
        <v>614.12325299999998</v>
      </c>
      <c r="DK273" s="487"/>
      <c r="DN273" s="890">
        <f>(DN268+DN269)/2</f>
        <v>589.48501770588246</v>
      </c>
      <c r="DO273" s="487"/>
      <c r="DQ273" s="794"/>
      <c r="DR273" s="794"/>
      <c r="DS273" s="794"/>
      <c r="DT273" s="794"/>
      <c r="DU273" s="794"/>
      <c r="DV273" s="794"/>
      <c r="DW273" s="794"/>
      <c r="DX273" s="794"/>
      <c r="DY273" s="794"/>
      <c r="DZ273" s="794"/>
      <c r="EA273" s="794"/>
      <c r="EB273" s="794"/>
    </row>
    <row r="274" spans="1:132">
      <c r="A274" s="487" t="str">
        <f>$A$16</f>
        <v>9 Mos</v>
      </c>
      <c r="B274" s="487"/>
      <c r="C274" s="890"/>
      <c r="D274" s="890"/>
      <c r="E274" s="890"/>
      <c r="F274" s="890">
        <f>(F268+F269+F270)/3</f>
        <v>1133.4455733333334</v>
      </c>
      <c r="G274" s="890"/>
      <c r="H274" s="890"/>
      <c r="I274" s="890"/>
      <c r="J274" s="890">
        <f>(J268+J269+J270)/3</f>
        <v>1137.0418293333332</v>
      </c>
      <c r="K274" s="890"/>
      <c r="L274" s="890"/>
      <c r="M274" s="890"/>
      <c r="N274" s="890">
        <f>(N268+N269+N270)/3</f>
        <v>1176.8538346666667</v>
      </c>
      <c r="O274" s="890"/>
      <c r="P274" s="890"/>
      <c r="Q274" s="890"/>
      <c r="R274" s="890">
        <f>(R268+R269+R270)/3</f>
        <v>1209.5662026666666</v>
      </c>
      <c r="S274" s="890"/>
      <c r="T274" s="890"/>
      <c r="U274" s="890"/>
      <c r="V274" s="890">
        <f>(V268+V269+V270)/3</f>
        <v>1204.3032533333333</v>
      </c>
      <c r="W274" s="890"/>
      <c r="X274" s="890"/>
      <c r="Y274" s="890"/>
      <c r="Z274" s="890">
        <f>(Z268+Z269+Z270)/3</f>
        <v>1182.9814666666668</v>
      </c>
      <c r="AA274" s="890"/>
      <c r="AB274" s="890"/>
      <c r="AC274" s="890"/>
      <c r="AD274" s="890">
        <f>(AD268+AD269+AD270)/3</f>
        <v>1418.4349333333332</v>
      </c>
      <c r="AE274" s="890"/>
      <c r="AF274" s="890"/>
      <c r="AG274" s="890"/>
      <c r="AH274" s="890">
        <f>(AH268+AH269+AH270)/3</f>
        <v>1409.313186666667</v>
      </c>
      <c r="AI274" s="890"/>
      <c r="AJ274" s="890"/>
      <c r="AK274" s="890"/>
      <c r="AL274" s="890">
        <f>(AL268+AL269+AL270)/3</f>
        <v>1345.6187333333335</v>
      </c>
      <c r="AM274" s="890"/>
      <c r="AN274" s="890"/>
      <c r="AO274" s="890"/>
      <c r="AP274" s="890">
        <f>(AP268+AP269+AP270)/3</f>
        <v>1282.7466933333333</v>
      </c>
      <c r="AQ274" s="890"/>
      <c r="AR274" s="890"/>
      <c r="AS274" s="890"/>
      <c r="AT274" s="890">
        <f>(AT268+AT269+AT270)/3</f>
        <v>1167.5257773333333</v>
      </c>
      <c r="AU274" s="890"/>
      <c r="AV274" s="890"/>
      <c r="AW274" s="890"/>
      <c r="AX274" s="890">
        <f>(AX268+AX269+AX270)/3</f>
        <v>1116.4595373333334</v>
      </c>
      <c r="AY274" s="890"/>
      <c r="AZ274" s="890"/>
      <c r="BA274" s="890"/>
      <c r="BB274" s="890">
        <f>(BB268+BB269+BB270)/3</f>
        <v>1081.1209893333332</v>
      </c>
      <c r="BC274" s="890"/>
      <c r="BD274" s="890"/>
      <c r="BE274" s="890"/>
      <c r="BF274" s="890">
        <f>(BF268+BF269+BF270)/3</f>
        <v>1030.6046986666668</v>
      </c>
      <c r="BG274" s="890"/>
      <c r="BH274" s="890"/>
      <c r="BI274" s="890"/>
      <c r="BJ274" s="890">
        <f>(BJ268+BJ269+BJ270)/3</f>
        <v>990.49127799999997</v>
      </c>
      <c r="BK274" s="890"/>
      <c r="BL274" s="890"/>
      <c r="BM274" s="890"/>
      <c r="BN274" s="890">
        <f>(BN268+BN269+BN270)/3</f>
        <v>931.36236733333328</v>
      </c>
      <c r="BO274" s="890"/>
      <c r="BP274" s="890"/>
      <c r="BQ274" s="890"/>
      <c r="BR274" s="890">
        <f>(BR268+BR269+BR270)/3</f>
        <v>907.75032866666663</v>
      </c>
      <c r="BS274" s="890"/>
      <c r="BT274" s="890"/>
      <c r="BU274" s="890"/>
      <c r="BV274" s="890">
        <f>(BV268+BV269+BV270)/3</f>
        <v>891.00686600000006</v>
      </c>
      <c r="BW274" s="890"/>
      <c r="BX274" s="890"/>
      <c r="BY274" s="890"/>
      <c r="BZ274" s="890">
        <f>(BZ268+BZ269+BZ270)/3</f>
        <v>840.30143666666663</v>
      </c>
      <c r="CA274" s="890"/>
      <c r="CB274" s="890"/>
      <c r="CC274" s="890"/>
      <c r="CD274" s="890">
        <f>(CD268+CD269+CD270)/3</f>
        <v>838.06413000000009</v>
      </c>
      <c r="CE274" s="890"/>
      <c r="CF274" s="890"/>
      <c r="CG274" s="890"/>
      <c r="CH274" s="890">
        <f>(CH268+CH269+CH270)/3</f>
        <v>803.75994078862925</v>
      </c>
      <c r="CI274" s="890"/>
      <c r="CJ274" s="890"/>
      <c r="CK274" s="890"/>
      <c r="CL274" s="890">
        <f>(CL268+CL269+CL270)/3</f>
        <v>764.64800000000002</v>
      </c>
      <c r="CM274" s="890"/>
      <c r="CN274" s="890"/>
      <c r="CO274" s="890"/>
      <c r="CP274" s="890">
        <f>(CP268+CP269+CP270)/3</f>
        <v>734.68563699999993</v>
      </c>
      <c r="CQ274" s="890"/>
      <c r="CR274" s="890"/>
      <c r="CS274" s="890"/>
      <c r="CT274" s="890">
        <f>(CT268+CT269+CT270)/3</f>
        <v>713.23991966666665</v>
      </c>
      <c r="CU274" s="487"/>
      <c r="CX274" s="890">
        <f>(CX268+CX269+CX270)/3</f>
        <v>684.9399196666667</v>
      </c>
      <c r="CY274" s="487"/>
      <c r="DB274" s="890">
        <f>(DB268+DB269+DB270)/3</f>
        <v>658.4399196666667</v>
      </c>
      <c r="DC274" s="487"/>
      <c r="DF274" s="890">
        <f>(DF268+DF269+DF270)/3</f>
        <v>634.473253</v>
      </c>
      <c r="DG274" s="487"/>
      <c r="DJ274" s="890">
        <f>(DJ268+DJ269+DJ270)/3</f>
        <v>611.23991966666665</v>
      </c>
      <c r="DK274" s="487"/>
      <c r="DN274" s="890">
        <f>(DN268+DN269+DN270)/3</f>
        <v>585.9556059411766</v>
      </c>
      <c r="DO274" s="487"/>
      <c r="DQ274" s="794"/>
      <c r="DR274" s="794"/>
      <c r="DS274" s="794"/>
      <c r="DT274" s="794"/>
      <c r="DU274" s="794"/>
      <c r="DV274" s="794"/>
      <c r="DW274" s="794"/>
      <c r="DX274" s="794"/>
      <c r="DY274" s="794"/>
      <c r="DZ274" s="794"/>
      <c r="EA274" s="794"/>
      <c r="EB274" s="794"/>
    </row>
    <row r="275" spans="1:132">
      <c r="A275" s="487"/>
      <c r="B275" s="487"/>
      <c r="C275" s="487"/>
      <c r="D275" s="487"/>
      <c r="E275" s="487"/>
      <c r="F275" s="487"/>
      <c r="G275" s="487"/>
      <c r="H275" s="487"/>
      <c r="I275" s="487"/>
      <c r="J275" s="487"/>
      <c r="K275" s="487"/>
      <c r="L275" s="487"/>
      <c r="M275" s="487"/>
      <c r="N275" s="487"/>
      <c r="O275" s="487"/>
      <c r="P275" s="487"/>
      <c r="Q275" s="487"/>
      <c r="R275" s="487"/>
      <c r="S275" s="487"/>
      <c r="T275" s="487"/>
      <c r="U275" s="487"/>
      <c r="V275" s="487"/>
      <c r="W275" s="487"/>
      <c r="X275" s="487"/>
      <c r="Y275" s="487"/>
      <c r="Z275" s="487"/>
      <c r="AA275" s="487"/>
      <c r="AB275" s="487"/>
      <c r="AC275" s="487"/>
      <c r="AD275" s="487"/>
      <c r="AE275" s="487"/>
      <c r="AF275" s="487"/>
      <c r="AG275" s="487"/>
      <c r="AH275" s="487"/>
      <c r="AI275" s="487"/>
      <c r="AJ275" s="487"/>
      <c r="AK275" s="487"/>
      <c r="AL275" s="487"/>
      <c r="AM275" s="487"/>
      <c r="AN275" s="487"/>
      <c r="AO275" s="487"/>
      <c r="AP275" s="487"/>
      <c r="AQ275" s="487"/>
      <c r="AR275" s="487"/>
      <c r="AS275" s="487"/>
      <c r="AT275" s="487"/>
      <c r="AU275" s="487"/>
      <c r="AV275" s="487"/>
      <c r="AW275" s="487"/>
      <c r="AX275" s="487"/>
      <c r="AY275" s="487"/>
      <c r="AZ275" s="487"/>
      <c r="BA275" s="487"/>
      <c r="BB275" s="487"/>
      <c r="BC275" s="487"/>
      <c r="BD275" s="487"/>
      <c r="BE275" s="487"/>
      <c r="BF275" s="487"/>
      <c r="BG275" s="487"/>
      <c r="BH275" s="487"/>
      <c r="BI275" s="487"/>
      <c r="BJ275" s="487"/>
      <c r="BK275" s="487"/>
      <c r="BL275" s="487"/>
      <c r="BM275" s="487"/>
      <c r="BN275" s="487"/>
      <c r="BO275" s="487"/>
      <c r="BP275" s="487"/>
      <c r="BQ275" s="487"/>
      <c r="BR275" s="487"/>
      <c r="BS275" s="487"/>
      <c r="BT275" s="487"/>
      <c r="BU275" s="487"/>
      <c r="BV275" s="487"/>
      <c r="BW275" s="487"/>
      <c r="BX275" s="487"/>
      <c r="BY275" s="487"/>
      <c r="BZ275" s="487"/>
      <c r="CA275" s="487"/>
      <c r="CB275" s="487"/>
      <c r="CC275" s="487"/>
      <c r="CD275" s="487"/>
      <c r="CE275" s="487"/>
      <c r="CF275" s="487"/>
      <c r="CG275" s="487"/>
      <c r="CH275" s="487"/>
      <c r="CI275" s="487"/>
      <c r="CJ275" s="487"/>
      <c r="CK275" s="487"/>
      <c r="CL275" s="487"/>
      <c r="CM275" s="487"/>
      <c r="CN275" s="487"/>
      <c r="CO275" s="487"/>
      <c r="CP275" s="487"/>
      <c r="CQ275" s="487"/>
      <c r="CR275" s="487"/>
      <c r="CS275" s="487"/>
      <c r="CT275" s="487"/>
      <c r="CU275" s="487"/>
      <c r="CV275" s="487"/>
      <c r="CW275" s="794"/>
      <c r="CX275" s="487"/>
      <c r="CY275" s="487"/>
      <c r="CZ275" s="794"/>
      <c r="DA275" s="794"/>
      <c r="DB275" s="487"/>
      <c r="DC275" s="487"/>
      <c r="DD275" s="794"/>
      <c r="DE275" s="794"/>
      <c r="DF275" s="487"/>
      <c r="DG275" s="487"/>
      <c r="DH275" s="794"/>
      <c r="DI275" s="794"/>
      <c r="DJ275" s="487"/>
      <c r="DK275" s="487"/>
      <c r="DL275" s="794"/>
      <c r="DM275" s="794"/>
      <c r="DN275" s="487"/>
      <c r="DO275" s="487"/>
      <c r="DP275" s="794"/>
      <c r="DQ275" s="794"/>
      <c r="DR275" s="794"/>
      <c r="DS275" s="794"/>
      <c r="DT275" s="794"/>
      <c r="DU275" s="794"/>
      <c r="DV275" s="794"/>
      <c r="DW275" s="794"/>
      <c r="DX275" s="794"/>
      <c r="DY275" s="794"/>
      <c r="DZ275" s="794"/>
      <c r="EA275" s="794"/>
      <c r="EB275" s="794"/>
    </row>
    <row r="276" spans="1:132">
      <c r="A276" s="487"/>
      <c r="B276" s="487"/>
      <c r="C276" s="487"/>
      <c r="D276" s="487"/>
      <c r="E276" s="487"/>
      <c r="F276" s="487"/>
      <c r="G276" s="487"/>
      <c r="H276" s="487"/>
      <c r="I276" s="487"/>
      <c r="J276" s="487"/>
      <c r="K276" s="487"/>
      <c r="L276" s="487"/>
      <c r="M276" s="487"/>
      <c r="N276" s="487"/>
      <c r="O276" s="487"/>
      <c r="P276" s="487"/>
      <c r="Q276" s="487"/>
      <c r="R276" s="487"/>
      <c r="S276" s="487"/>
      <c r="T276" s="487"/>
      <c r="U276" s="487"/>
      <c r="V276" s="487"/>
      <c r="W276" s="487"/>
      <c r="X276" s="487"/>
      <c r="Y276" s="487"/>
      <c r="Z276" s="487"/>
      <c r="AA276" s="487"/>
      <c r="AB276" s="487"/>
      <c r="AC276" s="487"/>
      <c r="AD276" s="487"/>
      <c r="AE276" s="487"/>
      <c r="AF276" s="487"/>
      <c r="AG276" s="487"/>
      <c r="AH276" s="487"/>
      <c r="AI276" s="487"/>
      <c r="AJ276" s="487"/>
      <c r="AK276" s="487"/>
      <c r="AL276" s="487"/>
      <c r="AM276" s="487"/>
      <c r="AN276" s="487"/>
      <c r="AO276" s="487"/>
      <c r="AP276" s="487"/>
      <c r="AQ276" s="487"/>
      <c r="AR276" s="487"/>
      <c r="AS276" s="487"/>
      <c r="AT276" s="487"/>
      <c r="AU276" s="487"/>
      <c r="AV276" s="487"/>
      <c r="AW276" s="487"/>
      <c r="AX276" s="487"/>
      <c r="AY276" s="487"/>
      <c r="AZ276" s="487"/>
      <c r="BA276" s="487"/>
      <c r="BB276" s="487"/>
      <c r="BC276" s="487"/>
      <c r="BD276" s="487"/>
      <c r="BE276" s="487"/>
      <c r="BF276" s="487"/>
      <c r="BG276" s="487"/>
      <c r="BH276" s="487"/>
      <c r="BI276" s="487"/>
      <c r="BJ276" s="487"/>
      <c r="BK276" s="487"/>
      <c r="BL276" s="487"/>
      <c r="BM276" s="487"/>
      <c r="BN276" s="487"/>
      <c r="BO276" s="487"/>
      <c r="BP276" s="487"/>
      <c r="BQ276" s="487"/>
      <c r="BR276" s="487"/>
      <c r="BS276" s="487"/>
      <c r="BT276" s="487"/>
      <c r="BU276" s="487"/>
      <c r="BV276" s="487"/>
      <c r="BW276" s="487"/>
      <c r="BX276" s="487"/>
      <c r="BY276" s="487"/>
      <c r="BZ276" s="487"/>
      <c r="CA276" s="487"/>
      <c r="CB276" s="487"/>
      <c r="CC276" s="487"/>
      <c r="CD276" s="487"/>
      <c r="CE276" s="487"/>
      <c r="CF276" s="487"/>
      <c r="CG276" s="487"/>
      <c r="CH276" s="487"/>
      <c r="CI276" s="487"/>
      <c r="CJ276" s="487"/>
      <c r="CK276" s="487"/>
      <c r="CL276" s="487"/>
      <c r="CM276" s="487"/>
      <c r="CN276" s="487"/>
      <c r="CO276" s="487"/>
      <c r="CP276" s="487"/>
      <c r="CQ276" s="487"/>
      <c r="CR276" s="487"/>
      <c r="CS276" s="487"/>
      <c r="CT276" s="487"/>
      <c r="CU276" s="487"/>
      <c r="CV276" s="487"/>
      <c r="CW276" s="794"/>
      <c r="CX276" s="487"/>
      <c r="CY276" s="487"/>
      <c r="DA276" s="794"/>
      <c r="DB276" s="487"/>
      <c r="DC276" s="487"/>
      <c r="DE276" s="794"/>
      <c r="DF276" s="487"/>
      <c r="DG276" s="487"/>
      <c r="DI276" s="794"/>
      <c r="DJ276" s="487"/>
      <c r="DK276" s="487"/>
      <c r="DM276" s="794"/>
      <c r="DN276" s="487"/>
      <c r="DO276" s="487"/>
      <c r="DQ276" s="794"/>
      <c r="DR276" s="794"/>
      <c r="DS276" s="794"/>
      <c r="DT276" s="794"/>
      <c r="DU276" s="794"/>
      <c r="DV276" s="794"/>
      <c r="DW276" s="794"/>
      <c r="DX276" s="794"/>
      <c r="DY276" s="794"/>
      <c r="DZ276" s="794"/>
      <c r="EA276" s="794"/>
      <c r="EB276" s="794"/>
    </row>
    <row r="277" spans="1:132" collapsed="1">
      <c r="A277" s="487"/>
      <c r="B277" s="487"/>
      <c r="C277" s="807"/>
      <c r="D277" s="808"/>
      <c r="E277" s="809"/>
      <c r="F277" s="809"/>
      <c r="G277" s="811"/>
      <c r="H277" s="811"/>
      <c r="I277" s="811"/>
      <c r="J277" s="810"/>
      <c r="K277" s="811"/>
      <c r="L277" s="811"/>
      <c r="M277" s="811"/>
      <c r="N277" s="810"/>
      <c r="O277" s="811"/>
      <c r="P277" s="811"/>
      <c r="Q277" s="811"/>
      <c r="R277" s="810"/>
      <c r="S277" s="811"/>
      <c r="T277" s="811"/>
      <c r="U277" s="811"/>
      <c r="V277" s="810"/>
      <c r="W277" s="811"/>
      <c r="X277" s="811"/>
      <c r="Y277" s="487"/>
      <c r="Z277" s="810"/>
      <c r="AA277" s="811"/>
      <c r="AB277" s="811"/>
      <c r="AC277" s="811"/>
      <c r="AD277" s="810"/>
      <c r="AE277" s="811"/>
      <c r="AF277" s="811"/>
      <c r="AG277" s="811"/>
      <c r="AH277" s="810"/>
      <c r="AI277" s="811"/>
      <c r="AJ277" s="811"/>
      <c r="AK277" s="811"/>
      <c r="AL277" s="810"/>
      <c r="AM277" s="811"/>
      <c r="AN277" s="811"/>
      <c r="AO277" s="702"/>
      <c r="AP277" s="810" t="s">
        <v>747</v>
      </c>
      <c r="AQ277" s="811"/>
      <c r="AR277" s="811"/>
      <c r="AS277" s="811"/>
      <c r="AT277" s="809"/>
      <c r="AU277" s="811"/>
      <c r="AV277" s="811"/>
      <c r="AW277" s="811"/>
      <c r="AX277" s="809"/>
      <c r="AY277" s="811"/>
      <c r="AZ277" s="811"/>
      <c r="BA277" s="811"/>
      <c r="BB277" s="809"/>
      <c r="BC277" s="811"/>
      <c r="BD277" s="811"/>
      <c r="BE277" s="811"/>
      <c r="BF277" s="809"/>
      <c r="BG277" s="811"/>
      <c r="BH277" s="811"/>
      <c r="BI277" s="811"/>
      <c r="BJ277" s="810" t="s">
        <v>747</v>
      </c>
      <c r="BK277" s="811"/>
      <c r="BL277" s="811"/>
      <c r="BM277" s="811"/>
      <c r="BN277" s="810" t="s">
        <v>747</v>
      </c>
      <c r="BO277" s="811"/>
      <c r="BP277" s="811"/>
      <c r="BQ277" s="811"/>
      <c r="BR277" s="809"/>
      <c r="BS277" s="811"/>
      <c r="BT277" s="811"/>
      <c r="BU277" s="811"/>
      <c r="BV277" s="809"/>
      <c r="BW277" s="811"/>
      <c r="BX277" s="811"/>
      <c r="BY277" s="811"/>
      <c r="BZ277" s="809"/>
      <c r="CA277" s="811"/>
      <c r="CB277" s="811"/>
      <c r="CC277" s="811"/>
      <c r="CD277" s="809"/>
      <c r="CE277" s="811"/>
      <c r="CF277" s="811"/>
      <c r="CG277" s="811"/>
      <c r="CH277" s="809"/>
      <c r="CI277" s="811"/>
      <c r="CJ277" s="811"/>
      <c r="CK277" s="811"/>
      <c r="CL277" s="809"/>
      <c r="CM277" s="811"/>
      <c r="CN277" s="811"/>
      <c r="CO277" s="811"/>
      <c r="CP277" s="809"/>
      <c r="CQ277" s="811"/>
      <c r="CR277" s="811"/>
      <c r="CS277" s="811"/>
      <c r="CT277" s="811"/>
      <c r="CU277" s="811"/>
      <c r="CV277" s="811"/>
      <c r="CW277" s="794"/>
      <c r="CX277" s="811"/>
      <c r="CY277" s="811"/>
      <c r="DA277" s="794"/>
      <c r="DB277" s="811"/>
      <c r="DC277" s="811"/>
      <c r="DE277" s="794"/>
      <c r="DF277" s="811"/>
      <c r="DG277" s="811"/>
      <c r="DI277" s="794"/>
      <c r="DJ277" s="811"/>
      <c r="DK277" s="811"/>
      <c r="DM277" s="794"/>
      <c r="DN277" s="811"/>
      <c r="DO277" s="811"/>
      <c r="DQ277" s="794"/>
      <c r="DR277" s="794"/>
      <c r="DS277" s="794"/>
      <c r="DT277" s="794"/>
      <c r="DU277" s="794"/>
      <c r="DV277" s="794"/>
      <c r="DW277" s="794"/>
      <c r="DX277" s="794"/>
      <c r="DY277" s="794"/>
      <c r="DZ277" s="794"/>
      <c r="EA277" s="794"/>
      <c r="EB277" s="794"/>
    </row>
    <row r="278" spans="1:132">
      <c r="A278" s="487"/>
      <c r="B278" s="487"/>
      <c r="C278" s="487"/>
      <c r="D278" s="487"/>
      <c r="E278" s="487"/>
      <c r="F278" s="487"/>
      <c r="G278" s="487"/>
      <c r="H278" s="487"/>
      <c r="I278" s="487"/>
      <c r="J278" s="487"/>
      <c r="K278" s="487"/>
      <c r="L278" s="487"/>
      <c r="M278" s="487"/>
      <c r="N278" s="487"/>
      <c r="O278" s="487"/>
      <c r="P278" s="487"/>
      <c r="Q278" s="487"/>
      <c r="R278" s="487"/>
      <c r="S278" s="487"/>
      <c r="T278" s="487"/>
      <c r="U278" s="487"/>
      <c r="V278" s="487"/>
      <c r="W278" s="487"/>
      <c r="X278" s="487"/>
      <c r="Y278" s="487"/>
      <c r="Z278" s="487"/>
      <c r="AA278" s="487"/>
      <c r="AB278" s="487"/>
      <c r="AC278" s="487"/>
      <c r="AD278" s="487"/>
      <c r="AE278" s="487"/>
      <c r="AF278" s="487"/>
      <c r="AG278" s="487"/>
      <c r="AH278" s="487"/>
      <c r="AI278" s="487"/>
      <c r="AJ278" s="487"/>
      <c r="AK278" s="487"/>
      <c r="AL278" s="487"/>
      <c r="AM278" s="487"/>
      <c r="AN278" s="487"/>
      <c r="AO278" s="487"/>
      <c r="AP278" s="487"/>
      <c r="AQ278" s="487"/>
      <c r="AR278" s="487"/>
      <c r="AS278" s="487"/>
      <c r="AT278" s="487"/>
      <c r="AU278" s="487"/>
      <c r="AV278" s="487"/>
      <c r="AW278" s="487"/>
      <c r="AX278" s="487"/>
      <c r="AY278" s="487"/>
      <c r="AZ278" s="487"/>
      <c r="BA278" s="487"/>
      <c r="BB278" s="487"/>
      <c r="BC278" s="487"/>
      <c r="BD278" s="487"/>
      <c r="BE278" s="487"/>
      <c r="BF278" s="487"/>
      <c r="BG278" s="487"/>
      <c r="BH278" s="487"/>
      <c r="BI278" s="487"/>
      <c r="BJ278" s="487"/>
      <c r="BK278" s="487"/>
      <c r="BL278" s="487"/>
      <c r="BM278" s="487"/>
      <c r="BN278" s="487"/>
      <c r="BO278" s="487"/>
      <c r="BP278" s="487"/>
      <c r="BQ278" s="487"/>
      <c r="BR278" s="487"/>
      <c r="BS278" s="487"/>
      <c r="BT278" s="487"/>
      <c r="BU278" s="487"/>
      <c r="BV278" s="487"/>
      <c r="BW278" s="487"/>
      <c r="BX278" s="487"/>
      <c r="BY278" s="487"/>
      <c r="BZ278" s="487"/>
      <c r="CA278" s="487"/>
      <c r="CB278" s="487"/>
      <c r="CC278" s="487"/>
      <c r="CD278" s="487"/>
      <c r="CE278" s="487"/>
      <c r="CF278" s="487"/>
      <c r="CG278" s="487"/>
      <c r="CH278" s="487"/>
      <c r="CI278" s="487"/>
      <c r="CJ278" s="487"/>
      <c r="CK278" s="487"/>
      <c r="CL278" s="807" t="s">
        <v>767</v>
      </c>
      <c r="CM278" s="487"/>
      <c r="CN278" s="487"/>
      <c r="CO278" s="487"/>
      <c r="CP278" s="487"/>
      <c r="CQ278" s="487"/>
      <c r="CR278" s="487"/>
      <c r="CS278" s="487"/>
      <c r="CT278" s="487"/>
      <c r="CU278" s="487"/>
      <c r="CV278" s="487"/>
      <c r="CW278" s="794"/>
      <c r="CX278" s="487"/>
      <c r="CY278" s="487"/>
      <c r="DA278" s="794"/>
      <c r="DB278" s="487"/>
      <c r="DC278" s="487"/>
      <c r="DE278" s="794"/>
      <c r="DF278" s="487"/>
      <c r="DG278" s="487"/>
      <c r="DI278" s="794"/>
      <c r="DJ278" s="487"/>
      <c r="DK278" s="487"/>
      <c r="DM278" s="794"/>
      <c r="DN278" s="487"/>
      <c r="DO278" s="487"/>
      <c r="DQ278" s="794"/>
      <c r="DR278" s="794"/>
      <c r="DS278" s="794"/>
      <c r="DT278" s="794"/>
      <c r="DU278" s="794"/>
      <c r="DV278" s="794"/>
      <c r="DW278" s="794"/>
      <c r="DX278" s="794"/>
      <c r="DY278" s="794"/>
      <c r="DZ278" s="794"/>
      <c r="EA278" s="794"/>
      <c r="EB278" s="794"/>
    </row>
    <row r="279" spans="1:132">
      <c r="A279" s="487" t="str">
        <f>$A$10</f>
        <v>1Q</v>
      </c>
      <c r="B279" s="487" t="str">
        <f>$B$10</f>
        <v>Apr</v>
      </c>
      <c r="C279" s="487"/>
      <c r="D279" s="487"/>
      <c r="E279" s="487"/>
      <c r="F279" s="487"/>
      <c r="G279" s="487"/>
      <c r="H279" s="487"/>
      <c r="I279" s="487"/>
      <c r="J279" s="487"/>
      <c r="K279" s="487"/>
      <c r="L279" s="487"/>
      <c r="M279" s="487"/>
      <c r="N279" s="487"/>
      <c r="O279" s="487"/>
      <c r="P279" s="487"/>
      <c r="Q279" s="487"/>
      <c r="R279" s="487"/>
      <c r="S279" s="487"/>
      <c r="T279" s="487"/>
      <c r="U279" s="487"/>
      <c r="V279" s="487"/>
      <c r="W279" s="487"/>
      <c r="X279" s="487"/>
      <c r="Y279" s="487"/>
      <c r="Z279" s="487"/>
      <c r="AA279" s="487"/>
      <c r="AB279" s="487"/>
      <c r="AC279" s="487"/>
      <c r="AD279" s="487"/>
      <c r="AE279" s="487"/>
      <c r="AF279" s="487"/>
      <c r="AG279" s="487"/>
      <c r="AH279" s="487"/>
      <c r="AI279" s="487"/>
      <c r="AJ279" s="487"/>
      <c r="AK279" s="487"/>
      <c r="AL279" s="487"/>
      <c r="AM279" s="487"/>
      <c r="AN279" s="487"/>
      <c r="AO279" s="487"/>
      <c r="AP279" s="890">
        <f>+-(AP219-AP280)+AP218</f>
        <v>1301.1828</v>
      </c>
      <c r="AQ279" s="487"/>
      <c r="AR279" s="487"/>
      <c r="AS279" s="487"/>
      <c r="AT279" s="890">
        <v>1193.124</v>
      </c>
      <c r="AU279" s="487"/>
      <c r="AV279" s="487"/>
      <c r="AW279" s="487"/>
      <c r="AX279" s="890">
        <v>1117.152</v>
      </c>
      <c r="AY279" s="487"/>
      <c r="AZ279" s="487"/>
      <c r="BA279" s="487"/>
      <c r="BB279" s="890">
        <v>1082.616</v>
      </c>
      <c r="BC279" s="487"/>
      <c r="BD279" s="487"/>
      <c r="BE279" s="487"/>
      <c r="BF279" s="890">
        <v>1033.2940000000001</v>
      </c>
      <c r="BG279" s="487"/>
      <c r="BH279" s="487"/>
      <c r="BI279" s="487"/>
      <c r="BJ279" s="831">
        <v>994.09</v>
      </c>
      <c r="BK279" s="487"/>
      <c r="BL279" s="487"/>
      <c r="BM279" s="487"/>
      <c r="BN279" s="831">
        <v>953.95799999999997</v>
      </c>
      <c r="BO279" s="487"/>
      <c r="BP279" s="487"/>
      <c r="BQ279" s="487"/>
      <c r="BR279" s="831">
        <v>917.84</v>
      </c>
      <c r="BS279" s="487"/>
      <c r="BT279" s="487"/>
      <c r="BU279" s="487"/>
      <c r="BV279" s="831">
        <v>907.13</v>
      </c>
      <c r="BW279" s="487"/>
      <c r="BX279" s="487"/>
      <c r="BY279" s="487"/>
      <c r="BZ279" s="831">
        <v>851.24</v>
      </c>
      <c r="CA279" s="487"/>
      <c r="CB279" s="487"/>
      <c r="CC279" s="487"/>
      <c r="CD279" s="831">
        <v>825.08799999999997</v>
      </c>
      <c r="CE279" s="487"/>
      <c r="CF279" s="487"/>
      <c r="CG279" s="487"/>
      <c r="CH279" s="831">
        <v>816.1</v>
      </c>
      <c r="CI279" s="487"/>
      <c r="CJ279" s="487"/>
      <c r="CK279" s="487"/>
      <c r="CL279" s="831">
        <f>CH282+(CL218-CH221)</f>
        <v>775.94399999999996</v>
      </c>
      <c r="CM279" s="487"/>
      <c r="CN279" s="487"/>
      <c r="CO279" s="487"/>
      <c r="CP279" s="831">
        <v>742.23299999999995</v>
      </c>
      <c r="CQ279" s="487"/>
      <c r="CR279" s="487"/>
      <c r="CS279" s="487"/>
      <c r="CT279" s="831">
        <v>719.52800000000002</v>
      </c>
      <c r="CU279" s="487"/>
      <c r="CV279" s="487"/>
      <c r="CW279" s="794"/>
      <c r="CX279" s="1071">
        <f>AVERAGE(CX268,CT271)</f>
        <v>696.02325300000007</v>
      </c>
      <c r="CY279" s="487"/>
      <c r="DA279" s="794"/>
      <c r="DB279" s="1071">
        <f>AVERAGE(DB268,CX271)</f>
        <v>668.02325300000007</v>
      </c>
      <c r="DC279" s="487"/>
      <c r="DE279" s="794"/>
      <c r="DF279" s="1071">
        <f>AVERAGE(DF268,DB271)</f>
        <v>642.17325300000005</v>
      </c>
      <c r="DG279" s="487"/>
      <c r="DI279" s="794"/>
      <c r="DJ279" s="1071">
        <f>AVERAGE(DJ268,DF271)</f>
        <v>620.12325299999998</v>
      </c>
      <c r="DK279" s="487"/>
      <c r="DM279" s="794"/>
      <c r="DN279" s="1071">
        <f>AVERAGE(DN268,DJ271)</f>
        <v>596.54384123529417</v>
      </c>
      <c r="DO279" s="487"/>
      <c r="DQ279" s="794"/>
      <c r="DR279" s="794"/>
      <c r="DS279" s="794"/>
      <c r="DT279" s="794"/>
      <c r="DU279" s="794"/>
      <c r="DV279" s="794"/>
      <c r="DW279" s="794"/>
      <c r="DX279" s="794"/>
      <c r="DY279" s="794"/>
      <c r="DZ279" s="794"/>
      <c r="EA279" s="794"/>
      <c r="EB279" s="794"/>
    </row>
    <row r="280" spans="1:132">
      <c r="A280" s="487" t="str">
        <f>$A$11</f>
        <v>2Q</v>
      </c>
      <c r="B280" s="487" t="str">
        <f>$B$11</f>
        <v>Jul</v>
      </c>
      <c r="C280" s="487"/>
      <c r="D280" s="487"/>
      <c r="E280" s="487"/>
      <c r="F280" s="487"/>
      <c r="G280" s="487"/>
      <c r="H280" s="487"/>
      <c r="I280" s="487"/>
      <c r="J280" s="487"/>
      <c r="K280" s="487"/>
      <c r="L280" s="487"/>
      <c r="M280" s="487"/>
      <c r="N280" s="487"/>
      <c r="O280" s="487"/>
      <c r="P280" s="487"/>
      <c r="Q280" s="487"/>
      <c r="R280" s="487"/>
      <c r="S280" s="487"/>
      <c r="T280" s="487"/>
      <c r="U280" s="487"/>
      <c r="V280" s="487"/>
      <c r="W280" s="487"/>
      <c r="X280" s="487"/>
      <c r="Y280" s="487"/>
      <c r="Z280" s="487"/>
      <c r="AA280" s="487"/>
      <c r="AB280" s="487"/>
      <c r="AC280" s="487"/>
      <c r="AD280" s="487"/>
      <c r="AE280" s="487"/>
      <c r="AF280" s="487"/>
      <c r="AG280" s="487"/>
      <c r="AH280" s="487"/>
      <c r="AI280" s="487"/>
      <c r="AJ280" s="487"/>
      <c r="AK280" s="487"/>
      <c r="AL280" s="487"/>
      <c r="AM280" s="487"/>
      <c r="AN280" s="487"/>
      <c r="AO280" s="487"/>
      <c r="AP280" s="890">
        <f>+-(AP220-AP281)+AP219</f>
        <v>1281.8017199999999</v>
      </c>
      <c r="AQ280" s="487"/>
      <c r="AR280" s="487"/>
      <c r="AS280" s="487"/>
      <c r="AT280" s="890">
        <v>1163.54</v>
      </c>
      <c r="AU280" s="487"/>
      <c r="AV280" s="487"/>
      <c r="AW280" s="487"/>
      <c r="AX280" s="890">
        <v>1105.0360000000001</v>
      </c>
      <c r="AY280" s="487"/>
      <c r="AZ280" s="487"/>
      <c r="BA280" s="487"/>
      <c r="BB280" s="890">
        <v>1072.742</v>
      </c>
      <c r="BC280" s="487"/>
      <c r="BD280" s="487"/>
      <c r="BE280" s="487"/>
      <c r="BF280" s="890">
        <v>1019.856</v>
      </c>
      <c r="BG280" s="487"/>
      <c r="BH280" s="487"/>
      <c r="BI280" s="487"/>
      <c r="BJ280" s="831">
        <v>983.97400000000005</v>
      </c>
      <c r="BK280" s="487"/>
      <c r="BL280" s="487"/>
      <c r="BM280" s="487"/>
      <c r="BN280" s="831">
        <v>934.41200000000003</v>
      </c>
      <c r="BO280" s="487"/>
      <c r="BP280" s="487"/>
      <c r="BQ280" s="487"/>
      <c r="BR280" s="831">
        <v>904.26400000000001</v>
      </c>
      <c r="BS280" s="487"/>
      <c r="BT280" s="487"/>
      <c r="BU280" s="487"/>
      <c r="BV280" s="831">
        <v>895.96799999999996</v>
      </c>
      <c r="BW280" s="487"/>
      <c r="BX280" s="487"/>
      <c r="BY280" s="487"/>
      <c r="BZ280" s="831">
        <v>842.57799999999997</v>
      </c>
      <c r="CA280" s="487"/>
      <c r="CB280" s="487"/>
      <c r="CC280" s="487"/>
      <c r="CD280" s="831">
        <v>847.78200000000004</v>
      </c>
      <c r="CE280" s="487"/>
      <c r="CF280" s="487"/>
      <c r="CG280" s="487"/>
      <c r="CH280" s="831">
        <v>807.42</v>
      </c>
      <c r="CI280" s="487"/>
      <c r="CJ280" s="487"/>
      <c r="CK280" s="487"/>
      <c r="CL280" s="831">
        <f>CL279+(CL219-CL218)</f>
        <v>763.18599999999992</v>
      </c>
      <c r="CM280" s="487"/>
      <c r="CN280" s="487"/>
      <c r="CO280" s="487"/>
      <c r="CP280" s="831">
        <v>739.53099999999995</v>
      </c>
      <c r="CQ280" s="487"/>
      <c r="CR280" s="487"/>
      <c r="CS280" s="487"/>
      <c r="CT280" s="1071">
        <f>AVERAGE(CT269,CT268)</f>
        <v>716.57325300000002</v>
      </c>
      <c r="CU280" s="487"/>
      <c r="CV280" s="487"/>
      <c r="CW280" s="794"/>
      <c r="CX280" s="1071">
        <f>AVERAGE(CX269,CX268)</f>
        <v>688.77325300000007</v>
      </c>
      <c r="CY280" s="487"/>
      <c r="DA280" s="794"/>
      <c r="DB280" s="1071">
        <f>AVERAGE(DB269,DB268)</f>
        <v>661.67325299999993</v>
      </c>
      <c r="DC280" s="487"/>
      <c r="DE280" s="794"/>
      <c r="DF280" s="1071">
        <f>AVERAGE(DF269,DF268)</f>
        <v>637.07325300000002</v>
      </c>
      <c r="DG280" s="487"/>
      <c r="DI280" s="794"/>
      <c r="DJ280" s="1071">
        <f>AVERAGE(DJ269,DJ268)</f>
        <v>614.12325299999998</v>
      </c>
      <c r="DK280" s="487"/>
      <c r="DM280" s="794"/>
      <c r="DN280" s="1071">
        <f>AVERAGE(DN269,DN268)</f>
        <v>589.48501770588246</v>
      </c>
      <c r="DO280" s="487"/>
      <c r="DQ280" s="794"/>
      <c r="DR280" s="794"/>
      <c r="DS280" s="794"/>
      <c r="DT280" s="794"/>
      <c r="DU280" s="794"/>
      <c r="DV280" s="794"/>
      <c r="DW280" s="794"/>
      <c r="DX280" s="794"/>
      <c r="DY280" s="794"/>
      <c r="DZ280" s="794"/>
      <c r="EA280" s="794"/>
      <c r="EB280" s="794"/>
    </row>
    <row r="281" spans="1:132">
      <c r="A281" s="487" t="str">
        <f>$A$12</f>
        <v>3Q</v>
      </c>
      <c r="B281" s="487" t="str">
        <f>$B$12</f>
        <v>Oct</v>
      </c>
      <c r="C281" s="487"/>
      <c r="D281" s="487"/>
      <c r="E281" s="487"/>
      <c r="F281" s="487"/>
      <c r="G281" s="487"/>
      <c r="H281" s="487"/>
      <c r="I281" s="487"/>
      <c r="J281" s="487"/>
      <c r="K281" s="487"/>
      <c r="L281" s="487"/>
      <c r="M281" s="487"/>
      <c r="N281" s="487"/>
      <c r="O281" s="487"/>
      <c r="P281" s="487"/>
      <c r="Q281" s="487"/>
      <c r="R281" s="487"/>
      <c r="S281" s="487"/>
      <c r="T281" s="487"/>
      <c r="U281" s="487"/>
      <c r="V281" s="487"/>
      <c r="W281" s="487"/>
      <c r="X281" s="487"/>
      <c r="Y281" s="487"/>
      <c r="Z281" s="487"/>
      <c r="AA281" s="487"/>
      <c r="AB281" s="487"/>
      <c r="AC281" s="487"/>
      <c r="AD281" s="487"/>
      <c r="AE281" s="487"/>
      <c r="AF281" s="487"/>
      <c r="AG281" s="487"/>
      <c r="AH281" s="487"/>
      <c r="AI281" s="487"/>
      <c r="AJ281" s="487"/>
      <c r="AK281" s="487"/>
      <c r="AL281" s="487"/>
      <c r="AM281" s="487"/>
      <c r="AN281" s="487"/>
      <c r="AO281" s="487"/>
      <c r="AP281" s="890">
        <f>+-(AP221-AP282)+AP220</f>
        <v>1265.2502199999999</v>
      </c>
      <c r="AQ281" s="487"/>
      <c r="AR281" s="487"/>
      <c r="AS281" s="487"/>
      <c r="AT281" s="890">
        <v>1123.9480000000001</v>
      </c>
      <c r="AU281" s="487"/>
      <c r="AV281" s="487"/>
      <c r="AW281" s="487"/>
      <c r="AX281" s="890">
        <v>1093.5360000000001</v>
      </c>
      <c r="AY281" s="487"/>
      <c r="AZ281" s="487"/>
      <c r="BA281" s="487"/>
      <c r="BB281" s="890">
        <v>1054.5719999999999</v>
      </c>
      <c r="BC281" s="487"/>
      <c r="BD281" s="487"/>
      <c r="BE281" s="487"/>
      <c r="BF281" s="890">
        <v>1011.808</v>
      </c>
      <c r="BG281" s="487"/>
      <c r="BH281" s="487"/>
      <c r="BI281" s="487"/>
      <c r="BJ281" s="831">
        <v>969.02599999999995</v>
      </c>
      <c r="BK281" s="487"/>
      <c r="BL281" s="487"/>
      <c r="BM281" s="487"/>
      <c r="BN281" s="831">
        <v>923.87199999999996</v>
      </c>
      <c r="BO281" s="487"/>
      <c r="BP281" s="487"/>
      <c r="BQ281" s="487"/>
      <c r="BR281" s="831">
        <v>905.08799999999997</v>
      </c>
      <c r="BS281" s="487"/>
      <c r="BT281" s="487"/>
      <c r="BU281" s="487"/>
      <c r="BV281" s="831">
        <v>878.51199999999994</v>
      </c>
      <c r="BW281" s="487"/>
      <c r="BX281" s="487"/>
      <c r="BY281" s="487"/>
      <c r="BZ281" s="831">
        <v>834.21400000000006</v>
      </c>
      <c r="CA281" s="487"/>
      <c r="CB281" s="487"/>
      <c r="CC281" s="487"/>
      <c r="CD281" s="831">
        <v>843.30799999999999</v>
      </c>
      <c r="CE281" s="487"/>
      <c r="CF281" s="487"/>
      <c r="CG281" s="487"/>
      <c r="CH281" s="831">
        <f>CH280+(CH220-CH219)</f>
        <v>794.01599999999996</v>
      </c>
      <c r="CI281" s="487"/>
      <c r="CJ281" s="487"/>
      <c r="CK281" s="487"/>
      <c r="CL281" s="831">
        <f>CL280+(CL220-CL219)</f>
        <v>753.98799999999994</v>
      </c>
      <c r="CM281" s="487"/>
      <c r="CN281" s="487"/>
      <c r="CO281" s="487"/>
      <c r="CP281" s="831">
        <v>736.846</v>
      </c>
      <c r="CQ281" s="487"/>
      <c r="CR281" s="487"/>
      <c r="CS281" s="487"/>
      <c r="CT281" s="1071">
        <f>AVERAGE(CT270,CT269)</f>
        <v>709.973253</v>
      </c>
      <c r="CU281" s="487"/>
      <c r="CV281" s="487"/>
      <c r="CW281" s="794"/>
      <c r="CX281" s="1071">
        <f>AVERAGE(CX270,CX269)</f>
        <v>681.02325300000007</v>
      </c>
      <c r="CY281" s="487"/>
      <c r="DA281" s="794"/>
      <c r="DB281" s="1071">
        <f>AVERAGE(DB270,DB269)</f>
        <v>655.17325299999993</v>
      </c>
      <c r="DC281" s="487"/>
      <c r="DE281" s="794"/>
      <c r="DF281" s="1071">
        <f>AVERAGE(DF270,DF269)</f>
        <v>631.87325299999998</v>
      </c>
      <c r="DG281" s="487"/>
      <c r="DI281" s="794"/>
      <c r="DJ281" s="1071">
        <f>AVERAGE(DJ270,DJ269)</f>
        <v>607.92325299999993</v>
      </c>
      <c r="DK281" s="487"/>
      <c r="DM281" s="794"/>
      <c r="DN281" s="1071">
        <f>AVERAGE(DN270,DN269)</f>
        <v>582.42619417647074</v>
      </c>
      <c r="DO281" s="487"/>
      <c r="DQ281" s="794"/>
      <c r="DR281" s="794"/>
      <c r="DS281" s="794"/>
      <c r="DT281" s="794"/>
      <c r="DU281" s="794"/>
      <c r="DV281" s="794"/>
      <c r="DW281" s="794"/>
      <c r="DX281" s="794"/>
      <c r="DY281" s="794"/>
      <c r="DZ281" s="794"/>
      <c r="EA281" s="794"/>
      <c r="EB281" s="794"/>
    </row>
    <row r="282" spans="1:132">
      <c r="A282" s="487" t="str">
        <f>$A$13</f>
        <v>4Q</v>
      </c>
      <c r="B282" s="487" t="str">
        <f>$B$13</f>
        <v>Jan</v>
      </c>
      <c r="C282" s="487"/>
      <c r="D282" s="487"/>
      <c r="E282" s="487"/>
      <c r="F282" s="487"/>
      <c r="G282" s="487"/>
      <c r="H282" s="487"/>
      <c r="I282" s="487"/>
      <c r="J282" s="487"/>
      <c r="K282" s="487"/>
      <c r="L282" s="487"/>
      <c r="M282" s="487"/>
      <c r="N282" s="487"/>
      <c r="O282" s="487"/>
      <c r="P282" s="487"/>
      <c r="Q282" s="487"/>
      <c r="R282" s="487"/>
      <c r="S282" s="487"/>
      <c r="T282" s="487"/>
      <c r="U282" s="487"/>
      <c r="V282" s="487"/>
      <c r="W282" s="487"/>
      <c r="X282" s="487"/>
      <c r="Y282" s="487"/>
      <c r="Z282" s="487"/>
      <c r="AA282" s="487"/>
      <c r="AB282" s="487"/>
      <c r="AC282" s="487"/>
      <c r="AD282" s="487"/>
      <c r="AE282" s="487"/>
      <c r="AF282" s="487"/>
      <c r="AG282" s="487"/>
      <c r="AH282" s="487"/>
      <c r="AI282" s="487"/>
      <c r="AJ282" s="487"/>
      <c r="AK282" s="487"/>
      <c r="AL282" s="487"/>
      <c r="AM282" s="487"/>
      <c r="AN282" s="487"/>
      <c r="AO282" s="487"/>
      <c r="AP282" s="890">
        <v>1233.124</v>
      </c>
      <c r="AQ282" s="487"/>
      <c r="AR282" s="487"/>
      <c r="AS282" s="487"/>
      <c r="AT282" s="890">
        <v>1130.06</v>
      </c>
      <c r="AU282" s="487"/>
      <c r="AV282" s="487"/>
      <c r="AW282" s="487"/>
      <c r="AX282" s="890">
        <v>1077.9480000000001</v>
      </c>
      <c r="AY282" s="487"/>
      <c r="AZ282" s="487"/>
      <c r="BA282" s="487"/>
      <c r="BB282" s="890">
        <v>1058.5840000000001</v>
      </c>
      <c r="BC282" s="487"/>
      <c r="BD282" s="487"/>
      <c r="BE282" s="487"/>
      <c r="BF282" s="890">
        <v>1001.914</v>
      </c>
      <c r="BG282" s="487"/>
      <c r="BH282" s="487"/>
      <c r="BI282" s="487"/>
      <c r="BJ282" s="831">
        <f>(176.935/0.37)*2</f>
        <v>956.40540540540542</v>
      </c>
      <c r="BK282" s="487"/>
      <c r="BL282" s="487"/>
      <c r="BM282" s="487"/>
      <c r="BN282" s="831">
        <f>(288.703/0.62)*2</f>
        <v>931.3</v>
      </c>
      <c r="BO282" s="487"/>
      <c r="BP282" s="487"/>
      <c r="BQ282" s="487"/>
      <c r="BR282" s="831">
        <f>(243.251/0.54)*2</f>
        <v>900.92962962962963</v>
      </c>
      <c r="BS282" s="487"/>
      <c r="BT282" s="487"/>
      <c r="BU282" s="487"/>
      <c r="BV282" s="831">
        <f>(301.149/0.7)*2</f>
        <v>860.42571428571432</v>
      </c>
      <c r="BW282" s="487"/>
      <c r="BX282" s="487"/>
      <c r="BY282" s="487"/>
      <c r="BZ282" s="831">
        <f>(250.696/0.61)*2</f>
        <v>821.95409836065573</v>
      </c>
      <c r="CA282" s="487"/>
      <c r="CB282" s="487"/>
      <c r="CC282" s="487"/>
      <c r="CD282" s="831">
        <v>838.36</v>
      </c>
      <c r="CE282" s="487"/>
      <c r="CF282" s="487"/>
      <c r="CG282" s="487"/>
      <c r="CH282" s="849">
        <f>CH281+(CH221-CH220)</f>
        <v>783.09599999999989</v>
      </c>
      <c r="CI282" s="487"/>
      <c r="CJ282" s="487"/>
      <c r="CK282" s="487"/>
      <c r="CL282" s="849">
        <f>CL281+(CL221-CL220)</f>
        <v>750.75499999999988</v>
      </c>
      <c r="CM282" s="487"/>
      <c r="CN282" s="487"/>
      <c r="CO282" s="487"/>
      <c r="CP282" s="1072">
        <f>AVERAGE(CP271,CP270)</f>
        <v>726.57735300000002</v>
      </c>
      <c r="CQ282" s="487"/>
      <c r="CR282" s="487"/>
      <c r="CS282" s="487"/>
      <c r="CT282" s="1073">
        <f>AVERAGE(CT271,CT270)</f>
        <v>702.92325300000005</v>
      </c>
      <c r="CU282" s="487"/>
      <c r="CV282" s="487"/>
      <c r="CW282" s="794"/>
      <c r="CX282" s="1073">
        <f>AVERAGE(CX271,CX270)</f>
        <v>674.17325300000005</v>
      </c>
      <c r="CY282" s="487"/>
      <c r="DA282" s="794"/>
      <c r="DB282" s="1073">
        <f>AVERAGE(DB271,DB270)</f>
        <v>648.32325300000002</v>
      </c>
      <c r="DC282" s="487"/>
      <c r="DE282" s="794"/>
      <c r="DF282" s="1073">
        <f>AVERAGE(DF271,DF270)</f>
        <v>625.82325300000002</v>
      </c>
      <c r="DG282" s="487"/>
      <c r="DI282" s="794"/>
      <c r="DJ282" s="1073">
        <f>AVERAGE(DJ271,DJ270)</f>
        <v>602.77325300000007</v>
      </c>
      <c r="DK282" s="487"/>
      <c r="DM282" s="794"/>
      <c r="DN282" s="1073">
        <f>AVERAGE(DN271,DN270)</f>
        <v>574.77913535294135</v>
      </c>
      <c r="DO282" s="487"/>
      <c r="DQ282" s="794"/>
      <c r="DR282" s="794"/>
      <c r="DS282" s="794"/>
      <c r="DT282" s="794"/>
      <c r="DU282" s="794"/>
      <c r="DV282" s="794"/>
      <c r="DW282" s="794"/>
      <c r="DX282" s="794"/>
      <c r="DY282" s="794"/>
      <c r="DZ282" s="794"/>
      <c r="EA282" s="794"/>
      <c r="EB282" s="794"/>
    </row>
    <row r="283" spans="1:132">
      <c r="A283" s="487"/>
      <c r="B283" s="487" t="str">
        <f>$B$14</f>
        <v>Year</v>
      </c>
      <c r="C283" s="487"/>
      <c r="D283" s="487"/>
      <c r="E283" s="487"/>
      <c r="F283" s="487"/>
      <c r="G283" s="487"/>
      <c r="H283" s="487"/>
      <c r="I283" s="487"/>
      <c r="J283" s="487"/>
      <c r="K283" s="487"/>
      <c r="L283" s="487"/>
      <c r="M283" s="487"/>
      <c r="N283" s="487"/>
      <c r="O283" s="487"/>
      <c r="P283" s="487"/>
      <c r="Q283" s="487"/>
      <c r="R283" s="487"/>
      <c r="S283" s="487"/>
      <c r="T283" s="487"/>
      <c r="U283" s="487"/>
      <c r="V283" s="487"/>
      <c r="W283" s="487"/>
      <c r="X283" s="487"/>
      <c r="Y283" s="487"/>
      <c r="Z283" s="487"/>
      <c r="AA283" s="487"/>
      <c r="AB283" s="487"/>
      <c r="AC283" s="487"/>
      <c r="AD283" s="487"/>
      <c r="AE283" s="487"/>
      <c r="AF283" s="487"/>
      <c r="AG283" s="487"/>
      <c r="AH283" s="487"/>
      <c r="AI283" s="487"/>
      <c r="AJ283" s="487"/>
      <c r="AK283" s="487"/>
      <c r="AL283" s="487"/>
      <c r="AM283" s="487"/>
      <c r="AN283" s="487"/>
      <c r="AO283" s="487"/>
      <c r="AP283" s="902">
        <f>+(AP279+AP280+AP281+AP282)/4</f>
        <v>1270.3396849999999</v>
      </c>
      <c r="AQ283" s="487"/>
      <c r="AR283" s="487"/>
      <c r="AS283" s="487"/>
      <c r="AT283" s="902">
        <f>+(AT279+AT280+AT281+AT282)/4</f>
        <v>1152.6680000000001</v>
      </c>
      <c r="AU283" s="487"/>
      <c r="AV283" s="487"/>
      <c r="AW283" s="487"/>
      <c r="AX283" s="902">
        <f>+(AX279+AX280+AX281+AX282)/4</f>
        <v>1098.4180000000001</v>
      </c>
      <c r="AY283" s="487"/>
      <c r="AZ283" s="487"/>
      <c r="BA283" s="487"/>
      <c r="BB283" s="902">
        <f>+(BB279+BB280+BB281+BB282)/4</f>
        <v>1067.1285</v>
      </c>
      <c r="BC283" s="487"/>
      <c r="BD283" s="487"/>
      <c r="BE283" s="487"/>
      <c r="BF283" s="902">
        <f>+(BF279+BF280+BF281+BF282)/4</f>
        <v>1016.7180000000001</v>
      </c>
      <c r="BG283" s="487"/>
      <c r="BH283" s="487"/>
      <c r="BI283" s="487"/>
      <c r="BJ283" s="902">
        <v>977.61199999999997</v>
      </c>
      <c r="BK283" s="487"/>
      <c r="BL283" s="487"/>
      <c r="BM283" s="487"/>
      <c r="BN283" s="902">
        <v>933.07399999999996</v>
      </c>
      <c r="BO283" s="487"/>
      <c r="BP283" s="487"/>
      <c r="BQ283" s="487"/>
      <c r="BR283" s="902">
        <v>908.08799999999997</v>
      </c>
      <c r="BS283" s="487"/>
      <c r="BT283" s="487"/>
      <c r="BU283" s="487"/>
      <c r="BV283" s="902">
        <v>886.1</v>
      </c>
      <c r="BW283" s="487"/>
      <c r="BX283" s="487"/>
      <c r="BY283" s="487"/>
      <c r="BZ283" s="902">
        <v>838.15200000000004</v>
      </c>
      <c r="CA283" s="487"/>
      <c r="CB283" s="487"/>
      <c r="CC283" s="487"/>
      <c r="CD283" s="902">
        <v>835.59199999999998</v>
      </c>
      <c r="CE283" s="487"/>
      <c r="CF283" s="487"/>
      <c r="CG283" s="487"/>
      <c r="CH283" s="902">
        <f>+(CH279+CH280+CH281+CH282)/4</f>
        <v>800.15800000000002</v>
      </c>
      <c r="CI283" s="487"/>
      <c r="CJ283" s="487"/>
      <c r="CK283" s="487"/>
      <c r="CL283" s="902">
        <f>+(CL279+CL280+CL281+CL282)/4</f>
        <v>760.9682499999999</v>
      </c>
      <c r="CM283" s="487"/>
      <c r="CN283" s="487"/>
      <c r="CO283" s="487"/>
      <c r="CP283" s="1074">
        <f>+(CP279+CP280+CP281+CP282)/4</f>
        <v>736.29683824999995</v>
      </c>
      <c r="CQ283" s="487"/>
      <c r="CR283" s="487"/>
      <c r="CS283" s="487"/>
      <c r="CT283" s="1071">
        <f>+(CT279+CT280+CT281+CT282)/4</f>
        <v>712.24943974999996</v>
      </c>
      <c r="CU283" s="487"/>
      <c r="CV283" s="487"/>
      <c r="CW283" s="794"/>
      <c r="CX283" s="1071">
        <f>+(CX279+CX280+CX281+CX282)/4</f>
        <v>684.99825299999998</v>
      </c>
      <c r="CY283" s="487"/>
      <c r="DA283" s="794"/>
      <c r="DB283" s="1071">
        <f>+(DB279+DB280+DB281+DB282)/4</f>
        <v>658.29825299999993</v>
      </c>
      <c r="DC283" s="487"/>
      <c r="DE283" s="794"/>
      <c r="DF283" s="1071">
        <f>+(DF279+DF280+DF281+DF282)/4</f>
        <v>634.23575299999993</v>
      </c>
      <c r="DG283" s="487"/>
      <c r="DI283" s="794"/>
      <c r="DJ283" s="1071">
        <f>+(DJ279+DJ280+DJ281+DJ282)/4</f>
        <v>611.23575299999993</v>
      </c>
      <c r="DK283" s="487"/>
      <c r="DM283" s="794"/>
      <c r="DN283" s="1071">
        <f>+(DN279+DN280+DN281+DN282)/4</f>
        <v>585.80854711764721</v>
      </c>
      <c r="DO283" s="487"/>
      <c r="DQ283" s="794"/>
      <c r="DR283" s="794"/>
      <c r="DS283" s="794"/>
      <c r="DT283" s="794"/>
      <c r="DU283" s="794"/>
      <c r="DV283" s="794"/>
      <c r="DW283" s="794"/>
      <c r="DX283" s="794"/>
      <c r="DY283" s="794"/>
      <c r="DZ283" s="794"/>
      <c r="EA283" s="794"/>
      <c r="EB283" s="794"/>
    </row>
    <row r="284" spans="1:132">
      <c r="A284" s="487" t="str">
        <f>$A$15</f>
        <v>6 Mos</v>
      </c>
      <c r="B284" s="487"/>
      <c r="C284" s="487"/>
      <c r="D284" s="487"/>
      <c r="E284" s="487"/>
      <c r="F284" s="487"/>
      <c r="G284" s="487"/>
      <c r="H284" s="487"/>
      <c r="I284" s="487"/>
      <c r="J284" s="487"/>
      <c r="K284" s="487"/>
      <c r="L284" s="487"/>
      <c r="M284" s="487"/>
      <c r="N284" s="487"/>
      <c r="O284" s="487"/>
      <c r="P284" s="487"/>
      <c r="Q284" s="487"/>
      <c r="R284" s="487"/>
      <c r="S284" s="487"/>
      <c r="T284" s="487"/>
      <c r="U284" s="487"/>
      <c r="V284" s="487"/>
      <c r="W284" s="487"/>
      <c r="X284" s="487"/>
      <c r="Y284" s="487"/>
      <c r="Z284" s="487"/>
      <c r="AA284" s="487"/>
      <c r="AB284" s="487"/>
      <c r="AC284" s="487"/>
      <c r="AD284" s="487"/>
      <c r="AE284" s="487"/>
      <c r="AF284" s="487"/>
      <c r="AG284" s="487"/>
      <c r="AH284" s="487"/>
      <c r="AI284" s="487"/>
      <c r="AJ284" s="487"/>
      <c r="AK284" s="487"/>
      <c r="AL284" s="487"/>
      <c r="AM284" s="487"/>
      <c r="AN284" s="487"/>
      <c r="AO284" s="487"/>
      <c r="AP284" s="487"/>
      <c r="AQ284" s="487"/>
      <c r="AR284" s="487"/>
      <c r="AS284" s="487"/>
      <c r="AT284" s="487"/>
      <c r="AU284" s="487"/>
      <c r="AV284" s="487"/>
      <c r="AW284" s="487"/>
      <c r="AX284" s="487"/>
      <c r="AY284" s="487"/>
      <c r="AZ284" s="487"/>
      <c r="BA284" s="487"/>
      <c r="BB284" s="487"/>
      <c r="BC284" s="487"/>
      <c r="BD284" s="487"/>
      <c r="BE284" s="487"/>
      <c r="BF284" s="487"/>
      <c r="BG284" s="487"/>
      <c r="BH284" s="487"/>
      <c r="BI284" s="487"/>
      <c r="BJ284" s="487"/>
      <c r="BK284" s="487"/>
      <c r="BL284" s="487"/>
      <c r="BM284" s="487"/>
      <c r="BN284" s="487"/>
      <c r="BO284" s="487"/>
      <c r="BP284" s="487"/>
      <c r="BQ284" s="487"/>
      <c r="BR284" s="487"/>
      <c r="BS284" s="487"/>
      <c r="BT284" s="487"/>
      <c r="BU284" s="487"/>
      <c r="BV284" s="487"/>
      <c r="BW284" s="487"/>
      <c r="BX284" s="487"/>
      <c r="BY284" s="487"/>
      <c r="BZ284" s="487"/>
      <c r="CA284" s="487"/>
      <c r="CB284" s="487"/>
      <c r="CC284" s="487"/>
      <c r="CD284" s="487"/>
      <c r="CE284" s="487"/>
      <c r="CF284" s="487"/>
      <c r="CG284" s="487"/>
      <c r="CH284" s="487"/>
      <c r="CI284" s="487"/>
      <c r="CJ284" s="487"/>
      <c r="CK284" s="487"/>
      <c r="CL284" s="487"/>
      <c r="CM284" s="487"/>
      <c r="CN284" s="487"/>
      <c r="CO284" s="487"/>
      <c r="CP284" s="487"/>
      <c r="CQ284" s="487"/>
      <c r="CR284" s="487"/>
      <c r="CS284" s="487"/>
      <c r="CW284" s="794"/>
      <c r="DA284" s="794"/>
      <c r="DE284" s="794"/>
      <c r="DI284" s="794"/>
      <c r="DM284" s="794"/>
      <c r="DQ284" s="794"/>
      <c r="DR284" s="794"/>
      <c r="DS284" s="794"/>
      <c r="DT284" s="794"/>
      <c r="DU284" s="794"/>
      <c r="DV284" s="794"/>
      <c r="DW284" s="794"/>
      <c r="DX284" s="794"/>
      <c r="DY284" s="794"/>
      <c r="DZ284" s="794"/>
      <c r="EA284" s="794"/>
      <c r="EB284" s="794"/>
    </row>
    <row r="285" spans="1:132" ht="13.5" thickBot="1">
      <c r="A285" s="487" t="str">
        <f>$A$16</f>
        <v>9 Mos</v>
      </c>
      <c r="B285" s="487"/>
      <c r="C285" s="487"/>
      <c r="D285" s="487"/>
      <c r="E285" s="487"/>
      <c r="F285" s="487"/>
      <c r="G285" s="487"/>
      <c r="H285" s="487"/>
      <c r="I285" s="487"/>
      <c r="J285" s="487"/>
      <c r="K285" s="487"/>
      <c r="L285" s="487"/>
      <c r="M285" s="487"/>
      <c r="N285" s="487"/>
      <c r="O285" s="487"/>
      <c r="P285" s="487"/>
      <c r="Q285" s="487"/>
      <c r="R285" s="487"/>
      <c r="S285" s="487"/>
      <c r="T285" s="487"/>
      <c r="U285" s="487"/>
      <c r="V285" s="487"/>
      <c r="W285" s="487"/>
      <c r="X285" s="487"/>
      <c r="Y285" s="487"/>
      <c r="Z285" s="487"/>
      <c r="AA285" s="487"/>
      <c r="AB285" s="487"/>
      <c r="AC285" s="487"/>
      <c r="AD285" s="487"/>
      <c r="AE285" s="487"/>
      <c r="AF285" s="487"/>
      <c r="AG285" s="487"/>
      <c r="AH285" s="487"/>
      <c r="AI285" s="487"/>
      <c r="AJ285" s="487"/>
      <c r="AK285" s="487"/>
      <c r="AL285" s="487"/>
      <c r="AM285" s="487"/>
      <c r="AN285" s="487"/>
      <c r="AO285" s="487"/>
      <c r="AP285" s="487"/>
      <c r="AQ285" s="487"/>
      <c r="AR285" s="487"/>
      <c r="AS285" s="487"/>
      <c r="AT285" s="487"/>
      <c r="AU285" s="487"/>
      <c r="AV285" s="487"/>
      <c r="AW285" s="487"/>
      <c r="AX285" s="487"/>
      <c r="AY285" s="487"/>
      <c r="AZ285" s="487"/>
      <c r="BA285" s="487"/>
      <c r="BB285" s="487"/>
      <c r="BC285" s="487"/>
      <c r="BD285" s="487"/>
      <c r="BE285" s="487"/>
      <c r="BF285" s="487"/>
      <c r="BG285" s="487"/>
      <c r="BH285" s="487"/>
      <c r="BI285" s="487"/>
      <c r="BJ285" s="487"/>
      <c r="BK285" s="487"/>
      <c r="BL285" s="487"/>
      <c r="BM285" s="487"/>
      <c r="BN285" s="487"/>
      <c r="BO285" s="487"/>
      <c r="BP285" s="487"/>
      <c r="BQ285" s="487"/>
      <c r="BR285" s="487"/>
      <c r="BS285" s="487"/>
      <c r="BT285" s="487"/>
      <c r="BU285" s="487"/>
      <c r="BV285" s="487"/>
      <c r="BW285" s="487"/>
      <c r="BX285" s="487"/>
      <c r="BY285" s="487"/>
      <c r="BZ285" s="487"/>
      <c r="CA285" s="487"/>
      <c r="CB285" s="487"/>
      <c r="CC285" s="487"/>
      <c r="CD285" s="487"/>
      <c r="CE285" s="487"/>
      <c r="CF285" s="487"/>
      <c r="CG285" s="487"/>
      <c r="CH285" s="487"/>
      <c r="CI285" s="487"/>
      <c r="CJ285" s="487"/>
      <c r="CK285" s="487"/>
      <c r="CP285" s="1075">
        <v>2012</v>
      </c>
      <c r="CQ285" s="811"/>
      <c r="CR285" s="811"/>
      <c r="CS285" s="487"/>
      <c r="CT285" s="1075">
        <v>2013</v>
      </c>
      <c r="CU285" s="811"/>
      <c r="CV285" s="811"/>
      <c r="CW285" s="794"/>
      <c r="CX285" s="1075">
        <v>2014</v>
      </c>
      <c r="CY285" s="811"/>
      <c r="CZ285" s="811"/>
      <c r="DA285" s="794"/>
      <c r="DB285" s="1075">
        <v>2015</v>
      </c>
      <c r="DC285" s="811"/>
      <c r="DD285" s="811"/>
      <c r="DE285" s="794"/>
      <c r="DF285" s="1075">
        <v>2016</v>
      </c>
      <c r="DG285" s="811"/>
      <c r="DH285" s="811"/>
      <c r="DI285" s="794"/>
      <c r="DJ285" s="1075">
        <v>2017</v>
      </c>
      <c r="DK285" s="811"/>
      <c r="DL285" s="811"/>
      <c r="DM285" s="794"/>
      <c r="DN285" s="1075">
        <v>2018</v>
      </c>
      <c r="DO285" s="811"/>
      <c r="DP285" s="811"/>
      <c r="DQ285" s="794"/>
      <c r="DR285" s="794"/>
      <c r="DS285" s="794"/>
      <c r="DT285" s="794"/>
      <c r="DU285" s="794"/>
      <c r="DV285" s="794"/>
      <c r="DW285" s="794"/>
      <c r="DX285" s="794"/>
      <c r="DY285" s="794"/>
      <c r="DZ285" s="794"/>
      <c r="EA285" s="794"/>
      <c r="EB285" s="794"/>
    </row>
    <row r="286" spans="1:132">
      <c r="A286" s="487"/>
      <c r="B286" s="487"/>
      <c r="C286" s="487"/>
      <c r="D286" s="487"/>
      <c r="E286" s="487"/>
      <c r="F286" s="487"/>
      <c r="G286" s="487"/>
      <c r="H286" s="487"/>
      <c r="I286" s="487"/>
      <c r="J286" s="487"/>
      <c r="K286" s="487"/>
      <c r="L286" s="487"/>
      <c r="M286" s="487"/>
      <c r="N286" s="487"/>
      <c r="O286" s="487"/>
      <c r="P286" s="487"/>
      <c r="Q286" s="487"/>
      <c r="R286" s="487"/>
      <c r="S286" s="487"/>
      <c r="T286" s="487"/>
      <c r="U286" s="487"/>
      <c r="V286" s="487"/>
      <c r="W286" s="487"/>
      <c r="X286" s="487"/>
      <c r="Y286" s="487"/>
      <c r="Z286" s="487"/>
      <c r="AA286" s="487"/>
      <c r="AB286" s="487"/>
      <c r="AC286" s="487"/>
      <c r="AD286" s="487"/>
      <c r="AE286" s="487"/>
      <c r="AF286" s="487"/>
      <c r="AG286" s="487"/>
      <c r="AH286" s="487"/>
      <c r="AI286" s="487"/>
      <c r="AJ286" s="487"/>
      <c r="AK286" s="487"/>
      <c r="AL286" s="487"/>
      <c r="AM286" s="487"/>
      <c r="AN286" s="487"/>
      <c r="AO286" s="487"/>
      <c r="AP286" s="487"/>
      <c r="AQ286" s="487"/>
      <c r="AR286" s="487"/>
      <c r="AS286" s="487"/>
      <c r="AT286" s="487"/>
      <c r="AU286" s="487"/>
      <c r="AV286" s="487"/>
      <c r="AW286" s="487"/>
      <c r="AX286" s="487"/>
      <c r="AY286" s="487"/>
      <c r="AZ286" s="487"/>
      <c r="BA286" s="487"/>
      <c r="BB286" s="487"/>
      <c r="BC286" s="487"/>
      <c r="BD286" s="487"/>
      <c r="BE286" s="487"/>
      <c r="BF286" s="487"/>
      <c r="BG286" s="487"/>
      <c r="BH286" s="487"/>
      <c r="BI286" s="487"/>
      <c r="BJ286" s="487"/>
      <c r="BK286" s="487"/>
      <c r="BL286" s="487"/>
      <c r="BM286" s="487"/>
      <c r="BN286" s="487"/>
      <c r="BO286" s="487"/>
      <c r="BP286" s="487"/>
      <c r="BQ286" s="487"/>
      <c r="BR286" s="487"/>
      <c r="BS286" s="487"/>
      <c r="BT286" s="487"/>
      <c r="BU286" s="487"/>
      <c r="BV286" s="487"/>
      <c r="BW286" s="487"/>
      <c r="BX286" s="487"/>
      <c r="BY286" s="487"/>
      <c r="BZ286" s="487"/>
      <c r="CA286" s="487"/>
      <c r="CB286" s="487"/>
      <c r="CC286" s="487"/>
      <c r="CD286" s="487"/>
      <c r="CE286" s="487"/>
      <c r="CF286" s="487"/>
      <c r="CG286" s="487"/>
      <c r="CH286" s="487"/>
      <c r="CI286" s="487"/>
      <c r="CJ286" s="487"/>
      <c r="CK286" s="487"/>
      <c r="CP286" s="1076" t="s">
        <v>657</v>
      </c>
      <c r="CQ286" s="1076"/>
      <c r="CR286" s="1077"/>
      <c r="CS286" s="487"/>
      <c r="CT286" s="1076" t="s">
        <v>657</v>
      </c>
      <c r="CU286" s="1076"/>
      <c r="CV286" s="1077"/>
      <c r="CW286" s="794"/>
      <c r="CX286" s="1076" t="s">
        <v>657</v>
      </c>
      <c r="CY286" s="1076"/>
      <c r="CZ286" s="1077"/>
      <c r="DA286" s="794"/>
      <c r="DB286" s="1076" t="s">
        <v>657</v>
      </c>
      <c r="DC286" s="1076"/>
      <c r="DD286" s="1077"/>
      <c r="DE286" s="794"/>
      <c r="DF286" s="1076" t="s">
        <v>657</v>
      </c>
      <c r="DG286" s="1076"/>
      <c r="DH286" s="1077"/>
      <c r="DI286" s="794"/>
      <c r="DJ286" s="1076" t="s">
        <v>657</v>
      </c>
      <c r="DK286" s="1076"/>
      <c r="DL286" s="1077"/>
      <c r="DM286" s="794"/>
      <c r="DN286" s="1076" t="s">
        <v>657</v>
      </c>
      <c r="DO286" s="1076"/>
      <c r="DP286" s="1077"/>
      <c r="DQ286" s="794"/>
      <c r="DR286" s="794"/>
      <c r="DS286" s="794"/>
      <c r="DT286" s="794"/>
      <c r="DU286" s="794"/>
      <c r="DV286" s="794"/>
      <c r="DW286" s="794"/>
      <c r="DX286" s="794"/>
      <c r="DY286" s="794"/>
      <c r="DZ286" s="794"/>
      <c r="EA286" s="794"/>
      <c r="EB286" s="794"/>
    </row>
    <row r="287" spans="1:132">
      <c r="A287" s="487"/>
      <c r="B287" s="487"/>
      <c r="C287" s="487"/>
      <c r="D287" s="487"/>
      <c r="E287" s="487"/>
      <c r="F287" s="487"/>
      <c r="G287" s="487"/>
      <c r="H287" s="487"/>
      <c r="I287" s="487"/>
      <c r="J287" s="487"/>
      <c r="K287" s="487"/>
      <c r="L287" s="487"/>
      <c r="M287" s="487"/>
      <c r="N287" s="487"/>
      <c r="O287" s="487"/>
      <c r="P287" s="487"/>
      <c r="Q287" s="487"/>
      <c r="R287" s="487"/>
      <c r="S287" s="487"/>
      <c r="T287" s="487"/>
      <c r="U287" s="487"/>
      <c r="V287" s="487"/>
      <c r="W287" s="487"/>
      <c r="X287" s="487"/>
      <c r="Y287" s="487"/>
      <c r="Z287" s="487"/>
      <c r="AA287" s="487"/>
      <c r="AB287" s="487"/>
      <c r="AC287" s="487"/>
      <c r="AD287" s="487"/>
      <c r="AE287" s="487"/>
      <c r="AF287" s="487"/>
      <c r="AG287" s="487"/>
      <c r="AH287" s="487"/>
      <c r="AI287" s="487"/>
      <c r="AJ287" s="487"/>
      <c r="AK287" s="487"/>
      <c r="AL287" s="487"/>
      <c r="AM287" s="487"/>
      <c r="AN287" s="487"/>
      <c r="AO287" s="487"/>
      <c r="AP287" s="487"/>
      <c r="AQ287" s="487"/>
      <c r="AR287" s="487"/>
      <c r="AS287" s="487"/>
      <c r="AT287" s="487"/>
      <c r="AU287" s="487"/>
      <c r="AV287" s="487"/>
      <c r="AW287" s="487"/>
      <c r="AX287" s="487"/>
      <c r="AY287" s="487"/>
      <c r="AZ287" s="487"/>
      <c r="BA287" s="487"/>
      <c r="BB287" s="487"/>
      <c r="BC287" s="487"/>
      <c r="BD287" s="487"/>
      <c r="BE287" s="487"/>
      <c r="BF287" s="487"/>
      <c r="BG287" s="487"/>
      <c r="BH287" s="487"/>
      <c r="BI287" s="487"/>
      <c r="BJ287" s="487"/>
      <c r="BK287" s="487"/>
      <c r="BL287" s="487"/>
      <c r="BM287" s="487"/>
      <c r="BN287" s="487"/>
      <c r="BO287" s="487"/>
      <c r="BP287" s="487"/>
      <c r="BQ287" s="487"/>
      <c r="BR287" s="487"/>
      <c r="BS287" s="487"/>
      <c r="BT287" s="487"/>
      <c r="BU287" s="487"/>
      <c r="BV287" s="487"/>
      <c r="BW287" s="487"/>
      <c r="BX287" s="487"/>
      <c r="BY287" s="487"/>
      <c r="BZ287" s="487"/>
      <c r="CA287" s="487"/>
      <c r="CB287" s="487"/>
      <c r="CC287" s="487"/>
      <c r="CD287" s="487"/>
      <c r="CE287" s="487"/>
      <c r="CF287" s="487"/>
      <c r="CG287" s="487"/>
      <c r="CH287" s="487"/>
      <c r="CI287" s="487"/>
      <c r="CJ287" s="487"/>
      <c r="CK287" s="487"/>
      <c r="CP287" s="1078" t="s">
        <v>613</v>
      </c>
      <c r="CQ287" s="1079" t="s">
        <v>658</v>
      </c>
      <c r="CR287" s="1080" t="s">
        <v>659</v>
      </c>
      <c r="CS287" s="487"/>
      <c r="CT287" s="1078" t="s">
        <v>613</v>
      </c>
      <c r="CU287" s="1079" t="s">
        <v>658</v>
      </c>
      <c r="CV287" s="1080" t="s">
        <v>659</v>
      </c>
      <c r="CW287" s="794"/>
      <c r="CX287" s="1078" t="s">
        <v>613</v>
      </c>
      <c r="CY287" s="1079" t="s">
        <v>658</v>
      </c>
      <c r="CZ287" s="1080" t="s">
        <v>659</v>
      </c>
      <c r="DA287" s="794"/>
      <c r="DB287" s="1078" t="s">
        <v>613</v>
      </c>
      <c r="DC287" s="1079" t="s">
        <v>658</v>
      </c>
      <c r="DD287" s="1080" t="s">
        <v>659</v>
      </c>
      <c r="DE287" s="794"/>
      <c r="DF287" s="1078" t="s">
        <v>613</v>
      </c>
      <c r="DG287" s="1079" t="s">
        <v>658</v>
      </c>
      <c r="DH287" s="1080" t="s">
        <v>659</v>
      </c>
      <c r="DI287" s="794"/>
      <c r="DJ287" s="1078" t="s">
        <v>613</v>
      </c>
      <c r="DK287" s="1079" t="s">
        <v>658</v>
      </c>
      <c r="DL287" s="1080" t="s">
        <v>659</v>
      </c>
      <c r="DM287" s="794"/>
      <c r="DN287" s="1078" t="s">
        <v>613</v>
      </c>
      <c r="DO287" s="1079" t="s">
        <v>658</v>
      </c>
      <c r="DP287" s="1080" t="s">
        <v>659</v>
      </c>
      <c r="DQ287" s="794"/>
      <c r="DR287" s="794"/>
      <c r="DS287" s="794"/>
      <c r="DT287" s="794"/>
      <c r="DU287" s="794"/>
      <c r="DV287" s="794"/>
      <c r="DW287" s="794"/>
      <c r="DX287" s="794"/>
      <c r="DY287" s="794"/>
      <c r="DZ287" s="794"/>
      <c r="EA287" s="794"/>
      <c r="EB287" s="794"/>
    </row>
    <row r="288" spans="1:132" ht="15">
      <c r="A288" s="499"/>
      <c r="B288" s="499"/>
      <c r="C288" s="499"/>
      <c r="D288" s="499"/>
      <c r="E288" s="499"/>
      <c r="F288" s="499"/>
      <c r="G288" s="499"/>
      <c r="H288" s="499"/>
      <c r="I288" s="499"/>
      <c r="J288" s="499"/>
      <c r="K288" s="499"/>
      <c r="L288" s="499"/>
      <c r="M288" s="499"/>
      <c r="N288" s="499"/>
      <c r="O288" s="499"/>
      <c r="P288" s="499"/>
      <c r="Q288" s="499"/>
      <c r="R288" s="499"/>
      <c r="S288" s="499"/>
      <c r="T288" s="499"/>
      <c r="U288" s="499"/>
      <c r="V288" s="499"/>
      <c r="W288" s="499"/>
      <c r="X288" s="499"/>
      <c r="Y288" s="499"/>
      <c r="Z288" s="499"/>
      <c r="AA288" s="499"/>
      <c r="AB288" s="499"/>
      <c r="AC288" s="499"/>
      <c r="AD288" s="499"/>
      <c r="AE288" s="499"/>
      <c r="AF288" s="499"/>
      <c r="AG288" s="499"/>
      <c r="AH288" s="499"/>
      <c r="AI288" s="499"/>
      <c r="AJ288" s="499"/>
      <c r="AK288" s="499"/>
      <c r="AL288" s="499"/>
      <c r="AM288" s="499"/>
      <c r="AN288" s="499"/>
      <c r="AO288" s="499"/>
      <c r="AP288" s="499"/>
      <c r="AQ288" s="499"/>
      <c r="AR288" s="499"/>
      <c r="AS288" s="499"/>
      <c r="AT288" s="499"/>
      <c r="AU288" s="499"/>
      <c r="AV288" s="499"/>
      <c r="AW288" s="499"/>
      <c r="AX288" s="499"/>
      <c r="AY288" s="499"/>
      <c r="AZ288" s="499"/>
      <c r="BA288" s="499"/>
      <c r="BB288" s="1081"/>
      <c r="BC288" s="499"/>
      <c r="BD288" s="499"/>
      <c r="BE288" s="499"/>
      <c r="BF288" s="1081"/>
      <c r="BG288" s="499"/>
      <c r="BH288" s="499"/>
      <c r="BI288" s="499"/>
      <c r="BJ288" s="1081"/>
      <c r="BK288" s="499"/>
      <c r="BL288" s="499"/>
      <c r="BM288" s="499"/>
      <c r="BN288" s="499"/>
      <c r="BO288" s="499"/>
      <c r="BP288" s="499"/>
      <c r="BQ288" s="499"/>
      <c r="BR288" s="499"/>
      <c r="BS288" s="499"/>
      <c r="BT288" s="499"/>
      <c r="BU288" s="499"/>
      <c r="BV288" s="499"/>
      <c r="BW288" s="499"/>
      <c r="BX288" s="499"/>
      <c r="BY288" s="499"/>
      <c r="BZ288" s="499"/>
      <c r="CA288" s="499"/>
      <c r="CB288" s="499"/>
      <c r="CC288" s="499"/>
      <c r="CD288" s="499"/>
      <c r="CE288" s="499"/>
      <c r="CF288" s="499"/>
      <c r="CG288" s="499"/>
      <c r="CH288" s="499"/>
      <c r="CI288" s="499"/>
      <c r="CJ288" s="499"/>
      <c r="CK288" s="499"/>
      <c r="CP288" s="1082">
        <f>250</f>
        <v>250</v>
      </c>
      <c r="CQ288" s="1083">
        <v>6.5</v>
      </c>
      <c r="CR288" s="1084">
        <f>CP288/CQ288</f>
        <v>38.46153846153846</v>
      </c>
      <c r="CS288" s="499"/>
      <c r="CT288" s="1085">
        <v>300</v>
      </c>
      <c r="CU288" s="1086">
        <f>CT288/CV288</f>
        <v>6.5</v>
      </c>
      <c r="CV288" s="1087">
        <f>300/6.5</f>
        <v>46.153846153846153</v>
      </c>
      <c r="CW288" s="499"/>
      <c r="CX288" s="1085">
        <v>360</v>
      </c>
      <c r="CY288" s="1086">
        <v>6.5</v>
      </c>
      <c r="CZ288" s="1087">
        <f>CX288/CY288</f>
        <v>55.384615384615387</v>
      </c>
      <c r="DA288" s="499"/>
      <c r="DB288" s="1085">
        <v>415</v>
      </c>
      <c r="DC288" s="1086">
        <v>6.1</v>
      </c>
      <c r="DD288" s="1087">
        <f>DB288/DC288</f>
        <v>68.032786885245912</v>
      </c>
      <c r="DE288" s="499"/>
      <c r="DF288" s="1085">
        <v>375</v>
      </c>
      <c r="DG288" s="1086">
        <v>5</v>
      </c>
      <c r="DH288" s="1087">
        <f>DF288/DG288</f>
        <v>75</v>
      </c>
      <c r="DI288" s="499"/>
      <c r="DJ288" s="1085">
        <v>350</v>
      </c>
      <c r="DK288" s="1086">
        <v>4.5</v>
      </c>
      <c r="DL288" s="1087">
        <f>DJ288/DK288</f>
        <v>77.777777777777771</v>
      </c>
      <c r="DM288" s="499"/>
      <c r="DN288" s="1920">
        <v>600</v>
      </c>
      <c r="DO288" s="1086">
        <f>DN288/DP288</f>
        <v>7.0588235294117645</v>
      </c>
      <c r="DP288" s="1921">
        <v>85</v>
      </c>
      <c r="DQ288" s="499"/>
      <c r="DR288" s="499"/>
      <c r="DS288" s="1088"/>
      <c r="DT288" s="499"/>
      <c r="DU288" s="499"/>
      <c r="DV288" s="499"/>
      <c r="DW288" s="499"/>
      <c r="DX288" s="499"/>
      <c r="DY288" s="499"/>
      <c r="DZ288" s="499"/>
      <c r="EA288" s="499"/>
      <c r="EB288" s="499"/>
    </row>
    <row r="289" spans="1:132" ht="15">
      <c r="A289" s="487" t="str">
        <f>$A$16</f>
        <v>9 Mos</v>
      </c>
      <c r="B289" s="487"/>
      <c r="C289" s="487"/>
      <c r="D289" s="487"/>
      <c r="E289" s="487"/>
      <c r="F289" s="487"/>
      <c r="G289" s="487"/>
      <c r="H289" s="487"/>
      <c r="I289" s="487"/>
      <c r="J289" s="487"/>
      <c r="K289" s="487"/>
      <c r="L289" s="487"/>
      <c r="M289" s="487"/>
      <c r="N289" s="487"/>
      <c r="O289" s="487"/>
      <c r="P289" s="487"/>
      <c r="Q289" s="487"/>
      <c r="R289" s="487"/>
      <c r="S289" s="487"/>
      <c r="T289" s="487"/>
      <c r="U289" s="487"/>
      <c r="V289" s="487"/>
      <c r="W289" s="487"/>
      <c r="X289" s="487"/>
      <c r="Y289" s="487"/>
      <c r="Z289" s="487"/>
      <c r="AA289" s="487"/>
      <c r="AB289" s="487"/>
      <c r="AC289" s="487"/>
      <c r="AD289" s="487"/>
      <c r="AE289" s="487"/>
      <c r="AF289" s="487"/>
      <c r="AG289" s="487"/>
      <c r="AH289" s="487"/>
      <c r="AI289" s="487"/>
      <c r="AJ289" s="487"/>
      <c r="AK289" s="487"/>
      <c r="AL289" s="487"/>
      <c r="AM289" s="487"/>
      <c r="AN289" s="487"/>
      <c r="AO289" s="487"/>
      <c r="AP289" s="487"/>
      <c r="AQ289" s="487"/>
      <c r="AR289" s="487"/>
      <c r="AS289" s="487"/>
      <c r="AT289" s="487"/>
      <c r="AU289" s="487"/>
      <c r="AV289" s="487"/>
      <c r="AW289" s="487"/>
      <c r="AX289" s="487"/>
      <c r="AY289" s="487"/>
      <c r="AZ289" s="487"/>
      <c r="BA289" s="487"/>
      <c r="BB289" s="735"/>
      <c r="BC289" s="487"/>
      <c r="BD289" s="487"/>
      <c r="BE289" s="487"/>
      <c r="BF289" s="735"/>
      <c r="BG289" s="487"/>
      <c r="BH289" s="487"/>
      <c r="BI289" s="487"/>
      <c r="BJ289" s="735"/>
      <c r="BK289" s="487"/>
      <c r="BL289" s="487"/>
      <c r="BM289" s="487"/>
      <c r="BN289" s="487"/>
      <c r="BO289" s="487"/>
      <c r="BP289" s="487"/>
      <c r="BQ289" s="487"/>
      <c r="BR289" s="487" t="s">
        <v>291</v>
      </c>
      <c r="BS289" s="487"/>
      <c r="BT289" s="487"/>
      <c r="BU289" s="487"/>
      <c r="BV289" s="487" t="s">
        <v>716</v>
      </c>
      <c r="BW289" s="487" t="s">
        <v>715</v>
      </c>
      <c r="BX289" s="499"/>
      <c r="BY289" s="499"/>
      <c r="BZ289" s="499"/>
      <c r="CA289" s="499"/>
      <c r="CB289" s="499"/>
      <c r="CC289" s="499"/>
      <c r="CD289" s="499"/>
      <c r="CE289" s="499"/>
      <c r="CF289" s="499"/>
      <c r="CG289" s="499"/>
      <c r="CH289" s="499"/>
      <c r="CI289" s="499"/>
      <c r="CJ289" s="499"/>
      <c r="CK289" s="499"/>
      <c r="CP289" s="1082">
        <v>300</v>
      </c>
      <c r="CQ289" s="1083">
        <f>13.6-CQ288</f>
        <v>7.1</v>
      </c>
      <c r="CR289" s="1084">
        <f>CP289/CQ289</f>
        <v>42.253521126760567</v>
      </c>
      <c r="CS289" s="499"/>
      <c r="CT289" s="1085">
        <v>325</v>
      </c>
      <c r="CU289" s="1086">
        <f>CT289/CV289</f>
        <v>6.4</v>
      </c>
      <c r="CV289" s="1087">
        <f>325/6.4</f>
        <v>50.78125</v>
      </c>
      <c r="CW289" s="499"/>
      <c r="CX289" s="1085">
        <v>440</v>
      </c>
      <c r="CY289" s="1086">
        <v>8</v>
      </c>
      <c r="CZ289" s="1087">
        <f>CX289/CY289</f>
        <v>55</v>
      </c>
      <c r="DA289" s="499"/>
      <c r="DB289" s="1085">
        <v>440</v>
      </c>
      <c r="DC289" s="1086">
        <v>6.6</v>
      </c>
      <c r="DD289" s="1087">
        <f>DB289/DC289</f>
        <v>66.666666666666671</v>
      </c>
      <c r="DE289" s="499"/>
      <c r="DF289" s="1085">
        <v>400</v>
      </c>
      <c r="DG289" s="1086">
        <v>5.2</v>
      </c>
      <c r="DH289" s="1087">
        <f>DF289/DG289</f>
        <v>76.92307692307692</v>
      </c>
      <c r="DI289" s="499"/>
      <c r="DJ289" s="1085">
        <v>550</v>
      </c>
      <c r="DK289" s="1086">
        <v>7.5</v>
      </c>
      <c r="DL289" s="1087">
        <f>DJ289/DK289</f>
        <v>73.333333333333329</v>
      </c>
      <c r="DM289" s="499"/>
      <c r="DN289" s="1920">
        <v>600</v>
      </c>
      <c r="DO289" s="1086">
        <f>DN289/DP289</f>
        <v>7.0588235294117645</v>
      </c>
      <c r="DP289" s="1921">
        <v>85</v>
      </c>
      <c r="DQ289" s="499"/>
      <c r="DR289" s="499">
        <f>400/5.2</f>
        <v>76.92307692307692</v>
      </c>
      <c r="DS289" s="1088"/>
      <c r="DT289" s="499"/>
      <c r="DU289" s="487"/>
      <c r="DV289" s="487"/>
      <c r="DW289" s="487"/>
      <c r="DX289" s="487"/>
      <c r="DY289" s="487"/>
      <c r="DZ289" s="487"/>
      <c r="EA289" s="487"/>
      <c r="EB289" s="487"/>
    </row>
    <row r="290" spans="1:132" ht="15">
      <c r="A290" s="487"/>
      <c r="B290" s="487"/>
      <c r="C290" s="487"/>
      <c r="D290" s="487"/>
      <c r="E290" s="487"/>
      <c r="F290" s="487"/>
      <c r="G290" s="487"/>
      <c r="H290" s="487"/>
      <c r="I290" s="487"/>
      <c r="J290" s="487"/>
      <c r="K290" s="487"/>
      <c r="L290" s="487"/>
      <c r="M290" s="487"/>
      <c r="N290" s="487"/>
      <c r="O290" s="487"/>
      <c r="P290" s="487"/>
      <c r="Q290" s="487"/>
      <c r="R290" s="487"/>
      <c r="S290" s="487"/>
      <c r="T290" s="487"/>
      <c r="U290" s="487"/>
      <c r="V290" s="487"/>
      <c r="W290" s="487"/>
      <c r="X290" s="487"/>
      <c r="Y290" s="487"/>
      <c r="Z290" s="487"/>
      <c r="AA290" s="487"/>
      <c r="AB290" s="487"/>
      <c r="AC290" s="487"/>
      <c r="AD290" s="487"/>
      <c r="AE290" s="487"/>
      <c r="AF290" s="487"/>
      <c r="AG290" s="487"/>
      <c r="AH290" s="487"/>
      <c r="AI290" s="487"/>
      <c r="AJ290" s="487"/>
      <c r="AK290" s="487"/>
      <c r="AL290" s="487"/>
      <c r="AM290" s="487"/>
      <c r="AN290" s="487"/>
      <c r="AO290" s="487"/>
      <c r="AP290" s="487"/>
      <c r="AQ290" s="487"/>
      <c r="AR290" s="487"/>
      <c r="AS290" s="487"/>
      <c r="AT290" s="487"/>
      <c r="AU290" s="487"/>
      <c r="AV290" s="487"/>
      <c r="AW290" s="487"/>
      <c r="AX290" s="487"/>
      <c r="AY290" s="487"/>
      <c r="AZ290" s="487"/>
      <c r="BA290" s="487"/>
      <c r="BB290" s="487"/>
      <c r="BC290" s="487"/>
      <c r="BD290" s="487"/>
      <c r="BE290" s="487"/>
      <c r="BF290" s="487"/>
      <c r="BG290" s="487"/>
      <c r="BH290" s="487"/>
      <c r="BI290" s="487"/>
      <c r="BJ290" s="487"/>
      <c r="BK290" s="487"/>
      <c r="BL290" s="487"/>
      <c r="BM290" s="487"/>
      <c r="BN290" s="487"/>
      <c r="BO290" s="487"/>
      <c r="BP290" s="487"/>
      <c r="BQ290" s="487"/>
      <c r="BR290" s="487" t="s">
        <v>495</v>
      </c>
      <c r="BS290" s="487"/>
      <c r="BT290" s="487"/>
      <c r="BU290" s="487"/>
      <c r="BV290" s="1089">
        <f>-(BV72*0.31)</f>
        <v>-6.2012400000000003</v>
      </c>
      <c r="BW290" s="867">
        <f>BV290/BV218</f>
        <v>-6.4727646312919655E-3</v>
      </c>
      <c r="BX290" s="1034"/>
      <c r="BY290" s="1034"/>
      <c r="BZ290" s="1034"/>
      <c r="CA290" s="1019"/>
      <c r="CB290" s="1034"/>
      <c r="CC290" s="1034"/>
      <c r="CD290" s="1034"/>
      <c r="CE290" s="1019"/>
      <c r="CF290" s="1034"/>
      <c r="CG290" s="1034"/>
      <c r="CH290" s="1034"/>
      <c r="CI290" s="1019"/>
      <c r="CJ290" s="1034"/>
      <c r="CK290" s="1034"/>
      <c r="CP290" s="1082">
        <v>400</v>
      </c>
      <c r="CQ290" s="1083">
        <v>8.9</v>
      </c>
      <c r="CR290" s="1084">
        <f>CP290/CQ290</f>
        <v>44.943820224719097</v>
      </c>
      <c r="CS290" s="1034"/>
      <c r="CT290" s="1085">
        <v>375</v>
      </c>
      <c r="CU290" s="1086">
        <f>CT290/CV290</f>
        <v>6.8</v>
      </c>
      <c r="CV290" s="1087">
        <f>375/6.8</f>
        <v>55.147058823529413</v>
      </c>
      <c r="CW290" s="499"/>
      <c r="CX290" s="1085">
        <v>448</v>
      </c>
      <c r="CY290" s="1086">
        <v>7.5</v>
      </c>
      <c r="CZ290" s="1087">
        <f>CX290/CY290</f>
        <v>59.733333333333334</v>
      </c>
      <c r="DA290" s="499"/>
      <c r="DB290" s="1085">
        <v>459</v>
      </c>
      <c r="DC290" s="1086">
        <v>6.4</v>
      </c>
      <c r="DD290" s="1087">
        <f>DB290/DC290</f>
        <v>71.71875</v>
      </c>
      <c r="DE290" s="499"/>
      <c r="DF290" s="1085">
        <v>400</v>
      </c>
      <c r="DG290" s="1086">
        <v>5.2</v>
      </c>
      <c r="DH290" s="1087">
        <f>DF290/DG290</f>
        <v>76.92307692307692</v>
      </c>
      <c r="DI290" s="499"/>
      <c r="DJ290" s="1085">
        <v>350</v>
      </c>
      <c r="DK290" s="1086">
        <v>4.9000000000000004</v>
      </c>
      <c r="DL290" s="1087">
        <f>DJ290/DK290</f>
        <v>71.428571428571416</v>
      </c>
      <c r="DM290" s="499"/>
      <c r="DN290" s="1920">
        <v>600</v>
      </c>
      <c r="DO290" s="1086">
        <f>DN290/DP290</f>
        <v>7.0588235294117645</v>
      </c>
      <c r="DP290" s="1921">
        <v>85</v>
      </c>
      <c r="DQ290" s="499"/>
      <c r="DR290" s="499"/>
      <c r="DS290" s="1088"/>
      <c r="DT290" s="499"/>
      <c r="DU290" s="487"/>
      <c r="DV290" s="487"/>
      <c r="DW290" s="487"/>
      <c r="DX290" s="487"/>
      <c r="DY290" s="487"/>
      <c r="DZ290" s="487"/>
      <c r="EA290" s="487"/>
      <c r="EB290" s="487"/>
    </row>
    <row r="291" spans="1:132" ht="15">
      <c r="A291" s="487"/>
      <c r="B291" s="487"/>
      <c r="C291" s="487"/>
      <c r="D291" s="487"/>
      <c r="E291" s="487"/>
      <c r="F291" s="487"/>
      <c r="G291" s="487"/>
      <c r="H291" s="487"/>
      <c r="I291" s="487"/>
      <c r="J291" s="487"/>
      <c r="K291" s="487"/>
      <c r="L291" s="487"/>
      <c r="M291" s="487"/>
      <c r="N291" s="487"/>
      <c r="O291" s="487"/>
      <c r="P291" s="487"/>
      <c r="Q291" s="487"/>
      <c r="R291" s="487"/>
      <c r="S291" s="487"/>
      <c r="T291" s="487"/>
      <c r="U291" s="487"/>
      <c r="V291" s="487"/>
      <c r="W291" s="487"/>
      <c r="X291" s="487"/>
      <c r="Y291" s="487"/>
      <c r="Z291" s="487"/>
      <c r="AA291" s="487"/>
      <c r="AB291" s="487"/>
      <c r="AC291" s="487"/>
      <c r="AD291" s="487"/>
      <c r="AE291" s="487"/>
      <c r="AF291" s="487"/>
      <c r="AG291" s="487"/>
      <c r="AH291" s="487"/>
      <c r="AI291" s="487"/>
      <c r="AJ291" s="487"/>
      <c r="AK291" s="487"/>
      <c r="AL291" s="487"/>
      <c r="AM291" s="487"/>
      <c r="AN291" s="487"/>
      <c r="AO291" s="487"/>
      <c r="AP291" s="487"/>
      <c r="AQ291" s="487"/>
      <c r="AR291" s="487"/>
      <c r="AS291" s="487"/>
      <c r="AT291" s="487"/>
      <c r="AU291" s="487"/>
      <c r="AV291" s="487"/>
      <c r="AW291" s="487"/>
      <c r="AX291" s="487"/>
      <c r="AY291" s="487"/>
      <c r="AZ291" s="487"/>
      <c r="BA291" s="487"/>
      <c r="BB291" s="487"/>
      <c r="BC291" s="487"/>
      <c r="BD291" s="487"/>
      <c r="BE291" s="487"/>
      <c r="BF291" s="487"/>
      <c r="BG291" s="487"/>
      <c r="BH291" s="487"/>
      <c r="BI291" s="487"/>
      <c r="BJ291" s="487"/>
      <c r="BK291" s="487"/>
      <c r="BL291" s="487"/>
      <c r="BM291" s="487"/>
      <c r="BN291" s="487"/>
      <c r="BO291" s="487"/>
      <c r="BP291" s="487"/>
      <c r="BQ291" s="487"/>
      <c r="BR291" s="487">
        <v>-0.66800000000000004</v>
      </c>
      <c r="BS291" s="487"/>
      <c r="BT291" s="487"/>
      <c r="BU291" s="487"/>
      <c r="BV291" s="1089">
        <f>-1*(BV73*0.378)</f>
        <v>-74.057004000000006</v>
      </c>
      <c r="BW291" s="867">
        <f>BV291/BV219</f>
        <v>-7.8231598562491692E-2</v>
      </c>
      <c r="BX291" s="499"/>
      <c r="BY291" s="499"/>
      <c r="BZ291" s="1034"/>
      <c r="CA291" s="1019"/>
      <c r="CB291" s="499"/>
      <c r="CC291" s="499"/>
      <c r="CD291" s="1034"/>
      <c r="CE291" s="1019"/>
      <c r="CF291" s="499"/>
      <c r="CG291" s="499"/>
      <c r="CH291" s="1034"/>
      <c r="CI291" s="1019"/>
      <c r="CJ291" s="499"/>
      <c r="CK291" s="499"/>
      <c r="CP291" s="1082">
        <v>350</v>
      </c>
      <c r="CQ291" s="1083">
        <v>8.1</v>
      </c>
      <c r="CR291" s="1084">
        <f>CP291/CQ291</f>
        <v>43.20987654320988</v>
      </c>
      <c r="CS291" s="499"/>
      <c r="CT291" s="1085">
        <v>455</v>
      </c>
      <c r="CU291" s="1086">
        <f>CT291/CV291</f>
        <v>7.3</v>
      </c>
      <c r="CV291" s="1087">
        <f>455/7.3</f>
        <v>62.328767123287676</v>
      </c>
      <c r="CW291" s="499"/>
      <c r="CX291" s="1085">
        <v>407</v>
      </c>
      <c r="CY291" s="1086">
        <v>6.2</v>
      </c>
      <c r="CZ291" s="1087">
        <f>CX291/CY291</f>
        <v>65.645161290322577</v>
      </c>
      <c r="DA291" s="499"/>
      <c r="DB291" s="1085">
        <v>510</v>
      </c>
      <c r="DC291" s="1086">
        <v>7.3</v>
      </c>
      <c r="DD291" s="1087">
        <f>DB291/DC291</f>
        <v>69.863013698630141</v>
      </c>
      <c r="DE291" s="499"/>
      <c r="DF291" s="1085">
        <v>525</v>
      </c>
      <c r="DG291" s="1086">
        <v>6.9</v>
      </c>
      <c r="DH291" s="1087">
        <f>DF291/DG291</f>
        <v>76.086956521739125</v>
      </c>
      <c r="DI291" s="499"/>
      <c r="DJ291" s="1085">
        <v>405</v>
      </c>
      <c r="DK291" s="1086">
        <v>5.4</v>
      </c>
      <c r="DL291" s="1087">
        <f>DJ291/DK291</f>
        <v>75</v>
      </c>
      <c r="DM291" s="499"/>
      <c r="DN291" s="1920">
        <f>DN292-DN290-DN289-DN288</f>
        <v>700</v>
      </c>
      <c r="DO291" s="1086">
        <f>DN291/DP291</f>
        <v>8.235294117647058</v>
      </c>
      <c r="DP291" s="1921">
        <v>85</v>
      </c>
      <c r="DQ291" s="499"/>
      <c r="DR291" s="499"/>
      <c r="DS291" s="1088"/>
      <c r="DT291" s="499"/>
      <c r="DU291" s="487"/>
      <c r="DV291" s="487"/>
      <c r="DW291" s="487"/>
      <c r="DX291" s="487"/>
      <c r="DY291" s="487"/>
      <c r="DZ291" s="487"/>
      <c r="EA291" s="487"/>
      <c r="EB291" s="487"/>
    </row>
    <row r="292" spans="1:132" ht="13.5" thickBot="1">
      <c r="A292" s="487"/>
      <c r="B292" s="487"/>
      <c r="C292" s="487"/>
      <c r="D292" s="487"/>
      <c r="E292" s="487"/>
      <c r="F292" s="487"/>
      <c r="G292" s="487"/>
      <c r="H292" s="487"/>
      <c r="I292" s="487"/>
      <c r="J292" s="487"/>
      <c r="K292" s="487"/>
      <c r="L292" s="487"/>
      <c r="M292" s="487"/>
      <c r="N292" s="487"/>
      <c r="O292" s="487"/>
      <c r="P292" s="487"/>
      <c r="Q292" s="487"/>
      <c r="R292" s="487"/>
      <c r="S292" s="487"/>
      <c r="T292" s="487"/>
      <c r="U292" s="487"/>
      <c r="V292" s="487"/>
      <c r="W292" s="487"/>
      <c r="X292" s="487"/>
      <c r="Y292" s="487"/>
      <c r="Z292" s="487"/>
      <c r="AA292" s="487"/>
      <c r="AB292" s="487"/>
      <c r="AC292" s="487"/>
      <c r="AD292" s="487"/>
      <c r="AE292" s="487"/>
      <c r="AF292" s="487"/>
      <c r="AG292" s="487"/>
      <c r="AH292" s="487"/>
      <c r="AI292" s="487"/>
      <c r="AJ292" s="487"/>
      <c r="AK292" s="487"/>
      <c r="AL292" s="487"/>
      <c r="AM292" s="487"/>
      <c r="AN292" s="487"/>
      <c r="AO292" s="487"/>
      <c r="AP292" s="487"/>
      <c r="AQ292" s="487"/>
      <c r="AR292" s="487"/>
      <c r="AS292" s="487"/>
      <c r="AT292" s="487"/>
      <c r="AU292" s="487"/>
      <c r="AV292" s="487"/>
      <c r="AW292" s="487"/>
      <c r="AX292" s="487"/>
      <c r="AY292" s="487"/>
      <c r="AZ292" s="487"/>
      <c r="BA292" s="487"/>
      <c r="BB292" s="487"/>
      <c r="BC292" s="487"/>
      <c r="BD292" s="487"/>
      <c r="BE292" s="487"/>
      <c r="BF292" s="487"/>
      <c r="BG292" s="487"/>
      <c r="BH292" s="487"/>
      <c r="BI292" s="487"/>
      <c r="BJ292" s="487"/>
      <c r="BK292" s="487"/>
      <c r="BL292" s="487"/>
      <c r="BM292" s="487"/>
      <c r="BN292" s="487"/>
      <c r="BO292" s="487"/>
      <c r="BP292" s="487"/>
      <c r="BQ292" s="487"/>
      <c r="BR292" s="487">
        <v>-0.20699999999999999</v>
      </c>
      <c r="BS292" s="487"/>
      <c r="BT292" s="487"/>
      <c r="BU292" s="487"/>
      <c r="BV292" s="1065"/>
      <c r="BW292" s="487"/>
      <c r="BX292" s="499"/>
      <c r="BY292" s="499"/>
      <c r="BZ292" s="499"/>
      <c r="CA292" s="499"/>
      <c r="CB292" s="499"/>
      <c r="CC292" s="499"/>
      <c r="CD292" s="499"/>
      <c r="CE292" s="499"/>
      <c r="CF292" s="499"/>
      <c r="CG292" s="499"/>
      <c r="CH292" s="499"/>
      <c r="CI292" s="499"/>
      <c r="CJ292" s="499"/>
      <c r="CK292" s="499"/>
      <c r="CP292" s="1090">
        <f>SUM(CP288:CP291)</f>
        <v>1300</v>
      </c>
      <c r="CQ292" s="1091"/>
      <c r="CR292" s="1092"/>
      <c r="CS292" s="499"/>
      <c r="CT292" s="1090">
        <f>SUM(CT288:CT291)</f>
        <v>1455</v>
      </c>
      <c r="CU292" s="1091"/>
      <c r="CV292" s="1092"/>
      <c r="CW292" s="499"/>
      <c r="CX292" s="1090">
        <f>SUM(CX288:CX291)</f>
        <v>1655</v>
      </c>
      <c r="CY292" s="1093">
        <v>27.7</v>
      </c>
      <c r="CZ292" s="1092"/>
      <c r="DA292" s="499"/>
      <c r="DB292" s="1090">
        <f>-flow!BB51</f>
        <v>1828.297</v>
      </c>
      <c r="DC292" s="1091"/>
      <c r="DD292" s="1092"/>
      <c r="DE292" s="499"/>
      <c r="DF292" s="1090">
        <f>-flow!$BD$51</f>
        <v>1699.998</v>
      </c>
      <c r="DG292" s="1091"/>
      <c r="DH292" s="1092" t="s">
        <v>164</v>
      </c>
      <c r="DI292" s="499"/>
      <c r="DJ292" s="1090">
        <f>-flow!$BF$51</f>
        <v>1644.6</v>
      </c>
      <c r="DK292" s="1091"/>
      <c r="DL292" s="1092" t="s">
        <v>164</v>
      </c>
      <c r="DM292" s="499"/>
      <c r="DN292" s="1090">
        <f>-flow!$BH$51</f>
        <v>2500</v>
      </c>
      <c r="DO292" s="1091"/>
      <c r="DP292" s="1092" t="s">
        <v>164</v>
      </c>
      <c r="DQ292" s="499"/>
      <c r="DR292" s="499"/>
      <c r="DS292" s="1088"/>
      <c r="DT292" s="499"/>
      <c r="DU292" s="487"/>
      <c r="DV292" s="487"/>
      <c r="DW292" s="487"/>
      <c r="DX292" s="487"/>
      <c r="DY292" s="487"/>
      <c r="DZ292" s="487"/>
      <c r="EA292" s="487"/>
      <c r="EB292" s="487"/>
    </row>
    <row r="293" spans="1:132">
      <c r="A293" s="487"/>
      <c r="B293" s="487"/>
      <c r="C293" s="487"/>
      <c r="D293" s="487"/>
      <c r="E293" s="487"/>
      <c r="F293" s="487"/>
      <c r="G293" s="487"/>
      <c r="H293" s="487"/>
      <c r="I293" s="487"/>
      <c r="J293" s="487"/>
      <c r="K293" s="487"/>
      <c r="L293" s="487"/>
      <c r="M293" s="487"/>
      <c r="N293" s="487"/>
      <c r="O293" s="487"/>
      <c r="P293" s="487"/>
      <c r="Q293" s="487"/>
      <c r="R293" s="487"/>
      <c r="S293" s="487"/>
      <c r="T293" s="487"/>
      <c r="U293" s="487"/>
      <c r="V293" s="487"/>
      <c r="W293" s="487"/>
      <c r="X293" s="487"/>
      <c r="Y293" s="487"/>
      <c r="Z293" s="487"/>
      <c r="AA293" s="487"/>
      <c r="AB293" s="487"/>
      <c r="AC293" s="487"/>
      <c r="AD293" s="487"/>
      <c r="AE293" s="487"/>
      <c r="AF293" s="487"/>
      <c r="AG293" s="487"/>
      <c r="AH293" s="487"/>
      <c r="AI293" s="487"/>
      <c r="AJ293" s="487"/>
      <c r="AK293" s="487"/>
      <c r="AL293" s="487"/>
      <c r="AM293" s="487"/>
      <c r="AN293" s="487"/>
      <c r="AO293" s="487"/>
      <c r="AP293" s="487"/>
      <c r="AQ293" s="487"/>
      <c r="AR293" s="487"/>
      <c r="AS293" s="487"/>
      <c r="AT293" s="487"/>
      <c r="AU293" s="487"/>
      <c r="AV293" s="487"/>
      <c r="AW293" s="487"/>
      <c r="AX293" s="487"/>
      <c r="AY293" s="487"/>
      <c r="AZ293" s="487"/>
      <c r="BA293" s="487"/>
      <c r="BB293" s="487"/>
      <c r="BC293" s="487"/>
      <c r="BD293" s="487"/>
      <c r="BE293" s="487"/>
      <c r="BF293" s="487"/>
      <c r="BG293" s="487"/>
      <c r="BH293" s="487"/>
      <c r="BI293" s="487"/>
      <c r="BJ293" s="487"/>
      <c r="BK293" s="487"/>
      <c r="BL293" s="487"/>
      <c r="BM293" s="487"/>
      <c r="BN293" s="487"/>
      <c r="BO293" s="487"/>
      <c r="BP293" s="487"/>
      <c r="BQ293" s="487"/>
      <c r="BR293" s="487"/>
      <c r="BS293" s="487"/>
      <c r="BT293" s="487"/>
      <c r="BU293" s="487"/>
      <c r="BV293" s="1067"/>
      <c r="BW293" s="487"/>
      <c r="BX293" s="499"/>
      <c r="BY293" s="499"/>
      <c r="BZ293" s="499"/>
      <c r="CA293" s="499"/>
      <c r="CB293" s="499"/>
      <c r="CC293" s="499"/>
      <c r="CD293" s="499"/>
      <c r="CE293" s="499"/>
      <c r="CF293" s="499"/>
      <c r="CG293" s="499"/>
      <c r="CH293" s="499"/>
      <c r="CI293" s="499"/>
      <c r="CJ293" s="499"/>
      <c r="CK293" s="499"/>
      <c r="CL293" s="499"/>
      <c r="CM293" s="499"/>
      <c r="CN293" s="499"/>
      <c r="CO293" s="499"/>
      <c r="CP293" s="499"/>
      <c r="CQ293" s="499"/>
      <c r="CR293" s="499"/>
      <c r="CS293" s="499"/>
      <c r="CT293" s="499"/>
      <c r="CU293" s="499"/>
      <c r="CV293" s="499"/>
      <c r="CW293" s="499"/>
      <c r="CX293" s="499"/>
      <c r="CY293" s="499"/>
      <c r="CZ293" s="499"/>
      <c r="DA293" s="499"/>
      <c r="DB293" s="499"/>
      <c r="DC293" s="499"/>
      <c r="DD293" s="499"/>
      <c r="DE293" s="499"/>
      <c r="DF293" s="1094">
        <f>SUM(DF288:DF291)</f>
        <v>1700</v>
      </c>
      <c r="DG293" s="499"/>
      <c r="DH293" s="499"/>
      <c r="DI293" s="499"/>
      <c r="DJ293" s="1094">
        <f>SUM(DJ288:DJ291)</f>
        <v>1655</v>
      </c>
      <c r="DK293" s="499"/>
      <c r="DL293" s="499"/>
      <c r="DM293" s="499"/>
      <c r="DN293" s="1094">
        <f>SUM(DN288:DN291)</f>
        <v>2500</v>
      </c>
      <c r="DO293" s="499"/>
      <c r="DP293" s="499"/>
      <c r="DQ293" s="499"/>
      <c r="DR293" s="499"/>
      <c r="DS293" s="1088"/>
      <c r="DT293" s="499"/>
      <c r="DU293" s="487"/>
      <c r="DV293" s="487"/>
      <c r="DW293" s="487"/>
      <c r="DX293" s="487"/>
      <c r="DY293" s="487"/>
      <c r="DZ293" s="487"/>
      <c r="EA293" s="487"/>
      <c r="EB293" s="487"/>
    </row>
    <row r="294" spans="1:132">
      <c r="A294" s="487"/>
      <c r="B294" s="487"/>
      <c r="C294" s="487"/>
      <c r="D294" s="487"/>
      <c r="E294" s="487"/>
      <c r="F294" s="487"/>
      <c r="G294" s="487"/>
      <c r="H294" s="487"/>
      <c r="I294" s="487"/>
      <c r="J294" s="487"/>
      <c r="K294" s="487"/>
      <c r="L294" s="487"/>
      <c r="M294" s="487"/>
      <c r="N294" s="487"/>
      <c r="O294" s="487"/>
      <c r="P294" s="487"/>
      <c r="Q294" s="487"/>
      <c r="R294" s="487"/>
      <c r="S294" s="487"/>
      <c r="T294" s="487"/>
      <c r="U294" s="487"/>
      <c r="V294" s="487"/>
      <c r="W294" s="487"/>
      <c r="X294" s="487"/>
      <c r="Y294" s="487"/>
      <c r="Z294" s="487"/>
      <c r="AA294" s="487"/>
      <c r="AB294" s="487"/>
      <c r="AC294" s="487"/>
      <c r="AD294" s="487"/>
      <c r="AE294" s="487"/>
      <c r="AF294" s="487"/>
      <c r="AG294" s="487"/>
      <c r="AH294" s="487"/>
      <c r="AI294" s="487"/>
      <c r="AJ294" s="487"/>
      <c r="AK294" s="487"/>
      <c r="AL294" s="487"/>
      <c r="AM294" s="487"/>
      <c r="AN294" s="487"/>
      <c r="AO294" s="487"/>
      <c r="AP294" s="487"/>
      <c r="AQ294" s="487"/>
      <c r="AR294" s="487"/>
      <c r="AS294" s="487"/>
      <c r="AT294" s="487"/>
      <c r="AU294" s="487"/>
      <c r="AV294" s="487"/>
      <c r="AW294" s="487"/>
      <c r="AX294" s="487"/>
      <c r="AY294" s="487"/>
      <c r="AZ294" s="487"/>
      <c r="BA294" s="487"/>
      <c r="BB294" s="487"/>
      <c r="BC294" s="487"/>
      <c r="BD294" s="487"/>
      <c r="BE294" s="487"/>
      <c r="BF294" s="487"/>
      <c r="BG294" s="487"/>
      <c r="BH294" s="487"/>
      <c r="BI294" s="487"/>
      <c r="BJ294" s="487"/>
      <c r="BK294" s="487"/>
      <c r="BL294" s="487"/>
      <c r="BM294" s="487"/>
      <c r="BN294" s="487"/>
      <c r="BO294" s="487"/>
      <c r="BP294" s="487"/>
      <c r="BQ294" s="487"/>
      <c r="BR294" s="487"/>
      <c r="BS294" s="487"/>
      <c r="BT294" s="487"/>
      <c r="BU294" s="487"/>
      <c r="BV294" s="716">
        <f>SUM(BV290:BV293)</f>
        <v>-80.258244000000005</v>
      </c>
      <c r="BW294" s="867">
        <f>SUM(BW290:BW293)</f>
        <v>-8.4704363193783661E-2</v>
      </c>
      <c r="BX294" s="499"/>
      <c r="BY294" s="499"/>
      <c r="BZ294" s="1034"/>
      <c r="CA294" s="1019"/>
      <c r="CB294" s="499"/>
      <c r="CC294" s="499"/>
      <c r="CD294" s="1034"/>
      <c r="CE294" s="1019"/>
      <c r="CF294" s="499"/>
      <c r="CG294" s="499"/>
      <c r="CH294" s="1034"/>
      <c r="CI294" s="1019"/>
      <c r="CJ294" s="499"/>
      <c r="CK294" s="499"/>
      <c r="CL294" s="1034"/>
      <c r="CM294" s="1019"/>
      <c r="CN294" s="499"/>
      <c r="CO294" s="499"/>
      <c r="CP294" s="1034"/>
      <c r="CQ294" s="1019"/>
      <c r="CR294" s="499"/>
      <c r="CS294" s="499"/>
      <c r="CT294" s="1034"/>
      <c r="CU294" s="1019"/>
      <c r="CV294" s="499"/>
      <c r="CW294" s="499"/>
      <c r="CX294" s="1034"/>
      <c r="CY294" s="1019"/>
      <c r="CZ294" s="499"/>
      <c r="DA294" s="499"/>
      <c r="DB294" s="1034"/>
      <c r="DC294" s="1019"/>
      <c r="DD294" s="499"/>
      <c r="DE294" s="499"/>
      <c r="DF294" s="1034"/>
      <c r="DG294" s="1019"/>
      <c r="DH294" s="499"/>
      <c r="DI294" s="499"/>
      <c r="DJ294" s="1034"/>
      <c r="DK294" s="1019"/>
      <c r="DL294" s="499"/>
      <c r="DM294" s="499"/>
      <c r="DN294" s="1034"/>
      <c r="DO294" s="1019"/>
      <c r="DP294" s="499"/>
      <c r="DQ294" s="499"/>
      <c r="DR294" s="499"/>
      <c r="DS294" s="1088"/>
      <c r="DT294" s="499"/>
      <c r="DU294" s="487"/>
      <c r="DV294" s="487"/>
      <c r="DW294" s="487"/>
      <c r="DX294" s="487"/>
      <c r="DY294" s="487"/>
      <c r="DZ294" s="487"/>
      <c r="EA294" s="487"/>
      <c r="EB294" s="487"/>
    </row>
  </sheetData>
  <phoneticPr fontId="0" type="noConversion"/>
  <conditionalFormatting sqref="BU31:BU34">
    <cfRule type="cellIs" dxfId="1" priority="1" stopIfTrue="1" operator="greaterThan">
      <formula>0</formula>
    </cfRule>
    <cfRule type="cellIs" dxfId="0" priority="2" stopIfTrue="1" operator="lessThan">
      <formula>0</formula>
    </cfRule>
  </conditionalFormatting>
  <dataValidations count="1">
    <dataValidation type="custom" allowBlank="1" showInputMessage="1" showErrorMessage="1" sqref="BB32 CT10:CT13 CV10:CW14 CT51 BB42 CR10:CS14 CP10:CP13 CP51 CN10:CO14 BD11:BD13 BR51 BR10:BR13 BN51 BN10:BN13 BP10:BP14 BJ51 BJ10:BJ13 BH10:BH14 BF10:BF13 BL10:BL14 BB11:BB13 BT10:BT14 BV51 BV10:BV13 BX10:BY14 BZ10:BZ13 BZ51 CB10:CC14 CD51 CD10:CD13 CF10:CG14 CH10:CH13 CH51 CJ10:CK14 CL51 CL10:CL13 CX10:CX13 DB51:DB54 DB10:DB13 CX54 CZ10:DA14 CX51:CX52 DD10:DE14 DF51:DF54 DF10:DF13 DT10:DT13 DH10:DI14 DJ51:DJ54 DJ10:DJ13 DL10:DM14 DN10:DN13 DN51:DN54 DP10:DQ14">
      <formula1>-1</formula1>
    </dataValidation>
  </dataValidations>
  <pageMargins left="0.7" right="0.7" top="0.75" bottom="0.75" header="0.3" footer="0.3"/>
  <pageSetup scale="74" fitToHeight="0" orientation="landscape" r:id="rId1"/>
  <headerFooter alignWithMargins="0">
    <oddFooter>&amp;R&amp;8&amp;D
&amp;A</oddFooter>
  </headerFooter>
  <rowBreaks count="2" manualBreakCount="2">
    <brk id="88" max="107" man="1"/>
    <brk id="225" max="107"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A1:AV172"/>
  <sheetViews>
    <sheetView zoomScaleNormal="100" workbookViewId="0">
      <selection activeCell="AB15" sqref="AB15"/>
    </sheetView>
  </sheetViews>
  <sheetFormatPr defaultRowHeight="12.75" outlineLevelRow="1" outlineLevelCol="1"/>
  <cols>
    <col min="1" max="1" width="26.85546875" style="451" customWidth="1"/>
    <col min="2" max="6" width="9.28515625" style="451" hidden="1" customWidth="1" outlineLevel="1"/>
    <col min="7" max="7" width="9.85546875" style="451" hidden="1" customWidth="1" outlineLevel="1"/>
    <col min="8" max="9" width="9.42578125" style="451" hidden="1" customWidth="1" outlineLevel="1" collapsed="1"/>
    <col min="10" max="10" width="9.42578125" style="451" hidden="1" customWidth="1" outlineLevel="1"/>
    <col min="11" max="11" width="9" style="451" hidden="1" customWidth="1" outlineLevel="1"/>
    <col min="12" max="14" width="8.7109375" style="451" hidden="1" customWidth="1" outlineLevel="1" collapsed="1"/>
    <col min="15" max="15" width="8.7109375" style="451" hidden="1" customWidth="1" outlineLevel="1"/>
    <col min="16" max="16" width="10.28515625" style="451" hidden="1" customWidth="1" outlineLevel="1"/>
    <col min="17" max="20" width="8.7109375" style="451" hidden="1" customWidth="1" outlineLevel="1"/>
    <col min="21" max="21" width="9.5703125" style="451" hidden="1" customWidth="1" outlineLevel="1" collapsed="1"/>
    <col min="22" max="22" width="8.7109375" style="451" hidden="1" customWidth="1" outlineLevel="1"/>
    <col min="23" max="23" width="8.7109375" style="451" customWidth="1" collapsed="1"/>
    <col min="24" max="24" width="9.28515625" style="451" customWidth="1"/>
    <col min="25" max="25" width="9.28515625" style="451" bestFit="1" customWidth="1"/>
    <col min="26" max="26" width="9.28515625" style="451" customWidth="1"/>
    <col min="27" max="27" width="9.28515625" style="451" bestFit="1" customWidth="1"/>
    <col min="28" max="29" width="9" style="451" customWidth="1"/>
    <col min="30" max="34" width="9.42578125" style="451" customWidth="1"/>
    <col min="35" max="35" width="1.7109375" style="451" customWidth="1"/>
    <col min="36" max="36" width="9.140625" style="451" hidden="1" customWidth="1" outlineLevel="1"/>
    <col min="37" max="37" width="2.140625" style="451" customWidth="1" collapsed="1"/>
    <col min="38" max="38" width="8" style="451" customWidth="1"/>
    <col min="39" max="39" width="2.140625" style="451" customWidth="1"/>
    <col min="40" max="40" width="8" style="451" customWidth="1"/>
    <col min="41" max="41" width="2.28515625" style="451" customWidth="1"/>
    <col min="42" max="16384" width="9.140625" style="451"/>
  </cols>
  <sheetData>
    <row r="1" spans="1:41">
      <c r="A1" s="693" t="str">
        <f>sumry!A1</f>
        <v>TJX Companies</v>
      </c>
      <c r="B1" s="1546"/>
      <c r="C1" s="1546"/>
      <c r="D1" s="1546"/>
      <c r="E1" s="1546"/>
      <c r="F1" s="1546"/>
      <c r="G1" s="1546"/>
      <c r="H1" s="1546"/>
      <c r="I1" s="1546"/>
      <c r="J1" s="1546"/>
      <c r="K1" s="1546"/>
      <c r="L1" s="1546"/>
      <c r="M1" s="1546"/>
      <c r="N1" s="1546"/>
      <c r="O1" s="1546"/>
      <c r="P1" s="1547"/>
      <c r="Q1" s="1547"/>
      <c r="R1" s="1547"/>
      <c r="S1" s="1547"/>
      <c r="T1" s="1548"/>
      <c r="U1" s="1548"/>
      <c r="V1" s="1548"/>
      <c r="W1" s="1549"/>
      <c r="X1" s="1549"/>
      <c r="Y1" s="1549"/>
      <c r="Z1" s="1549"/>
      <c r="AA1" s="1549"/>
      <c r="AB1" s="1549"/>
      <c r="AC1" s="1549"/>
      <c r="AD1" s="1549"/>
      <c r="AE1" s="1549"/>
      <c r="AF1" s="1549"/>
      <c r="AG1" s="1549"/>
      <c r="AH1" s="1549"/>
      <c r="AI1" s="1421"/>
      <c r="AJ1" s="1421"/>
      <c r="AK1" s="1421"/>
      <c r="AL1" s="1421"/>
      <c r="AM1" s="1421"/>
      <c r="AN1" s="1421"/>
      <c r="AO1" s="1421"/>
    </row>
    <row r="2" spans="1:41">
      <c r="A2" s="1424" t="s">
        <v>858</v>
      </c>
      <c r="B2" s="1550"/>
      <c r="C2" s="1550"/>
      <c r="D2" s="1550"/>
      <c r="E2" s="1550"/>
      <c r="F2" s="1550"/>
      <c r="G2" s="1550"/>
      <c r="H2" s="1550"/>
      <c r="I2" s="1550"/>
      <c r="J2" s="1550"/>
      <c r="K2" s="1550"/>
      <c r="L2" s="1550"/>
      <c r="M2" s="1550"/>
      <c r="N2" s="1550"/>
      <c r="O2" s="1550"/>
      <c r="P2" s="1550"/>
      <c r="Q2" s="1550"/>
      <c r="R2" s="1550"/>
      <c r="S2" s="1550"/>
      <c r="T2" s="1550"/>
      <c r="U2" s="1550"/>
      <c r="V2" s="1550"/>
      <c r="W2" s="1550"/>
      <c r="X2" s="1550"/>
      <c r="Y2" s="1550"/>
      <c r="Z2" s="1550"/>
      <c r="AA2" s="1550"/>
      <c r="AB2" s="1550"/>
      <c r="AC2" s="1550"/>
      <c r="AD2" s="1550"/>
      <c r="AE2" s="1550"/>
      <c r="AF2" s="1550"/>
      <c r="AG2" s="1550"/>
      <c r="AH2" s="1550"/>
      <c r="AI2" s="1425"/>
      <c r="AJ2" s="1425"/>
      <c r="AK2" s="1425"/>
      <c r="AL2" s="1425"/>
      <c r="AM2" s="1425"/>
      <c r="AN2" s="1425"/>
      <c r="AO2" s="1425"/>
    </row>
    <row r="3" spans="1:41" ht="13.5" thickBot="1">
      <c r="A3" s="467" t="s">
        <v>518</v>
      </c>
      <c r="B3" s="1547"/>
      <c r="C3" s="1547"/>
      <c r="D3" s="1547"/>
      <c r="E3" s="1547"/>
      <c r="F3" s="1547"/>
      <c r="G3" s="1547"/>
      <c r="H3" s="1547"/>
      <c r="I3" s="1547"/>
      <c r="J3" s="1547"/>
      <c r="K3" s="1547"/>
      <c r="L3" s="1547"/>
      <c r="M3" s="1547"/>
      <c r="N3" s="1547"/>
      <c r="O3" s="1547"/>
      <c r="P3" s="1547"/>
      <c r="Q3" s="1547"/>
      <c r="R3" s="1547"/>
      <c r="S3" s="1547"/>
      <c r="T3" s="1547"/>
      <c r="U3" s="1547"/>
      <c r="V3" s="1547"/>
      <c r="W3" s="1547"/>
      <c r="X3" s="1547"/>
      <c r="Y3" s="1547"/>
      <c r="Z3" s="1547"/>
      <c r="AA3" s="1547"/>
      <c r="AB3" s="1551"/>
      <c r="AC3" s="2090"/>
      <c r="AD3" s="2090"/>
      <c r="AE3" s="2090"/>
      <c r="AF3" s="2090"/>
      <c r="AG3" s="2090"/>
      <c r="AH3" s="2090"/>
      <c r="AI3" s="467"/>
      <c r="AJ3" s="467"/>
      <c r="AK3" s="467"/>
      <c r="AL3" s="467"/>
      <c r="AM3" s="467"/>
      <c r="AN3" s="467"/>
      <c r="AO3" s="467"/>
    </row>
    <row r="4" spans="1:41">
      <c r="A4" s="467"/>
      <c r="B4" s="1547"/>
      <c r="C4" s="1547"/>
      <c r="D4" s="1547"/>
      <c r="E4" s="1547"/>
      <c r="F4" s="1547"/>
      <c r="G4" s="1547"/>
      <c r="H4" s="1547"/>
      <c r="I4" s="1547"/>
      <c r="J4" s="1547"/>
      <c r="K4" s="1547"/>
      <c r="L4" s="1547"/>
      <c r="M4" s="1547"/>
      <c r="N4" s="1547"/>
      <c r="O4" s="1547"/>
      <c r="P4" s="1547"/>
      <c r="Q4" s="1547"/>
      <c r="R4" s="1547"/>
      <c r="S4" s="1547"/>
      <c r="T4" s="1547"/>
      <c r="U4" s="1547"/>
      <c r="V4" s="1547"/>
      <c r="W4" s="1547"/>
      <c r="X4" s="1547"/>
      <c r="Y4" s="1552"/>
      <c r="Z4" s="1552"/>
      <c r="AA4" s="1552"/>
      <c r="AB4" s="1552"/>
      <c r="AC4" s="1552"/>
      <c r="AD4" s="1552"/>
      <c r="AE4" s="1552"/>
      <c r="AF4" s="1552"/>
      <c r="AG4" s="1552"/>
      <c r="AH4" s="1552"/>
      <c r="AI4" s="467"/>
      <c r="AJ4" s="1773"/>
      <c r="AK4" s="1914" t="s">
        <v>188</v>
      </c>
      <c r="AL4" s="1554"/>
      <c r="AM4" s="1553" t="s">
        <v>188</v>
      </c>
      <c r="AN4" s="1554"/>
      <c r="AO4" s="1555" t="s">
        <v>164</v>
      </c>
    </row>
    <row r="5" spans="1:41">
      <c r="A5" s="467"/>
      <c r="B5" s="1556">
        <v>1990</v>
      </c>
      <c r="C5" s="1556">
        <f t="shared" ref="C5:M5" si="0">B5+1</f>
        <v>1991</v>
      </c>
      <c r="D5" s="1556">
        <f t="shared" si="0"/>
        <v>1992</v>
      </c>
      <c r="E5" s="1556">
        <f t="shared" si="0"/>
        <v>1993</v>
      </c>
      <c r="F5" s="1556">
        <f t="shared" si="0"/>
        <v>1994</v>
      </c>
      <c r="G5" s="1556">
        <f t="shared" si="0"/>
        <v>1995</v>
      </c>
      <c r="H5" s="1556">
        <f t="shared" si="0"/>
        <v>1996</v>
      </c>
      <c r="I5" s="1556">
        <f t="shared" si="0"/>
        <v>1997</v>
      </c>
      <c r="J5" s="1556">
        <f t="shared" si="0"/>
        <v>1998</v>
      </c>
      <c r="K5" s="1556">
        <f t="shared" si="0"/>
        <v>1999</v>
      </c>
      <c r="L5" s="1556">
        <f t="shared" si="0"/>
        <v>2000</v>
      </c>
      <c r="M5" s="1556">
        <f t="shared" si="0"/>
        <v>2001</v>
      </c>
      <c r="N5" s="1556">
        <f t="shared" ref="N5:S5" si="1">M5+1</f>
        <v>2002</v>
      </c>
      <c r="O5" s="1556">
        <f t="shared" si="1"/>
        <v>2003</v>
      </c>
      <c r="P5" s="1556">
        <f t="shared" si="1"/>
        <v>2004</v>
      </c>
      <c r="Q5" s="1556">
        <f t="shared" si="1"/>
        <v>2005</v>
      </c>
      <c r="R5" s="1556">
        <f t="shared" si="1"/>
        <v>2006</v>
      </c>
      <c r="S5" s="1556">
        <f t="shared" si="1"/>
        <v>2007</v>
      </c>
      <c r="T5" s="1556">
        <f t="shared" ref="T5:Y5" si="2">S5+1</f>
        <v>2008</v>
      </c>
      <c r="U5" s="1556">
        <f t="shared" si="2"/>
        <v>2009</v>
      </c>
      <c r="V5" s="1556">
        <f t="shared" si="2"/>
        <v>2010</v>
      </c>
      <c r="W5" s="1556">
        <f t="shared" si="2"/>
        <v>2011</v>
      </c>
      <c r="X5" s="1556">
        <f t="shared" si="2"/>
        <v>2012</v>
      </c>
      <c r="Y5" s="1556">
        <f t="shared" si="2"/>
        <v>2013</v>
      </c>
      <c r="Z5" s="1556">
        <f t="shared" ref="Z5:AH5" si="3">Y5+1</f>
        <v>2014</v>
      </c>
      <c r="AA5" s="1556">
        <f t="shared" si="3"/>
        <v>2015</v>
      </c>
      <c r="AB5" s="1556">
        <f t="shared" si="3"/>
        <v>2016</v>
      </c>
      <c r="AC5" s="1556">
        <f t="shared" si="3"/>
        <v>2017</v>
      </c>
      <c r="AD5" s="1557">
        <f t="shared" si="3"/>
        <v>2018</v>
      </c>
      <c r="AE5" s="1557">
        <f t="shared" si="3"/>
        <v>2019</v>
      </c>
      <c r="AF5" s="1557">
        <f t="shared" si="3"/>
        <v>2020</v>
      </c>
      <c r="AG5" s="1557">
        <f t="shared" si="3"/>
        <v>2021</v>
      </c>
      <c r="AH5" s="1557">
        <f t="shared" si="3"/>
        <v>2022</v>
      </c>
      <c r="AI5" s="467"/>
      <c r="AJ5" s="1558" t="s">
        <v>499</v>
      </c>
      <c r="AK5" s="1558"/>
      <c r="AL5" s="1436" t="s">
        <v>853</v>
      </c>
      <c r="AM5" s="1436"/>
      <c r="AN5" s="1436" t="s">
        <v>854</v>
      </c>
      <c r="AO5" s="1559"/>
    </row>
    <row r="6" spans="1:41">
      <c r="A6" s="467"/>
      <c r="B6" s="1547"/>
      <c r="C6" s="1547"/>
      <c r="D6" s="1547"/>
      <c r="E6" s="1547"/>
      <c r="F6" s="1547"/>
      <c r="G6" s="1547"/>
      <c r="H6" s="1547"/>
      <c r="I6" s="1547"/>
      <c r="J6" s="1547"/>
      <c r="K6" s="1547"/>
      <c r="L6" s="1547"/>
      <c r="M6" s="1547"/>
      <c r="N6" s="1547"/>
      <c r="O6" s="1547"/>
      <c r="P6" s="1547"/>
      <c r="Q6" s="1547"/>
      <c r="R6" s="1547"/>
      <c r="S6" s="1547"/>
      <c r="T6" s="1547"/>
      <c r="U6" s="1547"/>
      <c r="V6" s="1547"/>
      <c r="W6" s="1547"/>
      <c r="X6" s="1547"/>
      <c r="Y6" s="1547"/>
      <c r="Z6" s="1547"/>
      <c r="AA6" s="1547"/>
      <c r="AB6" s="1547"/>
      <c r="AC6" s="1547"/>
      <c r="AD6" s="1547"/>
      <c r="AE6" s="1547"/>
      <c r="AF6" s="1547"/>
      <c r="AG6" s="1547"/>
      <c r="AH6" s="1547"/>
      <c r="AI6" s="467"/>
      <c r="AJ6" s="1560"/>
      <c r="AK6" s="1560"/>
      <c r="AL6" s="1478"/>
      <c r="AM6" s="1478"/>
      <c r="AN6" s="1478"/>
      <c r="AO6" s="1559"/>
    </row>
    <row r="7" spans="1:41">
      <c r="A7" s="467" t="s">
        <v>519</v>
      </c>
      <c r="B7" s="1538">
        <f>'qtrP&amp;L'!F14</f>
        <v>2446.279</v>
      </c>
      <c r="C7" s="1538">
        <f>'qtrP&amp;L'!J14</f>
        <v>2757.7150000000001</v>
      </c>
      <c r="D7" s="1538">
        <f>'qtrP&amp;L'!N14</f>
        <v>3261.24</v>
      </c>
      <c r="E7" s="1538">
        <f>'qtrP&amp;L'!R14</f>
        <v>2832.0699999999997</v>
      </c>
      <c r="F7" s="1538">
        <f>'qtrP&amp;L'!V14</f>
        <v>3055.5730000000003</v>
      </c>
      <c r="G7" s="1538">
        <f>'qtrP&amp;L'!Z14</f>
        <v>3975.1149999999998</v>
      </c>
      <c r="H7" s="1538">
        <f>'qtrP&amp;L'!AD14</f>
        <v>6689.41</v>
      </c>
      <c r="I7" s="1538">
        <f>'qtrP&amp;L'!AH14</f>
        <v>7389.0690000000004</v>
      </c>
      <c r="J7" s="1538">
        <f>'qtrP&amp;L'!AL14</f>
        <v>7948.8710000000001</v>
      </c>
      <c r="K7" s="1538">
        <f>'qtrP&amp;L'!AP14</f>
        <v>8795.3469999999998</v>
      </c>
      <c r="L7" s="1538">
        <f>'qtrP&amp;L'!AT14</f>
        <v>9579.0059999999994</v>
      </c>
      <c r="M7" s="1538">
        <f>'qtrP&amp;L'!AX14</f>
        <v>10708.998</v>
      </c>
      <c r="N7" s="1538">
        <f>'qtrP&amp;L'!BB14</f>
        <v>11981.206999999999</v>
      </c>
      <c r="O7" s="1538">
        <f>'qtrP&amp;L'!BF14</f>
        <v>13327.938</v>
      </c>
      <c r="P7" s="1538">
        <f>+'qtrP&amp;L'!BJ14</f>
        <v>14913.483</v>
      </c>
      <c r="Q7" s="1538">
        <f>+'qtrP&amp;L'!BN14</f>
        <v>16057.935000000001</v>
      </c>
      <c r="R7" s="1538">
        <f>yrSales!R7</f>
        <v>17404.637000000002</v>
      </c>
      <c r="S7" s="1538">
        <f>yrSales!S7</f>
        <v>18471.973000000002</v>
      </c>
      <c r="T7" s="1538">
        <f>yrSales!T7</f>
        <v>18999.504999999997</v>
      </c>
      <c r="U7" s="1538">
        <f>'qtrP&amp;L'!CD14</f>
        <v>20288.444</v>
      </c>
      <c r="V7" s="1538">
        <f>yrSales!V7</f>
        <v>21663.250999999997</v>
      </c>
      <c r="W7" s="1538">
        <f>yrSales!W7</f>
        <v>23182.226000000002</v>
      </c>
      <c r="X7" s="1538">
        <f>yrSales!X7</f>
        <v>25878.372000000003</v>
      </c>
      <c r="Y7" s="1538">
        <f>yrSales!Y7</f>
        <v>27422.696</v>
      </c>
      <c r="Z7" s="1538">
        <f>yrSales!Z7</f>
        <v>29078.406999999999</v>
      </c>
      <c r="AA7" s="1538">
        <f>yrSales!AA7</f>
        <v>30944.937999999998</v>
      </c>
      <c r="AB7" s="1561">
        <f>yrSales!AB7</f>
        <v>33183.744000000006</v>
      </c>
      <c r="AC7" s="1561">
        <f>yrSales!AC7</f>
        <v>35864.664000000004</v>
      </c>
      <c r="AD7" s="1561">
        <f>yrSales!AD7</f>
        <v>37841.806575399998</v>
      </c>
      <c r="AE7" s="1561">
        <f>yrSales!AE7</f>
        <v>40349.954267377965</v>
      </c>
      <c r="AF7" s="1561">
        <f>yrSales!AF7</f>
        <v>42916.398280294125</v>
      </c>
      <c r="AG7" s="1561">
        <f>yrSales!AG7</f>
        <v>45594.715622506541</v>
      </c>
      <c r="AH7" s="1561">
        <f>yrSales!AH7</f>
        <v>47688.619280686566</v>
      </c>
      <c r="AI7" s="467"/>
      <c r="AJ7" s="1562">
        <f>((W7/R7)^(1/5)-1)*100</f>
        <v>5.9005054893506159</v>
      </c>
      <c r="AK7" s="1562"/>
      <c r="AL7" s="1563">
        <f>((AC7/X7)^(1/5)-1)*100</f>
        <v>6.7446120051128933</v>
      </c>
      <c r="AM7" s="1563" t="s">
        <v>190</v>
      </c>
      <c r="AN7" s="1563">
        <f>((AH7/AC7)^(1/5)-1)*100</f>
        <v>5.8643161408891142</v>
      </c>
      <c r="AO7" s="1564" t="s">
        <v>190</v>
      </c>
    </row>
    <row r="8" spans="1:41">
      <c r="A8" s="467" t="s">
        <v>166</v>
      </c>
      <c r="B8" s="1547"/>
      <c r="C8" s="1565">
        <f>(C7-B7)/B7</f>
        <v>0.12731009014098563</v>
      </c>
      <c r="D8" s="1565">
        <f>(D7-C7)/C7</f>
        <v>0.18258775834341098</v>
      </c>
      <c r="E8" s="1565">
        <f t="shared" ref="E8:AH8" si="4">(E7-D7)/D7</f>
        <v>-0.1315971838932431</v>
      </c>
      <c r="F8" s="1565">
        <f>(F7-E7)/E7</f>
        <v>7.8918600175843331E-2</v>
      </c>
      <c r="G8" s="1565">
        <f t="shared" si="4"/>
        <v>0.30093930009199565</v>
      </c>
      <c r="H8" s="1565">
        <f t="shared" si="4"/>
        <v>0.68282175484231278</v>
      </c>
      <c r="I8" s="1565">
        <f t="shared" si="4"/>
        <v>0.10459203427507069</v>
      </c>
      <c r="J8" s="1565">
        <f t="shared" si="4"/>
        <v>7.5760829950295455E-2</v>
      </c>
      <c r="K8" s="1565">
        <f t="shared" si="4"/>
        <v>0.10649009148594808</v>
      </c>
      <c r="L8" s="1565">
        <f t="shared" si="4"/>
        <v>8.9099270330096098E-2</v>
      </c>
      <c r="M8" s="1565">
        <f t="shared" si="4"/>
        <v>0.11796547574978032</v>
      </c>
      <c r="N8" s="1565">
        <f t="shared" si="4"/>
        <v>0.11879813592270715</v>
      </c>
      <c r="O8" s="1565">
        <f t="shared" si="4"/>
        <v>0.11240361676415421</v>
      </c>
      <c r="P8" s="1565">
        <f t="shared" si="4"/>
        <v>0.11896401378817939</v>
      </c>
      <c r="Q8" s="1565">
        <f t="shared" si="4"/>
        <v>7.6739417612907798E-2</v>
      </c>
      <c r="R8" s="1565">
        <f>(R7-Q7)/Q7</f>
        <v>8.3865204336672244E-2</v>
      </c>
      <c r="S8" s="1565">
        <f t="shared" si="4"/>
        <v>6.132480671673872E-2</v>
      </c>
      <c r="T8" s="1565">
        <f t="shared" si="4"/>
        <v>2.8558508611938507E-2</v>
      </c>
      <c r="U8" s="1565">
        <f t="shared" si="4"/>
        <v>6.7840662164619675E-2</v>
      </c>
      <c r="V8" s="1565">
        <f t="shared" si="4"/>
        <v>6.7763057630244941E-2</v>
      </c>
      <c r="W8" s="1565">
        <f t="shared" si="4"/>
        <v>7.0117592230270795E-2</v>
      </c>
      <c r="X8" s="1565">
        <f t="shared" si="4"/>
        <v>0.11630229124675087</v>
      </c>
      <c r="Y8" s="1565">
        <f t="shared" si="4"/>
        <v>5.9676242384953608E-2</v>
      </c>
      <c r="Z8" s="1565">
        <f t="shared" si="4"/>
        <v>6.0377396883224001E-2</v>
      </c>
      <c r="AA8" s="1565">
        <f t="shared" si="4"/>
        <v>6.4189589202737249E-2</v>
      </c>
      <c r="AB8" s="1565">
        <f t="shared" si="4"/>
        <v>7.2348052531241394E-2</v>
      </c>
      <c r="AC8" s="1565">
        <f t="shared" si="4"/>
        <v>8.0790160386965307E-2</v>
      </c>
      <c r="AD8" s="1565">
        <f t="shared" si="4"/>
        <v>5.5127871138009085E-2</v>
      </c>
      <c r="AE8" s="1565">
        <f t="shared" si="4"/>
        <v>6.6279808470044096E-2</v>
      </c>
      <c r="AF8" s="1565">
        <f t="shared" si="4"/>
        <v>6.360463250861903E-2</v>
      </c>
      <c r="AG8" s="1565">
        <f t="shared" si="4"/>
        <v>6.2407784658905459E-2</v>
      </c>
      <c r="AH8" s="1565">
        <f t="shared" si="4"/>
        <v>4.5924261827097093E-2</v>
      </c>
      <c r="AI8" s="467"/>
      <c r="AJ8" s="1562"/>
      <c r="AK8" s="1562"/>
      <c r="AL8" s="1563"/>
      <c r="AM8" s="1563"/>
      <c r="AN8" s="1563"/>
      <c r="AO8" s="1564"/>
    </row>
    <row r="9" spans="1:41">
      <c r="A9" s="467"/>
      <c r="B9" s="1547"/>
      <c r="C9" s="1547"/>
      <c r="D9" s="1547"/>
      <c r="E9" s="1547"/>
      <c r="F9" s="1547"/>
      <c r="G9" s="1547"/>
      <c r="H9" s="1547"/>
      <c r="I9" s="1547"/>
      <c r="J9" s="1547"/>
      <c r="K9" s="1547"/>
      <c r="L9" s="1547"/>
      <c r="M9" s="1547"/>
      <c r="N9" s="1547"/>
      <c r="O9" s="1547"/>
      <c r="P9" s="1547"/>
      <c r="Q9" s="1547"/>
      <c r="R9" s="1547"/>
      <c r="S9" s="1547"/>
      <c r="T9" s="1547"/>
      <c r="U9" s="1547"/>
      <c r="V9" s="1547"/>
      <c r="W9" s="1547"/>
      <c r="X9" s="1547"/>
      <c r="Y9" s="1547"/>
      <c r="Z9" s="1547"/>
      <c r="AA9" s="1547"/>
      <c r="AB9" s="1547"/>
      <c r="AC9" s="1547"/>
      <c r="AD9" s="1547"/>
      <c r="AE9" s="1547"/>
      <c r="AF9" s="1547"/>
      <c r="AG9" s="1547"/>
      <c r="AH9" s="1547"/>
      <c r="AI9" s="467"/>
      <c r="AJ9" s="1562"/>
      <c r="AK9" s="1562"/>
      <c r="AL9" s="1563"/>
      <c r="AM9" s="1563"/>
      <c r="AN9" s="1563"/>
      <c r="AO9" s="1564"/>
    </row>
    <row r="10" spans="1:41">
      <c r="A10" s="467" t="s">
        <v>695</v>
      </c>
      <c r="B10" s="1566">
        <f>'qtrP&amp;L'!F25</f>
        <v>1875.5609999999999</v>
      </c>
      <c r="C10" s="1566">
        <f>'qtrP&amp;L'!J25</f>
        <v>2117.5549999999998</v>
      </c>
      <c r="D10" s="1566">
        <f>'qtrP&amp;L'!N25</f>
        <v>2467.9349999999999</v>
      </c>
      <c r="E10" s="1566">
        <f>'qtrP&amp;L'!R25</f>
        <v>2165.27</v>
      </c>
      <c r="F10" s="1566">
        <f>'qtrP&amp;L'!V25</f>
        <v>2370.7150000000001</v>
      </c>
      <c r="G10" s="1566">
        <f>'qtrP&amp;L'!Z25</f>
        <v>3143.2569999999996</v>
      </c>
      <c r="H10" s="1566">
        <f>'qtrP&amp;L'!AD25</f>
        <v>5198.7829999999994</v>
      </c>
      <c r="I10" s="1566">
        <f>'qtrP&amp;L'!AH25</f>
        <v>5676.5410000000002</v>
      </c>
      <c r="J10" s="1566">
        <f>'qtrP&amp;L'!AL25</f>
        <v>5957.6849999999995</v>
      </c>
      <c r="K10" s="1566">
        <f>'qtrP&amp;L'!AP25</f>
        <v>6579.4</v>
      </c>
      <c r="L10" s="1566">
        <f>'qtrP&amp;L'!AT25</f>
        <v>7188.1239999999998</v>
      </c>
      <c r="M10" s="1566">
        <f>'qtrP&amp;L'!AX25</f>
        <v>8122.9220000000005</v>
      </c>
      <c r="N10" s="1566">
        <f>'qtrP&amp;L'!BB25</f>
        <v>9079.5789999999997</v>
      </c>
      <c r="O10" s="1566">
        <f>'qtrP&amp;L'!BF25</f>
        <v>10104.39</v>
      </c>
      <c r="P10" s="1566">
        <f>'qtrP&amp;L'!BJ25</f>
        <v>11401.223666666667</v>
      </c>
      <c r="Q10" s="1566">
        <f>+'qtrP&amp;L'!BN25</f>
        <v>12295.016</v>
      </c>
      <c r="R10" s="1566">
        <f>+'qtrP&amp;L'!BR25</f>
        <v>13213.703000000001</v>
      </c>
      <c r="S10" s="1566">
        <f>+'qtrP&amp;L'!BV25</f>
        <v>13943.291000000001</v>
      </c>
      <c r="T10" s="1566">
        <f>+'qtrP&amp;L'!BZ25</f>
        <v>14429.185000000001</v>
      </c>
      <c r="U10" s="1566">
        <f>'qtrP&amp;L'!CD25</f>
        <v>14968.429</v>
      </c>
      <c r="V10" s="1566">
        <f>'qtrP&amp;L'!$CH$25</f>
        <v>15797.661</v>
      </c>
      <c r="W10" s="1566">
        <f>'qtrP&amp;L'!$CL$25</f>
        <v>16838.249</v>
      </c>
      <c r="X10" s="1566">
        <f>'qtrP&amp;L'!$CP$25</f>
        <v>18521.400000000001</v>
      </c>
      <c r="Y10" s="1566">
        <f>'qtrP&amp;L'!$CT$25</f>
        <v>19605.037</v>
      </c>
      <c r="Z10" s="1566">
        <f>'qtrP&amp;L'!$CX$25</f>
        <v>20776.522000000001</v>
      </c>
      <c r="AA10" s="1566">
        <f>'qtrP&amp;L'!$DB$25</f>
        <v>22034.523000000001</v>
      </c>
      <c r="AB10" s="1566">
        <f>'qtrP&amp;L'!$DF$25</f>
        <v>23565.754000000001</v>
      </c>
      <c r="AC10" s="1566">
        <f>'qtrP&amp;L'!$DJ$25</f>
        <v>25502.167000000001</v>
      </c>
      <c r="AD10" s="1566">
        <f>'qtrP&amp;L'!$DN$25</f>
        <v>26977.9798618186</v>
      </c>
      <c r="AE10" s="1566">
        <f>+AE11+AE13</f>
        <v>28708.992461239421</v>
      </c>
      <c r="AF10" s="1566">
        <f>+AF11+AF13</f>
        <v>30453.476219696713</v>
      </c>
      <c r="AG10" s="1566">
        <f>+AG11+AG13</f>
        <v>32322.093904794881</v>
      </c>
      <c r="AH10" s="1566">
        <f>+AH11+AH13</f>
        <v>33763.54245072609</v>
      </c>
      <c r="AI10" s="467"/>
      <c r="AJ10" s="1562">
        <f>((W10/R10)^(1/5)-1)*100</f>
        <v>4.9674090006614824</v>
      </c>
      <c r="AK10" s="1562"/>
      <c r="AL10" s="1563">
        <f>((AC10/X10)^(1/5)-1)*100</f>
        <v>6.6057561271733567</v>
      </c>
      <c r="AM10" s="1563" t="s">
        <v>190</v>
      </c>
      <c r="AN10" s="1563">
        <f>((AH10/AC10)^(1/5)-1)*100</f>
        <v>5.7728445940000039</v>
      </c>
      <c r="AO10" s="1564" t="s">
        <v>190</v>
      </c>
    </row>
    <row r="11" spans="1:41" outlineLevel="1">
      <c r="A11" s="467" t="s">
        <v>170</v>
      </c>
      <c r="B11" s="1565" t="s">
        <v>181</v>
      </c>
      <c r="C11" s="1567">
        <v>100.7</v>
      </c>
      <c r="D11" s="1567">
        <v>112.4</v>
      </c>
      <c r="E11" s="1567">
        <v>126.3</v>
      </c>
      <c r="F11" s="1567">
        <v>117.4</v>
      </c>
      <c r="G11" s="1567">
        <v>162.5</v>
      </c>
      <c r="H11" s="1567">
        <v>293.5</v>
      </c>
      <c r="I11" s="1567">
        <v>301.89999999999998</v>
      </c>
      <c r="J11" s="1567">
        <v>318.10000000000002</v>
      </c>
      <c r="K11" s="1567">
        <v>352.6</v>
      </c>
      <c r="L11" s="1567">
        <v>390.6</v>
      </c>
      <c r="M11" s="1567">
        <v>446.6</v>
      </c>
      <c r="N11" s="1567">
        <v>524.70000000000005</v>
      </c>
      <c r="O11" s="1567">
        <v>597.79999999999995</v>
      </c>
      <c r="P11" s="1568">
        <v>713.3</v>
      </c>
      <c r="Q11" s="1568">
        <v>774.9</v>
      </c>
      <c r="R11" s="1568">
        <v>837.6</v>
      </c>
      <c r="S11" s="1568">
        <v>896.6</v>
      </c>
      <c r="T11" s="1568">
        <v>936.6</v>
      </c>
      <c r="U11" s="1568">
        <v>962</v>
      </c>
      <c r="V11" s="1568">
        <v>1031.4000000000001</v>
      </c>
      <c r="W11" s="1568">
        <v>1086</v>
      </c>
      <c r="X11" s="1568">
        <v>1171.5999999999999</v>
      </c>
      <c r="Y11" s="1568">
        <v>1238.2</v>
      </c>
      <c r="Z11" s="1568">
        <v>1321.6</v>
      </c>
      <c r="AA11" s="1569">
        <v>1365.6</v>
      </c>
      <c r="AB11" s="1569">
        <v>1435.2</v>
      </c>
      <c r="AC11" s="1570">
        <f t="shared" ref="AC11:AH11" si="5">+AC7*AC12</f>
        <v>1542.180552</v>
      </c>
      <c r="AD11" s="1570">
        <f t="shared" si="5"/>
        <v>1646.1185860298999</v>
      </c>
      <c r="AE11" s="1570">
        <f t="shared" si="5"/>
        <v>1735.0480334972524</v>
      </c>
      <c r="AF11" s="1570">
        <f t="shared" si="5"/>
        <v>1845.4051260526471</v>
      </c>
      <c r="AG11" s="1570">
        <f t="shared" si="5"/>
        <v>1960.5727717677812</v>
      </c>
      <c r="AH11" s="1570">
        <f t="shared" si="5"/>
        <v>2050.610629069522</v>
      </c>
      <c r="AI11" s="467"/>
      <c r="AJ11" s="1562"/>
      <c r="AK11" s="1562"/>
      <c r="AL11" s="1563"/>
      <c r="AM11" s="1563"/>
      <c r="AN11" s="1563"/>
      <c r="AO11" s="1564"/>
    </row>
    <row r="12" spans="1:41" outlineLevel="1">
      <c r="A12" s="467" t="s">
        <v>175</v>
      </c>
      <c r="B12" s="1565" t="s">
        <v>181</v>
      </c>
      <c r="C12" s="1565">
        <f t="shared" ref="C12:N12" si="6">+C11/C7</f>
        <v>3.6515738573420387E-2</v>
      </c>
      <c r="D12" s="1565">
        <f t="shared" si="6"/>
        <v>3.4465418061841509E-2</v>
      </c>
      <c r="E12" s="1565">
        <f t="shared" si="6"/>
        <v>4.4596355316076232E-2</v>
      </c>
      <c r="F12" s="1565">
        <f t="shared" si="6"/>
        <v>3.8421598829417591E-2</v>
      </c>
      <c r="G12" s="1565">
        <f t="shared" si="6"/>
        <v>4.0879320472489475E-2</v>
      </c>
      <c r="H12" s="1565">
        <f t="shared" si="6"/>
        <v>4.3875319348044145E-2</v>
      </c>
      <c r="I12" s="1565">
        <f t="shared" si="6"/>
        <v>4.085765067290615E-2</v>
      </c>
      <c r="J12" s="1565">
        <f t="shared" si="6"/>
        <v>4.0018261712889795E-2</v>
      </c>
      <c r="K12" s="1565">
        <f t="shared" si="6"/>
        <v>4.0089379077368981E-2</v>
      </c>
      <c r="L12" s="1565">
        <f t="shared" si="6"/>
        <v>4.077667348783371E-2</v>
      </c>
      <c r="M12" s="1565">
        <f t="shared" si="6"/>
        <v>4.1703248053646107E-2</v>
      </c>
      <c r="N12" s="1565">
        <f t="shared" si="6"/>
        <v>4.3793584402639911E-2</v>
      </c>
      <c r="O12" s="1565">
        <f t="shared" ref="O12:T12" si="7">+O11/O7</f>
        <v>4.4853149827077526E-2</v>
      </c>
      <c r="P12" s="1565">
        <f t="shared" si="7"/>
        <v>4.7829202608136542E-2</v>
      </c>
      <c r="Q12" s="1565">
        <f t="shared" si="7"/>
        <v>4.8256516170977148E-2</v>
      </c>
      <c r="R12" s="1565">
        <f t="shared" si="7"/>
        <v>4.8125105970322733E-2</v>
      </c>
      <c r="S12" s="1565">
        <f t="shared" si="7"/>
        <v>4.8538399227846418E-2</v>
      </c>
      <c r="T12" s="1565">
        <f t="shared" si="7"/>
        <v>4.9296021133182162E-2</v>
      </c>
      <c r="U12" s="1565">
        <f t="shared" ref="U12:AB12" si="8">U11/U7</f>
        <v>4.7416154733206747E-2</v>
      </c>
      <c r="V12" s="1565">
        <f t="shared" si="8"/>
        <v>4.7610582548298051E-2</v>
      </c>
      <c r="W12" s="1565">
        <f t="shared" si="8"/>
        <v>4.6846234697220185E-2</v>
      </c>
      <c r="X12" s="1565">
        <f t="shared" si="8"/>
        <v>4.5273327085645097E-2</v>
      </c>
      <c r="Y12" s="1565">
        <f t="shared" si="8"/>
        <v>4.5152380349474032E-2</v>
      </c>
      <c r="Z12" s="1565">
        <f t="shared" si="8"/>
        <v>4.5449532362622204E-2</v>
      </c>
      <c r="AA12" s="1565">
        <f t="shared" si="8"/>
        <v>4.4129996317976143E-2</v>
      </c>
      <c r="AB12" s="1565">
        <f t="shared" si="8"/>
        <v>4.3250092575448984E-2</v>
      </c>
      <c r="AC12" s="1571">
        <v>4.2999999999999997E-2</v>
      </c>
      <c r="AD12" s="1571">
        <v>4.3499999999999997E-2</v>
      </c>
      <c r="AE12" s="1571">
        <v>4.2999999999999997E-2</v>
      </c>
      <c r="AF12" s="1571">
        <f>AE12</f>
        <v>4.2999999999999997E-2</v>
      </c>
      <c r="AG12" s="1571">
        <f>AF12</f>
        <v>4.2999999999999997E-2</v>
      </c>
      <c r="AH12" s="1571">
        <f>AG12</f>
        <v>4.2999999999999997E-2</v>
      </c>
      <c r="AI12" s="467"/>
      <c r="AJ12" s="1562"/>
      <c r="AK12" s="1562"/>
      <c r="AL12" s="1563"/>
      <c r="AM12" s="1563"/>
      <c r="AN12" s="1563"/>
      <c r="AO12" s="1564"/>
    </row>
    <row r="13" spans="1:41" outlineLevel="1">
      <c r="A13" s="467" t="s">
        <v>173</v>
      </c>
      <c r="B13" s="1566" t="s">
        <v>181</v>
      </c>
      <c r="C13" s="1566">
        <f t="shared" ref="C13:N13" si="9">+C10-C11</f>
        <v>2016.8549999999998</v>
      </c>
      <c r="D13" s="1566">
        <f t="shared" si="9"/>
        <v>2355.5349999999999</v>
      </c>
      <c r="E13" s="1566">
        <f t="shared" si="9"/>
        <v>2038.97</v>
      </c>
      <c r="F13" s="1566">
        <f t="shared" si="9"/>
        <v>2253.3150000000001</v>
      </c>
      <c r="G13" s="1566">
        <f t="shared" si="9"/>
        <v>2980.7569999999996</v>
      </c>
      <c r="H13" s="1566">
        <f t="shared" si="9"/>
        <v>4905.2829999999994</v>
      </c>
      <c r="I13" s="1566">
        <f t="shared" si="9"/>
        <v>5374.6410000000005</v>
      </c>
      <c r="J13" s="1566">
        <f t="shared" si="9"/>
        <v>5639.5849999999991</v>
      </c>
      <c r="K13" s="1566">
        <f t="shared" si="9"/>
        <v>6226.7999999999993</v>
      </c>
      <c r="L13" s="1566">
        <f t="shared" si="9"/>
        <v>6797.5239999999994</v>
      </c>
      <c r="M13" s="1566">
        <f t="shared" si="9"/>
        <v>7676.3220000000001</v>
      </c>
      <c r="N13" s="1566">
        <f t="shared" si="9"/>
        <v>8554.878999999999</v>
      </c>
      <c r="O13" s="1566">
        <f>+O10-O11</f>
        <v>9506.59</v>
      </c>
      <c r="P13" s="1566">
        <f>+P10-P11</f>
        <v>10687.923666666667</v>
      </c>
      <c r="Q13" s="1566">
        <f>+Q10-Q11</f>
        <v>11520.116</v>
      </c>
      <c r="R13" s="1566">
        <f t="shared" ref="R13:W13" si="10">+R7*(1-R14)</f>
        <v>12376.103000000001</v>
      </c>
      <c r="S13" s="1566">
        <f t="shared" si="10"/>
        <v>13046.691000000001</v>
      </c>
      <c r="T13" s="1566">
        <f t="shared" si="10"/>
        <v>13492.585000000001</v>
      </c>
      <c r="U13" s="1566">
        <f t="shared" si="10"/>
        <v>14006.429</v>
      </c>
      <c r="V13" s="1566">
        <f t="shared" si="10"/>
        <v>14766.261</v>
      </c>
      <c r="W13" s="1566">
        <f t="shared" si="10"/>
        <v>15752.248999999998</v>
      </c>
      <c r="X13" s="1566">
        <f t="shared" ref="X13:AC13" si="11">+X7*(1-X14)</f>
        <v>17349.800000000003</v>
      </c>
      <c r="Y13" s="1566">
        <f t="shared" si="11"/>
        <v>18366.837</v>
      </c>
      <c r="Z13" s="1566">
        <f>+Z7*(1-Z14)</f>
        <v>19454.922000000002</v>
      </c>
      <c r="AA13" s="1566">
        <f>+AA7*(1-AA14)</f>
        <v>20668.923000000003</v>
      </c>
      <c r="AB13" s="1566">
        <f>+AB7*(1-AB14)</f>
        <v>22130.554000000004</v>
      </c>
      <c r="AC13" s="1566">
        <f t="shared" si="11"/>
        <v>23959.986448</v>
      </c>
      <c r="AD13" s="1566">
        <f>+AD7*(1-AD14)</f>
        <v>25331.861275788699</v>
      </c>
      <c r="AE13" s="1566">
        <f>+AE7*(1-AE14)</f>
        <v>26973.944427742168</v>
      </c>
      <c r="AF13" s="1566">
        <f>+AF7*(1-AF14)</f>
        <v>28608.071093644066</v>
      </c>
      <c r="AG13" s="1566">
        <f>+AG7*(1-AG14)</f>
        <v>30361.521133027101</v>
      </c>
      <c r="AH13" s="1566">
        <f>+AH7*(1-AH14)</f>
        <v>31712.931821656566</v>
      </c>
      <c r="AI13" s="467"/>
      <c r="AJ13" s="1562"/>
      <c r="AK13" s="1562"/>
      <c r="AL13" s="1563"/>
      <c r="AM13" s="1563"/>
      <c r="AN13" s="1563"/>
      <c r="AO13" s="1564"/>
    </row>
    <row r="14" spans="1:41" outlineLevel="1">
      <c r="A14" s="467" t="s">
        <v>174</v>
      </c>
      <c r="B14" s="1565" t="s">
        <v>181</v>
      </c>
      <c r="C14" s="1565">
        <f t="shared" ref="C14:P14" si="12">(C$7-C13)/C$7</f>
        <v>0.26864995113708279</v>
      </c>
      <c r="D14" s="1565">
        <f t="shared" si="12"/>
        <v>0.27771798457028612</v>
      </c>
      <c r="E14" s="1565">
        <f t="shared" si="12"/>
        <v>0.28004251307347622</v>
      </c>
      <c r="F14" s="1565">
        <f t="shared" si="12"/>
        <v>0.26255566468220531</v>
      </c>
      <c r="G14" s="1565">
        <f t="shared" si="12"/>
        <v>0.25014571905466892</v>
      </c>
      <c r="H14" s="1565">
        <f t="shared" si="12"/>
        <v>0.26670917166087899</v>
      </c>
      <c r="I14" s="1565">
        <f t="shared" si="12"/>
        <v>0.272622707948728</v>
      </c>
      <c r="J14" s="1565">
        <f t="shared" si="12"/>
        <v>0.2905174835520668</v>
      </c>
      <c r="K14" s="1565">
        <f t="shared" si="12"/>
        <v>0.29203475428541936</v>
      </c>
      <c r="L14" s="1565">
        <f t="shared" si="12"/>
        <v>0.29037271716919272</v>
      </c>
      <c r="M14" s="1565">
        <f t="shared" si="12"/>
        <v>0.28318951969175826</v>
      </c>
      <c r="N14" s="1565">
        <f t="shared" si="12"/>
        <v>0.28597519431890295</v>
      </c>
      <c r="O14" s="1565">
        <f t="shared" si="12"/>
        <v>0.28671712008264144</v>
      </c>
      <c r="P14" s="1565">
        <f t="shared" si="12"/>
        <v>0.28333819358853546</v>
      </c>
      <c r="Q14" s="1565">
        <f>(Q$7-Q13)/Q$7</f>
        <v>0.28259044515997861</v>
      </c>
      <c r="R14" s="1565">
        <f t="shared" ref="R14:Y14" si="13">+R12+R15</f>
        <v>0.28891921158711903</v>
      </c>
      <c r="S14" s="1565">
        <f t="shared" si="13"/>
        <v>0.29370343925903314</v>
      </c>
      <c r="T14" s="1565">
        <f t="shared" si="13"/>
        <v>0.28984544597346074</v>
      </c>
      <c r="U14" s="1565">
        <f t="shared" si="13"/>
        <v>0.30963513022487088</v>
      </c>
      <c r="V14" s="1565">
        <f t="shared" si="13"/>
        <v>0.31837280563291248</v>
      </c>
      <c r="W14" s="1565">
        <f t="shared" si="13"/>
        <v>0.32050317342260415</v>
      </c>
      <c r="X14" s="1565">
        <f t="shared" si="13"/>
        <v>0.32956369898384641</v>
      </c>
      <c r="Y14" s="1565">
        <f t="shared" si="13"/>
        <v>0.3302322645446677</v>
      </c>
      <c r="Z14" s="1565">
        <f>+Z12+Z15</f>
        <v>0.33094952553625095</v>
      </c>
      <c r="AA14" s="1565">
        <f>+AA12+AA15</f>
        <v>0.33207418285989126</v>
      </c>
      <c r="AB14" s="1565">
        <f>+AB12+AB15</f>
        <v>0.33309050359115605</v>
      </c>
      <c r="AC14" s="1580">
        <f>AC12+AC15</f>
        <v>0.33193333560855337</v>
      </c>
      <c r="AD14" s="1580">
        <f>AD12+AD15</f>
        <v>0.33058530846525963</v>
      </c>
      <c r="AE14" s="1572">
        <v>0.33150000000000002</v>
      </c>
      <c r="AF14" s="1572">
        <v>0.33339999999999997</v>
      </c>
      <c r="AG14" s="1572">
        <v>0.33410000000000001</v>
      </c>
      <c r="AH14" s="1572">
        <v>0.33500000000000002</v>
      </c>
      <c r="AI14" s="467"/>
      <c r="AJ14" s="1562"/>
      <c r="AK14" s="1562"/>
      <c r="AL14" s="1563"/>
      <c r="AM14" s="1563"/>
      <c r="AN14" s="1563"/>
      <c r="AO14" s="1564"/>
    </row>
    <row r="15" spans="1:41">
      <c r="A15" s="467" t="s">
        <v>172</v>
      </c>
      <c r="B15" s="1565">
        <f>(B7-B10)/B7</f>
        <v>0.2333004534642206</v>
      </c>
      <c r="C15" s="1565">
        <f>(C7-C10)/C7</f>
        <v>0.2321342125636624</v>
      </c>
      <c r="D15" s="1565">
        <f>(D7-D10)/D7</f>
        <v>0.2432525665084446</v>
      </c>
      <c r="E15" s="1565">
        <f t="shared" ref="E15:M15" si="14">(E7-E10)/E7</f>
        <v>0.23544615775739999</v>
      </c>
      <c r="F15" s="1565">
        <f t="shared" si="14"/>
        <v>0.22413406585278772</v>
      </c>
      <c r="G15" s="1565">
        <f t="shared" si="14"/>
        <v>0.20926639858217944</v>
      </c>
      <c r="H15" s="1565">
        <f t="shared" si="14"/>
        <v>0.22283385231283484</v>
      </c>
      <c r="I15" s="1565">
        <f t="shared" si="14"/>
        <v>0.23176505727582192</v>
      </c>
      <c r="J15" s="1565">
        <f t="shared" si="14"/>
        <v>0.250499221839177</v>
      </c>
      <c r="K15" s="1565">
        <f t="shared" si="14"/>
        <v>0.25194537520805038</v>
      </c>
      <c r="L15" s="1565">
        <f t="shared" si="14"/>
        <v>0.24959604368135899</v>
      </c>
      <c r="M15" s="1565">
        <f t="shared" si="14"/>
        <v>0.24148627163811209</v>
      </c>
      <c r="N15" s="1565">
        <f t="shared" ref="N15:S15" si="15">(N$7-N10)/N$7</f>
        <v>0.24218160991626295</v>
      </c>
      <c r="O15" s="1565">
        <f>(O$7-O10)/O$7</f>
        <v>0.24186397025556397</v>
      </c>
      <c r="P15" s="1565">
        <f t="shared" si="15"/>
        <v>0.23550899098039896</v>
      </c>
      <c r="Q15" s="1565">
        <f>(Q$7-Q10)/Q$7</f>
        <v>0.23433392898900146</v>
      </c>
      <c r="R15" s="1565">
        <f>(R$7-R10)/R$7</f>
        <v>0.24079410561679629</v>
      </c>
      <c r="S15" s="1565">
        <f t="shared" si="15"/>
        <v>0.24516504003118672</v>
      </c>
      <c r="T15" s="1565">
        <f t="shared" ref="T15:Y15" si="16">(T$7-T10)/T$7</f>
        <v>0.24054942484027855</v>
      </c>
      <c r="U15" s="1565">
        <f t="shared" si="16"/>
        <v>0.26221897549166412</v>
      </c>
      <c r="V15" s="1565">
        <f t="shared" si="16"/>
        <v>0.27076222308461445</v>
      </c>
      <c r="W15" s="1565">
        <f t="shared" si="16"/>
        <v>0.27365693872538394</v>
      </c>
      <c r="X15" s="1565">
        <f t="shared" si="16"/>
        <v>0.28429037189820133</v>
      </c>
      <c r="Y15" s="1565">
        <f t="shared" si="16"/>
        <v>0.28507988419519364</v>
      </c>
      <c r="Z15" s="1565">
        <f>(Z$7-Z10)/Z$7</f>
        <v>0.28549999317362873</v>
      </c>
      <c r="AA15" s="1573">
        <f>(AA$7-AA10)/AA$7</f>
        <v>0.28794418654191511</v>
      </c>
      <c r="AB15" s="1565">
        <f>(AB$7-AB10)/AB$7</f>
        <v>0.28984041101570707</v>
      </c>
      <c r="AC15" s="1565">
        <f>(AC$7-AC10)/AC$7</f>
        <v>0.28893333560855339</v>
      </c>
      <c r="AD15" s="1565">
        <f>(AD$7-AD10)/AD$7</f>
        <v>0.28708530846525965</v>
      </c>
      <c r="AE15" s="1565">
        <v>0.28699999999999998</v>
      </c>
      <c r="AF15" s="1565">
        <v>0.28799999999999998</v>
      </c>
      <c r="AG15" s="1565">
        <f>(AG$7-AG10)/AG$7</f>
        <v>0.29110000000000014</v>
      </c>
      <c r="AH15" s="1565">
        <f>(AH$7-AH10)/AH$7</f>
        <v>0.29199999999999998</v>
      </c>
      <c r="AI15" s="467"/>
      <c r="AJ15" s="1562"/>
      <c r="AK15" s="1562"/>
      <c r="AL15" s="1563"/>
      <c r="AM15" s="1563"/>
      <c r="AN15" s="1563"/>
      <c r="AO15" s="1564"/>
    </row>
    <row r="16" spans="1:41" hidden="1" outlineLevel="1">
      <c r="A16" s="467" t="s">
        <v>736</v>
      </c>
      <c r="B16" s="1547"/>
      <c r="C16" s="1547"/>
      <c r="D16" s="1547"/>
      <c r="E16" s="1547"/>
      <c r="F16" s="1547"/>
      <c r="G16" s="1547"/>
      <c r="H16" s="1547"/>
      <c r="I16" s="1547"/>
      <c r="J16" s="1547"/>
      <c r="K16" s="1547"/>
      <c r="L16" s="1547"/>
      <c r="M16" s="1547"/>
      <c r="N16" s="1574">
        <f>N11+173.2</f>
        <v>697.90000000000009</v>
      </c>
      <c r="O16" s="1574">
        <f>O11+197.3</f>
        <v>795.09999999999991</v>
      </c>
      <c r="P16" s="1574">
        <f>P11+235.4</f>
        <v>948.69999999999993</v>
      </c>
      <c r="Q16" s="1574">
        <f>Q11+255.7</f>
        <v>1030.5999999999999</v>
      </c>
      <c r="R16" s="1574">
        <f>R11+276.4</f>
        <v>1114</v>
      </c>
      <c r="S16" s="1574">
        <f>S11+295.9</f>
        <v>1192.5</v>
      </c>
      <c r="T16" s="1574">
        <f>T11+309.1</f>
        <v>1245.7</v>
      </c>
      <c r="U16" s="1574">
        <f>U11+317.5</f>
        <v>1279.5</v>
      </c>
      <c r="V16" s="1574">
        <f>V11+340</f>
        <v>1371.4</v>
      </c>
      <c r="W16" s="1575">
        <f t="shared" ref="W16:AB16" si="17">W11*1.33</f>
        <v>1444.38</v>
      </c>
      <c r="X16" s="1575">
        <f t="shared" si="17"/>
        <v>1558.2280000000001</v>
      </c>
      <c r="Y16" s="1575">
        <f t="shared" si="17"/>
        <v>1646.806</v>
      </c>
      <c r="Z16" s="1575">
        <f t="shared" si="17"/>
        <v>1757.7280000000001</v>
      </c>
      <c r="AA16" s="1575">
        <f t="shared" si="17"/>
        <v>1816.248</v>
      </c>
      <c r="AB16" s="1575">
        <f t="shared" si="17"/>
        <v>1908.8160000000003</v>
      </c>
      <c r="AC16" s="1566"/>
      <c r="AD16" s="1566"/>
      <c r="AE16" s="1566"/>
      <c r="AF16" s="1566"/>
      <c r="AG16" s="1566"/>
      <c r="AH16" s="1566"/>
      <c r="AI16" s="467"/>
      <c r="AJ16" s="1562"/>
      <c r="AK16" s="1562"/>
      <c r="AL16" s="1563"/>
      <c r="AM16" s="1563"/>
      <c r="AN16" s="1563"/>
      <c r="AO16" s="1564"/>
    </row>
    <row r="17" spans="1:43" hidden="1" outlineLevel="1">
      <c r="A17" s="467" t="s">
        <v>737</v>
      </c>
      <c r="B17" s="1547"/>
      <c r="C17" s="1547"/>
      <c r="D17" s="1547"/>
      <c r="E17" s="1547"/>
      <c r="F17" s="1547"/>
      <c r="G17" s="1547"/>
      <c r="H17" s="1547"/>
      <c r="I17" s="1547"/>
      <c r="J17" s="1547"/>
      <c r="K17" s="1547"/>
      <c r="L17" s="1547"/>
      <c r="M17" s="1547"/>
      <c r="N17" s="1565">
        <f>N16/N7</f>
        <v>5.8249556993715257E-2</v>
      </c>
      <c r="O17" s="1565">
        <f t="shared" ref="O17:Z17" si="18">O16/O7</f>
        <v>5.965664005940003E-2</v>
      </c>
      <c r="P17" s="1565">
        <f t="shared" si="18"/>
        <v>6.3613577056412643E-2</v>
      </c>
      <c r="Q17" s="1565">
        <f t="shared" si="18"/>
        <v>6.4180107840765319E-2</v>
      </c>
      <c r="R17" s="1565">
        <f t="shared" si="18"/>
        <v>6.4005931292907742E-2</v>
      </c>
      <c r="S17" s="1565">
        <f t="shared" si="18"/>
        <v>6.4557261966547916E-2</v>
      </c>
      <c r="T17" s="1565">
        <f t="shared" si="18"/>
        <v>6.5564866032036109E-2</v>
      </c>
      <c r="U17" s="1565">
        <f t="shared" si="18"/>
        <v>6.3065457360850341E-2</v>
      </c>
      <c r="V17" s="1565">
        <f t="shared" si="18"/>
        <v>6.3305364462609995E-2</v>
      </c>
      <c r="W17" s="1565">
        <f t="shared" si="18"/>
        <v>6.2305492147302848E-2</v>
      </c>
      <c r="X17" s="1565">
        <f t="shared" si="18"/>
        <v>6.0213525023907991E-2</v>
      </c>
      <c r="Y17" s="1565">
        <f t="shared" si="18"/>
        <v>6.0052665864800459E-2</v>
      </c>
      <c r="Z17" s="1565">
        <f t="shared" si="18"/>
        <v>6.0447878042287531E-2</v>
      </c>
      <c r="AA17" s="1565">
        <f>AA16/AA7</f>
        <v>5.8692895102908274E-2</v>
      </c>
      <c r="AB17" s="1565">
        <f>AB16/AB7</f>
        <v>5.7522623125347158E-2</v>
      </c>
      <c r="AC17" s="1565"/>
      <c r="AD17" s="1565"/>
      <c r="AE17" s="1565"/>
      <c r="AF17" s="1565"/>
      <c r="AG17" s="1565"/>
      <c r="AH17" s="1565"/>
      <c r="AI17" s="467"/>
      <c r="AJ17" s="1562"/>
      <c r="AK17" s="1562"/>
      <c r="AL17" s="1563"/>
      <c r="AM17" s="1563"/>
      <c r="AN17" s="1563"/>
      <c r="AO17" s="1564"/>
    </row>
    <row r="18" spans="1:43" collapsed="1">
      <c r="A18" s="467"/>
      <c r="B18" s="1547"/>
      <c r="C18" s="1547"/>
      <c r="D18" s="1547"/>
      <c r="E18" s="1547"/>
      <c r="F18" s="1547"/>
      <c r="G18" s="1547"/>
      <c r="H18" s="1547"/>
      <c r="I18" s="1547"/>
      <c r="J18" s="1547"/>
      <c r="K18" s="1547"/>
      <c r="L18" s="1547"/>
      <c r="M18" s="1547"/>
      <c r="N18" s="1547"/>
      <c r="O18" s="1547"/>
      <c r="P18" s="1547"/>
      <c r="Q18" s="1547"/>
      <c r="R18" s="1547"/>
      <c r="S18" s="1547"/>
      <c r="T18" s="1547"/>
      <c r="U18" s="1547"/>
      <c r="V18" s="1547"/>
      <c r="W18" s="1547"/>
      <c r="X18" s="1549"/>
      <c r="Y18" s="1549"/>
      <c r="Z18" s="1549"/>
      <c r="AA18" s="1549"/>
      <c r="AB18" s="1549"/>
      <c r="AC18" s="1549"/>
      <c r="AD18" s="1549"/>
      <c r="AE18" s="1549"/>
      <c r="AF18" s="1549"/>
      <c r="AG18" s="1549"/>
      <c r="AH18" s="1549"/>
      <c r="AI18" s="467"/>
      <c r="AJ18" s="1562"/>
      <c r="AK18" s="1562"/>
      <c r="AL18" s="1563"/>
      <c r="AM18" s="1563"/>
      <c r="AN18" s="1563"/>
      <c r="AO18" s="1564"/>
    </row>
    <row r="19" spans="1:43">
      <c r="A19" s="467" t="s">
        <v>520</v>
      </c>
      <c r="B19" s="1566">
        <f>'qtrP&amp;L'!F35</f>
        <v>421.584</v>
      </c>
      <c r="C19" s="1566">
        <f>'qtrP&amp;L'!J35</f>
        <v>491.64699999999999</v>
      </c>
      <c r="D19" s="1566">
        <f>'qtrP&amp;L'!N35</f>
        <v>593.88900000000001</v>
      </c>
      <c r="E19" s="1566">
        <f>'qtrP&amp;L'!R35</f>
        <v>465.95800000000003</v>
      </c>
      <c r="F19" s="1566">
        <f>'qtrP&amp;L'!V35</f>
        <v>517.44900000000007</v>
      </c>
      <c r="G19" s="1566">
        <f>'qtrP&amp;L'!Z35</f>
        <v>704.87599999999998</v>
      </c>
      <c r="H19" s="1566">
        <f>'qtrP&amp;L'!AD35</f>
        <v>1087.1369999999999</v>
      </c>
      <c r="I19" s="1566">
        <f>'qtrP&amp;L'!AH35</f>
        <v>1185.7550000000001</v>
      </c>
      <c r="J19" s="1566">
        <f>'qtrP&amp;L'!AL35</f>
        <v>1285.9879999999998</v>
      </c>
      <c r="K19" s="1566">
        <f>'qtrP&amp;L'!AP35</f>
        <v>1354.665</v>
      </c>
      <c r="L19" s="1566">
        <f>'qtrP&amp;L'!AT35</f>
        <v>1503.0360000000001</v>
      </c>
      <c r="M19" s="1566">
        <f>'qtrP&amp;L'!AX35</f>
        <v>1686.3889999999999</v>
      </c>
      <c r="N19" s="1566">
        <f>'qtrP&amp;L'!BB35</f>
        <v>1938.5310000000002</v>
      </c>
      <c r="O19" s="1566">
        <f>'qtrP&amp;L'!BF35</f>
        <v>2209.558</v>
      </c>
      <c r="P19" s="1566">
        <f>'qtrP&amp;L'!BJ35</f>
        <v>2497.5513333333329</v>
      </c>
      <c r="Q19" s="1566">
        <f>+'qtrP&amp;L'!BN35</f>
        <v>2723.96</v>
      </c>
      <c r="R19" s="1566">
        <f>+'qtrP&amp;L'!BR35</f>
        <v>2923.5600000000004</v>
      </c>
      <c r="S19" s="1566">
        <f>+'qtrP&amp;L'!BV35</f>
        <v>3073.1710000000003</v>
      </c>
      <c r="T19" s="1566">
        <f>+'qtrP&amp;L'!BZ35</f>
        <v>3135.5889999999999</v>
      </c>
      <c r="U19" s="1566">
        <f>'qtrP&amp;L'!CD35</f>
        <v>3328.9439999999995</v>
      </c>
      <c r="V19" s="1566">
        <f>'qtrP&amp;L'!$CH$35</f>
        <v>3533.0529999999999</v>
      </c>
      <c r="W19" s="1566">
        <f>'qtrP&amp;L'!$CL$35</f>
        <v>3828.1439999999998</v>
      </c>
      <c r="X19" s="1566">
        <f>'qtrP&amp;L'!$CP$35</f>
        <v>4250.4459999999999</v>
      </c>
      <c r="Y19" s="1566">
        <f>'qtrP&amp;L'!$CT$35</f>
        <v>4467.0889999999999</v>
      </c>
      <c r="Z19" s="1566">
        <f>'qtrP&amp;L'!$CX$35</f>
        <v>4695.384</v>
      </c>
      <c r="AA19" s="1566">
        <f>'qtrP&amp;L'!$DB$35</f>
        <v>5205.7149999999992</v>
      </c>
      <c r="AB19" s="1566">
        <f>'qtrP&amp;L'!$DF$35</f>
        <v>5768.4669999999996</v>
      </c>
      <c r="AC19" s="1566">
        <f>'qtrP&amp;L'!$DJ$35</f>
        <v>6375.0709999999999</v>
      </c>
      <c r="AD19" s="1566">
        <f>'qtrP&amp;L'!$DN$35</f>
        <v>6753.5546750000003</v>
      </c>
      <c r="AE19" s="1566">
        <f>+AE7*AE23</f>
        <v>7182.2918595932779</v>
      </c>
      <c r="AF19" s="1566">
        <f>+AF7*AF23</f>
        <v>7634.8272540643247</v>
      </c>
      <c r="AG19" s="1566">
        <f>+AG7*AG23</f>
        <v>8102.180966119412</v>
      </c>
      <c r="AH19" s="1566">
        <f>+AH7*AH23</f>
        <v>8479.0365081060718</v>
      </c>
      <c r="AI19" s="467"/>
      <c r="AJ19" s="1562">
        <f>((W19/R19)^(1/5)-1)*100</f>
        <v>5.5395531176227308</v>
      </c>
      <c r="AK19" s="1562"/>
      <c r="AL19" s="1563">
        <f>((AC19/X19)^(1/5)-1)*100</f>
        <v>8.4451427028286563</v>
      </c>
      <c r="AM19" s="1563" t="s">
        <v>190</v>
      </c>
      <c r="AN19" s="1563">
        <f>((AH19/AC19)^(1/5)-1)*100</f>
        <v>5.8698495365655745</v>
      </c>
      <c r="AO19" s="1564" t="s">
        <v>190</v>
      </c>
      <c r="AQ19" s="493"/>
    </row>
    <row r="20" spans="1:43" hidden="1" outlineLevel="1">
      <c r="A20" s="1576" t="s">
        <v>171</v>
      </c>
      <c r="B20" s="1577" t="s">
        <v>642</v>
      </c>
      <c r="C20" s="1577" t="s">
        <v>642</v>
      </c>
      <c r="D20" s="1577" t="s">
        <v>642</v>
      </c>
      <c r="E20" s="1577" t="s">
        <v>642</v>
      </c>
      <c r="F20" s="1577" t="s">
        <v>642</v>
      </c>
      <c r="G20" s="1577" t="s">
        <v>642</v>
      </c>
      <c r="H20" s="1577" t="s">
        <v>642</v>
      </c>
      <c r="I20" s="1577">
        <v>103.8</v>
      </c>
      <c r="J20" s="1578">
        <v>106.4</v>
      </c>
      <c r="K20" s="1578">
        <v>114.7</v>
      </c>
      <c r="L20" s="1578">
        <v>121.8</v>
      </c>
      <c r="M20" s="1578">
        <v>128.5</v>
      </c>
      <c r="N20" s="1578">
        <v>135.30000000000001</v>
      </c>
      <c r="O20" s="1578">
        <v>148.4</v>
      </c>
      <c r="P20" s="1578">
        <v>188</v>
      </c>
      <c r="Q20" s="1578">
        <v>203</v>
      </c>
      <c r="R20" s="1578">
        <v>244.7</v>
      </c>
      <c r="S20" s="1578">
        <v>284.10000000000002</v>
      </c>
      <c r="T20" s="1578">
        <v>254</v>
      </c>
      <c r="U20" s="1578">
        <v>227.5</v>
      </c>
      <c r="V20" s="1578">
        <v>249.8</v>
      </c>
      <c r="W20" s="1578">
        <v>271.60000000000002</v>
      </c>
      <c r="X20" s="1578">
        <v>298.60000000000002</v>
      </c>
      <c r="Y20" s="1578">
        <v>333.5</v>
      </c>
      <c r="Z20" s="1578">
        <v>371.3</v>
      </c>
      <c r="AA20" s="1578">
        <v>382.9</v>
      </c>
      <c r="AB20" s="1578">
        <v>402.6</v>
      </c>
      <c r="AC20" s="1578">
        <f t="shared" ref="AC20:AH20" si="19">+AC7*AC21</f>
        <v>435.12611857179223</v>
      </c>
      <c r="AD20" s="1578">
        <f t="shared" si="19"/>
        <v>459.11369516520006</v>
      </c>
      <c r="AE20" s="1578">
        <f t="shared" si="19"/>
        <v>489.54366294672371</v>
      </c>
      <c r="AF20" s="1578">
        <f t="shared" si="19"/>
        <v>520.68090772537334</v>
      </c>
      <c r="AG20" s="1578">
        <f t="shared" si="19"/>
        <v>553.17544969070184</v>
      </c>
      <c r="AH20" s="1578">
        <f t="shared" si="19"/>
        <v>578.57962387861983</v>
      </c>
      <c r="AI20" s="467"/>
      <c r="AJ20" s="1562"/>
      <c r="AK20" s="1562"/>
      <c r="AL20" s="1563"/>
      <c r="AM20" s="1563"/>
      <c r="AN20" s="1563"/>
      <c r="AO20" s="1564"/>
      <c r="AQ20" s="1579"/>
    </row>
    <row r="21" spans="1:43" hidden="1" outlineLevel="1">
      <c r="A21" s="467" t="s">
        <v>359</v>
      </c>
      <c r="B21" s="1547" t="s">
        <v>642</v>
      </c>
      <c r="C21" s="1547" t="s">
        <v>642</v>
      </c>
      <c r="D21" s="1547" t="s">
        <v>642</v>
      </c>
      <c r="E21" s="1547" t="s">
        <v>642</v>
      </c>
      <c r="F21" s="1547" t="s">
        <v>642</v>
      </c>
      <c r="G21" s="1547" t="s">
        <v>642</v>
      </c>
      <c r="H21" s="1547" t="s">
        <v>642</v>
      </c>
      <c r="I21" s="1565">
        <f t="shared" ref="I21:N21" si="20">+I20/I7</f>
        <v>1.4047777872963426E-2</v>
      </c>
      <c r="J21" s="1565">
        <f t="shared" si="20"/>
        <v>1.3385548715031356E-2</v>
      </c>
      <c r="K21" s="1565">
        <f t="shared" si="20"/>
        <v>1.3040986330613222E-2</v>
      </c>
      <c r="L21" s="1565">
        <f t="shared" si="20"/>
        <v>1.2715306786528791E-2</v>
      </c>
      <c r="M21" s="1565">
        <f t="shared" si="20"/>
        <v>1.1999255205762482E-2</v>
      </c>
      <c r="N21" s="1565">
        <f t="shared" si="20"/>
        <v>1.1292685286215322E-2</v>
      </c>
      <c r="O21" s="1565">
        <f t="shared" ref="O21:AB21" si="21">+O20/O7</f>
        <v>1.1134505577682009E-2</v>
      </c>
      <c r="P21" s="1565">
        <f t="shared" si="21"/>
        <v>1.2606042465063326E-2</v>
      </c>
      <c r="Q21" s="1565">
        <f t="shared" si="21"/>
        <v>1.2641725103508016E-2</v>
      </c>
      <c r="R21" s="1565">
        <f t="shared" si="21"/>
        <v>1.4059471622418782E-2</v>
      </c>
      <c r="S21" s="1565">
        <f t="shared" si="21"/>
        <v>1.5380057127627893E-2</v>
      </c>
      <c r="T21" s="1565">
        <f t="shared" si="21"/>
        <v>1.336876934425397E-2</v>
      </c>
      <c r="U21" s="1565">
        <f t="shared" si="21"/>
        <v>1.121327983555565E-2</v>
      </c>
      <c r="V21" s="1565">
        <f t="shared" si="21"/>
        <v>1.1531048594691538E-2</v>
      </c>
      <c r="W21" s="1565">
        <f t="shared" si="21"/>
        <v>1.1715872323908843E-2</v>
      </c>
      <c r="X21" s="1565">
        <f t="shared" si="21"/>
        <v>1.1538592922305932E-2</v>
      </c>
      <c r="Y21" s="1565">
        <f t="shared" si="21"/>
        <v>1.2161459252584064E-2</v>
      </c>
      <c r="Z21" s="1565">
        <f t="shared" si="21"/>
        <v>1.2768925065255466E-2</v>
      </c>
      <c r="AA21" s="1565">
        <f t="shared" si="21"/>
        <v>1.2373590795366918E-2</v>
      </c>
      <c r="AB21" s="1565">
        <f t="shared" si="21"/>
        <v>1.2132446537678206E-2</v>
      </c>
      <c r="AC21" s="1572">
        <f t="shared" ref="AC21:AH21" si="22">AB21</f>
        <v>1.2132446537678206E-2</v>
      </c>
      <c r="AD21" s="1572">
        <f t="shared" si="22"/>
        <v>1.2132446537678206E-2</v>
      </c>
      <c r="AE21" s="1572">
        <f t="shared" si="22"/>
        <v>1.2132446537678206E-2</v>
      </c>
      <c r="AF21" s="1572">
        <f t="shared" si="22"/>
        <v>1.2132446537678206E-2</v>
      </c>
      <c r="AG21" s="1572">
        <f t="shared" si="22"/>
        <v>1.2132446537678206E-2</v>
      </c>
      <c r="AH21" s="1572">
        <f t="shared" si="22"/>
        <v>1.2132446537678206E-2</v>
      </c>
      <c r="AI21" s="467"/>
      <c r="AJ21" s="1562"/>
      <c r="AK21" s="1562"/>
      <c r="AL21" s="1563"/>
      <c r="AM21" s="1563"/>
      <c r="AN21" s="1563"/>
      <c r="AO21" s="1564"/>
    </row>
    <row r="22" spans="1:43" hidden="1" outlineLevel="1">
      <c r="A22" s="467" t="s">
        <v>182</v>
      </c>
      <c r="B22" s="1566" t="s">
        <v>642</v>
      </c>
      <c r="C22" s="1566" t="s">
        <v>642</v>
      </c>
      <c r="D22" s="1566" t="s">
        <v>642</v>
      </c>
      <c r="E22" s="1566" t="s">
        <v>642</v>
      </c>
      <c r="F22" s="1566" t="s">
        <v>642</v>
      </c>
      <c r="G22" s="1566" t="s">
        <v>642</v>
      </c>
      <c r="H22" s="1566" t="s">
        <v>642</v>
      </c>
      <c r="I22" s="1566">
        <f t="shared" ref="I22:N22" si="23">+I19-I20</f>
        <v>1081.9550000000002</v>
      </c>
      <c r="J22" s="1566">
        <f t="shared" si="23"/>
        <v>1179.5879999999997</v>
      </c>
      <c r="K22" s="1566">
        <f t="shared" si="23"/>
        <v>1239.9649999999999</v>
      </c>
      <c r="L22" s="1566">
        <f t="shared" si="23"/>
        <v>1381.2360000000001</v>
      </c>
      <c r="M22" s="1566">
        <f t="shared" si="23"/>
        <v>1557.8889999999999</v>
      </c>
      <c r="N22" s="1566">
        <f t="shared" si="23"/>
        <v>1803.2310000000002</v>
      </c>
      <c r="O22" s="1566">
        <f t="shared" ref="O22:T22" si="24">+O19-O20</f>
        <v>2061.1579999999999</v>
      </c>
      <c r="P22" s="1566">
        <f t="shared" si="24"/>
        <v>2309.5513333333329</v>
      </c>
      <c r="Q22" s="1566">
        <f t="shared" si="24"/>
        <v>2520.96</v>
      </c>
      <c r="R22" s="1566">
        <f t="shared" si="24"/>
        <v>2678.8600000000006</v>
      </c>
      <c r="S22" s="1566">
        <f t="shared" si="24"/>
        <v>2789.0710000000004</v>
      </c>
      <c r="T22" s="1566">
        <f t="shared" si="24"/>
        <v>2881.5889999999999</v>
      </c>
      <c r="U22" s="1566">
        <f>+U23*U7</f>
        <v>3328.9439999999995</v>
      </c>
      <c r="V22" s="1566">
        <f>+V23*V7</f>
        <v>3533.0529999999999</v>
      </c>
      <c r="W22" s="1566">
        <f>W19-W20</f>
        <v>3556.5439999999999</v>
      </c>
      <c r="X22" s="1566">
        <f t="shared" ref="X22:AE22" si="25">X19-X20</f>
        <v>3951.846</v>
      </c>
      <c r="Y22" s="1566">
        <f t="shared" si="25"/>
        <v>4133.5889999999999</v>
      </c>
      <c r="Z22" s="1566">
        <f t="shared" si="25"/>
        <v>4324.0839999999998</v>
      </c>
      <c r="AA22" s="1566">
        <f t="shared" si="25"/>
        <v>4822.8149999999996</v>
      </c>
      <c r="AB22" s="1566">
        <f t="shared" si="25"/>
        <v>5365.8669999999993</v>
      </c>
      <c r="AC22" s="1566">
        <f t="shared" si="25"/>
        <v>5939.9448814282077</v>
      </c>
      <c r="AD22" s="1566">
        <f t="shared" si="25"/>
        <v>6294.4409798348006</v>
      </c>
      <c r="AE22" s="1566">
        <f t="shared" si="25"/>
        <v>6692.7481966465539</v>
      </c>
      <c r="AF22" s="1566">
        <f>AF19-AF20</f>
        <v>7114.1463463389518</v>
      </c>
      <c r="AG22" s="1566">
        <f>AG19-AG20</f>
        <v>7549.0055164287105</v>
      </c>
      <c r="AH22" s="1566">
        <f>AH19-AH20</f>
        <v>7900.4568842274521</v>
      </c>
      <c r="AI22" s="467"/>
      <c r="AJ22" s="1562">
        <f>((W22/R22)^(1/5)-1)*100</f>
        <v>5.8316662080304837</v>
      </c>
      <c r="AK22" s="1562"/>
      <c r="AL22" s="1563">
        <f>((Z22/U22)^(1/5)-1)*100</f>
        <v>5.370132583899756</v>
      </c>
      <c r="AM22" s="1563" t="s">
        <v>190</v>
      </c>
      <c r="AN22" s="1563">
        <f>((AE22/Z22)^(1/5)-1)*100</f>
        <v>9.1294767182003689</v>
      </c>
      <c r="AO22" s="1564" t="s">
        <v>190</v>
      </c>
    </row>
    <row r="23" spans="1:43" collapsed="1">
      <c r="A23" s="467" t="s">
        <v>463</v>
      </c>
      <c r="B23" s="1565">
        <f t="shared" ref="B23:S23" si="26">B19/B$7</f>
        <v>0.17233684301749719</v>
      </c>
      <c r="C23" s="1565">
        <f>C19/C$7</f>
        <v>0.1782805692393884</v>
      </c>
      <c r="D23" s="1565">
        <f t="shared" si="26"/>
        <v>0.18210527284100528</v>
      </c>
      <c r="E23" s="1565">
        <f t="shared" si="26"/>
        <v>0.16452912533941608</v>
      </c>
      <c r="F23" s="1565">
        <f t="shared" si="26"/>
        <v>0.16934597864295831</v>
      </c>
      <c r="G23" s="1565">
        <f t="shared" si="26"/>
        <v>0.17732216552225533</v>
      </c>
      <c r="H23" s="1565">
        <f t="shared" si="26"/>
        <v>0.16251612623534811</v>
      </c>
      <c r="I23" s="1565">
        <f t="shared" si="26"/>
        <v>0.16047420859109585</v>
      </c>
      <c r="J23" s="1565">
        <f t="shared" si="26"/>
        <v>0.16178247200136972</v>
      </c>
      <c r="K23" s="1565">
        <f t="shared" si="26"/>
        <v>0.15402064296041987</v>
      </c>
      <c r="L23" s="1565">
        <f t="shared" si="26"/>
        <v>0.15690939122493505</v>
      </c>
      <c r="M23" s="1565">
        <f t="shared" si="26"/>
        <v>0.15747402324661933</v>
      </c>
      <c r="N23" s="1565">
        <f t="shared" si="26"/>
        <v>0.16179763858516094</v>
      </c>
      <c r="O23" s="1565">
        <f t="shared" si="26"/>
        <v>0.16578393446908291</v>
      </c>
      <c r="P23" s="1565">
        <f t="shared" si="26"/>
        <v>0.16746935195040172</v>
      </c>
      <c r="Q23" s="1565">
        <f t="shared" si="26"/>
        <v>0.16963326853670785</v>
      </c>
      <c r="R23" s="1565">
        <f t="shared" si="26"/>
        <v>0.16797592503652906</v>
      </c>
      <c r="S23" s="1565">
        <f t="shared" si="26"/>
        <v>0.16636939649056437</v>
      </c>
      <c r="T23" s="1565">
        <f>T19/T$7</f>
        <v>0.16503529960385813</v>
      </c>
      <c r="U23" s="1565">
        <f t="shared" ref="U23:Z23" si="27">U19/U7</f>
        <v>0.16408079397316028</v>
      </c>
      <c r="V23" s="1565">
        <f t="shared" si="27"/>
        <v>0.1630896950785457</v>
      </c>
      <c r="W23" s="1565">
        <f t="shared" si="27"/>
        <v>0.16513271848872491</v>
      </c>
      <c r="X23" s="1565">
        <f t="shared" si="27"/>
        <v>0.16424703996062812</v>
      </c>
      <c r="Y23" s="1565">
        <f t="shared" si="27"/>
        <v>0.16289751379660117</v>
      </c>
      <c r="Z23" s="1565">
        <f t="shared" si="27"/>
        <v>0.1614732196299474</v>
      </c>
      <c r="AA23" s="1565">
        <f>AA19/AA7</f>
        <v>0.16822509064325802</v>
      </c>
      <c r="AB23" s="1565">
        <f>AB19/AB7</f>
        <v>0.173834121912223</v>
      </c>
      <c r="AC23" s="1580">
        <f>AC19/AC7</f>
        <v>0.17775354036496757</v>
      </c>
      <c r="AD23" s="1580">
        <f>AD19/AD7</f>
        <v>0.17846808295326777</v>
      </c>
      <c r="AE23" s="1572">
        <v>0.17799999999999999</v>
      </c>
      <c r="AF23" s="1572">
        <v>0.1779</v>
      </c>
      <c r="AG23" s="1572">
        <v>0.1777</v>
      </c>
      <c r="AH23" s="1572">
        <v>0.17780000000000001</v>
      </c>
      <c r="AI23" s="467"/>
      <c r="AJ23" s="1562"/>
      <c r="AK23" s="1562"/>
      <c r="AL23" s="1563"/>
      <c r="AM23" s="1563"/>
      <c r="AN23" s="1563"/>
      <c r="AO23" s="1564"/>
    </row>
    <row r="24" spans="1:43">
      <c r="A24" s="467"/>
      <c r="B24" s="1547"/>
      <c r="C24" s="1547"/>
      <c r="D24" s="1547"/>
      <c r="E24" s="1547"/>
      <c r="F24" s="1547"/>
      <c r="G24" s="1547"/>
      <c r="H24" s="1547"/>
      <c r="I24" s="1547"/>
      <c r="J24" s="1547"/>
      <c r="K24" s="1547"/>
      <c r="L24" s="1547"/>
      <c r="M24" s="1547"/>
      <c r="N24" s="1547"/>
      <c r="O24" s="1547"/>
      <c r="P24" s="1547"/>
      <c r="Q24" s="1547"/>
      <c r="R24" s="1547"/>
      <c r="S24" s="1547"/>
      <c r="T24" s="1547"/>
      <c r="U24" s="1547"/>
      <c r="V24" s="1547"/>
      <c r="W24" s="1549"/>
      <c r="X24" s="1549"/>
      <c r="Y24" s="1549"/>
      <c r="Z24" s="1549"/>
      <c r="AA24" s="1549"/>
      <c r="AB24" s="1549">
        <f>AB19/AA19-1</f>
        <v>0.10810272940412613</v>
      </c>
      <c r="AC24" s="1549">
        <f t="shared" ref="AC24:AH24" si="28">AC19/AB19-1</f>
        <v>0.10515861493183554</v>
      </c>
      <c r="AD24" s="1549">
        <f t="shared" si="28"/>
        <v>5.936932702396569E-2</v>
      </c>
      <c r="AE24" s="1549">
        <f t="shared" si="28"/>
        <v>6.3483188517057032E-2</v>
      </c>
      <c r="AF24" s="1549">
        <f t="shared" si="28"/>
        <v>6.3007101816198396E-2</v>
      </c>
      <c r="AG24" s="1549">
        <f t="shared" si="28"/>
        <v>6.1213397042650275E-2</v>
      </c>
      <c r="AH24" s="1549">
        <f t="shared" si="28"/>
        <v>4.6512851732458449E-2</v>
      </c>
      <c r="AI24" s="467"/>
      <c r="AJ24" s="1562"/>
      <c r="AK24" s="1562"/>
      <c r="AL24" s="1563"/>
      <c r="AM24" s="1563"/>
      <c r="AN24" s="1563"/>
      <c r="AO24" s="1564"/>
      <c r="AQ24" s="493"/>
    </row>
    <row r="25" spans="1:43" hidden="1" outlineLevel="1">
      <c r="A25" s="467" t="s">
        <v>186</v>
      </c>
      <c r="B25" s="1566"/>
      <c r="C25" s="1566"/>
      <c r="D25" s="1566"/>
      <c r="E25" s="1566"/>
      <c r="F25" s="1566"/>
      <c r="G25" s="1566"/>
      <c r="H25" s="1566"/>
      <c r="I25" s="1566"/>
      <c r="J25" s="1566"/>
      <c r="K25" s="1566"/>
      <c r="L25" s="1566"/>
      <c r="M25" s="1566">
        <f>27.799/(1-M41)</f>
        <v>44.962405705435103</v>
      </c>
      <c r="N25" s="1566">
        <f>39.726/(1-N41)</f>
        <v>64.406632959190077</v>
      </c>
      <c r="O25" s="1566">
        <f>48.953/(1-O41)</f>
        <v>79.262937575892806</v>
      </c>
      <c r="P25" s="1566">
        <f>54.445/(1-P41)</f>
        <v>88.311506489267629</v>
      </c>
      <c r="Q25" s="1566">
        <v>89</v>
      </c>
      <c r="R25" s="1566">
        <f>+'qtrP&amp;L'!BR45</f>
        <v>86.53</v>
      </c>
      <c r="S25" s="1566">
        <f>+'qtrP&amp;L'!BV45</f>
        <v>60</v>
      </c>
      <c r="T25" s="1574">
        <f t="shared" ref="T25:AH25" si="29">+S25*1.05</f>
        <v>63</v>
      </c>
      <c r="U25" s="1574">
        <f t="shared" si="29"/>
        <v>66.150000000000006</v>
      </c>
      <c r="V25" s="1574">
        <f t="shared" si="29"/>
        <v>69.45750000000001</v>
      </c>
      <c r="W25" s="1574">
        <f t="shared" si="29"/>
        <v>72.930375000000012</v>
      </c>
      <c r="X25" s="1574">
        <f t="shared" si="29"/>
        <v>76.576893750000011</v>
      </c>
      <c r="Y25" s="1574">
        <f t="shared" si="29"/>
        <v>80.40573843750002</v>
      </c>
      <c r="Z25" s="1574">
        <f>+Y25*1.05</f>
        <v>84.426025359375018</v>
      </c>
      <c r="AA25" s="1574">
        <f>+Z25*1.05</f>
        <v>88.647326627343773</v>
      </c>
      <c r="AB25" s="1574">
        <f t="shared" si="29"/>
        <v>93.079692958710964</v>
      </c>
      <c r="AC25" s="1574">
        <f t="shared" si="29"/>
        <v>97.733677606646523</v>
      </c>
      <c r="AD25" s="1574">
        <f t="shared" si="29"/>
        <v>102.62036148697885</v>
      </c>
      <c r="AE25" s="1574">
        <f t="shared" si="29"/>
        <v>107.75137956132779</v>
      </c>
      <c r="AF25" s="1574">
        <f t="shared" si="29"/>
        <v>113.13894853939419</v>
      </c>
      <c r="AG25" s="1574">
        <f t="shared" si="29"/>
        <v>118.7958959663639</v>
      </c>
      <c r="AH25" s="1574">
        <f t="shared" si="29"/>
        <v>124.7356907646821</v>
      </c>
      <c r="AI25" s="467"/>
      <c r="AJ25" s="1562">
        <f>((W25/R25)^(1/5)-1)*100</f>
        <v>-3.3619075912006413</v>
      </c>
      <c r="AK25" s="1562"/>
      <c r="AL25" s="1563">
        <f>((Z25/U25)^(1/5)-1)*100</f>
        <v>5.0000000000000044</v>
      </c>
      <c r="AM25" s="1563" t="s">
        <v>190</v>
      </c>
      <c r="AN25" s="1563">
        <f>((AE25/X25)^(1/5)-1)*100</f>
        <v>7.0693136465733275</v>
      </c>
      <c r="AO25" s="1564"/>
    </row>
    <row r="26" spans="1:43" hidden="1" outlineLevel="1">
      <c r="A26" s="467"/>
      <c r="B26" s="1547"/>
      <c r="C26" s="1547"/>
      <c r="D26" s="1547"/>
      <c r="E26" s="1547"/>
      <c r="F26" s="1547"/>
      <c r="G26" s="1547"/>
      <c r="H26" s="1547"/>
      <c r="I26" s="1547"/>
      <c r="J26" s="1547"/>
      <c r="K26" s="1547"/>
      <c r="L26" s="1547"/>
      <c r="M26" s="1565">
        <f t="shared" ref="M26:AC26" si="30">+M25/M7</f>
        <v>4.198563274120987E-3</v>
      </c>
      <c r="N26" s="1565">
        <f t="shared" si="30"/>
        <v>5.3756381105167523E-3</v>
      </c>
      <c r="O26" s="1565">
        <f t="shared" si="30"/>
        <v>5.9471268230609125E-3</v>
      </c>
      <c r="P26" s="1565">
        <f t="shared" si="30"/>
        <v>5.921588302965017E-3</v>
      </c>
      <c r="Q26" s="1565">
        <f t="shared" si="30"/>
        <v>5.5424312030158294E-3</v>
      </c>
      <c r="R26" s="1565">
        <f t="shared" si="30"/>
        <v>4.9716635859742425E-3</v>
      </c>
      <c r="S26" s="1565">
        <f t="shared" si="30"/>
        <v>3.2481641241030395E-3</v>
      </c>
      <c r="T26" s="1565">
        <f t="shared" si="30"/>
        <v>3.3158758609763785E-3</v>
      </c>
      <c r="U26" s="1565">
        <f t="shared" si="30"/>
        <v>3.2604767521846431E-3</v>
      </c>
      <c r="V26" s="1565">
        <f t="shared" si="30"/>
        <v>3.2062362200391816E-3</v>
      </c>
      <c r="W26" s="1565">
        <f t="shared" si="30"/>
        <v>3.1459608322341437E-3</v>
      </c>
      <c r="X26" s="1565">
        <f t="shared" si="30"/>
        <v>2.9591078507566087E-3</v>
      </c>
      <c r="Y26" s="1565">
        <f t="shared" si="30"/>
        <v>2.9320872913990667E-3</v>
      </c>
      <c r="Z26" s="1565">
        <f t="shared" si="30"/>
        <v>2.9033923818239087E-3</v>
      </c>
      <c r="AA26" s="1565">
        <f>+AA25/AA7</f>
        <v>2.8646794066074319E-3</v>
      </c>
      <c r="AB26" s="1565">
        <f t="shared" si="30"/>
        <v>2.8049786352833165E-3</v>
      </c>
      <c r="AC26" s="1565">
        <f t="shared" si="30"/>
        <v>2.7250688200131058E-3</v>
      </c>
      <c r="AD26" s="1565">
        <f>+AD25/AD7</f>
        <v>2.7118251154977825E-3</v>
      </c>
      <c r="AE26" s="1565">
        <f>+AE25/AE7</f>
        <v>2.6704213553085084E-3</v>
      </c>
      <c r="AF26" s="1565">
        <f>+AF25/AF7</f>
        <v>2.6362638309129515E-3</v>
      </c>
      <c r="AG26" s="1565">
        <f>+AG25/AG7</f>
        <v>2.6054750938664406E-3</v>
      </c>
      <c r="AH26" s="1565">
        <f>+AH25/AH7</f>
        <v>2.6156280606597234E-3</v>
      </c>
      <c r="AI26" s="467"/>
      <c r="AJ26" s="1562"/>
      <c r="AK26" s="1562"/>
      <c r="AL26" s="1563"/>
      <c r="AM26" s="1563"/>
      <c r="AN26" s="1563"/>
      <c r="AO26" s="1564"/>
    </row>
    <row r="27" spans="1:43" hidden="1" outlineLevel="1">
      <c r="A27" s="467"/>
      <c r="B27" s="1547"/>
      <c r="C27" s="1547"/>
      <c r="D27" s="1547"/>
      <c r="E27" s="1547"/>
      <c r="F27" s="1547"/>
      <c r="G27" s="1547"/>
      <c r="H27" s="1547"/>
      <c r="I27" s="1547"/>
      <c r="J27" s="1547"/>
      <c r="K27" s="1547"/>
      <c r="L27" s="1547"/>
      <c r="M27" s="1547"/>
      <c r="N27" s="1547"/>
      <c r="O27" s="1547"/>
      <c r="P27" s="1547"/>
      <c r="Q27" s="1547"/>
      <c r="R27" s="1547"/>
      <c r="S27" s="1547"/>
      <c r="T27" s="1547"/>
      <c r="U27" s="1547"/>
      <c r="V27" s="1547"/>
      <c r="W27" s="1547"/>
      <c r="X27" s="1547"/>
      <c r="Y27" s="1547"/>
      <c r="Z27" s="1547"/>
      <c r="AA27" s="1547"/>
      <c r="AB27" s="1547"/>
      <c r="AC27" s="1547"/>
      <c r="AD27" s="1547"/>
      <c r="AE27" s="1547"/>
      <c r="AF27" s="1547"/>
      <c r="AG27" s="1547"/>
      <c r="AH27" s="1547"/>
      <c r="AI27" s="467"/>
      <c r="AJ27" s="1562"/>
      <c r="AK27" s="1562"/>
      <c r="AL27" s="1563"/>
      <c r="AM27" s="1563"/>
      <c r="AN27" s="1563"/>
      <c r="AO27" s="1564"/>
    </row>
    <row r="28" spans="1:43" collapsed="1">
      <c r="A28" s="467" t="s">
        <v>682</v>
      </c>
      <c r="B28" s="1566">
        <f t="shared" ref="B28:N28" si="31">B7-B10-B19</f>
        <v>149.13400000000007</v>
      </c>
      <c r="C28" s="1566">
        <f t="shared" si="31"/>
        <v>148.51300000000032</v>
      </c>
      <c r="D28" s="1566">
        <f t="shared" si="31"/>
        <v>199.41599999999983</v>
      </c>
      <c r="E28" s="1566">
        <f t="shared" si="31"/>
        <v>200.8419999999997</v>
      </c>
      <c r="F28" s="1566">
        <f t="shared" si="31"/>
        <v>167.40900000000011</v>
      </c>
      <c r="G28" s="1566">
        <f t="shared" si="31"/>
        <v>126.9820000000002</v>
      </c>
      <c r="H28" s="1566">
        <f t="shared" si="31"/>
        <v>403.49000000000046</v>
      </c>
      <c r="I28" s="1566">
        <f t="shared" si="31"/>
        <v>526.77300000000014</v>
      </c>
      <c r="J28" s="1566">
        <f t="shared" si="31"/>
        <v>705.19800000000077</v>
      </c>
      <c r="K28" s="1566">
        <f t="shared" si="31"/>
        <v>861.28200000000015</v>
      </c>
      <c r="L28" s="1566">
        <f t="shared" si="31"/>
        <v>887.84599999999955</v>
      </c>
      <c r="M28" s="1566">
        <f t="shared" si="31"/>
        <v>899.68699999999922</v>
      </c>
      <c r="N28" s="1566">
        <f t="shared" si="31"/>
        <v>963.09699999999862</v>
      </c>
      <c r="O28" s="1566">
        <f t="shared" ref="O28:V28" si="32">O7-O10-O19</f>
        <v>1013.9900000000007</v>
      </c>
      <c r="P28" s="1566">
        <f t="shared" si="32"/>
        <v>1014.7080000000005</v>
      </c>
      <c r="Q28" s="1566">
        <f t="shared" si="32"/>
        <v>1038.9590000000017</v>
      </c>
      <c r="R28" s="1566">
        <f t="shared" si="32"/>
        <v>1267.3740000000007</v>
      </c>
      <c r="S28" s="1566">
        <f t="shared" si="32"/>
        <v>1455.5110000000004</v>
      </c>
      <c r="T28" s="1566">
        <f t="shared" si="32"/>
        <v>1434.7309999999961</v>
      </c>
      <c r="U28" s="1566">
        <f t="shared" si="32"/>
        <v>1991.0709999999999</v>
      </c>
      <c r="V28" s="1566">
        <f t="shared" si="32"/>
        <v>2332.5369999999966</v>
      </c>
      <c r="W28" s="1566">
        <f t="shared" ref="W28:AB28" si="33">W7-W10-W19</f>
        <v>2515.8330000000028</v>
      </c>
      <c r="X28" s="1566">
        <f t="shared" si="33"/>
        <v>3106.5260000000017</v>
      </c>
      <c r="Y28" s="1566">
        <f t="shared" si="33"/>
        <v>3350.5699999999997</v>
      </c>
      <c r="Z28" s="1566">
        <f>Z7-Z10-Z19</f>
        <v>3606.5009999999984</v>
      </c>
      <c r="AA28" s="1566">
        <f>AA7-AA10-AA19</f>
        <v>3704.699999999998</v>
      </c>
      <c r="AB28" s="1566">
        <f t="shared" si="33"/>
        <v>3849.5230000000056</v>
      </c>
      <c r="AC28" s="1566">
        <f t="shared" ref="AC28:AH28" si="34">AC7-AC10-AC19</f>
        <v>3987.4260000000031</v>
      </c>
      <c r="AD28" s="1566">
        <f t="shared" si="34"/>
        <v>4110.2720385813982</v>
      </c>
      <c r="AE28" s="1566">
        <f t="shared" si="34"/>
        <v>4458.6699465452666</v>
      </c>
      <c r="AF28" s="1566">
        <f t="shared" si="34"/>
        <v>4828.0948065330867</v>
      </c>
      <c r="AG28" s="1566">
        <f t="shared" si="34"/>
        <v>5170.4407515922476</v>
      </c>
      <c r="AH28" s="1566">
        <f t="shared" si="34"/>
        <v>5446.0403218544034</v>
      </c>
      <c r="AI28" s="467"/>
      <c r="AJ28" s="1562">
        <f>((W28/R28)^(1/5)-1)*100</f>
        <v>14.69788328706294</v>
      </c>
      <c r="AK28" s="1562"/>
      <c r="AL28" s="1563">
        <f>((AC28/X28)^(1/5)-1)*100</f>
        <v>5.1195586266378879</v>
      </c>
      <c r="AM28" s="1563" t="s">
        <v>190</v>
      </c>
      <c r="AN28" s="1563">
        <f>((AH28/AC28)^(1/5)-1)*100</f>
        <v>6.4333282861781527</v>
      </c>
      <c r="AO28" s="1564" t="s">
        <v>190</v>
      </c>
    </row>
    <row r="29" spans="1:43">
      <c r="A29" s="467" t="s">
        <v>258</v>
      </c>
      <c r="B29" s="1565">
        <f t="shared" ref="B29:N29" si="35">B28/B$7</f>
        <v>6.0963610446723403E-2</v>
      </c>
      <c r="C29" s="1565">
        <f>C28/C$7</f>
        <v>5.385364332427401E-2</v>
      </c>
      <c r="D29" s="1565">
        <f t="shared" si="35"/>
        <v>6.1147293667439331E-2</v>
      </c>
      <c r="E29" s="1565">
        <f t="shared" si="35"/>
        <v>7.0917032417983916E-2</v>
      </c>
      <c r="F29" s="1565">
        <f t="shared" si="35"/>
        <v>5.478808720982941E-2</v>
      </c>
      <c r="G29" s="1565">
        <f t="shared" si="35"/>
        <v>3.1944233059924103E-2</v>
      </c>
      <c r="H29" s="1565">
        <f t="shared" si="35"/>
        <v>6.0317726077486727E-2</v>
      </c>
      <c r="I29" s="1565">
        <f t="shared" si="35"/>
        <v>7.1290848684726058E-2</v>
      </c>
      <c r="J29" s="1565">
        <f t="shared" si="35"/>
        <v>8.8716749837807252E-2</v>
      </c>
      <c r="K29" s="1565">
        <f t="shared" si="35"/>
        <v>9.79247322476305E-2</v>
      </c>
      <c r="L29" s="1565">
        <f t="shared" si="35"/>
        <v>9.2686652456423935E-2</v>
      </c>
      <c r="M29" s="1565">
        <f t="shared" si="35"/>
        <v>8.4012248391492766E-2</v>
      </c>
      <c r="N29" s="1565">
        <f t="shared" si="35"/>
        <v>8.0383971331102005E-2</v>
      </c>
      <c r="O29" s="1565">
        <f t="shared" ref="O29:AC29" si="36">O28/O$7</f>
        <v>7.6080035786481051E-2</v>
      </c>
      <c r="P29" s="1565">
        <f t="shared" si="36"/>
        <v>6.8039639029997254E-2</v>
      </c>
      <c r="Q29" s="1565">
        <f t="shared" si="36"/>
        <v>6.4700660452293626E-2</v>
      </c>
      <c r="R29" s="1565">
        <f t="shared" si="36"/>
        <v>7.2818180580267233E-2</v>
      </c>
      <c r="S29" s="1565">
        <f t="shared" si="36"/>
        <v>7.8795643540622337E-2</v>
      </c>
      <c r="T29" s="1565">
        <f t="shared" si="36"/>
        <v>7.551412523642044E-2</v>
      </c>
      <c r="U29" s="1565">
        <f t="shared" si="36"/>
        <v>9.8138181518503828E-2</v>
      </c>
      <c r="V29" s="1565">
        <f t="shared" si="36"/>
        <v>0.10767252800606876</v>
      </c>
      <c r="W29" s="1565">
        <f t="shared" si="36"/>
        <v>0.108524220236659</v>
      </c>
      <c r="X29" s="1565">
        <f t="shared" si="36"/>
        <v>0.12004333193757324</v>
      </c>
      <c r="Y29" s="1565">
        <f t="shared" si="36"/>
        <v>0.12218237039859245</v>
      </c>
      <c r="Z29" s="1565">
        <f t="shared" si="36"/>
        <v>0.12402677354368134</v>
      </c>
      <c r="AA29" s="1565">
        <f>AA28/AA$7</f>
        <v>0.1197190958986571</v>
      </c>
      <c r="AB29" s="1565">
        <f>AB28/AB$7</f>
        <v>0.11600628910348407</v>
      </c>
      <c r="AC29" s="1565">
        <f t="shared" si="36"/>
        <v>0.11117979524358579</v>
      </c>
      <c r="AD29" s="1565">
        <f>AD28/AD$7</f>
        <v>0.10861722551199186</v>
      </c>
      <c r="AE29" s="1565">
        <f>AE28/AE$7</f>
        <v>0.11050000000000004</v>
      </c>
      <c r="AF29" s="1565">
        <f>AF28/AF$7</f>
        <v>0.11249999999999995</v>
      </c>
      <c r="AG29" s="1565">
        <f>AG28/AG$7</f>
        <v>0.11340000000000013</v>
      </c>
      <c r="AH29" s="1565">
        <f>AH28/AH$7</f>
        <v>0.11419999999999995</v>
      </c>
      <c r="AI29" s="467"/>
      <c r="AJ29" s="1562">
        <f>((W29/R29)^(1/5)-1)*100</f>
        <v>8.3072103924914487</v>
      </c>
      <c r="AK29" s="1562"/>
      <c r="AL29" s="1563">
        <f>((AC29/X29)^(1/5)-1)*100</f>
        <v>-1.5223750856831697</v>
      </c>
      <c r="AM29" s="1563" t="s">
        <v>190</v>
      </c>
      <c r="AN29" s="1563">
        <f>((AH29/AC29)^(1/5)-1)*100</f>
        <v>0.5374919198757766</v>
      </c>
      <c r="AO29" s="1564" t="s">
        <v>190</v>
      </c>
    </row>
    <row r="30" spans="1:43">
      <c r="A30" s="467"/>
      <c r="B30" s="1547"/>
      <c r="C30" s="1547"/>
      <c r="D30" s="1547"/>
      <c r="E30" s="1547"/>
      <c r="F30" s="1547"/>
      <c r="G30" s="1547"/>
      <c r="H30" s="1547"/>
      <c r="I30" s="1547"/>
      <c r="J30" s="1547"/>
      <c r="K30" s="1547"/>
      <c r="L30" s="1547"/>
      <c r="M30" s="1547"/>
      <c r="N30" s="1547"/>
      <c r="O30" s="1547"/>
      <c r="P30" s="1547"/>
      <c r="Q30" s="1547"/>
      <c r="R30" s="1547"/>
      <c r="S30" s="1547"/>
      <c r="T30" s="1547"/>
      <c r="U30" s="1547"/>
      <c r="V30" s="1547"/>
      <c r="W30" s="1547"/>
      <c r="X30" s="1547"/>
      <c r="Y30" s="1547"/>
      <c r="Z30" s="1547"/>
      <c r="AA30" s="1547"/>
      <c r="AB30" s="1547"/>
      <c r="AC30" s="1547"/>
      <c r="AD30" s="1547"/>
      <c r="AE30" s="1547"/>
      <c r="AF30" s="1547"/>
      <c r="AG30" s="1547"/>
      <c r="AH30" s="1547"/>
      <c r="AI30" s="467"/>
      <c r="AJ30" s="1562"/>
      <c r="AK30" s="1562"/>
      <c r="AL30" s="1563"/>
      <c r="AM30" s="1563"/>
      <c r="AN30" s="1563"/>
      <c r="AO30" s="1564"/>
    </row>
    <row r="31" spans="1:43" outlineLevel="1">
      <c r="A31" s="467" t="s">
        <v>297</v>
      </c>
      <c r="B31" s="1547"/>
      <c r="C31" s="1547"/>
      <c r="D31" s="1547"/>
      <c r="E31" s="1547"/>
      <c r="F31" s="1547"/>
      <c r="G31" s="1547"/>
      <c r="H31" s="1547"/>
      <c r="I31" s="1547"/>
      <c r="J31" s="1547"/>
      <c r="K31" s="1547"/>
      <c r="L31" s="1547"/>
      <c r="M31" s="1547"/>
      <c r="N31" s="1547"/>
      <c r="O31" s="1547"/>
      <c r="P31" s="1547"/>
      <c r="Q31" s="1547"/>
      <c r="R31" s="1566">
        <f>'qtrP&amp;L'!BR76</f>
        <v>4.96</v>
      </c>
      <c r="S31" s="1566">
        <f>'qtrP&amp;L'!BV76</f>
        <v>197.02199999999999</v>
      </c>
      <c r="T31" s="1566">
        <f>'qtrP&amp;L'!BZ76</f>
        <v>-30.5</v>
      </c>
      <c r="U31" s="1566"/>
      <c r="V31" s="1566">
        <f>'qtrP&amp;L'!CH76</f>
        <v>77.213000000000008</v>
      </c>
      <c r="W31" s="1547"/>
      <c r="X31" s="1547"/>
      <c r="Y31" s="1547"/>
      <c r="Z31" s="1547"/>
      <c r="AA31" s="1547"/>
      <c r="AB31" s="1547"/>
      <c r="AC31" s="1547">
        <f>'qtrP&amp;L'!DJ76</f>
        <v>99.25</v>
      </c>
      <c r="AD31" s="1547"/>
      <c r="AE31" s="1547"/>
      <c r="AF31" s="1547"/>
      <c r="AG31" s="1547"/>
      <c r="AH31" s="1547"/>
      <c r="AI31" s="467"/>
      <c r="AJ31" s="1562"/>
      <c r="AK31" s="1562"/>
      <c r="AL31" s="1563"/>
      <c r="AM31" s="1563"/>
      <c r="AN31" s="1563"/>
      <c r="AO31" s="1564"/>
    </row>
    <row r="32" spans="1:43" outlineLevel="1">
      <c r="A32" s="467" t="s">
        <v>298</v>
      </c>
      <c r="B32" s="1547"/>
      <c r="C32" s="1547"/>
      <c r="D32" s="1547"/>
      <c r="E32" s="1547"/>
      <c r="F32" s="1547"/>
      <c r="G32" s="1547"/>
      <c r="H32" s="1547"/>
      <c r="I32" s="1547"/>
      <c r="J32" s="1547"/>
      <c r="K32" s="1547"/>
      <c r="L32" s="1547"/>
      <c r="M32" s="1547"/>
      <c r="N32" s="1547"/>
      <c r="O32" s="1547"/>
      <c r="P32" s="1547"/>
      <c r="Q32" s="1547"/>
      <c r="R32" s="1565">
        <f>R31/R7</f>
        <v>2.8498152532569333E-4</v>
      </c>
      <c r="S32" s="1565">
        <f>S31/S7</f>
        <v>1.066599653431715E-2</v>
      </c>
      <c r="T32" s="1565"/>
      <c r="U32" s="1565"/>
      <c r="V32" s="1565">
        <f>V31/V7</f>
        <v>3.5642388116169646E-3</v>
      </c>
      <c r="W32" s="1565"/>
      <c r="X32" s="1565"/>
      <c r="Y32" s="1565"/>
      <c r="Z32" s="1547"/>
      <c r="AA32" s="1547"/>
      <c r="AB32" s="1547"/>
      <c r="AC32" s="1547"/>
      <c r="AD32" s="1547"/>
      <c r="AE32" s="1547"/>
      <c r="AF32" s="1547"/>
      <c r="AG32" s="1547"/>
      <c r="AH32" s="1547"/>
      <c r="AI32" s="467"/>
      <c r="AJ32" s="1562"/>
      <c r="AK32" s="1562"/>
      <c r="AL32" s="1563"/>
      <c r="AM32" s="1563"/>
      <c r="AN32" s="1563"/>
      <c r="AO32" s="1564"/>
    </row>
    <row r="33" spans="1:48" outlineLevel="1">
      <c r="A33" s="467"/>
      <c r="B33" s="1547"/>
      <c r="C33" s="1547"/>
      <c r="D33" s="1547"/>
      <c r="E33" s="1547"/>
      <c r="F33" s="1547"/>
      <c r="G33" s="1547"/>
      <c r="H33" s="1547"/>
      <c r="I33" s="1547"/>
      <c r="J33" s="1547"/>
      <c r="K33" s="1547"/>
      <c r="L33" s="1547"/>
      <c r="M33" s="1547"/>
      <c r="N33" s="1547"/>
      <c r="O33" s="1547"/>
      <c r="P33" s="1547"/>
      <c r="Q33" s="1547"/>
      <c r="R33" s="1547"/>
      <c r="S33" s="1547"/>
      <c r="T33" s="1547"/>
      <c r="U33" s="1547"/>
      <c r="V33" s="1547"/>
      <c r="W33" s="1547"/>
      <c r="X33" s="1547"/>
      <c r="Y33" s="1547"/>
      <c r="Z33" s="1547"/>
      <c r="AA33" s="1547"/>
      <c r="AB33" s="1547"/>
      <c r="AC33" s="1547"/>
      <c r="AD33" s="1547"/>
      <c r="AE33" s="1547"/>
      <c r="AF33" s="1547"/>
      <c r="AG33" s="1547"/>
      <c r="AH33" s="1547"/>
      <c r="AI33" s="467"/>
      <c r="AJ33" s="1562"/>
      <c r="AK33" s="1562"/>
      <c r="AL33" s="1563"/>
      <c r="AM33" s="1563"/>
      <c r="AN33" s="1563"/>
      <c r="AO33" s="1564"/>
    </row>
    <row r="34" spans="1:48">
      <c r="A34" s="467" t="s">
        <v>683</v>
      </c>
      <c r="B34" s="1566">
        <f>'qtrP&amp;L'!F85</f>
        <v>25.599</v>
      </c>
      <c r="C34" s="1566">
        <f>'qtrP&amp;L'!J85</f>
        <v>27.289000000000001</v>
      </c>
      <c r="D34" s="1566">
        <f>'qtrP&amp;L'!N85</f>
        <v>26.297999999999998</v>
      </c>
      <c r="E34" s="1566">
        <f>'qtrP&amp;L'!R85</f>
        <v>15.666</v>
      </c>
      <c r="F34" s="1566">
        <f>'qtrP&amp;L'!V85</f>
        <v>22.170999999999999</v>
      </c>
      <c r="G34" s="1566">
        <f>'qtrP&amp;L'!Z85</f>
        <v>38.186</v>
      </c>
      <c r="H34" s="1566">
        <f>'qtrP&amp;L'!AD85</f>
        <v>37.35</v>
      </c>
      <c r="I34" s="1566">
        <f>'qtrP&amp;L'!AH85</f>
        <v>4.5020000000000007</v>
      </c>
      <c r="J34" s="1566">
        <f>'qtrP&amp;L'!AL85</f>
        <v>1.6859999999999997</v>
      </c>
      <c r="K34" s="1566">
        <f>'qtrP&amp;L'!AP85</f>
        <v>7.3449999999999998</v>
      </c>
      <c r="L34" s="1566">
        <f>'qtrP&amp;L'!AT85</f>
        <v>22.904</v>
      </c>
      <c r="M34" s="1566">
        <f>'qtrP&amp;L'!AX85</f>
        <v>25.643000000000001</v>
      </c>
      <c r="N34" s="1566">
        <f>'qtrP&amp;L'!BB85</f>
        <v>25.372999999999998</v>
      </c>
      <c r="O34" s="1566">
        <f>'qtrP&amp;L'!BF85</f>
        <v>27.251999999999999</v>
      </c>
      <c r="P34" s="1566">
        <f>'qtrP&amp;L'!BJ85</f>
        <v>25.757000000000001</v>
      </c>
      <c r="Q34" s="1566">
        <f>+'qtrP&amp;L'!BN85</f>
        <v>29.631999999999998</v>
      </c>
      <c r="R34" s="1566">
        <f>+'qtrP&amp;L'!BR85</f>
        <v>15.565999999999999</v>
      </c>
      <c r="S34" s="1566">
        <f>+'qtrP&amp;L'!BV85</f>
        <v>-1.5980000000000001</v>
      </c>
      <c r="T34" s="1566">
        <f>+'qtrP&amp;L'!BZ85</f>
        <v>14.291</v>
      </c>
      <c r="U34" s="1566">
        <f>'qtrP&amp;L'!CD85</f>
        <v>39.509</v>
      </c>
      <c r="V34" s="1566">
        <f>'qtrP&amp;L'!CH85</f>
        <v>39.137</v>
      </c>
      <c r="W34" s="1566">
        <f>'qtrP&amp;L'!CL85</f>
        <v>35.647999999999996</v>
      </c>
      <c r="X34" s="1566">
        <f>+'qtrP&amp;L'!CP85</f>
        <v>29.174999999999997</v>
      </c>
      <c r="Y34" s="1566">
        <f>+'qtrP&amp;L'!CT85</f>
        <v>31.081000000000003</v>
      </c>
      <c r="Z34" s="1566">
        <f>+'qtrP&amp;L'!$CX85</f>
        <v>39.786999999999999</v>
      </c>
      <c r="AA34" s="1566">
        <f>+'qtrP&amp;L'!$DB85</f>
        <v>46.400000000000006</v>
      </c>
      <c r="AB34" s="1566">
        <f>'qtrP&amp;L'!$DF$85</f>
        <v>43.534000000000006</v>
      </c>
      <c r="AC34" s="1581">
        <f>'qtrP&amp;L'!DJ85</f>
        <v>31.588000000000001</v>
      </c>
      <c r="AD34" s="1581">
        <f>'qtrP&amp;L'!DN85</f>
        <v>26</v>
      </c>
      <c r="AE34" s="1574">
        <f>AD34</f>
        <v>26</v>
      </c>
      <c r="AF34" s="1574">
        <f>AE34</f>
        <v>26</v>
      </c>
      <c r="AG34" s="1574">
        <f>AF34</f>
        <v>26</v>
      </c>
      <c r="AH34" s="1574">
        <f>AG34</f>
        <v>26</v>
      </c>
      <c r="AI34" s="467"/>
      <c r="AJ34" s="1562"/>
      <c r="AK34" s="1562"/>
      <c r="AL34" s="1563"/>
      <c r="AM34" s="1563"/>
      <c r="AN34" s="1563"/>
      <c r="AO34" s="1564"/>
    </row>
    <row r="35" spans="1:48">
      <c r="A35" s="467" t="s">
        <v>509</v>
      </c>
      <c r="B35" s="1565">
        <f t="shared" ref="B35:N35" si="37">B34/B$7</f>
        <v>1.046446460113503E-2</v>
      </c>
      <c r="C35" s="1565">
        <f>C34/C$7</f>
        <v>9.8955113200602674E-3</v>
      </c>
      <c r="D35" s="1565">
        <f t="shared" si="37"/>
        <v>8.0638039518710677E-3</v>
      </c>
      <c r="E35" s="1565">
        <f t="shared" si="37"/>
        <v>5.531642932554634E-3</v>
      </c>
      <c r="F35" s="1565">
        <f t="shared" si="37"/>
        <v>7.2559222116440995E-3</v>
      </c>
      <c r="G35" s="1565">
        <f t="shared" si="37"/>
        <v>9.6062629634614347E-3</v>
      </c>
      <c r="H35" s="1565">
        <f t="shared" si="37"/>
        <v>5.5834520533200992E-3</v>
      </c>
      <c r="I35" s="1565">
        <f t="shared" si="37"/>
        <v>6.0927838134953137E-4</v>
      </c>
      <c r="J35" s="1565">
        <f t="shared" si="37"/>
        <v>2.1210559336036524E-4</v>
      </c>
      <c r="K35" s="1565">
        <f t="shared" si="37"/>
        <v>8.3510065037797822E-4</v>
      </c>
      <c r="L35" s="1565">
        <f t="shared" si="37"/>
        <v>2.3910622876736898E-3</v>
      </c>
      <c r="M35" s="1565">
        <f t="shared" si="37"/>
        <v>2.3945284143297068E-3</v>
      </c>
      <c r="N35" s="1565">
        <f t="shared" si="37"/>
        <v>2.1177332133565509E-3</v>
      </c>
      <c r="O35" s="1565">
        <f t="shared" ref="O35:AC35" si="38">O34/O$7</f>
        <v>2.044727398941982E-3</v>
      </c>
      <c r="P35" s="1565">
        <f t="shared" si="38"/>
        <v>1.7270948711310429E-3</v>
      </c>
      <c r="Q35" s="1565">
        <f t="shared" si="38"/>
        <v>1.8453182180647757E-3</v>
      </c>
      <c r="R35" s="1565">
        <f t="shared" si="38"/>
        <v>8.9435935952010927E-4</v>
      </c>
      <c r="S35" s="1565">
        <f t="shared" si="38"/>
        <v>-8.6509437838610956E-5</v>
      </c>
      <c r="T35" s="1565">
        <f t="shared" si="38"/>
        <v>7.5217749093989565E-4</v>
      </c>
      <c r="U35" s="1565">
        <f t="shared" si="38"/>
        <v>1.9473647165844754E-3</v>
      </c>
      <c r="V35" s="1565">
        <f t="shared" si="38"/>
        <v>1.8066078817071366E-3</v>
      </c>
      <c r="W35" s="1565">
        <f t="shared" si="38"/>
        <v>1.5377298107610543E-3</v>
      </c>
      <c r="X35" s="1565">
        <f t="shared" si="38"/>
        <v>1.1273893118160599E-3</v>
      </c>
      <c r="Y35" s="1565">
        <f t="shared" si="38"/>
        <v>1.1334042429672123E-3</v>
      </c>
      <c r="Z35" s="1565">
        <f t="shared" si="38"/>
        <v>1.3682661502055461E-3</v>
      </c>
      <c r="AA35" s="1565">
        <f>AA34/AA$7</f>
        <v>1.4994374847349834E-3</v>
      </c>
      <c r="AB35" s="1565">
        <f t="shared" si="38"/>
        <v>1.3119074206936986E-3</v>
      </c>
      <c r="AC35" s="1565">
        <f t="shared" si="38"/>
        <v>8.8075549794639082E-4</v>
      </c>
      <c r="AD35" s="1565">
        <f>AD34/AD$7</f>
        <v>6.8707079161759528E-4</v>
      </c>
      <c r="AE35" s="1565">
        <f>AE34/AE$7</f>
        <v>6.4436256427235702E-4</v>
      </c>
      <c r="AF35" s="1565">
        <f>AF34/AF$7</f>
        <v>6.0582903136907444E-4</v>
      </c>
      <c r="AG35" s="1565">
        <f>AG34/AG$7</f>
        <v>5.7024152130396959E-4</v>
      </c>
      <c r="AH35" s="1565">
        <f>AH34/AH$7</f>
        <v>5.4520345508366917E-4</v>
      </c>
      <c r="AI35" s="467"/>
      <c r="AJ35" s="1562"/>
      <c r="AK35" s="1562"/>
      <c r="AL35" s="1563"/>
      <c r="AM35" s="1563"/>
      <c r="AN35" s="1563"/>
      <c r="AO35" s="1564"/>
    </row>
    <row r="36" spans="1:48">
      <c r="A36" s="467"/>
      <c r="B36" s="1547"/>
      <c r="C36" s="1547"/>
      <c r="D36" s="1547"/>
      <c r="E36" s="1547"/>
      <c r="F36" s="1547"/>
      <c r="G36" s="1547"/>
      <c r="H36" s="1547"/>
      <c r="I36" s="1547"/>
      <c r="J36" s="1547"/>
      <c r="K36" s="1547"/>
      <c r="L36" s="1547"/>
      <c r="M36" s="1547"/>
      <c r="N36" s="1547"/>
      <c r="O36" s="1547"/>
      <c r="P36" s="1547"/>
      <c r="Q36" s="1547"/>
      <c r="R36" s="1547"/>
      <c r="S36" s="1547"/>
      <c r="T36" s="1547"/>
      <c r="U36" s="1547"/>
      <c r="V36" s="1547"/>
      <c r="W36" s="1547"/>
      <c r="X36" s="1547"/>
      <c r="Y36" s="1547"/>
      <c r="Z36" s="1547"/>
      <c r="AA36" s="1547"/>
      <c r="AB36" s="1547"/>
      <c r="AC36" s="1547"/>
      <c r="AD36" s="1547"/>
      <c r="AE36" s="1547"/>
      <c r="AF36" s="1547"/>
      <c r="AG36" s="1547"/>
      <c r="AH36" s="1547"/>
      <c r="AI36" s="467"/>
      <c r="AJ36" s="1562"/>
      <c r="AK36" s="1562"/>
      <c r="AL36" s="1563"/>
      <c r="AM36" s="1563"/>
      <c r="AN36" s="1563"/>
      <c r="AO36" s="1564"/>
    </row>
    <row r="37" spans="1:48">
      <c r="A37" s="467" t="s">
        <v>684</v>
      </c>
      <c r="B37" s="1566">
        <f>B28-B34</f>
        <v>123.53500000000007</v>
      </c>
      <c r="C37" s="1566">
        <f t="shared" ref="C37:Q37" si="39">C28-C34</f>
        <v>121.22400000000032</v>
      </c>
      <c r="D37" s="1566">
        <f t="shared" si="39"/>
        <v>173.11799999999982</v>
      </c>
      <c r="E37" s="1566">
        <f t="shared" si="39"/>
        <v>185.1759999999997</v>
      </c>
      <c r="F37" s="1566">
        <f t="shared" si="39"/>
        <v>145.23800000000011</v>
      </c>
      <c r="G37" s="1566">
        <f t="shared" si="39"/>
        <v>88.796000000000191</v>
      </c>
      <c r="H37" s="1566">
        <f t="shared" si="39"/>
        <v>366.14000000000044</v>
      </c>
      <c r="I37" s="1566">
        <f t="shared" si="39"/>
        <v>522.27100000000019</v>
      </c>
      <c r="J37" s="1566">
        <f t="shared" si="39"/>
        <v>703.51200000000074</v>
      </c>
      <c r="K37" s="1566">
        <f t="shared" si="39"/>
        <v>853.93700000000013</v>
      </c>
      <c r="L37" s="1566">
        <f t="shared" si="39"/>
        <v>864.94199999999955</v>
      </c>
      <c r="M37" s="1566">
        <f t="shared" si="39"/>
        <v>874.04399999999919</v>
      </c>
      <c r="N37" s="1566">
        <f t="shared" si="39"/>
        <v>937.72399999999857</v>
      </c>
      <c r="O37" s="1566">
        <f t="shared" si="39"/>
        <v>986.73800000000074</v>
      </c>
      <c r="P37" s="1566">
        <f t="shared" si="39"/>
        <v>988.95100000000059</v>
      </c>
      <c r="Q37" s="1566">
        <f t="shared" si="39"/>
        <v>1009.3270000000017</v>
      </c>
      <c r="R37" s="1566">
        <f>R28-R34-R31</f>
        <v>1246.8480000000006</v>
      </c>
      <c r="S37" s="1566">
        <f t="shared" ref="S37:X37" si="40">S28-S34</f>
        <v>1457.1090000000004</v>
      </c>
      <c r="T37" s="1566">
        <f t="shared" si="40"/>
        <v>1420.4399999999962</v>
      </c>
      <c r="U37" s="1566">
        <f t="shared" si="40"/>
        <v>1951.5619999999999</v>
      </c>
      <c r="V37" s="1566">
        <f>V28-V34</f>
        <v>2293.3999999999965</v>
      </c>
      <c r="W37" s="1566">
        <f t="shared" si="40"/>
        <v>2480.1850000000027</v>
      </c>
      <c r="X37" s="1566">
        <f t="shared" si="40"/>
        <v>3077.3510000000015</v>
      </c>
      <c r="Y37" s="1566">
        <f t="shared" ref="Y37:AD37" si="41">Y28-Y34</f>
        <v>3319.4889999999996</v>
      </c>
      <c r="Z37" s="1566">
        <f t="shared" si="41"/>
        <v>3566.7139999999986</v>
      </c>
      <c r="AA37" s="1566">
        <f t="shared" si="41"/>
        <v>3658.2999999999979</v>
      </c>
      <c r="AB37" s="1566">
        <f t="shared" si="41"/>
        <v>3805.9890000000055</v>
      </c>
      <c r="AC37" s="1566">
        <f>AC28-AC34-AC31</f>
        <v>3856.5880000000029</v>
      </c>
      <c r="AD37" s="1566">
        <f t="shared" si="41"/>
        <v>4084.2720385813982</v>
      </c>
      <c r="AE37" s="1566">
        <f>AE28-AE34</f>
        <v>4432.6699465452666</v>
      </c>
      <c r="AF37" s="1566">
        <f>AF28-AF34</f>
        <v>4802.0948065330867</v>
      </c>
      <c r="AG37" s="1566">
        <f>AG28-AG34</f>
        <v>5144.4407515922476</v>
      </c>
      <c r="AH37" s="1566">
        <f>AH28-AH34</f>
        <v>5420.0403218544034</v>
      </c>
      <c r="AI37" s="467"/>
      <c r="AJ37" s="1562">
        <f>((W37/R37)^(1/5)-1)*100</f>
        <v>14.745090473029654</v>
      </c>
      <c r="AK37" s="1562"/>
      <c r="AL37" s="1563">
        <f>((AC37/X37)^(1/5)-1)*100</f>
        <v>4.6177179068829677</v>
      </c>
      <c r="AM37" s="1563" t="s">
        <v>190</v>
      </c>
      <c r="AN37" s="1563">
        <f>((AH37/AC37)^(1/5)-1)*100</f>
        <v>7.0433899713408632</v>
      </c>
      <c r="AO37" s="1564" t="s">
        <v>190</v>
      </c>
    </row>
    <row r="38" spans="1:48">
      <c r="A38" s="467" t="s">
        <v>521</v>
      </c>
      <c r="B38" s="1565">
        <f t="shared" ref="B38:N38" si="42">B37/B$7</f>
        <v>5.0499145845588365E-2</v>
      </c>
      <c r="C38" s="1565">
        <f>C37/C$7</f>
        <v>4.3958132004213744E-2</v>
      </c>
      <c r="D38" s="1565">
        <f t="shared" si="42"/>
        <v>5.3083489715568262E-2</v>
      </c>
      <c r="E38" s="1565">
        <f t="shared" si="42"/>
        <v>6.5385389485429282E-2</v>
      </c>
      <c r="F38" s="1565">
        <f t="shared" si="42"/>
        <v>4.7532164998185314E-2</v>
      </c>
      <c r="G38" s="1565">
        <f t="shared" si="42"/>
        <v>2.2337970096462666E-2</v>
      </c>
      <c r="H38" s="1565">
        <f t="shared" si="42"/>
        <v>5.473427402416662E-2</v>
      </c>
      <c r="I38" s="1565">
        <f t="shared" si="42"/>
        <v>7.0681570303376531E-2</v>
      </c>
      <c r="J38" s="1565">
        <f t="shared" si="42"/>
        <v>8.8504644244446887E-2</v>
      </c>
      <c r="K38" s="1565">
        <f t="shared" si="42"/>
        <v>9.7089631597252521E-2</v>
      </c>
      <c r="L38" s="1565">
        <f t="shared" si="42"/>
        <v>9.0295590168750245E-2</v>
      </c>
      <c r="M38" s="1565">
        <f t="shared" si="42"/>
        <v>8.161771997716305E-2</v>
      </c>
      <c r="N38" s="1565">
        <f t="shared" si="42"/>
        <v>7.8266238117745454E-2</v>
      </c>
      <c r="O38" s="1565">
        <f t="shared" ref="O38:AC38" si="43">O37/O$7</f>
        <v>7.4035308387539078E-2</v>
      </c>
      <c r="P38" s="1565">
        <f t="shared" si="43"/>
        <v>6.6312544158866213E-2</v>
      </c>
      <c r="Q38" s="1565">
        <f t="shared" si="43"/>
        <v>6.2855342234228853E-2</v>
      </c>
      <c r="R38" s="1565">
        <f t="shared" si="43"/>
        <v>7.1638839695421425E-2</v>
      </c>
      <c r="S38" s="1565">
        <f t="shared" si="43"/>
        <v>7.8882152978460948E-2</v>
      </c>
      <c r="T38" s="1565">
        <f t="shared" si="43"/>
        <v>7.4761947745480548E-2</v>
      </c>
      <c r="U38" s="1565">
        <f t="shared" si="43"/>
        <v>9.6190816801919363E-2</v>
      </c>
      <c r="V38" s="1565">
        <f t="shared" si="43"/>
        <v>0.10586592012436161</v>
      </c>
      <c r="W38" s="1565">
        <f t="shared" si="43"/>
        <v>0.10698649042589795</v>
      </c>
      <c r="X38" s="1565">
        <f t="shared" si="43"/>
        <v>0.11891594262575718</v>
      </c>
      <c r="Y38" s="1565">
        <f t="shared" si="43"/>
        <v>0.12104896615562524</v>
      </c>
      <c r="Z38" s="1565">
        <f t="shared" si="43"/>
        <v>0.12265850739347581</v>
      </c>
      <c r="AA38" s="1565">
        <f>AA37/AA$7</f>
        <v>0.11821965841392211</v>
      </c>
      <c r="AB38" s="1565">
        <f t="shared" si="43"/>
        <v>0.11469438168279036</v>
      </c>
      <c r="AC38" s="1565">
        <f t="shared" si="43"/>
        <v>0.10753169191826256</v>
      </c>
      <c r="AD38" s="1565">
        <f>AD37/AD$7</f>
        <v>0.10793015472037427</v>
      </c>
      <c r="AE38" s="1565">
        <f>AE37/AE$7</f>
        <v>0.10985563743572768</v>
      </c>
      <c r="AF38" s="1565">
        <f>AF37/AF$7</f>
        <v>0.11189417096863087</v>
      </c>
      <c r="AG38" s="1565">
        <f>AG37/AG$7</f>
        <v>0.11282975847869615</v>
      </c>
      <c r="AH38" s="1565">
        <f>AH37/AH$7</f>
        <v>0.11365479654491628</v>
      </c>
      <c r="AI38" s="467"/>
      <c r="AJ38" s="1562"/>
      <c r="AK38" s="1562"/>
      <c r="AL38" s="1563"/>
      <c r="AM38" s="1563"/>
      <c r="AN38" s="1563"/>
      <c r="AO38" s="1564"/>
    </row>
    <row r="39" spans="1:48">
      <c r="A39" s="467"/>
      <c r="B39" s="1547"/>
      <c r="C39" s="1547"/>
      <c r="D39" s="1547"/>
      <c r="E39" s="1547"/>
      <c r="F39" s="1547"/>
      <c r="G39" s="1547"/>
      <c r="H39" s="1547"/>
      <c r="I39" s="1547"/>
      <c r="J39" s="1547"/>
      <c r="K39" s="1547"/>
      <c r="L39" s="1547"/>
      <c r="M39" s="1547"/>
      <c r="N39" s="1547"/>
      <c r="O39" s="1547"/>
      <c r="P39" s="1547"/>
      <c r="Q39" s="1547"/>
      <c r="R39" s="1547"/>
      <c r="S39" s="1547"/>
      <c r="T39" s="1547"/>
      <c r="U39" s="1547"/>
      <c r="V39" s="1547"/>
      <c r="W39" s="1547"/>
      <c r="X39" s="1547"/>
      <c r="Y39" s="1547"/>
      <c r="Z39" s="1547"/>
      <c r="AA39" s="1547"/>
      <c r="AB39" s="1547"/>
      <c r="AC39" s="1547"/>
      <c r="AD39" s="1547"/>
      <c r="AE39" s="1547"/>
      <c r="AF39" s="1547"/>
      <c r="AG39" s="1547"/>
      <c r="AH39" s="1547"/>
      <c r="AI39" s="467"/>
      <c r="AJ39" s="1562"/>
      <c r="AK39" s="1562"/>
      <c r="AL39" s="1563"/>
      <c r="AM39" s="1563"/>
      <c r="AN39" s="1563"/>
      <c r="AO39" s="1564"/>
    </row>
    <row r="40" spans="1:48">
      <c r="A40" s="467" t="s">
        <v>685</v>
      </c>
      <c r="B40" s="1566">
        <f>'qtrP&amp;L'!F114</f>
        <v>49.406999999999996</v>
      </c>
      <c r="C40" s="1566">
        <f>'qtrP&amp;L'!J114</f>
        <v>51.11</v>
      </c>
      <c r="D40" s="1566">
        <f>'qtrP&amp;L'!N114</f>
        <v>69.073999999999998</v>
      </c>
      <c r="E40" s="1566">
        <f>'qtrP&amp;L'!R114</f>
        <v>73.910000000000011</v>
      </c>
      <c r="F40" s="1566">
        <f>'qtrP&amp;L'!V114</f>
        <v>60.757999999999996</v>
      </c>
      <c r="G40" s="1566">
        <f>'qtrP&amp;L'!Z114</f>
        <v>37.207000000000001</v>
      </c>
      <c r="H40" s="1566">
        <f>'qtrP&amp;L'!AD114</f>
        <v>152.31399999999999</v>
      </c>
      <c r="I40" s="1566">
        <f>'qtrP&amp;L'!AH114</f>
        <v>215.679</v>
      </c>
      <c r="J40" s="1566">
        <f>'qtrP&amp;L'!AL114</f>
        <v>270.61</v>
      </c>
      <c r="K40" s="1566">
        <f>'qtrP&amp;L'!AP114</f>
        <v>327.11500000000001</v>
      </c>
      <c r="L40" s="1566">
        <f>'qtrP&amp;L'!AT114</f>
        <v>326.87599999999998</v>
      </c>
      <c r="M40" s="1566">
        <f>'qtrP&amp;L'!AX114</f>
        <v>333.64699999999999</v>
      </c>
      <c r="N40" s="1566">
        <f>'qtrP&amp;L'!BB114</f>
        <v>359.33600000000001</v>
      </c>
      <c r="O40" s="1566">
        <f>'qtrP&amp;L'!BF114</f>
        <v>377.32600000000002</v>
      </c>
      <c r="P40" s="1566">
        <f>'qtrP&amp;L'!BJ114</f>
        <v>379.25200000000007</v>
      </c>
      <c r="Q40" s="1566">
        <f>+'qtrP&amp;L'!BN114</f>
        <v>318.904</v>
      </c>
      <c r="R40" s="1566">
        <f>+'qtrP&amp;L'!BR114</f>
        <v>470.09199999999998</v>
      </c>
      <c r="S40" s="1566">
        <f>+'qtrP&amp;L'!BV114</f>
        <v>477.65494999999999</v>
      </c>
      <c r="T40" s="1566">
        <f>+'qtrP&amp;L'!BZ114</f>
        <v>524.15899999999999</v>
      </c>
      <c r="U40" s="1566">
        <f>'qtrP&amp;L'!CD114</f>
        <v>737.99</v>
      </c>
      <c r="V40" s="1566">
        <f>'qtrP&amp;L'!$CH$114</f>
        <v>873.04605000000004</v>
      </c>
      <c r="W40" s="1566">
        <f>'qtrP&amp;L'!$CL$114</f>
        <v>941.52587699999992</v>
      </c>
      <c r="X40" s="1566">
        <f>'qtrP&amp;L'!$CP$114</f>
        <v>1170.664</v>
      </c>
      <c r="Y40" s="1566">
        <f>'qtrP&amp;L'!$CT$114-78.65</f>
        <v>1182.0948800000001</v>
      </c>
      <c r="Z40" s="1566">
        <f>'qtrP&amp;L'!$CX$114</f>
        <v>1341.1009100000001</v>
      </c>
      <c r="AA40" s="1566">
        <f>'qtrP&amp;L'!$DB$114</f>
        <v>1380.6420000000001</v>
      </c>
      <c r="AB40" s="1566">
        <f>'qtrP&amp;L'!$DF$114</f>
        <v>1455.49902</v>
      </c>
      <c r="AC40" s="1566">
        <f>'qtrP&amp;L'!DJ114</f>
        <v>1248.6400000000001</v>
      </c>
      <c r="AD40" s="1566">
        <f>'qtrP&amp;L'!DN114</f>
        <v>1059.2943968215002</v>
      </c>
      <c r="AE40" s="1566">
        <f>+AE41*AE37</f>
        <v>1149.6546735817728</v>
      </c>
      <c r="AF40" s="1566">
        <f>+AF41*AF37</f>
        <v>1245.4684882677277</v>
      </c>
      <c r="AG40" s="1566">
        <f>+AG41*AG37</f>
        <v>1334.2591314839638</v>
      </c>
      <c r="AH40" s="1566">
        <f>+AH41*AH37</f>
        <v>1405.7384741397277</v>
      </c>
      <c r="AI40" s="467"/>
      <c r="AJ40" s="1562"/>
      <c r="AK40" s="1562"/>
      <c r="AL40" s="1563"/>
      <c r="AM40" s="1563"/>
      <c r="AN40" s="1563"/>
      <c r="AO40" s="1564"/>
    </row>
    <row r="41" spans="1:48">
      <c r="A41" s="467" t="s">
        <v>522</v>
      </c>
      <c r="B41" s="1565">
        <f t="shared" ref="B41:T41" si="44">B40/B37</f>
        <v>0.39994333589670916</v>
      </c>
      <c r="C41" s="1565">
        <f>C40/C37</f>
        <v>0.42161618161420072</v>
      </c>
      <c r="D41" s="1565">
        <f t="shared" si="44"/>
        <v>0.3989995263346392</v>
      </c>
      <c r="E41" s="1565">
        <f t="shared" si="44"/>
        <v>0.39913379703633373</v>
      </c>
      <c r="F41" s="1565">
        <f t="shared" si="44"/>
        <v>0.41833404480920933</v>
      </c>
      <c r="G41" s="1565">
        <f t="shared" si="44"/>
        <v>0.41901662237037612</v>
      </c>
      <c r="H41" s="1565">
        <f t="shared" si="44"/>
        <v>0.41599934451302728</v>
      </c>
      <c r="I41" s="1565">
        <f t="shared" si="44"/>
        <v>0.41296376785232175</v>
      </c>
      <c r="J41" s="1565">
        <f t="shared" si="44"/>
        <v>0.3846558409806794</v>
      </c>
      <c r="K41" s="1565">
        <f t="shared" si="44"/>
        <v>0.38306690071984228</v>
      </c>
      <c r="L41" s="1565">
        <f t="shared" si="44"/>
        <v>0.37791666955703407</v>
      </c>
      <c r="M41" s="1565">
        <f t="shared" si="44"/>
        <v>0.3817279221641019</v>
      </c>
      <c r="N41" s="1565">
        <f t="shared" si="44"/>
        <v>0.383200174038417</v>
      </c>
      <c r="O41" s="1565">
        <f t="shared" si="44"/>
        <v>0.38239735370483324</v>
      </c>
      <c r="P41" s="1565">
        <f t="shared" si="44"/>
        <v>0.38348917185987963</v>
      </c>
      <c r="Q41" s="1565">
        <f t="shared" si="44"/>
        <v>0.31595706842281984</v>
      </c>
      <c r="R41" s="1565">
        <f t="shared" si="44"/>
        <v>0.37702430448619217</v>
      </c>
      <c r="S41" s="1565">
        <f t="shared" si="44"/>
        <v>0.327810033429208</v>
      </c>
      <c r="T41" s="1565">
        <f t="shared" si="44"/>
        <v>0.3690117146799593</v>
      </c>
      <c r="U41" s="1565">
        <f t="shared" ref="U41:Z41" si="45">U40/U37</f>
        <v>0.37815349960698152</v>
      </c>
      <c r="V41" s="1565">
        <f t="shared" si="45"/>
        <v>0.38067761838318714</v>
      </c>
      <c r="W41" s="1565">
        <f t="shared" si="45"/>
        <v>0.37961921267969884</v>
      </c>
      <c r="X41" s="1565">
        <f t="shared" si="45"/>
        <v>0.3804128940767561</v>
      </c>
      <c r="Y41" s="1565">
        <f t="shared" si="45"/>
        <v>0.3561074852183575</v>
      </c>
      <c r="Z41" s="1565">
        <f t="shared" si="45"/>
        <v>0.37600461096684529</v>
      </c>
      <c r="AA41" s="1565">
        <f>AA40/AA37</f>
        <v>0.377399885192576</v>
      </c>
      <c r="AB41" s="1565">
        <f>AB40/AB37</f>
        <v>0.38242333858558125</v>
      </c>
      <c r="AC41" s="1565">
        <f>AC40/AC37</f>
        <v>0.32376805611592402</v>
      </c>
      <c r="AD41" s="1565">
        <f>AD40/AD37</f>
        <v>0.25935941259912448</v>
      </c>
      <c r="AE41" s="1572">
        <f>AD41</f>
        <v>0.25935941259912448</v>
      </c>
      <c r="AF41" s="1572">
        <f>AE41</f>
        <v>0.25935941259912448</v>
      </c>
      <c r="AG41" s="1572">
        <f>AF41</f>
        <v>0.25935941259912448</v>
      </c>
      <c r="AH41" s="1572">
        <f>AG41</f>
        <v>0.25935941259912448</v>
      </c>
      <c r="AI41" s="467"/>
      <c r="AJ41" s="1562"/>
      <c r="AK41" s="1562"/>
      <c r="AL41" s="1563"/>
      <c r="AM41" s="1563"/>
      <c r="AN41" s="1563"/>
      <c r="AO41" s="1564"/>
    </row>
    <row r="42" spans="1:48">
      <c r="A42" s="467" t="s">
        <v>124</v>
      </c>
      <c r="B42" s="1547"/>
      <c r="C42" s="1547"/>
      <c r="D42" s="1547"/>
      <c r="E42" s="1547"/>
      <c r="F42" s="1547"/>
      <c r="G42" s="1547"/>
      <c r="H42" s="1547"/>
      <c r="I42" s="1547"/>
      <c r="J42" s="1547"/>
      <c r="K42" s="1547"/>
      <c r="L42" s="1547"/>
      <c r="M42" s="1547"/>
      <c r="N42" s="1547"/>
      <c r="O42" s="1547"/>
      <c r="P42" s="1547"/>
      <c r="Q42" s="1547"/>
      <c r="R42" s="1547"/>
      <c r="S42" s="1547">
        <f>sumry!DK24</f>
        <v>76.975704000000007</v>
      </c>
      <c r="T42" s="1547"/>
      <c r="U42" s="1547"/>
      <c r="V42" s="1547"/>
      <c r="W42" s="1547"/>
      <c r="X42" s="1547"/>
      <c r="Y42" s="1547"/>
      <c r="Z42" s="1547"/>
      <c r="AA42" s="1547"/>
      <c r="AB42" s="1547"/>
      <c r="AC42" s="1547"/>
      <c r="AD42" s="1547"/>
      <c r="AE42" s="1547"/>
      <c r="AF42" s="1547"/>
      <c r="AG42" s="1547"/>
      <c r="AH42" s="1547"/>
      <c r="AI42" s="467"/>
      <c r="AJ42" s="1562"/>
      <c r="AK42" s="1562"/>
      <c r="AL42" s="1563"/>
      <c r="AM42" s="1563"/>
      <c r="AN42" s="1563"/>
      <c r="AO42" s="1564"/>
    </row>
    <row r="43" spans="1:48">
      <c r="A43" s="467"/>
      <c r="B43" s="1547"/>
      <c r="C43" s="1547"/>
      <c r="D43" s="1547"/>
      <c r="E43" s="1547"/>
      <c r="F43" s="1547"/>
      <c r="G43" s="1547"/>
      <c r="H43" s="1547"/>
      <c r="I43" s="1547"/>
      <c r="J43" s="1547"/>
      <c r="K43" s="1547"/>
      <c r="L43" s="1547"/>
      <c r="M43" s="1547"/>
      <c r="N43" s="1547"/>
      <c r="O43" s="1547"/>
      <c r="P43" s="1547"/>
      <c r="Q43" s="1547"/>
      <c r="R43" s="1547"/>
      <c r="S43" s="1547"/>
      <c r="T43" s="1547"/>
      <c r="U43" s="1547"/>
      <c r="V43" s="1547"/>
      <c r="W43" s="1547"/>
      <c r="X43" s="1547"/>
      <c r="Y43" s="1547"/>
      <c r="Z43" s="1547"/>
      <c r="AA43" s="1547"/>
      <c r="AB43" s="1547"/>
      <c r="AC43" s="1547"/>
      <c r="AD43" s="1547"/>
      <c r="AE43" s="1547"/>
      <c r="AF43" s="1547"/>
      <c r="AG43" s="1547"/>
      <c r="AH43" s="1547"/>
      <c r="AI43" s="467"/>
      <c r="AJ43" s="1562"/>
      <c r="AK43" s="1562"/>
      <c r="AL43" s="1563"/>
      <c r="AM43" s="1563"/>
      <c r="AN43" s="1563"/>
      <c r="AO43" s="1564"/>
    </row>
    <row r="44" spans="1:48">
      <c r="A44" s="467" t="s">
        <v>686</v>
      </c>
      <c r="B44" s="1566">
        <f>B37-B40</f>
        <v>74.128000000000071</v>
      </c>
      <c r="C44" s="1566">
        <f>C37-C40</f>
        <v>70.114000000000317</v>
      </c>
      <c r="D44" s="1566">
        <f>D37-D40</f>
        <v>104.04399999999983</v>
      </c>
      <c r="E44" s="1566">
        <f>E37-E40</f>
        <v>111.26599999999969</v>
      </c>
      <c r="F44" s="1566">
        <f>F37-F40</f>
        <v>84.480000000000118</v>
      </c>
      <c r="G44" s="1566">
        <f t="shared" ref="G44:Q44" si="46">G37-G40</f>
        <v>51.58900000000019</v>
      </c>
      <c r="H44" s="1566">
        <f t="shared" si="46"/>
        <v>213.82600000000045</v>
      </c>
      <c r="I44" s="1566">
        <f t="shared" si="46"/>
        <v>306.59200000000021</v>
      </c>
      <c r="J44" s="1566">
        <f t="shared" si="46"/>
        <v>432.90200000000073</v>
      </c>
      <c r="K44" s="1566">
        <f t="shared" si="46"/>
        <v>526.82200000000012</v>
      </c>
      <c r="L44" s="1566">
        <f t="shared" si="46"/>
        <v>538.06599999999958</v>
      </c>
      <c r="M44" s="1566">
        <f t="shared" si="46"/>
        <v>540.39699999999925</v>
      </c>
      <c r="N44" s="1566">
        <f t="shared" si="46"/>
        <v>578.38799999999856</v>
      </c>
      <c r="O44" s="1566">
        <f t="shared" si="46"/>
        <v>609.41200000000072</v>
      </c>
      <c r="P44" s="1566">
        <f t="shared" si="46"/>
        <v>609.69900000000052</v>
      </c>
      <c r="Q44" s="1566">
        <f t="shared" si="46"/>
        <v>690.42300000000171</v>
      </c>
      <c r="R44" s="1566">
        <f>R37-R40</f>
        <v>776.75600000000065</v>
      </c>
      <c r="S44" s="1566">
        <f>'qtrP&amp;L'!BV124</f>
        <v>901.89935684372654</v>
      </c>
      <c r="T44" s="1566">
        <f t="shared" ref="T44:Y44" si="47">T37-T40</f>
        <v>896.2809999999962</v>
      </c>
      <c r="U44" s="1566">
        <f t="shared" si="47"/>
        <v>1213.5719999999999</v>
      </c>
      <c r="V44" s="1566">
        <f t="shared" si="47"/>
        <v>1420.3539499999965</v>
      </c>
      <c r="W44" s="1566">
        <f t="shared" si="47"/>
        <v>1538.6591230000026</v>
      </c>
      <c r="X44" s="1566">
        <f t="shared" si="47"/>
        <v>1906.6870000000015</v>
      </c>
      <c r="Y44" s="1566">
        <f t="shared" si="47"/>
        <v>2137.3941199999995</v>
      </c>
      <c r="Z44" s="1566">
        <f t="shared" ref="Z44:AE44" si="48">Z37-Z40</f>
        <v>2225.6130899999985</v>
      </c>
      <c r="AA44" s="1566">
        <f t="shared" si="48"/>
        <v>2277.6579999999976</v>
      </c>
      <c r="AB44" s="1566">
        <f t="shared" si="48"/>
        <v>2350.4899800000057</v>
      </c>
      <c r="AC44" s="1566">
        <f t="shared" si="48"/>
        <v>2607.948000000003</v>
      </c>
      <c r="AD44" s="1566">
        <f t="shared" si="48"/>
        <v>3024.9776417598978</v>
      </c>
      <c r="AE44" s="1566">
        <f t="shared" si="48"/>
        <v>3283.0152729634938</v>
      </c>
      <c r="AF44" s="1566">
        <f>AF37-AF40</f>
        <v>3556.6263182653593</v>
      </c>
      <c r="AG44" s="1566">
        <f>AG37-AG40</f>
        <v>3810.1816201082838</v>
      </c>
      <c r="AH44" s="1566">
        <f>AH37-AH40</f>
        <v>4014.3018477146757</v>
      </c>
      <c r="AI44" s="467"/>
      <c r="AJ44" s="1562">
        <f>((W44/R44)^(1/5)-1)*100</f>
        <v>14.649340247617037</v>
      </c>
      <c r="AK44" s="1562"/>
      <c r="AL44" s="1563">
        <f>((AC44/X44)^(1/5)-1)*100</f>
        <v>6.464275848007528</v>
      </c>
      <c r="AM44" s="1563" t="s">
        <v>190</v>
      </c>
      <c r="AN44" s="1563">
        <f>((AH44/AC44)^(1/5)-1)*100</f>
        <v>9.0089658336582001</v>
      </c>
      <c r="AO44" s="1564" t="s">
        <v>190</v>
      </c>
    </row>
    <row r="45" spans="1:48">
      <c r="A45" s="467" t="s">
        <v>523</v>
      </c>
      <c r="B45" s="1565">
        <f t="shared" ref="B45:N45" si="49">B44/B$7</f>
        <v>3.0302348996169313E-2</v>
      </c>
      <c r="C45" s="1565">
        <f>C44/C$7</f>
        <v>2.5424672237704154E-2</v>
      </c>
      <c r="D45" s="1565">
        <f t="shared" si="49"/>
        <v>3.1903202462866834E-2</v>
      </c>
      <c r="E45" s="1565">
        <f t="shared" si="49"/>
        <v>3.9287870709410325E-2</v>
      </c>
      <c r="F45" s="1565">
        <f t="shared" si="49"/>
        <v>2.7647842155955726E-2</v>
      </c>
      <c r="G45" s="1565">
        <f t="shared" si="49"/>
        <v>1.2977989316032414E-2</v>
      </c>
      <c r="H45" s="1565">
        <f t="shared" si="49"/>
        <v>3.196485190771689E-2</v>
      </c>
      <c r="I45" s="1565">
        <f t="shared" si="49"/>
        <v>4.1492642713175397E-2</v>
      </c>
      <c r="J45" s="1565">
        <f t="shared" si="49"/>
        <v>5.4460815881903317E-2</v>
      </c>
      <c r="K45" s="1565">
        <f t="shared" si="49"/>
        <v>5.9897807329261726E-2</v>
      </c>
      <c r="L45" s="1565">
        <f t="shared" si="49"/>
        <v>5.6171381456489283E-2</v>
      </c>
      <c r="M45" s="1565">
        <f t="shared" si="49"/>
        <v>5.0461957318509096E-2</v>
      </c>
      <c r="N45" s="1565">
        <f t="shared" si="49"/>
        <v>4.8274602049693208E-2</v>
      </c>
      <c r="O45" s="1565">
        <f t="shared" ref="O45:AC45" si="50">O44/O$7</f>
        <v>4.5724402379422886E-2</v>
      </c>
      <c r="P45" s="1565">
        <f t="shared" si="50"/>
        <v>4.0882401515460909E-2</v>
      </c>
      <c r="Q45" s="1565">
        <f t="shared" si="50"/>
        <v>4.299575256718885E-2</v>
      </c>
      <c r="R45" s="1565">
        <f t="shared" si="50"/>
        <v>4.4629255985057348E-2</v>
      </c>
      <c r="S45" s="1565">
        <f t="shared" si="50"/>
        <v>4.8825285574189962E-2</v>
      </c>
      <c r="T45" s="1565">
        <f t="shared" si="50"/>
        <v>4.7173913215107249E-2</v>
      </c>
      <c r="U45" s="1565">
        <f t="shared" si="50"/>
        <v>5.9815922798219512E-2</v>
      </c>
      <c r="V45" s="1565">
        <f t="shared" si="50"/>
        <v>6.5565133783474921E-2</v>
      </c>
      <c r="W45" s="1565">
        <f t="shared" si="50"/>
        <v>6.6372363163054421E-2</v>
      </c>
      <c r="X45" s="1565">
        <f t="shared" si="50"/>
        <v>7.3678784739627412E-2</v>
      </c>
      <c r="Y45" s="1565">
        <f t="shared" si="50"/>
        <v>7.7942523229663468E-2</v>
      </c>
      <c r="Z45" s="1565">
        <f t="shared" si="50"/>
        <v>7.6538343039218013E-2</v>
      </c>
      <c r="AA45" s="1565">
        <f>AA44/AA$7</f>
        <v>7.3603572901002348E-2</v>
      </c>
      <c r="AB45" s="1565">
        <f t="shared" si="50"/>
        <v>7.0832573322648737E-2</v>
      </c>
      <c r="AC45" s="1565">
        <f t="shared" si="50"/>
        <v>7.2716365055030291E-2</v>
      </c>
      <c r="AD45" s="1565">
        <f>AD44/AD$7</f>
        <v>7.9937453190365368E-2</v>
      </c>
      <c r="AE45" s="1565">
        <f>AE44/AE$7</f>
        <v>8.1363543839694963E-2</v>
      </c>
      <c r="AF45" s="1565">
        <f>AF44/AF$7</f>
        <v>8.2873364512940764E-2</v>
      </c>
      <c r="AG45" s="1565">
        <f>AG44/AG$7</f>
        <v>8.3566298595960445E-2</v>
      </c>
      <c r="AH45" s="1565">
        <f>AH44/AH$7</f>
        <v>8.4177355273953786E-2</v>
      </c>
      <c r="AI45" s="467"/>
      <c r="AJ45" s="1562"/>
      <c r="AK45" s="1562"/>
      <c r="AL45" s="1563"/>
      <c r="AM45" s="1563"/>
      <c r="AN45" s="1563"/>
      <c r="AO45" s="1564"/>
    </row>
    <row r="46" spans="1:48">
      <c r="A46" s="467"/>
      <c r="B46" s="1547"/>
      <c r="C46" s="1547"/>
      <c r="D46" s="1547"/>
      <c r="E46" s="1547"/>
      <c r="F46" s="1547"/>
      <c r="G46" s="1547"/>
      <c r="H46" s="1547"/>
      <c r="I46" s="1547"/>
      <c r="J46" s="1547"/>
      <c r="K46" s="1547"/>
      <c r="L46" s="1547"/>
      <c r="M46" s="1547"/>
      <c r="N46" s="1547"/>
      <c r="O46" s="1547"/>
      <c r="P46" s="1547"/>
      <c r="Q46" s="1547"/>
      <c r="R46" s="1547"/>
      <c r="S46" s="1547"/>
      <c r="T46" s="1547"/>
      <c r="U46" s="1547"/>
      <c r="V46" s="1547"/>
      <c r="W46" s="1547"/>
      <c r="X46" s="1547"/>
      <c r="Y46" s="1547"/>
      <c r="Z46" s="1547"/>
      <c r="AA46" s="1547"/>
      <c r="AB46" s="1547"/>
      <c r="AC46" s="1547"/>
      <c r="AD46" s="1547"/>
      <c r="AE46" s="1547"/>
      <c r="AF46" s="1547"/>
      <c r="AG46" s="1547"/>
      <c r="AH46" s="1547"/>
      <c r="AI46" s="467"/>
      <c r="AJ46" s="1562"/>
      <c r="AK46" s="1562"/>
      <c r="AL46" s="1563"/>
      <c r="AM46" s="1563"/>
      <c r="AN46" s="1563"/>
      <c r="AO46" s="1564"/>
    </row>
    <row r="47" spans="1:48" hidden="1" outlineLevel="1">
      <c r="A47" s="467" t="s">
        <v>299</v>
      </c>
      <c r="B47" s="1547"/>
      <c r="C47" s="1547"/>
      <c r="D47" s="1547"/>
      <c r="E47" s="1547"/>
      <c r="F47" s="1547"/>
      <c r="G47" s="1547"/>
      <c r="H47" s="1547"/>
      <c r="I47" s="1547"/>
      <c r="J47" s="1547"/>
      <c r="K47" s="1547"/>
      <c r="L47" s="1547"/>
      <c r="M47" s="1547"/>
      <c r="N47" s="1547"/>
      <c r="O47" s="1547"/>
      <c r="P47" s="1547"/>
      <c r="Q47" s="1547"/>
      <c r="R47" s="1566">
        <f>'qtrP&amp;L'!BR133</f>
        <v>776.75600000000065</v>
      </c>
      <c r="S47" s="1566">
        <f>S37-S40-S31</f>
        <v>782.43205000000034</v>
      </c>
      <c r="T47" s="1547"/>
      <c r="U47" s="1547"/>
      <c r="V47" s="1547"/>
      <c r="W47" s="1547"/>
      <c r="X47" s="1547"/>
      <c r="Y47" s="1547"/>
      <c r="Z47" s="1582">
        <f>Z44-10.5</f>
        <v>2215.1130899999985</v>
      </c>
      <c r="AA47" s="1547"/>
      <c r="AB47" s="1547"/>
      <c r="AC47" s="1547"/>
      <c r="AD47" s="1547"/>
      <c r="AE47" s="1547"/>
      <c r="AF47" s="1547"/>
      <c r="AG47" s="1547"/>
      <c r="AH47" s="1547"/>
      <c r="AI47" s="467"/>
      <c r="AJ47" s="1562"/>
      <c r="AK47" s="1562"/>
      <c r="AL47" s="1563"/>
      <c r="AM47" s="1563"/>
      <c r="AN47" s="1563"/>
      <c r="AO47" s="1564"/>
    </row>
    <row r="48" spans="1:48" hidden="1" outlineLevel="1">
      <c r="A48" s="467" t="s">
        <v>523</v>
      </c>
      <c r="B48" s="1547"/>
      <c r="C48" s="1547"/>
      <c r="D48" s="1547"/>
      <c r="E48" s="1547"/>
      <c r="F48" s="1547"/>
      <c r="G48" s="1547"/>
      <c r="H48" s="1547"/>
      <c r="I48" s="1547"/>
      <c r="J48" s="1547"/>
      <c r="K48" s="1547"/>
      <c r="L48" s="1547"/>
      <c r="M48" s="1547"/>
      <c r="N48" s="1547"/>
      <c r="O48" s="1547"/>
      <c r="P48" s="1547"/>
      <c r="Q48" s="1547"/>
      <c r="R48" s="1565">
        <f>R47/R$7</f>
        <v>4.4629255985057348E-2</v>
      </c>
      <c r="S48" s="1565">
        <f>S47/S$7</f>
        <v>4.2357795239306613E-2</v>
      </c>
      <c r="T48" s="1547"/>
      <c r="U48" s="1547"/>
      <c r="V48" s="1547"/>
      <c r="W48" s="1547"/>
      <c r="X48" s="1547"/>
      <c r="Y48" s="1547"/>
      <c r="Z48" s="1547"/>
      <c r="AA48" s="1547"/>
      <c r="AB48" s="1547"/>
      <c r="AC48" s="1547"/>
      <c r="AD48" s="1547"/>
      <c r="AE48" s="1547"/>
      <c r="AF48" s="1547"/>
      <c r="AG48" s="1547"/>
      <c r="AH48" s="1547"/>
      <c r="AI48" s="467"/>
      <c r="AJ48" s="1562"/>
      <c r="AK48" s="1562"/>
      <c r="AL48" s="1563"/>
      <c r="AM48" s="1563"/>
      <c r="AN48" s="1563"/>
      <c r="AO48" s="1564"/>
      <c r="AV48" s="451">
        <f>4.04/3.89-1</f>
        <v>3.8560411311054033E-2</v>
      </c>
    </row>
    <row r="49" spans="1:43" hidden="1" outlineLevel="1">
      <c r="A49" s="467"/>
      <c r="B49" s="1547"/>
      <c r="C49" s="1547"/>
      <c r="D49" s="1547"/>
      <c r="E49" s="1547"/>
      <c r="F49" s="1547"/>
      <c r="G49" s="1547"/>
      <c r="H49" s="1547"/>
      <c r="I49" s="1547"/>
      <c r="J49" s="1547"/>
      <c r="K49" s="1547"/>
      <c r="L49" s="1547"/>
      <c r="M49" s="1547"/>
      <c r="N49" s="1547"/>
      <c r="O49" s="1547"/>
      <c r="P49" s="1547"/>
      <c r="Q49" s="1547"/>
      <c r="R49" s="1547"/>
      <c r="S49" s="1547"/>
      <c r="T49" s="1547"/>
      <c r="U49" s="1547"/>
      <c r="V49" s="1547"/>
      <c r="W49" s="1547"/>
      <c r="X49" s="1547"/>
      <c r="Y49" s="1547"/>
      <c r="Z49" s="1547"/>
      <c r="AA49" s="1547"/>
      <c r="AB49" s="1547"/>
      <c r="AC49" s="1547"/>
      <c r="AD49" s="1547"/>
      <c r="AE49" s="1547"/>
      <c r="AF49" s="1547"/>
      <c r="AG49" s="1547"/>
      <c r="AH49" s="1547"/>
      <c r="AI49" s="467"/>
      <c r="AJ49" s="1562"/>
      <c r="AK49" s="1562"/>
      <c r="AL49" s="1563"/>
      <c r="AM49" s="1563"/>
      <c r="AN49" s="1563"/>
      <c r="AO49" s="1564"/>
    </row>
    <row r="50" spans="1:43" collapsed="1">
      <c r="A50" s="467" t="s">
        <v>284</v>
      </c>
      <c r="B50" s="1552">
        <f t="shared" ref="B50:N50" si="51">B44/B55</f>
        <v>6.3531645314109944E-2</v>
      </c>
      <c r="C50" s="1552">
        <f t="shared" si="51"/>
        <v>6.2556356394609991E-2</v>
      </c>
      <c r="D50" s="1552">
        <f t="shared" si="51"/>
        <v>8.8025742895170761E-2</v>
      </c>
      <c r="E50" s="1552">
        <f t="shared" si="51"/>
        <v>9.3731014722567257E-2</v>
      </c>
      <c r="F50" s="1552">
        <f t="shared" si="51"/>
        <v>7.186900240924507E-2</v>
      </c>
      <c r="G50" s="1552">
        <f t="shared" si="51"/>
        <v>4.435368913952363E-2</v>
      </c>
      <c r="H50" s="1552">
        <f t="shared" si="51"/>
        <v>0.1524496927278792</v>
      </c>
      <c r="I50" s="1552">
        <f t="shared" si="51"/>
        <v>0.21923721056586531</v>
      </c>
      <c r="J50" s="1552">
        <f t="shared" si="51"/>
        <v>0.3234010547502239</v>
      </c>
      <c r="K50" s="1552">
        <f t="shared" si="51"/>
        <v>0.41444093069992438</v>
      </c>
      <c r="L50" s="1552">
        <f t="shared" si="51"/>
        <v>0.46513955933000417</v>
      </c>
      <c r="M50" s="1552">
        <f t="shared" si="51"/>
        <v>0.48573439421286074</v>
      </c>
      <c r="N50" s="1552">
        <f t="shared" si="51"/>
        <v>0.52329545454545323</v>
      </c>
      <c r="O50" s="1552">
        <f>(O44+'qtrP&amp;L'!BF243)/O55</f>
        <v>0.57778547377098921</v>
      </c>
      <c r="P50" s="1552">
        <f>(P44+'qtrP&amp;L'!BJ243)/P55</f>
        <v>0.606971310353425</v>
      </c>
      <c r="Q50" s="1552">
        <f>(Q44+'qtrP&amp;L'!BN243)/Q55</f>
        <v>0.70745031901159816</v>
      </c>
      <c r="R50" s="1552">
        <f>(R44+'qtrP&amp;L'!BR243)/R55</f>
        <v>0.81216969242466919</v>
      </c>
      <c r="S50" s="1552">
        <f>('qtrP&amp;L'!BV243+S44)/S55</f>
        <v>0.96667780180124019</v>
      </c>
      <c r="T50" s="1552">
        <f>(T44+'qtrP&amp;L'!BV243)/T55</f>
        <v>1.0166996416094745</v>
      </c>
      <c r="U50" s="1552">
        <f>(U44)/U55</f>
        <v>1.4189874631389154</v>
      </c>
      <c r="V50" s="1552">
        <f t="shared" ref="V50:AD50" si="52">V44/V55</f>
        <v>1.7474268170555525</v>
      </c>
      <c r="W50" s="1552">
        <f t="shared" si="52"/>
        <v>1.9885174482922652</v>
      </c>
      <c r="X50" s="1552">
        <f t="shared" si="52"/>
        <v>2.5505641725358021</v>
      </c>
      <c r="Y50" s="1552">
        <f t="shared" si="52"/>
        <v>2.942545073075101</v>
      </c>
      <c r="Z50" s="1552">
        <f t="shared" si="52"/>
        <v>3.1624659586825721</v>
      </c>
      <c r="AA50" s="1552">
        <f t="shared" si="52"/>
        <v>3.3347261834345479</v>
      </c>
      <c r="AB50" s="1552">
        <f t="shared" si="52"/>
        <v>3.5375929816745817</v>
      </c>
      <c r="AC50" s="1552">
        <f t="shared" si="52"/>
        <v>4.0364151337630929</v>
      </c>
      <c r="AD50" s="1552">
        <f t="shared" si="52"/>
        <v>4.8327090228982597</v>
      </c>
      <c r="AE50" s="1552">
        <f>AE44/AE55</f>
        <v>5.4956286975760573</v>
      </c>
      <c r="AF50" s="1552">
        <f>AF44/AF55</f>
        <v>6.1497787484019293</v>
      </c>
      <c r="AG50" s="1552">
        <f>AG44/AG55</f>
        <v>6.7998397847726739</v>
      </c>
      <c r="AH50" s="1552">
        <f>AH44/AH55</f>
        <v>7.3965508862423546</v>
      </c>
      <c r="AI50" s="467"/>
      <c r="AJ50" s="1562">
        <f>((W50/R50)^(1/5)-1)*100</f>
        <v>19.612488385054959</v>
      </c>
      <c r="AK50" s="1562"/>
      <c r="AL50" s="1563">
        <f>((AC50/X50)^(1/5)-1)*100</f>
        <v>9.615486115471672</v>
      </c>
      <c r="AM50" s="1563" t="s">
        <v>190</v>
      </c>
      <c r="AN50" s="1563">
        <f>((AH50/AC50)^(1/5)-1)*100</f>
        <v>12.877318734375987</v>
      </c>
      <c r="AO50" s="1564" t="s">
        <v>190</v>
      </c>
      <c r="AQ50" s="493">
        <f>(AF50/AB50)^(1/4)-1</f>
        <v>0.14825384125012642</v>
      </c>
    </row>
    <row r="51" spans="1:43">
      <c r="A51" s="467" t="s">
        <v>524</v>
      </c>
      <c r="B51" s="1565"/>
      <c r="C51" s="1565">
        <f>C50/B50-1</f>
        <v>-1.5351230314876618E-2</v>
      </c>
      <c r="D51" s="1565">
        <f>D50/C50-1</f>
        <v>0.40714306216778429</v>
      </c>
      <c r="E51" s="1565">
        <f t="shared" ref="E51:O51" si="53">E50/D50-1</f>
        <v>6.4813674270160604E-2</v>
      </c>
      <c r="F51" s="1565">
        <f>F50/E50-1</f>
        <v>-0.2332420317653785</v>
      </c>
      <c r="G51" s="1565">
        <f t="shared" si="53"/>
        <v>-0.38285369696716332</v>
      </c>
      <c r="H51" s="1565">
        <f t="shared" si="53"/>
        <v>2.4371367001359774</v>
      </c>
      <c r="I51" s="1565">
        <f t="shared" si="53"/>
        <v>0.43809545721552223</v>
      </c>
      <c r="J51" s="1565">
        <f t="shared" si="53"/>
        <v>0.47511936461654947</v>
      </c>
      <c r="K51" s="1565">
        <f t="shared" si="53"/>
        <v>0.28150766552080153</v>
      </c>
      <c r="L51" s="1565">
        <f t="shared" si="53"/>
        <v>0.12233016788293072</v>
      </c>
      <c r="M51" s="1565">
        <f t="shared" si="53"/>
        <v>4.4276678837039229E-2</v>
      </c>
      <c r="N51" s="1565">
        <f t="shared" si="53"/>
        <v>7.7328393418507391E-2</v>
      </c>
      <c r="O51" s="1565">
        <f t="shared" si="53"/>
        <v>0.10412859265683339</v>
      </c>
      <c r="P51" s="1565">
        <f t="shared" ref="P51:AH51" si="54">P50/O50-1</f>
        <v>5.0513275094907995E-2</v>
      </c>
      <c r="Q51" s="1565">
        <f t="shared" si="54"/>
        <v>0.16554161118367627</v>
      </c>
      <c r="R51" s="1565">
        <f t="shared" si="54"/>
        <v>0.14802364293139036</v>
      </c>
      <c r="S51" s="1565">
        <f t="shared" si="54"/>
        <v>0.19024116612293063</v>
      </c>
      <c r="T51" s="1565">
        <f t="shared" si="54"/>
        <v>5.1746134766958551E-2</v>
      </c>
      <c r="U51" s="1565">
        <f t="shared" si="54"/>
        <v>0.3956801055743504</v>
      </c>
      <c r="V51" s="1565">
        <f t="shared" si="54"/>
        <v>0.23146036342710352</v>
      </c>
      <c r="W51" s="1565">
        <f t="shared" si="54"/>
        <v>0.1379689431818123</v>
      </c>
      <c r="X51" s="1565">
        <f t="shared" si="54"/>
        <v>0.28264611141643314</v>
      </c>
      <c r="Y51" s="1565">
        <f t="shared" si="54"/>
        <v>0.15368399852868109</v>
      </c>
      <c r="Z51" s="1565">
        <f t="shared" si="54"/>
        <v>7.4738323507698379E-2</v>
      </c>
      <c r="AA51" s="1565">
        <f t="shared" si="54"/>
        <v>5.4470222605569552E-2</v>
      </c>
      <c r="AB51" s="1565">
        <f t="shared" si="54"/>
        <v>6.0834619420265135E-2</v>
      </c>
      <c r="AC51" s="1565">
        <f t="shared" si="54"/>
        <v>0.14100608935864201</v>
      </c>
      <c r="AD51" s="1565">
        <f t="shared" si="54"/>
        <v>0.19727750064022609</v>
      </c>
      <c r="AE51" s="1565">
        <f t="shared" si="54"/>
        <v>0.13717351314485571</v>
      </c>
      <c r="AF51" s="1565">
        <f t="shared" si="54"/>
        <v>0.11903097658588102</v>
      </c>
      <c r="AG51" s="1565">
        <f t="shared" si="54"/>
        <v>0.10570478434523656</v>
      </c>
      <c r="AH51" s="1565">
        <f t="shared" si="54"/>
        <v>8.7753700139514335E-2</v>
      </c>
      <c r="AI51" s="467"/>
      <c r="AJ51" s="1562"/>
      <c r="AK51" s="1562"/>
      <c r="AL51" s="1563"/>
      <c r="AM51" s="1563"/>
      <c r="AN51" s="1563"/>
      <c r="AO51" s="1564"/>
    </row>
    <row r="52" spans="1:43">
      <c r="A52" s="467"/>
      <c r="B52" s="1547"/>
      <c r="C52" s="1547"/>
      <c r="D52" s="1547"/>
      <c r="E52" s="1547"/>
      <c r="F52" s="1547"/>
      <c r="G52" s="1547"/>
      <c r="H52" s="1547"/>
      <c r="I52" s="1547"/>
      <c r="J52" s="1547"/>
      <c r="K52" s="1547"/>
      <c r="L52" s="1547"/>
      <c r="M52" s="1547"/>
      <c r="N52" s="1547"/>
      <c r="O52" s="1547"/>
      <c r="P52" s="1547"/>
      <c r="Q52" s="1547"/>
      <c r="R52" s="1547"/>
      <c r="S52" s="1547"/>
      <c r="T52" s="1547"/>
      <c r="U52" s="1547"/>
      <c r="V52" s="1547"/>
      <c r="W52" s="1547"/>
      <c r="X52" s="1547"/>
      <c r="Y52" s="1547"/>
      <c r="Z52" s="1549"/>
      <c r="AA52" s="1549"/>
      <c r="AB52" s="1549"/>
      <c r="AC52" s="1941"/>
      <c r="AD52" s="1941"/>
      <c r="AE52" s="1941"/>
      <c r="AF52" s="1941"/>
      <c r="AG52" s="1941"/>
      <c r="AH52" s="1941"/>
      <c r="AI52" s="467"/>
      <c r="AJ52" s="1562"/>
      <c r="AK52" s="1562"/>
      <c r="AL52" s="1563"/>
      <c r="AM52" s="1563"/>
      <c r="AN52" s="1563"/>
      <c r="AO52" s="1564"/>
    </row>
    <row r="53" spans="1:43" hidden="1" outlineLevel="1">
      <c r="A53" s="467" t="s">
        <v>296</v>
      </c>
      <c r="B53" s="1547"/>
      <c r="C53" s="1547"/>
      <c r="D53" s="1547"/>
      <c r="E53" s="1547"/>
      <c r="F53" s="1547"/>
      <c r="G53" s="1547"/>
      <c r="H53" s="1547"/>
      <c r="I53" s="1547"/>
      <c r="J53" s="1547"/>
      <c r="K53" s="1547"/>
      <c r="L53" s="1547"/>
      <c r="M53" s="1547"/>
      <c r="N53" s="1547"/>
      <c r="O53" s="1547"/>
      <c r="P53" s="1547"/>
      <c r="Q53" s="1547"/>
      <c r="R53" s="1552">
        <f>'qtrP&amp;L'!BR191</f>
        <v>0.81216969242466919</v>
      </c>
      <c r="S53" s="1552">
        <f>'qtrP&amp;L'!BV191</f>
        <v>0.83905433440302857</v>
      </c>
      <c r="T53" s="1547"/>
      <c r="U53" s="1547"/>
      <c r="V53" s="1547"/>
      <c r="W53" s="1547"/>
      <c r="X53" s="1547"/>
      <c r="Y53" s="1547"/>
      <c r="Z53" s="1547"/>
      <c r="AA53" s="1549">
        <f t="shared" ref="AA53:AF53" si="55">AA44/Z44-1</f>
        <v>2.3384527271988365E-2</v>
      </c>
      <c r="AB53" s="1549">
        <f t="shared" si="55"/>
        <v>3.1976697116076425E-2</v>
      </c>
      <c r="AC53" s="1549">
        <f t="shared" si="55"/>
        <v>0.10953376623200772</v>
      </c>
      <c r="AD53" s="1549">
        <f t="shared" si="55"/>
        <v>0.159907192075875</v>
      </c>
      <c r="AE53" s="1549">
        <f t="shared" si="55"/>
        <v>8.530232674826399E-2</v>
      </c>
      <c r="AF53" s="1549">
        <f t="shared" si="55"/>
        <v>8.3341386668263517E-2</v>
      </c>
      <c r="AG53" s="1549">
        <f>AG44/AF44-1</f>
        <v>7.1290959227504391E-2</v>
      </c>
      <c r="AH53" s="1549">
        <f>AH44/AG44-1</f>
        <v>5.3572309133282481E-2</v>
      </c>
      <c r="AI53" s="467"/>
      <c r="AJ53" s="1562"/>
      <c r="AK53" s="1562"/>
      <c r="AL53" s="1563"/>
      <c r="AM53" s="1563"/>
      <c r="AN53" s="1563"/>
      <c r="AO53" s="1564"/>
    </row>
    <row r="54" spans="1:43" hidden="1" outlineLevel="1">
      <c r="A54" s="467"/>
      <c r="B54" s="1547"/>
      <c r="C54" s="1547"/>
      <c r="D54" s="1547"/>
      <c r="E54" s="1547"/>
      <c r="F54" s="1547"/>
      <c r="G54" s="1547"/>
      <c r="H54" s="1547"/>
      <c r="I54" s="1547"/>
      <c r="J54" s="1547"/>
      <c r="K54" s="1547"/>
      <c r="L54" s="1547"/>
      <c r="M54" s="1547"/>
      <c r="N54" s="1547"/>
      <c r="O54" s="1547"/>
      <c r="P54" s="1547"/>
      <c r="Q54" s="1547"/>
      <c r="R54" s="1547"/>
      <c r="S54" s="1547"/>
      <c r="T54" s="1547"/>
      <c r="U54" s="1547"/>
      <c r="V54" s="1547"/>
      <c r="W54" s="1547"/>
      <c r="X54" s="1547"/>
      <c r="Y54" s="1547"/>
      <c r="Z54" s="1547"/>
      <c r="AA54" s="1547"/>
      <c r="AB54" s="1547"/>
      <c r="AC54" s="1547"/>
      <c r="AD54" s="1547"/>
      <c r="AE54" s="1547"/>
      <c r="AF54" s="1547"/>
      <c r="AG54" s="1547"/>
      <c r="AH54" s="1547"/>
      <c r="AI54" s="467"/>
      <c r="AJ54" s="1562"/>
      <c r="AK54" s="1562"/>
      <c r="AL54" s="1563"/>
      <c r="AM54" s="1563"/>
      <c r="AN54" s="1563"/>
      <c r="AO54" s="1564"/>
    </row>
    <row r="55" spans="1:43" ht="13.5" collapsed="1" thickBot="1">
      <c r="A55" s="467" t="s">
        <v>687</v>
      </c>
      <c r="B55" s="1566">
        <f>'qtrP&amp;L'!F222</f>
        <v>1166.7886080000001</v>
      </c>
      <c r="C55" s="1566">
        <f>'qtrP&amp;L'!J222</f>
        <v>1120.8133600000001</v>
      </c>
      <c r="D55" s="1566">
        <f>'qtrP&amp;L'!N222</f>
        <v>1181.9724160000001</v>
      </c>
      <c r="E55" s="1566">
        <f>'qtrP&amp;L'!R222</f>
        <v>1187.077728</v>
      </c>
      <c r="F55" s="1566">
        <f>'qtrP&amp;L'!V222</f>
        <v>1175.472</v>
      </c>
      <c r="G55" s="1566">
        <f>'qtrP&amp;L'!Z222</f>
        <v>1163.1276</v>
      </c>
      <c r="H55" s="1566">
        <f>'qtrP&amp;L'!AD222</f>
        <v>1402.6004</v>
      </c>
      <c r="I55" s="1566">
        <f>'qtrP&amp;L'!AH222</f>
        <v>1398.4487360000001</v>
      </c>
      <c r="J55" s="1566">
        <f>'qtrP&amp;L'!AL222</f>
        <v>1338.5917999999999</v>
      </c>
      <c r="K55" s="1566">
        <f>'qtrP&amp;L'!AP222</f>
        <v>1271.1630560000001</v>
      </c>
      <c r="L55" s="1566">
        <f>'qtrP&amp;L'!AT222</f>
        <v>1156.7840000000001</v>
      </c>
      <c r="M55" s="1566">
        <f>'qtrP&amp;L'!AX222</f>
        <v>1112.5360000000001</v>
      </c>
      <c r="N55" s="1566">
        <f>'qtrP&amp;L'!BB222</f>
        <v>1105.28</v>
      </c>
      <c r="O55" s="1566">
        <f>'qtrP&amp;L'!BF222</f>
        <v>1062.6020000000001</v>
      </c>
      <c r="P55" s="1566">
        <f>'qtrP&amp;L'!BJ222</f>
        <v>1019.321654</v>
      </c>
      <c r="Q55" s="1566">
        <f>+'qtrP&amp;L'!BN222</f>
        <v>982.99906199999998</v>
      </c>
      <c r="R55" s="1566">
        <f>+'qtrP&amp;L'!BR222</f>
        <v>960.09</v>
      </c>
      <c r="S55" s="1566">
        <f>+'qtrP&amp;L'!BV222</f>
        <v>936.09199999999998</v>
      </c>
      <c r="T55" s="1566">
        <f>+'qtrP&amp;L'!BZ222</f>
        <v>884.51</v>
      </c>
      <c r="U55" s="1566">
        <f>'qtrP&amp;L'!CD222</f>
        <v>855.23800000000006</v>
      </c>
      <c r="V55" s="1566">
        <f>'qtrP&amp;L'!$CH$222</f>
        <v>812.82600000000002</v>
      </c>
      <c r="W55" s="1566">
        <f>'qtrP&amp;L'!CL222</f>
        <v>773.77200000000005</v>
      </c>
      <c r="X55" s="1566">
        <f>'qtrP&amp;L'!CP222</f>
        <v>747.55499999999995</v>
      </c>
      <c r="Y55" s="1566">
        <f>'qtrP&amp;L'!CT222</f>
        <v>726.37599999999998</v>
      </c>
      <c r="Z55" s="1566">
        <f>'qtrP&amp;L'!$CX222</f>
        <v>703.75874999999996</v>
      </c>
      <c r="AA55" s="1566">
        <f>'qtrP&amp;L'!$DB222</f>
        <v>683.01200000000006</v>
      </c>
      <c r="AB55" s="1566">
        <f>'qtrP&amp;L'!$DF$222</f>
        <v>664.43200000000002</v>
      </c>
      <c r="AC55" s="1566">
        <f>'qtrP&amp;L'!$DJ$222</f>
        <v>646.10500000000002</v>
      </c>
      <c r="AD55" s="1581">
        <f>'qtrP&amp;L'!DN222</f>
        <v>625.93829411764705</v>
      </c>
      <c r="AE55" s="1581">
        <f>'qtrP&amp;L'!DN221+(AE67-AD67)</f>
        <v>597.38666013071895</v>
      </c>
      <c r="AF55" s="1581">
        <f>AE55+(AF67-AE67)</f>
        <v>578.33402855177155</v>
      </c>
      <c r="AG55" s="1581">
        <f>AF55+(AG67-AF67)</f>
        <v>560.33402855177155</v>
      </c>
      <c r="AH55" s="1581">
        <f>AG55+(AH67-AG67)</f>
        <v>542.72618541451664</v>
      </c>
      <c r="AI55" s="467"/>
      <c r="AJ55" s="1583">
        <f>((W55/R55)^(1/5)-1)*100</f>
        <v>-4.2232242481825448</v>
      </c>
      <c r="AK55" s="1583"/>
      <c r="AL55" s="1584">
        <f>((AC55/X55)^(1/5)-1)*100</f>
        <v>-2.8747856522248871</v>
      </c>
      <c r="AM55" s="1584" t="s">
        <v>190</v>
      </c>
      <c r="AN55" s="1584">
        <f>((AH55/AC55)^(1/5)-1)*100</f>
        <v>-3.4270418044043183</v>
      </c>
      <c r="AO55" s="1585" t="s">
        <v>190</v>
      </c>
    </row>
    <row r="56" spans="1:43" ht="13.5" hidden="1" customHeight="1" outlineLevel="1" thickBot="1">
      <c r="A56" s="467"/>
      <c r="B56" s="1547"/>
      <c r="C56" s="1547"/>
      <c r="D56" s="1547"/>
      <c r="E56" s="1547"/>
      <c r="F56" s="1547"/>
      <c r="G56" s="1547"/>
      <c r="H56" s="1547"/>
      <c r="I56" s="1547"/>
      <c r="J56" s="1547"/>
      <c r="K56" s="1547"/>
      <c r="L56" s="1547"/>
      <c r="M56" s="1547"/>
      <c r="N56" s="1547"/>
      <c r="O56" s="1547"/>
      <c r="P56" s="1547"/>
      <c r="Q56" s="1547"/>
      <c r="R56" s="1547"/>
      <c r="S56" s="1547"/>
      <c r="T56" s="1547"/>
      <c r="U56" s="1547"/>
      <c r="V56" s="1547"/>
      <c r="W56" s="1547"/>
      <c r="X56" s="1547"/>
      <c r="Y56" s="1547"/>
      <c r="Z56" s="1547"/>
      <c r="AA56" s="1547"/>
      <c r="AB56" s="1547"/>
      <c r="AC56" s="1547"/>
      <c r="AD56" s="1547"/>
      <c r="AE56" s="1547"/>
      <c r="AF56" s="1547"/>
      <c r="AG56" s="1547"/>
      <c r="AH56" s="1547"/>
      <c r="AI56" s="467"/>
      <c r="AJ56" s="1586"/>
      <c r="AK56" s="1587"/>
      <c r="AL56" s="1587"/>
      <c r="AM56" s="1587"/>
      <c r="AN56" s="1587"/>
      <c r="AO56" s="1588"/>
    </row>
    <row r="57" spans="1:43" ht="12.75" hidden="1" customHeight="1" outlineLevel="1">
      <c r="A57" s="467" t="s">
        <v>620</v>
      </c>
      <c r="B57" s="1552"/>
      <c r="C57" s="1552"/>
      <c r="D57" s="1552"/>
      <c r="E57" s="1552"/>
      <c r="F57" s="1552"/>
      <c r="G57" s="1552"/>
      <c r="H57" s="1552"/>
      <c r="I57" s="1552">
        <f>+I50</f>
        <v>0.21923721056586531</v>
      </c>
      <c r="J57" s="1552">
        <f>+J50</f>
        <v>0.3234010547502239</v>
      </c>
      <c r="K57" s="1552">
        <f t="shared" ref="K57:Q57" si="56">+K50</f>
        <v>0.41444093069992438</v>
      </c>
      <c r="L57" s="1552">
        <f t="shared" si="56"/>
        <v>0.46513955933000417</v>
      </c>
      <c r="M57" s="1552">
        <f t="shared" si="56"/>
        <v>0.48573439421286074</v>
      </c>
      <c r="N57" s="1552">
        <f t="shared" si="56"/>
        <v>0.52329545454545323</v>
      </c>
      <c r="O57" s="1552">
        <f t="shared" si="56"/>
        <v>0.57778547377098921</v>
      </c>
      <c r="P57" s="1552">
        <f t="shared" si="56"/>
        <v>0.606971310353425</v>
      </c>
      <c r="Q57" s="1552">
        <f t="shared" si="56"/>
        <v>0.70745031901159816</v>
      </c>
      <c r="R57" s="1552">
        <f t="shared" ref="R57:X57" si="57">+(R37+R25)*(1-R41)/R55</f>
        <v>0.86519189548147613</v>
      </c>
      <c r="S57" s="1552">
        <f t="shared" si="57"/>
        <v>1.089407289021002</v>
      </c>
      <c r="T57" s="1552">
        <f t="shared" si="57"/>
        <v>1.0582506268726852</v>
      </c>
      <c r="U57" s="1552">
        <f t="shared" si="57"/>
        <v>1.467085356358111</v>
      </c>
      <c r="V57" s="1552">
        <f t="shared" si="57"/>
        <v>1.8003490714139878</v>
      </c>
      <c r="W57" s="1552">
        <f t="shared" si="57"/>
        <v>2.0469902328619636</v>
      </c>
      <c r="X57" s="1552">
        <f t="shared" si="57"/>
        <v>2.6140324872138581</v>
      </c>
      <c r="Y57" s="1552">
        <f t="shared" ref="Y57:AD57" si="58">+(Y37+Y25)*(1-Y41)/Y55</f>
        <v>3.0138203535433394</v>
      </c>
      <c r="Z57" s="1552">
        <f t="shared" si="58"/>
        <v>3.2373232169953758</v>
      </c>
      <c r="AA57" s="1552">
        <f t="shared" si="58"/>
        <v>3.4155327223175482</v>
      </c>
      <c r="AB57" s="1552">
        <f t="shared" si="58"/>
        <v>3.6241087515696488</v>
      </c>
      <c r="AC57" s="1552">
        <f t="shared" si="58"/>
        <v>4.138705991736459</v>
      </c>
      <c r="AD57" s="1552">
        <f t="shared" si="58"/>
        <v>4.9541344182212077</v>
      </c>
      <c r="AE57" s="1552">
        <f>+(AE37+AE25)*(1-AE41)/AE55</f>
        <v>5.6292189672919788</v>
      </c>
      <c r="AF57" s="1552">
        <f>+(AF37+AF25)*(1-AF41)/AF55</f>
        <v>6.294669578211769</v>
      </c>
      <c r="AG57" s="1552">
        <f>+(AG37+AG25)*(1-AG41)/AG55</f>
        <v>6.9568623064937718</v>
      </c>
      <c r="AH57" s="1552">
        <f>+(AH37+AH25)*(1-AH41)/AH55</f>
        <v>7.5667735837288372</v>
      </c>
      <c r="AI57" s="467"/>
      <c r="AJ57" s="467"/>
      <c r="AK57" s="467"/>
      <c r="AL57" s="467"/>
      <c r="AM57" s="467"/>
      <c r="AN57" s="467"/>
      <c r="AO57" s="467"/>
    </row>
    <row r="58" spans="1:43" ht="12.75" hidden="1" customHeight="1" outlineLevel="1">
      <c r="A58" s="467" t="s">
        <v>524</v>
      </c>
      <c r="B58" s="1565"/>
      <c r="C58" s="1565"/>
      <c r="D58" s="1565"/>
      <c r="E58" s="1565"/>
      <c r="F58" s="1565"/>
      <c r="G58" s="1565"/>
      <c r="H58" s="1565"/>
      <c r="I58" s="1565">
        <f>+I51</f>
        <v>0.43809545721552223</v>
      </c>
      <c r="J58" s="1565">
        <f t="shared" ref="J58:AH58" si="59">J57/I57-1</f>
        <v>0.47511936461654947</v>
      </c>
      <c r="K58" s="1565">
        <f t="shared" si="59"/>
        <v>0.28150766552080153</v>
      </c>
      <c r="L58" s="1565">
        <f t="shared" si="59"/>
        <v>0.12233016788293072</v>
      </c>
      <c r="M58" s="1565">
        <f t="shared" si="59"/>
        <v>4.4276678837039229E-2</v>
      </c>
      <c r="N58" s="1565">
        <f t="shared" si="59"/>
        <v>7.7328393418507391E-2</v>
      </c>
      <c r="O58" s="1565">
        <f t="shared" si="59"/>
        <v>0.10412859265683339</v>
      </c>
      <c r="P58" s="1565">
        <f t="shared" si="59"/>
        <v>5.0513275094907995E-2</v>
      </c>
      <c r="Q58" s="1565">
        <f t="shared" si="59"/>
        <v>0.16554161118367627</v>
      </c>
      <c r="R58" s="1565">
        <f t="shared" si="59"/>
        <v>0.2229719490271258</v>
      </c>
      <c r="S58" s="1565">
        <f t="shared" si="59"/>
        <v>0.2591510562113517</v>
      </c>
      <c r="T58" s="1565">
        <f t="shared" si="59"/>
        <v>-2.8599645387278216E-2</v>
      </c>
      <c r="U58" s="1565">
        <f t="shared" si="59"/>
        <v>0.38633072270753432</v>
      </c>
      <c r="V58" s="1565">
        <f t="shared" si="59"/>
        <v>0.22716041272688448</v>
      </c>
      <c r="W58" s="1565">
        <f t="shared" si="59"/>
        <v>0.13699629997546237</v>
      </c>
      <c r="X58" s="1565">
        <f t="shared" si="59"/>
        <v>0.27701268196042839</v>
      </c>
      <c r="Y58" s="1565">
        <f t="shared" si="59"/>
        <v>0.15293913456890174</v>
      </c>
      <c r="Z58" s="1565">
        <f t="shared" si="59"/>
        <v>7.4159318484018133E-2</v>
      </c>
      <c r="AA58" s="1565">
        <f t="shared" si="59"/>
        <v>5.5048412956298032E-2</v>
      </c>
      <c r="AB58" s="1565">
        <f t="shared" si="59"/>
        <v>6.1066909969632821E-2</v>
      </c>
      <c r="AC58" s="1565">
        <f t="shared" si="59"/>
        <v>0.14199276993107102</v>
      </c>
      <c r="AD58" s="1565">
        <f t="shared" si="59"/>
        <v>0.19702497063402724</v>
      </c>
      <c r="AE58" s="1565">
        <f t="shared" si="59"/>
        <v>0.13626690196128388</v>
      </c>
      <c r="AF58" s="1565">
        <f t="shared" si="59"/>
        <v>0.11821366601411754</v>
      </c>
      <c r="AG58" s="1565">
        <f t="shared" si="59"/>
        <v>0.1051989655778125</v>
      </c>
      <c r="AH58" s="1565">
        <f t="shared" si="59"/>
        <v>8.7670454058829561E-2</v>
      </c>
      <c r="AI58" s="467"/>
      <c r="AJ58" s="467"/>
      <c r="AK58" s="467"/>
      <c r="AL58" s="467"/>
      <c r="AM58" s="467"/>
      <c r="AN58" s="467"/>
      <c r="AO58" s="467"/>
    </row>
    <row r="59" spans="1:43" ht="12.75" hidden="1" customHeight="1" outlineLevel="1">
      <c r="A59" s="467"/>
      <c r="B59" s="1565"/>
      <c r="C59" s="1565"/>
      <c r="D59" s="1565"/>
      <c r="E59" s="1565"/>
      <c r="F59" s="1565"/>
      <c r="G59" s="1565"/>
      <c r="H59" s="1565"/>
      <c r="I59" s="1565"/>
      <c r="J59" s="1565"/>
      <c r="K59" s="1565"/>
      <c r="L59" s="1565"/>
      <c r="M59" s="1565"/>
      <c r="N59" s="1565"/>
      <c r="O59" s="1565"/>
      <c r="P59" s="1565"/>
      <c r="Q59" s="1565"/>
      <c r="R59" s="1565"/>
      <c r="S59" s="1565"/>
      <c r="T59" s="1565"/>
      <c r="U59" s="1565"/>
      <c r="V59" s="1565"/>
      <c r="W59" s="1565"/>
      <c r="X59" s="1565"/>
      <c r="Y59" s="1565"/>
      <c r="Z59" s="1565"/>
      <c r="AA59" s="1565"/>
      <c r="AB59" s="1565"/>
      <c r="AC59" s="1565"/>
      <c r="AD59" s="1565"/>
      <c r="AE59" s="1565"/>
      <c r="AF59" s="1565"/>
      <c r="AG59" s="1565"/>
      <c r="AH59" s="1565"/>
      <c r="AI59" s="467"/>
      <c r="AJ59" s="467"/>
      <c r="AK59" s="467"/>
      <c r="AL59" s="467"/>
      <c r="AM59" s="467"/>
      <c r="AN59" s="467"/>
      <c r="AO59" s="467"/>
    </row>
    <row r="60" spans="1:43" ht="12.75" hidden="1" customHeight="1" outlineLevel="1">
      <c r="A60" s="467"/>
      <c r="B60" s="1565"/>
      <c r="C60" s="1565"/>
      <c r="D60" s="1565"/>
      <c r="E60" s="1565"/>
      <c r="F60" s="1565"/>
      <c r="G60" s="1565"/>
      <c r="H60" s="1565"/>
      <c r="I60" s="1565"/>
      <c r="J60" s="1565"/>
      <c r="K60" s="1565"/>
      <c r="L60" s="1565"/>
      <c r="M60" s="1565"/>
      <c r="N60" s="1565"/>
      <c r="O60" s="1565"/>
      <c r="P60" s="1565"/>
      <c r="Q60" s="1565"/>
      <c r="R60" s="1565"/>
      <c r="S60" s="1565"/>
      <c r="T60" s="1565"/>
      <c r="U60" s="1565"/>
      <c r="V60" s="1565"/>
      <c r="W60" s="1565"/>
      <c r="X60" s="1565"/>
      <c r="Y60" s="1565"/>
      <c r="Z60" s="1565"/>
      <c r="AA60" s="1565"/>
      <c r="AB60" s="1565"/>
      <c r="AC60" s="1565"/>
      <c r="AD60" s="1565"/>
      <c r="AE60" s="1565"/>
      <c r="AF60" s="1565"/>
      <c r="AG60" s="1565"/>
      <c r="AH60" s="1565"/>
      <c r="AI60" s="467"/>
      <c r="AJ60" s="467"/>
      <c r="AK60" s="467"/>
      <c r="AL60" s="467"/>
      <c r="AM60" s="467"/>
      <c r="AN60" s="467"/>
      <c r="AO60" s="467"/>
    </row>
    <row r="61" spans="1:43" collapsed="1">
      <c r="A61" s="467" t="s">
        <v>497</v>
      </c>
      <c r="B61" s="1547"/>
      <c r="C61" s="1547"/>
      <c r="D61" s="1547"/>
      <c r="E61" s="1547"/>
      <c r="F61" s="1547"/>
      <c r="G61" s="1547"/>
      <c r="H61" s="1547"/>
      <c r="I61" s="1547"/>
      <c r="J61" s="1547"/>
      <c r="K61" s="1547"/>
      <c r="L61" s="1547"/>
      <c r="M61" s="1547"/>
      <c r="N61" s="1547"/>
      <c r="O61" s="1547"/>
      <c r="P61" s="1547"/>
      <c r="Q61" s="1547"/>
      <c r="R61" s="1547"/>
      <c r="S61" s="1547"/>
      <c r="T61" s="1547"/>
      <c r="U61" s="1547"/>
      <c r="V61" s="1547"/>
      <c r="W61" s="1547"/>
      <c r="X61" s="1547"/>
      <c r="Y61" s="1547"/>
      <c r="Z61" s="1547"/>
      <c r="AA61" s="1547"/>
      <c r="AB61" s="1589">
        <f t="shared" ref="AB61:AH61" si="60">AA55-AB55</f>
        <v>18.580000000000041</v>
      </c>
      <c r="AC61" s="1589">
        <f t="shared" si="60"/>
        <v>18.326999999999998</v>
      </c>
      <c r="AD61" s="1589">
        <f t="shared" si="60"/>
        <v>20.166705882352971</v>
      </c>
      <c r="AE61" s="1589">
        <f t="shared" si="60"/>
        <v>28.551633986928096</v>
      </c>
      <c r="AF61" s="1589">
        <f t="shared" si="60"/>
        <v>19.052631578947398</v>
      </c>
      <c r="AG61" s="1589">
        <f t="shared" si="60"/>
        <v>18</v>
      </c>
      <c r="AH61" s="1589">
        <f t="shared" si="60"/>
        <v>17.607843137254918</v>
      </c>
      <c r="AI61" s="467"/>
      <c r="AJ61" s="467"/>
      <c r="AK61" s="467"/>
      <c r="AL61" s="467"/>
      <c r="AM61" s="467"/>
      <c r="AN61" s="467"/>
      <c r="AO61" s="467"/>
    </row>
    <row r="62" spans="1:43">
      <c r="A62" s="467"/>
      <c r="B62" s="1547"/>
      <c r="C62" s="1547"/>
      <c r="D62" s="1547"/>
      <c r="E62" s="1547"/>
      <c r="F62" s="1547"/>
      <c r="G62" s="1547"/>
      <c r="H62" s="1547"/>
      <c r="I62" s="1547"/>
      <c r="J62" s="1547"/>
      <c r="K62" s="1547"/>
      <c r="L62" s="1547"/>
      <c r="M62" s="1547"/>
      <c r="N62" s="1547"/>
      <c r="O62" s="1547"/>
      <c r="P62" s="1547"/>
      <c r="Q62" s="1547"/>
      <c r="R62" s="1547"/>
      <c r="S62" s="1547"/>
      <c r="T62" s="1547"/>
      <c r="U62" s="1547"/>
      <c r="V62" s="1547"/>
      <c r="W62" s="1547"/>
      <c r="X62" s="1547"/>
      <c r="Y62" s="1547"/>
      <c r="Z62" s="1547"/>
      <c r="AA62" s="1547"/>
      <c r="AB62" s="1547"/>
      <c r="AC62" s="1547"/>
      <c r="AD62" s="1547"/>
      <c r="AE62" s="1547"/>
      <c r="AF62" s="1547"/>
      <c r="AG62" s="1547"/>
      <c r="AH62" s="1547"/>
      <c r="AI62" s="467"/>
      <c r="AJ62" s="467"/>
      <c r="AK62" s="467"/>
      <c r="AL62" s="467"/>
      <c r="AM62" s="467"/>
      <c r="AN62" s="467"/>
      <c r="AO62" s="467"/>
    </row>
    <row r="63" spans="1:43" outlineLevel="1">
      <c r="A63" s="467" t="s">
        <v>184</v>
      </c>
      <c r="B63" s="1547"/>
      <c r="C63" s="1547"/>
      <c r="D63" s="1547"/>
      <c r="E63" s="1547"/>
      <c r="F63" s="1547"/>
      <c r="G63" s="1547"/>
      <c r="H63" s="1547"/>
      <c r="I63" s="1547"/>
      <c r="J63" s="1547"/>
      <c r="K63" s="1547"/>
      <c r="L63" s="1547"/>
      <c r="M63" s="1547"/>
      <c r="N63" s="1547"/>
      <c r="O63" s="1547"/>
      <c r="P63" s="1547"/>
      <c r="Q63" s="1547"/>
      <c r="R63" s="1547"/>
      <c r="S63" s="1547"/>
      <c r="T63" s="1547"/>
      <c r="U63" s="1547"/>
      <c r="V63" s="1547"/>
      <c r="W63" s="1547"/>
      <c r="X63" s="1547"/>
      <c r="Y63" s="1547"/>
      <c r="Z63" s="1547"/>
      <c r="AA63" s="1547"/>
      <c r="AB63" s="1589"/>
      <c r="AC63" s="1589"/>
      <c r="AD63" s="1589"/>
      <c r="AE63" s="1547"/>
      <c r="AF63" s="1547"/>
      <c r="AG63" s="1547"/>
      <c r="AH63" s="1547"/>
      <c r="AI63" s="467"/>
      <c r="AJ63" s="467"/>
      <c r="AK63" s="467"/>
      <c r="AL63" s="467"/>
      <c r="AM63" s="467"/>
      <c r="AN63" s="467"/>
      <c r="AO63" s="467"/>
    </row>
    <row r="64" spans="1:43" outlineLevel="1">
      <c r="A64" s="467" t="s">
        <v>185</v>
      </c>
      <c r="B64" s="1547"/>
      <c r="C64" s="1547"/>
      <c r="D64" s="1547"/>
      <c r="E64" s="1547"/>
      <c r="F64" s="1547"/>
      <c r="G64" s="1547"/>
      <c r="H64" s="1547"/>
      <c r="I64" s="1547"/>
      <c r="J64" s="1547"/>
      <c r="K64" s="1547"/>
      <c r="L64" s="1547"/>
      <c r="M64" s="1547"/>
      <c r="N64" s="1547"/>
      <c r="O64" s="1547"/>
      <c r="P64" s="1547"/>
      <c r="Q64" s="1547"/>
      <c r="R64" s="1547"/>
      <c r="S64" s="1547"/>
      <c r="T64" s="1547"/>
      <c r="U64" s="1547"/>
      <c r="V64" s="1547"/>
      <c r="W64" s="1547"/>
      <c r="X64" s="1547"/>
      <c r="Y64" s="1547"/>
      <c r="Z64" s="1547"/>
      <c r="AA64" s="1547"/>
      <c r="AB64" s="1590"/>
      <c r="AC64" s="1590"/>
      <c r="AD64" s="1547"/>
      <c r="AE64" s="1547"/>
      <c r="AF64" s="1547"/>
      <c r="AG64" s="1547"/>
      <c r="AH64" s="1547"/>
      <c r="AI64" s="467"/>
      <c r="AJ64" s="467"/>
      <c r="AK64" s="467"/>
      <c r="AL64" s="467"/>
      <c r="AM64" s="467"/>
      <c r="AN64" s="467"/>
      <c r="AO64" s="467"/>
    </row>
    <row r="65" spans="1:44" outlineLevel="1">
      <c r="A65" s="467"/>
      <c r="B65" s="1547"/>
      <c r="C65" s="1547"/>
      <c r="D65" s="1547"/>
      <c r="E65" s="1547"/>
      <c r="F65" s="1547"/>
      <c r="G65" s="1547"/>
      <c r="H65" s="1547"/>
      <c r="I65" s="1547"/>
      <c r="J65" s="1547"/>
      <c r="K65" s="1547"/>
      <c r="L65" s="1547"/>
      <c r="M65" s="1547"/>
      <c r="N65" s="1547"/>
      <c r="O65" s="1547"/>
      <c r="P65" s="1547"/>
      <c r="Q65" s="1547"/>
      <c r="R65" s="1547"/>
      <c r="S65" s="1547"/>
      <c r="T65" s="1547"/>
      <c r="U65" s="1547"/>
      <c r="V65" s="1547"/>
      <c r="W65" s="1547"/>
      <c r="X65" s="1547"/>
      <c r="Y65" s="1547"/>
      <c r="Z65" s="1547"/>
      <c r="AA65" s="1547"/>
      <c r="AB65" s="1547"/>
      <c r="AC65" s="1547"/>
      <c r="AD65" s="1547"/>
      <c r="AE65" s="1547"/>
      <c r="AF65" s="1547"/>
      <c r="AG65" s="1547"/>
      <c r="AH65" s="1547"/>
      <c r="AI65" s="467"/>
      <c r="AJ65" s="467"/>
      <c r="AK65" s="467"/>
      <c r="AL65" s="467"/>
      <c r="AM65" s="467"/>
      <c r="AN65" s="467"/>
      <c r="AO65" s="467"/>
    </row>
    <row r="66" spans="1:44" outlineLevel="1">
      <c r="A66" s="467" t="s">
        <v>745</v>
      </c>
      <c r="B66" s="1566"/>
      <c r="C66" s="1566"/>
      <c r="D66" s="1566"/>
      <c r="E66" s="1566"/>
      <c r="F66" s="1566"/>
      <c r="G66" s="1566"/>
      <c r="H66" s="1566"/>
      <c r="I66" s="1566"/>
      <c r="J66" s="1566"/>
      <c r="K66" s="1566">
        <f>'qtrP&amp;L'!AP272</f>
        <v>1271.1630560000001</v>
      </c>
      <c r="L66" s="1566">
        <f>'qtrP&amp;L'!AT272</f>
        <v>1156.7840000000001</v>
      </c>
      <c r="M66" s="1566">
        <f>'qtrP&amp;L'!AX272</f>
        <v>1112.5360000000001</v>
      </c>
      <c r="N66" s="1566">
        <f>'qtrP&amp;L'!BB272</f>
        <v>1075.48</v>
      </c>
      <c r="O66" s="1566">
        <f>'qtrP&amp;L'!BF272</f>
        <v>1026.9596839999999</v>
      </c>
      <c r="P66" s="1566">
        <f>'qtrP&amp;L'!BJ272</f>
        <v>983.21803550000004</v>
      </c>
      <c r="Q66" s="1566">
        <f>+'qtrP&amp;L'!BN272</f>
        <v>921.34119999999996</v>
      </c>
      <c r="R66" s="1566">
        <f>+'qtrP&amp;L'!BN272</f>
        <v>921.34119999999996</v>
      </c>
      <c r="S66" s="1566">
        <f>+'qtrP&amp;L'!BV272</f>
        <v>855.89906599999995</v>
      </c>
      <c r="T66" s="1566">
        <f>+'qtrP&amp;L'!BZ272</f>
        <v>825.64318400000002</v>
      </c>
      <c r="U66" s="1566">
        <f>+'qtrP&amp;L'!CD272</f>
        <v>818.77225199999998</v>
      </c>
      <c r="V66" s="1566">
        <f>+'qtrP&amp;L'!CH272</f>
        <v>800.29</v>
      </c>
      <c r="W66" s="1566">
        <f>+'qtrP&amp;L'!CL272</f>
        <v>761.25867679152327</v>
      </c>
      <c r="X66" s="1566">
        <f>+'qtrP&amp;L'!CP272</f>
        <v>731.9897279999999</v>
      </c>
      <c r="Y66" s="1566">
        <f>+'qtrP&amp;L'!CT272</f>
        <v>709.74825299999998</v>
      </c>
      <c r="Z66" s="1566">
        <f>+'qtrP&amp;L'!$CX272</f>
        <v>681.473253</v>
      </c>
      <c r="AA66" s="1566">
        <f>+'qtrP&amp;L'!$DB272</f>
        <v>654.99825299999998</v>
      </c>
      <c r="AB66" s="1566">
        <f>'qtrP&amp;L'!$DF$272</f>
        <v>631.44825300000002</v>
      </c>
      <c r="AC66" s="1566">
        <f>'qtrP&amp;L'!$DJ$272</f>
        <v>608.44825300000002</v>
      </c>
      <c r="AD66" s="1566">
        <f>'qtrP&amp;L'!$DN$272</f>
        <v>582.13207652941196</v>
      </c>
      <c r="AE66" s="1574">
        <f>AD66+AE68/AE69+2</f>
        <v>561.90985430718979</v>
      </c>
      <c r="AF66" s="1574">
        <f>AE66+AF68/AF69+2</f>
        <v>542.85722272824239</v>
      </c>
      <c r="AG66" s="1574">
        <f>AF66+AG68/AG69+2</f>
        <v>524.85722272824239</v>
      </c>
      <c r="AH66" s="1574">
        <f>AG66+AH68/AH69+2</f>
        <v>507.24937959098747</v>
      </c>
      <c r="AI66" s="467"/>
      <c r="AJ66" s="467"/>
      <c r="AK66" s="467"/>
      <c r="AL66" s="467"/>
      <c r="AM66" s="467"/>
      <c r="AN66" s="467"/>
      <c r="AO66" s="467"/>
    </row>
    <row r="67" spans="1:44" outlineLevel="1">
      <c r="A67" s="467" t="s">
        <v>747</v>
      </c>
      <c r="B67" s="1566"/>
      <c r="C67" s="1566"/>
      <c r="D67" s="1566"/>
      <c r="E67" s="1566"/>
      <c r="F67" s="1566"/>
      <c r="G67" s="1566"/>
      <c r="H67" s="1566"/>
      <c r="I67" s="1566"/>
      <c r="J67" s="1566"/>
      <c r="K67" s="1566">
        <f>'qtrP&amp;L'!AP283</f>
        <v>1270.3396849999999</v>
      </c>
      <c r="L67" s="1566">
        <f>'qtrP&amp;L'!AT283</f>
        <v>1152.6680000000001</v>
      </c>
      <c r="M67" s="1566">
        <f>'qtrP&amp;L'!AX283</f>
        <v>1098.4180000000001</v>
      </c>
      <c r="N67" s="1566">
        <f>'qtrP&amp;L'!BB283</f>
        <v>1067.1285</v>
      </c>
      <c r="O67" s="1566">
        <f>'qtrP&amp;L'!BF283</f>
        <v>1016.7180000000001</v>
      </c>
      <c r="P67" s="1566">
        <f>'qtrP&amp;L'!BJ283</f>
        <v>977.61199999999997</v>
      </c>
      <c r="Q67" s="1566">
        <f>+'qtrP&amp;L'!BN283</f>
        <v>933.07399999999996</v>
      </c>
      <c r="R67" s="1566">
        <f>+'qtrP&amp;L'!BN283</f>
        <v>933.07399999999996</v>
      </c>
      <c r="S67" s="1566">
        <f>+'qtrP&amp;L'!BV283</f>
        <v>886.1</v>
      </c>
      <c r="T67" s="1566">
        <f>+'qtrP&amp;L'!BZ283</f>
        <v>838.15200000000004</v>
      </c>
      <c r="U67" s="1566">
        <f>+'qtrP&amp;L'!CD283</f>
        <v>835.59199999999998</v>
      </c>
      <c r="V67" s="1566">
        <f>+'qtrP&amp;L'!CH283</f>
        <v>800.15800000000002</v>
      </c>
      <c r="W67" s="1566">
        <f>+'qtrP&amp;L'!CL283</f>
        <v>760.9682499999999</v>
      </c>
      <c r="X67" s="1566">
        <f>+'qtrP&amp;L'!CP283</f>
        <v>736.29683824999995</v>
      </c>
      <c r="Y67" s="1566">
        <f>+'qtrP&amp;L'!CT283</f>
        <v>712.24943974999996</v>
      </c>
      <c r="Z67" s="1566">
        <f>+'qtrP&amp;L'!$CX283</f>
        <v>684.99825299999998</v>
      </c>
      <c r="AA67" s="1566">
        <f>+'qtrP&amp;L'!$DB283</f>
        <v>658.29825299999993</v>
      </c>
      <c r="AB67" s="1566">
        <f>'qtrP&amp;L'!$DF$283</f>
        <v>634.23575299999993</v>
      </c>
      <c r="AC67" s="1566">
        <f>'qtrP&amp;L'!$DJ$283</f>
        <v>611.23575299999993</v>
      </c>
      <c r="AD67" s="1566">
        <f>'qtrP&amp;L'!$DN$283</f>
        <v>585.80854711764721</v>
      </c>
      <c r="AE67" s="1566">
        <f>AD67+(AE66-AD66)</f>
        <v>565.58632489542504</v>
      </c>
      <c r="AF67" s="1566">
        <f>AE67+(AF66-AE66)</f>
        <v>546.53369331647764</v>
      </c>
      <c r="AG67" s="1566">
        <f>AF67+(AG66-AF66)</f>
        <v>528.53369331647764</v>
      </c>
      <c r="AH67" s="1566">
        <f>AG67+(AH66-AG66)</f>
        <v>510.92585017922272</v>
      </c>
      <c r="AI67" s="467"/>
      <c r="AJ67" s="467"/>
      <c r="AK67" s="467"/>
      <c r="AL67" s="467"/>
      <c r="AM67" s="467"/>
      <c r="AN67" s="467"/>
      <c r="AO67" s="467"/>
    </row>
    <row r="68" spans="1:44" outlineLevel="1">
      <c r="A68" s="467" t="s">
        <v>358</v>
      </c>
      <c r="B68" s="1547"/>
      <c r="C68" s="1547"/>
      <c r="D68" s="1547"/>
      <c r="E68" s="1547"/>
      <c r="F68" s="1547"/>
      <c r="G68" s="1547"/>
      <c r="H68" s="1547"/>
      <c r="I68" s="1547"/>
      <c r="J68" s="1547"/>
      <c r="K68" s="1547"/>
      <c r="L68" s="1547"/>
      <c r="M68" s="1547"/>
      <c r="N68" s="1547"/>
      <c r="O68" s="1547"/>
      <c r="P68" s="1547"/>
      <c r="Q68" s="1547"/>
      <c r="R68" s="1547"/>
      <c r="S68" s="1547"/>
      <c r="T68" s="1547"/>
      <c r="U68" s="1547"/>
      <c r="V68" s="1547"/>
      <c r="W68" s="1547"/>
      <c r="X68" s="1547"/>
      <c r="Y68" s="1547"/>
      <c r="Z68" s="1547"/>
      <c r="AA68" s="1547"/>
      <c r="AB68" s="2091">
        <f>flow!BD51</f>
        <v>-1699.998</v>
      </c>
      <c r="AC68" s="460">
        <f>flow!BF51</f>
        <v>-1644.6</v>
      </c>
      <c r="AD68" s="460">
        <f>flow!BH51</f>
        <v>-2500</v>
      </c>
      <c r="AE68" s="460">
        <f>flow!BJ51</f>
        <v>-2000</v>
      </c>
      <c r="AF68" s="460">
        <f>flow!$BL$51</f>
        <v>-2000</v>
      </c>
      <c r="AG68" s="460">
        <f>flow!$BN$51</f>
        <v>-2000</v>
      </c>
      <c r="AH68" s="460">
        <f>flow!$BN$51</f>
        <v>-2000</v>
      </c>
      <c r="AI68" s="467"/>
      <c r="AJ68" s="467"/>
      <c r="AK68" s="467"/>
      <c r="AL68" s="467"/>
      <c r="AM68" s="467"/>
      <c r="AN68" s="467"/>
      <c r="AO68" s="467"/>
    </row>
    <row r="69" spans="1:44" outlineLevel="1">
      <c r="A69" s="467" t="s">
        <v>769</v>
      </c>
      <c r="B69" s="1547"/>
      <c r="C69" s="1547"/>
      <c r="D69" s="1547"/>
      <c r="E69" s="1547"/>
      <c r="F69" s="1547"/>
      <c r="G69" s="1547"/>
      <c r="H69" s="1547"/>
      <c r="I69" s="1547"/>
      <c r="J69" s="1547"/>
      <c r="K69" s="1547"/>
      <c r="L69" s="1547"/>
      <c r="M69" s="1547"/>
      <c r="N69" s="1547"/>
      <c r="O69" s="1547"/>
      <c r="P69" s="1547"/>
      <c r="Q69" s="1547"/>
      <c r="R69" s="1547"/>
      <c r="S69" s="1547"/>
      <c r="T69" s="1547"/>
      <c r="U69" s="1547"/>
      <c r="V69" s="1547"/>
      <c r="W69" s="1547"/>
      <c r="X69" s="1547"/>
      <c r="Y69" s="1547"/>
      <c r="Z69" s="1547"/>
      <c r="AA69" s="1547"/>
      <c r="AB69" s="460"/>
      <c r="AC69" s="460">
        <v>82</v>
      </c>
      <c r="AD69" s="460">
        <f>AC69+4</f>
        <v>86</v>
      </c>
      <c r="AE69" s="460">
        <f>AD69+4</f>
        <v>90</v>
      </c>
      <c r="AF69" s="460">
        <f>AE69+5</f>
        <v>95</v>
      </c>
      <c r="AG69" s="460">
        <f>AF69+5</f>
        <v>100</v>
      </c>
      <c r="AH69" s="460">
        <v>102</v>
      </c>
      <c r="AI69" s="467"/>
      <c r="AJ69" s="467"/>
      <c r="AK69" s="467"/>
      <c r="AL69" s="467"/>
      <c r="AM69" s="467"/>
      <c r="AN69" s="467"/>
      <c r="AO69" s="467"/>
    </row>
    <row r="70" spans="1:44" outlineLevel="1">
      <c r="A70" s="467" t="s">
        <v>128</v>
      </c>
      <c r="B70" s="1552"/>
      <c r="C70" s="1552"/>
      <c r="D70" s="1552"/>
      <c r="E70" s="1552"/>
      <c r="F70" s="1552"/>
      <c r="G70" s="1552"/>
      <c r="H70" s="1552"/>
      <c r="I70" s="1552"/>
      <c r="J70" s="1552"/>
      <c r="K70" s="1552">
        <f>'qtrP&amp;L'!AP234</f>
        <v>7.0000000000000007E-2</v>
      </c>
      <c r="L70" s="1552">
        <f>'qtrP&amp;L'!AT234</f>
        <v>0.08</v>
      </c>
      <c r="M70" s="1552">
        <f>'qtrP&amp;L'!AX234</f>
        <v>0.09</v>
      </c>
      <c r="N70" s="1552">
        <f>'qtrP&amp;L'!BB234</f>
        <v>0.12</v>
      </c>
      <c r="O70" s="1552">
        <f>'qtrP&amp;L'!BF234</f>
        <v>0.14000000000000001</v>
      </c>
      <c r="P70" s="1552">
        <f>'qtrP&amp;L'!BJ234</f>
        <v>0.18</v>
      </c>
      <c r="Q70" s="1552">
        <f>+'qtrP&amp;L'!BN234</f>
        <v>0.12</v>
      </c>
      <c r="R70" s="1552">
        <f>'qtrP&amp;L'!$BR$234</f>
        <v>0.14000000000000001</v>
      </c>
      <c r="S70" s="1552">
        <f>'qtrP&amp;L'!$BV$234</f>
        <v>0.18</v>
      </c>
      <c r="T70" s="1552">
        <f>'qtrP&amp;L'!$BZ$234</f>
        <v>0.21</v>
      </c>
      <c r="U70" s="1552">
        <f>'qtrP&amp;L'!$CD$234</f>
        <v>0.24</v>
      </c>
      <c r="V70" s="1552">
        <f>'qtrP&amp;L'!$CH$234</f>
        <v>0.3</v>
      </c>
      <c r="W70" s="1552">
        <f>'qtrP&amp;L'!$CL$234</f>
        <v>0.38</v>
      </c>
      <c r="X70" s="1552">
        <f>'qtrP&amp;L'!$CP$234</f>
        <v>0.46</v>
      </c>
      <c r="Y70" s="1552">
        <f>'qtrP&amp;L'!$CT$234</f>
        <v>0.57999999999999996</v>
      </c>
      <c r="Z70" s="1552">
        <f>'qtrP&amp;L'!$CX$234</f>
        <v>0.7</v>
      </c>
      <c r="AA70" s="1552">
        <f>'qtrP&amp;L'!$DB$234</f>
        <v>0.84</v>
      </c>
      <c r="AB70" s="2092">
        <f>'qtrP&amp;L'!$DF$234</f>
        <v>1.04</v>
      </c>
      <c r="AC70" s="1591">
        <f>'qtrP&amp;L'!$DJ$234</f>
        <v>1.25</v>
      </c>
      <c r="AD70" s="1591">
        <f>'qtrP&amp;L'!DN234</f>
        <v>1.56</v>
      </c>
      <c r="AE70" s="1591">
        <f>+AD70*1.2</f>
        <v>1.8719999999999999</v>
      </c>
      <c r="AF70" s="1591">
        <f>+AE70*1.2</f>
        <v>2.2464</v>
      </c>
      <c r="AG70" s="1591">
        <f>+AF70*1.2</f>
        <v>2.6956799999999999</v>
      </c>
      <c r="AH70" s="1591">
        <f>+AG70*1.2</f>
        <v>3.2348159999999999</v>
      </c>
      <c r="AI70" s="467"/>
      <c r="AJ70" s="467"/>
      <c r="AK70" s="467"/>
      <c r="AL70" s="467"/>
      <c r="AM70" s="467"/>
      <c r="AN70" s="467"/>
      <c r="AO70" s="467"/>
    </row>
    <row r="71" spans="1:44" outlineLevel="1">
      <c r="A71" s="467"/>
      <c r="B71" s="1547"/>
      <c r="C71" s="1547"/>
      <c r="D71" s="1547"/>
      <c r="E71" s="1547"/>
      <c r="F71" s="1547"/>
      <c r="G71" s="1547"/>
      <c r="H71" s="1547"/>
      <c r="I71" s="1547"/>
      <c r="J71" s="1547"/>
      <c r="K71" s="1547"/>
      <c r="L71" s="1547"/>
      <c r="M71" s="1547"/>
      <c r="N71" s="1547"/>
      <c r="O71" s="1547"/>
      <c r="P71" s="1547"/>
      <c r="Q71" s="1547"/>
      <c r="R71" s="1547"/>
      <c r="S71" s="1547"/>
      <c r="T71" s="1547"/>
      <c r="U71" s="1547"/>
      <c r="V71" s="1547"/>
      <c r="W71" s="1547"/>
      <c r="X71" s="1547"/>
      <c r="Y71" s="1547"/>
      <c r="Z71" s="1547"/>
      <c r="AA71" s="1547"/>
      <c r="AB71" s="1547"/>
      <c r="AC71" s="1547"/>
      <c r="AD71" s="1547"/>
      <c r="AE71" s="1547"/>
      <c r="AF71" s="1547"/>
      <c r="AG71" s="1547"/>
      <c r="AH71" s="1547"/>
      <c r="AI71" s="467"/>
      <c r="AJ71" s="467"/>
      <c r="AK71" s="467"/>
      <c r="AL71" s="467"/>
      <c r="AM71" s="467"/>
      <c r="AN71" s="467"/>
      <c r="AO71" s="467"/>
    </row>
    <row r="72" spans="1:44">
      <c r="A72" s="467"/>
      <c r="B72" s="1547"/>
      <c r="C72" s="1547"/>
      <c r="D72" s="1547"/>
      <c r="E72" s="1547"/>
      <c r="F72" s="1547"/>
      <c r="G72" s="1547"/>
      <c r="H72" s="1547"/>
      <c r="I72" s="1547"/>
      <c r="J72" s="1547"/>
      <c r="K72" s="1547"/>
      <c r="L72" s="1547"/>
      <c r="M72" s="1547"/>
      <c r="N72" s="1547"/>
      <c r="O72" s="1547"/>
      <c r="P72" s="1547"/>
      <c r="Q72" s="1547"/>
      <c r="R72" s="1547"/>
      <c r="S72" s="1547"/>
      <c r="T72" s="1547"/>
      <c r="U72" s="1547"/>
      <c r="V72" s="1547"/>
      <c r="W72" s="1547"/>
      <c r="X72" s="1547"/>
      <c r="Y72" s="1547"/>
      <c r="Z72" s="1547"/>
      <c r="AA72" s="1547"/>
      <c r="AB72" s="1547"/>
      <c r="AC72" s="1547"/>
      <c r="AD72" s="1547"/>
      <c r="AE72" s="1547"/>
      <c r="AF72" s="1547"/>
      <c r="AG72" s="1547"/>
      <c r="AH72" s="1547"/>
      <c r="AI72" s="467"/>
      <c r="AJ72" s="467"/>
      <c r="AK72" s="467"/>
      <c r="AL72" s="467"/>
      <c r="AM72" s="467"/>
      <c r="AN72" s="467"/>
      <c r="AO72" s="467"/>
    </row>
    <row r="73" spans="1:44">
      <c r="A73" s="467" t="s">
        <v>622</v>
      </c>
      <c r="B73" s="1566"/>
      <c r="C73" s="1566"/>
      <c r="D73" s="1566"/>
      <c r="E73" s="1566"/>
      <c r="F73" s="1566"/>
      <c r="G73" s="1566"/>
      <c r="H73" s="1566"/>
      <c r="I73" s="1566">
        <f>flow!$R$9</f>
        <v>124.89100000000001</v>
      </c>
      <c r="J73" s="1566">
        <f>flow!$T$9</f>
        <v>136.46899999999999</v>
      </c>
      <c r="K73" s="1566">
        <f>flow!$V$9</f>
        <v>160.46600000000001</v>
      </c>
      <c r="L73" s="1566">
        <f>flow!$X$9</f>
        <v>175.78100000000001</v>
      </c>
      <c r="M73" s="1566">
        <f>flow!$Z$9</f>
        <v>204.08099999999999</v>
      </c>
      <c r="N73" s="1566">
        <f>flow!$AB$9</f>
        <v>207.876</v>
      </c>
      <c r="O73" s="1566">
        <f>'qtrP&amp;L'!BF55</f>
        <v>238.38499999999999</v>
      </c>
      <c r="P73" s="1566">
        <f>'qtrP&amp;L'!BJ55</f>
        <v>279.05900000000003</v>
      </c>
      <c r="Q73" s="1566">
        <f>'qtrP&amp;L'!BN55</f>
        <v>314.28500000000003</v>
      </c>
      <c r="R73" s="1566">
        <f>'qtrP&amp;L'!BR55</f>
        <v>353.11</v>
      </c>
      <c r="S73" s="1566">
        <f>'qtrP&amp;L'!BV55</f>
        <v>369.39600000000002</v>
      </c>
      <c r="T73" s="1566">
        <f>'qtrP&amp;L'!$BZ$55</f>
        <v>401.70699999999999</v>
      </c>
      <c r="U73" s="1566">
        <f>'qtrP&amp;L'!$CD$55</f>
        <v>435.21800000000002</v>
      </c>
      <c r="V73" s="1566">
        <f>'qtrP&amp;L'!$CH$55</f>
        <v>458.05200000000002</v>
      </c>
      <c r="W73" s="1566">
        <f>'qtrP&amp;L'!$CH$55</f>
        <v>458.05200000000002</v>
      </c>
      <c r="X73" s="1566">
        <f>+'qtrP&amp;L'!CP55</f>
        <v>485.7</v>
      </c>
      <c r="Y73" s="1566">
        <f>+'qtrP&amp;L'!CT55</f>
        <v>548.79999999999995</v>
      </c>
      <c r="Z73" s="1566">
        <f>+'qtrP&amp;L'!$CX55</f>
        <v>589</v>
      </c>
      <c r="AA73" s="1566">
        <f>+'qtrP&amp;L'!$DB55</f>
        <v>616.70000000000005</v>
      </c>
      <c r="AB73" s="1581">
        <f>'qtrP&amp;L'!$DF$55</f>
        <v>658.8</v>
      </c>
      <c r="AC73" s="1581">
        <f>'qtrP&amp;L'!$DJ$55</f>
        <v>726</v>
      </c>
      <c r="AD73" s="1581">
        <f>'qtrP&amp;L'!$DN$55</f>
        <v>720</v>
      </c>
      <c r="AE73" s="1574">
        <f>AD73*1.06</f>
        <v>763.2</v>
      </c>
      <c r="AF73" s="1574">
        <f>AE73*1.06</f>
        <v>808.99200000000008</v>
      </c>
      <c r="AG73" s="1574">
        <f>AF73*1.06</f>
        <v>857.53152000000011</v>
      </c>
      <c r="AH73" s="1574">
        <f>AG73*1.06</f>
        <v>908.98341120000021</v>
      </c>
      <c r="AI73" s="467"/>
      <c r="AJ73" s="467"/>
      <c r="AK73" s="467"/>
      <c r="AL73" s="467"/>
      <c r="AM73" s="467"/>
      <c r="AN73" s="467"/>
      <c r="AO73" s="467"/>
    </row>
    <row r="74" spans="1:44">
      <c r="A74" s="467"/>
      <c r="B74" s="1565"/>
      <c r="C74" s="1565"/>
      <c r="D74" s="1565"/>
      <c r="E74" s="1565"/>
      <c r="F74" s="1565"/>
      <c r="G74" s="1565"/>
      <c r="H74" s="1565"/>
      <c r="I74" s="1565">
        <f t="shared" ref="I74:AD74" si="61">+I73/I7</f>
        <v>1.6902129348095138E-2</v>
      </c>
      <c r="J74" s="1565">
        <f t="shared" si="61"/>
        <v>1.7168350071349755E-2</v>
      </c>
      <c r="K74" s="1565">
        <f t="shared" si="61"/>
        <v>1.8244419464064354E-2</v>
      </c>
      <c r="L74" s="1565">
        <f t="shared" si="61"/>
        <v>1.8350651414144641E-2</v>
      </c>
      <c r="M74" s="1565">
        <f t="shared" si="61"/>
        <v>1.9056964993363526E-2</v>
      </c>
      <c r="N74" s="1565">
        <f t="shared" si="61"/>
        <v>1.7350171814909804E-2</v>
      </c>
      <c r="O74" s="1565">
        <f t="shared" si="61"/>
        <v>1.7886112615469848E-2</v>
      </c>
      <c r="P74" s="1565">
        <f t="shared" si="61"/>
        <v>1.8711859597117589E-2</v>
      </c>
      <c r="Q74" s="1565">
        <f t="shared" si="61"/>
        <v>1.9571943715054271E-2</v>
      </c>
      <c r="R74" s="1565">
        <f t="shared" si="61"/>
        <v>2.0288271453176528E-2</v>
      </c>
      <c r="S74" s="1565">
        <f t="shared" si="61"/>
        <v>1.9997647246452775E-2</v>
      </c>
      <c r="T74" s="1565">
        <f t="shared" si="61"/>
        <v>2.1143024515638698E-2</v>
      </c>
      <c r="U74" s="1565">
        <f t="shared" si="61"/>
        <v>2.1451521861410368E-2</v>
      </c>
      <c r="V74" s="1565">
        <f t="shared" si="61"/>
        <v>2.1144194839454157E-2</v>
      </c>
      <c r="W74" s="1565">
        <f t="shared" si="61"/>
        <v>1.9758758283177809E-2</v>
      </c>
      <c r="X74" s="1565">
        <f t="shared" si="61"/>
        <v>1.8768568594655026E-2</v>
      </c>
      <c r="Y74" s="1565">
        <f t="shared" si="61"/>
        <v>2.0012620203352725E-2</v>
      </c>
      <c r="Z74" s="1565">
        <f t="shared" si="61"/>
        <v>2.0255580025411984E-2</v>
      </c>
      <c r="AA74" s="1565">
        <f t="shared" si="61"/>
        <v>1.9928946052501385E-2</v>
      </c>
      <c r="AB74" s="1565">
        <f t="shared" si="61"/>
        <v>1.9853094334382516E-2</v>
      </c>
      <c r="AC74" s="1565">
        <f t="shared" si="61"/>
        <v>2.0242765971542349E-2</v>
      </c>
      <c r="AD74" s="1565">
        <f t="shared" si="61"/>
        <v>1.9026575767871871E-2</v>
      </c>
      <c r="AE74" s="1565">
        <f>+AE73/AE7</f>
        <v>1.8914519578948574E-2</v>
      </c>
      <c r="AF74" s="1565">
        <f>+AF73/AF7</f>
        <v>1.8850416913281935E-2</v>
      </c>
      <c r="AG74" s="1565">
        <f>+AG73/AG7</f>
        <v>1.8807695328111749E-2</v>
      </c>
      <c r="AH74" s="1565">
        <f>+AH73/AH7</f>
        <v>1.9060803707691528E-2</v>
      </c>
      <c r="AI74" s="467"/>
      <c r="AJ74" s="467"/>
      <c r="AK74" s="467"/>
      <c r="AL74" s="467"/>
      <c r="AM74" s="467"/>
      <c r="AN74" s="467"/>
      <c r="AO74" s="467"/>
    </row>
    <row r="75" spans="1:44">
      <c r="A75" s="467" t="s">
        <v>436</v>
      </c>
      <c r="B75" s="1566"/>
      <c r="C75" s="1566"/>
      <c r="D75" s="1566"/>
      <c r="E75" s="1566"/>
      <c r="F75" s="1566"/>
      <c r="G75" s="1566"/>
      <c r="H75" s="1566"/>
      <c r="I75" s="1566">
        <f t="shared" ref="I75:AD75" si="62">+I73+I28</f>
        <v>651.6640000000001</v>
      </c>
      <c r="J75" s="1566">
        <f t="shared" si="62"/>
        <v>841.66700000000083</v>
      </c>
      <c r="K75" s="1566">
        <f t="shared" si="62"/>
        <v>1021.7480000000002</v>
      </c>
      <c r="L75" s="1566">
        <f t="shared" si="62"/>
        <v>1063.6269999999995</v>
      </c>
      <c r="M75" s="1566">
        <f t="shared" si="62"/>
        <v>1103.7679999999991</v>
      </c>
      <c r="N75" s="1566">
        <f t="shared" si="62"/>
        <v>1170.9729999999986</v>
      </c>
      <c r="O75" s="1566">
        <f t="shared" si="62"/>
        <v>1252.3750000000007</v>
      </c>
      <c r="P75" s="1566">
        <f t="shared" si="62"/>
        <v>1293.7670000000005</v>
      </c>
      <c r="Q75" s="1566">
        <f t="shared" si="62"/>
        <v>1353.2440000000017</v>
      </c>
      <c r="R75" s="1566">
        <f t="shared" si="62"/>
        <v>1620.4840000000008</v>
      </c>
      <c r="S75" s="1566">
        <f t="shared" si="62"/>
        <v>1824.9070000000004</v>
      </c>
      <c r="T75" s="1566">
        <f t="shared" si="62"/>
        <v>1836.437999999996</v>
      </c>
      <c r="U75" s="1566">
        <f t="shared" si="62"/>
        <v>2426.2889999999998</v>
      </c>
      <c r="V75" s="1566">
        <f t="shared" si="62"/>
        <v>2790.5889999999968</v>
      </c>
      <c r="W75" s="1566">
        <f t="shared" si="62"/>
        <v>2973.8850000000029</v>
      </c>
      <c r="X75" s="1566">
        <f t="shared" si="62"/>
        <v>3592.2260000000015</v>
      </c>
      <c r="Y75" s="1566">
        <f t="shared" si="62"/>
        <v>3899.37</v>
      </c>
      <c r="Z75" s="1566">
        <f t="shared" si="62"/>
        <v>4195.5009999999984</v>
      </c>
      <c r="AA75" s="1566">
        <f t="shared" si="62"/>
        <v>4321.3999999999978</v>
      </c>
      <c r="AB75" s="1566">
        <f t="shared" si="62"/>
        <v>4508.3230000000058</v>
      </c>
      <c r="AC75" s="1566">
        <f t="shared" si="62"/>
        <v>4713.4260000000031</v>
      </c>
      <c r="AD75" s="1566">
        <f t="shared" si="62"/>
        <v>4830.2720385813982</v>
      </c>
      <c r="AE75" s="1566">
        <f>+AE73+AE28</f>
        <v>5221.8699465452664</v>
      </c>
      <c r="AF75" s="1566">
        <f>+AF73+AF28</f>
        <v>5637.0868065330869</v>
      </c>
      <c r="AG75" s="1566">
        <f>+AG73+AG28</f>
        <v>6027.972271592248</v>
      </c>
      <c r="AH75" s="1566">
        <f>+AH73+AH28</f>
        <v>6355.0237330544032</v>
      </c>
      <c r="AI75" s="467"/>
      <c r="AJ75" s="467"/>
      <c r="AK75" s="467"/>
      <c r="AL75" s="467"/>
      <c r="AM75" s="467"/>
      <c r="AN75" s="467"/>
      <c r="AO75" s="467"/>
    </row>
    <row r="76" spans="1:44" hidden="1" outlineLevel="1">
      <c r="A76" s="467"/>
      <c r="B76" s="1547"/>
      <c r="C76" s="1547"/>
      <c r="D76" s="1547"/>
      <c r="E76" s="1547"/>
      <c r="F76" s="1547"/>
      <c r="G76" s="1547"/>
      <c r="H76" s="1547"/>
      <c r="I76" s="1547"/>
      <c r="J76" s="1547"/>
      <c r="K76" s="1547"/>
      <c r="L76" s="1547"/>
      <c r="M76" s="1547"/>
      <c r="N76" s="1547"/>
      <c r="O76" s="1547"/>
      <c r="P76" s="1547"/>
      <c r="Q76" s="1547"/>
      <c r="R76" s="1547"/>
      <c r="S76" s="1547"/>
      <c r="T76" s="1547"/>
      <c r="U76" s="1547"/>
      <c r="V76" s="1547"/>
      <c r="W76" s="1547"/>
      <c r="X76" s="1547"/>
      <c r="Y76" s="1547"/>
      <c r="Z76" s="1547"/>
      <c r="AA76" s="1547"/>
      <c r="AB76" s="1547"/>
      <c r="AC76" s="1547"/>
      <c r="AD76" s="1547"/>
      <c r="AE76" s="1547"/>
      <c r="AF76" s="1547"/>
      <c r="AG76" s="1547"/>
      <c r="AH76" s="1547"/>
      <c r="AI76" s="467"/>
      <c r="AJ76" s="467"/>
      <c r="AK76" s="467"/>
      <c r="AL76" s="467"/>
      <c r="AM76" s="467"/>
      <c r="AN76" s="467"/>
      <c r="AO76" s="467"/>
    </row>
    <row r="77" spans="1:44" collapsed="1">
      <c r="A77" s="467" t="s">
        <v>623</v>
      </c>
      <c r="B77" s="1566"/>
      <c r="C77" s="1566"/>
      <c r="D77" s="1566"/>
      <c r="E77" s="1566"/>
      <c r="F77" s="1566"/>
      <c r="G77" s="1566"/>
      <c r="H77" s="1566"/>
      <c r="I77" s="1566">
        <f>flow!$R$38</f>
        <v>173.61900000000048</v>
      </c>
      <c r="J77" s="1566">
        <f>flow!$T$38</f>
        <v>443.82800000000009</v>
      </c>
      <c r="K77" s="1566">
        <f>flow!$V$38</f>
        <v>356.65500000000054</v>
      </c>
      <c r="L77" s="1566">
        <f>flow!$X$38</f>
        <v>308.94099999999975</v>
      </c>
      <c r="M77" s="1566">
        <f>flow!$Z$38</f>
        <v>463.00199999999927</v>
      </c>
      <c r="N77" s="1566">
        <f>flow!$AB$38</f>
        <v>511.83600000000018</v>
      </c>
      <c r="O77" s="1566">
        <f>flow!$AD$38</f>
        <v>304.32500000000073</v>
      </c>
      <c r="P77" s="1566">
        <f>flow!$AF$38</f>
        <v>650.69800000000055</v>
      </c>
      <c r="Q77" s="1566">
        <f>flow!$AH$38</f>
        <v>671.75900000000172</v>
      </c>
      <c r="R77" s="1566">
        <f>flow!$AJ$38</f>
        <v>820.65400000000091</v>
      </c>
      <c r="S77" s="1566"/>
      <c r="T77" s="1566"/>
      <c r="U77" s="1566"/>
      <c r="V77" s="1566"/>
      <c r="W77" s="1566"/>
      <c r="X77" s="1566"/>
      <c r="Y77" s="1566"/>
      <c r="Z77" s="1566"/>
      <c r="AA77" s="1566"/>
      <c r="AB77" s="1592"/>
      <c r="AC77" s="1566"/>
      <c r="AD77" s="1566"/>
      <c r="AE77" s="1566"/>
      <c r="AF77" s="1566"/>
      <c r="AG77" s="1566"/>
      <c r="AH77" s="1566"/>
      <c r="AI77" s="467"/>
      <c r="AJ77" s="467"/>
      <c r="AK77" s="467"/>
      <c r="AL77" s="467"/>
      <c r="AM77" s="467"/>
      <c r="AN77" s="467"/>
      <c r="AO77" s="467"/>
    </row>
    <row r="78" spans="1:44">
      <c r="A78" s="467" t="s">
        <v>624</v>
      </c>
      <c r="B78" s="1566"/>
      <c r="C78" s="1566"/>
      <c r="D78" s="1566"/>
      <c r="E78" s="1566"/>
      <c r="F78" s="1566"/>
      <c r="G78" s="1566"/>
      <c r="H78" s="1566"/>
      <c r="I78" s="1565">
        <f t="shared" ref="I78:R78" si="63">+I77/I55</f>
        <v>0.1241511365633645</v>
      </c>
      <c r="J78" s="1565">
        <f t="shared" si="63"/>
        <v>0.33156336382756874</v>
      </c>
      <c r="K78" s="1565">
        <f t="shared" si="63"/>
        <v>0.28057376141995155</v>
      </c>
      <c r="L78" s="1565">
        <f t="shared" si="63"/>
        <v>0.26706887370503024</v>
      </c>
      <c r="M78" s="1565">
        <f t="shared" si="63"/>
        <v>0.4161681060208382</v>
      </c>
      <c r="N78" s="1565">
        <f t="shared" si="63"/>
        <v>0.46308265778807201</v>
      </c>
      <c r="O78" s="1565">
        <f t="shared" si="63"/>
        <v>0.28639603539236769</v>
      </c>
      <c r="P78" s="1565">
        <f t="shared" si="63"/>
        <v>0.63836375637321696</v>
      </c>
      <c r="Q78" s="1565">
        <f t="shared" si="63"/>
        <v>0.68337705087250811</v>
      </c>
      <c r="R78" s="1565">
        <f t="shared" si="63"/>
        <v>0.85476778218708749</v>
      </c>
      <c r="S78" s="1565"/>
      <c r="T78" s="1565"/>
      <c r="U78" s="1565"/>
      <c r="V78" s="1565"/>
      <c r="W78" s="1565"/>
      <c r="X78" s="1565"/>
      <c r="Y78" s="1565"/>
      <c r="Z78" s="1565"/>
      <c r="AA78" s="1565"/>
      <c r="AB78" s="1565"/>
      <c r="AC78" s="1565"/>
      <c r="AD78" s="1565"/>
      <c r="AE78" s="1565"/>
      <c r="AF78" s="1565"/>
      <c r="AG78" s="1565"/>
      <c r="AH78" s="1565"/>
      <c r="AI78" s="467"/>
      <c r="AJ78" s="467"/>
      <c r="AK78" s="467"/>
      <c r="AL78" s="467"/>
      <c r="AM78" s="467"/>
      <c r="AN78" s="467"/>
      <c r="AO78" s="467"/>
    </row>
    <row r="79" spans="1:44">
      <c r="A79" s="467"/>
      <c r="B79" s="1547"/>
      <c r="C79" s="1547"/>
      <c r="D79" s="1547"/>
      <c r="E79" s="1547"/>
      <c r="F79" s="1547"/>
      <c r="G79" s="1547"/>
      <c r="H79" s="1547"/>
      <c r="I79" s="1547"/>
      <c r="J79" s="1547"/>
      <c r="K79" s="1547"/>
      <c r="L79" s="1547"/>
      <c r="M79" s="1547"/>
      <c r="N79" s="1547"/>
      <c r="O79" s="1547"/>
      <c r="P79" s="1547"/>
      <c r="Q79" s="1547"/>
      <c r="R79" s="1547"/>
      <c r="S79" s="1547"/>
      <c r="T79" s="1547"/>
      <c r="U79" s="1547"/>
      <c r="V79" s="1547"/>
      <c r="W79" s="1547"/>
      <c r="X79" s="1547"/>
      <c r="Y79" s="1547"/>
      <c r="Z79" s="1547"/>
      <c r="AA79" s="1547"/>
      <c r="AB79" s="1547"/>
      <c r="AC79" s="1547"/>
      <c r="AD79" s="1547"/>
      <c r="AE79" s="1547"/>
      <c r="AF79" s="1547"/>
      <c r="AG79" s="1547"/>
      <c r="AH79" s="1547"/>
      <c r="AI79" s="467"/>
      <c r="AJ79" s="467"/>
      <c r="AK79" s="467"/>
      <c r="AL79" s="467"/>
      <c r="AM79" s="467"/>
      <c r="AN79" s="467"/>
      <c r="AO79" s="467"/>
    </row>
    <row r="80" spans="1:44">
      <c r="A80" s="467"/>
      <c r="B80" s="1547"/>
      <c r="C80" s="1547"/>
      <c r="D80" s="1547"/>
      <c r="E80" s="1547"/>
      <c r="F80" s="1547"/>
      <c r="G80" s="1547"/>
      <c r="H80" s="1547"/>
      <c r="I80" s="1547"/>
      <c r="J80" s="1547"/>
      <c r="K80" s="1547"/>
      <c r="L80" s="1547"/>
      <c r="M80" s="1547"/>
      <c r="N80" s="1547"/>
      <c r="O80" s="1547"/>
      <c r="P80" s="1547"/>
      <c r="Q80" s="1547"/>
      <c r="R80" s="1547"/>
      <c r="S80" s="1547"/>
      <c r="T80" s="1547"/>
      <c r="U80" s="1547"/>
      <c r="V80" s="1547"/>
      <c r="W80" s="1547"/>
      <c r="X80" s="1547"/>
      <c r="Y80" s="1547"/>
      <c r="Z80" s="1547"/>
      <c r="AA80" s="1547"/>
      <c r="AB80" s="1547"/>
      <c r="AC80" s="1547"/>
      <c r="AD80" s="1547"/>
      <c r="AE80" s="1547"/>
      <c r="AF80" s="1547"/>
      <c r="AG80" s="1547"/>
      <c r="AH80" s="1547"/>
      <c r="AI80" s="467"/>
      <c r="AJ80" s="467"/>
      <c r="AK80" s="467"/>
      <c r="AL80" s="467"/>
      <c r="AM80" s="467"/>
      <c r="AN80" s="467"/>
      <c r="AO80" s="467"/>
      <c r="AR80" s="629"/>
    </row>
    <row r="81" spans="1:41">
      <c r="A81" s="467"/>
      <c r="B81" s="1547"/>
      <c r="C81" s="1547"/>
      <c r="D81" s="1547"/>
      <c r="E81" s="1547"/>
      <c r="F81" s="1547"/>
      <c r="G81" s="1547"/>
      <c r="H81" s="1547"/>
      <c r="I81" s="1547"/>
      <c r="J81" s="1547"/>
      <c r="K81" s="1547"/>
      <c r="L81" s="1547"/>
      <c r="M81" s="1547"/>
      <c r="N81" s="1547"/>
      <c r="O81" s="1547"/>
      <c r="P81" s="1547"/>
      <c r="Q81" s="1547"/>
      <c r="R81" s="1547"/>
      <c r="S81" s="1547"/>
      <c r="T81" s="1547"/>
      <c r="U81" s="1547"/>
      <c r="V81" s="1547"/>
      <c r="W81" s="1547"/>
      <c r="X81" s="1547"/>
      <c r="Y81" s="1547"/>
      <c r="Z81" s="1547"/>
      <c r="AA81" s="1547"/>
      <c r="AB81" s="1547"/>
      <c r="AC81" s="1547"/>
      <c r="AD81" s="1547"/>
      <c r="AE81" s="1547"/>
      <c r="AF81" s="1547"/>
      <c r="AG81" s="1547"/>
      <c r="AH81" s="1547"/>
      <c r="AI81" s="467"/>
      <c r="AJ81" s="467"/>
      <c r="AK81" s="467"/>
      <c r="AL81" s="467"/>
      <c r="AM81" s="467"/>
      <c r="AN81" s="467"/>
      <c r="AO81" s="467"/>
    </row>
    <row r="82" spans="1:41">
      <c r="A82" s="467"/>
      <c r="B82" s="1547"/>
      <c r="C82" s="1547"/>
      <c r="D82" s="1547"/>
      <c r="E82" s="1547"/>
      <c r="F82" s="1547"/>
      <c r="G82" s="1547"/>
      <c r="H82" s="1547"/>
      <c r="I82" s="1547"/>
      <c r="J82" s="1547"/>
      <c r="K82" s="1547"/>
      <c r="L82" s="1547"/>
      <c r="M82" s="1547"/>
      <c r="N82" s="1547"/>
      <c r="O82" s="1547"/>
      <c r="P82" s="1547"/>
      <c r="Q82" s="1547"/>
      <c r="R82" s="1547"/>
      <c r="S82" s="1547"/>
      <c r="T82" s="1547"/>
      <c r="U82" s="1547"/>
      <c r="V82" s="1547"/>
      <c r="W82" s="1547"/>
      <c r="X82" s="1547"/>
      <c r="Y82" s="1547"/>
      <c r="Z82" s="1547"/>
      <c r="AA82" s="1547"/>
      <c r="AB82" s="1547"/>
      <c r="AC82" s="1547"/>
      <c r="AD82" s="1547"/>
      <c r="AE82" s="1547"/>
      <c r="AF82" s="1547"/>
      <c r="AG82" s="1547"/>
      <c r="AH82" s="1547"/>
      <c r="AI82" s="467"/>
      <c r="AJ82" s="467"/>
      <c r="AK82" s="467"/>
      <c r="AL82" s="467"/>
      <c r="AM82" s="467"/>
      <c r="AN82" s="467"/>
      <c r="AO82" s="467"/>
    </row>
    <row r="83" spans="1:41">
      <c r="A83" s="467"/>
      <c r="B83" s="1547"/>
      <c r="C83" s="1547"/>
      <c r="D83" s="1547"/>
      <c r="E83" s="1547"/>
      <c r="F83" s="1547"/>
      <c r="G83" s="1547"/>
      <c r="H83" s="1547"/>
      <c r="I83" s="1547"/>
      <c r="J83" s="1547"/>
      <c r="K83" s="1547"/>
      <c r="L83" s="1547"/>
      <c r="M83" s="1547"/>
      <c r="N83" s="1547"/>
      <c r="O83" s="1547"/>
      <c r="P83" s="1547"/>
      <c r="Q83" s="1547"/>
      <c r="R83" s="1547"/>
      <c r="S83" s="1547"/>
      <c r="T83" s="1547"/>
      <c r="U83" s="1547"/>
      <c r="V83" s="1547"/>
      <c r="W83" s="1547"/>
      <c r="X83" s="1547"/>
      <c r="Y83" s="1547"/>
      <c r="Z83" s="1547"/>
      <c r="AA83" s="1547"/>
      <c r="AB83" s="1547"/>
      <c r="AC83" s="1547"/>
      <c r="AD83" s="1547"/>
      <c r="AE83" s="1547"/>
      <c r="AF83" s="1547"/>
      <c r="AG83" s="1547"/>
      <c r="AH83" s="1547"/>
      <c r="AI83" s="467"/>
      <c r="AJ83" s="467"/>
      <c r="AK83" s="467"/>
      <c r="AL83" s="467"/>
      <c r="AM83" s="467"/>
      <c r="AN83" s="467"/>
      <c r="AO83" s="467"/>
    </row>
    <row r="84" spans="1:41">
      <c r="A84" s="467"/>
      <c r="B84" s="1547"/>
      <c r="C84" s="1547"/>
      <c r="D84" s="1547"/>
      <c r="E84" s="1547"/>
      <c r="F84" s="1547"/>
      <c r="G84" s="1547"/>
      <c r="H84" s="1547"/>
      <c r="I84" s="1547"/>
      <c r="J84" s="1547"/>
      <c r="K84" s="1547"/>
      <c r="L84" s="1547"/>
      <c r="M84" s="1547"/>
      <c r="N84" s="1547"/>
      <c r="O84" s="1547"/>
      <c r="P84" s="1547"/>
      <c r="Q84" s="1547"/>
      <c r="R84" s="1547"/>
      <c r="S84" s="1547"/>
      <c r="T84" s="1547"/>
      <c r="U84" s="1547"/>
      <c r="V84" s="1547"/>
      <c r="W84" s="1547"/>
      <c r="X84" s="1547"/>
      <c r="Y84" s="1547"/>
      <c r="Z84" s="1547"/>
      <c r="AA84" s="1547"/>
      <c r="AB84" s="1547"/>
      <c r="AC84" s="1547"/>
      <c r="AD84" s="1547"/>
      <c r="AE84" s="1547"/>
      <c r="AF84" s="1547"/>
      <c r="AG84" s="1547"/>
      <c r="AH84" s="1547"/>
      <c r="AI84" s="467"/>
      <c r="AJ84" s="467"/>
      <c r="AK84" s="467"/>
      <c r="AL84" s="467"/>
      <c r="AM84" s="467"/>
      <c r="AN84" s="467"/>
      <c r="AO84" s="467"/>
    </row>
    <row r="85" spans="1:41">
      <c r="A85" s="467"/>
      <c r="B85" s="1547"/>
      <c r="C85" s="1547"/>
      <c r="D85" s="1547"/>
      <c r="E85" s="1547"/>
      <c r="F85" s="1547"/>
      <c r="G85" s="1547"/>
      <c r="H85" s="1547"/>
      <c r="I85" s="1547"/>
      <c r="J85" s="1547"/>
      <c r="K85" s="1547"/>
      <c r="L85" s="1547"/>
      <c r="M85" s="1547"/>
      <c r="N85" s="1547"/>
      <c r="O85" s="1547"/>
      <c r="P85" s="1547"/>
      <c r="Q85" s="1547"/>
      <c r="R85" s="1547"/>
      <c r="S85" s="1547"/>
      <c r="T85" s="1547"/>
      <c r="U85" s="1547"/>
      <c r="V85" s="1547"/>
      <c r="W85" s="1547"/>
      <c r="X85" s="1547"/>
      <c r="Y85" s="1547"/>
      <c r="Z85" s="1547"/>
      <c r="AA85" s="1547"/>
      <c r="AB85" s="1547"/>
      <c r="AC85" s="1547"/>
      <c r="AD85" s="1547"/>
      <c r="AE85" s="1547"/>
      <c r="AF85" s="1547"/>
      <c r="AG85" s="1547"/>
      <c r="AH85" s="1547"/>
      <c r="AI85" s="467"/>
      <c r="AJ85" s="467"/>
      <c r="AK85" s="467"/>
      <c r="AL85" s="467"/>
      <c r="AM85" s="467"/>
      <c r="AN85" s="467"/>
      <c r="AO85" s="467"/>
    </row>
    <row r="86" spans="1:41">
      <c r="A86" s="467"/>
      <c r="B86" s="1547"/>
      <c r="C86" s="1547"/>
      <c r="D86" s="1547"/>
      <c r="E86" s="1547"/>
      <c r="F86" s="1547"/>
      <c r="G86" s="1547"/>
      <c r="H86" s="1547"/>
      <c r="I86" s="1547"/>
      <c r="J86" s="1547"/>
      <c r="K86" s="1547"/>
      <c r="L86" s="1547"/>
      <c r="M86" s="1547"/>
      <c r="N86" s="1547"/>
      <c r="O86" s="1547"/>
      <c r="P86" s="1547"/>
      <c r="Q86" s="1547"/>
      <c r="R86" s="1547"/>
      <c r="S86" s="1547"/>
      <c r="T86" s="1547"/>
      <c r="U86" s="1547"/>
      <c r="V86" s="1547"/>
      <c r="W86" s="1547"/>
      <c r="X86" s="1547"/>
      <c r="Y86" s="1547"/>
      <c r="Z86" s="1547"/>
      <c r="AA86" s="1547"/>
      <c r="AB86" s="1547"/>
      <c r="AC86" s="1547"/>
      <c r="AD86" s="1547"/>
      <c r="AE86" s="1547"/>
      <c r="AF86" s="1547"/>
      <c r="AG86" s="1547"/>
      <c r="AH86" s="1547"/>
      <c r="AI86" s="467"/>
      <c r="AJ86" s="467"/>
      <c r="AK86" s="467"/>
      <c r="AL86" s="467"/>
      <c r="AM86" s="467"/>
      <c r="AN86" s="467"/>
      <c r="AO86" s="467"/>
    </row>
    <row r="87" spans="1:41">
      <c r="A87" s="467"/>
      <c r="B87" s="1547"/>
      <c r="C87" s="1547"/>
      <c r="D87" s="1547"/>
      <c r="E87" s="1547"/>
      <c r="F87" s="1547"/>
      <c r="G87" s="1547"/>
      <c r="H87" s="1547"/>
      <c r="I87" s="1547"/>
      <c r="J87" s="1547"/>
      <c r="K87" s="1547"/>
      <c r="L87" s="1547"/>
      <c r="M87" s="1547"/>
      <c r="N87" s="1547"/>
      <c r="O87" s="1547"/>
      <c r="P87" s="1547"/>
      <c r="Q87" s="1547"/>
      <c r="R87" s="1547"/>
      <c r="S87" s="1547"/>
      <c r="T87" s="1547"/>
      <c r="U87" s="1547"/>
      <c r="V87" s="1547"/>
      <c r="W87" s="1547"/>
      <c r="X87" s="1547"/>
      <c r="Y87" s="1547"/>
      <c r="Z87" s="1547"/>
      <c r="AA87" s="1547"/>
      <c r="AB87" s="1547"/>
      <c r="AC87" s="1547"/>
      <c r="AD87" s="1547"/>
      <c r="AE87" s="1547"/>
      <c r="AF87" s="1547"/>
      <c r="AG87" s="1547"/>
      <c r="AH87" s="1547"/>
      <c r="AI87" s="467"/>
      <c r="AJ87" s="467"/>
      <c r="AK87" s="467"/>
      <c r="AL87" s="467"/>
      <c r="AM87" s="467"/>
      <c r="AN87" s="467"/>
      <c r="AO87" s="467"/>
    </row>
    <row r="88" spans="1:41">
      <c r="A88" s="467"/>
      <c r="B88" s="1547"/>
      <c r="C88" s="1547"/>
      <c r="D88" s="1547"/>
      <c r="E88" s="1547"/>
      <c r="F88" s="1547"/>
      <c r="G88" s="1547"/>
      <c r="H88" s="1547"/>
      <c r="I88" s="1547"/>
      <c r="J88" s="1547"/>
      <c r="K88" s="1547"/>
      <c r="L88" s="1547"/>
      <c r="M88" s="1547"/>
      <c r="N88" s="1547"/>
      <c r="O88" s="1547"/>
      <c r="P88" s="1547"/>
      <c r="Q88" s="1547"/>
      <c r="R88" s="1547"/>
      <c r="S88" s="1547"/>
      <c r="T88" s="1547"/>
      <c r="U88" s="1547"/>
      <c r="V88" s="1547"/>
      <c r="W88" s="1547"/>
      <c r="X88" s="1547"/>
      <c r="Y88" s="1547"/>
      <c r="Z88" s="1547"/>
      <c r="AA88" s="1547"/>
      <c r="AB88" s="1547"/>
      <c r="AC88" s="1547"/>
      <c r="AD88" s="1547"/>
      <c r="AE88" s="1547"/>
      <c r="AF88" s="1547"/>
      <c r="AG88" s="1547"/>
      <c r="AH88" s="1547"/>
      <c r="AI88" s="467"/>
      <c r="AJ88" s="467"/>
      <c r="AK88" s="467"/>
      <c r="AL88" s="467"/>
      <c r="AM88" s="467"/>
      <c r="AN88" s="467"/>
      <c r="AO88" s="467"/>
    </row>
    <row r="89" spans="1:41">
      <c r="A89" s="467"/>
      <c r="B89" s="1547"/>
      <c r="C89" s="1547"/>
      <c r="D89" s="1547"/>
      <c r="E89" s="1547"/>
      <c r="F89" s="1547"/>
      <c r="G89" s="1547"/>
      <c r="H89" s="1547"/>
      <c r="I89" s="1547"/>
      <c r="J89" s="1547"/>
      <c r="K89" s="1547"/>
      <c r="L89" s="1547"/>
      <c r="M89" s="1547"/>
      <c r="N89" s="1547"/>
      <c r="O89" s="1547"/>
      <c r="P89" s="1547"/>
      <c r="Q89" s="1547"/>
      <c r="R89" s="1547"/>
      <c r="S89" s="1547"/>
      <c r="T89" s="1547"/>
      <c r="U89" s="1547"/>
      <c r="V89" s="1547"/>
      <c r="W89" s="1547"/>
      <c r="X89" s="1547"/>
      <c r="Y89" s="1547"/>
      <c r="Z89" s="1547"/>
      <c r="AA89" s="1547"/>
      <c r="AB89" s="1547"/>
      <c r="AC89" s="1547"/>
      <c r="AD89" s="1547"/>
      <c r="AE89" s="1547"/>
      <c r="AF89" s="1547"/>
      <c r="AG89" s="1547"/>
      <c r="AH89" s="1547"/>
      <c r="AI89" s="467"/>
      <c r="AJ89" s="467"/>
      <c r="AK89" s="467"/>
      <c r="AL89" s="467"/>
      <c r="AM89" s="467"/>
      <c r="AN89" s="467"/>
      <c r="AO89" s="467"/>
    </row>
    <row r="90" spans="1:41">
      <c r="A90" s="467"/>
      <c r="B90" s="1547"/>
      <c r="C90" s="1547"/>
      <c r="D90" s="1547"/>
      <c r="E90" s="1547"/>
      <c r="F90" s="1547"/>
      <c r="G90" s="1547"/>
      <c r="H90" s="1547"/>
      <c r="I90" s="1547"/>
      <c r="J90" s="1547"/>
      <c r="K90" s="1547"/>
      <c r="L90" s="1547"/>
      <c r="M90" s="1547"/>
      <c r="N90" s="1547"/>
      <c r="O90" s="1547"/>
      <c r="P90" s="1547"/>
      <c r="Q90" s="1547"/>
      <c r="R90" s="1547"/>
      <c r="S90" s="1547"/>
      <c r="T90" s="1547"/>
      <c r="U90" s="1547"/>
      <c r="V90" s="1547"/>
      <c r="W90" s="1547"/>
      <c r="X90" s="1547"/>
      <c r="Y90" s="1547"/>
      <c r="Z90" s="1547"/>
      <c r="AA90" s="1547"/>
      <c r="AB90" s="1547"/>
      <c r="AC90" s="1547"/>
      <c r="AD90" s="1547"/>
      <c r="AE90" s="1547"/>
      <c r="AF90" s="1547"/>
      <c r="AG90" s="1547"/>
      <c r="AH90" s="1547"/>
      <c r="AI90" s="467"/>
      <c r="AJ90" s="467"/>
      <c r="AK90" s="467"/>
      <c r="AL90" s="467"/>
      <c r="AM90" s="467"/>
      <c r="AN90" s="467"/>
      <c r="AO90" s="467"/>
    </row>
    <row r="91" spans="1:41">
      <c r="A91" s="467"/>
      <c r="B91" s="1547"/>
      <c r="C91" s="1547"/>
      <c r="D91" s="1547"/>
      <c r="E91" s="1547"/>
      <c r="F91" s="1547"/>
      <c r="G91" s="1547"/>
      <c r="H91" s="1547"/>
      <c r="I91" s="1547"/>
      <c r="J91" s="1547"/>
      <c r="K91" s="1547"/>
      <c r="L91" s="1547"/>
      <c r="M91" s="1547"/>
      <c r="N91" s="1547"/>
      <c r="O91" s="1547"/>
      <c r="P91" s="1547"/>
      <c r="Q91" s="1547"/>
      <c r="R91" s="1547"/>
      <c r="S91" s="1547"/>
      <c r="T91" s="1547"/>
      <c r="U91" s="1547"/>
      <c r="V91" s="1547"/>
      <c r="W91" s="1547"/>
      <c r="X91" s="1547"/>
      <c r="Y91" s="1547"/>
      <c r="Z91" s="1547"/>
      <c r="AA91" s="1547"/>
      <c r="AB91" s="1547"/>
      <c r="AC91" s="1547"/>
      <c r="AD91" s="1547"/>
      <c r="AE91" s="1547"/>
      <c r="AF91" s="1547"/>
      <c r="AG91" s="1547"/>
      <c r="AH91" s="1547"/>
      <c r="AI91" s="467"/>
      <c r="AJ91" s="467"/>
      <c r="AK91" s="467"/>
      <c r="AL91" s="467"/>
      <c r="AM91" s="467"/>
      <c r="AN91" s="467"/>
      <c r="AO91" s="467"/>
    </row>
    <row r="92" spans="1:41">
      <c r="A92" s="467"/>
      <c r="B92" s="1547"/>
      <c r="C92" s="1547"/>
      <c r="D92" s="1547"/>
      <c r="E92" s="1547"/>
      <c r="F92" s="1547"/>
      <c r="G92" s="1547"/>
      <c r="H92" s="1547"/>
      <c r="I92" s="1547"/>
      <c r="J92" s="1547"/>
      <c r="K92" s="1547"/>
      <c r="L92" s="1547"/>
      <c r="M92" s="1547"/>
      <c r="N92" s="1547"/>
      <c r="O92" s="1547"/>
      <c r="P92" s="1547"/>
      <c r="Q92" s="1547"/>
      <c r="R92" s="1547"/>
      <c r="S92" s="1547"/>
      <c r="T92" s="1547"/>
      <c r="U92" s="1547"/>
      <c r="V92" s="1547"/>
      <c r="W92" s="1547"/>
      <c r="X92" s="1547"/>
      <c r="Y92" s="1547"/>
      <c r="Z92" s="1547"/>
      <c r="AA92" s="1547"/>
      <c r="AB92" s="1547"/>
      <c r="AC92" s="1547"/>
      <c r="AD92" s="1547"/>
      <c r="AE92" s="1547"/>
      <c r="AF92" s="1547"/>
      <c r="AG92" s="1547"/>
      <c r="AH92" s="1547"/>
      <c r="AI92" s="467"/>
      <c r="AJ92" s="467"/>
      <c r="AK92" s="467"/>
      <c r="AL92" s="467"/>
      <c r="AM92" s="467"/>
      <c r="AN92" s="467"/>
      <c r="AO92" s="467"/>
    </row>
    <row r="93" spans="1:41">
      <c r="A93" s="467"/>
      <c r="B93" s="1547"/>
      <c r="C93" s="1547"/>
      <c r="D93" s="1547"/>
      <c r="E93" s="1547"/>
      <c r="F93" s="1547"/>
      <c r="G93" s="1547"/>
      <c r="H93" s="1547"/>
      <c r="I93" s="1547"/>
      <c r="J93" s="1547"/>
      <c r="K93" s="1547"/>
      <c r="L93" s="1547"/>
      <c r="M93" s="1547"/>
      <c r="N93" s="1547"/>
      <c r="O93" s="1547"/>
      <c r="P93" s="1547"/>
      <c r="Q93" s="1547"/>
      <c r="R93" s="1547"/>
      <c r="S93" s="1547"/>
      <c r="T93" s="1547"/>
      <c r="U93" s="1547"/>
      <c r="V93" s="1547"/>
      <c r="W93" s="1547"/>
      <c r="X93" s="1547"/>
      <c r="Y93" s="1547"/>
      <c r="Z93" s="1547"/>
      <c r="AA93" s="1547"/>
      <c r="AB93" s="1547"/>
      <c r="AC93" s="1547"/>
      <c r="AD93" s="1547"/>
      <c r="AE93" s="1547"/>
      <c r="AF93" s="1547"/>
      <c r="AG93" s="1547"/>
      <c r="AH93" s="1547"/>
      <c r="AI93" s="467"/>
      <c r="AJ93" s="467"/>
      <c r="AK93" s="467"/>
      <c r="AL93" s="467"/>
      <c r="AM93" s="467"/>
      <c r="AN93" s="467"/>
      <c r="AO93" s="467"/>
    </row>
    <row r="94" spans="1:41">
      <c r="A94" s="467"/>
      <c r="B94" s="1547"/>
      <c r="C94" s="1547"/>
      <c r="D94" s="1547"/>
      <c r="E94" s="1547"/>
      <c r="F94" s="1547"/>
      <c r="G94" s="1547"/>
      <c r="H94" s="1547"/>
      <c r="I94" s="1547"/>
      <c r="J94" s="1547"/>
      <c r="K94" s="1547"/>
      <c r="L94" s="1547"/>
      <c r="M94" s="1547"/>
      <c r="N94" s="1547"/>
      <c r="O94" s="1547"/>
      <c r="P94" s="1547"/>
      <c r="Q94" s="1547"/>
      <c r="R94" s="1547"/>
      <c r="S94" s="1547"/>
      <c r="T94" s="1547"/>
      <c r="U94" s="1547"/>
      <c r="V94" s="1547"/>
      <c r="W94" s="1547"/>
      <c r="X94" s="1547"/>
      <c r="Y94" s="1547"/>
      <c r="Z94" s="1547"/>
      <c r="AA94" s="1547"/>
      <c r="AB94" s="1547"/>
      <c r="AC94" s="1547"/>
      <c r="AD94" s="1547"/>
      <c r="AE94" s="1547"/>
      <c r="AF94" s="1547"/>
      <c r="AG94" s="1547"/>
      <c r="AH94" s="1547"/>
      <c r="AI94" s="467"/>
      <c r="AJ94" s="467"/>
      <c r="AK94" s="467"/>
      <c r="AL94" s="467"/>
      <c r="AM94" s="467"/>
      <c r="AN94" s="467"/>
      <c r="AO94" s="467"/>
    </row>
    <row r="95" spans="1:41">
      <c r="A95" s="467"/>
      <c r="B95" s="1547"/>
      <c r="C95" s="1547"/>
      <c r="D95" s="1547"/>
      <c r="E95" s="1547"/>
      <c r="F95" s="1547"/>
      <c r="G95" s="1547"/>
      <c r="H95" s="1547"/>
      <c r="I95" s="1547"/>
      <c r="J95" s="1547"/>
      <c r="K95" s="1547"/>
      <c r="L95" s="1547"/>
      <c r="M95" s="1547"/>
      <c r="N95" s="1547"/>
      <c r="O95" s="1547"/>
      <c r="P95" s="1547"/>
      <c r="Q95" s="1547"/>
      <c r="R95" s="1547"/>
      <c r="S95" s="1547"/>
      <c r="T95" s="1547"/>
      <c r="U95" s="1547"/>
      <c r="V95" s="1547"/>
      <c r="W95" s="1547"/>
      <c r="X95" s="1547"/>
      <c r="Y95" s="1547"/>
      <c r="Z95" s="1547"/>
      <c r="AA95" s="1547"/>
      <c r="AB95" s="1547"/>
      <c r="AC95" s="1547"/>
      <c r="AD95" s="1547"/>
      <c r="AE95" s="1547"/>
      <c r="AF95" s="1547"/>
      <c r="AG95" s="1547"/>
      <c r="AH95" s="1547"/>
      <c r="AI95" s="467"/>
      <c r="AJ95" s="467"/>
      <c r="AK95" s="467"/>
      <c r="AL95" s="467"/>
      <c r="AM95" s="467"/>
      <c r="AN95" s="467"/>
      <c r="AO95" s="467"/>
    </row>
    <row r="96" spans="1:41">
      <c r="A96" s="467"/>
      <c r="B96" s="1547"/>
      <c r="C96" s="1547"/>
      <c r="D96" s="1547"/>
      <c r="E96" s="1547"/>
      <c r="F96" s="1547"/>
      <c r="G96" s="1547"/>
      <c r="H96" s="1547"/>
      <c r="I96" s="1547"/>
      <c r="J96" s="1547"/>
      <c r="K96" s="1547"/>
      <c r="L96" s="1547"/>
      <c r="M96" s="1547"/>
      <c r="N96" s="1547"/>
      <c r="O96" s="1547"/>
      <c r="P96" s="1547"/>
      <c r="Q96" s="1547"/>
      <c r="R96" s="1547"/>
      <c r="S96" s="1547"/>
      <c r="T96" s="1547"/>
      <c r="U96" s="1547"/>
      <c r="V96" s="1547"/>
      <c r="W96" s="1547"/>
      <c r="X96" s="1547"/>
      <c r="Y96" s="1547"/>
      <c r="Z96" s="1547"/>
      <c r="AA96" s="1547"/>
      <c r="AB96" s="1547"/>
      <c r="AC96" s="1547"/>
      <c r="AD96" s="1547"/>
      <c r="AE96" s="1547"/>
      <c r="AF96" s="1547"/>
      <c r="AG96" s="1547"/>
      <c r="AH96" s="1547"/>
      <c r="AI96" s="467"/>
      <c r="AJ96" s="467"/>
      <c r="AK96" s="467"/>
      <c r="AL96" s="467"/>
      <c r="AM96" s="467"/>
      <c r="AN96" s="467"/>
      <c r="AO96" s="467"/>
    </row>
    <row r="97" spans="1:41">
      <c r="A97" s="467"/>
      <c r="B97" s="1547"/>
      <c r="C97" s="1547"/>
      <c r="D97" s="1547"/>
      <c r="E97" s="1547"/>
      <c r="F97" s="1547"/>
      <c r="G97" s="1547"/>
      <c r="H97" s="1547"/>
      <c r="I97" s="1547"/>
      <c r="J97" s="1547"/>
      <c r="K97" s="1547"/>
      <c r="L97" s="1547"/>
      <c r="M97" s="1547"/>
      <c r="N97" s="1547"/>
      <c r="O97" s="1547"/>
      <c r="P97" s="1547"/>
      <c r="Q97" s="1547"/>
      <c r="R97" s="1547"/>
      <c r="S97" s="1547"/>
      <c r="T97" s="1547"/>
      <c r="U97" s="1547"/>
      <c r="V97" s="1547"/>
      <c r="W97" s="1547"/>
      <c r="X97" s="1547"/>
      <c r="Y97" s="1547"/>
      <c r="Z97" s="1547"/>
      <c r="AA97" s="1547"/>
      <c r="AB97" s="1547"/>
      <c r="AC97" s="1547"/>
      <c r="AD97" s="1547"/>
      <c r="AE97" s="1547"/>
      <c r="AF97" s="1547"/>
      <c r="AG97" s="1547"/>
      <c r="AH97" s="1547"/>
      <c r="AI97" s="467"/>
      <c r="AJ97" s="467"/>
      <c r="AK97" s="467"/>
      <c r="AL97" s="467"/>
      <c r="AM97" s="467"/>
      <c r="AN97" s="467"/>
      <c r="AO97" s="467"/>
    </row>
    <row r="98" spans="1:41">
      <c r="A98" s="467"/>
      <c r="B98" s="1547"/>
      <c r="C98" s="1547"/>
      <c r="D98" s="1547"/>
      <c r="E98" s="1547"/>
      <c r="F98" s="1547"/>
      <c r="G98" s="1547"/>
      <c r="H98" s="1547"/>
      <c r="I98" s="1547"/>
      <c r="J98" s="1547"/>
      <c r="K98" s="1547"/>
      <c r="L98" s="1547"/>
      <c r="M98" s="1547"/>
      <c r="N98" s="1547"/>
      <c r="O98" s="1547"/>
      <c r="P98" s="1547"/>
      <c r="Q98" s="1547"/>
      <c r="R98" s="1547"/>
      <c r="S98" s="1547"/>
      <c r="T98" s="1547"/>
      <c r="U98" s="1547"/>
      <c r="V98" s="1547"/>
      <c r="W98" s="1547"/>
      <c r="X98" s="1547"/>
      <c r="Y98" s="1547"/>
      <c r="Z98" s="1547"/>
      <c r="AA98" s="1547"/>
      <c r="AB98" s="1547"/>
      <c r="AC98" s="1547"/>
      <c r="AD98" s="1547"/>
      <c r="AE98" s="1547"/>
      <c r="AF98" s="1547"/>
      <c r="AG98" s="1547"/>
      <c r="AH98" s="1547"/>
      <c r="AI98" s="467"/>
      <c r="AJ98" s="467"/>
      <c r="AK98" s="467"/>
      <c r="AL98" s="467"/>
      <c r="AM98" s="467"/>
      <c r="AN98" s="467"/>
      <c r="AO98" s="467"/>
    </row>
    <row r="99" spans="1:41">
      <c r="A99" s="467" t="s">
        <v>674</v>
      </c>
      <c r="B99" s="1547"/>
      <c r="C99" s="1547"/>
      <c r="D99" s="1547"/>
      <c r="E99" s="1547"/>
      <c r="F99" s="1547"/>
      <c r="G99" s="1547"/>
      <c r="H99" s="1547"/>
      <c r="I99" s="1547"/>
      <c r="J99" s="1547"/>
      <c r="K99" s="1547"/>
      <c r="L99" s="1547"/>
      <c r="M99" s="1547"/>
      <c r="N99" s="1547"/>
      <c r="O99" s="1547"/>
      <c r="P99" s="1547"/>
      <c r="Q99" s="1547"/>
      <c r="R99" s="1547"/>
      <c r="S99" s="1547"/>
      <c r="T99" s="1547"/>
      <c r="U99" s="1547"/>
      <c r="V99" s="1547"/>
      <c r="W99" s="1547"/>
      <c r="X99" s="1547"/>
      <c r="Y99" s="1547"/>
      <c r="Z99" s="1547"/>
      <c r="AA99" s="1547"/>
      <c r="AB99" s="1547"/>
      <c r="AC99" s="1547"/>
      <c r="AD99" s="1547"/>
      <c r="AE99" s="1547"/>
      <c r="AF99" s="1547"/>
      <c r="AG99" s="1547"/>
      <c r="AH99" s="1547"/>
      <c r="AI99" s="467"/>
      <c r="AJ99" s="467"/>
      <c r="AK99" s="467"/>
      <c r="AL99" s="467"/>
      <c r="AM99" s="467"/>
      <c r="AN99" s="467"/>
      <c r="AO99" s="467"/>
    </row>
    <row r="100" spans="1:41">
      <c r="A100" s="467"/>
      <c r="B100" s="1547"/>
      <c r="C100" s="1547"/>
      <c r="D100" s="1547"/>
      <c r="E100" s="1547"/>
      <c r="F100" s="1547"/>
      <c r="G100" s="1547"/>
      <c r="H100" s="1547"/>
      <c r="I100" s="1547"/>
      <c r="J100" s="1547"/>
      <c r="K100" s="1547"/>
      <c r="L100" s="1547"/>
      <c r="M100" s="1547"/>
      <c r="N100" s="1547"/>
      <c r="O100" s="1547"/>
      <c r="P100" s="1547"/>
      <c r="Q100" s="1547"/>
      <c r="R100" s="1547"/>
      <c r="S100" s="1547"/>
      <c r="T100" s="1547"/>
      <c r="U100" s="1547"/>
      <c r="V100" s="1547"/>
      <c r="W100" s="1547"/>
      <c r="X100" s="1547"/>
      <c r="Y100" s="1547"/>
      <c r="Z100" s="1547"/>
      <c r="AA100" s="1547"/>
      <c r="AB100" s="1547"/>
      <c r="AC100" s="1547"/>
      <c r="AD100" s="1547"/>
      <c r="AE100" s="1547"/>
      <c r="AF100" s="1547"/>
      <c r="AG100" s="1547"/>
      <c r="AH100" s="1547"/>
      <c r="AI100" s="467"/>
      <c r="AJ100" s="467"/>
      <c r="AK100" s="467"/>
      <c r="AL100" s="467"/>
      <c r="AM100" s="467"/>
      <c r="AN100" s="467"/>
      <c r="AO100" s="467"/>
    </row>
    <row r="101" spans="1:41">
      <c r="A101" s="467"/>
      <c r="B101" s="1556"/>
      <c r="C101" s="1556"/>
      <c r="D101" s="1556"/>
      <c r="E101" s="1556"/>
      <c r="F101" s="1556"/>
      <c r="G101" s="1556"/>
      <c r="H101" s="1556">
        <f t="shared" ref="H101:AD101" si="64">H5</f>
        <v>1996</v>
      </c>
      <c r="I101" s="1556">
        <f t="shared" si="64"/>
        <v>1997</v>
      </c>
      <c r="J101" s="1556">
        <f t="shared" si="64"/>
        <v>1998</v>
      </c>
      <c r="K101" s="1556">
        <f t="shared" si="64"/>
        <v>1999</v>
      </c>
      <c r="L101" s="1556">
        <f t="shared" si="64"/>
        <v>2000</v>
      </c>
      <c r="M101" s="1556">
        <f t="shared" si="64"/>
        <v>2001</v>
      </c>
      <c r="N101" s="1556">
        <f t="shared" si="64"/>
        <v>2002</v>
      </c>
      <c r="O101" s="1556">
        <f t="shared" si="64"/>
        <v>2003</v>
      </c>
      <c r="P101" s="1556">
        <f t="shared" si="64"/>
        <v>2004</v>
      </c>
      <c r="Q101" s="1556">
        <f t="shared" si="64"/>
        <v>2005</v>
      </c>
      <c r="R101" s="1556">
        <f t="shared" si="64"/>
        <v>2006</v>
      </c>
      <c r="S101" s="1556">
        <f t="shared" si="64"/>
        <v>2007</v>
      </c>
      <c r="T101" s="1556">
        <f t="shared" si="64"/>
        <v>2008</v>
      </c>
      <c r="U101" s="1556">
        <f t="shared" si="64"/>
        <v>2009</v>
      </c>
      <c r="V101" s="1556">
        <f t="shared" si="64"/>
        <v>2010</v>
      </c>
      <c r="W101" s="1556">
        <f t="shared" si="64"/>
        <v>2011</v>
      </c>
      <c r="X101" s="1556">
        <f t="shared" si="64"/>
        <v>2012</v>
      </c>
      <c r="Y101" s="1556">
        <f t="shared" si="64"/>
        <v>2013</v>
      </c>
      <c r="Z101" s="1556">
        <f t="shared" si="64"/>
        <v>2014</v>
      </c>
      <c r="AA101" s="1556">
        <f t="shared" si="64"/>
        <v>2015</v>
      </c>
      <c r="AB101" s="1556">
        <f t="shared" si="64"/>
        <v>2016</v>
      </c>
      <c r="AC101" s="1556">
        <f t="shared" si="64"/>
        <v>2017</v>
      </c>
      <c r="AD101" s="1556">
        <f t="shared" si="64"/>
        <v>2018</v>
      </c>
      <c r="AE101" s="1556">
        <f>AE5</f>
        <v>2019</v>
      </c>
      <c r="AF101" s="1556">
        <f>AF5</f>
        <v>2020</v>
      </c>
      <c r="AG101" s="1556">
        <f>AG5</f>
        <v>2021</v>
      </c>
      <c r="AH101" s="1556">
        <f>AH5</f>
        <v>2022</v>
      </c>
      <c r="AI101" s="467"/>
      <c r="AJ101" s="467"/>
      <c r="AK101" s="467"/>
      <c r="AL101" s="467"/>
      <c r="AM101" s="467"/>
      <c r="AN101" s="467"/>
      <c r="AO101" s="467"/>
    </row>
    <row r="102" spans="1:41">
      <c r="A102" s="467" t="s">
        <v>286</v>
      </c>
      <c r="B102" s="1547"/>
      <c r="C102" s="1547"/>
      <c r="D102" s="1547"/>
      <c r="E102" s="1547"/>
      <c r="F102" s="1547"/>
      <c r="G102" s="1547"/>
      <c r="H102" s="1547"/>
      <c r="I102" s="1547"/>
      <c r="J102" s="1547"/>
      <c r="K102" s="1547"/>
      <c r="L102" s="1547"/>
      <c r="M102" s="1547"/>
      <c r="N102" s="1547"/>
      <c r="O102" s="1547"/>
      <c r="P102" s="1547"/>
      <c r="Q102" s="1547"/>
      <c r="R102" s="1547"/>
      <c r="S102" s="1547"/>
      <c r="T102" s="1547"/>
      <c r="U102" s="1547"/>
      <c r="V102" s="1547"/>
      <c r="W102" s="1547"/>
      <c r="X102" s="1547"/>
      <c r="Y102" s="1547"/>
      <c r="Z102" s="1547"/>
      <c r="AA102" s="1547"/>
      <c r="AB102" s="1547"/>
      <c r="AC102" s="1547"/>
      <c r="AD102" s="1547"/>
      <c r="AE102" s="1547"/>
      <c r="AF102" s="1547"/>
      <c r="AG102" s="1547"/>
      <c r="AH102" s="1547"/>
      <c r="AI102" s="467"/>
      <c r="AJ102" s="467"/>
      <c r="AK102" s="467"/>
      <c r="AL102" s="467"/>
      <c r="AM102" s="467"/>
      <c r="AN102" s="467"/>
      <c r="AO102" s="467"/>
    </row>
    <row r="103" spans="1:41">
      <c r="A103" s="467" t="s">
        <v>377</v>
      </c>
      <c r="B103" s="1538">
        <f>yrSales!B65</f>
        <v>1938</v>
      </c>
      <c r="C103" s="1538">
        <f>yrSales!C65</f>
        <v>2179.6999999999998</v>
      </c>
      <c r="D103" s="1538">
        <f>yrSales!D65</f>
        <v>2537.5</v>
      </c>
      <c r="E103" s="1538">
        <f>yrSales!E65</f>
        <v>2744.7</v>
      </c>
      <c r="F103" s="1538">
        <f>yrSales!F65</f>
        <v>2931.6</v>
      </c>
      <c r="G103" s="1538">
        <f>yrSales!G65</f>
        <v>3718.971</v>
      </c>
      <c r="H103" s="1538">
        <f>yrSales!H65</f>
        <v>6350.0000000000009</v>
      </c>
      <c r="I103" s="1538">
        <f>yrSales!I65</f>
        <v>6814</v>
      </c>
      <c r="J103" s="1538">
        <f>yrSales!J65</f>
        <v>7196.3249999999998</v>
      </c>
      <c r="K103" s="1538">
        <f>yrSales!K65</f>
        <v>7779.826</v>
      </c>
      <c r="L103" s="1538">
        <f>yrSales!L65</f>
        <v>8228.4680000000008</v>
      </c>
      <c r="M103" s="1538">
        <f>yrSales!M65</f>
        <v>8863.0529999999999</v>
      </c>
      <c r="N103" s="1538">
        <f>yrSales!N65</f>
        <v>9485.5820000000003</v>
      </c>
      <c r="O103" s="1538">
        <f>yrSales!O65</f>
        <v>9937.2060000000001</v>
      </c>
      <c r="P103" s="1538">
        <f>yrSales!P65</f>
        <v>10489.478000000001</v>
      </c>
      <c r="Q103" s="1538">
        <f>yrSales!Q65</f>
        <v>10956.788</v>
      </c>
      <c r="R103" s="1538">
        <f>yrSales!R65</f>
        <v>11531.785</v>
      </c>
      <c r="S103" s="1538">
        <f>yrSales!S65</f>
        <v>11966.651</v>
      </c>
      <c r="T103" s="1538">
        <f>yrSales!T65</f>
        <v>12362.121999999999</v>
      </c>
      <c r="U103" s="1538">
        <f>yrSales!U65</f>
        <v>13270.862999999999</v>
      </c>
      <c r="V103" s="1538">
        <f>yrSales!V65</f>
        <v>14092.159</v>
      </c>
      <c r="W103" s="1538">
        <f>yrSales!W65</f>
        <v>15367.519</v>
      </c>
      <c r="X103" s="1538">
        <f>yrSales!X65</f>
        <v>17011.409</v>
      </c>
      <c r="Y103" s="1538">
        <f>yrSales!Y65</f>
        <v>17929.576000000001</v>
      </c>
      <c r="Z103" s="1538">
        <f>yrSales!Z65</f>
        <v>18688.350999999999</v>
      </c>
      <c r="AA103" s="1538">
        <f>yrSales!AA65</f>
        <v>19948.226999999999</v>
      </c>
      <c r="AB103" s="1538">
        <f>yrSales!AB65</f>
        <v>21246.034</v>
      </c>
      <c r="AC103" s="1538">
        <f>yrSales!AC65</f>
        <v>22249.105</v>
      </c>
      <c r="AD103" s="1538">
        <f>yrSales!AD65</f>
        <v>22755.018556000003</v>
      </c>
      <c r="AE103" s="1538">
        <f>yrSales!AE65</f>
        <v>23816.404401567328</v>
      </c>
      <c r="AF103" s="1538">
        <f>yrSales!AF65</f>
        <v>24983.311377175723</v>
      </c>
      <c r="AG103" s="1538">
        <f>yrSales!AG65</f>
        <v>26192.62246896842</v>
      </c>
      <c r="AH103" s="1538">
        <f>yrSales!AH65</f>
        <v>27146.584063160895</v>
      </c>
      <c r="AI103" s="467"/>
      <c r="AJ103" s="467"/>
      <c r="AK103" s="467"/>
      <c r="AL103" s="467"/>
      <c r="AM103" s="467"/>
      <c r="AN103" s="467"/>
      <c r="AO103" s="467"/>
    </row>
    <row r="104" spans="1:41">
      <c r="A104" s="467"/>
      <c r="B104" s="1547"/>
      <c r="C104" s="1565">
        <f t="shared" ref="C104:R104" si="65">+C103/B103-1</f>
        <v>0.12471620227038183</v>
      </c>
      <c r="D104" s="1565">
        <f t="shared" si="65"/>
        <v>0.16415102995825115</v>
      </c>
      <c r="E104" s="1565">
        <f t="shared" si="65"/>
        <v>8.1655172413793053E-2</v>
      </c>
      <c r="F104" s="1565">
        <f t="shared" si="65"/>
        <v>6.8094873756694652E-2</v>
      </c>
      <c r="G104" s="1565">
        <f t="shared" si="65"/>
        <v>0.26858063855914871</v>
      </c>
      <c r="H104" s="1565">
        <f t="shared" si="65"/>
        <v>0.70746155320920789</v>
      </c>
      <c r="I104" s="1565">
        <f t="shared" si="65"/>
        <v>7.3070866141732083E-2</v>
      </c>
      <c r="J104" s="1565">
        <f t="shared" si="65"/>
        <v>5.6108746697974832E-2</v>
      </c>
      <c r="K104" s="1565">
        <f t="shared" si="65"/>
        <v>8.108319176802059E-2</v>
      </c>
      <c r="L104" s="1565">
        <f t="shared" si="65"/>
        <v>5.7667356570699768E-2</v>
      </c>
      <c r="M104" s="1565">
        <f t="shared" si="65"/>
        <v>7.7120674225141128E-2</v>
      </c>
      <c r="N104" s="1565">
        <f t="shared" si="65"/>
        <v>7.0238663810314517E-2</v>
      </c>
      <c r="O104" s="1565">
        <f t="shared" si="65"/>
        <v>4.7611627836858128E-2</v>
      </c>
      <c r="P104" s="1565">
        <f t="shared" si="65"/>
        <v>5.5576185096696262E-2</v>
      </c>
      <c r="Q104" s="1565">
        <f t="shared" si="65"/>
        <v>4.4550357987308775E-2</v>
      </c>
      <c r="R104" s="1565">
        <f t="shared" si="65"/>
        <v>5.247860960712214E-2</v>
      </c>
      <c r="S104" s="1565">
        <f t="shared" ref="S104:AH104" si="66">+S103/R103-1</f>
        <v>3.7710207049472366E-2</v>
      </c>
      <c r="T104" s="1565">
        <f t="shared" si="66"/>
        <v>3.3047759143305822E-2</v>
      </c>
      <c r="U104" s="1565">
        <f t="shared" si="66"/>
        <v>7.3510114202076204E-2</v>
      </c>
      <c r="V104" s="1565">
        <f t="shared" si="66"/>
        <v>6.1887158355865779E-2</v>
      </c>
      <c r="W104" s="1565">
        <f t="shared" si="66"/>
        <v>9.0501391589464797E-2</v>
      </c>
      <c r="X104" s="1565">
        <f t="shared" si="66"/>
        <v>0.10697172393279608</v>
      </c>
      <c r="Y104" s="1565">
        <f t="shared" si="66"/>
        <v>5.3973600893376883E-2</v>
      </c>
      <c r="Z104" s="1565">
        <f t="shared" si="66"/>
        <v>4.2319740299491704E-2</v>
      </c>
      <c r="AA104" s="1565">
        <f t="shared" si="66"/>
        <v>6.7415043734998292E-2</v>
      </c>
      <c r="AB104" s="1565">
        <f t="shared" si="66"/>
        <v>6.505876437038749E-2</v>
      </c>
      <c r="AC104" s="1565">
        <f t="shared" si="66"/>
        <v>4.7212152630462745E-2</v>
      </c>
      <c r="AD104" s="1565">
        <f t="shared" si="66"/>
        <v>2.2738602564013499E-2</v>
      </c>
      <c r="AE104" s="1565">
        <f t="shared" si="66"/>
        <v>4.6644033401038953E-2</v>
      </c>
      <c r="AF104" s="1565">
        <f t="shared" si="66"/>
        <v>4.8995933892170607E-2</v>
      </c>
      <c r="AG104" s="1565">
        <f t="shared" si="66"/>
        <v>4.8404756020352879E-2</v>
      </c>
      <c r="AH104" s="1565">
        <f t="shared" si="66"/>
        <v>3.6421003483812164E-2</v>
      </c>
      <c r="AI104" s="467"/>
      <c r="AJ104" s="467"/>
      <c r="AK104" s="467"/>
      <c r="AL104" s="467"/>
      <c r="AM104" s="467"/>
      <c r="AN104" s="467"/>
      <c r="AO104" s="467"/>
    </row>
    <row r="105" spans="1:41" ht="3.95" customHeight="1">
      <c r="A105" s="467"/>
      <c r="B105" s="1547"/>
      <c r="C105" s="1547"/>
      <c r="D105" s="1547"/>
      <c r="E105" s="1547"/>
      <c r="F105" s="1547"/>
      <c r="G105" s="1547"/>
      <c r="H105" s="1547"/>
      <c r="I105" s="1547"/>
      <c r="J105" s="1547"/>
      <c r="K105" s="1547"/>
      <c r="L105" s="1547"/>
      <c r="M105" s="1547"/>
      <c r="N105" s="1547"/>
      <c r="O105" s="1547"/>
      <c r="P105" s="1547"/>
      <c r="Q105" s="1547"/>
      <c r="R105" s="1547"/>
      <c r="S105" s="1547"/>
      <c r="T105" s="1547"/>
      <c r="U105" s="1547"/>
      <c r="V105" s="1547"/>
      <c r="W105" s="1547"/>
      <c r="X105" s="1547"/>
      <c r="Y105" s="1547"/>
      <c r="Z105" s="1547"/>
      <c r="AA105" s="1547"/>
      <c r="AB105" s="1547"/>
      <c r="AC105" s="1547"/>
      <c r="AD105" s="1547"/>
      <c r="AE105" s="1547"/>
      <c r="AF105" s="1547"/>
      <c r="AG105" s="1547"/>
      <c r="AH105" s="1547"/>
      <c r="AI105" s="467"/>
      <c r="AJ105" s="467"/>
      <c r="AK105" s="467"/>
      <c r="AL105" s="467"/>
      <c r="AM105" s="467"/>
      <c r="AN105" s="467"/>
      <c r="AO105" s="467"/>
    </row>
    <row r="106" spans="1:41">
      <c r="A106" s="467" t="s">
        <v>383</v>
      </c>
      <c r="B106" s="1538">
        <f>yrSales!B138</f>
        <v>10</v>
      </c>
      <c r="C106" s="1538">
        <f>yrSales!C138</f>
        <v>28</v>
      </c>
      <c r="D106" s="1538">
        <f>yrSales!D138</f>
        <v>51.8</v>
      </c>
      <c r="E106" s="1538">
        <f>yrSales!E138</f>
        <v>87</v>
      </c>
      <c r="F106" s="1538">
        <f>yrSales!F138</f>
        <v>120</v>
      </c>
      <c r="G106" s="1538">
        <f>yrSales!G138</f>
        <v>177.75900000000001</v>
      </c>
      <c r="H106" s="1538">
        <f>yrSales!H138</f>
        <v>252.39100000000002</v>
      </c>
      <c r="I106" s="1538">
        <f>yrSales!I138</f>
        <v>326.959</v>
      </c>
      <c r="J106" s="1538">
        <f>yrSales!J138</f>
        <v>387.43799999999999</v>
      </c>
      <c r="K106" s="1538">
        <f>yrSales!K138</f>
        <v>466.76499999999999</v>
      </c>
      <c r="L106" s="1538">
        <f>yrSales!L138</f>
        <v>563.31100000000004</v>
      </c>
      <c r="M106" s="1538">
        <f>yrSales!M138</f>
        <v>660.87699999999995</v>
      </c>
      <c r="N106" s="1538">
        <f>yrSales!N138</f>
        <v>793.202</v>
      </c>
      <c r="O106" s="1538">
        <f>yrSales!O138</f>
        <v>1076.3329999999999</v>
      </c>
      <c r="P106" s="1538">
        <f>yrSales!P138</f>
        <v>1285.4390000000001</v>
      </c>
      <c r="Q106" s="1538">
        <f>yrSales!Q138</f>
        <v>1457.7359999999999</v>
      </c>
      <c r="R106" s="1538">
        <f>yrSales!R138</f>
        <v>1740.796</v>
      </c>
      <c r="S106" s="1538">
        <f>yrSales!S138</f>
        <v>2040.8140000000001</v>
      </c>
      <c r="T106" s="1538">
        <f>yrSales!T138</f>
        <v>2139.4430000000002</v>
      </c>
      <c r="U106" s="1538">
        <f>yrSales!U138</f>
        <v>2167.9120000000003</v>
      </c>
      <c r="V106" s="1538">
        <f>yrSales!V138</f>
        <v>2510.201</v>
      </c>
      <c r="W106" s="1538">
        <f>yrSales!W138</f>
        <v>2680.0709999999999</v>
      </c>
      <c r="X106" s="1538">
        <f>yrSales!X138</f>
        <v>2925.991</v>
      </c>
      <c r="Y106" s="1538">
        <f>yrSales!Y138</f>
        <v>2877.8340000000003</v>
      </c>
      <c r="Z106" s="1538">
        <f>yrSales!Z138</f>
        <v>2884.069</v>
      </c>
      <c r="AA106" s="1538">
        <f>yrSales!AA138</f>
        <v>2854.6169999999997</v>
      </c>
      <c r="AB106" s="1538">
        <f>yrSales!AB138</f>
        <v>3171.1270000000004</v>
      </c>
      <c r="AC106" s="1538">
        <f>yrSales!AC138</f>
        <v>3642.2820000000002</v>
      </c>
      <c r="AD106" s="1538">
        <f>yrSales!AD138</f>
        <v>3956.0110719999998</v>
      </c>
      <c r="AE106" s="1538">
        <f>yrSales!AE138</f>
        <v>4231.8454221655438</v>
      </c>
      <c r="AF106" s="1538">
        <f>yrSales!AF138</f>
        <v>4575.1615167745786</v>
      </c>
      <c r="AG106" s="1538">
        <f>yrSales!AG138</f>
        <v>4930.4080113134187</v>
      </c>
      <c r="AH106" s="1538">
        <f>yrSales!AH138</f>
        <v>5188.2937073100402</v>
      </c>
      <c r="AI106" s="467"/>
      <c r="AJ106" s="467"/>
      <c r="AK106" s="467"/>
      <c r="AL106" s="467"/>
      <c r="AM106" s="467"/>
      <c r="AN106" s="467"/>
      <c r="AO106" s="467"/>
    </row>
    <row r="107" spans="1:41">
      <c r="A107" s="467"/>
      <c r="B107" s="1547"/>
      <c r="C107" s="1565">
        <f t="shared" ref="C107:AH107" si="67">+C106/B106-1</f>
        <v>1.7999999999999998</v>
      </c>
      <c r="D107" s="1565">
        <f t="shared" si="67"/>
        <v>0.84999999999999987</v>
      </c>
      <c r="E107" s="1565">
        <f t="shared" si="67"/>
        <v>0.67953667953667973</v>
      </c>
      <c r="F107" s="1565">
        <f t="shared" si="67"/>
        <v>0.3793103448275863</v>
      </c>
      <c r="G107" s="1565">
        <f t="shared" si="67"/>
        <v>0.48132500000000022</v>
      </c>
      <c r="H107" s="1565">
        <f t="shared" si="67"/>
        <v>0.41984934658723327</v>
      </c>
      <c r="I107" s="1565">
        <f t="shared" si="67"/>
        <v>0.2954463510980978</v>
      </c>
      <c r="J107" s="1565">
        <f t="shared" si="67"/>
        <v>0.18497426282806106</v>
      </c>
      <c r="K107" s="1565">
        <f t="shared" si="67"/>
        <v>0.20474759832540945</v>
      </c>
      <c r="L107" s="1565">
        <f t="shared" si="67"/>
        <v>0.20684070142362865</v>
      </c>
      <c r="M107" s="1565">
        <f t="shared" si="67"/>
        <v>0.17320094938675057</v>
      </c>
      <c r="N107" s="1565">
        <f t="shared" si="67"/>
        <v>0.20022636587443654</v>
      </c>
      <c r="O107" s="1565">
        <f t="shared" si="67"/>
        <v>0.35694690633659509</v>
      </c>
      <c r="P107" s="1565">
        <f t="shared" si="67"/>
        <v>0.1942763066820401</v>
      </c>
      <c r="Q107" s="1565">
        <f t="shared" si="67"/>
        <v>0.13403747669084232</v>
      </c>
      <c r="R107" s="1565">
        <f t="shared" si="67"/>
        <v>0.19417782094974689</v>
      </c>
      <c r="S107" s="1565">
        <f t="shared" si="67"/>
        <v>0.17234529491106376</v>
      </c>
      <c r="T107" s="1565">
        <f t="shared" si="67"/>
        <v>4.8328265094222278E-2</v>
      </c>
      <c r="U107" s="1565">
        <f t="shared" si="67"/>
        <v>1.3306734509870077E-2</v>
      </c>
      <c r="V107" s="1565">
        <f t="shared" si="67"/>
        <v>0.1578887888438274</v>
      </c>
      <c r="W107" s="1565">
        <f t="shared" si="67"/>
        <v>6.7671871694736652E-2</v>
      </c>
      <c r="X107" s="1565">
        <f t="shared" si="67"/>
        <v>9.175876310739528E-2</v>
      </c>
      <c r="Y107" s="1565">
        <f t="shared" si="67"/>
        <v>-1.6458355476828057E-2</v>
      </c>
      <c r="Z107" s="1565">
        <f t="shared" si="67"/>
        <v>2.1665599892140008E-3</v>
      </c>
      <c r="AA107" s="1565">
        <f t="shared" si="67"/>
        <v>-1.0211960948229848E-2</v>
      </c>
      <c r="AB107" s="1565">
        <f t="shared" si="67"/>
        <v>0.11087652038784923</v>
      </c>
      <c r="AC107" s="1565">
        <f t="shared" si="67"/>
        <v>0.14857651554163542</v>
      </c>
      <c r="AD107" s="1565">
        <f t="shared" si="67"/>
        <v>8.6135305283885133E-2</v>
      </c>
      <c r="AE107" s="1565">
        <f t="shared" si="67"/>
        <v>6.9725373651720712E-2</v>
      </c>
      <c r="AF107" s="1565">
        <f t="shared" si="67"/>
        <v>8.1126804115012163E-2</v>
      </c>
      <c r="AG107" s="1565">
        <f t="shared" si="67"/>
        <v>7.7646765745066793E-2</v>
      </c>
      <c r="AH107" s="1565">
        <f t="shared" si="67"/>
        <v>5.2305142983069874E-2</v>
      </c>
      <c r="AI107" s="467"/>
      <c r="AJ107" s="467"/>
      <c r="AK107" s="467"/>
      <c r="AL107" s="467"/>
      <c r="AM107" s="467"/>
      <c r="AN107" s="467"/>
      <c r="AO107" s="467"/>
    </row>
    <row r="108" spans="1:41" ht="3.95" customHeight="1">
      <c r="A108" s="467"/>
      <c r="B108" s="1547"/>
      <c r="C108" s="1547"/>
      <c r="D108" s="1547"/>
      <c r="E108" s="1547"/>
      <c r="F108" s="1547"/>
      <c r="G108" s="1547"/>
      <c r="H108" s="1547"/>
      <c r="I108" s="1547"/>
      <c r="J108" s="1547"/>
      <c r="K108" s="1547"/>
      <c r="L108" s="1547"/>
      <c r="M108" s="1547"/>
      <c r="N108" s="1547"/>
      <c r="O108" s="1547"/>
      <c r="P108" s="1547"/>
      <c r="Q108" s="1547"/>
      <c r="R108" s="1547"/>
      <c r="S108" s="1547"/>
      <c r="T108" s="1547"/>
      <c r="U108" s="1547"/>
      <c r="V108" s="1547"/>
      <c r="W108" s="1547"/>
      <c r="X108" s="1547"/>
      <c r="Y108" s="1547"/>
      <c r="Z108" s="1547"/>
      <c r="AA108" s="1547"/>
      <c r="AB108" s="1547"/>
      <c r="AC108" s="1547"/>
      <c r="AD108" s="1547"/>
      <c r="AE108" s="1547"/>
      <c r="AF108" s="1547"/>
      <c r="AG108" s="1547"/>
      <c r="AH108" s="1547"/>
      <c r="AI108" s="467"/>
      <c r="AJ108" s="467"/>
      <c r="AK108" s="467"/>
      <c r="AL108" s="467"/>
      <c r="AM108" s="467"/>
      <c r="AN108" s="467"/>
      <c r="AO108" s="467"/>
    </row>
    <row r="109" spans="1:41">
      <c r="A109" s="467" t="s">
        <v>380</v>
      </c>
      <c r="B109" s="1538"/>
      <c r="C109" s="1538"/>
      <c r="D109" s="1538"/>
      <c r="E109" s="1538"/>
      <c r="F109" s="1538"/>
      <c r="G109" s="1538"/>
      <c r="H109" s="1538" t="s">
        <v>642</v>
      </c>
      <c r="I109" s="1538">
        <f>yrSales!I194</f>
        <v>151</v>
      </c>
      <c r="J109" s="1538">
        <f>yrSales!J194</f>
        <v>222.09</v>
      </c>
      <c r="K109" s="1538">
        <f>yrSales!K194</f>
        <v>298.65899999999999</v>
      </c>
      <c r="L109" s="1538">
        <f>yrSales!L194</f>
        <v>389.06200000000001</v>
      </c>
      <c r="M109" s="1538">
        <f>yrSales!M194</f>
        <v>520.529</v>
      </c>
      <c r="N109" s="1538">
        <f>yrSales!N194</f>
        <v>720.14100000000008</v>
      </c>
      <c r="O109" s="1538">
        <f>yrSales!O194</f>
        <v>992.18700000000001</v>
      </c>
      <c r="P109" s="1538">
        <f>yrSales!P194</f>
        <v>1304.443</v>
      </c>
      <c r="Q109" s="1538">
        <f>yrSales!Q194</f>
        <v>1517.116</v>
      </c>
      <c r="R109" s="1538">
        <f>yrSales!R194</f>
        <v>1864.502</v>
      </c>
      <c r="S109" s="1538">
        <f>yrSales!S194</f>
        <v>2216.2179999999998</v>
      </c>
      <c r="T109" s="1538">
        <f>yrSales!T194</f>
        <v>2242.0569999999998</v>
      </c>
      <c r="U109" s="1538">
        <f>yrSales!U194</f>
        <v>2275.4490000000001</v>
      </c>
      <c r="V109" s="1538">
        <f>yrSales!V194</f>
        <v>2493.4620000000004</v>
      </c>
      <c r="W109" s="1538">
        <f>yrSales!W194</f>
        <v>2890.6499999999996</v>
      </c>
      <c r="X109" s="1538">
        <f>yrSales!X194</f>
        <v>3283.8610000000003</v>
      </c>
      <c r="Y109" s="1538">
        <f>yrSales!Y194</f>
        <v>3621.5680000000002</v>
      </c>
      <c r="Z109" s="1538">
        <f>yrSales!Z194</f>
        <v>4092.7660000000001</v>
      </c>
      <c r="AA109" s="1538">
        <f>yrSales!AA194</f>
        <v>4226.8729999999996</v>
      </c>
      <c r="AB109" s="1538">
        <f>yrSales!AB194</f>
        <v>4361.9760000000006</v>
      </c>
      <c r="AC109" s="1538">
        <f>yrSales!AC194</f>
        <v>4856.9490000000005</v>
      </c>
      <c r="AD109" s="1538">
        <f>yrSales!AD194</f>
        <v>5410.7518010000003</v>
      </c>
      <c r="AE109" s="1538">
        <f>yrSales!AE194</f>
        <v>5795.8700174241185</v>
      </c>
      <c r="AF109" s="1538">
        <f>yrSales!AF194</f>
        <v>6247.1552811739793</v>
      </c>
      <c r="AG109" s="1538">
        <f>yrSales!AG194</f>
        <v>6714.4424962057928</v>
      </c>
      <c r="AH109" s="1538">
        <f>yrSales!AH194</f>
        <v>7057.2324552226155</v>
      </c>
      <c r="AI109" s="467"/>
      <c r="AJ109" s="467"/>
      <c r="AK109" s="467"/>
      <c r="AL109" s="467"/>
      <c r="AM109" s="467"/>
      <c r="AN109" s="467"/>
      <c r="AO109" s="467"/>
    </row>
    <row r="110" spans="1:41">
      <c r="A110" s="467"/>
      <c r="B110" s="1547"/>
      <c r="C110" s="1565"/>
      <c r="D110" s="1565"/>
      <c r="E110" s="1565"/>
      <c r="F110" s="1565"/>
      <c r="G110" s="1565"/>
      <c r="H110" s="1565"/>
      <c r="I110" s="1565"/>
      <c r="J110" s="1565">
        <f t="shared" ref="J110:AH110" si="68">+J109/I109-1</f>
        <v>0.47079470198675488</v>
      </c>
      <c r="K110" s="1565">
        <f t="shared" si="68"/>
        <v>0.34476563555315409</v>
      </c>
      <c r="L110" s="1565">
        <f t="shared" si="68"/>
        <v>0.30269638617955597</v>
      </c>
      <c r="M110" s="1565">
        <f t="shared" si="68"/>
        <v>0.33790758285311839</v>
      </c>
      <c r="N110" s="1565">
        <f t="shared" si="68"/>
        <v>0.38347911451619421</v>
      </c>
      <c r="O110" s="1565">
        <f t="shared" si="68"/>
        <v>0.37776768716126408</v>
      </c>
      <c r="P110" s="1565">
        <f t="shared" si="68"/>
        <v>0.31471486725788589</v>
      </c>
      <c r="Q110" s="1565">
        <f t="shared" si="68"/>
        <v>0.1630374037041098</v>
      </c>
      <c r="R110" s="1565">
        <f t="shared" si="68"/>
        <v>0.22897787644451717</v>
      </c>
      <c r="S110" s="1565">
        <f t="shared" si="68"/>
        <v>0.18863803846818072</v>
      </c>
      <c r="T110" s="1565">
        <f t="shared" si="68"/>
        <v>1.165905159149494E-2</v>
      </c>
      <c r="U110" s="1565">
        <f t="shared" si="68"/>
        <v>1.4893466134001221E-2</v>
      </c>
      <c r="V110" s="1565">
        <f t="shared" si="68"/>
        <v>9.5810980602070384E-2</v>
      </c>
      <c r="W110" s="1565">
        <f t="shared" si="68"/>
        <v>0.15929177986269649</v>
      </c>
      <c r="X110" s="1565">
        <f t="shared" si="68"/>
        <v>0.13602857488800124</v>
      </c>
      <c r="Y110" s="1565">
        <f t="shared" si="68"/>
        <v>0.10283839663128247</v>
      </c>
      <c r="Z110" s="1565">
        <f t="shared" si="68"/>
        <v>0.13010883683531538</v>
      </c>
      <c r="AA110" s="1565">
        <f t="shared" si="68"/>
        <v>3.2766837879321553E-2</v>
      </c>
      <c r="AB110" s="1565">
        <f t="shared" si="68"/>
        <v>3.1962871844032348E-2</v>
      </c>
      <c r="AC110" s="1565">
        <f t="shared" si="68"/>
        <v>0.11347448954327111</v>
      </c>
      <c r="AD110" s="1565">
        <f t="shared" si="68"/>
        <v>0.11402277458544452</v>
      </c>
      <c r="AE110" s="1565">
        <f t="shared" si="68"/>
        <v>7.1176470588235397E-2</v>
      </c>
      <c r="AF110" s="1565">
        <f t="shared" si="68"/>
        <v>7.7863247863247942E-2</v>
      </c>
      <c r="AG110" s="1565">
        <f t="shared" si="68"/>
        <v>7.4799999999999978E-2</v>
      </c>
      <c r="AH110" s="1565">
        <f t="shared" si="68"/>
        <v>5.1052631578947461E-2</v>
      </c>
      <c r="AI110" s="467"/>
      <c r="AJ110" s="467"/>
      <c r="AK110" s="467"/>
      <c r="AL110" s="467"/>
      <c r="AM110" s="467"/>
      <c r="AN110" s="467"/>
      <c r="AO110" s="467"/>
    </row>
    <row r="111" spans="1:41" ht="3.95" customHeight="1">
      <c r="A111" s="467"/>
      <c r="B111" s="1547"/>
      <c r="C111" s="1547"/>
      <c r="D111" s="1547"/>
      <c r="E111" s="1547"/>
      <c r="F111" s="1547"/>
      <c r="G111" s="1547"/>
      <c r="H111" s="1547"/>
      <c r="I111" s="1547"/>
      <c r="J111" s="1547"/>
      <c r="K111" s="1547"/>
      <c r="L111" s="1547"/>
      <c r="M111" s="1547"/>
      <c r="N111" s="1547"/>
      <c r="O111" s="1547"/>
      <c r="P111" s="1547"/>
      <c r="Q111" s="1547"/>
      <c r="R111" s="1547"/>
      <c r="S111" s="1547"/>
      <c r="T111" s="1547"/>
      <c r="U111" s="1547"/>
      <c r="V111" s="1547"/>
      <c r="W111" s="1547"/>
      <c r="X111" s="1547"/>
      <c r="Y111" s="1547"/>
      <c r="Z111" s="1547"/>
      <c r="AA111" s="1547"/>
      <c r="AB111" s="1547"/>
      <c r="AC111" s="1547"/>
      <c r="AD111" s="1547"/>
      <c r="AE111" s="1547"/>
      <c r="AF111" s="1547"/>
      <c r="AG111" s="1547"/>
      <c r="AH111" s="1547"/>
      <c r="AI111" s="467"/>
      <c r="AJ111" s="467"/>
      <c r="AK111" s="467"/>
      <c r="AL111" s="467"/>
      <c r="AM111" s="467"/>
      <c r="AN111" s="467"/>
      <c r="AO111" s="467"/>
    </row>
    <row r="112" spans="1:41">
      <c r="A112" s="467" t="s">
        <v>378</v>
      </c>
      <c r="B112" s="1538"/>
      <c r="C112" s="1538"/>
      <c r="D112" s="1538"/>
      <c r="E112" s="1538"/>
      <c r="F112" s="1538" t="s">
        <v>642</v>
      </c>
      <c r="G112" s="1538">
        <f>yrSales!G236</f>
        <v>78.405000000000001</v>
      </c>
      <c r="H112" s="1538">
        <f>yrSales!H236</f>
        <v>87.01900000000002</v>
      </c>
      <c r="I112" s="1538">
        <f>yrSales!I236</f>
        <v>98.11</v>
      </c>
      <c r="J112" s="1538">
        <f>yrSales!J236</f>
        <v>132.53800000000001</v>
      </c>
      <c r="K112" s="1538">
        <f>yrSales!K236</f>
        <v>206.81</v>
      </c>
      <c r="L112" s="1538">
        <f>yrSales!L236</f>
        <v>315.01499999999999</v>
      </c>
      <c r="M112" s="1538">
        <f>yrSales!M236</f>
        <v>507.21100000000001</v>
      </c>
      <c r="N112" s="1538">
        <f>yrSales!N236</f>
        <v>705.072</v>
      </c>
      <c r="O112" s="1538">
        <f>yrSales!O236</f>
        <v>876.53600000000006</v>
      </c>
      <c r="P112" s="1538">
        <f>yrSales!P236</f>
        <v>1012.923</v>
      </c>
      <c r="Q112" s="1538">
        <f>yrSales!Q236</f>
        <v>1186.854</v>
      </c>
      <c r="R112" s="1538">
        <f>yrSales!R236</f>
        <v>1365.1030000000001</v>
      </c>
      <c r="S112" s="1538">
        <f>yrSales!S236</f>
        <v>1480.3820000000001</v>
      </c>
      <c r="T112" s="1538">
        <f>yrSales!T236</f>
        <v>1578.2859999999998</v>
      </c>
      <c r="U112" s="1538">
        <f>yrSales!U236</f>
        <v>1794.4089999999999</v>
      </c>
      <c r="V112" s="1538">
        <f>yrSales!V236</f>
        <v>1958.0070000000001</v>
      </c>
      <c r="W112" s="1538">
        <f>yrSales!W236</f>
        <v>2243.9859999999999</v>
      </c>
      <c r="X112" s="1538">
        <f>yrSales!X236</f>
        <v>2657.1110000000003</v>
      </c>
      <c r="Y112" s="1538">
        <f>yrSales!Y236</f>
        <v>2993.7179999999998</v>
      </c>
      <c r="Z112" s="1538">
        <f>yrSales!Z236</f>
        <v>3414.268</v>
      </c>
      <c r="AA112" s="1538">
        <f>yrSales!AA236</f>
        <v>3915.221</v>
      </c>
      <c r="AB112" s="1538">
        <f>yrSales!AB236</f>
        <v>4404.607</v>
      </c>
      <c r="AC112" s="1538">
        <f>yrSales!AC236</f>
        <v>5116.3279999999995</v>
      </c>
      <c r="AD112" s="1538">
        <f>yrSales!AD236</f>
        <v>5720.0251464000003</v>
      </c>
      <c r="AE112" s="1538">
        <f>yrSales!AE236</f>
        <v>6505.8344262209712</v>
      </c>
      <c r="AF112" s="1538">
        <f>yrSales!AF236</f>
        <v>7110.7701051698377</v>
      </c>
      <c r="AG112" s="1538">
        <f>yrSales!AG236</f>
        <v>7757.2426460189117</v>
      </c>
      <c r="AH112" s="1538">
        <f>yrSales!AH236</f>
        <v>8296.5090549930155</v>
      </c>
      <c r="AI112" s="467"/>
      <c r="AJ112" s="467"/>
      <c r="AK112" s="467"/>
      <c r="AL112" s="467"/>
      <c r="AM112" s="467"/>
      <c r="AN112" s="467"/>
      <c r="AO112" s="467"/>
    </row>
    <row r="113" spans="1:41">
      <c r="A113" s="467"/>
      <c r="B113" s="1547"/>
      <c r="C113" s="1565"/>
      <c r="D113" s="1565"/>
      <c r="E113" s="1565"/>
      <c r="F113" s="1565"/>
      <c r="G113" s="1565"/>
      <c r="H113" s="1565">
        <f t="shared" ref="H113:AH113" si="69">+H112/G112-1</f>
        <v>0.10986544225495853</v>
      </c>
      <c r="I113" s="1565">
        <f t="shared" si="69"/>
        <v>0.12745492363736632</v>
      </c>
      <c r="J113" s="1565">
        <f t="shared" si="69"/>
        <v>0.35091224136173693</v>
      </c>
      <c r="K113" s="1565">
        <f t="shared" si="69"/>
        <v>0.56038268270231928</v>
      </c>
      <c r="L113" s="1565">
        <f t="shared" si="69"/>
        <v>0.52320970939509692</v>
      </c>
      <c r="M113" s="1565">
        <f t="shared" si="69"/>
        <v>0.61011697855657676</v>
      </c>
      <c r="N113" s="1565">
        <f t="shared" si="69"/>
        <v>0.39009603498346834</v>
      </c>
      <c r="O113" s="1565">
        <f t="shared" si="69"/>
        <v>0.24318651144847636</v>
      </c>
      <c r="P113" s="1565">
        <f t="shared" si="69"/>
        <v>0.15559771646572407</v>
      </c>
      <c r="Q113" s="1565">
        <f t="shared" si="69"/>
        <v>0.17171196626002172</v>
      </c>
      <c r="R113" s="1565">
        <f t="shared" si="69"/>
        <v>0.15018612230316442</v>
      </c>
      <c r="S113" s="1565">
        <f t="shared" si="69"/>
        <v>8.4447107654147757E-2</v>
      </c>
      <c r="T113" s="1565">
        <f t="shared" si="69"/>
        <v>6.6134281557057362E-2</v>
      </c>
      <c r="U113" s="1565">
        <f t="shared" si="69"/>
        <v>0.13693525761490632</v>
      </c>
      <c r="V113" s="1565">
        <f t="shared" si="69"/>
        <v>9.1170964924941922E-2</v>
      </c>
      <c r="W113" s="1565">
        <f t="shared" si="69"/>
        <v>0.14605616833851953</v>
      </c>
      <c r="X113" s="1565">
        <f t="shared" si="69"/>
        <v>0.18410319850480361</v>
      </c>
      <c r="Y113" s="1565">
        <f t="shared" si="69"/>
        <v>0.12668157258014423</v>
      </c>
      <c r="Z113" s="1565">
        <f t="shared" si="69"/>
        <v>0.14047749320410285</v>
      </c>
      <c r="AA113" s="1565">
        <f t="shared" si="69"/>
        <v>0.14672339722599403</v>
      </c>
      <c r="AB113" s="1565">
        <f t="shared" si="69"/>
        <v>0.12499575375183158</v>
      </c>
      <c r="AC113" s="1565">
        <f t="shared" si="69"/>
        <v>0.1615855852746908</v>
      </c>
      <c r="AD113" s="1565">
        <f t="shared" si="69"/>
        <v>0.11799422288797756</v>
      </c>
      <c r="AE113" s="1565">
        <f t="shared" si="69"/>
        <v>0.13737864077669903</v>
      </c>
      <c r="AF113" s="1565">
        <f t="shared" si="69"/>
        <v>9.2983565107459087E-2</v>
      </c>
      <c r="AG113" s="1565">
        <f t="shared" si="69"/>
        <v>9.091456077015625E-2</v>
      </c>
      <c r="AH113" s="1565">
        <f t="shared" si="69"/>
        <v>6.9517795637198621E-2</v>
      </c>
      <c r="AI113" s="467"/>
      <c r="AJ113" s="467"/>
      <c r="AK113" s="467"/>
      <c r="AL113" s="467"/>
      <c r="AM113" s="467"/>
      <c r="AN113" s="467"/>
      <c r="AO113" s="467"/>
    </row>
    <row r="114" spans="1:41" ht="3.95" customHeight="1">
      <c r="A114" s="467"/>
      <c r="B114" s="1547"/>
      <c r="C114" s="1547"/>
      <c r="D114" s="1547"/>
      <c r="E114" s="1547"/>
      <c r="F114" s="1547"/>
      <c r="G114" s="1547"/>
      <c r="H114" s="1547"/>
      <c r="I114" s="1547"/>
      <c r="J114" s="1547"/>
      <c r="K114" s="1547"/>
      <c r="L114" s="1547"/>
      <c r="M114" s="1547"/>
      <c r="N114" s="1547"/>
      <c r="O114" s="1547"/>
      <c r="P114" s="1547"/>
      <c r="Q114" s="1547"/>
      <c r="R114" s="1547"/>
      <c r="S114" s="1547"/>
      <c r="T114" s="1547"/>
      <c r="U114" s="1547"/>
      <c r="V114" s="1547"/>
      <c r="W114" s="1547"/>
      <c r="X114" s="1547"/>
      <c r="Y114" s="1547"/>
      <c r="Z114" s="1547"/>
      <c r="AA114" s="1547"/>
      <c r="AB114" s="1547"/>
      <c r="AC114" s="1547"/>
      <c r="AD114" s="1547"/>
      <c r="AE114" s="1547"/>
      <c r="AF114" s="1547"/>
      <c r="AG114" s="1547"/>
      <c r="AH114" s="1547"/>
      <c r="AI114" s="467"/>
      <c r="AJ114" s="467"/>
      <c r="AK114" s="467"/>
      <c r="AL114" s="467"/>
      <c r="AM114" s="467"/>
      <c r="AN114" s="467"/>
      <c r="AO114" s="467"/>
    </row>
    <row r="115" spans="1:41">
      <c r="A115" s="467" t="s">
        <v>374</v>
      </c>
      <c r="B115" s="1538"/>
      <c r="C115" s="1538"/>
      <c r="D115" s="1538"/>
      <c r="E115" s="1538"/>
      <c r="F115" s="1538"/>
      <c r="G115" s="1538"/>
      <c r="H115" s="1538" t="s">
        <v>642</v>
      </c>
      <c r="I115" s="1538" t="str">
        <f>yrSales!I278</f>
        <v>n/a</v>
      </c>
      <c r="J115" s="1538">
        <f>yrSales!J278</f>
        <v>10.71</v>
      </c>
      <c r="K115" s="1538">
        <f>yrSales!K278</f>
        <v>43.286999999999999</v>
      </c>
      <c r="L115" s="1538">
        <f>yrSales!L278</f>
        <v>83.15</v>
      </c>
      <c r="M115" s="1538">
        <f>yrSales!M278</f>
        <v>157.328</v>
      </c>
      <c r="N115" s="1538">
        <f>yrSales!N278</f>
        <v>277.21000000000004</v>
      </c>
      <c r="O115" s="1538">
        <f>yrSales!O278</f>
        <v>421.60400000000004</v>
      </c>
      <c r="P115" s="1538">
        <f>yrSales!P278</f>
        <v>530.64300000000003</v>
      </c>
      <c r="Q115" s="1538">
        <f>yrSales!Q278</f>
        <v>615.93900000000008</v>
      </c>
      <c r="R115" s="1538">
        <f>yrSales!R278</f>
        <v>601.827</v>
      </c>
      <c r="S115" s="1538">
        <f>yrSales!S278</f>
        <v>632.66100000000006</v>
      </c>
      <c r="T115" s="1538">
        <f>yrSales!T278</f>
        <v>677.59699999999998</v>
      </c>
      <c r="U115" s="1538">
        <f>yrSales!U278</f>
        <v>0</v>
      </c>
      <c r="V115" s="1538">
        <f>yrSales!V278</f>
        <v>0</v>
      </c>
      <c r="W115" s="1538">
        <f>yrSales!W278</f>
        <v>0</v>
      </c>
      <c r="X115" s="1538">
        <f>yrSales!X278</f>
        <v>0</v>
      </c>
      <c r="Y115" s="1538">
        <f>yrSales!Y278</f>
        <v>0</v>
      </c>
      <c r="Z115" s="1538">
        <f>yrSales!Z278</f>
        <v>0</v>
      </c>
      <c r="AA115" s="1538">
        <f>yrSales!AA278</f>
        <v>0</v>
      </c>
      <c r="AB115" s="1538">
        <f>yrSales!AB278</f>
        <v>0</v>
      </c>
      <c r="AC115" s="1538">
        <f>yrSales!AC278</f>
        <v>0</v>
      </c>
      <c r="AD115" s="1538">
        <f>yrSales!AD278</f>
        <v>0</v>
      </c>
      <c r="AE115" s="1538">
        <f>yrSales!AE278</f>
        <v>0</v>
      </c>
      <c r="AF115" s="1538">
        <f>yrSales!AF278</f>
        <v>0</v>
      </c>
      <c r="AG115" s="1538">
        <f>yrSales!AG278</f>
        <v>0</v>
      </c>
      <c r="AH115" s="1538">
        <f>yrSales!AH278</f>
        <v>0</v>
      </c>
      <c r="AI115" s="467"/>
      <c r="AJ115" s="467"/>
      <c r="AK115" s="467"/>
      <c r="AL115" s="467"/>
      <c r="AM115" s="467"/>
      <c r="AN115" s="467"/>
      <c r="AO115" s="467"/>
    </row>
    <row r="116" spans="1:41">
      <c r="A116" s="467"/>
      <c r="B116" s="1547"/>
      <c r="C116" s="1565"/>
      <c r="D116" s="1565"/>
      <c r="E116" s="1565"/>
      <c r="F116" s="1565"/>
      <c r="G116" s="1565"/>
      <c r="H116" s="1565"/>
      <c r="I116" s="1565"/>
      <c r="J116" s="1565"/>
      <c r="K116" s="1565">
        <f t="shared" ref="K116:V116" si="70">+K115/J115-1</f>
        <v>3.041736694677871</v>
      </c>
      <c r="L116" s="1565">
        <f t="shared" si="70"/>
        <v>0.9209000392727611</v>
      </c>
      <c r="M116" s="1565">
        <f t="shared" si="70"/>
        <v>0.89209861695730597</v>
      </c>
      <c r="N116" s="1565">
        <f t="shared" si="70"/>
        <v>0.76198769449811876</v>
      </c>
      <c r="O116" s="1565">
        <f t="shared" si="70"/>
        <v>0.52088308502579261</v>
      </c>
      <c r="P116" s="1565">
        <f t="shared" si="70"/>
        <v>0.25862895038946498</v>
      </c>
      <c r="Q116" s="1565">
        <f t="shared" si="70"/>
        <v>0.16074083705994435</v>
      </c>
      <c r="R116" s="1565">
        <f t="shared" si="70"/>
        <v>-2.2911359728804426E-2</v>
      </c>
      <c r="S116" s="1565">
        <f t="shared" si="70"/>
        <v>5.1233992492859315E-2</v>
      </c>
      <c r="T116" s="1565">
        <f t="shared" si="70"/>
        <v>7.1026979693706194E-2</v>
      </c>
      <c r="U116" s="1565">
        <f t="shared" si="70"/>
        <v>-1</v>
      </c>
      <c r="V116" s="1565" t="e">
        <f t="shared" si="70"/>
        <v>#DIV/0!</v>
      </c>
      <c r="W116" s="1565"/>
      <c r="X116" s="1565"/>
      <c r="Y116" s="1565"/>
      <c r="Z116" s="1565"/>
      <c r="AA116" s="1565"/>
      <c r="AB116" s="1565"/>
      <c r="AC116" s="1565"/>
      <c r="AD116" s="1565"/>
      <c r="AE116" s="1565"/>
      <c r="AF116" s="1565"/>
      <c r="AG116" s="1565"/>
      <c r="AH116" s="1565"/>
      <c r="AI116" s="467"/>
      <c r="AJ116" s="467"/>
      <c r="AK116" s="467"/>
      <c r="AL116" s="467"/>
      <c r="AM116" s="467"/>
      <c r="AN116" s="467"/>
      <c r="AO116" s="467"/>
    </row>
    <row r="117" spans="1:41" ht="3.95" customHeight="1">
      <c r="A117" s="467"/>
      <c r="B117" s="1547"/>
      <c r="C117" s="1547"/>
      <c r="D117" s="1547"/>
      <c r="E117" s="1547"/>
      <c r="F117" s="1547"/>
      <c r="G117" s="1547"/>
      <c r="H117" s="1547"/>
      <c r="I117" s="1547"/>
      <c r="J117" s="1547"/>
      <c r="K117" s="1547"/>
      <c r="L117" s="1547"/>
      <c r="M117" s="1547"/>
      <c r="N117" s="1547"/>
      <c r="O117" s="1547"/>
      <c r="P117" s="1547"/>
      <c r="Q117" s="1547"/>
      <c r="R117" s="1547"/>
      <c r="S117" s="1547"/>
      <c r="T117" s="1547"/>
      <c r="U117" s="1547"/>
      <c r="V117" s="1547"/>
      <c r="W117" s="1547"/>
      <c r="X117" s="1547"/>
      <c r="Y117" s="1547"/>
      <c r="Z117" s="1547"/>
      <c r="AA117" s="1547"/>
      <c r="AB117" s="1547"/>
      <c r="AC117" s="1547"/>
      <c r="AD117" s="1547"/>
      <c r="AE117" s="1547"/>
      <c r="AF117" s="1547"/>
      <c r="AG117" s="1547"/>
      <c r="AH117" s="1547"/>
      <c r="AI117" s="467"/>
      <c r="AJ117" s="467"/>
      <c r="AK117" s="467"/>
      <c r="AL117" s="467"/>
      <c r="AM117" s="467"/>
      <c r="AN117" s="467"/>
      <c r="AO117" s="467"/>
    </row>
    <row r="118" spans="1:41">
      <c r="A118" s="467" t="s">
        <v>352</v>
      </c>
      <c r="B118" s="1538"/>
      <c r="C118" s="1538"/>
      <c r="D118" s="1538"/>
      <c r="E118" s="1538"/>
      <c r="F118" s="1538"/>
      <c r="G118" s="1538"/>
      <c r="H118" s="1538" t="s">
        <v>642</v>
      </c>
      <c r="I118" s="1538" t="str">
        <f>yrSales!I319</f>
        <v>n/a</v>
      </c>
      <c r="J118" s="1538">
        <f>yrSales!J319</f>
        <v>0</v>
      </c>
      <c r="K118" s="1538">
        <f>yrSales!K319</f>
        <v>0</v>
      </c>
      <c r="L118" s="1538">
        <f>yrSales!L319</f>
        <v>0</v>
      </c>
      <c r="M118" s="1538">
        <f>yrSales!M319</f>
        <v>0</v>
      </c>
      <c r="N118" s="1538">
        <f>yrSales!N319</f>
        <v>0</v>
      </c>
      <c r="O118" s="1538">
        <f>yrSales!O319</f>
        <v>24.071999999999999</v>
      </c>
      <c r="P118" s="1538">
        <f>yrSales!P319</f>
        <v>290.55700000000002</v>
      </c>
      <c r="Q118" s="1538">
        <f>yrSales!Q319</f>
        <v>288.48</v>
      </c>
      <c r="R118" s="1538">
        <f>yrSales!R319</f>
        <v>300.62399999999997</v>
      </c>
      <c r="S118" s="1538">
        <f>yrSales!S319</f>
        <v>310.39999999999998</v>
      </c>
      <c r="T118" s="1538">
        <f>yrSales!T319</f>
        <v>127.46700000000001</v>
      </c>
      <c r="U118" s="1538">
        <f>yrSales!U319</f>
        <v>118.51211510977271</v>
      </c>
      <c r="V118" s="1538">
        <f>yrSales!V319</f>
        <v>50.960209497202271</v>
      </c>
      <c r="W118" s="1538">
        <f>yrSales!W319</f>
        <v>52.489015782118344</v>
      </c>
      <c r="X118" s="1538">
        <f>yrSales!X319</f>
        <v>54.063686255581892</v>
      </c>
      <c r="Y118" s="1538">
        <f>yrSales!Y319</f>
        <v>55.68559684324935</v>
      </c>
      <c r="Z118" s="1538">
        <f>yrSales!Z319</f>
        <v>57.356164748546831</v>
      </c>
      <c r="AA118" s="1538">
        <f>yrSales!AA319</f>
        <v>59.07684969100324</v>
      </c>
      <c r="AB118" s="1538">
        <f>yrSales!AB319</f>
        <v>60.849155181733337</v>
      </c>
      <c r="AC118" s="1538">
        <f>yrSales!AC319</f>
        <v>62.674629837185336</v>
      </c>
      <c r="AD118" s="1538">
        <f>yrSales!AD319</f>
        <v>64.554868732300903</v>
      </c>
      <c r="AE118" s="1538">
        <f>yrSales!AE319</f>
        <v>66.491514794269932</v>
      </c>
      <c r="AF118" s="1538">
        <f>yrSales!AF319</f>
        <v>68.486260238098026</v>
      </c>
      <c r="AG118" s="1538">
        <f>yrSales!AG319</f>
        <v>70.540848045240963</v>
      </c>
      <c r="AH118" s="1538">
        <f>yrSales!AH319</f>
        <v>72.657073486598193</v>
      </c>
      <c r="AI118" s="467"/>
      <c r="AJ118" s="467"/>
      <c r="AK118" s="467"/>
      <c r="AL118" s="467"/>
      <c r="AM118" s="467"/>
      <c r="AN118" s="467"/>
      <c r="AO118" s="467"/>
    </row>
    <row r="119" spans="1:41">
      <c r="A119" s="467"/>
      <c r="B119" s="1547"/>
      <c r="C119" s="1565"/>
      <c r="D119" s="1565"/>
      <c r="E119" s="1565"/>
      <c r="F119" s="1565"/>
      <c r="G119" s="1565"/>
      <c r="H119" s="1565"/>
      <c r="I119" s="1565"/>
      <c r="J119" s="1565"/>
      <c r="K119" s="1565"/>
      <c r="L119" s="1565"/>
      <c r="M119" s="1565"/>
      <c r="N119" s="1565"/>
      <c r="O119" s="1565"/>
      <c r="P119" s="1565">
        <f t="shared" ref="P119:AH119" si="71">+P118/O118-1</f>
        <v>11.07033067464274</v>
      </c>
      <c r="Q119" s="1565">
        <f t="shared" si="71"/>
        <v>-7.1483392243174571E-3</v>
      </c>
      <c r="R119" s="1565">
        <f t="shared" si="71"/>
        <v>4.2096505823627117E-2</v>
      </c>
      <c r="S119" s="1565">
        <f t="shared" si="71"/>
        <v>3.2519027090318842E-2</v>
      </c>
      <c r="T119" s="1565">
        <f t="shared" si="71"/>
        <v>-0.58934600515463909</v>
      </c>
      <c r="U119" s="1565">
        <f t="shared" si="71"/>
        <v>-7.0252574315134875E-2</v>
      </c>
      <c r="V119" s="1565">
        <f t="shared" si="71"/>
        <v>-0.56999999999999995</v>
      </c>
      <c r="W119" s="1565">
        <f t="shared" si="71"/>
        <v>3.0000000000000027E-2</v>
      </c>
      <c r="X119" s="1565">
        <f t="shared" si="71"/>
        <v>3.0000000000000027E-2</v>
      </c>
      <c r="Y119" s="1565">
        <f t="shared" si="71"/>
        <v>3.0000000000000027E-2</v>
      </c>
      <c r="Z119" s="1565">
        <f t="shared" si="71"/>
        <v>3.0000000000000027E-2</v>
      </c>
      <c r="AA119" s="1565">
        <f t="shared" si="71"/>
        <v>3.0000000000000027E-2</v>
      </c>
      <c r="AB119" s="1565">
        <f t="shared" si="71"/>
        <v>3.0000000000000027E-2</v>
      </c>
      <c r="AC119" s="1565">
        <f t="shared" si="71"/>
        <v>3.0000000000000027E-2</v>
      </c>
      <c r="AD119" s="1565">
        <f t="shared" si="71"/>
        <v>3.0000000000000027E-2</v>
      </c>
      <c r="AE119" s="1565">
        <f t="shared" si="71"/>
        <v>3.0000000000000027E-2</v>
      </c>
      <c r="AF119" s="1565">
        <f t="shared" si="71"/>
        <v>3.0000000000000027E-2</v>
      </c>
      <c r="AG119" s="1565">
        <f t="shared" si="71"/>
        <v>3.0000000000000027E-2</v>
      </c>
      <c r="AH119" s="1565">
        <f t="shared" si="71"/>
        <v>3.0000000000000027E-2</v>
      </c>
      <c r="AI119" s="467"/>
      <c r="AJ119" s="467"/>
      <c r="AK119" s="467"/>
      <c r="AL119" s="467"/>
      <c r="AM119" s="467"/>
      <c r="AN119" s="467"/>
      <c r="AO119" s="467"/>
    </row>
    <row r="120" spans="1:41" ht="3.95" customHeight="1">
      <c r="A120" s="467"/>
      <c r="B120" s="1547"/>
      <c r="C120" s="1547"/>
      <c r="D120" s="1547"/>
      <c r="E120" s="1547"/>
      <c r="F120" s="1547"/>
      <c r="G120" s="1547"/>
      <c r="H120" s="1547"/>
      <c r="I120" s="1547"/>
      <c r="J120" s="1547"/>
      <c r="K120" s="1547"/>
      <c r="L120" s="1547"/>
      <c r="M120" s="1547"/>
      <c r="N120" s="1547"/>
      <c r="O120" s="1547"/>
      <c r="P120" s="1547"/>
      <c r="Q120" s="1547"/>
      <c r="R120" s="1547"/>
      <c r="S120" s="1547"/>
      <c r="T120" s="1547"/>
      <c r="U120" s="1547"/>
      <c r="V120" s="1547"/>
      <c r="W120" s="1547"/>
      <c r="X120" s="1547"/>
      <c r="Y120" s="1547"/>
      <c r="Z120" s="1547"/>
      <c r="AA120" s="1547"/>
      <c r="AB120" s="1547"/>
      <c r="AC120" s="1547"/>
      <c r="AD120" s="1547"/>
      <c r="AE120" s="1547"/>
      <c r="AF120" s="1547"/>
      <c r="AG120" s="1547"/>
      <c r="AH120" s="1547"/>
      <c r="AI120" s="467"/>
      <c r="AJ120" s="467"/>
      <c r="AK120" s="467"/>
      <c r="AL120" s="467"/>
      <c r="AM120" s="467"/>
      <c r="AN120" s="467"/>
      <c r="AO120" s="467"/>
    </row>
    <row r="121" spans="1:41">
      <c r="A121" s="467" t="s">
        <v>610</v>
      </c>
      <c r="B121" s="1538">
        <f t="shared" ref="B121:H121" si="72">SUM(B103:B115)</f>
        <v>1948</v>
      </c>
      <c r="C121" s="1538">
        <f t="shared" si="72"/>
        <v>2209.6247162022705</v>
      </c>
      <c r="D121" s="1538">
        <f t="shared" si="72"/>
        <v>2590.3141510299583</v>
      </c>
      <c r="E121" s="1538">
        <f t="shared" si="72"/>
        <v>2832.4611918519504</v>
      </c>
      <c r="F121" s="1538">
        <f t="shared" si="72"/>
        <v>3052.0474052185841</v>
      </c>
      <c r="G121" s="1538">
        <f t="shared" si="72"/>
        <v>3975.8849056385598</v>
      </c>
      <c r="H121" s="1538">
        <f t="shared" si="72"/>
        <v>6690.6471763420523</v>
      </c>
      <c r="I121" s="1538">
        <f>+I103+I106+I109+I112</f>
        <v>7390.0689999999995</v>
      </c>
      <c r="J121" s="1538">
        <f>+J103+J106+J109+J112+J115</f>
        <v>7949.1009999999997</v>
      </c>
      <c r="K121" s="1538">
        <f>+K103+K106+K109+K112+K115</f>
        <v>8795.3469999999998</v>
      </c>
      <c r="L121" s="1538">
        <f>+L103+L106+L109+L112+L115</f>
        <v>9579.0059999999994</v>
      </c>
      <c r="M121" s="1538">
        <f>+M103+M106+M109+M112+M115</f>
        <v>10708.998</v>
      </c>
      <c r="N121" s="1538">
        <f>+N103+N106+N109+N112+N115</f>
        <v>11981.206999999999</v>
      </c>
      <c r="O121" s="1538">
        <f t="shared" ref="O121:U121" si="73">+O103+O106+O109+O112+O115+O118</f>
        <v>13327.938</v>
      </c>
      <c r="P121" s="1538">
        <f t="shared" si="73"/>
        <v>14913.483000000002</v>
      </c>
      <c r="Q121" s="1538">
        <f t="shared" si="73"/>
        <v>16022.913</v>
      </c>
      <c r="R121" s="1538">
        <f t="shared" si="73"/>
        <v>17404.637000000002</v>
      </c>
      <c r="S121" s="1538">
        <f t="shared" si="73"/>
        <v>18647.126000000004</v>
      </c>
      <c r="T121" s="1538">
        <f t="shared" si="73"/>
        <v>19126.972000000002</v>
      </c>
      <c r="U121" s="1538">
        <f t="shared" si="73"/>
        <v>19627.145115109772</v>
      </c>
      <c r="V121" s="1538">
        <f t="shared" ref="V121:AD121" si="74">+V103+V106+V109+V112+V115+V118</f>
        <v>21104.789209497205</v>
      </c>
      <c r="W121" s="1538">
        <f t="shared" si="74"/>
        <v>23234.715015782116</v>
      </c>
      <c r="X121" s="1538">
        <f t="shared" si="74"/>
        <v>25932.435686255583</v>
      </c>
      <c r="Y121" s="1538">
        <f t="shared" si="74"/>
        <v>27478.38159684325</v>
      </c>
      <c r="Z121" s="1538">
        <f t="shared" si="74"/>
        <v>29136.810164748546</v>
      </c>
      <c r="AA121" s="1538">
        <f t="shared" si="74"/>
        <v>31004.014849691001</v>
      </c>
      <c r="AB121" s="1538">
        <f t="shared" si="74"/>
        <v>33244.593155181741</v>
      </c>
      <c r="AC121" s="1538">
        <f t="shared" si="74"/>
        <v>35927.338629837184</v>
      </c>
      <c r="AD121" s="1538">
        <f t="shared" si="74"/>
        <v>37906.361444132308</v>
      </c>
      <c r="AE121" s="1538">
        <f>+AE103+AE106+AE109+AE112+AE115+AE118</f>
        <v>40416.445782172232</v>
      </c>
      <c r="AF121" s="1538">
        <f>+AF103+AF106+AF109+AF112+AF115+AF118</f>
        <v>42984.884540532221</v>
      </c>
      <c r="AG121" s="1538">
        <f>+AG103+AG106+AG109+AG112+AG115+AG118</f>
        <v>45665.25647055178</v>
      </c>
      <c r="AH121" s="1538">
        <f>+AH103+AH106+AH109+AH112+AH115+AH118</f>
        <v>47761.276354173162</v>
      </c>
      <c r="AI121" s="467"/>
      <c r="AJ121" s="467"/>
      <c r="AK121" s="467"/>
      <c r="AL121" s="467"/>
      <c r="AM121" s="467"/>
      <c r="AN121" s="467"/>
      <c r="AO121" s="467"/>
    </row>
    <row r="122" spans="1:41" outlineLevel="1">
      <c r="A122" s="467" t="s">
        <v>675</v>
      </c>
      <c r="B122" s="1538">
        <f t="shared" ref="B122:AD122" si="75">B7</f>
        <v>2446.279</v>
      </c>
      <c r="C122" s="1538">
        <f t="shared" si="75"/>
        <v>2757.7150000000001</v>
      </c>
      <c r="D122" s="1538">
        <f t="shared" si="75"/>
        <v>3261.24</v>
      </c>
      <c r="E122" s="1538">
        <f t="shared" si="75"/>
        <v>2832.0699999999997</v>
      </c>
      <c r="F122" s="1538">
        <f t="shared" si="75"/>
        <v>3055.5730000000003</v>
      </c>
      <c r="G122" s="1538">
        <f t="shared" si="75"/>
        <v>3975.1149999999998</v>
      </c>
      <c r="H122" s="1538">
        <f t="shared" si="75"/>
        <v>6689.41</v>
      </c>
      <c r="I122" s="1538">
        <f t="shared" si="75"/>
        <v>7389.0690000000004</v>
      </c>
      <c r="J122" s="1538">
        <f t="shared" si="75"/>
        <v>7948.8710000000001</v>
      </c>
      <c r="K122" s="1538">
        <f t="shared" si="75"/>
        <v>8795.3469999999998</v>
      </c>
      <c r="L122" s="1538">
        <f t="shared" si="75"/>
        <v>9579.0059999999994</v>
      </c>
      <c r="M122" s="1538">
        <f t="shared" si="75"/>
        <v>10708.998</v>
      </c>
      <c r="N122" s="1538">
        <f t="shared" si="75"/>
        <v>11981.206999999999</v>
      </c>
      <c r="O122" s="1538">
        <f t="shared" si="75"/>
        <v>13327.938</v>
      </c>
      <c r="P122" s="1538">
        <f t="shared" si="75"/>
        <v>14913.483</v>
      </c>
      <c r="Q122" s="1538">
        <f t="shared" si="75"/>
        <v>16057.935000000001</v>
      </c>
      <c r="R122" s="1538">
        <f t="shared" si="75"/>
        <v>17404.637000000002</v>
      </c>
      <c r="S122" s="1538">
        <f t="shared" si="75"/>
        <v>18471.973000000002</v>
      </c>
      <c r="T122" s="1538">
        <f t="shared" si="75"/>
        <v>18999.504999999997</v>
      </c>
      <c r="U122" s="1538">
        <f t="shared" si="75"/>
        <v>20288.444</v>
      </c>
      <c r="V122" s="1538">
        <f t="shared" si="75"/>
        <v>21663.250999999997</v>
      </c>
      <c r="W122" s="1538">
        <f t="shared" si="75"/>
        <v>23182.226000000002</v>
      </c>
      <c r="X122" s="1538">
        <f t="shared" si="75"/>
        <v>25878.372000000003</v>
      </c>
      <c r="Y122" s="1538">
        <f t="shared" si="75"/>
        <v>27422.696</v>
      </c>
      <c r="Z122" s="1538">
        <f t="shared" si="75"/>
        <v>29078.406999999999</v>
      </c>
      <c r="AA122" s="1538">
        <f t="shared" si="75"/>
        <v>30944.937999999998</v>
      </c>
      <c r="AB122" s="1538">
        <f t="shared" si="75"/>
        <v>33183.744000000006</v>
      </c>
      <c r="AC122" s="1538">
        <f t="shared" si="75"/>
        <v>35864.664000000004</v>
      </c>
      <c r="AD122" s="1538">
        <f t="shared" si="75"/>
        <v>37841.806575399998</v>
      </c>
      <c r="AE122" s="1538">
        <f>AE7</f>
        <v>40349.954267377965</v>
      </c>
      <c r="AF122" s="1538">
        <f>AF7</f>
        <v>42916.398280294125</v>
      </c>
      <c r="AG122" s="1538">
        <f>AG7</f>
        <v>45594.715622506541</v>
      </c>
      <c r="AH122" s="1538">
        <f>AH7</f>
        <v>47688.619280686566</v>
      </c>
      <c r="AI122" s="467"/>
      <c r="AJ122" s="467"/>
      <c r="AK122" s="467"/>
      <c r="AL122" s="467"/>
      <c r="AM122" s="467"/>
      <c r="AN122" s="467"/>
      <c r="AO122" s="467"/>
    </row>
    <row r="123" spans="1:41">
      <c r="A123" s="467"/>
      <c r="B123" s="1538"/>
      <c r="C123" s="1538"/>
      <c r="D123" s="1538"/>
      <c r="E123" s="1538"/>
      <c r="F123" s="1538"/>
      <c r="G123" s="1538"/>
      <c r="H123" s="1538"/>
      <c r="I123" s="1538"/>
      <c r="J123" s="1538"/>
      <c r="K123" s="1538"/>
      <c r="L123" s="1538"/>
      <c r="M123" s="1538"/>
      <c r="N123" s="1538"/>
      <c r="O123" s="1538"/>
      <c r="P123" s="1538"/>
      <c r="Q123" s="1538"/>
      <c r="R123" s="1538"/>
      <c r="S123" s="1538"/>
      <c r="T123" s="1538">
        <f>+T109+T112+T115+T118</f>
        <v>4625.4069999999992</v>
      </c>
      <c r="U123" s="1538">
        <f t="shared" ref="U123:AC123" si="76">+U109+U112+U115</f>
        <v>4069.8580000000002</v>
      </c>
      <c r="V123" s="1538">
        <f t="shared" si="76"/>
        <v>4451.469000000001</v>
      </c>
      <c r="W123" s="1538">
        <f t="shared" si="76"/>
        <v>5134.6359999999995</v>
      </c>
      <c r="X123" s="1538">
        <f t="shared" si="76"/>
        <v>5940.9720000000007</v>
      </c>
      <c r="Y123" s="1538">
        <f t="shared" si="76"/>
        <v>6615.2860000000001</v>
      </c>
      <c r="Z123" s="1538">
        <f t="shared" si="76"/>
        <v>7507.0339999999997</v>
      </c>
      <c r="AA123" s="1538">
        <f>+AA109+AA112+AA115</f>
        <v>8142.0939999999991</v>
      </c>
      <c r="AB123" s="1538">
        <f t="shared" si="76"/>
        <v>8766.5830000000005</v>
      </c>
      <c r="AC123" s="1538">
        <f t="shared" si="76"/>
        <v>9973.277</v>
      </c>
      <c r="AD123" s="1538">
        <f>+AD109+AD112+AD115</f>
        <v>11130.776947400002</v>
      </c>
      <c r="AE123" s="1538">
        <f>+AE109+AE112+AE115</f>
        <v>12301.704443645089</v>
      </c>
      <c r="AF123" s="1538">
        <f>+AF109+AF112+AF115</f>
        <v>13357.925386343817</v>
      </c>
      <c r="AG123" s="1538">
        <f>+AG109+AG112+AG115</f>
        <v>14471.685142224705</v>
      </c>
      <c r="AH123" s="1538">
        <f>+AH109+AH112+AH115</f>
        <v>15353.74151021563</v>
      </c>
      <c r="AI123" s="467"/>
      <c r="AJ123" s="467"/>
      <c r="AK123" s="467"/>
      <c r="AL123" s="467"/>
      <c r="AM123" s="467"/>
      <c r="AN123" s="467"/>
      <c r="AO123" s="467"/>
    </row>
    <row r="124" spans="1:41" ht="15" customHeight="1">
      <c r="A124" s="467" t="s">
        <v>287</v>
      </c>
      <c r="B124" s="1547"/>
      <c r="C124" s="1547"/>
      <c r="D124" s="1547"/>
      <c r="E124" s="1547"/>
      <c r="F124" s="1547"/>
      <c r="G124" s="1547"/>
      <c r="H124" s="1547"/>
      <c r="I124" s="1547"/>
      <c r="J124" s="1547"/>
      <c r="K124" s="1547"/>
      <c r="L124" s="1547"/>
      <c r="M124" s="1547"/>
      <c r="N124" s="1547"/>
      <c r="O124" s="1547"/>
      <c r="P124" s="1547"/>
      <c r="Q124" s="1547"/>
      <c r="R124" s="1547"/>
      <c r="S124" s="1547"/>
      <c r="T124" s="1547"/>
      <c r="U124" s="1547"/>
      <c r="V124" s="1547"/>
      <c r="W124" s="1547"/>
      <c r="X124" s="1547"/>
      <c r="Y124" s="1547"/>
      <c r="Z124" s="1547"/>
      <c r="AA124" s="1547"/>
      <c r="AB124" s="1547"/>
      <c r="AC124" s="1547"/>
      <c r="AD124" s="1547"/>
      <c r="AE124" s="1547"/>
      <c r="AF124" s="1547"/>
      <c r="AG124" s="1547"/>
      <c r="AH124" s="1547"/>
      <c r="AI124" s="467"/>
      <c r="AJ124" s="467"/>
      <c r="AK124" s="467"/>
      <c r="AL124" s="467"/>
      <c r="AM124" s="467"/>
      <c r="AN124" s="467"/>
      <c r="AO124" s="467"/>
    </row>
    <row r="125" spans="1:41">
      <c r="A125" s="467" t="s">
        <v>377</v>
      </c>
      <c r="B125" s="1538">
        <f>'SegP&amp;L'!$G$15</f>
        <v>160.80000000000001</v>
      </c>
      <c r="C125" s="1538">
        <f>'SegP&amp;L'!$G$22</f>
        <v>182.7</v>
      </c>
      <c r="D125" s="1538">
        <f>'SegP&amp;L'!$G$29</f>
        <v>215.7</v>
      </c>
      <c r="E125" s="1538">
        <f>'SegP&amp;L'!$G$36</f>
        <v>233.8</v>
      </c>
      <c r="F125" s="1538">
        <f>'SegP&amp;L'!$G$43</f>
        <v>202.2</v>
      </c>
      <c r="G125" s="1538">
        <f>'SegP&amp;L'!$G$50</f>
        <v>179.77799999999999</v>
      </c>
      <c r="H125" s="1538">
        <f>'SegP&amp;L'!$G$57</f>
        <v>446.38303599999995</v>
      </c>
      <c r="I125" s="1538">
        <f>'SegP&amp;L'!$G$64</f>
        <v>575.59683999999993</v>
      </c>
      <c r="J125" s="1538">
        <f>'SegP&amp;L'!$G$71</f>
        <v>753.92100000000005</v>
      </c>
      <c r="K125" s="1538">
        <f>'SegP&amp;L'!$G$78</f>
        <v>849.56</v>
      </c>
      <c r="L125" s="1538">
        <f>'SegP&amp;L'!$G$85</f>
        <v>858.35799999999995</v>
      </c>
      <c r="M125" s="1538">
        <f>'SegP&amp;L'!$G$92</f>
        <v>893.65</v>
      </c>
      <c r="N125" s="1538">
        <f>'SegP&amp;L'!$G$99</f>
        <v>887.94399999999996</v>
      </c>
      <c r="O125" s="1538">
        <f>'SegP&amp;L'!$G$106</f>
        <v>922.90700000000004</v>
      </c>
      <c r="P125" s="1538">
        <f>'SegP&amp;L'!$G$113</f>
        <v>982.08199999999988</v>
      </c>
      <c r="Q125" s="1538">
        <f t="shared" ref="Q125:V125" si="77">+Q126*Q103</f>
        <v>1095.6788000000001</v>
      </c>
      <c r="R125" s="1538">
        <f t="shared" si="77"/>
        <v>1153.1785</v>
      </c>
      <c r="S125" s="1538">
        <f t="shared" si="77"/>
        <v>1196.6650999999999</v>
      </c>
      <c r="T125" s="1538">
        <f t="shared" si="77"/>
        <v>1236.2121999999999</v>
      </c>
      <c r="U125" s="1538">
        <f t="shared" si="77"/>
        <v>1327.0862999999999</v>
      </c>
      <c r="V125" s="1538">
        <f t="shared" si="77"/>
        <v>1409.2159000000001</v>
      </c>
      <c r="W125" s="1538">
        <f t="shared" ref="W125:AB125" si="78">+W126*W103</f>
        <v>1536.7519000000002</v>
      </c>
      <c r="X125" s="1538">
        <f t="shared" si="78"/>
        <v>1701.1409000000001</v>
      </c>
      <c r="Y125" s="1538">
        <f t="shared" si="78"/>
        <v>1792.9576000000002</v>
      </c>
      <c r="Z125" s="1538">
        <f>+Z126*Z103</f>
        <v>1868.8351</v>
      </c>
      <c r="AA125" s="1538">
        <f>+AA126*AA103</f>
        <v>1994.8226999999999</v>
      </c>
      <c r="AB125" s="1538">
        <f t="shared" si="78"/>
        <v>2124.6034</v>
      </c>
      <c r="AC125" s="1538">
        <f t="shared" ref="AC125:AH125" si="79">+AC126*AC103</f>
        <v>2224.9105</v>
      </c>
      <c r="AD125" s="1538">
        <f t="shared" si="79"/>
        <v>2275.5018556000005</v>
      </c>
      <c r="AE125" s="1538">
        <f t="shared" si="79"/>
        <v>2381.6404401567329</v>
      </c>
      <c r="AF125" s="1538">
        <f t="shared" si="79"/>
        <v>2498.3311377175723</v>
      </c>
      <c r="AG125" s="1538">
        <f t="shared" si="79"/>
        <v>2619.262246896842</v>
      </c>
      <c r="AH125" s="1538">
        <f t="shared" si="79"/>
        <v>2714.6584063160899</v>
      </c>
      <c r="AI125" s="467"/>
      <c r="AJ125" s="467"/>
      <c r="AK125" s="467"/>
      <c r="AL125" s="467"/>
      <c r="AM125" s="467"/>
      <c r="AN125" s="467"/>
      <c r="AO125" s="467"/>
    </row>
    <row r="126" spans="1:41">
      <c r="A126" s="467"/>
      <c r="B126" s="1547">
        <f t="shared" ref="B126:N126" si="80">+B125/B103</f>
        <v>8.297213622291022E-2</v>
      </c>
      <c r="C126" s="1565">
        <f t="shared" si="80"/>
        <v>8.3818874156994086E-2</v>
      </c>
      <c r="D126" s="1565">
        <f t="shared" si="80"/>
        <v>8.5004926108374373E-2</v>
      </c>
      <c r="E126" s="1565">
        <f t="shared" si="80"/>
        <v>8.5182351440958953E-2</v>
      </c>
      <c r="F126" s="1565">
        <f t="shared" si="80"/>
        <v>6.897257470323373E-2</v>
      </c>
      <c r="G126" s="1565">
        <f t="shared" si="80"/>
        <v>4.8340791041392897E-2</v>
      </c>
      <c r="H126" s="1565">
        <f t="shared" si="80"/>
        <v>7.0296541102362192E-2</v>
      </c>
      <c r="I126" s="1565">
        <f t="shared" si="80"/>
        <v>8.4472679776929835E-2</v>
      </c>
      <c r="J126" s="1565">
        <f t="shared" si="80"/>
        <v>0.10476472366103533</v>
      </c>
      <c r="K126" s="1565">
        <f t="shared" si="80"/>
        <v>0.10920038571556741</v>
      </c>
      <c r="L126" s="1565">
        <f t="shared" si="80"/>
        <v>0.10431565146756357</v>
      </c>
      <c r="M126" s="1565">
        <f t="shared" si="80"/>
        <v>0.10082868736089021</v>
      </c>
      <c r="N126" s="1565">
        <f t="shared" si="80"/>
        <v>9.3609859679669616E-2</v>
      </c>
      <c r="O126" s="1565">
        <f>+O125/O103</f>
        <v>9.2873892319430634E-2</v>
      </c>
      <c r="P126" s="1565">
        <f>+P125/P103</f>
        <v>9.3625440655864839E-2</v>
      </c>
      <c r="Q126" s="1565">
        <v>0.1</v>
      </c>
      <c r="R126" s="1565">
        <v>0.1</v>
      </c>
      <c r="S126" s="1565">
        <v>0.1</v>
      </c>
      <c r="T126" s="1565">
        <v>0.1</v>
      </c>
      <c r="U126" s="1565">
        <v>0.1</v>
      </c>
      <c r="V126" s="1565">
        <v>0.1</v>
      </c>
      <c r="W126" s="1565">
        <v>0.1</v>
      </c>
      <c r="X126" s="1565">
        <v>0.1</v>
      </c>
      <c r="Y126" s="1565">
        <v>0.1</v>
      </c>
      <c r="Z126" s="1565">
        <v>0.1</v>
      </c>
      <c r="AA126" s="1565">
        <v>0.1</v>
      </c>
      <c r="AB126" s="1565">
        <v>0.1</v>
      </c>
      <c r="AC126" s="1565">
        <v>0.1</v>
      </c>
      <c r="AD126" s="1565">
        <v>0.1</v>
      </c>
      <c r="AE126" s="1565">
        <v>0.1</v>
      </c>
      <c r="AF126" s="1565">
        <v>0.1</v>
      </c>
      <c r="AG126" s="1565">
        <v>0.1</v>
      </c>
      <c r="AH126" s="1565">
        <v>0.1</v>
      </c>
      <c r="AI126" s="467"/>
      <c r="AJ126" s="467"/>
      <c r="AK126" s="467"/>
      <c r="AL126" s="467"/>
      <c r="AM126" s="467"/>
      <c r="AN126" s="467"/>
      <c r="AO126" s="467"/>
    </row>
    <row r="127" spans="1:41" ht="3.95" customHeight="1">
      <c r="A127" s="467"/>
      <c r="B127" s="1547"/>
      <c r="C127" s="1547"/>
      <c r="D127" s="1547"/>
      <c r="E127" s="1547"/>
      <c r="F127" s="1547"/>
      <c r="G127" s="1547"/>
      <c r="H127" s="1547"/>
      <c r="I127" s="1547"/>
      <c r="J127" s="1547"/>
      <c r="K127" s="1547"/>
      <c r="L127" s="1547"/>
      <c r="M127" s="1547"/>
      <c r="N127" s="1547"/>
      <c r="O127" s="1547"/>
      <c r="P127" s="1547"/>
      <c r="Q127" s="1547"/>
      <c r="R127" s="1547"/>
      <c r="S127" s="1547"/>
      <c r="T127" s="1547"/>
      <c r="U127" s="1547"/>
      <c r="V127" s="1547"/>
      <c r="W127" s="1547"/>
      <c r="X127" s="1547"/>
      <c r="Y127" s="1547"/>
      <c r="Z127" s="1547"/>
      <c r="AA127" s="1547"/>
      <c r="AB127" s="1547"/>
      <c r="AC127" s="1547"/>
      <c r="AD127" s="1547"/>
      <c r="AE127" s="1547"/>
      <c r="AF127" s="1547"/>
      <c r="AG127" s="1547"/>
      <c r="AH127" s="1547"/>
      <c r="AI127" s="467"/>
      <c r="AJ127" s="467"/>
      <c r="AK127" s="467"/>
      <c r="AL127" s="467"/>
      <c r="AM127" s="467"/>
      <c r="AN127" s="467"/>
      <c r="AO127" s="467"/>
    </row>
    <row r="128" spans="1:41">
      <c r="A128" s="467" t="s">
        <v>383</v>
      </c>
      <c r="B128" s="1538"/>
      <c r="C128" s="1538"/>
      <c r="D128" s="1538"/>
      <c r="E128" s="1538"/>
      <c r="F128" s="1538" t="s">
        <v>642</v>
      </c>
      <c r="G128" s="1538">
        <f>'SegP&amp;L'!$Z$50</f>
        <v>8.1959999999999997</v>
      </c>
      <c r="H128" s="1538">
        <f>'SegP&amp;L'!$Z$57</f>
        <v>17.036392500000002</v>
      </c>
      <c r="I128" s="1538">
        <f>'SegP&amp;L'!$Z$64</f>
        <v>25.502801999999996</v>
      </c>
      <c r="J128" s="1538">
        <f>'SegP&amp;L'!$Z$71</f>
        <v>39.765000000000001</v>
      </c>
      <c r="K128" s="1538">
        <f>'SegP&amp;L'!$Z$78</f>
        <v>54.914000000000001</v>
      </c>
      <c r="L128" s="1538">
        <f>'SegP&amp;L'!$Z$85</f>
        <v>71.055000000000007</v>
      </c>
      <c r="M128" s="1538">
        <f>'SegP&amp;L'!$Z$92</f>
        <v>59.14</v>
      </c>
      <c r="N128" s="1538">
        <f>'SegP&amp;L'!$Z$99</f>
        <v>85.301000000000002</v>
      </c>
      <c r="O128" s="1538">
        <f>'SegP&amp;L'!$Z$106</f>
        <v>98.927999999999997</v>
      </c>
      <c r="P128" s="1538">
        <f>'SegP&amp;L'!$Z$113</f>
        <v>99.701000000000008</v>
      </c>
      <c r="Q128" s="1538">
        <f t="shared" ref="Q128:V128" si="81">+Q129*Q106</f>
        <v>153.06227999999999</v>
      </c>
      <c r="R128" s="1538">
        <f t="shared" si="81"/>
        <v>184.52437599999999</v>
      </c>
      <c r="S128" s="1538">
        <f t="shared" si="81"/>
        <v>220.40791200000001</v>
      </c>
      <c r="T128" s="1538">
        <f t="shared" si="81"/>
        <v>235.33873000000003</v>
      </c>
      <c r="U128" s="1538">
        <f t="shared" si="81"/>
        <v>238.47032000000004</v>
      </c>
      <c r="V128" s="1538">
        <f t="shared" si="81"/>
        <v>276.12211000000002</v>
      </c>
      <c r="W128" s="1538">
        <f t="shared" ref="W128:AB128" si="82">+W129*W106</f>
        <v>294.80781000000002</v>
      </c>
      <c r="X128" s="1538">
        <f t="shared" si="82"/>
        <v>321.85901000000001</v>
      </c>
      <c r="Y128" s="1538">
        <f t="shared" si="82"/>
        <v>316.56174000000004</v>
      </c>
      <c r="Z128" s="1538">
        <f>+Z129*Z106</f>
        <v>317.24759</v>
      </c>
      <c r="AA128" s="1538">
        <f>+AA129*AA106</f>
        <v>314.00786999999997</v>
      </c>
      <c r="AB128" s="1538">
        <f t="shared" si="82"/>
        <v>348.82397000000003</v>
      </c>
      <c r="AC128" s="1538">
        <f t="shared" ref="AC128:AH128" si="83">+AC129*AC106</f>
        <v>400.65102000000002</v>
      </c>
      <c r="AD128" s="1538">
        <f t="shared" si="83"/>
        <v>435.16121791999996</v>
      </c>
      <c r="AE128" s="1538">
        <f t="shared" si="83"/>
        <v>465.50299643820983</v>
      </c>
      <c r="AF128" s="1538">
        <f t="shared" si="83"/>
        <v>503.26776684520365</v>
      </c>
      <c r="AG128" s="1538">
        <f t="shared" si="83"/>
        <v>542.34488124447603</v>
      </c>
      <c r="AH128" s="1538">
        <f t="shared" si="83"/>
        <v>570.7123078041044</v>
      </c>
      <c r="AI128" s="467"/>
      <c r="AJ128" s="467"/>
      <c r="AK128" s="467"/>
      <c r="AL128" s="467"/>
      <c r="AM128" s="467"/>
      <c r="AN128" s="467"/>
      <c r="AO128" s="467"/>
    </row>
    <row r="129" spans="1:41">
      <c r="A129" s="467"/>
      <c r="B129" s="1547"/>
      <c r="C129" s="1565"/>
      <c r="D129" s="1565"/>
      <c r="E129" s="1565"/>
      <c r="F129" s="1565"/>
      <c r="G129" s="1565">
        <f t="shared" ref="G129:N129" si="84">+G128/G106</f>
        <v>4.6107370090965855E-2</v>
      </c>
      <c r="H129" s="1565">
        <f t="shared" si="84"/>
        <v>6.7500000000000004E-2</v>
      </c>
      <c r="I129" s="1565">
        <f t="shared" si="84"/>
        <v>7.7999999999999986E-2</v>
      </c>
      <c r="J129" s="1565">
        <f t="shared" si="84"/>
        <v>0.10263577656295976</v>
      </c>
      <c r="K129" s="1565">
        <f t="shared" si="84"/>
        <v>0.11764806701445053</v>
      </c>
      <c r="L129" s="1565">
        <f t="shared" si="84"/>
        <v>0.12613813683737757</v>
      </c>
      <c r="M129" s="1565">
        <f t="shared" si="84"/>
        <v>8.9487151164286252E-2</v>
      </c>
      <c r="N129" s="1565">
        <f t="shared" si="84"/>
        <v>0.10754007175977873</v>
      </c>
      <c r="O129" s="1565">
        <f>+O128/O106</f>
        <v>9.1912075537960838E-2</v>
      </c>
      <c r="P129" s="1565">
        <f>+P128/P106</f>
        <v>7.7561829071624552E-2</v>
      </c>
      <c r="Q129" s="1565">
        <v>0.105</v>
      </c>
      <c r="R129" s="1565">
        <v>0.106</v>
      </c>
      <c r="S129" s="1565">
        <v>0.108</v>
      </c>
      <c r="T129" s="1565">
        <v>0.11</v>
      </c>
      <c r="U129" s="1565">
        <v>0.11</v>
      </c>
      <c r="V129" s="1565">
        <v>0.11</v>
      </c>
      <c r="W129" s="1565">
        <v>0.11</v>
      </c>
      <c r="X129" s="1565">
        <v>0.11</v>
      </c>
      <c r="Y129" s="1565">
        <v>0.11</v>
      </c>
      <c r="Z129" s="1565">
        <v>0.11</v>
      </c>
      <c r="AA129" s="1565">
        <v>0.11</v>
      </c>
      <c r="AB129" s="1565">
        <v>0.11</v>
      </c>
      <c r="AC129" s="1565">
        <v>0.11</v>
      </c>
      <c r="AD129" s="1565">
        <v>0.11</v>
      </c>
      <c r="AE129" s="1565">
        <v>0.11</v>
      </c>
      <c r="AF129" s="1565">
        <v>0.11</v>
      </c>
      <c r="AG129" s="1565">
        <v>0.11</v>
      </c>
      <c r="AH129" s="1565">
        <v>0.11</v>
      </c>
      <c r="AI129" s="467"/>
      <c r="AJ129" s="467"/>
      <c r="AK129" s="467"/>
      <c r="AL129" s="467"/>
      <c r="AM129" s="467"/>
      <c r="AN129" s="467"/>
      <c r="AO129" s="467"/>
    </row>
    <row r="130" spans="1:41" ht="3.95" customHeight="1">
      <c r="A130" s="467"/>
      <c r="B130" s="1547"/>
      <c r="C130" s="1547"/>
      <c r="D130" s="1547"/>
      <c r="E130" s="1547"/>
      <c r="F130" s="1547"/>
      <c r="G130" s="1547"/>
      <c r="H130" s="1547"/>
      <c r="I130" s="1547"/>
      <c r="J130" s="1547"/>
      <c r="K130" s="1547"/>
      <c r="L130" s="1547"/>
      <c r="M130" s="1547"/>
      <c r="N130" s="1547"/>
      <c r="O130" s="1547"/>
      <c r="P130" s="1547"/>
      <c r="Q130" s="1547"/>
      <c r="R130" s="1547"/>
      <c r="S130" s="1547"/>
      <c r="T130" s="1547"/>
      <c r="U130" s="1547"/>
      <c r="V130" s="1547"/>
      <c r="W130" s="1547"/>
      <c r="X130" s="1547"/>
      <c r="Y130" s="1547"/>
      <c r="Z130" s="1547"/>
      <c r="AA130" s="1547"/>
      <c r="AB130" s="1547"/>
      <c r="AC130" s="1547"/>
      <c r="AD130" s="1547"/>
      <c r="AE130" s="1547"/>
      <c r="AF130" s="1547"/>
      <c r="AG130" s="1547"/>
      <c r="AH130" s="1547"/>
      <c r="AI130" s="467"/>
      <c r="AJ130" s="467"/>
      <c r="AK130" s="467"/>
      <c r="AL130" s="467"/>
      <c r="AM130" s="467"/>
      <c r="AN130" s="467"/>
      <c r="AO130" s="467"/>
    </row>
    <row r="131" spans="1:41">
      <c r="A131" s="467" t="s">
        <v>380</v>
      </c>
      <c r="B131" s="1538"/>
      <c r="C131" s="1538"/>
      <c r="D131" s="1538"/>
      <c r="E131" s="1538"/>
      <c r="F131" s="1538"/>
      <c r="G131" s="1538"/>
      <c r="H131" s="1538" t="s">
        <v>642</v>
      </c>
      <c r="I131" s="1538">
        <f>'SegP&amp;L'!$AF$64</f>
        <v>-3.3999999999999995</v>
      </c>
      <c r="J131" s="1538">
        <f>'SegP&amp;L'!$AF$71</f>
        <v>-2.2429999999999999</v>
      </c>
      <c r="K131" s="1538">
        <f>'SegP&amp;L'!$AF$78</f>
        <v>6.4619999999999997</v>
      </c>
      <c r="L131" s="1538">
        <f>'SegP&amp;L'!$AF$85</f>
        <v>10.867000000000001</v>
      </c>
      <c r="M131" s="1538">
        <f>'SegP&amp;L'!$AF$92</f>
        <v>12.972000000000001</v>
      </c>
      <c r="N131" s="1538">
        <f>'SegP&amp;L'!$AF$99</f>
        <v>43.043999999999997</v>
      </c>
      <c r="O131" s="1538">
        <f>'SegP&amp;L'!$AF$106</f>
        <v>53.655000000000001</v>
      </c>
      <c r="P131" s="1538">
        <f>'SegP&amp;L'!$AF$113</f>
        <v>63.975000000000001</v>
      </c>
      <c r="Q131" s="1538">
        <f t="shared" ref="Q131:V131" si="85">+Q132*Q109</f>
        <v>103.163888</v>
      </c>
      <c r="R131" s="1538">
        <f t="shared" si="85"/>
        <v>134.24414399999998</v>
      </c>
      <c r="S131" s="1538">
        <f t="shared" si="85"/>
        <v>166.21634999999998</v>
      </c>
      <c r="T131" s="1538">
        <f t="shared" si="85"/>
        <v>179.36455999999998</v>
      </c>
      <c r="U131" s="1538">
        <f t="shared" si="85"/>
        <v>182.03592</v>
      </c>
      <c r="V131" s="1538">
        <f t="shared" si="85"/>
        <v>199.47696000000005</v>
      </c>
      <c r="W131" s="1538">
        <f t="shared" ref="W131:AB131" si="86">+W132*W109</f>
        <v>231.25199999999998</v>
      </c>
      <c r="X131" s="1538">
        <f t="shared" si="86"/>
        <v>262.70888000000002</v>
      </c>
      <c r="Y131" s="1538">
        <f t="shared" si="86"/>
        <v>289.72544000000005</v>
      </c>
      <c r="Z131" s="1538">
        <f>+Z132*Z109</f>
        <v>327.42128000000002</v>
      </c>
      <c r="AA131" s="1538">
        <f>+AA132*AA109</f>
        <v>338.14983999999998</v>
      </c>
      <c r="AB131" s="1538">
        <f t="shared" si="86"/>
        <v>348.95808000000005</v>
      </c>
      <c r="AC131" s="1538">
        <f t="shared" ref="AC131:AH131" si="87">+AC132*AC109</f>
        <v>388.55592000000007</v>
      </c>
      <c r="AD131" s="1538">
        <f t="shared" si="87"/>
        <v>432.86014408000005</v>
      </c>
      <c r="AE131" s="1538">
        <f t="shared" si="87"/>
        <v>463.6696013939295</v>
      </c>
      <c r="AF131" s="1538">
        <f t="shared" si="87"/>
        <v>499.77242249391838</v>
      </c>
      <c r="AG131" s="1538">
        <f t="shared" si="87"/>
        <v>537.15539969646341</v>
      </c>
      <c r="AH131" s="1538">
        <f t="shared" si="87"/>
        <v>564.57859641780931</v>
      </c>
      <c r="AI131" s="467"/>
      <c r="AJ131" s="467"/>
      <c r="AK131" s="467"/>
      <c r="AL131" s="467"/>
      <c r="AM131" s="467"/>
      <c r="AN131" s="467"/>
      <c r="AO131" s="467"/>
    </row>
    <row r="132" spans="1:41">
      <c r="A132" s="467"/>
      <c r="B132" s="1547"/>
      <c r="C132" s="1565"/>
      <c r="D132" s="1565"/>
      <c r="E132" s="1565"/>
      <c r="F132" s="1565"/>
      <c r="G132" s="1565"/>
      <c r="H132" s="1565" t="s">
        <v>642</v>
      </c>
      <c r="I132" s="1565">
        <f t="shared" ref="I132:N132" si="88">+I131/I109</f>
        <v>-2.2516556291390724E-2</v>
      </c>
      <c r="J132" s="1565">
        <f t="shared" si="88"/>
        <v>-1.0099509207978747E-2</v>
      </c>
      <c r="K132" s="1565">
        <f t="shared" si="88"/>
        <v>2.1636716121061144E-2</v>
      </c>
      <c r="L132" s="1565">
        <f t="shared" si="88"/>
        <v>2.7931280875541691E-2</v>
      </c>
      <c r="M132" s="1565">
        <f t="shared" si="88"/>
        <v>2.4920801722862707E-2</v>
      </c>
      <c r="N132" s="1565">
        <f t="shared" si="88"/>
        <v>5.9771628056172324E-2</v>
      </c>
      <c r="O132" s="1565">
        <f>+O131/O109</f>
        <v>5.4077507566617986E-2</v>
      </c>
      <c r="P132" s="1565">
        <f>+P131/P109</f>
        <v>4.9043921428533102E-2</v>
      </c>
      <c r="Q132" s="1565">
        <v>6.8000000000000005E-2</v>
      </c>
      <c r="R132" s="1565">
        <v>7.1999999999999995E-2</v>
      </c>
      <c r="S132" s="1565">
        <v>7.4999999999999997E-2</v>
      </c>
      <c r="T132" s="1565">
        <v>0.08</v>
      </c>
      <c r="U132" s="1565">
        <v>0.08</v>
      </c>
      <c r="V132" s="1565">
        <v>0.08</v>
      </c>
      <c r="W132" s="1565">
        <v>0.08</v>
      </c>
      <c r="X132" s="1565">
        <v>0.08</v>
      </c>
      <c r="Y132" s="1565">
        <v>0.08</v>
      </c>
      <c r="Z132" s="1565">
        <v>0.08</v>
      </c>
      <c r="AA132" s="1565">
        <v>0.08</v>
      </c>
      <c r="AB132" s="1565">
        <v>0.08</v>
      </c>
      <c r="AC132" s="1565">
        <v>0.08</v>
      </c>
      <c r="AD132" s="1565">
        <v>0.08</v>
      </c>
      <c r="AE132" s="1565">
        <v>0.08</v>
      </c>
      <c r="AF132" s="1565">
        <v>0.08</v>
      </c>
      <c r="AG132" s="1565">
        <v>0.08</v>
      </c>
      <c r="AH132" s="1565">
        <v>0.08</v>
      </c>
      <c r="AI132" s="467"/>
      <c r="AJ132" s="467"/>
      <c r="AK132" s="467"/>
      <c r="AL132" s="467"/>
      <c r="AM132" s="467"/>
      <c r="AN132" s="467"/>
      <c r="AO132" s="467"/>
    </row>
    <row r="133" spans="1:41" ht="3.95" customHeight="1">
      <c r="A133" s="467"/>
      <c r="B133" s="1547"/>
      <c r="C133" s="1547"/>
      <c r="D133" s="1547"/>
      <c r="E133" s="1547"/>
      <c r="F133" s="1547"/>
      <c r="G133" s="1547"/>
      <c r="H133" s="1547"/>
      <c r="I133" s="1547"/>
      <c r="J133" s="1547"/>
      <c r="K133" s="1547"/>
      <c r="L133" s="1547"/>
      <c r="M133" s="1547"/>
      <c r="N133" s="1547"/>
      <c r="O133" s="1547"/>
      <c r="P133" s="1547"/>
      <c r="Q133" s="1547"/>
      <c r="R133" s="1547"/>
      <c r="S133" s="1547"/>
      <c r="T133" s="1547"/>
      <c r="U133" s="1547"/>
      <c r="V133" s="1547"/>
      <c r="W133" s="1547"/>
      <c r="X133" s="1547"/>
      <c r="Y133" s="1547"/>
      <c r="Z133" s="1547"/>
      <c r="AA133" s="1547"/>
      <c r="AB133" s="1547"/>
      <c r="AC133" s="1547"/>
      <c r="AD133" s="1547"/>
      <c r="AE133" s="1547"/>
      <c r="AF133" s="1547"/>
      <c r="AG133" s="1547"/>
      <c r="AH133" s="1547"/>
      <c r="AI133" s="467"/>
      <c r="AJ133" s="467"/>
      <c r="AK133" s="467"/>
      <c r="AL133" s="467"/>
      <c r="AM133" s="467"/>
      <c r="AN133" s="467"/>
      <c r="AO133" s="467"/>
    </row>
    <row r="134" spans="1:41">
      <c r="A134" s="467" t="s">
        <v>378</v>
      </c>
      <c r="B134" s="1538"/>
      <c r="C134" s="1538"/>
      <c r="D134" s="1538"/>
      <c r="E134" s="1538"/>
      <c r="F134" s="1538" t="s">
        <v>642</v>
      </c>
      <c r="G134" s="1538">
        <f>'SegP&amp;L'!$AL$50</f>
        <v>-13.375</v>
      </c>
      <c r="H134" s="1538">
        <f>'SegP&amp;L'!$AL$57</f>
        <v>-14.017999999999999</v>
      </c>
      <c r="I134" s="1538">
        <f>'SegP&amp;L'!$AL$64</f>
        <v>-8.6150000000000002</v>
      </c>
      <c r="J134" s="1538">
        <f>'SegP&amp;L'!$AL$71</f>
        <v>-4.95</v>
      </c>
      <c r="K134" s="1538">
        <f>'SegP&amp;L'!$AL$78</f>
        <v>4.5810000000000004</v>
      </c>
      <c r="L134" s="1538">
        <f>'SegP&amp;L'!$AL$85</f>
        <v>4.7</v>
      </c>
      <c r="M134" s="1538">
        <f>'SegP&amp;L'!$AL$92</f>
        <v>3.71</v>
      </c>
      <c r="N134" s="1538">
        <f>'SegP&amp;L'!$AL$99</f>
        <v>32.128</v>
      </c>
      <c r="O134" s="1538">
        <f>'SegP&amp;L'!$AL$106</f>
        <v>45.387999999999998</v>
      </c>
      <c r="P134" s="1538">
        <f>'SegP&amp;L'!$AL$113</f>
        <v>18.148</v>
      </c>
      <c r="Q134" s="1538">
        <f t="shared" ref="Q134:V134" si="89">+Q135*Q112</f>
        <v>73.584947999999997</v>
      </c>
      <c r="R134" s="1538">
        <f t="shared" si="89"/>
        <v>88.731695000000002</v>
      </c>
      <c r="S134" s="1538">
        <f t="shared" si="89"/>
        <v>100.66597600000001</v>
      </c>
      <c r="T134" s="1538">
        <f t="shared" si="89"/>
        <v>113.63659199999998</v>
      </c>
      <c r="U134" s="1538">
        <f t="shared" si="89"/>
        <v>134.58067499999999</v>
      </c>
      <c r="V134" s="1538">
        <f t="shared" si="89"/>
        <v>146.850525</v>
      </c>
      <c r="W134" s="1538">
        <f t="shared" ref="W134:AB134" si="90">+W135*W112</f>
        <v>168.29894999999999</v>
      </c>
      <c r="X134" s="1538">
        <f t="shared" si="90"/>
        <v>199.28332500000002</v>
      </c>
      <c r="Y134" s="1538">
        <f t="shared" si="90"/>
        <v>224.52884999999998</v>
      </c>
      <c r="Z134" s="1538">
        <f>+Z135*Z112</f>
        <v>256.07009999999997</v>
      </c>
      <c r="AA134" s="1538">
        <f>+AA135*AA112</f>
        <v>293.64157499999999</v>
      </c>
      <c r="AB134" s="1538">
        <f t="shared" si="90"/>
        <v>330.34552500000001</v>
      </c>
      <c r="AC134" s="1538">
        <f t="shared" ref="AC134:AH134" si="91">+AC135*AC112</f>
        <v>383.72459999999995</v>
      </c>
      <c r="AD134" s="1538">
        <f t="shared" si="91"/>
        <v>429.00188598</v>
      </c>
      <c r="AE134" s="1538">
        <f t="shared" si="91"/>
        <v>487.93758196657279</v>
      </c>
      <c r="AF134" s="1538">
        <f t="shared" si="91"/>
        <v>533.30775788773781</v>
      </c>
      <c r="AG134" s="1538">
        <f t="shared" si="91"/>
        <v>581.79319845141833</v>
      </c>
      <c r="AH134" s="1538">
        <f t="shared" si="91"/>
        <v>622.23817912447612</v>
      </c>
      <c r="AI134" s="467"/>
      <c r="AJ134" s="467"/>
      <c r="AK134" s="467"/>
      <c r="AL134" s="467"/>
      <c r="AM134" s="467"/>
      <c r="AN134" s="467"/>
      <c r="AO134" s="467"/>
    </row>
    <row r="135" spans="1:41">
      <c r="A135" s="467"/>
      <c r="B135" s="1547"/>
      <c r="C135" s="1565"/>
      <c r="D135" s="1565"/>
      <c r="E135" s="1565"/>
      <c r="F135" s="1565" t="s">
        <v>642</v>
      </c>
      <c r="G135" s="1565">
        <f t="shared" ref="G135:N135" si="92">+G134/G112</f>
        <v>-0.17058861042025381</v>
      </c>
      <c r="H135" s="1565">
        <f t="shared" si="92"/>
        <v>-0.16109125593261236</v>
      </c>
      <c r="I135" s="1565">
        <f t="shared" si="92"/>
        <v>-8.7809601467740292E-2</v>
      </c>
      <c r="J135" s="1565">
        <f t="shared" si="92"/>
        <v>-3.7347779504745805E-2</v>
      </c>
      <c r="K135" s="1565">
        <f t="shared" si="92"/>
        <v>2.2150766403945654E-2</v>
      </c>
      <c r="L135" s="1565">
        <f t="shared" si="92"/>
        <v>1.4919924448042158E-2</v>
      </c>
      <c r="M135" s="1565">
        <f t="shared" si="92"/>
        <v>7.3145101348354039E-3</v>
      </c>
      <c r="N135" s="1565">
        <f t="shared" si="92"/>
        <v>4.5566977556901991E-2</v>
      </c>
      <c r="O135" s="1565">
        <f>+O134/O112</f>
        <v>5.178110197413454E-2</v>
      </c>
      <c r="P135" s="1565">
        <f>+P134/P112</f>
        <v>1.7916465516134988E-2</v>
      </c>
      <c r="Q135" s="1565">
        <v>6.2E-2</v>
      </c>
      <c r="R135" s="1565">
        <v>6.5000000000000002E-2</v>
      </c>
      <c r="S135" s="1565">
        <v>6.8000000000000005E-2</v>
      </c>
      <c r="T135" s="1565">
        <v>7.1999999999999995E-2</v>
      </c>
      <c r="U135" s="1565">
        <v>7.4999999999999997E-2</v>
      </c>
      <c r="V135" s="1565">
        <v>7.4999999999999997E-2</v>
      </c>
      <c r="W135" s="1565">
        <v>7.4999999999999997E-2</v>
      </c>
      <c r="X135" s="1565">
        <v>7.4999999999999997E-2</v>
      </c>
      <c r="Y135" s="1565">
        <v>7.4999999999999997E-2</v>
      </c>
      <c r="Z135" s="1565">
        <v>7.4999999999999997E-2</v>
      </c>
      <c r="AA135" s="1565">
        <v>7.4999999999999997E-2</v>
      </c>
      <c r="AB135" s="1565">
        <v>7.4999999999999997E-2</v>
      </c>
      <c r="AC135" s="1565">
        <v>7.4999999999999997E-2</v>
      </c>
      <c r="AD135" s="1565">
        <v>7.4999999999999997E-2</v>
      </c>
      <c r="AE135" s="1565">
        <v>7.4999999999999997E-2</v>
      </c>
      <c r="AF135" s="1565">
        <v>7.4999999999999997E-2</v>
      </c>
      <c r="AG135" s="1565">
        <v>7.4999999999999997E-2</v>
      </c>
      <c r="AH135" s="1565">
        <v>7.4999999999999997E-2</v>
      </c>
      <c r="AI135" s="467"/>
      <c r="AJ135" s="467"/>
      <c r="AK135" s="467"/>
      <c r="AL135" s="467"/>
      <c r="AM135" s="467"/>
      <c r="AN135" s="467"/>
      <c r="AO135" s="467"/>
    </row>
    <row r="136" spans="1:41" ht="3.95" customHeight="1">
      <c r="A136" s="467"/>
      <c r="B136" s="1547"/>
      <c r="C136" s="1547"/>
      <c r="D136" s="1547"/>
      <c r="E136" s="1547"/>
      <c r="F136" s="1547"/>
      <c r="G136" s="1547"/>
      <c r="H136" s="1547"/>
      <c r="I136" s="1547"/>
      <c r="J136" s="1547"/>
      <c r="K136" s="1547"/>
      <c r="L136" s="1547"/>
      <c r="M136" s="1547"/>
      <c r="N136" s="1547"/>
      <c r="O136" s="1547"/>
      <c r="P136" s="1547"/>
      <c r="Q136" s="1547"/>
      <c r="R136" s="1547"/>
      <c r="S136" s="1547"/>
      <c r="T136" s="1547"/>
      <c r="U136" s="1547"/>
      <c r="V136" s="1547"/>
      <c r="W136" s="1547"/>
      <c r="X136" s="1547"/>
      <c r="Y136" s="1547"/>
      <c r="Z136" s="1547"/>
      <c r="AA136" s="1547"/>
      <c r="AB136" s="1547"/>
      <c r="AC136" s="1547"/>
      <c r="AD136" s="1547"/>
      <c r="AE136" s="1547"/>
      <c r="AF136" s="1547"/>
      <c r="AG136" s="1547"/>
      <c r="AH136" s="1547"/>
      <c r="AI136" s="467"/>
      <c r="AJ136" s="467"/>
      <c r="AK136" s="467"/>
      <c r="AL136" s="467"/>
      <c r="AM136" s="467"/>
      <c r="AN136" s="467"/>
      <c r="AO136" s="467"/>
    </row>
    <row r="137" spans="1:41">
      <c r="A137" s="467" t="s">
        <v>374</v>
      </c>
      <c r="B137" s="1538"/>
      <c r="C137" s="1538"/>
      <c r="D137" s="1538"/>
      <c r="E137" s="1538"/>
      <c r="F137" s="1538"/>
      <c r="G137" s="1538"/>
      <c r="H137" s="1538"/>
      <c r="I137" s="1538" t="s">
        <v>642</v>
      </c>
      <c r="J137" s="1538">
        <f>'SegP&amp;L'!$AR$71</f>
        <v>-8.7370000000000001</v>
      </c>
      <c r="K137" s="1538">
        <f>'SegP&amp;L'!$AR$78</f>
        <v>-14.444000000000001</v>
      </c>
      <c r="L137" s="1538">
        <f>'SegP&amp;L'!$AR$85</f>
        <v>-15.012</v>
      </c>
      <c r="M137" s="1538">
        <f>'SegP&amp;L'!$AR$92</f>
        <v>-11.843</v>
      </c>
      <c r="N137" s="1538">
        <f>'SegP&amp;L'!$AR$99</f>
        <v>-12.565999999999999</v>
      </c>
      <c r="O137" s="1538">
        <f>'SegP&amp;L'!$AR$106</f>
        <v>-2.1249999999999996</v>
      </c>
      <c r="P137" s="1538">
        <f>'SegP&amp;L'!$AR$113</f>
        <v>-19.626000000000001</v>
      </c>
      <c r="Q137" s="1538">
        <f t="shared" ref="Q137:V137" si="93">+Q138*Q115</f>
        <v>6.159390000000001</v>
      </c>
      <c r="R137" s="1538">
        <f t="shared" si="93"/>
        <v>12.03654</v>
      </c>
      <c r="S137" s="1538">
        <f t="shared" si="93"/>
        <v>18.97983</v>
      </c>
      <c r="T137" s="1538">
        <f t="shared" si="93"/>
        <v>27.10388</v>
      </c>
      <c r="U137" s="1538">
        <f t="shared" si="93"/>
        <v>0</v>
      </c>
      <c r="V137" s="1538">
        <f t="shared" si="93"/>
        <v>0</v>
      </c>
      <c r="W137" s="1538">
        <f t="shared" ref="W137:AB137" si="94">+W138*W115</f>
        <v>0</v>
      </c>
      <c r="X137" s="1538">
        <f t="shared" si="94"/>
        <v>0</v>
      </c>
      <c r="Y137" s="1538">
        <f t="shared" si="94"/>
        <v>0</v>
      </c>
      <c r="Z137" s="1538">
        <f>+Z138*Z115</f>
        <v>0</v>
      </c>
      <c r="AA137" s="1538">
        <f>+AA138*AA115</f>
        <v>0</v>
      </c>
      <c r="AB137" s="1538">
        <f t="shared" si="94"/>
        <v>0</v>
      </c>
      <c r="AC137" s="1538">
        <f t="shared" ref="AC137:AH137" si="95">+AC138*AC115</f>
        <v>0</v>
      </c>
      <c r="AD137" s="1538">
        <f t="shared" si="95"/>
        <v>0</v>
      </c>
      <c r="AE137" s="1538">
        <f t="shared" si="95"/>
        <v>0</v>
      </c>
      <c r="AF137" s="1538">
        <f t="shared" si="95"/>
        <v>0</v>
      </c>
      <c r="AG137" s="1538">
        <f t="shared" si="95"/>
        <v>0</v>
      </c>
      <c r="AH137" s="1538">
        <f t="shared" si="95"/>
        <v>0</v>
      </c>
      <c r="AI137" s="467"/>
      <c r="AJ137" s="467"/>
      <c r="AK137" s="467"/>
      <c r="AL137" s="467"/>
      <c r="AM137" s="467"/>
      <c r="AN137" s="467"/>
      <c r="AO137" s="467"/>
    </row>
    <row r="138" spans="1:41">
      <c r="A138" s="467"/>
      <c r="B138" s="1547"/>
      <c r="C138" s="1565"/>
      <c r="D138" s="1565"/>
      <c r="E138" s="1565"/>
      <c r="F138" s="1565"/>
      <c r="G138" s="1565"/>
      <c r="H138" s="1565"/>
      <c r="I138" s="1565" t="s">
        <v>642</v>
      </c>
      <c r="J138" s="1565">
        <f t="shared" ref="J138:P138" si="96">+J137/J115</f>
        <v>-0.81577964519140989</v>
      </c>
      <c r="K138" s="1565">
        <f t="shared" si="96"/>
        <v>-0.33367985769399594</v>
      </c>
      <c r="L138" s="1565">
        <f t="shared" si="96"/>
        <v>-0.18054119061936258</v>
      </c>
      <c r="M138" s="1565">
        <f t="shared" si="96"/>
        <v>-7.5275856808705383E-2</v>
      </c>
      <c r="N138" s="1565">
        <f t="shared" si="96"/>
        <v>-4.5330255041304418E-2</v>
      </c>
      <c r="O138" s="1565">
        <f t="shared" si="96"/>
        <v>-5.0402747602015146E-3</v>
      </c>
      <c r="P138" s="1565">
        <f t="shared" si="96"/>
        <v>-3.6985317812540636E-2</v>
      </c>
      <c r="Q138" s="1565">
        <v>0.01</v>
      </c>
      <c r="R138" s="1565">
        <v>0.02</v>
      </c>
      <c r="S138" s="1565">
        <v>0.03</v>
      </c>
      <c r="T138" s="1565">
        <v>0.04</v>
      </c>
      <c r="U138" s="1565">
        <v>0.05</v>
      </c>
      <c r="V138" s="1565">
        <v>0.05</v>
      </c>
      <c r="W138" s="1565">
        <v>0.05</v>
      </c>
      <c r="X138" s="1565">
        <v>0.05</v>
      </c>
      <c r="Y138" s="1565">
        <v>0.05</v>
      </c>
      <c r="Z138" s="1565">
        <v>0.05</v>
      </c>
      <c r="AA138" s="1565">
        <v>0.05</v>
      </c>
      <c r="AB138" s="1565">
        <v>0.05</v>
      </c>
      <c r="AC138" s="1565">
        <v>0.05</v>
      </c>
      <c r="AD138" s="1565">
        <v>0.05</v>
      </c>
      <c r="AE138" s="1565">
        <v>0.05</v>
      </c>
      <c r="AF138" s="1565">
        <v>0.05</v>
      </c>
      <c r="AG138" s="1565">
        <v>0.05</v>
      </c>
      <c r="AH138" s="1565">
        <v>0.05</v>
      </c>
      <c r="AI138" s="467"/>
      <c r="AJ138" s="467"/>
      <c r="AK138" s="467"/>
      <c r="AL138" s="467"/>
      <c r="AM138" s="467"/>
      <c r="AN138" s="467"/>
      <c r="AO138" s="467"/>
    </row>
    <row r="139" spans="1:41" ht="3.95" customHeight="1">
      <c r="A139" s="467"/>
      <c r="B139" s="1547"/>
      <c r="C139" s="1547"/>
      <c r="D139" s="1547"/>
      <c r="E139" s="1547"/>
      <c r="F139" s="1547"/>
      <c r="G139" s="1547"/>
      <c r="H139" s="1547"/>
      <c r="I139" s="1547"/>
      <c r="J139" s="1547"/>
      <c r="K139" s="1547"/>
      <c r="L139" s="1547"/>
      <c r="M139" s="1547"/>
      <c r="N139" s="1547"/>
      <c r="O139" s="1547"/>
      <c r="P139" s="1547"/>
      <c r="Q139" s="1547"/>
      <c r="R139" s="1547"/>
      <c r="S139" s="1547"/>
      <c r="T139" s="1547"/>
      <c r="U139" s="1547"/>
      <c r="V139" s="1547"/>
      <c r="W139" s="1547"/>
      <c r="X139" s="1547"/>
      <c r="Y139" s="1547"/>
      <c r="Z139" s="1547"/>
      <c r="AA139" s="1547"/>
      <c r="AB139" s="1547"/>
      <c r="AC139" s="1547"/>
      <c r="AD139" s="1547"/>
      <c r="AE139" s="1547"/>
      <c r="AF139" s="1547"/>
      <c r="AG139" s="1547"/>
      <c r="AH139" s="1547"/>
      <c r="AI139" s="467"/>
      <c r="AJ139" s="467"/>
      <c r="AK139" s="467"/>
      <c r="AL139" s="467"/>
      <c r="AM139" s="467"/>
      <c r="AN139" s="467"/>
      <c r="AO139" s="467"/>
    </row>
    <row r="140" spans="1:41">
      <c r="A140" s="467" t="s">
        <v>352</v>
      </c>
      <c r="B140" s="1538"/>
      <c r="C140" s="1538"/>
      <c r="D140" s="1538"/>
      <c r="E140" s="1538"/>
      <c r="F140" s="1538"/>
      <c r="G140" s="1538"/>
      <c r="H140" s="1538"/>
      <c r="I140" s="1538" t="s">
        <v>642</v>
      </c>
      <c r="J140" s="1538">
        <f>'SegP&amp;L'!$AY$71</f>
        <v>0</v>
      </c>
      <c r="K140" s="1538">
        <f>'SegP&amp;L'!$AY$78</f>
        <v>0</v>
      </c>
      <c r="L140" s="1538">
        <f>'SegP&amp;L'!$AY$85</f>
        <v>0</v>
      </c>
      <c r="M140" s="1538">
        <f>'SegP&amp;L'!$AY$92</f>
        <v>0</v>
      </c>
      <c r="N140" s="1538">
        <f>'SegP&amp;L'!$AY$99</f>
        <v>0</v>
      </c>
      <c r="O140" s="1538">
        <f>'SegP&amp;L'!$AY$106</f>
        <v>-5.0250000000000004</v>
      </c>
      <c r="P140" s="1538">
        <f>'SegP&amp;L'!$AY$113</f>
        <v>-18.512</v>
      </c>
      <c r="Q140" s="1538">
        <f t="shared" ref="Q140:V140" si="97">+Q141*Q118</f>
        <v>-0.14424000000000001</v>
      </c>
      <c r="R140" s="1538">
        <f t="shared" si="97"/>
        <v>0</v>
      </c>
      <c r="S140" s="1538">
        <f t="shared" si="97"/>
        <v>2.4832000000000001</v>
      </c>
      <c r="T140" s="1538">
        <f t="shared" si="97"/>
        <v>1.6570710000000002</v>
      </c>
      <c r="U140" s="1538">
        <f t="shared" si="97"/>
        <v>2.1332180719759086</v>
      </c>
      <c r="V140" s="1538">
        <f t="shared" si="97"/>
        <v>0.91728377094964086</v>
      </c>
      <c r="W140" s="1538">
        <f t="shared" ref="W140:AB140" si="98">+W141*W118</f>
        <v>0.94480228407813016</v>
      </c>
      <c r="X140" s="1538">
        <f t="shared" si="98"/>
        <v>0.973146352600474</v>
      </c>
      <c r="Y140" s="1538">
        <f t="shared" si="98"/>
        <v>1.0023407431784883</v>
      </c>
      <c r="Z140" s="1538">
        <f>+Z141*Z118</f>
        <v>1.0324109654738429</v>
      </c>
      <c r="AA140" s="1538">
        <f>+AA141*AA118</f>
        <v>1.0633832944380581</v>
      </c>
      <c r="AB140" s="1538">
        <f t="shared" si="98"/>
        <v>1.0952847932712</v>
      </c>
      <c r="AC140" s="1538">
        <f t="shared" ref="AC140:AH140" si="99">+AC141*AC118</f>
        <v>1.1281433370693359</v>
      </c>
      <c r="AD140" s="1538">
        <f t="shared" si="99"/>
        <v>1.1619876371814162</v>
      </c>
      <c r="AE140" s="1538">
        <f t="shared" si="99"/>
        <v>1.1968472662968588</v>
      </c>
      <c r="AF140" s="1538">
        <f t="shared" si="99"/>
        <v>1.2327526842857643</v>
      </c>
      <c r="AG140" s="1538">
        <f t="shared" si="99"/>
        <v>1.2697352648143372</v>
      </c>
      <c r="AH140" s="1538">
        <f t="shared" si="99"/>
        <v>1.3078273227587673</v>
      </c>
      <c r="AI140" s="467"/>
      <c r="AJ140" s="467"/>
      <c r="AK140" s="467"/>
      <c r="AL140" s="467"/>
      <c r="AM140" s="467"/>
      <c r="AN140" s="467"/>
      <c r="AO140" s="467"/>
    </row>
    <row r="141" spans="1:41">
      <c r="A141" s="467"/>
      <c r="B141" s="1547"/>
      <c r="C141" s="1565"/>
      <c r="D141" s="1565"/>
      <c r="E141" s="1565"/>
      <c r="F141" s="1565"/>
      <c r="G141" s="1565"/>
      <c r="H141" s="1565"/>
      <c r="I141" s="1565" t="s">
        <v>642</v>
      </c>
      <c r="J141" s="1565">
        <f t="shared" ref="J141:P141" si="100">+J140/J121</f>
        <v>0</v>
      </c>
      <c r="K141" s="1565">
        <f t="shared" si="100"/>
        <v>0</v>
      </c>
      <c r="L141" s="1565">
        <f t="shared" si="100"/>
        <v>0</v>
      </c>
      <c r="M141" s="1565">
        <f t="shared" si="100"/>
        <v>0</v>
      </c>
      <c r="N141" s="1565">
        <f t="shared" si="100"/>
        <v>0</v>
      </c>
      <c r="O141" s="1565">
        <f t="shared" si="100"/>
        <v>-3.7702756420385512E-4</v>
      </c>
      <c r="P141" s="1565">
        <f t="shared" si="100"/>
        <v>-1.2412928623045333E-3</v>
      </c>
      <c r="Q141" s="1565">
        <v>-5.0000000000000001E-4</v>
      </c>
      <c r="R141" s="1565">
        <v>0</v>
      </c>
      <c r="S141" s="1565">
        <v>8.0000000000000002E-3</v>
      </c>
      <c r="T141" s="1565">
        <v>1.2999999999999999E-2</v>
      </c>
      <c r="U141" s="1565">
        <v>1.7999999999999999E-2</v>
      </c>
      <c r="V141" s="1565">
        <v>1.7999999999999999E-2</v>
      </c>
      <c r="W141" s="1565">
        <v>1.7999999999999999E-2</v>
      </c>
      <c r="X141" s="1565">
        <v>1.7999999999999999E-2</v>
      </c>
      <c r="Y141" s="1565">
        <v>1.7999999999999999E-2</v>
      </c>
      <c r="Z141" s="1565">
        <v>1.7999999999999999E-2</v>
      </c>
      <c r="AA141" s="1565">
        <v>1.7999999999999999E-2</v>
      </c>
      <c r="AB141" s="1565">
        <v>1.7999999999999999E-2</v>
      </c>
      <c r="AC141" s="1565">
        <v>1.7999999999999999E-2</v>
      </c>
      <c r="AD141" s="1565">
        <v>1.7999999999999999E-2</v>
      </c>
      <c r="AE141" s="1565">
        <v>1.7999999999999999E-2</v>
      </c>
      <c r="AF141" s="1565">
        <v>1.7999999999999999E-2</v>
      </c>
      <c r="AG141" s="1565">
        <v>1.7999999999999999E-2</v>
      </c>
      <c r="AH141" s="1565">
        <v>1.7999999999999999E-2</v>
      </c>
      <c r="AI141" s="467"/>
      <c r="AJ141" s="467"/>
      <c r="AK141" s="467"/>
      <c r="AL141" s="467"/>
      <c r="AM141" s="467"/>
      <c r="AN141" s="467"/>
      <c r="AO141" s="467"/>
    </row>
    <row r="142" spans="1:41" ht="3.95" customHeight="1">
      <c r="A142" s="467"/>
      <c r="B142" s="1547"/>
      <c r="C142" s="1547"/>
      <c r="D142" s="1547"/>
      <c r="E142" s="1547"/>
      <c r="F142" s="1547"/>
      <c r="G142" s="1547"/>
      <c r="H142" s="1547"/>
      <c r="I142" s="1547"/>
      <c r="J142" s="1547"/>
      <c r="K142" s="1547"/>
      <c r="L142" s="1547"/>
      <c r="M142" s="1547"/>
      <c r="N142" s="1547"/>
      <c r="O142" s="1547"/>
      <c r="P142" s="1547"/>
      <c r="Q142" s="1547"/>
      <c r="R142" s="1547"/>
      <c r="S142" s="1547"/>
      <c r="T142" s="1547"/>
      <c r="U142" s="1547"/>
      <c r="V142" s="1547"/>
      <c r="W142" s="1547"/>
      <c r="X142" s="1547"/>
      <c r="Y142" s="1547"/>
      <c r="Z142" s="1547"/>
      <c r="AA142" s="1547"/>
      <c r="AB142" s="1547"/>
      <c r="AC142" s="1547"/>
      <c r="AD142" s="1547"/>
      <c r="AE142" s="1547"/>
      <c r="AF142" s="1547"/>
      <c r="AG142" s="1547"/>
      <c r="AH142" s="1547"/>
      <c r="AI142" s="467"/>
      <c r="AJ142" s="467"/>
      <c r="AK142" s="467"/>
      <c r="AL142" s="467"/>
      <c r="AM142" s="467"/>
      <c r="AN142" s="467"/>
      <c r="AO142" s="467"/>
    </row>
    <row r="143" spans="1:41">
      <c r="A143" s="467" t="s">
        <v>285</v>
      </c>
      <c r="B143" s="1538"/>
      <c r="C143" s="1538"/>
      <c r="D143" s="1538"/>
      <c r="E143" s="1538"/>
      <c r="F143" s="1538"/>
      <c r="G143" s="1538">
        <f>+SUM(G125,G128,G131,G134,G137)</f>
        <v>174.59899999999999</v>
      </c>
      <c r="H143" s="1538">
        <f>+SUM(H125,H128,H131,H134,H137)</f>
        <v>449.40142849999995</v>
      </c>
      <c r="I143" s="1538">
        <f t="shared" ref="I143:U143" si="101">+SUM(I125,I128,I131,I134,I137,I140)</f>
        <v>589.08464199999992</v>
      </c>
      <c r="J143" s="1538">
        <f t="shared" si="101"/>
        <v>777.75599999999997</v>
      </c>
      <c r="K143" s="1538">
        <f t="shared" si="101"/>
        <v>901.07299999999998</v>
      </c>
      <c r="L143" s="1538">
        <f t="shared" si="101"/>
        <v>929.96800000000007</v>
      </c>
      <c r="M143" s="1538">
        <f t="shared" si="101"/>
        <v>957.62900000000002</v>
      </c>
      <c r="N143" s="1538">
        <f t="shared" si="101"/>
        <v>1035.8509999999999</v>
      </c>
      <c r="O143" s="1538">
        <f t="shared" si="101"/>
        <v>1113.7279999999998</v>
      </c>
      <c r="P143" s="1538">
        <f t="shared" si="101"/>
        <v>1125.7679999999998</v>
      </c>
      <c r="Q143" s="1538">
        <f t="shared" si="101"/>
        <v>1431.5050660000002</v>
      </c>
      <c r="R143" s="1538">
        <f t="shared" si="101"/>
        <v>1572.7152550000001</v>
      </c>
      <c r="S143" s="1538">
        <f t="shared" si="101"/>
        <v>1705.4183679999996</v>
      </c>
      <c r="T143" s="1538">
        <f t="shared" si="101"/>
        <v>1793.3130329999999</v>
      </c>
      <c r="U143" s="1538">
        <f t="shared" si="101"/>
        <v>1884.306433071976</v>
      </c>
      <c r="V143" s="1538">
        <f t="shared" ref="V143:AD143" si="102">+SUM(V125,V128,V131,V134,V137,V140)</f>
        <v>2032.5827787709497</v>
      </c>
      <c r="W143" s="1538">
        <f t="shared" si="102"/>
        <v>2232.0554622840782</v>
      </c>
      <c r="X143" s="1538">
        <f t="shared" si="102"/>
        <v>2485.9652613526005</v>
      </c>
      <c r="Y143" s="1538">
        <f t="shared" si="102"/>
        <v>2624.7759707431792</v>
      </c>
      <c r="Z143" s="1538">
        <f t="shared" si="102"/>
        <v>2770.606480965474</v>
      </c>
      <c r="AA143" s="1538">
        <f t="shared" si="102"/>
        <v>2941.6853682944384</v>
      </c>
      <c r="AB143" s="1538">
        <f t="shared" si="102"/>
        <v>3153.8262597932712</v>
      </c>
      <c r="AC143" s="1538">
        <f t="shared" si="102"/>
        <v>3398.97018333707</v>
      </c>
      <c r="AD143" s="1538">
        <f t="shared" si="102"/>
        <v>3573.6870912171826</v>
      </c>
      <c r="AE143" s="1538">
        <f>+SUM(AE125,AE128,AE131,AE134,AE137,AE140)</f>
        <v>3799.947467221742</v>
      </c>
      <c r="AF143" s="1538">
        <f>+SUM(AF125,AF128,AF131,AF134,AF137,AF140)</f>
        <v>4035.9118376287183</v>
      </c>
      <c r="AG143" s="1538">
        <f>+SUM(AG125,AG128,AG131,AG134,AG137,AG140)</f>
        <v>4281.8254615540145</v>
      </c>
      <c r="AH143" s="1538">
        <f>+SUM(AH125,AH128,AH131,AH134,AH137,AH140)</f>
        <v>4473.4953169852379</v>
      </c>
      <c r="AI143" s="467"/>
      <c r="AJ143" s="467"/>
      <c r="AK143" s="467"/>
      <c r="AL143" s="467"/>
      <c r="AM143" s="467"/>
      <c r="AN143" s="467"/>
      <c r="AO143" s="467"/>
    </row>
    <row r="144" spans="1:41">
      <c r="A144" s="467"/>
      <c r="B144" s="1547"/>
      <c r="C144" s="1565"/>
      <c r="D144" s="1565"/>
      <c r="E144" s="1565"/>
      <c r="F144" s="1565"/>
      <c r="G144" s="1565">
        <f t="shared" ref="G144:N144" si="103">+G143/G121</f>
        <v>4.3914500581338625E-2</v>
      </c>
      <c r="H144" s="1565">
        <f t="shared" si="103"/>
        <v>6.7168603672462551E-2</v>
      </c>
      <c r="I144" s="1565">
        <f t="shared" si="103"/>
        <v>7.9713009716147434E-2</v>
      </c>
      <c r="J144" s="1565">
        <f t="shared" si="103"/>
        <v>9.7842007542739737E-2</v>
      </c>
      <c r="K144" s="1565">
        <f t="shared" si="103"/>
        <v>0.10244882890919482</v>
      </c>
      <c r="L144" s="1565">
        <f t="shared" si="103"/>
        <v>9.7083977189282494E-2</v>
      </c>
      <c r="M144" s="1565">
        <f t="shared" si="103"/>
        <v>8.9422838625985365E-2</v>
      </c>
      <c r="N144" s="1565">
        <f t="shared" si="103"/>
        <v>8.645631445980359E-2</v>
      </c>
      <c r="O144" s="1565">
        <f t="shared" ref="O144:AC144" si="104">+O143/O121</f>
        <v>8.3563413935448971E-2</v>
      </c>
      <c r="P144" s="1565">
        <f t="shared" si="104"/>
        <v>7.548659156281598E-2</v>
      </c>
      <c r="Q144" s="1565">
        <f t="shared" si="104"/>
        <v>8.9341124550822951E-2</v>
      </c>
      <c r="R144" s="1565">
        <f t="shared" si="104"/>
        <v>9.0361853280823953E-2</v>
      </c>
      <c r="S144" s="1565">
        <f t="shared" si="104"/>
        <v>9.1457437891501306E-2</v>
      </c>
      <c r="T144" s="1565">
        <f t="shared" si="104"/>
        <v>9.3758334199474949E-2</v>
      </c>
      <c r="U144" s="1565">
        <f t="shared" si="104"/>
        <v>9.6005120562407245E-2</v>
      </c>
      <c r="V144" s="1565">
        <f t="shared" si="104"/>
        <v>9.630907746078235E-2</v>
      </c>
      <c r="W144" s="1565">
        <f t="shared" si="104"/>
        <v>9.6065540755200171E-2</v>
      </c>
      <c r="X144" s="1565">
        <f t="shared" si="104"/>
        <v>9.586316115574843E-2</v>
      </c>
      <c r="Y144" s="1565">
        <f t="shared" si="104"/>
        <v>9.5521490648660209E-2</v>
      </c>
      <c r="Z144" s="1565">
        <f t="shared" si="104"/>
        <v>9.5089560775514101E-2</v>
      </c>
      <c r="AA144" s="1565">
        <f>+AA143/AA121</f>
        <v>9.4880788264225607E-2</v>
      </c>
      <c r="AB144" s="1565">
        <f t="shared" si="104"/>
        <v>9.4867344144402413E-2</v>
      </c>
      <c r="AC144" s="1565">
        <f t="shared" si="104"/>
        <v>9.4606790064718838E-2</v>
      </c>
      <c r="AD144" s="1565">
        <f>+AD143/AD121</f>
        <v>9.4276711218622369E-2</v>
      </c>
      <c r="AE144" s="1565">
        <f>+AE143/AE121</f>
        <v>9.4019832612245821E-2</v>
      </c>
      <c r="AF144" s="1565">
        <f>+AF143/AF121</f>
        <v>9.3891419757638067E-2</v>
      </c>
      <c r="AG144" s="1565">
        <f>+AG143/AG121</f>
        <v>9.3765496845840374E-2</v>
      </c>
      <c r="AH144" s="1565">
        <f>+AH143/AH121</f>
        <v>9.3663646754581845E-2</v>
      </c>
      <c r="AI144" s="467"/>
      <c r="AJ144" s="467"/>
      <c r="AK144" s="467"/>
      <c r="AL144" s="467"/>
      <c r="AM144" s="467"/>
      <c r="AN144" s="467"/>
      <c r="AO144" s="467"/>
    </row>
    <row r="145" spans="1:41">
      <c r="A145" s="467" t="s">
        <v>288</v>
      </c>
      <c r="B145" s="1538"/>
      <c r="C145" s="1538"/>
      <c r="D145" s="1538"/>
      <c r="E145" s="1538"/>
      <c r="F145" s="1538"/>
      <c r="G145" s="1538">
        <f>'SegP&amp;L'!$BJ$50</f>
        <v>47.838000000000001</v>
      </c>
      <c r="H145" s="1538">
        <f>'SegP&amp;L'!$BJ$57</f>
        <v>46.114000000000004</v>
      </c>
      <c r="I145" s="1538">
        <f>'SegP&amp;L'!$BJ$64</f>
        <v>61.519999999999996</v>
      </c>
      <c r="J145" s="1538">
        <f>'SegP&amp;L'!$BJ$71</f>
        <v>72.058000000000007</v>
      </c>
      <c r="K145" s="1538">
        <f>'SegP&amp;L'!$BJ$78</f>
        <v>39.790999999999997</v>
      </c>
      <c r="L145" s="1538">
        <f>'SegP&amp;L'!$BJ$85</f>
        <v>42.122</v>
      </c>
      <c r="M145" s="1538">
        <f>'SegP&amp;L'!$BJ$92</f>
        <v>57.942000000000007</v>
      </c>
      <c r="N145" s="1538">
        <f>'SegP&amp;L'!$BJ$99</f>
        <v>72.753999999999991</v>
      </c>
      <c r="O145" s="1538">
        <f>'SegP&amp;L'!$BJ$106</f>
        <v>99.738</v>
      </c>
      <c r="P145" s="1538">
        <f t="shared" ref="P145:U145" si="105">+P146*P121</f>
        <v>89.48089800000001</v>
      </c>
      <c r="Q145" s="1538">
        <f t="shared" si="105"/>
        <v>96.137478000000002</v>
      </c>
      <c r="R145" s="1538">
        <f t="shared" si="105"/>
        <v>87.023185000000012</v>
      </c>
      <c r="S145" s="1538">
        <f t="shared" si="105"/>
        <v>93.235630000000015</v>
      </c>
      <c r="T145" s="1538">
        <f t="shared" si="105"/>
        <v>95.634860000000003</v>
      </c>
      <c r="U145" s="1538">
        <f t="shared" si="105"/>
        <v>98.135725575548861</v>
      </c>
      <c r="V145" s="1538">
        <f t="shared" ref="V145:AD145" si="106">+V146*V121</f>
        <v>105.52394604748602</v>
      </c>
      <c r="W145" s="1538">
        <f t="shared" si="106"/>
        <v>116.17357507891059</v>
      </c>
      <c r="X145" s="1538">
        <f t="shared" si="106"/>
        <v>129.66217843127791</v>
      </c>
      <c r="Y145" s="1538">
        <f t="shared" si="106"/>
        <v>137.39190798421626</v>
      </c>
      <c r="Z145" s="1538">
        <f t="shared" si="106"/>
        <v>145.68405082374272</v>
      </c>
      <c r="AA145" s="1538">
        <f t="shared" si="106"/>
        <v>155.02007424845502</v>
      </c>
      <c r="AB145" s="1538">
        <f t="shared" si="106"/>
        <v>166.2229657759087</v>
      </c>
      <c r="AC145" s="1538">
        <f t="shared" si="106"/>
        <v>179.63669314918593</v>
      </c>
      <c r="AD145" s="1538">
        <f t="shared" si="106"/>
        <v>189.53180722066153</v>
      </c>
      <c r="AE145" s="1538">
        <f>+AE146*AE121</f>
        <v>202.08222891086118</v>
      </c>
      <c r="AF145" s="1538">
        <f>+AF146*AF121</f>
        <v>214.9244227026611</v>
      </c>
      <c r="AG145" s="1538">
        <f>+AG146*AG121</f>
        <v>228.32628235275891</v>
      </c>
      <c r="AH145" s="1538">
        <f>+AH146*AH121</f>
        <v>238.80638177086581</v>
      </c>
      <c r="AI145" s="467"/>
      <c r="AJ145" s="467"/>
      <c r="AK145" s="467"/>
      <c r="AL145" s="467"/>
      <c r="AM145" s="467"/>
      <c r="AN145" s="467"/>
      <c r="AO145" s="467"/>
    </row>
    <row r="146" spans="1:41">
      <c r="A146" s="467"/>
      <c r="B146" s="1547"/>
      <c r="C146" s="1565"/>
      <c r="D146" s="1565"/>
      <c r="E146" s="1565"/>
      <c r="F146" s="1565"/>
      <c r="G146" s="1565">
        <f t="shared" ref="G146:O146" si="107">+G145/G121</f>
        <v>1.2032038435558492E-2</v>
      </c>
      <c r="H146" s="1565">
        <f t="shared" si="107"/>
        <v>6.8923078417672153E-3</v>
      </c>
      <c r="I146" s="1565">
        <f t="shared" si="107"/>
        <v>8.3246854664009232E-3</v>
      </c>
      <c r="J146" s="1565">
        <f t="shared" si="107"/>
        <v>9.0649244486892301E-3</v>
      </c>
      <c r="K146" s="1565">
        <f t="shared" si="107"/>
        <v>4.5240966615643476E-3</v>
      </c>
      <c r="L146" s="1565">
        <f t="shared" si="107"/>
        <v>4.3973247328585032E-3</v>
      </c>
      <c r="M146" s="1565">
        <f t="shared" si="107"/>
        <v>5.4105902344925277E-3</v>
      </c>
      <c r="N146" s="1565">
        <f t="shared" si="107"/>
        <v>6.072343128701474E-3</v>
      </c>
      <c r="O146" s="1565">
        <f t="shared" si="107"/>
        <v>7.48337814896798E-3</v>
      </c>
      <c r="P146" s="1565">
        <v>6.0000000000000001E-3</v>
      </c>
      <c r="Q146" s="1565">
        <v>6.0000000000000001E-3</v>
      </c>
      <c r="R146" s="1565">
        <v>5.0000000000000001E-3</v>
      </c>
      <c r="S146" s="1565">
        <v>5.0000000000000001E-3</v>
      </c>
      <c r="T146" s="1565">
        <v>5.0000000000000001E-3</v>
      </c>
      <c r="U146" s="1565">
        <v>5.0000000000000001E-3</v>
      </c>
      <c r="V146" s="1565">
        <v>5.0000000000000001E-3</v>
      </c>
      <c r="W146" s="1565">
        <v>5.0000000000000001E-3</v>
      </c>
      <c r="X146" s="1565">
        <v>5.0000000000000001E-3</v>
      </c>
      <c r="Y146" s="1565">
        <v>5.0000000000000001E-3</v>
      </c>
      <c r="Z146" s="1565">
        <v>5.0000000000000001E-3</v>
      </c>
      <c r="AA146" s="1565">
        <v>5.0000000000000001E-3</v>
      </c>
      <c r="AB146" s="1565">
        <v>5.0000000000000001E-3</v>
      </c>
      <c r="AC146" s="1565">
        <v>5.0000000000000001E-3</v>
      </c>
      <c r="AD146" s="1565">
        <v>5.0000000000000001E-3</v>
      </c>
      <c r="AE146" s="1565">
        <v>5.0000000000000001E-3</v>
      </c>
      <c r="AF146" s="1565">
        <v>5.0000000000000001E-3</v>
      </c>
      <c r="AG146" s="1565">
        <v>5.0000000000000001E-3</v>
      </c>
      <c r="AH146" s="1565">
        <v>5.0000000000000001E-3</v>
      </c>
      <c r="AI146" s="467"/>
      <c r="AJ146" s="467"/>
      <c r="AK146" s="467"/>
      <c r="AL146" s="467"/>
      <c r="AM146" s="467"/>
      <c r="AN146" s="467"/>
      <c r="AO146" s="467"/>
    </row>
    <row r="147" spans="1:41">
      <c r="A147" s="467" t="s">
        <v>289</v>
      </c>
      <c r="B147" s="1538"/>
      <c r="C147" s="1538"/>
      <c r="D147" s="1538"/>
      <c r="E147" s="1538"/>
      <c r="F147" s="1538"/>
      <c r="G147" s="1538">
        <f t="shared" ref="G147:S147" si="108">+G143-G145</f>
        <v>126.761</v>
      </c>
      <c r="H147" s="1538">
        <f t="shared" si="108"/>
        <v>403.28742849999992</v>
      </c>
      <c r="I147" s="1538">
        <f t="shared" si="108"/>
        <v>527.56464199999994</v>
      </c>
      <c r="J147" s="1538">
        <f t="shared" si="108"/>
        <v>705.69799999999998</v>
      </c>
      <c r="K147" s="1538">
        <f t="shared" si="108"/>
        <v>861.28199999999993</v>
      </c>
      <c r="L147" s="1538">
        <f t="shared" si="108"/>
        <v>887.84600000000012</v>
      </c>
      <c r="M147" s="1538">
        <f t="shared" si="108"/>
        <v>899.68700000000001</v>
      </c>
      <c r="N147" s="1538">
        <f t="shared" si="108"/>
        <v>963.09699999999987</v>
      </c>
      <c r="O147" s="1538">
        <f t="shared" si="108"/>
        <v>1013.9899999999998</v>
      </c>
      <c r="P147" s="1538">
        <f t="shared" si="108"/>
        <v>1036.2871019999998</v>
      </c>
      <c r="Q147" s="1538">
        <f t="shared" si="108"/>
        <v>1335.3675880000001</v>
      </c>
      <c r="R147" s="1538">
        <f t="shared" si="108"/>
        <v>1485.6920700000001</v>
      </c>
      <c r="S147" s="1538">
        <f t="shared" si="108"/>
        <v>1612.1827379999995</v>
      </c>
      <c r="T147" s="1538">
        <f t="shared" ref="T147:Y147" si="109">+T143-T145</f>
        <v>1697.6781729999998</v>
      </c>
      <c r="U147" s="1538">
        <f t="shared" si="109"/>
        <v>1786.1707074964272</v>
      </c>
      <c r="V147" s="1538">
        <f t="shared" si="109"/>
        <v>1927.0588327234636</v>
      </c>
      <c r="W147" s="1538">
        <f t="shared" si="109"/>
        <v>2115.8818872051675</v>
      </c>
      <c r="X147" s="1538">
        <f t="shared" si="109"/>
        <v>2356.3030829213226</v>
      </c>
      <c r="Y147" s="1538">
        <f t="shared" si="109"/>
        <v>2487.384062758963</v>
      </c>
      <c r="Z147" s="1538">
        <f t="shared" ref="Z147:AE147" si="110">+Z143-Z145</f>
        <v>2624.9224301417312</v>
      </c>
      <c r="AA147" s="1538">
        <f t="shared" si="110"/>
        <v>2786.6652940459835</v>
      </c>
      <c r="AB147" s="1538">
        <f t="shared" si="110"/>
        <v>2987.6032940173627</v>
      </c>
      <c r="AC147" s="1538">
        <f t="shared" si="110"/>
        <v>3219.3334901878843</v>
      </c>
      <c r="AD147" s="1538">
        <f t="shared" si="110"/>
        <v>3384.1552839965211</v>
      </c>
      <c r="AE147" s="1538">
        <f t="shared" si="110"/>
        <v>3597.8652383108811</v>
      </c>
      <c r="AF147" s="1538">
        <f>+AF143-AF145</f>
        <v>3820.9874149260572</v>
      </c>
      <c r="AG147" s="1538">
        <f>+AG143-AG145</f>
        <v>4053.4991792012556</v>
      </c>
      <c r="AH147" s="1538">
        <f>+AH143-AH145</f>
        <v>4234.6889352143717</v>
      </c>
      <c r="AI147" s="467"/>
      <c r="AJ147" s="467"/>
      <c r="AK147" s="467"/>
      <c r="AL147" s="467"/>
      <c r="AM147" s="467"/>
      <c r="AN147" s="467"/>
      <c r="AO147" s="467"/>
    </row>
    <row r="148" spans="1:41">
      <c r="A148" s="467" t="s">
        <v>675</v>
      </c>
      <c r="B148" s="1538"/>
      <c r="C148" s="1538"/>
      <c r="D148" s="1538"/>
      <c r="E148" s="1538"/>
      <c r="F148" s="1538"/>
      <c r="G148" s="1538">
        <f t="shared" ref="G148:AD148" si="111">+G28</f>
        <v>126.9820000000002</v>
      </c>
      <c r="H148" s="1538">
        <f t="shared" si="111"/>
        <v>403.49000000000046</v>
      </c>
      <c r="I148" s="1538">
        <f t="shared" si="111"/>
        <v>526.77300000000014</v>
      </c>
      <c r="J148" s="1538">
        <f t="shared" si="111"/>
        <v>705.19800000000077</v>
      </c>
      <c r="K148" s="1538">
        <f t="shared" si="111"/>
        <v>861.28200000000015</v>
      </c>
      <c r="L148" s="1538">
        <f t="shared" si="111"/>
        <v>887.84599999999955</v>
      </c>
      <c r="M148" s="1538">
        <f t="shared" si="111"/>
        <v>899.68699999999922</v>
      </c>
      <c r="N148" s="1538">
        <f t="shared" si="111"/>
        <v>963.09699999999862</v>
      </c>
      <c r="O148" s="1538">
        <f t="shared" si="111"/>
        <v>1013.9900000000007</v>
      </c>
      <c r="P148" s="1538">
        <f t="shared" si="111"/>
        <v>1014.7080000000005</v>
      </c>
      <c r="Q148" s="1538">
        <f t="shared" si="111"/>
        <v>1038.9590000000017</v>
      </c>
      <c r="R148" s="1538">
        <f t="shared" si="111"/>
        <v>1267.3740000000007</v>
      </c>
      <c r="S148" s="1538">
        <f t="shared" si="111"/>
        <v>1455.5110000000004</v>
      </c>
      <c r="T148" s="1538">
        <f t="shared" si="111"/>
        <v>1434.7309999999961</v>
      </c>
      <c r="U148" s="1538">
        <f t="shared" si="111"/>
        <v>1991.0709999999999</v>
      </c>
      <c r="V148" s="1538">
        <f t="shared" si="111"/>
        <v>2332.5369999999966</v>
      </c>
      <c r="W148" s="1538">
        <f t="shared" si="111"/>
        <v>2515.8330000000028</v>
      </c>
      <c r="X148" s="1538">
        <f t="shared" si="111"/>
        <v>3106.5260000000017</v>
      </c>
      <c r="Y148" s="1538">
        <f t="shared" si="111"/>
        <v>3350.5699999999997</v>
      </c>
      <c r="Z148" s="1538">
        <f t="shared" si="111"/>
        <v>3606.5009999999984</v>
      </c>
      <c r="AA148" s="1538">
        <f t="shared" si="111"/>
        <v>3704.699999999998</v>
      </c>
      <c r="AB148" s="1538">
        <f t="shared" si="111"/>
        <v>3849.5230000000056</v>
      </c>
      <c r="AC148" s="1538">
        <f t="shared" si="111"/>
        <v>3987.4260000000031</v>
      </c>
      <c r="AD148" s="1538">
        <f t="shared" si="111"/>
        <v>4110.2720385813982</v>
      </c>
      <c r="AE148" s="1538">
        <f>+AE28</f>
        <v>4458.6699465452666</v>
      </c>
      <c r="AF148" s="1538">
        <f>+AF28</f>
        <v>4828.0948065330867</v>
      </c>
      <c r="AG148" s="1538">
        <f>+AG28</f>
        <v>5170.4407515922476</v>
      </c>
      <c r="AH148" s="1538">
        <f>+AH28</f>
        <v>5446.0403218544034</v>
      </c>
      <c r="AI148" s="467"/>
      <c r="AJ148" s="467"/>
      <c r="AK148" s="467"/>
      <c r="AL148" s="467"/>
      <c r="AM148" s="467"/>
      <c r="AN148" s="467"/>
      <c r="AO148" s="467"/>
    </row>
    <row r="149" spans="1:41">
      <c r="A149" s="467"/>
      <c r="B149" s="1538"/>
      <c r="C149" s="1538"/>
      <c r="D149" s="1538"/>
      <c r="E149" s="1538"/>
      <c r="F149" s="1538"/>
      <c r="G149" s="1538"/>
      <c r="H149" s="1538"/>
      <c r="I149" s="1538"/>
      <c r="J149" s="1538"/>
      <c r="K149" s="1538"/>
      <c r="L149" s="1538"/>
      <c r="M149" s="1538"/>
      <c r="N149" s="1538"/>
      <c r="O149" s="1538"/>
      <c r="P149" s="1538"/>
      <c r="Q149" s="1538"/>
      <c r="R149" s="1538"/>
      <c r="S149" s="1538"/>
      <c r="T149" s="1538"/>
      <c r="U149" s="1538"/>
      <c r="V149" s="1538"/>
      <c r="W149" s="1538"/>
      <c r="X149" s="1538"/>
      <c r="Y149" s="1538"/>
      <c r="Z149" s="1538"/>
      <c r="AA149" s="1538"/>
      <c r="AB149" s="1538"/>
      <c r="AC149" s="1538"/>
      <c r="AD149" s="1538"/>
      <c r="AE149" s="1538"/>
      <c r="AF149" s="1538"/>
      <c r="AG149" s="1538"/>
      <c r="AH149" s="1538"/>
      <c r="AI149" s="467"/>
      <c r="AJ149" s="467"/>
      <c r="AK149" s="467"/>
      <c r="AL149" s="467"/>
      <c r="AM149" s="467"/>
      <c r="AN149" s="467"/>
      <c r="AO149" s="467"/>
    </row>
    <row r="150" spans="1:41">
      <c r="A150" s="467" t="s">
        <v>290</v>
      </c>
      <c r="B150" s="1552"/>
      <c r="C150" s="1552"/>
      <c r="D150" s="1552"/>
      <c r="E150" s="1552"/>
      <c r="F150" s="1552"/>
      <c r="G150" s="1552">
        <f t="shared" ref="G150:R150" si="112">+G147/G121</f>
        <v>3.1882462145780131E-2</v>
      </c>
      <c r="H150" s="1552">
        <f t="shared" si="112"/>
        <v>6.0276295830695326E-2</v>
      </c>
      <c r="I150" s="1552">
        <f t="shared" si="112"/>
        <v>7.1388324249746518E-2</v>
      </c>
      <c r="J150" s="1552">
        <f t="shared" si="112"/>
        <v>8.877708309405051E-2</v>
      </c>
      <c r="K150" s="1552">
        <f t="shared" si="112"/>
        <v>9.7924732247630472E-2</v>
      </c>
      <c r="L150" s="1552">
        <f t="shared" si="112"/>
        <v>9.268665245642399E-2</v>
      </c>
      <c r="M150" s="1552">
        <f t="shared" si="112"/>
        <v>8.4012248391492836E-2</v>
      </c>
      <c r="N150" s="1552">
        <f t="shared" si="112"/>
        <v>8.0383971331102116E-2</v>
      </c>
      <c r="O150" s="1552">
        <f t="shared" si="112"/>
        <v>7.6080035786480982E-2</v>
      </c>
      <c r="P150" s="1552">
        <f t="shared" si="112"/>
        <v>6.9486591562815989E-2</v>
      </c>
      <c r="Q150" s="1552">
        <f t="shared" si="112"/>
        <v>8.3341124550822945E-2</v>
      </c>
      <c r="R150" s="1552">
        <f t="shared" si="112"/>
        <v>8.5361853280823949E-2</v>
      </c>
      <c r="S150" s="1552">
        <f t="shared" ref="S150:X150" si="113">+S147/S121</f>
        <v>8.6457437891501301E-2</v>
      </c>
      <c r="T150" s="1552">
        <f t="shared" si="113"/>
        <v>8.8758334199474945E-2</v>
      </c>
      <c r="U150" s="1552">
        <f t="shared" si="113"/>
        <v>9.1005120562407241E-2</v>
      </c>
      <c r="V150" s="1552">
        <f t="shared" si="113"/>
        <v>9.1309077460782345E-2</v>
      </c>
      <c r="W150" s="1552">
        <f t="shared" si="113"/>
        <v>9.1065540755200167E-2</v>
      </c>
      <c r="X150" s="1552">
        <f t="shared" si="113"/>
        <v>9.0863161155748426E-2</v>
      </c>
      <c r="Y150" s="1552">
        <f t="shared" ref="Y150:AD150" si="114">+Y147/Y121</f>
        <v>9.0521490648660205E-2</v>
      </c>
      <c r="Z150" s="1552">
        <f t="shared" si="114"/>
        <v>9.0089560775514096E-2</v>
      </c>
      <c r="AA150" s="1552">
        <f t="shared" si="114"/>
        <v>8.9880788264225617E-2</v>
      </c>
      <c r="AB150" s="1552">
        <f t="shared" si="114"/>
        <v>8.9867344144402422E-2</v>
      </c>
      <c r="AC150" s="1552">
        <f t="shared" si="114"/>
        <v>8.9606790064718847E-2</v>
      </c>
      <c r="AD150" s="1552">
        <f t="shared" si="114"/>
        <v>8.9276711218622365E-2</v>
      </c>
      <c r="AE150" s="1552">
        <f>+AE147/AE121</f>
        <v>8.9019832612245831E-2</v>
      </c>
      <c r="AF150" s="1552">
        <f>+AF147/AF121</f>
        <v>8.8891419757638077E-2</v>
      </c>
      <c r="AG150" s="1552">
        <f>+AG147/AG121</f>
        <v>8.8765496845840369E-2</v>
      </c>
      <c r="AH150" s="1552">
        <f>+AH147/AH121</f>
        <v>8.866364675458184E-2</v>
      </c>
      <c r="AI150" s="467"/>
      <c r="AJ150" s="467"/>
      <c r="AK150" s="467"/>
      <c r="AL150" s="467"/>
      <c r="AM150" s="467"/>
      <c r="AN150" s="467"/>
      <c r="AO150" s="467"/>
    </row>
    <row r="151" spans="1:41">
      <c r="A151" s="467" t="s">
        <v>167</v>
      </c>
      <c r="B151" s="1552">
        <f t="shared" ref="B151:AD151" si="115">+B29</f>
        <v>6.0963610446723403E-2</v>
      </c>
      <c r="C151" s="1552">
        <f t="shared" si="115"/>
        <v>5.385364332427401E-2</v>
      </c>
      <c r="D151" s="1552">
        <f t="shared" si="115"/>
        <v>6.1147293667439331E-2</v>
      </c>
      <c r="E151" s="1552">
        <f t="shared" si="115"/>
        <v>7.0917032417983916E-2</v>
      </c>
      <c r="F151" s="1552">
        <f t="shared" si="115"/>
        <v>5.478808720982941E-2</v>
      </c>
      <c r="G151" s="1552">
        <f t="shared" si="115"/>
        <v>3.1944233059924103E-2</v>
      </c>
      <c r="H151" s="1552">
        <f t="shared" si="115"/>
        <v>6.0317726077486727E-2</v>
      </c>
      <c r="I151" s="1552">
        <f t="shared" si="115"/>
        <v>7.1290848684726058E-2</v>
      </c>
      <c r="J151" s="1552">
        <f t="shared" si="115"/>
        <v>8.8716749837807252E-2</v>
      </c>
      <c r="K151" s="1552">
        <f t="shared" si="115"/>
        <v>9.79247322476305E-2</v>
      </c>
      <c r="L151" s="1552">
        <f t="shared" si="115"/>
        <v>9.2686652456423935E-2</v>
      </c>
      <c r="M151" s="1552">
        <f t="shared" si="115"/>
        <v>8.4012248391492766E-2</v>
      </c>
      <c r="N151" s="1552">
        <f t="shared" si="115"/>
        <v>8.0383971331102005E-2</v>
      </c>
      <c r="O151" s="1552">
        <f t="shared" si="115"/>
        <v>7.6080035786481051E-2</v>
      </c>
      <c r="P151" s="1552">
        <f t="shared" si="115"/>
        <v>6.8039639029997254E-2</v>
      </c>
      <c r="Q151" s="1552">
        <f t="shared" si="115"/>
        <v>6.4700660452293626E-2</v>
      </c>
      <c r="R151" s="1552">
        <f t="shared" si="115"/>
        <v>7.2818180580267233E-2</v>
      </c>
      <c r="S151" s="1552">
        <f t="shared" si="115"/>
        <v>7.8795643540622337E-2</v>
      </c>
      <c r="T151" s="1552">
        <f t="shared" si="115"/>
        <v>7.551412523642044E-2</v>
      </c>
      <c r="U151" s="1552">
        <f t="shared" si="115"/>
        <v>9.8138181518503828E-2</v>
      </c>
      <c r="V151" s="1552">
        <f t="shared" si="115"/>
        <v>0.10767252800606876</v>
      </c>
      <c r="W151" s="1552">
        <f t="shared" si="115"/>
        <v>0.108524220236659</v>
      </c>
      <c r="X151" s="1552">
        <f t="shared" si="115"/>
        <v>0.12004333193757324</v>
      </c>
      <c r="Y151" s="1552">
        <f t="shared" si="115"/>
        <v>0.12218237039859245</v>
      </c>
      <c r="Z151" s="1552">
        <f t="shared" si="115"/>
        <v>0.12402677354368134</v>
      </c>
      <c r="AA151" s="1552">
        <f t="shared" si="115"/>
        <v>0.1197190958986571</v>
      </c>
      <c r="AB151" s="1552">
        <f t="shared" si="115"/>
        <v>0.11600628910348407</v>
      </c>
      <c r="AC151" s="1552">
        <f t="shared" si="115"/>
        <v>0.11117979524358579</v>
      </c>
      <c r="AD151" s="1552">
        <f t="shared" si="115"/>
        <v>0.10861722551199186</v>
      </c>
      <c r="AE151" s="1552">
        <f>+AE29</f>
        <v>0.11050000000000004</v>
      </c>
      <c r="AF151" s="1552">
        <f>+AF29</f>
        <v>0.11249999999999995</v>
      </c>
      <c r="AG151" s="1552">
        <f>+AG29</f>
        <v>0.11340000000000013</v>
      </c>
      <c r="AH151" s="1552">
        <f>+AH29</f>
        <v>0.11419999999999995</v>
      </c>
      <c r="AI151" s="467"/>
      <c r="AJ151" s="467"/>
      <c r="AK151" s="467"/>
      <c r="AL151" s="467"/>
      <c r="AM151" s="467"/>
      <c r="AN151" s="467"/>
      <c r="AO151" s="467"/>
    </row>
    <row r="152" spans="1:41">
      <c r="A152" s="467"/>
      <c r="B152" s="1547"/>
      <c r="C152" s="1547"/>
      <c r="D152" s="1547"/>
      <c r="E152" s="1547"/>
      <c r="F152" s="1547"/>
      <c r="G152" s="1547"/>
      <c r="H152" s="1547"/>
      <c r="I152" s="1547"/>
      <c r="J152" s="1547"/>
      <c r="K152" s="1547"/>
      <c r="L152" s="1547"/>
      <c r="M152" s="1547"/>
      <c r="N152" s="1547"/>
      <c r="O152" s="1547"/>
      <c r="P152" s="1547"/>
      <c r="Q152" s="1547"/>
      <c r="R152" s="1547"/>
      <c r="S152" s="1547"/>
      <c r="T152" s="1547"/>
      <c r="U152" s="1547"/>
      <c r="V152" s="1547"/>
      <c r="W152" s="1547"/>
      <c r="X152" s="1547"/>
      <c r="Y152" s="1547"/>
      <c r="Z152" s="1547"/>
      <c r="AA152" s="1547"/>
      <c r="AB152" s="1547"/>
      <c r="AC152" s="1547"/>
      <c r="AD152" s="1547"/>
      <c r="AE152" s="1547"/>
      <c r="AF152" s="1547"/>
      <c r="AG152" s="1547"/>
      <c r="AH152" s="1547"/>
      <c r="AI152" s="467"/>
      <c r="AJ152" s="467"/>
      <c r="AK152" s="467"/>
      <c r="AL152" s="467"/>
      <c r="AM152" s="467"/>
      <c r="AN152" s="467"/>
      <c r="AO152" s="467"/>
    </row>
    <row r="153" spans="1:41">
      <c r="A153" s="467"/>
      <c r="B153" s="1547"/>
      <c r="C153" s="1547"/>
      <c r="D153" s="1547"/>
      <c r="E153" s="1547"/>
      <c r="F153" s="1547"/>
      <c r="G153" s="1547"/>
      <c r="H153" s="1547"/>
      <c r="I153" s="1547"/>
      <c r="J153" s="1547"/>
      <c r="K153" s="1547"/>
      <c r="L153" s="1547"/>
      <c r="M153" s="1547"/>
      <c r="N153" s="1547"/>
      <c r="O153" s="1547"/>
      <c r="P153" s="1547"/>
      <c r="Q153" s="1547"/>
      <c r="R153" s="1547"/>
      <c r="S153" s="1547"/>
      <c r="T153" s="1547"/>
      <c r="U153" s="1547"/>
      <c r="V153" s="1547"/>
      <c r="W153" s="1547"/>
      <c r="X153" s="1547"/>
      <c r="Y153" s="1547"/>
      <c r="Z153" s="1547"/>
      <c r="AA153" s="1547"/>
      <c r="AB153" s="1547"/>
      <c r="AC153" s="1547"/>
      <c r="AD153" s="1547"/>
      <c r="AE153" s="1547"/>
      <c r="AF153" s="1547"/>
      <c r="AG153" s="1547"/>
      <c r="AH153" s="1547"/>
      <c r="AI153" s="467"/>
      <c r="AJ153" s="467"/>
      <c r="AK153" s="467"/>
      <c r="AL153" s="467"/>
      <c r="AM153" s="467"/>
      <c r="AN153" s="467"/>
      <c r="AO153" s="467"/>
    </row>
    <row r="154" spans="1:41">
      <c r="A154" s="467"/>
      <c r="B154" s="1547"/>
      <c r="C154" s="1547"/>
      <c r="D154" s="1547"/>
      <c r="E154" s="1547"/>
      <c r="F154" s="1547"/>
      <c r="G154" s="1547"/>
      <c r="H154" s="1547"/>
      <c r="I154" s="1547"/>
      <c r="J154" s="1547"/>
      <c r="K154" s="1547"/>
      <c r="L154" s="1547"/>
      <c r="M154" s="1547"/>
      <c r="N154" s="1547"/>
      <c r="O154" s="1547"/>
      <c r="P154" s="1547"/>
      <c r="Q154" s="1547"/>
      <c r="R154" s="1547"/>
      <c r="S154" s="1547"/>
      <c r="T154" s="1547"/>
      <c r="U154" s="1547"/>
      <c r="V154" s="1547"/>
      <c r="W154" s="1547"/>
      <c r="X154" s="1547"/>
      <c r="Y154" s="1547"/>
      <c r="Z154" s="1547"/>
      <c r="AA154" s="1547"/>
      <c r="AB154" s="1547"/>
      <c r="AC154" s="1547"/>
      <c r="AD154" s="1547"/>
      <c r="AE154" s="1547"/>
      <c r="AF154" s="1547"/>
      <c r="AG154" s="1547"/>
      <c r="AH154" s="1547"/>
      <c r="AI154" s="467"/>
      <c r="AJ154" s="467"/>
      <c r="AK154" s="467"/>
      <c r="AL154" s="467"/>
      <c r="AM154" s="467"/>
      <c r="AN154" s="467"/>
      <c r="AO154" s="467"/>
    </row>
    <row r="155" spans="1:41">
      <c r="A155" s="467" t="s">
        <v>251</v>
      </c>
      <c r="B155" s="1547"/>
      <c r="C155" s="1547"/>
      <c r="D155" s="1547"/>
      <c r="E155" s="1547"/>
      <c r="F155" s="1547"/>
      <c r="G155" s="1547"/>
      <c r="H155" s="1547"/>
      <c r="I155" s="1547"/>
      <c r="J155" s="1547"/>
      <c r="K155" s="1547"/>
      <c r="L155" s="1547"/>
      <c r="M155" s="1547"/>
      <c r="N155" s="1547"/>
      <c r="O155" s="1547"/>
      <c r="P155" s="1547"/>
      <c r="Q155" s="1547"/>
      <c r="R155" s="1547"/>
      <c r="S155" s="1547"/>
      <c r="T155" s="1547"/>
      <c r="U155" s="1547"/>
      <c r="V155" s="1547"/>
      <c r="W155" s="1547"/>
      <c r="X155" s="1547"/>
      <c r="Y155" s="1547"/>
      <c r="Z155" s="1547"/>
      <c r="AA155" s="1547"/>
      <c r="AB155" s="1547"/>
      <c r="AC155" s="1547"/>
      <c r="AD155" s="1547"/>
      <c r="AE155" s="1547"/>
      <c r="AF155" s="1547"/>
      <c r="AG155" s="1547"/>
      <c r="AH155" s="1547"/>
      <c r="AI155" s="467"/>
      <c r="AJ155" s="467"/>
      <c r="AK155" s="467"/>
      <c r="AL155" s="467"/>
      <c r="AM155" s="467"/>
      <c r="AN155" s="467"/>
      <c r="AO155" s="467"/>
    </row>
    <row r="156" spans="1:41">
      <c r="A156" s="467" t="s">
        <v>556</v>
      </c>
      <c r="B156" s="1538"/>
      <c r="C156" s="1538"/>
      <c r="D156" s="1538"/>
      <c r="E156" s="1538"/>
      <c r="F156" s="1538"/>
      <c r="G156" s="1538">
        <f>SUM(G109,G112,G115)</f>
        <v>78.405000000000001</v>
      </c>
      <c r="H156" s="1538">
        <f>SUM(H109,H112,H115)</f>
        <v>87.01900000000002</v>
      </c>
      <c r="I156" s="1538">
        <f>SUM(I109,I112,I115,I118)</f>
        <v>249.11</v>
      </c>
      <c r="J156" s="1538">
        <f t="shared" ref="J156:U156" si="116">SUM(J109,J112,J115,J118)</f>
        <v>365.33800000000002</v>
      </c>
      <c r="K156" s="1538">
        <f t="shared" si="116"/>
        <v>548.75599999999997</v>
      </c>
      <c r="L156" s="1538">
        <f t="shared" si="116"/>
        <v>787.22699999999998</v>
      </c>
      <c r="M156" s="1538">
        <f t="shared" si="116"/>
        <v>1185.068</v>
      </c>
      <c r="N156" s="1538">
        <f t="shared" si="116"/>
        <v>1702.4230000000002</v>
      </c>
      <c r="O156" s="1538">
        <f t="shared" si="116"/>
        <v>2314.3990000000003</v>
      </c>
      <c r="P156" s="1538">
        <f t="shared" si="116"/>
        <v>3138.5659999999998</v>
      </c>
      <c r="Q156" s="1538">
        <f t="shared" si="116"/>
        <v>3608.3890000000006</v>
      </c>
      <c r="R156" s="1538">
        <f t="shared" si="116"/>
        <v>4132.0559999999996</v>
      </c>
      <c r="S156" s="1538">
        <f t="shared" si="116"/>
        <v>4639.6610000000001</v>
      </c>
      <c r="T156" s="1538">
        <f t="shared" si="116"/>
        <v>4625.4069999999992</v>
      </c>
      <c r="U156" s="1538">
        <f t="shared" si="116"/>
        <v>4188.370115109773</v>
      </c>
      <c r="V156" s="1538">
        <f t="shared" ref="V156:AD156" si="117">SUM(V109,V112,V115,V118)</f>
        <v>4502.4292094972034</v>
      </c>
      <c r="W156" s="1538">
        <f t="shared" si="117"/>
        <v>5187.1250157821178</v>
      </c>
      <c r="X156" s="1538">
        <f t="shared" si="117"/>
        <v>5995.0356862555827</v>
      </c>
      <c r="Y156" s="1538">
        <f t="shared" si="117"/>
        <v>6670.9715968432492</v>
      </c>
      <c r="Z156" s="1538">
        <f t="shared" si="117"/>
        <v>7564.3901647485463</v>
      </c>
      <c r="AA156" s="1538">
        <f t="shared" si="117"/>
        <v>8201.1708496910032</v>
      </c>
      <c r="AB156" s="1538">
        <f t="shared" si="117"/>
        <v>8827.4321551817338</v>
      </c>
      <c r="AC156" s="1538">
        <f t="shared" si="117"/>
        <v>10035.951629837185</v>
      </c>
      <c r="AD156" s="1538">
        <f t="shared" si="117"/>
        <v>11195.331816132302</v>
      </c>
      <c r="AE156" s="1538">
        <f>SUM(AE109,AE112,AE115,AE118)</f>
        <v>12368.195958439359</v>
      </c>
      <c r="AF156" s="1538">
        <f>SUM(AF109,AF112,AF115,AF118)</f>
        <v>13426.411646581915</v>
      </c>
      <c r="AG156" s="1538">
        <f>SUM(AG109,AG112,AG115,AG118)</f>
        <v>14542.225990269946</v>
      </c>
      <c r="AH156" s="1538">
        <f>SUM(AH109,AH112,AH115,AH118)</f>
        <v>15426.398583702228</v>
      </c>
      <c r="AI156" s="467"/>
      <c r="AJ156" s="467"/>
      <c r="AK156" s="467"/>
      <c r="AL156" s="467"/>
      <c r="AM156" s="467"/>
      <c r="AN156" s="467"/>
      <c r="AO156" s="467"/>
    </row>
    <row r="157" spans="1:41">
      <c r="A157" s="467" t="s">
        <v>252</v>
      </c>
      <c r="B157" s="1538"/>
      <c r="C157" s="1538"/>
      <c r="D157" s="1538"/>
      <c r="E157" s="1538"/>
      <c r="F157" s="1538"/>
      <c r="G157" s="1538">
        <f>SUM(G131,G134,G137)</f>
        <v>-13.375</v>
      </c>
      <c r="H157" s="1538">
        <f>SUM(H131,H134,H137)</f>
        <v>-14.017999999999999</v>
      </c>
      <c r="I157" s="1538">
        <f>SUM(I131,I134,I137,I140)</f>
        <v>-12.015000000000001</v>
      </c>
      <c r="J157" s="1538">
        <f t="shared" ref="J157:U157" si="118">SUM(J131,J134,J137,J140)</f>
        <v>-15.93</v>
      </c>
      <c r="K157" s="1538">
        <f t="shared" si="118"/>
        <v>-3.4010000000000016</v>
      </c>
      <c r="L157" s="1538">
        <f t="shared" si="118"/>
        <v>0.55499999999999972</v>
      </c>
      <c r="M157" s="1538">
        <f t="shared" si="118"/>
        <v>4.8390000000000022</v>
      </c>
      <c r="N157" s="1538">
        <f t="shared" si="118"/>
        <v>62.605999999999995</v>
      </c>
      <c r="O157" s="1538">
        <f t="shared" si="118"/>
        <v>91.893000000000001</v>
      </c>
      <c r="P157" s="1538">
        <f t="shared" si="118"/>
        <v>43.984999999999999</v>
      </c>
      <c r="Q157" s="1538">
        <f t="shared" si="118"/>
        <v>182.76398599999999</v>
      </c>
      <c r="R157" s="1538">
        <f t="shared" si="118"/>
        <v>235.01237899999998</v>
      </c>
      <c r="S157" s="1538">
        <f t="shared" si="118"/>
        <v>288.34535599999998</v>
      </c>
      <c r="T157" s="1538">
        <f t="shared" si="118"/>
        <v>321.76210299999991</v>
      </c>
      <c r="U157" s="1538">
        <f t="shared" si="118"/>
        <v>318.74981307197589</v>
      </c>
      <c r="V157" s="1538">
        <f t="shared" ref="V157:AD157" si="119">SUM(V131,V134,V137,V140)</f>
        <v>347.24476877094969</v>
      </c>
      <c r="W157" s="1538">
        <f t="shared" si="119"/>
        <v>400.49575228407809</v>
      </c>
      <c r="X157" s="1538">
        <f t="shared" si="119"/>
        <v>462.96535135260046</v>
      </c>
      <c r="Y157" s="1538">
        <f t="shared" si="119"/>
        <v>515.25663074317856</v>
      </c>
      <c r="Z157" s="1538">
        <f t="shared" si="119"/>
        <v>584.52379096547372</v>
      </c>
      <c r="AA157" s="1538">
        <f t="shared" si="119"/>
        <v>632.85479829443796</v>
      </c>
      <c r="AB157" s="1538">
        <f t="shared" si="119"/>
        <v>680.39888979327122</v>
      </c>
      <c r="AC157" s="1538">
        <f t="shared" si="119"/>
        <v>773.40866333706936</v>
      </c>
      <c r="AD157" s="1538">
        <f t="shared" si="119"/>
        <v>863.02401769718142</v>
      </c>
      <c r="AE157" s="1538">
        <f>SUM(AE131,AE134,AE137,AE140)</f>
        <v>952.8040306267992</v>
      </c>
      <c r="AF157" s="1538">
        <f>SUM(AF131,AF134,AF137,AF140)</f>
        <v>1034.3129330659419</v>
      </c>
      <c r="AG157" s="1538">
        <f>SUM(AG131,AG134,AG137,AG140)</f>
        <v>1120.218333412696</v>
      </c>
      <c r="AH157" s="1538">
        <f>SUM(AH131,AH134,AH137,AH140)</f>
        <v>1188.1246028650444</v>
      </c>
      <c r="AI157" s="467"/>
      <c r="AJ157" s="467"/>
      <c r="AK157" s="467"/>
      <c r="AL157" s="467"/>
      <c r="AM157" s="467"/>
      <c r="AN157" s="467"/>
      <c r="AO157" s="467"/>
    </row>
    <row r="158" spans="1:41">
      <c r="A158" s="467"/>
      <c r="B158" s="1547"/>
      <c r="C158" s="1565"/>
      <c r="D158" s="1565"/>
      <c r="E158" s="1565"/>
      <c r="F158" s="1565"/>
      <c r="G158" s="1565">
        <f>+G157/G156</f>
        <v>-0.17058861042025381</v>
      </c>
      <c r="H158" s="1565">
        <f t="shared" ref="H158:AC158" si="120">+H157/H156</f>
        <v>-0.16109125593261236</v>
      </c>
      <c r="I158" s="1565">
        <f t="shared" si="120"/>
        <v>-4.8231704869334834E-2</v>
      </c>
      <c r="J158" s="1565">
        <f t="shared" si="120"/>
        <v>-4.3603457620066892E-2</v>
      </c>
      <c r="K158" s="1565">
        <f t="shared" si="120"/>
        <v>-6.1976543308865902E-3</v>
      </c>
      <c r="L158" s="1565">
        <f t="shared" si="120"/>
        <v>7.0500630694831322E-4</v>
      </c>
      <c r="M158" s="1565">
        <f t="shared" si="120"/>
        <v>4.0833099872749938E-3</v>
      </c>
      <c r="N158" s="1565">
        <f t="shared" si="120"/>
        <v>3.6774644139558728E-2</v>
      </c>
      <c r="O158" s="1565">
        <f t="shared" si="120"/>
        <v>3.9704908272082728E-2</v>
      </c>
      <c r="P158" s="1565">
        <f t="shared" si="120"/>
        <v>1.4014361972951979E-2</v>
      </c>
      <c r="Q158" s="1565">
        <f t="shared" si="120"/>
        <v>5.0649745911541123E-2</v>
      </c>
      <c r="R158" s="1565">
        <f t="shared" si="120"/>
        <v>5.6875409965402211E-2</v>
      </c>
      <c r="S158" s="1565">
        <f t="shared" si="120"/>
        <v>6.2147936239307137E-2</v>
      </c>
      <c r="T158" s="1565">
        <f t="shared" si="120"/>
        <v>6.956406279490647E-2</v>
      </c>
      <c r="U158" s="1565">
        <f t="shared" si="120"/>
        <v>7.6103544890187377E-2</v>
      </c>
      <c r="V158" s="1565">
        <f t="shared" si="120"/>
        <v>7.712387082921561E-2</v>
      </c>
      <c r="W158" s="1565">
        <f t="shared" si="120"/>
        <v>7.7209581620945586E-2</v>
      </c>
      <c r="X158" s="1565">
        <f t="shared" si="120"/>
        <v>7.7224786570330203E-2</v>
      </c>
      <c r="Y158" s="1565">
        <f t="shared" si="120"/>
        <v>7.723861858248679E-2</v>
      </c>
      <c r="Z158" s="1565">
        <f t="shared" si="120"/>
        <v>7.7273088541818274E-2</v>
      </c>
      <c r="AA158" s="1565">
        <f>+AA157/AA156</f>
        <v>7.7166396102854279E-2</v>
      </c>
      <c r="AB158" s="1565">
        <f t="shared" si="120"/>
        <v>7.7077781831931119E-2</v>
      </c>
      <c r="AC158" s="1565">
        <f t="shared" si="120"/>
        <v>7.7063809378843773E-2</v>
      </c>
      <c r="AD158" s="1565">
        <f>+AD157/AD156</f>
        <v>7.7087846244412062E-2</v>
      </c>
      <c r="AE158" s="1565">
        <f>+AE157/AE156</f>
        <v>7.703662149504184E-2</v>
      </c>
      <c r="AF158" s="1565">
        <f>+AF157/AF156</f>
        <v>7.7035693548786463E-2</v>
      </c>
      <c r="AG158" s="1565">
        <f>+AG157/AG156</f>
        <v>7.7032108713083025E-2</v>
      </c>
      <c r="AH158" s="1565">
        <f>+AH157/AH156</f>
        <v>7.7018922881992774E-2</v>
      </c>
      <c r="AI158" s="467"/>
      <c r="AJ158" s="467"/>
      <c r="AK158" s="467"/>
      <c r="AL158" s="467"/>
      <c r="AM158" s="467"/>
      <c r="AN158" s="467"/>
      <c r="AO158" s="467"/>
    </row>
    <row r="159" spans="1:41">
      <c r="A159" s="467" t="s">
        <v>253</v>
      </c>
      <c r="B159" s="1547"/>
      <c r="C159" s="1547"/>
      <c r="D159" s="1547"/>
      <c r="E159" s="1547"/>
      <c r="F159" s="1547"/>
      <c r="G159" s="1547"/>
      <c r="H159" s="1547"/>
      <c r="I159" s="1547"/>
      <c r="J159" s="1547"/>
      <c r="K159" s="1547"/>
      <c r="L159" s="1547"/>
      <c r="M159" s="1547"/>
      <c r="N159" s="1547"/>
      <c r="O159" s="1547"/>
      <c r="P159" s="1547"/>
      <c r="Q159" s="1547"/>
      <c r="R159" s="1547"/>
      <c r="S159" s="1547"/>
      <c r="T159" s="1547"/>
      <c r="U159" s="1547"/>
      <c r="V159" s="1547"/>
      <c r="W159" s="1547"/>
      <c r="X159" s="1547"/>
      <c r="Y159" s="1547"/>
      <c r="Z159" s="1547"/>
      <c r="AA159" s="1547"/>
      <c r="AB159" s="1547"/>
      <c r="AC159" s="1547"/>
      <c r="AD159" s="1547"/>
      <c r="AE159" s="1547"/>
      <c r="AF159" s="1547"/>
      <c r="AG159" s="1547"/>
      <c r="AH159" s="1547"/>
      <c r="AI159" s="467"/>
      <c r="AJ159" s="467"/>
      <c r="AK159" s="467"/>
      <c r="AL159" s="467"/>
      <c r="AM159" s="467"/>
      <c r="AN159" s="467"/>
      <c r="AO159" s="467"/>
    </row>
    <row r="160" spans="1:41">
      <c r="A160" s="467" t="s">
        <v>556</v>
      </c>
      <c r="B160" s="1538">
        <f>+B103+B106</f>
        <v>1948</v>
      </c>
      <c r="C160" s="1538">
        <f t="shared" ref="C160:S160" si="121">+C103+C106</f>
        <v>2207.6999999999998</v>
      </c>
      <c r="D160" s="1538">
        <f t="shared" si="121"/>
        <v>2589.3000000000002</v>
      </c>
      <c r="E160" s="1538">
        <f t="shared" si="121"/>
        <v>2831.7</v>
      </c>
      <c r="F160" s="1538">
        <f t="shared" si="121"/>
        <v>3051.6</v>
      </c>
      <c r="G160" s="1538">
        <f t="shared" si="121"/>
        <v>3896.73</v>
      </c>
      <c r="H160" s="1538">
        <f t="shared" si="121"/>
        <v>6602.3910000000005</v>
      </c>
      <c r="I160" s="1538">
        <f t="shared" si="121"/>
        <v>7140.9589999999998</v>
      </c>
      <c r="J160" s="1538">
        <f t="shared" si="121"/>
        <v>7583.7629999999999</v>
      </c>
      <c r="K160" s="1538">
        <f t="shared" si="121"/>
        <v>8246.5910000000003</v>
      </c>
      <c r="L160" s="1538">
        <f t="shared" si="121"/>
        <v>8791.7790000000005</v>
      </c>
      <c r="M160" s="1538">
        <f t="shared" si="121"/>
        <v>9523.93</v>
      </c>
      <c r="N160" s="1538">
        <f t="shared" si="121"/>
        <v>10278.784</v>
      </c>
      <c r="O160" s="1538">
        <f t="shared" si="121"/>
        <v>11013.539000000001</v>
      </c>
      <c r="P160" s="1538">
        <f t="shared" si="121"/>
        <v>11774.917000000001</v>
      </c>
      <c r="Q160" s="1538">
        <f t="shared" si="121"/>
        <v>12414.524000000001</v>
      </c>
      <c r="R160" s="1538">
        <f t="shared" si="121"/>
        <v>13272.581</v>
      </c>
      <c r="S160" s="1538">
        <f t="shared" si="121"/>
        <v>14007.465</v>
      </c>
      <c r="T160" s="1538">
        <f t="shared" ref="T160:Y160" si="122">+T103+T106</f>
        <v>14501.564999999999</v>
      </c>
      <c r="U160" s="1538">
        <f t="shared" si="122"/>
        <v>15438.775</v>
      </c>
      <c r="V160" s="1538">
        <f t="shared" si="122"/>
        <v>16602.36</v>
      </c>
      <c r="W160" s="1538">
        <f t="shared" si="122"/>
        <v>18047.59</v>
      </c>
      <c r="X160" s="1538">
        <f t="shared" si="122"/>
        <v>19937.400000000001</v>
      </c>
      <c r="Y160" s="1538">
        <f t="shared" si="122"/>
        <v>20807.41</v>
      </c>
      <c r="Z160" s="1538">
        <f t="shared" ref="Z160:AE160" si="123">+Z103+Z106</f>
        <v>21572.42</v>
      </c>
      <c r="AA160" s="1538">
        <f t="shared" si="123"/>
        <v>22802.843999999997</v>
      </c>
      <c r="AB160" s="1538">
        <f t="shared" si="123"/>
        <v>24417.161</v>
      </c>
      <c r="AC160" s="1538">
        <f t="shared" si="123"/>
        <v>25891.386999999999</v>
      </c>
      <c r="AD160" s="1538">
        <f t="shared" si="123"/>
        <v>26711.029628000004</v>
      </c>
      <c r="AE160" s="1538">
        <f t="shared" si="123"/>
        <v>28048.249823732873</v>
      </c>
      <c r="AF160" s="1538">
        <f>+AF103+AF106</f>
        <v>29558.472893950304</v>
      </c>
      <c r="AG160" s="1538">
        <f>+AG103+AG106</f>
        <v>31123.030480281839</v>
      </c>
      <c r="AH160" s="1538">
        <f>+AH103+AH106</f>
        <v>32334.877770470936</v>
      </c>
      <c r="AI160" s="467"/>
      <c r="AJ160" s="467"/>
      <c r="AK160" s="467"/>
      <c r="AL160" s="467"/>
      <c r="AM160" s="467"/>
      <c r="AN160" s="467"/>
      <c r="AO160" s="467"/>
    </row>
    <row r="161" spans="1:41">
      <c r="A161" s="467" t="s">
        <v>252</v>
      </c>
      <c r="B161" s="1538"/>
      <c r="C161" s="1538"/>
      <c r="D161" s="1538"/>
      <c r="E161" s="1538"/>
      <c r="F161" s="1538"/>
      <c r="G161" s="1538">
        <f t="shared" ref="G161:S161" si="124">+SUM(G125,G128)</f>
        <v>187.97399999999999</v>
      </c>
      <c r="H161" s="1538">
        <f t="shared" si="124"/>
        <v>463.41942849999992</v>
      </c>
      <c r="I161" s="1538">
        <f t="shared" si="124"/>
        <v>601.0996419999999</v>
      </c>
      <c r="J161" s="1538">
        <f t="shared" si="124"/>
        <v>793.68600000000004</v>
      </c>
      <c r="K161" s="1538">
        <f t="shared" si="124"/>
        <v>904.47399999999993</v>
      </c>
      <c r="L161" s="1538">
        <f t="shared" si="124"/>
        <v>929.41300000000001</v>
      </c>
      <c r="M161" s="1538">
        <f t="shared" si="124"/>
        <v>952.79</v>
      </c>
      <c r="N161" s="1538">
        <f t="shared" si="124"/>
        <v>973.245</v>
      </c>
      <c r="O161" s="1538">
        <f t="shared" si="124"/>
        <v>1021.835</v>
      </c>
      <c r="P161" s="1538">
        <f t="shared" si="124"/>
        <v>1081.7829999999999</v>
      </c>
      <c r="Q161" s="1538">
        <f t="shared" si="124"/>
        <v>1248.7410800000002</v>
      </c>
      <c r="R161" s="1538">
        <f t="shared" si="124"/>
        <v>1337.7028760000001</v>
      </c>
      <c r="S161" s="1538">
        <f t="shared" si="124"/>
        <v>1417.0730119999998</v>
      </c>
      <c r="T161" s="1538">
        <f t="shared" ref="T161:Y161" si="125">+SUM(T125,T128)</f>
        <v>1471.5509299999999</v>
      </c>
      <c r="U161" s="1538">
        <f t="shared" si="125"/>
        <v>1565.5566200000001</v>
      </c>
      <c r="V161" s="1538">
        <f t="shared" si="125"/>
        <v>1685.3380100000002</v>
      </c>
      <c r="W161" s="1538">
        <f t="shared" si="125"/>
        <v>1831.5597100000002</v>
      </c>
      <c r="X161" s="1538">
        <f t="shared" si="125"/>
        <v>2022.99991</v>
      </c>
      <c r="Y161" s="1538">
        <f t="shared" si="125"/>
        <v>2109.5193400000003</v>
      </c>
      <c r="Z161" s="1538">
        <f t="shared" ref="Z161:AE161" si="126">+SUM(Z125,Z128)</f>
        <v>2186.0826900000002</v>
      </c>
      <c r="AA161" s="1538">
        <f t="shared" si="126"/>
        <v>2308.8305700000001</v>
      </c>
      <c r="AB161" s="1538">
        <f t="shared" si="126"/>
        <v>2473.4273699999999</v>
      </c>
      <c r="AC161" s="1538">
        <f t="shared" si="126"/>
        <v>2625.5615200000002</v>
      </c>
      <c r="AD161" s="1538">
        <f t="shared" si="126"/>
        <v>2710.6630735200006</v>
      </c>
      <c r="AE161" s="1538">
        <f t="shared" si="126"/>
        <v>2847.1434365949426</v>
      </c>
      <c r="AF161" s="1538">
        <f>+SUM(AF125,AF128)</f>
        <v>3001.5989045627762</v>
      </c>
      <c r="AG161" s="1538">
        <f>+SUM(AG125,AG128)</f>
        <v>3161.6071281413178</v>
      </c>
      <c r="AH161" s="1538">
        <f>+SUM(AH125,AH128)</f>
        <v>3285.3707141201944</v>
      </c>
      <c r="AI161" s="467"/>
      <c r="AJ161" s="467"/>
      <c r="AK161" s="467"/>
      <c r="AL161" s="467"/>
      <c r="AM161" s="467"/>
      <c r="AN161" s="467"/>
      <c r="AO161" s="467"/>
    </row>
    <row r="162" spans="1:41">
      <c r="A162" s="467"/>
      <c r="B162" s="1547"/>
      <c r="C162" s="1565"/>
      <c r="D162" s="1565"/>
      <c r="E162" s="1565"/>
      <c r="F162" s="1565"/>
      <c r="G162" s="1565">
        <f t="shared" ref="G162:AC162" si="127">+G161/G160</f>
        <v>4.8238908007483192E-2</v>
      </c>
      <c r="H162" s="1565">
        <f t="shared" si="127"/>
        <v>7.0189637132971966E-2</v>
      </c>
      <c r="I162" s="1565">
        <f t="shared" si="127"/>
        <v>8.4176318894983143E-2</v>
      </c>
      <c r="J162" s="1565">
        <f t="shared" si="127"/>
        <v>0.10465596037217936</v>
      </c>
      <c r="K162" s="1565">
        <f t="shared" si="127"/>
        <v>0.10967853262032759</v>
      </c>
      <c r="L162" s="1565">
        <f t="shared" si="127"/>
        <v>0.10571387201611869</v>
      </c>
      <c r="M162" s="1565">
        <f t="shared" si="127"/>
        <v>0.10004168447269142</v>
      </c>
      <c r="N162" s="1565">
        <f t="shared" si="127"/>
        <v>9.4684838206542721E-2</v>
      </c>
      <c r="O162" s="1565">
        <f t="shared" si="127"/>
        <v>9.2779895726523509E-2</v>
      </c>
      <c r="P162" s="1565">
        <f t="shared" si="127"/>
        <v>9.1871815317254441E-2</v>
      </c>
      <c r="Q162" s="1565">
        <f t="shared" si="127"/>
        <v>0.10058710909898762</v>
      </c>
      <c r="R162" s="1565">
        <f t="shared" si="127"/>
        <v>0.10078694385063464</v>
      </c>
      <c r="S162" s="1565">
        <f t="shared" si="127"/>
        <v>0.10116555793642888</v>
      </c>
      <c r="T162" s="1565">
        <f t="shared" si="127"/>
        <v>0.10147531869836118</v>
      </c>
      <c r="U162" s="1565">
        <f t="shared" si="127"/>
        <v>0.10140419949121611</v>
      </c>
      <c r="V162" s="1565">
        <f t="shared" si="127"/>
        <v>0.10151195432456592</v>
      </c>
      <c r="W162" s="1565">
        <f t="shared" si="127"/>
        <v>0.101485002152642</v>
      </c>
      <c r="X162" s="1565">
        <f t="shared" si="127"/>
        <v>0.10146758905373819</v>
      </c>
      <c r="Y162" s="1565">
        <f t="shared" si="127"/>
        <v>0.10138308131574282</v>
      </c>
      <c r="Z162" s="1565">
        <f t="shared" si="127"/>
        <v>0.10133692418374945</v>
      </c>
      <c r="AA162" s="1565">
        <f>+AA161/AA160</f>
        <v>0.10125186884583345</v>
      </c>
      <c r="AB162" s="1565">
        <f t="shared" si="127"/>
        <v>0.10129872879160685</v>
      </c>
      <c r="AC162" s="1565">
        <f t="shared" si="127"/>
        <v>0.10140675430018485</v>
      </c>
      <c r="AD162" s="1565">
        <f>+AD161/AD160</f>
        <v>0.10148104027702964</v>
      </c>
      <c r="AE162" s="1565">
        <f>+AE161/AE160</f>
        <v>0.10150877343462078</v>
      </c>
      <c r="AF162" s="1565">
        <f>+AF161/AF160</f>
        <v>0.1015478341973854</v>
      </c>
      <c r="AG162" s="1565">
        <f>+AG161/AG160</f>
        <v>0.10158416707345934</v>
      </c>
      <c r="AH162" s="1565">
        <f>+AH161/AH160</f>
        <v>0.1016045502766824</v>
      </c>
      <c r="AI162" s="467"/>
      <c r="AJ162" s="467"/>
      <c r="AK162" s="467"/>
      <c r="AL162" s="467"/>
      <c r="AM162" s="467"/>
      <c r="AN162" s="467"/>
      <c r="AO162" s="467"/>
    </row>
    <row r="163" spans="1:41">
      <c r="A163" s="467"/>
      <c r="B163" s="1547"/>
      <c r="C163" s="1547"/>
      <c r="D163" s="1547"/>
      <c r="E163" s="1547"/>
      <c r="F163" s="1547"/>
      <c r="G163" s="1547"/>
      <c r="H163" s="1547"/>
      <c r="I163" s="1547"/>
      <c r="J163" s="1547"/>
      <c r="K163" s="1547"/>
      <c r="L163" s="1547"/>
      <c r="M163" s="1547"/>
      <c r="N163" s="1547"/>
      <c r="O163" s="1547"/>
      <c r="P163" s="1547"/>
      <c r="Q163" s="1547"/>
      <c r="R163" s="1547"/>
      <c r="S163" s="1547"/>
      <c r="T163" s="1547"/>
      <c r="U163" s="1547"/>
      <c r="V163" s="1547"/>
      <c r="W163" s="1547"/>
      <c r="X163" s="1547"/>
      <c r="Y163" s="1547"/>
      <c r="Z163" s="1547"/>
      <c r="AA163" s="1547"/>
      <c r="AB163" s="1547"/>
      <c r="AC163" s="1547"/>
      <c r="AD163" s="1547"/>
      <c r="AE163" s="1547"/>
      <c r="AF163" s="1547"/>
      <c r="AG163" s="1547"/>
      <c r="AH163" s="1547"/>
      <c r="AI163" s="467"/>
      <c r="AJ163" s="467"/>
      <c r="AK163" s="467"/>
      <c r="AL163" s="467"/>
      <c r="AM163" s="467"/>
      <c r="AN163" s="467"/>
      <c r="AO163" s="467"/>
    </row>
    <row r="164" spans="1:41">
      <c r="A164" s="467"/>
      <c r="B164" s="1547"/>
      <c r="C164" s="1547"/>
      <c r="D164" s="1547"/>
      <c r="E164" s="1547"/>
      <c r="F164" s="1547"/>
      <c r="G164" s="1547"/>
      <c r="H164" s="1547"/>
      <c r="I164" s="1547"/>
      <c r="J164" s="1547"/>
      <c r="K164" s="1547"/>
      <c r="L164" s="1547"/>
      <c r="M164" s="1547"/>
      <c r="N164" s="1547"/>
      <c r="O164" s="1547"/>
      <c r="P164" s="1547"/>
      <c r="Q164" s="1547"/>
      <c r="R164" s="1547"/>
      <c r="S164" s="1547"/>
      <c r="T164" s="1547"/>
      <c r="U164" s="1547"/>
      <c r="V164" s="1547"/>
      <c r="W164" s="1547"/>
      <c r="X164" s="1547"/>
      <c r="Y164" s="1547"/>
      <c r="Z164" s="1547"/>
      <c r="AA164" s="1547"/>
      <c r="AB164" s="1547"/>
      <c r="AC164" s="1547"/>
      <c r="AD164" s="1547"/>
      <c r="AE164" s="1547"/>
      <c r="AF164" s="1547"/>
      <c r="AG164" s="1547"/>
      <c r="AH164" s="1547"/>
      <c r="AI164" s="467"/>
      <c r="AJ164" s="467"/>
      <c r="AK164" s="467"/>
      <c r="AL164" s="467"/>
      <c r="AM164" s="467"/>
      <c r="AN164" s="467"/>
      <c r="AO164" s="467"/>
    </row>
    <row r="165" spans="1:41">
      <c r="A165" s="467" t="s">
        <v>282</v>
      </c>
      <c r="B165" s="1538"/>
      <c r="C165" s="1538"/>
      <c r="D165" s="1538"/>
      <c r="E165" s="1538"/>
      <c r="F165" s="1538"/>
      <c r="G165" s="1538"/>
      <c r="H165" s="1538"/>
      <c r="I165" s="1538"/>
      <c r="J165" s="1538"/>
      <c r="K165" s="1538"/>
      <c r="L165" s="1538"/>
      <c r="M165" s="1538"/>
      <c r="N165" s="1538">
        <f>+N103+N106+N109+N115</f>
        <v>11276.134999999998</v>
      </c>
      <c r="O165" s="1538"/>
      <c r="P165" s="1538"/>
      <c r="Q165" s="1538"/>
      <c r="R165" s="1538"/>
      <c r="S165" s="1538"/>
      <c r="T165" s="1538"/>
      <c r="U165" s="1538"/>
      <c r="V165" s="1538"/>
      <c r="W165" s="1538"/>
      <c r="X165" s="1538"/>
      <c r="Y165" s="1538"/>
      <c r="Z165" s="1538"/>
      <c r="AA165" s="1538"/>
      <c r="AB165" s="1538"/>
      <c r="AC165" s="1538"/>
      <c r="AD165" s="1538"/>
      <c r="AE165" s="1538"/>
      <c r="AF165" s="1538"/>
      <c r="AG165" s="1538"/>
      <c r="AH165" s="1538"/>
      <c r="AI165" s="467"/>
      <c r="AJ165" s="467"/>
      <c r="AK165" s="467"/>
      <c r="AL165" s="467"/>
      <c r="AM165" s="467"/>
      <c r="AN165" s="467"/>
      <c r="AO165" s="467"/>
    </row>
    <row r="166" spans="1:41">
      <c r="A166" s="467"/>
      <c r="B166" s="1538"/>
      <c r="C166" s="1538"/>
      <c r="D166" s="1538"/>
      <c r="E166" s="1538"/>
      <c r="F166" s="1538"/>
      <c r="G166" s="1538"/>
      <c r="H166" s="1538"/>
      <c r="I166" s="1538"/>
      <c r="J166" s="1538"/>
      <c r="K166" s="1538"/>
      <c r="L166" s="1538"/>
      <c r="M166" s="1538"/>
      <c r="N166" s="1538">
        <f>+N165*0.2</f>
        <v>2255.2269999999999</v>
      </c>
      <c r="O166" s="1538"/>
      <c r="P166" s="1538"/>
      <c r="Q166" s="1538"/>
      <c r="R166" s="1538"/>
      <c r="S166" s="1538"/>
      <c r="T166" s="1538"/>
      <c r="U166" s="1538"/>
      <c r="V166" s="1538"/>
      <c r="W166" s="1538"/>
      <c r="X166" s="1538"/>
      <c r="Y166" s="1538"/>
      <c r="Z166" s="1538"/>
      <c r="AA166" s="1538"/>
      <c r="AB166" s="1538"/>
      <c r="AC166" s="1538"/>
      <c r="AD166" s="1538"/>
      <c r="AE166" s="1538"/>
      <c r="AF166" s="1538"/>
      <c r="AG166" s="1538"/>
      <c r="AH166" s="1538"/>
      <c r="AI166" s="467"/>
      <c r="AJ166" s="467"/>
      <c r="AK166" s="467"/>
      <c r="AL166" s="467"/>
      <c r="AM166" s="467"/>
      <c r="AN166" s="467"/>
      <c r="AO166" s="467"/>
    </row>
    <row r="167" spans="1:41">
      <c r="A167" s="467"/>
      <c r="B167" s="1538"/>
      <c r="C167" s="1538"/>
      <c r="D167" s="1538"/>
      <c r="E167" s="1538"/>
      <c r="F167" s="1538"/>
      <c r="G167" s="1538"/>
      <c r="H167" s="1538"/>
      <c r="I167" s="1538"/>
      <c r="J167" s="1538"/>
      <c r="K167" s="1538"/>
      <c r="L167" s="1538"/>
      <c r="M167" s="1538"/>
      <c r="N167" s="1538"/>
      <c r="O167" s="1538"/>
      <c r="P167" s="1538"/>
      <c r="Q167" s="1538"/>
      <c r="R167" s="1538"/>
      <c r="S167" s="1538"/>
      <c r="T167" s="1538"/>
      <c r="U167" s="1538"/>
      <c r="V167" s="1538"/>
      <c r="W167" s="1538"/>
      <c r="X167" s="1538"/>
      <c r="Y167" s="1538"/>
      <c r="Z167" s="1538"/>
      <c r="AA167" s="1538"/>
      <c r="AB167" s="1538"/>
      <c r="AC167" s="1538"/>
      <c r="AD167" s="1538"/>
      <c r="AE167" s="1538"/>
      <c r="AF167" s="1538"/>
      <c r="AG167" s="1538"/>
      <c r="AH167" s="1538"/>
      <c r="AI167" s="467"/>
      <c r="AJ167" s="467"/>
      <c r="AK167" s="467"/>
      <c r="AL167" s="467"/>
      <c r="AM167" s="467"/>
      <c r="AN167" s="467"/>
      <c r="AO167" s="467"/>
    </row>
    <row r="168" spans="1:41">
      <c r="A168" s="467" t="s">
        <v>283</v>
      </c>
      <c r="B168" s="1538"/>
      <c r="C168" s="1538"/>
      <c r="D168" s="1538"/>
      <c r="E168" s="1538"/>
      <c r="F168" s="1538"/>
      <c r="G168" s="1538"/>
      <c r="H168" s="1538"/>
      <c r="I168" s="1538"/>
      <c r="J168" s="1538"/>
      <c r="K168" s="1538"/>
      <c r="L168" s="1538"/>
      <c r="M168" s="1538"/>
      <c r="N168" s="1538">
        <f>+N112</f>
        <v>705.072</v>
      </c>
      <c r="O168" s="1538"/>
      <c r="P168" s="1538"/>
      <c r="Q168" s="1538"/>
      <c r="R168" s="1538"/>
      <c r="S168" s="1538"/>
      <c r="T168" s="1538"/>
      <c r="U168" s="1538"/>
      <c r="V168" s="1538"/>
      <c r="W168" s="1538"/>
      <c r="X168" s="1538"/>
      <c r="Y168" s="1538"/>
      <c r="Z168" s="1538"/>
      <c r="AA168" s="1538"/>
      <c r="AB168" s="1538"/>
      <c r="AC168" s="1538"/>
      <c r="AD168" s="1538"/>
      <c r="AE168" s="1538"/>
      <c r="AF168" s="1538"/>
      <c r="AG168" s="1538"/>
      <c r="AH168" s="1538"/>
      <c r="AI168" s="467"/>
      <c r="AJ168" s="467"/>
      <c r="AK168" s="467"/>
      <c r="AL168" s="467"/>
      <c r="AM168" s="467"/>
      <c r="AN168" s="467"/>
      <c r="AO168" s="467"/>
    </row>
    <row r="169" spans="1:41">
      <c r="A169" s="467"/>
      <c r="B169" s="1538"/>
      <c r="C169" s="1538"/>
      <c r="D169" s="1538"/>
      <c r="E169" s="1538"/>
      <c r="F169" s="1538"/>
      <c r="G169" s="1538"/>
      <c r="H169" s="1538"/>
      <c r="I169" s="1538"/>
      <c r="J169" s="1538"/>
      <c r="K169" s="1538"/>
      <c r="L169" s="1538"/>
      <c r="M169" s="1538"/>
      <c r="N169" s="1538"/>
      <c r="O169" s="1538"/>
      <c r="P169" s="1538"/>
      <c r="Q169" s="1538"/>
      <c r="R169" s="1538"/>
      <c r="S169" s="1538"/>
      <c r="T169" s="1538"/>
      <c r="U169" s="1538"/>
      <c r="V169" s="1538"/>
      <c r="W169" s="1538"/>
      <c r="X169" s="1538"/>
      <c r="Y169" s="1538"/>
      <c r="Z169" s="1538"/>
      <c r="AA169" s="1538"/>
      <c r="AB169" s="1538"/>
      <c r="AC169" s="1538"/>
      <c r="AD169" s="1538"/>
      <c r="AE169" s="1538"/>
      <c r="AF169" s="1538"/>
      <c r="AG169" s="1538"/>
      <c r="AH169" s="1538"/>
      <c r="AI169" s="467"/>
      <c r="AJ169" s="467"/>
      <c r="AK169" s="467"/>
      <c r="AL169" s="467"/>
      <c r="AM169" s="467"/>
      <c r="AN169" s="467"/>
      <c r="AO169" s="467"/>
    </row>
    <row r="170" spans="1:41">
      <c r="A170" s="467"/>
      <c r="B170" s="1538"/>
      <c r="C170" s="1538"/>
      <c r="D170" s="1538"/>
      <c r="E170" s="1538"/>
      <c r="F170" s="1538"/>
      <c r="G170" s="1538"/>
      <c r="H170" s="1538"/>
      <c r="I170" s="1538"/>
      <c r="J170" s="1538"/>
      <c r="K170" s="1538"/>
      <c r="L170" s="1538"/>
      <c r="M170" s="1538"/>
      <c r="N170" s="1538">
        <f>+N165+N168</f>
        <v>11981.206999999999</v>
      </c>
      <c r="O170" s="1538"/>
      <c r="P170" s="1538"/>
      <c r="Q170" s="1538"/>
      <c r="R170" s="1538"/>
      <c r="S170" s="1538"/>
      <c r="T170" s="1538"/>
      <c r="U170" s="1538"/>
      <c r="V170" s="1538"/>
      <c r="W170" s="1538"/>
      <c r="X170" s="1538"/>
      <c r="Y170" s="1538"/>
      <c r="Z170" s="1538"/>
      <c r="AA170" s="1538"/>
      <c r="AB170" s="1538"/>
      <c r="AC170" s="1538"/>
      <c r="AD170" s="1538"/>
      <c r="AE170" s="1538"/>
      <c r="AF170" s="1538"/>
      <c r="AG170" s="1538"/>
      <c r="AH170" s="1538"/>
      <c r="AI170" s="467"/>
      <c r="AJ170" s="467"/>
      <c r="AK170" s="467"/>
      <c r="AL170" s="467"/>
      <c r="AM170" s="467"/>
      <c r="AN170" s="467"/>
      <c r="AO170" s="467"/>
    </row>
    <row r="171" spans="1:41">
      <c r="A171" s="467"/>
      <c r="B171" s="1538"/>
      <c r="C171" s="1538"/>
      <c r="D171" s="1538"/>
      <c r="E171" s="1538"/>
      <c r="F171" s="1538"/>
      <c r="G171" s="1538"/>
      <c r="H171" s="1538"/>
      <c r="I171" s="1538"/>
      <c r="J171" s="1538"/>
      <c r="K171" s="1538"/>
      <c r="L171" s="1538"/>
      <c r="M171" s="1538"/>
      <c r="N171" s="1538">
        <f>+N168+N166</f>
        <v>2960.299</v>
      </c>
      <c r="O171" s="1538"/>
      <c r="P171" s="1538"/>
      <c r="Q171" s="1538"/>
      <c r="R171" s="1538"/>
      <c r="S171" s="1538"/>
      <c r="T171" s="1538"/>
      <c r="U171" s="1538"/>
      <c r="V171" s="1538"/>
      <c r="W171" s="1538"/>
      <c r="X171" s="1538"/>
      <c r="Y171" s="1538"/>
      <c r="Z171" s="1538"/>
      <c r="AA171" s="1538"/>
      <c r="AB171" s="1538"/>
      <c r="AC171" s="1538"/>
      <c r="AD171" s="1538"/>
      <c r="AE171" s="1538"/>
      <c r="AF171" s="1538"/>
      <c r="AG171" s="1538"/>
      <c r="AH171" s="1538"/>
      <c r="AI171" s="467"/>
      <c r="AJ171" s="467"/>
      <c r="AK171" s="467"/>
      <c r="AL171" s="467"/>
      <c r="AM171" s="467"/>
      <c r="AN171" s="467"/>
      <c r="AO171" s="467"/>
    </row>
    <row r="172" spans="1:41">
      <c r="A172" s="467"/>
      <c r="B172" s="1547"/>
      <c r="C172" s="1565"/>
      <c r="D172" s="1565"/>
      <c r="E172" s="1565"/>
      <c r="F172" s="1565"/>
      <c r="G172" s="1565"/>
      <c r="H172" s="1565"/>
      <c r="I172" s="1565"/>
      <c r="J172" s="1565"/>
      <c r="K172" s="1565"/>
      <c r="L172" s="1565"/>
      <c r="M172" s="1565"/>
      <c r="N172" s="1565">
        <f>+N171/N170</f>
        <v>0.24707852889946733</v>
      </c>
      <c r="O172" s="1565"/>
      <c r="P172" s="1565"/>
      <c r="Q172" s="1565"/>
      <c r="R172" s="1565"/>
      <c r="S172" s="1565"/>
      <c r="T172" s="1565"/>
      <c r="U172" s="1565"/>
      <c r="V172" s="1565"/>
      <c r="W172" s="1565"/>
      <c r="X172" s="1565"/>
      <c r="Y172" s="1565"/>
      <c r="Z172" s="1565"/>
      <c r="AA172" s="1565"/>
      <c r="AB172" s="1565"/>
      <c r="AC172" s="1565"/>
      <c r="AD172" s="1565"/>
      <c r="AE172" s="1565"/>
      <c r="AF172" s="1565"/>
      <c r="AG172" s="1565"/>
      <c r="AH172" s="1565"/>
      <c r="AI172" s="467"/>
      <c r="AJ172" s="467"/>
      <c r="AK172" s="467"/>
      <c r="AL172" s="467"/>
      <c r="AM172" s="467"/>
      <c r="AN172" s="467"/>
      <c r="AO172" s="467"/>
    </row>
  </sheetData>
  <phoneticPr fontId="0" type="noConversion"/>
  <dataValidations count="1">
    <dataValidation type="custom" allowBlank="1" showInputMessage="1" showErrorMessage="1" sqref="AL4 AN4:AN5 AJ5:AM5 AJ101:AN101 AO127:AO137 AO112:AO115 AO65:AO71 AO145:AO159 AO170:AO171 AO139:AO143 AO76:AO97 AO73 AO117 AO101:AO110 AO163:AO168 AO120:AO125">
      <formula1>-1</formula1>
    </dataValidation>
  </dataValidations>
  <printOptions horizontalCentered="1"/>
  <pageMargins left="0.4" right="0.4" top="0.5" bottom="0.25" header="0.5" footer="0.5"/>
  <pageSetup scale="81" orientation="landscape" r:id="rId1"/>
  <headerFooter alignWithMargins="0">
    <oddFooter>&amp;R&amp;8&amp;D
&amp;A</oddFooter>
  </headerFooter>
  <rowBreaks count="1" manualBreakCount="1">
    <brk id="95" max="30" man="1"/>
  </rowBreaks>
  <ignoredErrors>
    <ignoredError sqref="V116" evalError="1"/>
    <ignoredError sqref="R37 AC37 S44" formula="1"/>
  </ignoredError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Z353"/>
  <sheetViews>
    <sheetView zoomScaleNormal="100" workbookViewId="0">
      <selection activeCell="V279" sqref="V279"/>
    </sheetView>
  </sheetViews>
  <sheetFormatPr defaultRowHeight="12.75" outlineLevelRow="2" outlineLevelCol="1"/>
  <cols>
    <col min="1" max="1" width="25.7109375" style="451" customWidth="1"/>
    <col min="2" max="6" width="9.85546875" style="451" hidden="1" customWidth="1" outlineLevel="1"/>
    <col min="7" max="7" width="9.7109375" style="451" hidden="1" customWidth="1" outlineLevel="1"/>
    <col min="8" max="9" width="8.5703125" style="451" hidden="1" customWidth="1" outlineLevel="1" collapsed="1"/>
    <col min="10" max="10" width="9" style="451" hidden="1" customWidth="1" outlineLevel="1"/>
    <col min="11" max="11" width="9" style="451" hidden="1" customWidth="1" outlineLevel="1" collapsed="1"/>
    <col min="12" max="13" width="8.42578125" style="451" hidden="1" customWidth="1" outlineLevel="1" collapsed="1"/>
    <col min="14" max="14" width="9" style="451" hidden="1" customWidth="1" outlineLevel="1" collapsed="1"/>
    <col min="15" max="15" width="9.42578125" style="451" hidden="1" customWidth="1" outlineLevel="1"/>
    <col min="16" max="16" width="9.140625" style="451" hidden="1" customWidth="1" outlineLevel="1" collapsed="1"/>
    <col min="17" max="20" width="9.140625" style="451" hidden="1" customWidth="1" outlineLevel="1"/>
    <col min="21" max="21" width="9.140625" style="451" collapsed="1"/>
    <col min="22" max="27" width="9.140625" style="451"/>
    <col min="28" max="29" width="9.85546875" style="451" customWidth="1"/>
    <col min="30" max="34" width="8.140625" style="451" bestFit="1" customWidth="1"/>
    <col min="35" max="35" width="7.28515625" style="451" customWidth="1"/>
    <col min="36" max="36" width="1.5703125" style="451" customWidth="1"/>
    <col min="37" max="37" width="8.5703125" style="451" customWidth="1"/>
    <col min="38" max="38" width="2.140625" style="451" customWidth="1"/>
    <col min="39" max="39" width="7.85546875" style="451" bestFit="1" customWidth="1"/>
    <col min="40" max="40" width="2.140625" style="451" customWidth="1"/>
    <col min="41" max="41" width="7.85546875" style="451" bestFit="1" customWidth="1"/>
    <col min="42" max="43" width="2.28515625" style="451" customWidth="1"/>
    <col min="44" max="44" width="2.85546875" style="451" hidden="1" customWidth="1" outlineLevel="1"/>
    <col min="45" max="45" width="17.7109375" style="451" hidden="1" customWidth="1" outlineLevel="1"/>
    <col min="46" max="51" width="9.7109375" style="451" hidden="1" customWidth="1" outlineLevel="1"/>
    <col min="52" max="52" width="9.140625" style="451" collapsed="1"/>
    <col min="53" max="16384" width="9.140625" style="451"/>
  </cols>
  <sheetData>
    <row r="1" spans="1:51">
      <c r="A1" s="693" t="s">
        <v>379</v>
      </c>
      <c r="B1" s="1421"/>
      <c r="C1" s="1421"/>
      <c r="D1" s="1421"/>
      <c r="E1" s="1421"/>
      <c r="F1" s="1421"/>
      <c r="G1" s="1421"/>
      <c r="H1" s="1421"/>
      <c r="I1" s="1421"/>
      <c r="J1" s="1421"/>
      <c r="K1" s="1421"/>
      <c r="L1" s="1421"/>
      <c r="M1" s="1421"/>
      <c r="N1" s="1421"/>
      <c r="O1" s="1421"/>
      <c r="P1" s="467"/>
      <c r="Q1" s="467"/>
      <c r="R1" s="467"/>
      <c r="S1" s="467"/>
      <c r="T1" s="552"/>
      <c r="U1" s="552"/>
      <c r="V1" s="552"/>
      <c r="W1" s="1422"/>
      <c r="X1" s="1422"/>
      <c r="Y1" s="1422"/>
      <c r="Z1" s="1422"/>
      <c r="AA1" s="1422"/>
      <c r="AB1" s="1422"/>
      <c r="AC1" s="1422"/>
      <c r="AD1" s="1422"/>
      <c r="AE1" s="1422"/>
      <c r="AF1" s="1422"/>
      <c r="AG1" s="1422"/>
      <c r="AH1" s="1422"/>
      <c r="AI1" s="1423"/>
      <c r="AJ1" s="1421"/>
      <c r="AK1" s="1421"/>
      <c r="AL1" s="1421"/>
      <c r="AM1" s="1421"/>
      <c r="AN1" s="1421"/>
      <c r="AO1" s="1421"/>
      <c r="AP1" s="1421"/>
      <c r="AQ1" s="1421"/>
      <c r="AR1" s="1423"/>
      <c r="AS1" s="1421"/>
      <c r="AT1" s="1421"/>
      <c r="AU1" s="1421"/>
      <c r="AV1" s="1421"/>
      <c r="AW1" s="1421"/>
      <c r="AX1" s="1421"/>
      <c r="AY1" s="1421"/>
    </row>
    <row r="2" spans="1:51">
      <c r="A2" s="1424" t="s">
        <v>859</v>
      </c>
      <c r="B2" s="1425"/>
      <c r="C2" s="1425"/>
      <c r="D2" s="1425"/>
      <c r="E2" s="1425"/>
      <c r="F2" s="1425"/>
      <c r="G2" s="1425"/>
      <c r="H2" s="1425"/>
      <c r="I2" s="1425"/>
      <c r="J2" s="1425"/>
      <c r="K2" s="1425"/>
      <c r="L2" s="1425"/>
      <c r="M2" s="1425"/>
      <c r="N2" s="1425"/>
      <c r="O2" s="1425"/>
      <c r="P2" s="1425"/>
      <c r="Q2" s="1425"/>
      <c r="R2" s="1425"/>
      <c r="S2" s="1425"/>
      <c r="T2" s="1425"/>
      <c r="U2" s="1425"/>
      <c r="V2" s="1425"/>
      <c r="W2" s="1425"/>
      <c r="X2" s="1425"/>
      <c r="Y2" s="1425"/>
      <c r="Z2" s="1425"/>
      <c r="AA2" s="1425"/>
      <c r="AB2" s="1425"/>
      <c r="AC2" s="1425"/>
      <c r="AD2" s="1425"/>
      <c r="AE2" s="1425"/>
      <c r="AF2" s="1425"/>
      <c r="AG2" s="1425"/>
      <c r="AH2" s="1425"/>
      <c r="AI2" s="1425"/>
      <c r="AJ2" s="1425"/>
      <c r="AK2" s="1425"/>
      <c r="AL2" s="1425"/>
      <c r="AM2" s="1425"/>
      <c r="AN2" s="1425"/>
      <c r="AO2" s="1425"/>
      <c r="AP2" s="1425"/>
      <c r="AQ2" s="1423"/>
      <c r="AR2" s="1423"/>
      <c r="AS2" s="1421"/>
      <c r="AT2" s="1421"/>
      <c r="AU2" s="1421"/>
      <c r="AV2" s="1421"/>
      <c r="AW2" s="1421"/>
      <c r="AX2" s="1421"/>
      <c r="AY2" s="1421"/>
    </row>
    <row r="3" spans="1:51">
      <c r="A3" s="1426"/>
      <c r="B3" s="1423"/>
      <c r="C3" s="1423"/>
      <c r="D3" s="1423"/>
      <c r="E3" s="1423"/>
      <c r="F3" s="1423"/>
      <c r="G3" s="1423"/>
      <c r="H3" s="1423"/>
      <c r="I3" s="1423"/>
      <c r="J3" s="1423"/>
      <c r="K3" s="1423"/>
      <c r="L3" s="1423"/>
      <c r="M3" s="1423"/>
      <c r="N3" s="1423"/>
      <c r="O3" s="1423"/>
      <c r="P3" s="1423"/>
      <c r="Q3" s="1423"/>
      <c r="R3" s="1423"/>
      <c r="S3" s="1423"/>
      <c r="T3" s="1423"/>
      <c r="U3" s="1423"/>
      <c r="V3" s="1423"/>
      <c r="W3" s="1423"/>
      <c r="X3" s="1423"/>
      <c r="Y3" s="1423"/>
      <c r="Z3" s="1423"/>
      <c r="AA3" s="1423"/>
      <c r="AB3" s="1423"/>
      <c r="AC3" s="1423"/>
      <c r="AD3" s="1423"/>
      <c r="AE3" s="1423"/>
      <c r="AF3" s="1423"/>
      <c r="AG3" s="1423"/>
      <c r="AH3" s="1423"/>
      <c r="AI3" s="1423"/>
      <c r="AJ3" s="1423"/>
      <c r="AK3" s="1423"/>
      <c r="AL3" s="1423"/>
      <c r="AM3" s="1423"/>
      <c r="AN3" s="1423"/>
      <c r="AO3" s="1423"/>
      <c r="AP3" s="1423"/>
      <c r="AQ3" s="1423"/>
      <c r="AR3" s="1423"/>
      <c r="AS3" s="1421"/>
      <c r="AT3" s="1421"/>
      <c r="AU3" s="1421"/>
      <c r="AV3" s="1421"/>
      <c r="AW3" s="1421"/>
      <c r="AX3" s="1421"/>
      <c r="AY3" s="1421"/>
    </row>
    <row r="4" spans="1:51" ht="12.75" customHeight="1">
      <c r="A4" s="1427"/>
      <c r="B4" s="1421"/>
      <c r="C4" s="1421"/>
      <c r="D4" s="1421"/>
      <c r="E4" s="1421"/>
      <c r="F4" s="1421"/>
      <c r="G4" s="1421"/>
      <c r="H4" s="1421"/>
      <c r="I4" s="1421"/>
      <c r="J4" s="1421"/>
      <c r="K4" s="1421"/>
      <c r="L4" s="1421"/>
      <c r="M4" s="1421"/>
      <c r="N4" s="1421"/>
      <c r="O4" s="1421"/>
      <c r="P4" s="1421"/>
      <c r="Q4" s="1421"/>
      <c r="R4" s="1421"/>
      <c r="S4" s="1421"/>
      <c r="T4" s="1421"/>
      <c r="U4" s="1421"/>
      <c r="V4" s="1421"/>
      <c r="W4" s="1421"/>
      <c r="X4" s="1421"/>
      <c r="Y4" s="1421"/>
      <c r="Z4" s="1421"/>
      <c r="AA4" s="1421"/>
      <c r="AB4" s="1428"/>
      <c r="AC4" s="1428"/>
      <c r="AD4" s="1428"/>
      <c r="AE4" s="1428"/>
      <c r="AF4" s="1428"/>
      <c r="AG4" s="1428"/>
      <c r="AH4" s="1428"/>
      <c r="AI4" s="1429"/>
      <c r="AJ4" s="1430"/>
      <c r="AK4" s="1431" t="s">
        <v>188</v>
      </c>
      <c r="AL4" s="1432"/>
      <c r="AM4" s="1432"/>
      <c r="AN4" s="1432"/>
      <c r="AO4" s="1432"/>
      <c r="AP4" s="1433" t="s">
        <v>164</v>
      </c>
      <c r="AQ4" s="1429"/>
      <c r="AR4" s="1423"/>
      <c r="AS4" s="1421"/>
      <c r="AT4" s="1421"/>
      <c r="AU4" s="1421"/>
      <c r="AV4" s="1421"/>
      <c r="AW4" s="1421"/>
      <c r="AX4" s="1421"/>
      <c r="AY4" s="1421"/>
    </row>
    <row r="5" spans="1:51">
      <c r="A5" s="1434"/>
      <c r="B5" s="1435">
        <v>1990</v>
      </c>
      <c r="C5" s="1436">
        <f t="shared" ref="C5:K5" si="0">B5+1</f>
        <v>1991</v>
      </c>
      <c r="D5" s="1436">
        <f t="shared" si="0"/>
        <v>1992</v>
      </c>
      <c r="E5" s="1436">
        <f t="shared" si="0"/>
        <v>1993</v>
      </c>
      <c r="F5" s="1436">
        <f t="shared" si="0"/>
        <v>1994</v>
      </c>
      <c r="G5" s="1436">
        <f t="shared" si="0"/>
        <v>1995</v>
      </c>
      <c r="H5" s="1436">
        <f t="shared" si="0"/>
        <v>1996</v>
      </c>
      <c r="I5" s="1436">
        <f t="shared" si="0"/>
        <v>1997</v>
      </c>
      <c r="J5" s="1436">
        <f>I5+1</f>
        <v>1998</v>
      </c>
      <c r="K5" s="1436">
        <f t="shared" si="0"/>
        <v>1999</v>
      </c>
      <c r="L5" s="1436">
        <v>2000</v>
      </c>
      <c r="M5" s="1436">
        <f t="shared" ref="M5:S5" si="1">L5+1</f>
        <v>2001</v>
      </c>
      <c r="N5" s="1436">
        <f t="shared" si="1"/>
        <v>2002</v>
      </c>
      <c r="O5" s="1436">
        <f t="shared" si="1"/>
        <v>2003</v>
      </c>
      <c r="P5" s="1436">
        <f t="shared" si="1"/>
        <v>2004</v>
      </c>
      <c r="Q5" s="1437">
        <f t="shared" si="1"/>
        <v>2005</v>
      </c>
      <c r="R5" s="1437">
        <f t="shared" si="1"/>
        <v>2006</v>
      </c>
      <c r="S5" s="1437">
        <f t="shared" si="1"/>
        <v>2007</v>
      </c>
      <c r="T5" s="1437">
        <f t="shared" ref="T5:AA5" si="2">S5+1</f>
        <v>2008</v>
      </c>
      <c r="U5" s="1437">
        <f t="shared" si="2"/>
        <v>2009</v>
      </c>
      <c r="V5" s="1437">
        <f t="shared" si="2"/>
        <v>2010</v>
      </c>
      <c r="W5" s="1437">
        <f t="shared" si="2"/>
        <v>2011</v>
      </c>
      <c r="X5" s="1437">
        <f t="shared" si="2"/>
        <v>2012</v>
      </c>
      <c r="Y5" s="1437">
        <f t="shared" si="2"/>
        <v>2013</v>
      </c>
      <c r="Z5" s="1437">
        <f t="shared" si="2"/>
        <v>2014</v>
      </c>
      <c r="AA5" s="1437">
        <f t="shared" si="2"/>
        <v>2015</v>
      </c>
      <c r="AB5" s="1436">
        <f t="shared" ref="AB5:AH5" si="3">AA5+1</f>
        <v>2016</v>
      </c>
      <c r="AC5" s="1436">
        <f t="shared" si="3"/>
        <v>2017</v>
      </c>
      <c r="AD5" s="1438">
        <f t="shared" si="3"/>
        <v>2018</v>
      </c>
      <c r="AE5" s="1438">
        <f t="shared" si="3"/>
        <v>2019</v>
      </c>
      <c r="AF5" s="1438">
        <f t="shared" si="3"/>
        <v>2020</v>
      </c>
      <c r="AG5" s="1438">
        <f t="shared" si="3"/>
        <v>2021</v>
      </c>
      <c r="AH5" s="1438">
        <f t="shared" si="3"/>
        <v>2022</v>
      </c>
      <c r="AI5" s="1439"/>
      <c r="AJ5" s="1440"/>
      <c r="AK5" s="2076" t="s">
        <v>855</v>
      </c>
      <c r="AL5" s="1423"/>
      <c r="AM5" s="1442" t="s">
        <v>853</v>
      </c>
      <c r="AN5" s="1423"/>
      <c r="AO5" s="1442" t="s">
        <v>854</v>
      </c>
      <c r="AP5" s="1443"/>
      <c r="AQ5" s="1429"/>
      <c r="AR5" s="1423"/>
      <c r="AS5" s="1425"/>
      <c r="AT5" s="1436">
        <f t="shared" ref="AT5:AY5" si="4">+N5</f>
        <v>2002</v>
      </c>
      <c r="AU5" s="1444">
        <f t="shared" si="4"/>
        <v>2003</v>
      </c>
      <c r="AV5" s="1444">
        <f t="shared" si="4"/>
        <v>2004</v>
      </c>
      <c r="AW5" s="1444">
        <f t="shared" si="4"/>
        <v>2005</v>
      </c>
      <c r="AX5" s="1444">
        <f t="shared" si="4"/>
        <v>2006</v>
      </c>
      <c r="AY5" s="1444">
        <f t="shared" si="4"/>
        <v>2007</v>
      </c>
    </row>
    <row r="6" spans="1:51">
      <c r="A6" s="1421"/>
      <c r="B6" s="1421"/>
      <c r="C6" s="1421"/>
      <c r="D6" s="1421"/>
      <c r="E6" s="1421"/>
      <c r="F6" s="1421"/>
      <c r="G6" s="1421"/>
      <c r="H6" s="1445"/>
      <c r="I6" s="1445"/>
      <c r="J6" s="1421"/>
      <c r="K6" s="1421"/>
      <c r="L6" s="1421"/>
      <c r="M6" s="1421"/>
      <c r="N6" s="1421"/>
      <c r="O6" s="1421"/>
      <c r="P6" s="1421"/>
      <c r="Q6" s="1421"/>
      <c r="R6" s="1421"/>
      <c r="S6" s="1421"/>
      <c r="T6" s="1446"/>
      <c r="U6" s="1446"/>
      <c r="V6" s="1447">
        <f>V7-V8</f>
        <v>609.42199999999502</v>
      </c>
      <c r="W6" s="1421"/>
      <c r="X6" s="1421"/>
      <c r="Y6" s="1421"/>
      <c r="Z6" s="1421"/>
      <c r="AA6" s="1421"/>
      <c r="AB6" s="1421"/>
      <c r="AC6" s="1421"/>
      <c r="AD6" s="1421"/>
      <c r="AE6" s="1421"/>
      <c r="AF6" s="1421"/>
      <c r="AG6" s="1421"/>
      <c r="AH6" s="1421"/>
      <c r="AI6" s="1423"/>
      <c r="AJ6" s="1448"/>
      <c r="AK6" s="1423"/>
      <c r="AL6" s="1423"/>
      <c r="AM6" s="1423"/>
      <c r="AN6" s="1423"/>
      <c r="AO6" s="1423"/>
      <c r="AP6" s="1449"/>
      <c r="AQ6" s="1423"/>
      <c r="AR6" s="1423" t="s">
        <v>302</v>
      </c>
      <c r="AS6" s="1423"/>
      <c r="AT6" s="1423"/>
      <c r="AU6" s="1421"/>
      <c r="AV6" s="1421"/>
      <c r="AW6" s="1421"/>
      <c r="AX6" s="1421"/>
      <c r="AY6" s="1421"/>
    </row>
    <row r="7" spans="1:51">
      <c r="A7" s="1450" t="s">
        <v>130</v>
      </c>
      <c r="B7" s="1451">
        <f>'qtrP&amp;L'!F14</f>
        <v>2446.279</v>
      </c>
      <c r="C7" s="1451">
        <f>'qtrP&amp;L'!J14</f>
        <v>2757.7150000000001</v>
      </c>
      <c r="D7" s="1451">
        <f>'qtrP&amp;L'!N14</f>
        <v>3261.24</v>
      </c>
      <c r="E7" s="1451">
        <f>'qtrP&amp;L'!R14</f>
        <v>2832.0699999999997</v>
      </c>
      <c r="F7" s="1451">
        <f>'qtrP&amp;L'!V14</f>
        <v>3055.5730000000003</v>
      </c>
      <c r="G7" s="1451">
        <f>'qtrP&amp;L'!Z14</f>
        <v>3975.1149999999998</v>
      </c>
      <c r="H7" s="1451">
        <f>'qtrP&amp;L'!AD14</f>
        <v>6689.41</v>
      </c>
      <c r="I7" s="1451">
        <f>'qtrP&amp;L'!AH14</f>
        <v>7389.0690000000004</v>
      </c>
      <c r="J7" s="1451">
        <f>'qtrP&amp;L'!AL14</f>
        <v>7948.8710000000001</v>
      </c>
      <c r="K7" s="1451">
        <f>'qtrP&amp;L'!AP14</f>
        <v>8795.3469999999998</v>
      </c>
      <c r="L7" s="1451">
        <f>'qtrP&amp;L'!AT14</f>
        <v>9579.0059999999994</v>
      </c>
      <c r="M7" s="1451">
        <f>qtrSales!S93</f>
        <v>10708.998</v>
      </c>
      <c r="N7" s="1451">
        <f>qtrSales!S100</f>
        <v>11981.206999999999</v>
      </c>
      <c r="O7" s="1451">
        <f>qtrSales!S107</f>
        <v>13327.938</v>
      </c>
      <c r="P7" s="1451">
        <f>qtrSales!S114</f>
        <v>14913.483</v>
      </c>
      <c r="Q7" s="1451">
        <f>qtrSales!S121</f>
        <v>16057.935000000001</v>
      </c>
      <c r="R7" s="1451">
        <f>+'qtrP&amp;L'!BR14</f>
        <v>17404.637000000002</v>
      </c>
      <c r="S7" s="1451">
        <f>'qtrP&amp;L'!BV14</f>
        <v>18471.973000000002</v>
      </c>
      <c r="T7" s="1451">
        <f>'qtrP&amp;L'!BZ14</f>
        <v>18999.504999999997</v>
      </c>
      <c r="U7" s="1451">
        <f>'qtrP&amp;L'!CD14</f>
        <v>20288.444</v>
      </c>
      <c r="V7" s="1451">
        <f>'qtrP&amp;L'!$CH$14</f>
        <v>21663.250999999997</v>
      </c>
      <c r="W7" s="1451">
        <f>'qtrP&amp;L'!$CL$14</f>
        <v>23182.226000000002</v>
      </c>
      <c r="X7" s="1451">
        <f>'qtrP&amp;L'!$CP$14</f>
        <v>25878.372000000003</v>
      </c>
      <c r="Y7" s="1451">
        <f>'qtrP&amp;L'!$CT$14</f>
        <v>27422.696</v>
      </c>
      <c r="Z7" s="1451">
        <f>'qtrP&amp;L'!$CX$14</f>
        <v>29078.406999999999</v>
      </c>
      <c r="AA7" s="1451">
        <f>'qtrP&amp;L'!$DB$14</f>
        <v>30944.937999999998</v>
      </c>
      <c r="AB7" s="1451">
        <f>'qtrP&amp;L'!$DF$14</f>
        <v>33183.744000000006</v>
      </c>
      <c r="AC7" s="1451">
        <f>'qtrP&amp;L'!DJ14</f>
        <v>35864.664000000004</v>
      </c>
      <c r="AD7" s="1451">
        <f>'qtrP&amp;L'!DN14</f>
        <v>37841.806575399998</v>
      </c>
      <c r="AE7" s="1452">
        <f>AE8</f>
        <v>40349.954267377965</v>
      </c>
      <c r="AF7" s="1452">
        <f>AF8</f>
        <v>42916.398280294125</v>
      </c>
      <c r="AG7" s="1452">
        <f>AG8</f>
        <v>45594.715622506541</v>
      </c>
      <c r="AH7" s="1452">
        <f>AH8</f>
        <v>47688.619280686566</v>
      </c>
      <c r="AI7" s="1423"/>
      <c r="AJ7" s="1448"/>
      <c r="AK7" s="1453">
        <f>((X7/S7)^(1/5)-1)*100</f>
        <v>6.975600558950612</v>
      </c>
      <c r="AL7" s="1454" t="s">
        <v>190</v>
      </c>
      <c r="AM7" s="1453">
        <f>((AC7/X7)^(1/5)-1)*100</f>
        <v>6.7446120051128933</v>
      </c>
      <c r="AN7" s="1454" t="s">
        <v>190</v>
      </c>
      <c r="AO7" s="1455">
        <f>((AH7/AC7)^(1/5)-1)*100</f>
        <v>5.8643161408891142</v>
      </c>
      <c r="AP7" s="1449" t="s">
        <v>190</v>
      </c>
      <c r="AQ7" s="1423"/>
      <c r="AR7" s="1456" t="s">
        <v>301</v>
      </c>
      <c r="AS7" s="1456"/>
      <c r="AT7" s="1451">
        <f t="shared" ref="AT7:AY7" si="5">+N7</f>
        <v>11981.206999999999</v>
      </c>
      <c r="AU7" s="1451">
        <f t="shared" si="5"/>
        <v>13327.938</v>
      </c>
      <c r="AV7" s="1451">
        <f t="shared" si="5"/>
        <v>14913.483</v>
      </c>
      <c r="AW7" s="1451">
        <f t="shared" si="5"/>
        <v>16057.935000000001</v>
      </c>
      <c r="AX7" s="1451">
        <f t="shared" si="5"/>
        <v>17404.637000000002</v>
      </c>
      <c r="AY7" s="1451">
        <f t="shared" si="5"/>
        <v>18471.973000000002</v>
      </c>
    </row>
    <row r="8" spans="1:51" outlineLevel="1">
      <c r="A8" s="1457" t="s">
        <v>167</v>
      </c>
      <c r="B8" s="1458">
        <f>+B65+B138+B194+B236</f>
        <v>1948</v>
      </c>
      <c r="C8" s="1458">
        <f>+C65+C138+C194+C236</f>
        <v>2207.6999999999998</v>
      </c>
      <c r="D8" s="1458">
        <f>+D65+D138+D194+D236</f>
        <v>2589.3000000000002</v>
      </c>
      <c r="E8" s="1458">
        <f>+E65+E138+E236</f>
        <v>2831.7</v>
      </c>
      <c r="F8" s="1458">
        <f>+F65+F138+F236</f>
        <v>3051.6</v>
      </c>
      <c r="G8" s="1458">
        <f>+G65+G138+G236</f>
        <v>3975.1350000000002</v>
      </c>
      <c r="H8" s="1458">
        <f>+H65+H138+H236</f>
        <v>6689.4100000000008</v>
      </c>
      <c r="I8" s="1458" t="e">
        <f t="shared" ref="I8:N8" si="6">+I65+I138+I194+I236+I278</f>
        <v>#VALUE!</v>
      </c>
      <c r="J8" s="1458">
        <f t="shared" si="6"/>
        <v>7949.1009999999997</v>
      </c>
      <c r="K8" s="1458">
        <f t="shared" si="6"/>
        <v>8795.3469999999998</v>
      </c>
      <c r="L8" s="1458">
        <f t="shared" si="6"/>
        <v>9579.0059999999994</v>
      </c>
      <c r="M8" s="1458">
        <f t="shared" si="6"/>
        <v>10708.998</v>
      </c>
      <c r="N8" s="1458">
        <f t="shared" si="6"/>
        <v>11981.206999999999</v>
      </c>
      <c r="O8" s="1458">
        <f>+O65+O138+O194+O236+O278+O319</f>
        <v>13327.938</v>
      </c>
      <c r="P8" s="1458">
        <f>+P65+P138+P194+P236+P278+P319</f>
        <v>14913.483000000002</v>
      </c>
      <c r="Q8" s="1458">
        <f>+Q65+Q138+Q194+Q236+Q278+Q319</f>
        <v>16022.913</v>
      </c>
      <c r="R8" s="1458">
        <f>+R65+R138+R194+R236+R278+R319</f>
        <v>17404.637000000002</v>
      </c>
      <c r="S8" s="1458">
        <f>+S65+S138+S194+S236+S278+S319</f>
        <v>18647.126000000004</v>
      </c>
      <c r="T8" s="1458">
        <f>+T65+T138+T194+T236+T278</f>
        <v>18999.505000000001</v>
      </c>
      <c r="U8" s="1458">
        <f>+U65+U138+U194+U236+U278</f>
        <v>19508.632999999998</v>
      </c>
      <c r="V8" s="1458">
        <f>+V65+V138+V194+V236+V278</f>
        <v>21053.829000000002</v>
      </c>
      <c r="W8" s="1458">
        <f t="shared" ref="W8:AH8" si="7">+W65+W138+W194+W236</f>
        <v>23182.225999999999</v>
      </c>
      <c r="X8" s="1458">
        <f t="shared" si="7"/>
        <v>25878.372000000003</v>
      </c>
      <c r="Y8" s="1458">
        <f t="shared" si="7"/>
        <v>27422.696</v>
      </c>
      <c r="Z8" s="1458">
        <f t="shared" si="7"/>
        <v>29079.453999999998</v>
      </c>
      <c r="AA8" s="1458">
        <f t="shared" si="7"/>
        <v>30944.937999999998</v>
      </c>
      <c r="AB8" s="1458">
        <f t="shared" si="7"/>
        <v>33183.744000000006</v>
      </c>
      <c r="AC8" s="1458">
        <f t="shared" si="7"/>
        <v>35864.663999999997</v>
      </c>
      <c r="AD8" s="1458">
        <f t="shared" si="7"/>
        <v>37841.806575400005</v>
      </c>
      <c r="AE8" s="1458">
        <f t="shared" si="7"/>
        <v>40349.954267377965</v>
      </c>
      <c r="AF8" s="1458">
        <f t="shared" si="7"/>
        <v>42916.398280294125</v>
      </c>
      <c r="AG8" s="1458">
        <f t="shared" si="7"/>
        <v>45594.715622506541</v>
      </c>
      <c r="AH8" s="1458">
        <f t="shared" si="7"/>
        <v>47688.619280686566</v>
      </c>
      <c r="AI8" s="1423"/>
      <c r="AJ8" s="1448"/>
      <c r="AK8" s="1453"/>
      <c r="AL8" s="1454"/>
      <c r="AM8" s="1423"/>
      <c r="AN8" s="1454"/>
      <c r="AO8" s="1423"/>
      <c r="AP8" s="1459"/>
      <c r="AQ8" s="1454"/>
      <c r="AR8" s="1456"/>
      <c r="AS8" s="1456"/>
      <c r="AT8" s="1423"/>
      <c r="AU8" s="1421"/>
      <c r="AV8" s="1421"/>
      <c r="AW8" s="1421"/>
      <c r="AX8" s="1421"/>
      <c r="AY8" s="1421"/>
    </row>
    <row r="9" spans="1:51">
      <c r="A9" s="1450" t="s">
        <v>191</v>
      </c>
      <c r="B9" s="1445">
        <f>B7/1586.596-1</f>
        <v>0.54184114922765469</v>
      </c>
      <c r="C9" s="1445">
        <f>C7/B7-1</f>
        <v>0.1273100901409856</v>
      </c>
      <c r="D9" s="1445">
        <f>D7/C7-1</f>
        <v>0.18258775834341101</v>
      </c>
      <c r="E9" s="1445">
        <f>E7/D7-1</f>
        <v>-0.13159718389324304</v>
      </c>
      <c r="F9" s="1445">
        <f>F7/E7-1</f>
        <v>7.891860017584329E-2</v>
      </c>
      <c r="G9" s="1445">
        <f t="shared" ref="G9:AH9" si="8">G7/F7-1</f>
        <v>0.30093930009199554</v>
      </c>
      <c r="H9" s="1445">
        <f t="shared" si="8"/>
        <v>0.68282175484231278</v>
      </c>
      <c r="I9" s="1445">
        <f t="shared" si="8"/>
        <v>0.10459203427507058</v>
      </c>
      <c r="J9" s="1445">
        <f>J7/I7-1</f>
        <v>7.5760829950295427E-2</v>
      </c>
      <c r="K9" s="1445">
        <f t="shared" si="8"/>
        <v>0.10649009148594812</v>
      </c>
      <c r="L9" s="1445">
        <f>L7/K7-1</f>
        <v>8.9099270330096125E-2</v>
      </c>
      <c r="M9" s="1445">
        <f>M7/L7-1</f>
        <v>0.11796547574978034</v>
      </c>
      <c r="N9" s="1445">
        <f>N7/M7-1</f>
        <v>0.11879813592270705</v>
      </c>
      <c r="O9" s="1445">
        <f t="shared" si="8"/>
        <v>0.11240361676415422</v>
      </c>
      <c r="P9" s="1445">
        <f t="shared" si="8"/>
        <v>0.11896401378817933</v>
      </c>
      <c r="Q9" s="1445">
        <f>Q7/P7-1</f>
        <v>7.6739417612907701E-2</v>
      </c>
      <c r="R9" s="1445">
        <f t="shared" si="8"/>
        <v>8.3865204336672328E-2</v>
      </c>
      <c r="S9" s="1445">
        <f t="shared" si="8"/>
        <v>6.1324806716738678E-2</v>
      </c>
      <c r="T9" s="1445">
        <f t="shared" si="8"/>
        <v>2.8558508611938427E-2</v>
      </c>
      <c r="U9" s="1445">
        <f t="shared" si="8"/>
        <v>6.7840662164619703E-2</v>
      </c>
      <c r="V9" s="1445">
        <f t="shared" si="8"/>
        <v>6.7763057630245038E-2</v>
      </c>
      <c r="W9" s="1445">
        <f t="shared" si="8"/>
        <v>7.0117592230270809E-2</v>
      </c>
      <c r="X9" s="1445">
        <f t="shared" si="8"/>
        <v>0.11630229124675084</v>
      </c>
      <c r="Y9" s="1445">
        <f t="shared" si="8"/>
        <v>5.9676242384953504E-2</v>
      </c>
      <c r="Z9" s="1445">
        <f t="shared" si="8"/>
        <v>6.0377396883223966E-2</v>
      </c>
      <c r="AA9" s="1445">
        <f t="shared" si="8"/>
        <v>6.4189589202737318E-2</v>
      </c>
      <c r="AB9" s="1445">
        <f>AB7/AA7-1</f>
        <v>7.2348052531241436E-2</v>
      </c>
      <c r="AC9" s="1445">
        <f t="shared" si="8"/>
        <v>8.0790160386965404E-2</v>
      </c>
      <c r="AD9" s="1445">
        <f t="shared" si="8"/>
        <v>5.5127871138008988E-2</v>
      </c>
      <c r="AE9" s="1445">
        <f t="shared" si="8"/>
        <v>6.6279808470043999E-2</v>
      </c>
      <c r="AF9" s="1445">
        <f t="shared" si="8"/>
        <v>6.360463250861903E-2</v>
      </c>
      <c r="AG9" s="1445">
        <f t="shared" si="8"/>
        <v>6.2407784658905507E-2</v>
      </c>
      <c r="AH9" s="1445">
        <f t="shared" si="8"/>
        <v>4.592426182709719E-2</v>
      </c>
      <c r="AI9" s="1423"/>
      <c r="AJ9" s="1448"/>
      <c r="AK9" s="1423"/>
      <c r="AL9" s="1423"/>
      <c r="AM9" s="1423"/>
      <c r="AN9" s="1423"/>
      <c r="AO9" s="1423"/>
      <c r="AP9" s="1449"/>
      <c r="AQ9" s="1423"/>
      <c r="AR9" s="1423"/>
      <c r="AS9" s="1423" t="s">
        <v>576</v>
      </c>
      <c r="AT9" s="1460">
        <f>+AT7/M7-1</f>
        <v>0.11879813592270705</v>
      </c>
      <c r="AU9" s="1422">
        <f>+AU7/AT7-1</f>
        <v>0.11240361676415422</v>
      </c>
      <c r="AV9" s="1422">
        <f>+AV7/AU7-1</f>
        <v>0.11896401378817933</v>
      </c>
      <c r="AW9" s="1422">
        <f>+AW7/AV7-1</f>
        <v>7.6739417612907701E-2</v>
      </c>
      <c r="AX9" s="1422">
        <f>+AX7/AW7-1</f>
        <v>8.3865204336672328E-2</v>
      </c>
      <c r="AY9" s="1422">
        <f>+AY7/AX7-1</f>
        <v>6.1324806716738678E-2</v>
      </c>
    </row>
    <row r="10" spans="1:51">
      <c r="A10" s="1450" t="s">
        <v>129</v>
      </c>
      <c r="B10" s="1445"/>
      <c r="C10" s="1445"/>
      <c r="D10" s="1445"/>
      <c r="E10" s="1445"/>
      <c r="F10" s="1445"/>
      <c r="G10" s="1445"/>
      <c r="H10" s="1445"/>
      <c r="I10" s="1445"/>
      <c r="J10" s="1445"/>
      <c r="K10" s="1445"/>
      <c r="L10" s="1445"/>
      <c r="M10" s="1445"/>
      <c r="N10" s="1445"/>
      <c r="O10" s="1445"/>
      <c r="P10" s="1445"/>
      <c r="Q10" s="1445"/>
      <c r="R10" s="1445"/>
      <c r="S10" s="1445"/>
      <c r="T10" s="1461"/>
      <c r="U10" s="1461"/>
      <c r="V10" s="1462"/>
      <c r="W10" s="1445"/>
      <c r="X10" s="1445"/>
      <c r="Y10" s="1445"/>
      <c r="Z10" s="1445"/>
      <c r="AA10" s="1445"/>
      <c r="AB10" s="1445"/>
      <c r="AC10" s="1445"/>
      <c r="AD10" s="1445"/>
      <c r="AE10" s="1445"/>
      <c r="AF10" s="1445"/>
      <c r="AG10" s="1445"/>
      <c r="AH10" s="1445"/>
      <c r="AI10" s="1423"/>
      <c r="AJ10" s="1448"/>
      <c r="AK10" s="1423"/>
      <c r="AL10" s="1423"/>
      <c r="AM10" s="1423"/>
      <c r="AN10" s="1423"/>
      <c r="AO10" s="1423"/>
      <c r="AP10" s="1449"/>
      <c r="AQ10" s="1423"/>
      <c r="AR10" s="1423"/>
      <c r="AS10" s="1423"/>
      <c r="AT10" s="1460"/>
      <c r="AU10" s="1422"/>
      <c r="AV10" s="1422"/>
      <c r="AW10" s="1422"/>
      <c r="AX10" s="1422"/>
      <c r="AY10" s="1422"/>
    </row>
    <row r="11" spans="1:51">
      <c r="A11" s="1450" t="s">
        <v>191</v>
      </c>
      <c r="B11" s="1445"/>
      <c r="C11" s="1445"/>
      <c r="D11" s="1445"/>
      <c r="E11" s="1445"/>
      <c r="F11" s="1445"/>
      <c r="G11" s="1445"/>
      <c r="H11" s="1445"/>
      <c r="I11" s="1445"/>
      <c r="J11" s="1445"/>
      <c r="K11" s="1445"/>
      <c r="L11" s="1445"/>
      <c r="M11" s="1445"/>
      <c r="N11" s="1445"/>
      <c r="O11" s="1445"/>
      <c r="P11" s="1445"/>
      <c r="Q11" s="1445"/>
      <c r="R11" s="1445"/>
      <c r="S11" s="1445"/>
      <c r="T11" s="1445"/>
      <c r="U11" s="1445"/>
      <c r="V11" s="1445"/>
      <c r="W11" s="1445"/>
      <c r="X11" s="1445"/>
      <c r="Y11" s="1445"/>
      <c r="Z11" s="1445"/>
      <c r="AA11" s="1445"/>
      <c r="AB11" s="1445"/>
      <c r="AC11" s="1445"/>
      <c r="AD11" s="1445"/>
      <c r="AE11" s="1445"/>
      <c r="AF11" s="1445"/>
      <c r="AG11" s="1445"/>
      <c r="AH11" s="1445"/>
      <c r="AI11" s="1423"/>
      <c r="AJ11" s="1448"/>
      <c r="AK11" s="1423"/>
      <c r="AL11" s="1423"/>
      <c r="AM11" s="1423"/>
      <c r="AN11" s="1423"/>
      <c r="AO11" s="1423"/>
      <c r="AP11" s="1449"/>
      <c r="AQ11" s="1423"/>
      <c r="AR11" s="1423"/>
      <c r="AS11" s="1423"/>
      <c r="AT11" s="1460"/>
      <c r="AU11" s="1422"/>
      <c r="AV11" s="1422"/>
      <c r="AW11" s="1422"/>
      <c r="AX11" s="1422"/>
      <c r="AY11" s="1422"/>
    </row>
    <row r="12" spans="1:51">
      <c r="A12" s="1450" t="s">
        <v>431</v>
      </c>
      <c r="B12" s="1445"/>
      <c r="C12" s="1445"/>
      <c r="D12" s="1445"/>
      <c r="E12" s="1445"/>
      <c r="F12" s="1445"/>
      <c r="G12" s="1445"/>
      <c r="H12" s="1445"/>
      <c r="I12" s="1451">
        <f t="shared" ref="I12:O12" si="9">+I7+I10</f>
        <v>7389.0690000000004</v>
      </c>
      <c r="J12" s="1451">
        <f t="shared" si="9"/>
        <v>7948.8710000000001</v>
      </c>
      <c r="K12" s="1451">
        <f t="shared" si="9"/>
        <v>8795.3469999999998</v>
      </c>
      <c r="L12" s="1451">
        <f t="shared" si="9"/>
        <v>9579.0059999999994</v>
      </c>
      <c r="M12" s="1451">
        <f t="shared" si="9"/>
        <v>10708.998</v>
      </c>
      <c r="N12" s="1451">
        <f t="shared" si="9"/>
        <v>11981.206999999999</v>
      </c>
      <c r="O12" s="1451">
        <f t="shared" si="9"/>
        <v>13327.938</v>
      </c>
      <c r="P12" s="1451">
        <f t="shared" ref="P12:U12" si="10">+P7+P10</f>
        <v>14913.483</v>
      </c>
      <c r="Q12" s="1451">
        <f t="shared" si="10"/>
        <v>16057.935000000001</v>
      </c>
      <c r="R12" s="1451">
        <f t="shared" si="10"/>
        <v>17404.637000000002</v>
      </c>
      <c r="S12" s="1451">
        <f t="shared" si="10"/>
        <v>18471.973000000002</v>
      </c>
      <c r="T12" s="1451">
        <f t="shared" si="10"/>
        <v>18999.504999999997</v>
      </c>
      <c r="U12" s="1451">
        <f t="shared" si="10"/>
        <v>20288.444</v>
      </c>
      <c r="V12" s="1451">
        <f t="shared" ref="V12:AD12" si="11">+V7+V10</f>
        <v>21663.250999999997</v>
      </c>
      <c r="W12" s="1451">
        <f t="shared" si="11"/>
        <v>23182.226000000002</v>
      </c>
      <c r="X12" s="1451">
        <f t="shared" si="11"/>
        <v>25878.372000000003</v>
      </c>
      <c r="Y12" s="1451">
        <f t="shared" si="11"/>
        <v>27422.696</v>
      </c>
      <c r="Z12" s="1451">
        <f t="shared" si="11"/>
        <v>29078.406999999999</v>
      </c>
      <c r="AA12" s="1451">
        <f t="shared" si="11"/>
        <v>30944.937999999998</v>
      </c>
      <c r="AB12" s="1451">
        <f>+AB7+AB10</f>
        <v>33183.744000000006</v>
      </c>
      <c r="AC12" s="1451">
        <f t="shared" si="11"/>
        <v>35864.664000000004</v>
      </c>
      <c r="AD12" s="1451">
        <f t="shared" si="11"/>
        <v>37841.806575399998</v>
      </c>
      <c r="AE12" s="1451">
        <f>+AE7+AE10</f>
        <v>40349.954267377965</v>
      </c>
      <c r="AF12" s="1451">
        <f>+AF7+AF10</f>
        <v>42916.398280294125</v>
      </c>
      <c r="AG12" s="1451">
        <f>+AG7+AG10</f>
        <v>45594.715622506541</v>
      </c>
      <c r="AH12" s="1451">
        <f>+AH7+AH10</f>
        <v>47688.619280686566</v>
      </c>
      <c r="AI12" s="1423"/>
      <c r="AJ12" s="1448"/>
      <c r="AK12" s="1423"/>
      <c r="AL12" s="1423"/>
      <c r="AM12" s="1423"/>
      <c r="AN12" s="1423"/>
      <c r="AO12" s="1423"/>
      <c r="AP12" s="1449"/>
      <c r="AQ12" s="1423"/>
      <c r="AR12" s="1423"/>
      <c r="AS12" s="1423"/>
      <c r="AT12" s="1460"/>
      <c r="AU12" s="1422"/>
      <c r="AV12" s="1422"/>
      <c r="AW12" s="1422"/>
      <c r="AX12" s="1422"/>
      <c r="AY12" s="1422"/>
    </row>
    <row r="13" spans="1:51">
      <c r="A13" s="1421"/>
      <c r="B13" s="1421"/>
      <c r="C13" s="1421"/>
      <c r="D13" s="1421"/>
      <c r="E13" s="1421"/>
      <c r="F13" s="1421"/>
      <c r="G13" s="1421"/>
      <c r="H13" s="1445"/>
      <c r="I13" s="1445"/>
      <c r="J13" s="1421"/>
      <c r="K13" s="1421"/>
      <c r="L13" s="1421"/>
      <c r="M13" s="1421"/>
      <c r="N13" s="1421"/>
      <c r="O13" s="1421"/>
      <c r="P13" s="1421"/>
      <c r="Q13" s="1421"/>
      <c r="R13" s="1421"/>
      <c r="S13" s="1421"/>
      <c r="T13" s="1421"/>
      <c r="U13" s="1421"/>
      <c r="V13" s="1421"/>
      <c r="W13" s="1421"/>
      <c r="X13" s="1421"/>
      <c r="Y13" s="1421"/>
      <c r="Z13" s="1421"/>
      <c r="AA13" s="1421"/>
      <c r="AB13" s="1421"/>
      <c r="AC13" s="1421"/>
      <c r="AD13" s="1421"/>
      <c r="AE13" s="1421"/>
      <c r="AF13" s="1421"/>
      <c r="AG13" s="1421"/>
      <c r="AH13" s="1421"/>
      <c r="AI13" s="1423"/>
      <c r="AJ13" s="1448"/>
      <c r="AK13" s="1423"/>
      <c r="AL13" s="1423"/>
      <c r="AM13" s="1423"/>
      <c r="AN13" s="1423"/>
      <c r="AO13" s="1423"/>
      <c r="AP13" s="1449"/>
      <c r="AQ13" s="1423"/>
      <c r="AR13" s="1423"/>
      <c r="AS13" s="1421" t="s">
        <v>308</v>
      </c>
      <c r="AT13" s="1421"/>
      <c r="AU13" s="1421"/>
      <c r="AV13" s="1421"/>
      <c r="AW13" s="1421"/>
      <c r="AX13" s="1421"/>
      <c r="AY13" s="1421"/>
    </row>
    <row r="14" spans="1:51">
      <c r="A14" s="1450" t="s">
        <v>192</v>
      </c>
      <c r="B14" s="1434">
        <v>352</v>
      </c>
      <c r="C14" s="1463">
        <f t="shared" ref="C14:K14" si="12">B19</f>
        <v>398</v>
      </c>
      <c r="D14" s="1463">
        <f t="shared" si="12"/>
        <v>446</v>
      </c>
      <c r="E14" s="1463">
        <f t="shared" si="12"/>
        <v>500</v>
      </c>
      <c r="F14" s="1463">
        <f t="shared" si="12"/>
        <v>549</v>
      </c>
      <c r="G14" s="1463">
        <f t="shared" si="12"/>
        <v>608</v>
      </c>
      <c r="H14" s="1463">
        <f t="shared" si="12"/>
        <v>1166</v>
      </c>
      <c r="I14" s="1463">
        <f t="shared" si="12"/>
        <v>1136</v>
      </c>
      <c r="J14" s="1463">
        <f t="shared" si="12"/>
        <v>1171</v>
      </c>
      <c r="K14" s="1463">
        <f t="shared" si="12"/>
        <v>1246</v>
      </c>
      <c r="L14" s="1463">
        <f t="shared" ref="L14:AH14" si="13">K19</f>
        <v>1357</v>
      </c>
      <c r="M14" s="1463">
        <f t="shared" si="13"/>
        <v>1493</v>
      </c>
      <c r="N14" s="1463">
        <f t="shared" si="13"/>
        <v>1665</v>
      </c>
      <c r="O14" s="1463">
        <f t="shared" si="13"/>
        <v>1843</v>
      </c>
      <c r="P14" s="1463">
        <f t="shared" si="13"/>
        <v>2062</v>
      </c>
      <c r="Q14" s="1463">
        <f t="shared" si="13"/>
        <v>2224</v>
      </c>
      <c r="R14" s="1463">
        <f t="shared" si="13"/>
        <v>2381</v>
      </c>
      <c r="S14" s="1463">
        <f t="shared" si="13"/>
        <v>2466</v>
      </c>
      <c r="T14" s="1463">
        <f t="shared" si="13"/>
        <v>2563</v>
      </c>
      <c r="U14" s="1463">
        <f t="shared" si="13"/>
        <v>2652</v>
      </c>
      <c r="V14" s="1463">
        <f t="shared" si="13"/>
        <v>2743</v>
      </c>
      <c r="W14" s="1463">
        <f t="shared" si="13"/>
        <v>2859</v>
      </c>
      <c r="X14" s="1463">
        <f t="shared" si="13"/>
        <v>2905</v>
      </c>
      <c r="Y14" s="1463">
        <f t="shared" si="13"/>
        <v>3050</v>
      </c>
      <c r="Z14" s="1463">
        <f>Y19</f>
        <v>3219</v>
      </c>
      <c r="AA14" s="1463">
        <f t="shared" si="13"/>
        <v>3395</v>
      </c>
      <c r="AB14" s="1463">
        <f t="shared" si="13"/>
        <v>3614</v>
      </c>
      <c r="AC14" s="1463">
        <f t="shared" si="13"/>
        <v>3812</v>
      </c>
      <c r="AD14" s="1463">
        <f t="shared" si="13"/>
        <v>4056</v>
      </c>
      <c r="AE14" s="1463">
        <f t="shared" si="13"/>
        <v>4294</v>
      </c>
      <c r="AF14" s="1463">
        <f t="shared" si="13"/>
        <v>4499</v>
      </c>
      <c r="AG14" s="1463">
        <f t="shared" si="13"/>
        <v>4704</v>
      </c>
      <c r="AH14" s="1463">
        <f t="shared" si="13"/>
        <v>4909</v>
      </c>
      <c r="AI14" s="1423"/>
      <c r="AJ14" s="1448"/>
      <c r="AK14" s="1423"/>
      <c r="AL14" s="1423"/>
      <c r="AM14" s="1423"/>
      <c r="AN14" s="1423"/>
      <c r="AO14" s="1423"/>
      <c r="AP14" s="1449"/>
      <c r="AQ14" s="1423"/>
      <c r="AR14" s="1423"/>
      <c r="AS14" s="1464" t="s">
        <v>303</v>
      </c>
      <c r="AT14" s="1460">
        <f t="shared" ref="AT14:AY14" si="14">+N41</f>
        <v>0.03</v>
      </c>
      <c r="AU14" s="1460">
        <f t="shared" si="14"/>
        <v>0.01</v>
      </c>
      <c r="AV14" s="1460">
        <f t="shared" si="14"/>
        <v>0.05</v>
      </c>
      <c r="AW14" s="1460">
        <f t="shared" si="14"/>
        <v>0.02</v>
      </c>
      <c r="AX14" s="1460">
        <f t="shared" si="14"/>
        <v>0.03</v>
      </c>
      <c r="AY14" s="1460">
        <f t="shared" si="14"/>
        <v>0.02</v>
      </c>
    </row>
    <row r="15" spans="1:51" outlineLevel="1">
      <c r="A15" s="1465" t="s">
        <v>345</v>
      </c>
      <c r="B15" s="1466"/>
      <c r="C15" s="1467">
        <v>49</v>
      </c>
      <c r="D15" s="1467">
        <v>54</v>
      </c>
      <c r="E15" s="1467">
        <v>54</v>
      </c>
      <c r="F15" s="1467">
        <v>66</v>
      </c>
      <c r="G15" s="1467">
        <v>90</v>
      </c>
      <c r="H15" s="1467">
        <v>55</v>
      </c>
      <c r="I15" s="1466">
        <f>Stores!$CX77</f>
        <v>35</v>
      </c>
      <c r="J15" s="1466">
        <f>Stores!$CX85</f>
        <v>75</v>
      </c>
      <c r="K15" s="1466">
        <f>Stores!$CX93</f>
        <v>111</v>
      </c>
      <c r="L15" s="1466">
        <f>Stores!$CX101</f>
        <v>136</v>
      </c>
      <c r="M15" s="1466">
        <f>Stores!$CX109</f>
        <v>172</v>
      </c>
      <c r="N15" s="1466">
        <f>Stores!$CX117</f>
        <v>178</v>
      </c>
      <c r="O15" s="1466">
        <f>Stores!$CX125</f>
        <v>219</v>
      </c>
      <c r="P15" s="1466">
        <f>Stores!$CX133</f>
        <v>162</v>
      </c>
      <c r="Q15" s="1466">
        <f>Stores!$CX141</f>
        <v>157</v>
      </c>
      <c r="R15" s="1466">
        <f>Stores!$CX149</f>
        <v>85</v>
      </c>
      <c r="S15" s="1466">
        <f>Stores!$CX156</f>
        <v>97</v>
      </c>
      <c r="T15" s="1466">
        <f>Stores!$CX163</f>
        <v>123</v>
      </c>
      <c r="U15" s="1466">
        <f>Stores!$CX170</f>
        <v>91</v>
      </c>
      <c r="V15" s="1466">
        <f>Stores!$CX$177</f>
        <v>116</v>
      </c>
      <c r="W15" s="1466">
        <f>Stores!$CX$184</f>
        <v>46</v>
      </c>
      <c r="X15" s="1466">
        <f>Stores!$CX$191</f>
        <v>145</v>
      </c>
      <c r="Y15" s="1466">
        <f>Stores!$CX$198</f>
        <v>169</v>
      </c>
      <c r="Z15" s="1466">
        <f>Stores!$CX$205</f>
        <v>176</v>
      </c>
      <c r="AA15" s="1466">
        <f>Stores!$CX$212</f>
        <v>219</v>
      </c>
      <c r="AB15" s="1466">
        <f>Stores!$CX$219</f>
        <v>198</v>
      </c>
      <c r="AC15" s="1466">
        <f>Stores!$CX$226</f>
        <v>244</v>
      </c>
      <c r="AD15" s="1466">
        <f>Stores!$CX$233</f>
        <v>238</v>
      </c>
      <c r="AE15" s="1466">
        <f>Stores!$CX$240</f>
        <v>205</v>
      </c>
      <c r="AF15" s="1466">
        <f>Stores!$CX$240</f>
        <v>205</v>
      </c>
      <c r="AG15" s="1466">
        <f>Stores!$CX$240</f>
        <v>205</v>
      </c>
      <c r="AH15" s="1466">
        <f>Stores!$CX$240</f>
        <v>205</v>
      </c>
      <c r="AI15" s="1423"/>
      <c r="AJ15" s="1448"/>
      <c r="AK15" s="1423"/>
      <c r="AL15" s="1423"/>
      <c r="AM15" s="1423"/>
      <c r="AN15" s="1423"/>
      <c r="AO15" s="1423"/>
      <c r="AP15" s="1449"/>
      <c r="AQ15" s="1423"/>
      <c r="AR15" s="1423"/>
      <c r="AS15" s="1464"/>
      <c r="AT15" s="1423"/>
      <c r="AU15" s="1421"/>
      <c r="AV15" s="1421"/>
      <c r="AW15" s="1421"/>
      <c r="AX15" s="1421"/>
      <c r="AY15" s="1421"/>
    </row>
    <row r="16" spans="1:51" outlineLevel="1">
      <c r="A16" s="1450" t="s">
        <v>193</v>
      </c>
      <c r="B16" s="1466"/>
      <c r="C16" s="1466">
        <v>-1</v>
      </c>
      <c r="D16" s="1466">
        <v>0</v>
      </c>
      <c r="E16" s="1466">
        <v>-5</v>
      </c>
      <c r="F16" s="1466">
        <v>-7</v>
      </c>
      <c r="G16" s="1466">
        <v>-16</v>
      </c>
      <c r="H16" s="1466">
        <v>-85</v>
      </c>
      <c r="I16" s="1466"/>
      <c r="J16" s="1468"/>
      <c r="K16" s="1466"/>
      <c r="L16" s="1469"/>
      <c r="M16" s="1466"/>
      <c r="N16" s="1469"/>
      <c r="O16" s="1466"/>
      <c r="P16" s="1466"/>
      <c r="Q16" s="1434"/>
      <c r="R16" s="1434"/>
      <c r="S16" s="1434"/>
      <c r="T16" s="1434">
        <v>-34</v>
      </c>
      <c r="U16" s="1434"/>
      <c r="V16" s="1434"/>
      <c r="W16" s="1434"/>
      <c r="X16" s="1434"/>
      <c r="Y16" s="1434"/>
      <c r="Z16" s="1434"/>
      <c r="AA16" s="1434"/>
      <c r="AB16" s="1434"/>
      <c r="AC16" s="1434"/>
      <c r="AD16" s="1434"/>
      <c r="AE16" s="1434"/>
      <c r="AF16" s="1434"/>
      <c r="AG16" s="1434"/>
      <c r="AH16" s="1434"/>
      <c r="AI16" s="1423"/>
      <c r="AJ16" s="1448"/>
      <c r="AK16" s="1423"/>
      <c r="AL16" s="1423"/>
      <c r="AM16" s="1423"/>
      <c r="AN16" s="1423"/>
      <c r="AO16" s="1423"/>
      <c r="AP16" s="1449"/>
      <c r="AQ16" s="1423"/>
      <c r="AR16" s="1423"/>
      <c r="AS16" s="1470"/>
      <c r="AT16" s="1421"/>
      <c r="AU16" s="1421"/>
      <c r="AV16" s="1421"/>
      <c r="AW16" s="1421"/>
      <c r="AX16" s="1421"/>
      <c r="AY16" s="1421"/>
    </row>
    <row r="17" spans="1:51">
      <c r="A17" s="1465" t="s">
        <v>693</v>
      </c>
      <c r="B17" s="1466">
        <f t="shared" ref="B17:M17" si="15">B80+B152+B203+B245+B285</f>
        <v>46</v>
      </c>
      <c r="C17" s="1466">
        <f t="shared" si="15"/>
        <v>48</v>
      </c>
      <c r="D17" s="1466">
        <f t="shared" si="15"/>
        <v>54</v>
      </c>
      <c r="E17" s="1466">
        <f t="shared" si="15"/>
        <v>49</v>
      </c>
      <c r="F17" s="1466">
        <f t="shared" si="15"/>
        <v>59</v>
      </c>
      <c r="G17" s="1466">
        <f t="shared" si="15"/>
        <v>74</v>
      </c>
      <c r="H17" s="1466">
        <f t="shared" si="15"/>
        <v>-30</v>
      </c>
      <c r="I17" s="1466">
        <f t="shared" si="15"/>
        <v>35</v>
      </c>
      <c r="J17" s="1466">
        <f t="shared" si="15"/>
        <v>75</v>
      </c>
      <c r="K17" s="1466">
        <f t="shared" si="15"/>
        <v>111</v>
      </c>
      <c r="L17" s="1466">
        <f>L80+L152+L203+L245+L285</f>
        <v>136</v>
      </c>
      <c r="M17" s="1466">
        <f t="shared" si="15"/>
        <v>172</v>
      </c>
      <c r="N17" s="1466">
        <f>N80+N152+N203+N245+N285</f>
        <v>178</v>
      </c>
      <c r="O17" s="1471">
        <f>O80+O152+O203+O245+O285+O326</f>
        <v>219</v>
      </c>
      <c r="P17" s="1466">
        <f>P80+P152+P203+P245+P285+P326</f>
        <v>162</v>
      </c>
      <c r="Q17" s="1466">
        <f>Q80+Q152+Q203+Q245+Q285+Q326</f>
        <v>157</v>
      </c>
      <c r="R17" s="1466">
        <f>R80+R152+R203+R245+R285+R326</f>
        <v>85</v>
      </c>
      <c r="S17" s="1466">
        <f>S80+S152+S203+S245+S285+S326</f>
        <v>97</v>
      </c>
      <c r="T17" s="1466"/>
      <c r="U17" s="1466">
        <f t="shared" ref="U17:AD17" si="16">U15</f>
        <v>91</v>
      </c>
      <c r="V17" s="1466">
        <f t="shared" si="16"/>
        <v>116</v>
      </c>
      <c r="W17" s="1466">
        <f t="shared" si="16"/>
        <v>46</v>
      </c>
      <c r="X17" s="1466">
        <f t="shared" si="16"/>
        <v>145</v>
      </c>
      <c r="Y17" s="1466">
        <f t="shared" si="16"/>
        <v>169</v>
      </c>
      <c r="Z17" s="1466">
        <f t="shared" si="16"/>
        <v>176</v>
      </c>
      <c r="AA17" s="1466">
        <f t="shared" si="16"/>
        <v>219</v>
      </c>
      <c r="AB17" s="1466">
        <f t="shared" si="16"/>
        <v>198</v>
      </c>
      <c r="AC17" s="1466">
        <f t="shared" si="16"/>
        <v>244</v>
      </c>
      <c r="AD17" s="1466">
        <f t="shared" si="16"/>
        <v>238</v>
      </c>
      <c r="AE17" s="1466">
        <f>AE15</f>
        <v>205</v>
      </c>
      <c r="AF17" s="1466">
        <f>AF15</f>
        <v>205</v>
      </c>
      <c r="AG17" s="1466">
        <f>AG15</f>
        <v>205</v>
      </c>
      <c r="AH17" s="1466">
        <f>AH15</f>
        <v>205</v>
      </c>
      <c r="AI17" s="1423"/>
      <c r="AJ17" s="1448"/>
      <c r="AK17" s="1423"/>
      <c r="AL17" s="1423"/>
      <c r="AM17" s="1423"/>
      <c r="AN17" s="1423"/>
      <c r="AO17" s="1423"/>
      <c r="AP17" s="1449"/>
      <c r="AQ17" s="1423"/>
      <c r="AR17" s="1423"/>
      <c r="AS17" s="1472" t="s">
        <v>304</v>
      </c>
      <c r="AT17" s="1473">
        <f t="shared" ref="AT17:AY17" si="17">+N42</f>
        <v>8.879813592270705E-2</v>
      </c>
      <c r="AU17" s="1473">
        <f t="shared" si="17"/>
        <v>0.10240361676415423</v>
      </c>
      <c r="AV17" s="1473">
        <f t="shared" si="17"/>
        <v>6.8964013788179332E-2</v>
      </c>
      <c r="AW17" s="1473">
        <f t="shared" si="17"/>
        <v>5.6739417612907697E-2</v>
      </c>
      <c r="AX17" s="1473">
        <f t="shared" si="17"/>
        <v>5.3865204336672329E-2</v>
      </c>
      <c r="AY17" s="1473">
        <f t="shared" si="17"/>
        <v>4.1324806716738674E-2</v>
      </c>
    </row>
    <row r="18" spans="1:51" hidden="1" outlineLevel="1">
      <c r="A18" s="1474" t="s">
        <v>93</v>
      </c>
      <c r="B18" s="1469">
        <f>Stores!$CX21</f>
        <v>46</v>
      </c>
      <c r="C18" s="1469">
        <f>Stores!$CX29</f>
        <v>48</v>
      </c>
      <c r="D18" s="1469">
        <f>Stores!$CX37</f>
        <v>54</v>
      </c>
      <c r="E18" s="1469">
        <f>Stores!$CX45</f>
        <v>49</v>
      </c>
      <c r="F18" s="1469">
        <f>Stores!$CX53</f>
        <v>59</v>
      </c>
      <c r="G18" s="1469">
        <f>Stores!$CX61</f>
        <v>558</v>
      </c>
      <c r="H18" s="1469">
        <f>Stores!$CX69</f>
        <v>-30</v>
      </c>
      <c r="I18" s="1469">
        <f>Stores!$CX77</f>
        <v>35</v>
      </c>
      <c r="J18" s="1469">
        <f>Stores!$CX85</f>
        <v>75</v>
      </c>
      <c r="K18" s="1469">
        <f>Stores!$CX93</f>
        <v>111</v>
      </c>
      <c r="L18" s="1469">
        <f>Stores!$CX101</f>
        <v>136</v>
      </c>
      <c r="M18" s="1469">
        <f>Stores!$CX109</f>
        <v>172</v>
      </c>
      <c r="N18" s="1469">
        <f>Stores!$CX117</f>
        <v>178</v>
      </c>
      <c r="O18" s="1469">
        <f>Stores!$CX125</f>
        <v>219</v>
      </c>
      <c r="P18" s="1469">
        <f>Stores!$CX133</f>
        <v>162</v>
      </c>
      <c r="Q18" s="1469">
        <f>Stores!$CX141</f>
        <v>157</v>
      </c>
      <c r="R18" s="1469">
        <f>Stores!$CX149</f>
        <v>85</v>
      </c>
      <c r="S18" s="1469">
        <f>Stores!$CX156</f>
        <v>97</v>
      </c>
      <c r="T18" s="1469">
        <f>Stores!$CX163</f>
        <v>123</v>
      </c>
      <c r="U18" s="1469">
        <f>Stores!$CX170</f>
        <v>91</v>
      </c>
      <c r="V18" s="1469">
        <f>Stores!$CX177</f>
        <v>116</v>
      </c>
      <c r="W18" s="1469">
        <f>Stores!$CX184</f>
        <v>46</v>
      </c>
      <c r="X18" s="1469">
        <f>Stores!$CX191</f>
        <v>145</v>
      </c>
      <c r="Y18" s="1469">
        <f>Stores!$CX198</f>
        <v>169</v>
      </c>
      <c r="Z18" s="1469">
        <f>Stores!$CX205</f>
        <v>176</v>
      </c>
      <c r="AA18" s="1469">
        <f>Stores!$CX212</f>
        <v>219</v>
      </c>
      <c r="AB18" s="1469">
        <f>Stores!$CX219</f>
        <v>198</v>
      </c>
      <c r="AC18" s="1469">
        <f>Stores!$CX226</f>
        <v>244</v>
      </c>
      <c r="AD18" s="1469">
        <f>Stores!$CX233</f>
        <v>238</v>
      </c>
      <c r="AE18" s="1469">
        <f>Stores!$CX233</f>
        <v>238</v>
      </c>
      <c r="AF18" s="1469">
        <f>Stores!$CX233</f>
        <v>238</v>
      </c>
      <c r="AG18" s="1469">
        <f>Stores!$CX233</f>
        <v>238</v>
      </c>
      <c r="AH18" s="1469">
        <f>Stores!$CX233</f>
        <v>238</v>
      </c>
      <c r="AI18" s="1423"/>
      <c r="AJ18" s="1448"/>
      <c r="AK18" s="1423"/>
      <c r="AL18" s="1423"/>
      <c r="AM18" s="1423"/>
      <c r="AN18" s="1423"/>
      <c r="AO18" s="1423"/>
      <c r="AP18" s="1449"/>
      <c r="AQ18" s="1423"/>
      <c r="AR18" s="1423"/>
      <c r="AS18" s="1421"/>
      <c r="AT18" s="1421"/>
      <c r="AU18" s="1421"/>
      <c r="AV18" s="1421"/>
      <c r="AW18" s="1421"/>
      <c r="AX18" s="1421"/>
      <c r="AY18" s="1421"/>
    </row>
    <row r="19" spans="1:51" ht="12.75" customHeight="1" collapsed="1">
      <c r="A19" s="1450" t="s">
        <v>194</v>
      </c>
      <c r="B19" s="1421">
        <f>+B14+B17</f>
        <v>398</v>
      </c>
      <c r="C19" s="1421">
        <f t="shared" ref="C19:S19" si="18">+C14+C17</f>
        <v>446</v>
      </c>
      <c r="D19" s="1421">
        <f t="shared" si="18"/>
        <v>500</v>
      </c>
      <c r="E19" s="1421">
        <f t="shared" si="18"/>
        <v>549</v>
      </c>
      <c r="F19" s="1421">
        <f t="shared" si="18"/>
        <v>608</v>
      </c>
      <c r="G19" s="1475">
        <f>+G14+G18</f>
        <v>1166</v>
      </c>
      <c r="H19" s="1421">
        <f t="shared" si="18"/>
        <v>1136</v>
      </c>
      <c r="I19" s="1421">
        <f t="shared" si="18"/>
        <v>1171</v>
      </c>
      <c r="J19" s="1421">
        <f t="shared" si="18"/>
        <v>1246</v>
      </c>
      <c r="K19" s="1421">
        <f t="shared" si="18"/>
        <v>1357</v>
      </c>
      <c r="L19" s="1421">
        <f>+L14+L17</f>
        <v>1493</v>
      </c>
      <c r="M19" s="1421">
        <f t="shared" si="18"/>
        <v>1665</v>
      </c>
      <c r="N19" s="1421">
        <f t="shared" si="18"/>
        <v>1843</v>
      </c>
      <c r="O19" s="1421">
        <f t="shared" si="18"/>
        <v>2062</v>
      </c>
      <c r="P19" s="1421">
        <f t="shared" si="18"/>
        <v>2224</v>
      </c>
      <c r="Q19" s="1421">
        <f t="shared" si="18"/>
        <v>2381</v>
      </c>
      <c r="R19" s="1421">
        <f t="shared" si="18"/>
        <v>2466</v>
      </c>
      <c r="S19" s="1421">
        <f t="shared" si="18"/>
        <v>2563</v>
      </c>
      <c r="T19" s="1421">
        <f>+T14+T15+T16</f>
        <v>2652</v>
      </c>
      <c r="U19" s="1421">
        <f t="shared" ref="U19:AD19" si="19">+U14+U17</f>
        <v>2743</v>
      </c>
      <c r="V19" s="1421">
        <f t="shared" si="19"/>
        <v>2859</v>
      </c>
      <c r="W19" s="1421">
        <f t="shared" si="19"/>
        <v>2905</v>
      </c>
      <c r="X19" s="1421">
        <f t="shared" si="19"/>
        <v>3050</v>
      </c>
      <c r="Y19" s="1421">
        <f t="shared" si="19"/>
        <v>3219</v>
      </c>
      <c r="Z19" s="1421">
        <f t="shared" si="19"/>
        <v>3395</v>
      </c>
      <c r="AA19" s="1421">
        <f>+AA14+AA17</f>
        <v>3614</v>
      </c>
      <c r="AB19" s="1421">
        <f t="shared" si="19"/>
        <v>3812</v>
      </c>
      <c r="AC19" s="1421">
        <f t="shared" si="19"/>
        <v>4056</v>
      </c>
      <c r="AD19" s="1421">
        <f t="shared" si="19"/>
        <v>4294</v>
      </c>
      <c r="AE19" s="1421">
        <f>+AE14+AE17</f>
        <v>4499</v>
      </c>
      <c r="AF19" s="1421">
        <f>+AF14+AF17</f>
        <v>4704</v>
      </c>
      <c r="AG19" s="1421">
        <f>+AG14+AG17</f>
        <v>4909</v>
      </c>
      <c r="AH19" s="1421">
        <f>+AH14+AH17</f>
        <v>5114</v>
      </c>
      <c r="AI19" s="1423"/>
      <c r="AJ19" s="1448"/>
      <c r="AK19" s="1453">
        <f>((X19/S19)^(1/5)-1)*100</f>
        <v>3.5404973205685142</v>
      </c>
      <c r="AL19" s="1454" t="s">
        <v>190</v>
      </c>
      <c r="AM19" s="1453">
        <f>((AC19/X19)^(1/5)-1)*100</f>
        <v>5.8667598735348214</v>
      </c>
      <c r="AN19" s="1454" t="s">
        <v>190</v>
      </c>
      <c r="AO19" s="1455">
        <f>((AH19/AC19)^(1/5)-1)*100</f>
        <v>4.7448201674447743</v>
      </c>
      <c r="AP19" s="1449" t="s">
        <v>190</v>
      </c>
      <c r="AQ19" s="1454"/>
      <c r="AR19" s="1423"/>
      <c r="AS19" s="1421"/>
      <c r="AT19" s="1421"/>
      <c r="AU19" s="1421"/>
      <c r="AV19" s="1421"/>
      <c r="AW19" s="1421"/>
      <c r="AX19" s="1421"/>
      <c r="AY19" s="1421"/>
    </row>
    <row r="20" spans="1:51" hidden="1" outlineLevel="1">
      <c r="A20" s="1457" t="s">
        <v>167</v>
      </c>
      <c r="B20" s="1476">
        <v>398</v>
      </c>
      <c r="C20" s="1477">
        <f>Stores!$CW29</f>
        <v>446</v>
      </c>
      <c r="D20" s="1477">
        <f>Stores!$CW37</f>
        <v>500</v>
      </c>
      <c r="E20" s="1477">
        <f>Stores!$CW45</f>
        <v>549</v>
      </c>
      <c r="F20" s="1477">
        <f>Stores!$CW53</f>
        <v>608</v>
      </c>
      <c r="G20" s="1477">
        <f>Stores!$CW61</f>
        <v>1166</v>
      </c>
      <c r="H20" s="1477">
        <f>Stores!$CW69</f>
        <v>1136</v>
      </c>
      <c r="I20" s="1477">
        <f>Stores!$CW77</f>
        <v>1171</v>
      </c>
      <c r="J20" s="1477">
        <f>Stores!$CW85</f>
        <v>1246</v>
      </c>
      <c r="K20" s="1477">
        <f>Stores!$CW93</f>
        <v>1357</v>
      </c>
      <c r="L20" s="1477">
        <f>Stores!$CW101</f>
        <v>1493</v>
      </c>
      <c r="M20" s="1477">
        <f>Stores!$CW109</f>
        <v>1665</v>
      </c>
      <c r="N20" s="1477">
        <f>Stores!$CW117</f>
        <v>1843</v>
      </c>
      <c r="O20" s="1477">
        <f>Stores!$CW125</f>
        <v>2062</v>
      </c>
      <c r="P20" s="1477">
        <f>Stores!$CW133</f>
        <v>2224</v>
      </c>
      <c r="Q20" s="1477">
        <f>Stores!$CW141</f>
        <v>2381</v>
      </c>
      <c r="R20" s="1477">
        <f>Stores!$CW149</f>
        <v>2466</v>
      </c>
      <c r="S20" s="1477">
        <f>Stores!$CW156</f>
        <v>2563</v>
      </c>
      <c r="T20" s="1477">
        <f>Stores!$CW163</f>
        <v>2652</v>
      </c>
      <c r="U20" s="1477">
        <f>Stores!$CW170</f>
        <v>2743</v>
      </c>
      <c r="V20" s="1477">
        <f>Stores!$CW177</f>
        <v>2859</v>
      </c>
      <c r="W20" s="1477">
        <f>Stores!$CW$184</f>
        <v>2905</v>
      </c>
      <c r="X20" s="1477">
        <f>Stores!$CW$191</f>
        <v>3050</v>
      </c>
      <c r="Y20" s="1477">
        <f>Stores!$CW$198</f>
        <v>3219</v>
      </c>
      <c r="Z20" s="1477">
        <f>Stores!$CW$205</f>
        <v>3395</v>
      </c>
      <c r="AA20" s="1477">
        <f>Stores!$CW$212</f>
        <v>3614</v>
      </c>
      <c r="AB20" s="1477">
        <f>Stores!$CW$219</f>
        <v>3812</v>
      </c>
      <c r="AC20" s="1477">
        <f>Stores!$CW$226</f>
        <v>4070</v>
      </c>
      <c r="AD20" s="1477">
        <f>Stores!$CW$233</f>
        <v>4308</v>
      </c>
      <c r="AE20" s="1477">
        <f>Stores!$CW$240</f>
        <v>4513</v>
      </c>
      <c r="AF20" s="1477">
        <f>Stores!$CW$247</f>
        <v>4718</v>
      </c>
      <c r="AG20" s="1477">
        <f>Stores!$CW$254</f>
        <v>4923</v>
      </c>
      <c r="AH20" s="1477">
        <f>Stores!$CW$254</f>
        <v>4923</v>
      </c>
      <c r="AI20" s="1423"/>
      <c r="AJ20" s="1448"/>
      <c r="AK20" s="1453"/>
      <c r="AL20" s="1454"/>
      <c r="AM20" s="1423"/>
      <c r="AN20" s="1454"/>
      <c r="AO20" s="1423"/>
      <c r="AP20" s="1459"/>
      <c r="AQ20" s="1454"/>
      <c r="AR20" s="1423"/>
      <c r="AS20" s="1421"/>
      <c r="AT20" s="1421"/>
      <c r="AU20" s="1421"/>
      <c r="AV20" s="1421"/>
      <c r="AW20" s="1421"/>
      <c r="AX20" s="1421"/>
      <c r="AY20" s="1421"/>
    </row>
    <row r="21" spans="1:51" collapsed="1">
      <c r="A21" s="1450" t="s">
        <v>195</v>
      </c>
      <c r="B21" s="1463">
        <f t="shared" ref="B21:H21" si="20">(+B19+B14)/2</f>
        <v>375</v>
      </c>
      <c r="C21" s="1463">
        <f t="shared" si="20"/>
        <v>422</v>
      </c>
      <c r="D21" s="1463">
        <f t="shared" si="20"/>
        <v>473</v>
      </c>
      <c r="E21" s="1463">
        <f t="shared" si="20"/>
        <v>524.5</v>
      </c>
      <c r="F21" s="1463">
        <f t="shared" si="20"/>
        <v>578.5</v>
      </c>
      <c r="G21" s="1463">
        <f t="shared" si="20"/>
        <v>887</v>
      </c>
      <c r="H21" s="1463">
        <f t="shared" si="20"/>
        <v>1151</v>
      </c>
      <c r="I21" s="1463">
        <f t="shared" ref="I21:S21" si="21">(+I19+I14)/2</f>
        <v>1153.5</v>
      </c>
      <c r="J21" s="1463">
        <f t="shared" si="21"/>
        <v>1208.5</v>
      </c>
      <c r="K21" s="1463">
        <f t="shared" si="21"/>
        <v>1301.5</v>
      </c>
      <c r="L21" s="1463">
        <f t="shared" si="21"/>
        <v>1425</v>
      </c>
      <c r="M21" s="1463">
        <f t="shared" si="21"/>
        <v>1579</v>
      </c>
      <c r="N21" s="1463">
        <f t="shared" si="21"/>
        <v>1754</v>
      </c>
      <c r="O21" s="1463">
        <f t="shared" si="21"/>
        <v>1952.5</v>
      </c>
      <c r="P21" s="1463">
        <f t="shared" si="21"/>
        <v>2143</v>
      </c>
      <c r="Q21" s="1463">
        <f t="shared" si="21"/>
        <v>2302.5</v>
      </c>
      <c r="R21" s="1463">
        <f t="shared" si="21"/>
        <v>2423.5</v>
      </c>
      <c r="S21" s="1463">
        <f t="shared" si="21"/>
        <v>2514.5</v>
      </c>
      <c r="T21" s="1463">
        <f t="shared" ref="T21:Y21" si="22">(+T19+T14)/2</f>
        <v>2607.5</v>
      </c>
      <c r="U21" s="1463">
        <f t="shared" si="22"/>
        <v>2697.5</v>
      </c>
      <c r="V21" s="1463">
        <f t="shared" si="22"/>
        <v>2801</v>
      </c>
      <c r="W21" s="1463">
        <f t="shared" si="22"/>
        <v>2882</v>
      </c>
      <c r="X21" s="1463">
        <f t="shared" si="22"/>
        <v>2977.5</v>
      </c>
      <c r="Y21" s="1463">
        <f t="shared" si="22"/>
        <v>3134.5</v>
      </c>
      <c r="Z21" s="1463">
        <f t="shared" ref="Z21:AE21" si="23">(+Z19+Z14)/2</f>
        <v>3307</v>
      </c>
      <c r="AA21" s="1463">
        <f>(+AA19+AA14)/2</f>
        <v>3504.5</v>
      </c>
      <c r="AB21" s="1463">
        <f t="shared" si="23"/>
        <v>3713</v>
      </c>
      <c r="AC21" s="1463">
        <f t="shared" si="23"/>
        <v>3934</v>
      </c>
      <c r="AD21" s="1463">
        <f t="shared" si="23"/>
        <v>4175</v>
      </c>
      <c r="AE21" s="1463">
        <f t="shared" si="23"/>
        <v>4396.5</v>
      </c>
      <c r="AF21" s="1463">
        <f>(+AF19+AF14)/2</f>
        <v>4601.5</v>
      </c>
      <c r="AG21" s="1463">
        <f>(+AG19+AG14)/2</f>
        <v>4806.5</v>
      </c>
      <c r="AH21" s="1463">
        <f>(+AH19+AH14)/2</f>
        <v>5011.5</v>
      </c>
      <c r="AI21" s="1478"/>
      <c r="AJ21" s="1479"/>
      <c r="AK21" s="1478"/>
      <c r="AL21" s="1478"/>
      <c r="AM21" s="1423"/>
      <c r="AN21" s="1478"/>
      <c r="AO21" s="1423"/>
      <c r="AP21" s="1480"/>
      <c r="AQ21" s="1478"/>
      <c r="AR21" s="1423" t="s">
        <v>305</v>
      </c>
      <c r="AS21" s="1421"/>
      <c r="AT21" s="1421"/>
      <c r="AU21" s="1421"/>
      <c r="AV21" s="1421"/>
      <c r="AW21" s="1421"/>
      <c r="AX21" s="1421"/>
      <c r="AY21" s="1421"/>
    </row>
    <row r="22" spans="1:51">
      <c r="A22" s="1450" t="s">
        <v>197</v>
      </c>
      <c r="B22" s="1445"/>
      <c r="C22" s="1445">
        <f>(C21/B21-1)</f>
        <v>0.1253333333333333</v>
      </c>
      <c r="D22" s="1445">
        <f>(D21/C21-1)</f>
        <v>0.12085308056872046</v>
      </c>
      <c r="E22" s="1445">
        <f>(E21/D21-1)</f>
        <v>0.10887949260042284</v>
      </c>
      <c r="F22" s="1445">
        <f>(F21/E21-1)</f>
        <v>0.10295519542421361</v>
      </c>
      <c r="G22" s="1445">
        <f t="shared" ref="G22:AH22" si="24">(G21/F21-1)</f>
        <v>0.53327571305099397</v>
      </c>
      <c r="H22" s="1445">
        <f t="shared" si="24"/>
        <v>0.29763246899661788</v>
      </c>
      <c r="I22" s="1445">
        <f t="shared" si="24"/>
        <v>2.172024326672517E-3</v>
      </c>
      <c r="J22" s="1481">
        <f>(J21/I21-1)</f>
        <v>4.7680970957953983E-2</v>
      </c>
      <c r="K22" s="1445">
        <f t="shared" si="24"/>
        <v>7.6954902772031542E-2</v>
      </c>
      <c r="L22" s="1445">
        <f t="shared" si="24"/>
        <v>9.4890510948905105E-2</v>
      </c>
      <c r="M22" s="1445">
        <f t="shared" si="24"/>
        <v>0.10807017543859643</v>
      </c>
      <c r="N22" s="1445">
        <f t="shared" si="24"/>
        <v>0.11082963901203291</v>
      </c>
      <c r="O22" s="1445">
        <f t="shared" si="24"/>
        <v>0.11316989737742311</v>
      </c>
      <c r="P22" s="1445">
        <f t="shared" si="24"/>
        <v>9.7567221510883373E-2</v>
      </c>
      <c r="Q22" s="1445">
        <f t="shared" si="24"/>
        <v>7.442837144190384E-2</v>
      </c>
      <c r="R22" s="1445">
        <f t="shared" si="24"/>
        <v>5.2551574375678589E-2</v>
      </c>
      <c r="S22" s="1445">
        <f t="shared" si="24"/>
        <v>3.7548999381060488E-2</v>
      </c>
      <c r="T22" s="1445">
        <f t="shared" si="24"/>
        <v>3.6985484191688123E-2</v>
      </c>
      <c r="U22" s="1445">
        <f t="shared" si="24"/>
        <v>3.4515819750719157E-2</v>
      </c>
      <c r="V22" s="1445">
        <f t="shared" si="24"/>
        <v>3.8368860055607135E-2</v>
      </c>
      <c r="W22" s="1445">
        <f t="shared" si="24"/>
        <v>2.8918243484469919E-2</v>
      </c>
      <c r="X22" s="1445">
        <f t="shared" si="24"/>
        <v>3.3136710617626575E-2</v>
      </c>
      <c r="Y22" s="1445">
        <f t="shared" si="24"/>
        <v>5.2728799328295439E-2</v>
      </c>
      <c r="Z22" s="1445">
        <f t="shared" si="24"/>
        <v>5.5032700590205819E-2</v>
      </c>
      <c r="AA22" s="1445">
        <f>(AA21/Z21-1)</f>
        <v>5.9721802237677757E-2</v>
      </c>
      <c r="AB22" s="1445">
        <f t="shared" si="24"/>
        <v>5.9494935083464151E-2</v>
      </c>
      <c r="AC22" s="1445">
        <f t="shared" si="24"/>
        <v>5.9520603285752705E-2</v>
      </c>
      <c r="AD22" s="1445">
        <f t="shared" si="24"/>
        <v>6.126080325368588E-2</v>
      </c>
      <c r="AE22" s="1445">
        <f t="shared" si="24"/>
        <v>5.3053892215568776E-2</v>
      </c>
      <c r="AF22" s="1445">
        <f t="shared" si="24"/>
        <v>4.6627999545092669E-2</v>
      </c>
      <c r="AG22" s="1445">
        <f t="shared" si="24"/>
        <v>4.4550689992393755E-2</v>
      </c>
      <c r="AH22" s="1445">
        <f t="shared" si="24"/>
        <v>4.2650577343181117E-2</v>
      </c>
      <c r="AI22" s="1423"/>
      <c r="AJ22" s="1448"/>
      <c r="AK22" s="1423"/>
      <c r="AL22" s="1423"/>
      <c r="AM22" s="1423"/>
      <c r="AN22" s="1423"/>
      <c r="AO22" s="1423"/>
      <c r="AP22" s="1449"/>
      <c r="AQ22" s="1423"/>
      <c r="AR22" s="1423"/>
      <c r="AS22" s="1421" t="s">
        <v>306</v>
      </c>
      <c r="AT22" s="1451">
        <f t="shared" ref="AT22:AY22" si="25">+N65</f>
        <v>9485.5820000000003</v>
      </c>
      <c r="AU22" s="1451">
        <f t="shared" si="25"/>
        <v>9937.2060000000001</v>
      </c>
      <c r="AV22" s="1451">
        <f t="shared" si="25"/>
        <v>10489.478000000001</v>
      </c>
      <c r="AW22" s="1451">
        <f t="shared" si="25"/>
        <v>10956.788</v>
      </c>
      <c r="AX22" s="1451">
        <f t="shared" si="25"/>
        <v>11531.785</v>
      </c>
      <c r="AY22" s="1451">
        <f t="shared" si="25"/>
        <v>11966.651</v>
      </c>
    </row>
    <row r="23" spans="1:51" hidden="1" outlineLevel="1">
      <c r="A23" s="1450" t="s">
        <v>180</v>
      </c>
      <c r="B23" s="1445">
        <f>+B20/B14-1</f>
        <v>0.13068181818181812</v>
      </c>
      <c r="C23" s="1445">
        <f t="shared" ref="C23:N23" si="26">+C20/B20-1</f>
        <v>0.12060301507537696</v>
      </c>
      <c r="D23" s="1445">
        <f t="shared" si="26"/>
        <v>0.12107623318385641</v>
      </c>
      <c r="E23" s="1445">
        <f t="shared" si="26"/>
        <v>9.8000000000000087E-2</v>
      </c>
      <c r="F23" s="1445">
        <f t="shared" si="26"/>
        <v>0.10746812386156646</v>
      </c>
      <c r="G23" s="1445">
        <f t="shared" si="26"/>
        <v>0.91776315789473695</v>
      </c>
      <c r="H23" s="1445">
        <f t="shared" si="26"/>
        <v>-2.5728987993138941E-2</v>
      </c>
      <c r="I23" s="1445">
        <f t="shared" si="26"/>
        <v>3.0809859154929509E-2</v>
      </c>
      <c r="J23" s="1445">
        <f t="shared" si="26"/>
        <v>6.4047822374039276E-2</v>
      </c>
      <c r="K23" s="1445">
        <f t="shared" si="26"/>
        <v>8.9085072231139595E-2</v>
      </c>
      <c r="L23" s="1445">
        <f t="shared" si="26"/>
        <v>0.10022107590272666</v>
      </c>
      <c r="M23" s="1445">
        <f t="shared" si="26"/>
        <v>0.11520428667113203</v>
      </c>
      <c r="N23" s="1445">
        <f t="shared" si="26"/>
        <v>0.10690690690690685</v>
      </c>
      <c r="O23" s="1445"/>
      <c r="P23" s="1461"/>
      <c r="Q23" s="1461"/>
      <c r="R23" s="1461"/>
      <c r="S23" s="1461"/>
      <c r="T23" s="1461"/>
      <c r="U23" s="1461"/>
      <c r="V23" s="1461"/>
      <c r="W23" s="1461"/>
      <c r="X23" s="1461"/>
      <c r="Y23" s="1461"/>
      <c r="Z23" s="1461"/>
      <c r="AA23" s="1461"/>
      <c r="AB23" s="1461"/>
      <c r="AC23" s="1461"/>
      <c r="AD23" s="1461"/>
      <c r="AE23" s="1461"/>
      <c r="AF23" s="1461"/>
      <c r="AG23" s="1461"/>
      <c r="AH23" s="1461"/>
      <c r="AI23" s="1423"/>
      <c r="AJ23" s="1448"/>
      <c r="AK23" s="1423"/>
      <c r="AL23" s="1423"/>
      <c r="AM23" s="1423"/>
      <c r="AN23" s="1423"/>
      <c r="AO23" s="1423"/>
      <c r="AP23" s="1449"/>
      <c r="AQ23" s="1423"/>
      <c r="AR23" s="1423"/>
      <c r="AS23" s="1421"/>
      <c r="AT23" s="1421"/>
      <c r="AU23" s="1421"/>
      <c r="AV23" s="1421"/>
      <c r="AW23" s="1421"/>
      <c r="AX23" s="1421"/>
      <c r="AY23" s="1421"/>
    </row>
    <row r="24" spans="1:51" collapsed="1">
      <c r="A24" s="1421"/>
      <c r="B24" s="1421"/>
      <c r="C24" s="1421"/>
      <c r="D24" s="1421"/>
      <c r="E24" s="1421"/>
      <c r="F24" s="1421"/>
      <c r="G24" s="1421"/>
      <c r="H24" s="1445"/>
      <c r="I24" s="1445"/>
      <c r="J24" s="1421"/>
      <c r="K24" s="1421"/>
      <c r="L24" s="1421"/>
      <c r="M24" s="1421"/>
      <c r="N24" s="1421"/>
      <c r="O24" s="1421"/>
      <c r="P24" s="1421"/>
      <c r="Q24" s="1421"/>
      <c r="R24" s="1421"/>
      <c r="S24" s="1421"/>
      <c r="T24" s="1421"/>
      <c r="U24" s="1421"/>
      <c r="V24" s="1421"/>
      <c r="W24" s="1421"/>
      <c r="X24" s="1421"/>
      <c r="Y24" s="1421"/>
      <c r="Z24" s="1421"/>
      <c r="AA24" s="1421"/>
      <c r="AB24" s="1421"/>
      <c r="AC24" s="1421"/>
      <c r="AD24" s="1421"/>
      <c r="AE24" s="1421"/>
      <c r="AF24" s="1421"/>
      <c r="AG24" s="1421"/>
      <c r="AH24" s="1421"/>
      <c r="AI24" s="1423"/>
      <c r="AJ24" s="1448"/>
      <c r="AK24" s="1423"/>
      <c r="AL24" s="1423"/>
      <c r="AM24" s="1423"/>
      <c r="AN24" s="1423"/>
      <c r="AO24" s="1423"/>
      <c r="AP24" s="1449"/>
      <c r="AQ24" s="1423"/>
      <c r="AR24" s="1423"/>
      <c r="AS24" s="1421" t="s">
        <v>383</v>
      </c>
      <c r="AT24" s="1482">
        <f t="shared" ref="AT24:AY24" si="27">+N138</f>
        <v>793.202</v>
      </c>
      <c r="AU24" s="1482">
        <f t="shared" si="27"/>
        <v>1076.3329999999999</v>
      </c>
      <c r="AV24" s="1482">
        <f t="shared" si="27"/>
        <v>1285.4390000000001</v>
      </c>
      <c r="AW24" s="1482">
        <f t="shared" si="27"/>
        <v>1457.7359999999999</v>
      </c>
      <c r="AX24" s="1482">
        <f t="shared" si="27"/>
        <v>1740.796</v>
      </c>
      <c r="AY24" s="1482">
        <f t="shared" si="27"/>
        <v>2040.8140000000001</v>
      </c>
    </row>
    <row r="25" spans="1:51">
      <c r="A25" s="1450" t="s">
        <v>198</v>
      </c>
      <c r="B25" s="1483">
        <f>B7/B21</f>
        <v>6.5234106666666669</v>
      </c>
      <c r="C25" s="1483">
        <f>C7/C21</f>
        <v>6.5348696682464462</v>
      </c>
      <c r="D25" s="1483">
        <f>D7/D21</f>
        <v>6.8947991543340379</v>
      </c>
      <c r="E25" s="1483">
        <f>E7/E21</f>
        <v>5.3995614871306001</v>
      </c>
      <c r="F25" s="1483">
        <f>F7/F21</f>
        <v>5.2818893690579092</v>
      </c>
      <c r="G25" s="1483">
        <f t="shared" ref="G25:Q25" si="28">G7/G21</f>
        <v>4.4815276211950392</v>
      </c>
      <c r="H25" s="1483">
        <f t="shared" si="28"/>
        <v>5.8118245004344047</v>
      </c>
      <c r="I25" s="1483">
        <f t="shared" si="28"/>
        <v>6.4057815344603384</v>
      </c>
      <c r="J25" s="1483">
        <f t="shared" si="28"/>
        <v>6.577468762929251</v>
      </c>
      <c r="K25" s="1483">
        <f t="shared" si="28"/>
        <v>6.7578540145985402</v>
      </c>
      <c r="L25" s="1483">
        <f t="shared" si="28"/>
        <v>6.7221094736842097</v>
      </c>
      <c r="M25" s="1483">
        <f>M7/M21</f>
        <v>6.782139328689043</v>
      </c>
      <c r="N25" s="1483">
        <f t="shared" si="28"/>
        <v>6.8307907639680723</v>
      </c>
      <c r="O25" s="1483">
        <f t="shared" si="28"/>
        <v>6.8260886043533935</v>
      </c>
      <c r="P25" s="1483">
        <f t="shared" si="28"/>
        <v>6.9591614559029402</v>
      </c>
      <c r="Q25" s="1483">
        <f t="shared" si="28"/>
        <v>6.9741302931596101</v>
      </c>
      <c r="R25" s="1483">
        <f t="shared" ref="R25:W25" si="29">R7/R21</f>
        <v>7.1816121312151857</v>
      </c>
      <c r="S25" s="1483">
        <f t="shared" si="29"/>
        <v>7.3461813481805533</v>
      </c>
      <c r="T25" s="1483">
        <f t="shared" si="29"/>
        <v>7.2864832214765087</v>
      </c>
      <c r="U25" s="1483">
        <f t="shared" si="29"/>
        <v>7.5212025949953656</v>
      </c>
      <c r="V25" s="1483">
        <f t="shared" si="29"/>
        <v>7.7341131738664748</v>
      </c>
      <c r="W25" s="1483">
        <f t="shared" si="29"/>
        <v>8.0437980569049277</v>
      </c>
      <c r="X25" s="1483">
        <f t="shared" ref="X25:AC25" si="30">X7/X21</f>
        <v>8.6913088161209071</v>
      </c>
      <c r="Y25" s="1483">
        <f t="shared" si="30"/>
        <v>8.7486667730100489</v>
      </c>
      <c r="Z25" s="1483">
        <f>Z7/Z21</f>
        <v>8.7929866948896276</v>
      </c>
      <c r="AA25" s="1483">
        <f>AA7/AA21</f>
        <v>8.8300579255243257</v>
      </c>
      <c r="AB25" s="1483">
        <f t="shared" si="30"/>
        <v>8.9371785618098585</v>
      </c>
      <c r="AC25" s="1483">
        <f t="shared" si="30"/>
        <v>9.1165897305541446</v>
      </c>
      <c r="AD25" s="1483">
        <f>AD7/AD21</f>
        <v>9.0639057665628737</v>
      </c>
      <c r="AE25" s="1483">
        <f>AE7/AE21</f>
        <v>9.1777446303600509</v>
      </c>
      <c r="AF25" s="1483">
        <f>AF7/AF21</f>
        <v>9.3266105140267577</v>
      </c>
      <c r="AG25" s="1483">
        <f>AG7/AG21</f>
        <v>9.4860533907222599</v>
      </c>
      <c r="AH25" s="1483">
        <f>AH7/AH21</f>
        <v>9.5158374300482027</v>
      </c>
      <c r="AI25" s="1423"/>
      <c r="AJ25" s="1448"/>
      <c r="AK25" s="1423"/>
      <c r="AL25" s="1423"/>
      <c r="AM25" s="1423"/>
      <c r="AN25" s="1423"/>
      <c r="AO25" s="1423"/>
      <c r="AP25" s="1449"/>
      <c r="AQ25" s="1423"/>
      <c r="AR25" s="1423"/>
      <c r="AS25" s="1421" t="s">
        <v>380</v>
      </c>
      <c r="AT25" s="1482">
        <f t="shared" ref="AT25:AY25" si="31">+N194</f>
        <v>720.14100000000008</v>
      </c>
      <c r="AU25" s="1482">
        <f t="shared" si="31"/>
        <v>992.18700000000001</v>
      </c>
      <c r="AV25" s="1482">
        <f t="shared" si="31"/>
        <v>1304.443</v>
      </c>
      <c r="AW25" s="1482">
        <f t="shared" si="31"/>
        <v>1517.116</v>
      </c>
      <c r="AX25" s="1482">
        <f t="shared" si="31"/>
        <v>1864.502</v>
      </c>
      <c r="AY25" s="1482">
        <f t="shared" si="31"/>
        <v>2216.2179999999998</v>
      </c>
    </row>
    <row r="26" spans="1:51">
      <c r="A26" s="1450" t="s">
        <v>191</v>
      </c>
      <c r="B26" s="1484"/>
      <c r="C26" s="1484">
        <f>C25/B25-1</f>
        <v>1.7565966892645335E-3</v>
      </c>
      <c r="D26" s="1484">
        <f>D25/C25-1</f>
        <v>5.5078296027313733E-2</v>
      </c>
      <c r="E26" s="1484">
        <f>E25/D25-1</f>
        <v>-0.21686457193804387</v>
      </c>
      <c r="F26" s="1484">
        <f>F25/E25-1</f>
        <v>-2.1792902692774674E-2</v>
      </c>
      <c r="G26" s="1484">
        <f t="shared" ref="G26:U26" si="32">G25/F25-1</f>
        <v>-0.15152944182275152</v>
      </c>
      <c r="H26" s="1484">
        <f t="shared" si="32"/>
        <v>0.29684004912696049</v>
      </c>
      <c r="I26" s="1484">
        <f t="shared" si="32"/>
        <v>0.10219803333385902</v>
      </c>
      <c r="J26" s="1484">
        <f>J25/I25-1</f>
        <v>2.6801917540476339E-2</v>
      </c>
      <c r="K26" s="1484">
        <f t="shared" si="32"/>
        <v>2.7424721906083915E-2</v>
      </c>
      <c r="L26" s="1484">
        <f t="shared" si="32"/>
        <v>-5.2893330985123166E-3</v>
      </c>
      <c r="M26" s="1484">
        <f t="shared" si="32"/>
        <v>8.9302108571480687E-3</v>
      </c>
      <c r="N26" s="1484">
        <f t="shared" si="32"/>
        <v>7.1734644366903133E-3</v>
      </c>
      <c r="O26" s="1484">
        <f t="shared" si="32"/>
        <v>-6.8837705284174877E-4</v>
      </c>
      <c r="P26" s="1484">
        <f t="shared" si="32"/>
        <v>1.9494744247046336E-2</v>
      </c>
      <c r="Q26" s="1484">
        <f t="shared" si="32"/>
        <v>2.1509541561179901E-3</v>
      </c>
      <c r="R26" s="1484">
        <f t="shared" si="32"/>
        <v>2.975020960808239E-2</v>
      </c>
      <c r="S26" s="1484">
        <f t="shared" si="32"/>
        <v>2.291535855160709E-2</v>
      </c>
      <c r="T26" s="1484">
        <f t="shared" si="32"/>
        <v>-8.1264161439235094E-3</v>
      </c>
      <c r="U26" s="1484">
        <f t="shared" si="32"/>
        <v>3.2212984835679581E-2</v>
      </c>
      <c r="V26" s="1484">
        <f t="shared" ref="V26:AH26" si="33">V25/U25-1</f>
        <v>2.8308049967006754E-2</v>
      </c>
      <c r="W26" s="1484">
        <f t="shared" si="33"/>
        <v>4.004142117869125E-2</v>
      </c>
      <c r="X26" s="1484">
        <f t="shared" si="33"/>
        <v>8.0498137153026228E-2</v>
      </c>
      <c r="Y26" s="1484">
        <f t="shared" si="33"/>
        <v>6.5994613817832448E-3</v>
      </c>
      <c r="Z26" s="1484">
        <f t="shared" si="33"/>
        <v>5.0659058150788194E-3</v>
      </c>
      <c r="AA26" s="1484">
        <f>AA25/Z25-1</f>
        <v>4.2159998554578415E-3</v>
      </c>
      <c r="AB26" s="1484">
        <f t="shared" si="33"/>
        <v>1.2131362805207324E-2</v>
      </c>
      <c r="AC26" s="1484">
        <f t="shared" si="33"/>
        <v>2.0074698911235922E-2</v>
      </c>
      <c r="AD26" s="1484">
        <f t="shared" si="33"/>
        <v>-5.7789113636100842E-3</v>
      </c>
      <c r="AE26" s="1484">
        <f t="shared" si="33"/>
        <v>1.255958156770931E-2</v>
      </c>
      <c r="AF26" s="1484">
        <f t="shared" si="33"/>
        <v>1.6220312251253644E-2</v>
      </c>
      <c r="AG26" s="1484">
        <f t="shared" si="33"/>
        <v>1.7095479269313207E-2</v>
      </c>
      <c r="AH26" s="1484">
        <f t="shared" si="33"/>
        <v>3.1397714201222282E-3</v>
      </c>
      <c r="AI26" s="1423"/>
      <c r="AJ26" s="1448"/>
      <c r="AK26" s="1423"/>
      <c r="AL26" s="1423"/>
      <c r="AM26" s="1423"/>
      <c r="AN26" s="1423"/>
      <c r="AO26" s="1423"/>
      <c r="AP26" s="1449"/>
      <c r="AQ26" s="1423"/>
      <c r="AR26" s="1423"/>
      <c r="AS26" s="1421" t="s">
        <v>381</v>
      </c>
      <c r="AT26" s="1482">
        <f t="shared" ref="AT26:AY26" si="34">+N236</f>
        <v>705.072</v>
      </c>
      <c r="AU26" s="1482">
        <f t="shared" si="34"/>
        <v>876.53600000000006</v>
      </c>
      <c r="AV26" s="1482">
        <f t="shared" si="34"/>
        <v>1012.923</v>
      </c>
      <c r="AW26" s="1482">
        <f t="shared" si="34"/>
        <v>1186.854</v>
      </c>
      <c r="AX26" s="1482">
        <f t="shared" si="34"/>
        <v>1365.1030000000001</v>
      </c>
      <c r="AY26" s="1482">
        <f t="shared" si="34"/>
        <v>1480.3820000000001</v>
      </c>
    </row>
    <row r="27" spans="1:51">
      <c r="A27" s="1421"/>
      <c r="B27" s="1421"/>
      <c r="C27" s="1421"/>
      <c r="D27" s="1421"/>
      <c r="E27" s="1421"/>
      <c r="F27" s="1421"/>
      <c r="G27" s="1421"/>
      <c r="H27" s="1421"/>
      <c r="I27" s="1421"/>
      <c r="J27" s="1421"/>
      <c r="K27" s="1421"/>
      <c r="L27" s="1421"/>
      <c r="M27" s="1421"/>
      <c r="N27" s="1421"/>
      <c r="O27" s="1421"/>
      <c r="P27" s="1421"/>
      <c r="Q27" s="1421"/>
      <c r="R27" s="1421"/>
      <c r="S27" s="1421"/>
      <c r="T27" s="1421"/>
      <c r="U27" s="1421"/>
      <c r="V27" s="1421"/>
      <c r="W27" s="1421"/>
      <c r="X27" s="1421"/>
      <c r="Y27" s="1485"/>
      <c r="Z27" s="1485"/>
      <c r="AA27" s="1485"/>
      <c r="AB27" s="1421"/>
      <c r="AC27" s="1421"/>
      <c r="AD27" s="1421"/>
      <c r="AE27" s="1421"/>
      <c r="AF27" s="1421"/>
      <c r="AG27" s="1421"/>
      <c r="AH27" s="1421"/>
      <c r="AI27" s="1423"/>
      <c r="AJ27" s="1448"/>
      <c r="AK27" s="1423"/>
      <c r="AL27" s="1423"/>
      <c r="AM27" s="1423"/>
      <c r="AN27" s="1423"/>
      <c r="AO27" s="1423"/>
      <c r="AP27" s="1449"/>
      <c r="AQ27" s="1423"/>
      <c r="AR27" s="1423"/>
      <c r="AS27" s="1421" t="s">
        <v>374</v>
      </c>
      <c r="AT27" s="1482">
        <f t="shared" ref="AT27:AY27" si="35">+N278</f>
        <v>277.21000000000004</v>
      </c>
      <c r="AU27" s="1482">
        <f t="shared" si="35"/>
        <v>421.60400000000004</v>
      </c>
      <c r="AV27" s="1482">
        <f t="shared" si="35"/>
        <v>530.64300000000003</v>
      </c>
      <c r="AW27" s="1482">
        <f t="shared" si="35"/>
        <v>615.93900000000008</v>
      </c>
      <c r="AX27" s="1482">
        <f t="shared" si="35"/>
        <v>601.827</v>
      </c>
      <c r="AY27" s="1482">
        <f t="shared" si="35"/>
        <v>632.66100000000006</v>
      </c>
    </row>
    <row r="28" spans="1:51">
      <c r="A28" s="1450" t="s">
        <v>199</v>
      </c>
      <c r="B28" s="1486">
        <f>+(B31+Stores!DB13)/2</f>
        <v>9.2875000000000014</v>
      </c>
      <c r="C28" s="1486">
        <f>+(C31+B31)/2</f>
        <v>10.574</v>
      </c>
      <c r="D28" s="1486">
        <f>+(D31+C31)/2</f>
        <v>12.208499999999999</v>
      </c>
      <c r="E28" s="1486">
        <f>+(E31+D31)/2</f>
        <v>14.016999999999999</v>
      </c>
      <c r="F28" s="1486">
        <f>+(F31+E31)/2</f>
        <v>15.9025</v>
      </c>
      <c r="G28" s="1486">
        <f>+(F31+(0.75*(G31-G113)+0.25*G31))/2</f>
        <v>19.901125</v>
      </c>
      <c r="H28" s="1486">
        <f t="shared" ref="H28:U28" si="36">+(H31+G31)/2</f>
        <v>34.355000000000004</v>
      </c>
      <c r="I28" s="1486">
        <f t="shared" si="36"/>
        <v>34.455500000000001</v>
      </c>
      <c r="J28" s="1486">
        <f>+(J31+I31)/2</f>
        <v>36.0715</v>
      </c>
      <c r="K28" s="1486">
        <f t="shared" si="36"/>
        <v>38.645500000000006</v>
      </c>
      <c r="L28" s="1486">
        <f t="shared" si="36"/>
        <v>42.072000000000003</v>
      </c>
      <c r="M28" s="1486">
        <f t="shared" si="36"/>
        <v>46.483999999999995</v>
      </c>
      <c r="N28" s="1486">
        <f t="shared" si="36"/>
        <v>51.407499999999999</v>
      </c>
      <c r="O28" s="1486">
        <f t="shared" si="36"/>
        <v>57.158000000000001</v>
      </c>
      <c r="P28" s="1486">
        <f t="shared" si="36"/>
        <v>62.599717339192452</v>
      </c>
      <c r="Q28" s="1486">
        <f t="shared" si="36"/>
        <v>67.642217339192456</v>
      </c>
      <c r="R28" s="1486">
        <f t="shared" si="36"/>
        <v>72.137500000000003</v>
      </c>
      <c r="S28" s="1486">
        <f t="shared" si="36"/>
        <v>74.97</v>
      </c>
      <c r="T28" s="1486">
        <f t="shared" si="36"/>
        <v>77.12</v>
      </c>
      <c r="U28" s="1486">
        <f t="shared" si="36"/>
        <v>79.349999999999994</v>
      </c>
      <c r="V28" s="1486">
        <f t="shared" ref="V28:AH28" si="37">+(V31+U31)/2</f>
        <v>82.4</v>
      </c>
      <c r="W28" s="1486">
        <f t="shared" si="37"/>
        <v>84.699999999999989</v>
      </c>
      <c r="X28" s="1486">
        <f t="shared" si="37"/>
        <v>87.199999999999989</v>
      </c>
      <c r="Y28" s="1486">
        <f t="shared" si="37"/>
        <v>91.199999999999989</v>
      </c>
      <c r="Z28" s="1486">
        <f t="shared" si="37"/>
        <v>95.449999999999989</v>
      </c>
      <c r="AA28" s="1486">
        <f t="shared" si="37"/>
        <v>100.10423395135567</v>
      </c>
      <c r="AB28" s="1486">
        <f t="shared" si="37"/>
        <v>104.75423395135567</v>
      </c>
      <c r="AC28" s="1486">
        <f t="shared" si="37"/>
        <v>111.08584750787315</v>
      </c>
      <c r="AD28" s="1486">
        <f t="shared" si="37"/>
        <v>118.51345248875457</v>
      </c>
      <c r="AE28" s="1486">
        <f t="shared" si="37"/>
        <v>124.62947841587585</v>
      </c>
      <c r="AF28" s="1486">
        <f t="shared" si="37"/>
        <v>130.37801532410185</v>
      </c>
      <c r="AG28" s="1486">
        <f t="shared" si="37"/>
        <v>136.12655223232787</v>
      </c>
      <c r="AH28" s="1486">
        <f t="shared" si="37"/>
        <v>139.00082068644087</v>
      </c>
      <c r="AI28" s="1423"/>
      <c r="AJ28" s="1448"/>
      <c r="AK28" s="1453">
        <f>((X28/S28)^(1/5)-1)*100</f>
        <v>3.0684618380232287</v>
      </c>
      <c r="AL28" s="1454" t="s">
        <v>190</v>
      </c>
      <c r="AM28" s="1453">
        <f>((AC28/X28)^(1/5)-1)*100</f>
        <v>4.9611183843649265</v>
      </c>
      <c r="AN28" s="1454" t="s">
        <v>190</v>
      </c>
      <c r="AO28" s="1455">
        <f>((AH28/AC28)^(1/5)-1)*100</f>
        <v>4.5855600411966346</v>
      </c>
      <c r="AP28" s="1449" t="s">
        <v>190</v>
      </c>
      <c r="AQ28" s="1454"/>
      <c r="AR28" s="1423"/>
      <c r="AS28" s="1421"/>
      <c r="AT28" s="1421"/>
      <c r="AU28" s="1421"/>
      <c r="AV28" s="1421"/>
      <c r="AW28" s="1421"/>
      <c r="AX28" s="1421"/>
      <c r="AY28" s="1421"/>
    </row>
    <row r="29" spans="1:51">
      <c r="A29" s="1487" t="s">
        <v>721</v>
      </c>
      <c r="B29" s="1445"/>
      <c r="C29" s="1445">
        <f>C28/B28-1</f>
        <v>0.13851951547779251</v>
      </c>
      <c r="D29" s="1445">
        <f>D28/C28-1</f>
        <v>0.15457726498959712</v>
      </c>
      <c r="E29" s="1445">
        <f>E28/D28-1</f>
        <v>0.1481344964573863</v>
      </c>
      <c r="F29" s="1445">
        <f>F28/E28-1</f>
        <v>0.13451523150460165</v>
      </c>
      <c r="G29" s="1445">
        <f t="shared" ref="G29:AH29" si="38">G28/F28-1</f>
        <v>0.2514463134727245</v>
      </c>
      <c r="H29" s="1445">
        <f t="shared" si="38"/>
        <v>0.72628431809759508</v>
      </c>
      <c r="I29" s="1445">
        <f t="shared" si="38"/>
        <v>2.9253383786929099E-3</v>
      </c>
      <c r="J29" s="1445">
        <f>J28/I28-1</f>
        <v>4.6901075300024742E-2</v>
      </c>
      <c r="K29" s="1445">
        <f t="shared" si="38"/>
        <v>7.135827453807031E-2</v>
      </c>
      <c r="L29" s="1445">
        <f t="shared" si="38"/>
        <v>8.8664915708167813E-2</v>
      </c>
      <c r="M29" s="1445">
        <f t="shared" si="38"/>
        <v>0.10486784559802231</v>
      </c>
      <c r="N29" s="1445">
        <f t="shared" si="38"/>
        <v>0.1059181653902419</v>
      </c>
      <c r="O29" s="1445">
        <f t="shared" si="38"/>
        <v>0.1118611097602491</v>
      </c>
      <c r="P29" s="1445">
        <f t="shared" si="38"/>
        <v>9.5204824157466117E-2</v>
      </c>
      <c r="Q29" s="1445">
        <f t="shared" si="38"/>
        <v>8.0551481928864854E-2</v>
      </c>
      <c r="R29" s="1445">
        <f t="shared" si="38"/>
        <v>6.6456760846054452E-2</v>
      </c>
      <c r="S29" s="1445">
        <f t="shared" si="38"/>
        <v>3.9265291977127026E-2</v>
      </c>
      <c r="T29" s="1445">
        <f t="shared" si="38"/>
        <v>2.8678137921835489E-2</v>
      </c>
      <c r="U29" s="1445">
        <f t="shared" si="38"/>
        <v>2.8915975103734226E-2</v>
      </c>
      <c r="V29" s="1445">
        <f t="shared" si="38"/>
        <v>3.843730308758686E-2</v>
      </c>
      <c r="W29" s="1445">
        <f t="shared" si="38"/>
        <v>2.7912621359223122E-2</v>
      </c>
      <c r="X29" s="1445">
        <f t="shared" si="38"/>
        <v>2.9515938606847758E-2</v>
      </c>
      <c r="Y29" s="1445">
        <f t="shared" si="38"/>
        <v>4.587155963302747E-2</v>
      </c>
      <c r="Z29" s="1445">
        <f t="shared" si="38"/>
        <v>4.6600877192982448E-2</v>
      </c>
      <c r="AA29" s="1445">
        <f t="shared" si="38"/>
        <v>4.8760963345790165E-2</v>
      </c>
      <c r="AB29" s="1445">
        <f t="shared" si="38"/>
        <v>4.6451581680946763E-2</v>
      </c>
      <c r="AC29" s="1445">
        <f t="shared" si="38"/>
        <v>6.044255509001828E-2</v>
      </c>
      <c r="AD29" s="1445">
        <f t="shared" si="38"/>
        <v>6.6863647777949176E-2</v>
      </c>
      <c r="AE29" s="1445">
        <f t="shared" si="38"/>
        <v>5.1606174646727343E-2</v>
      </c>
      <c r="AF29" s="1445">
        <f t="shared" si="38"/>
        <v>4.6125017783061883E-2</v>
      </c>
      <c r="AG29" s="1445">
        <f t="shared" si="38"/>
        <v>4.40913055313501E-2</v>
      </c>
      <c r="AH29" s="1445">
        <f t="shared" si="38"/>
        <v>2.111467900257602E-2</v>
      </c>
      <c r="AI29" s="1423"/>
      <c r="AJ29" s="1448"/>
      <c r="AK29" s="1423"/>
      <c r="AL29" s="1423"/>
      <c r="AM29" s="1423"/>
      <c r="AN29" s="1423"/>
      <c r="AO29" s="1423"/>
      <c r="AP29" s="1449"/>
      <c r="AQ29" s="1423"/>
      <c r="AR29" s="1423" t="s">
        <v>307</v>
      </c>
      <c r="AS29" s="1421"/>
      <c r="AT29" s="1421"/>
      <c r="AU29" s="1421"/>
      <c r="AV29" s="1421"/>
      <c r="AW29" s="1421"/>
      <c r="AX29" s="1421"/>
      <c r="AY29" s="1421"/>
    </row>
    <row r="30" spans="1:51">
      <c r="A30" s="1450"/>
      <c r="B30" s="1445"/>
      <c r="C30" s="1445"/>
      <c r="D30" s="1445"/>
      <c r="E30" s="1445"/>
      <c r="F30" s="1445"/>
      <c r="G30" s="1462"/>
      <c r="H30" s="1445"/>
      <c r="I30" s="1445"/>
      <c r="J30" s="1445"/>
      <c r="K30" s="1445"/>
      <c r="L30" s="1486"/>
      <c r="M30" s="1445"/>
      <c r="N30" s="1445"/>
      <c r="O30" s="1445"/>
      <c r="P30" s="1445"/>
      <c r="Q30" s="1445"/>
      <c r="R30" s="1445"/>
      <c r="S30" s="1445"/>
      <c r="T30" s="1445"/>
      <c r="U30" s="1445"/>
      <c r="V30" s="1445"/>
      <c r="W30" s="1445"/>
      <c r="X30" s="1445"/>
      <c r="Y30" s="1445"/>
      <c r="Z30" s="1445"/>
      <c r="AA30" s="1445"/>
      <c r="AB30" s="1445"/>
      <c r="AC30" s="1445"/>
      <c r="AD30" s="1445"/>
      <c r="AE30" s="1445"/>
      <c r="AF30" s="1445"/>
      <c r="AG30" s="1445"/>
      <c r="AH30" s="1445"/>
      <c r="AI30" s="1423"/>
      <c r="AJ30" s="1448"/>
      <c r="AK30" s="1423"/>
      <c r="AL30" s="1423"/>
      <c r="AM30" s="1423"/>
      <c r="AN30" s="1423"/>
      <c r="AO30" s="1423"/>
      <c r="AP30" s="1449"/>
      <c r="AQ30" s="1423"/>
      <c r="AR30" s="1423"/>
      <c r="AS30" s="1421" t="s">
        <v>306</v>
      </c>
      <c r="AT30" s="1422">
        <f t="shared" ref="AT30:AY30" si="39">+AT22/AT$7</f>
        <v>0.79170504273901632</v>
      </c>
      <c r="AU30" s="1422">
        <f t="shared" si="39"/>
        <v>0.7455921538650615</v>
      </c>
      <c r="AV30" s="1422">
        <f t="shared" si="39"/>
        <v>0.70335534629972096</v>
      </c>
      <c r="AW30" s="1422">
        <f t="shared" si="39"/>
        <v>0.68232858085426296</v>
      </c>
      <c r="AX30" s="1422">
        <f t="shared" si="39"/>
        <v>0.66256969335240934</v>
      </c>
      <c r="AY30" s="1422">
        <f t="shared" si="39"/>
        <v>0.64782744106436263</v>
      </c>
    </row>
    <row r="31" spans="1:51">
      <c r="A31" s="1450" t="s">
        <v>200</v>
      </c>
      <c r="B31" s="1488">
        <f>Stores!$DB$21</f>
        <v>9.89</v>
      </c>
      <c r="C31" s="1486">
        <f>Stores!$DB$29</f>
        <v>11.257999999999999</v>
      </c>
      <c r="D31" s="1486">
        <f>Stores!$DB$37</f>
        <v>13.158999999999999</v>
      </c>
      <c r="E31" s="1486">
        <f>Stores!$DB$45</f>
        <v>14.875</v>
      </c>
      <c r="F31" s="1486">
        <f>Stores!$DB$53</f>
        <v>16.93</v>
      </c>
      <c r="G31" s="1486">
        <f>Stores!$DB$61</f>
        <v>34.816000000000003</v>
      </c>
      <c r="H31" s="1486">
        <f>Stores!$DB$69</f>
        <v>33.894000000000005</v>
      </c>
      <c r="I31" s="1486">
        <f>Stores!$DB$77</f>
        <v>35.017000000000003</v>
      </c>
      <c r="J31" s="1486">
        <f>Stores!$DB$85</f>
        <v>37.126000000000005</v>
      </c>
      <c r="K31" s="1486">
        <f>Stores!$DB$93</f>
        <v>40.165000000000006</v>
      </c>
      <c r="L31" s="1486">
        <f>Stores!$DB$101</f>
        <v>43.978999999999999</v>
      </c>
      <c r="M31" s="1486">
        <f>Stores!$DB$109</f>
        <v>48.988999999999997</v>
      </c>
      <c r="N31" s="1486">
        <f>Stores!$DB$117</f>
        <v>53.826000000000001</v>
      </c>
      <c r="O31" s="1486">
        <f>Stores!$DB$125</f>
        <v>60.49</v>
      </c>
      <c r="P31" s="1486">
        <f>Stores!$DB$133</f>
        <v>64.709434678384909</v>
      </c>
      <c r="Q31" s="1486">
        <f>Stores!$DB$141</f>
        <v>70.575000000000017</v>
      </c>
      <c r="R31" s="1486">
        <f>Stores!$DB$149</f>
        <v>73.699999999999989</v>
      </c>
      <c r="S31" s="1486">
        <f>Stores!$DB$156</f>
        <v>76.240000000000009</v>
      </c>
      <c r="T31" s="1486">
        <f>Stores!$DB$163</f>
        <v>78</v>
      </c>
      <c r="U31" s="1486">
        <f>Stores!$DB$170</f>
        <v>80.7</v>
      </c>
      <c r="V31" s="1486">
        <f>Stores!DB177</f>
        <v>84.1</v>
      </c>
      <c r="W31" s="1486">
        <f>Stores!DB184</f>
        <v>85.3</v>
      </c>
      <c r="X31" s="1486">
        <f>Stores!DB191</f>
        <v>89.1</v>
      </c>
      <c r="Y31" s="1486">
        <f>Stores!$DB198</f>
        <v>93.3</v>
      </c>
      <c r="Z31" s="1486">
        <f>Stores!$DB205</f>
        <v>97.6</v>
      </c>
      <c r="AA31" s="1486">
        <f>Stores!$DB212</f>
        <v>102.60846790271133</v>
      </c>
      <c r="AB31" s="1486">
        <f>Stores!$DB219</f>
        <v>106.9</v>
      </c>
      <c r="AC31" s="1486">
        <f>Stores!$DB226</f>
        <v>115.27169501574629</v>
      </c>
      <c r="AD31" s="1486">
        <f>Stores!$DB233</f>
        <v>121.75520996176284</v>
      </c>
      <c r="AE31" s="1486">
        <f>Stores!$DB240</f>
        <v>127.50374686998886</v>
      </c>
      <c r="AF31" s="1486">
        <f>Stores!$DB$247</f>
        <v>133.25228377821486</v>
      </c>
      <c r="AG31" s="1486">
        <f>Stores!$DB$254</f>
        <v>139.00082068644087</v>
      </c>
      <c r="AH31" s="1486">
        <f>Stores!$DB$254</f>
        <v>139.00082068644087</v>
      </c>
      <c r="AI31" s="1423"/>
      <c r="AJ31" s="1448"/>
      <c r="AK31" s="1453">
        <f>((X31/S31)^(1/5)-1)*100</f>
        <v>3.1665632480892825</v>
      </c>
      <c r="AL31" s="1454" t="s">
        <v>190</v>
      </c>
      <c r="AM31" s="1453">
        <f>((AC31/X31)^(1/5)-1)*100</f>
        <v>5.285604515761011</v>
      </c>
      <c r="AN31" s="1454" t="s">
        <v>190</v>
      </c>
      <c r="AO31" s="1455">
        <f>((AH31/AC31)^(1/5)-1)*100</f>
        <v>3.8147200157876204</v>
      </c>
      <c r="AP31" s="1449" t="s">
        <v>190</v>
      </c>
      <c r="AQ31" s="1454"/>
      <c r="AR31" s="1423"/>
      <c r="AS31" s="1421" t="s">
        <v>383</v>
      </c>
      <c r="AT31" s="1422">
        <f t="shared" ref="AT31:AY32" si="40">+AT24/AT$7</f>
        <v>6.6203847408695976E-2</v>
      </c>
      <c r="AU31" s="1422">
        <f t="shared" si="40"/>
        <v>8.075765358452297E-2</v>
      </c>
      <c r="AV31" s="1422">
        <f t="shared" si="40"/>
        <v>8.6193077767279455E-2</v>
      </c>
      <c r="AW31" s="1422">
        <f t="shared" si="40"/>
        <v>9.0779792046735752E-2</v>
      </c>
      <c r="AX31" s="1422">
        <f t="shared" si="40"/>
        <v>0.10001909261307776</v>
      </c>
      <c r="AY31" s="1422">
        <f t="shared" si="40"/>
        <v>0.11048164697945367</v>
      </c>
    </row>
    <row r="32" spans="1:51">
      <c r="A32" s="1450" t="s">
        <v>191</v>
      </c>
      <c r="B32" s="1445"/>
      <c r="C32" s="1445">
        <f>C31/B31-1</f>
        <v>0.13832153690596538</v>
      </c>
      <c r="D32" s="1445">
        <f>D31/C31-1</f>
        <v>0.16885770119026478</v>
      </c>
      <c r="E32" s="1445">
        <f>E31/D31-1</f>
        <v>0.13040504597613811</v>
      </c>
      <c r="F32" s="1445">
        <f>F31/E31-1</f>
        <v>0.13815126050420168</v>
      </c>
      <c r="G32" s="1445">
        <f t="shared" ref="G32:U32" si="41">G31/F31-1</f>
        <v>1.0564678086237449</v>
      </c>
      <c r="H32" s="1445">
        <f t="shared" si="41"/>
        <v>-2.6482077205882248E-2</v>
      </c>
      <c r="I32" s="1445">
        <f t="shared" si="41"/>
        <v>3.3132707853897436E-2</v>
      </c>
      <c r="J32" s="1445">
        <f>J31/I31-1</f>
        <v>6.022788931090628E-2</v>
      </c>
      <c r="K32" s="1445">
        <f t="shared" si="41"/>
        <v>8.1856380972903153E-2</v>
      </c>
      <c r="L32" s="1445">
        <f t="shared" si="41"/>
        <v>9.4958297024772653E-2</v>
      </c>
      <c r="M32" s="1445">
        <f t="shared" si="41"/>
        <v>0.11391800632119864</v>
      </c>
      <c r="N32" s="1445">
        <f t="shared" si="41"/>
        <v>9.8736451040029483E-2</v>
      </c>
      <c r="O32" s="1445">
        <f t="shared" si="41"/>
        <v>0.12380633894400472</v>
      </c>
      <c r="P32" s="1445">
        <f t="shared" si="41"/>
        <v>6.9754251585136595E-2</v>
      </c>
      <c r="Q32" s="1445">
        <f t="shared" si="41"/>
        <v>9.0644669525669741E-2</v>
      </c>
      <c r="R32" s="1445">
        <f>R31/Q31-1</f>
        <v>4.4279135671271286E-2</v>
      </c>
      <c r="S32" s="1445">
        <f t="shared" si="41"/>
        <v>3.4464043419267565E-2</v>
      </c>
      <c r="T32" s="1445">
        <f t="shared" si="41"/>
        <v>2.3084994753410193E-2</v>
      </c>
      <c r="U32" s="1445">
        <f t="shared" si="41"/>
        <v>3.4615384615384714E-2</v>
      </c>
      <c r="V32" s="1445">
        <f t="shared" ref="V32:AH32" si="42">V31/U31-1</f>
        <v>4.2131350681536395E-2</v>
      </c>
      <c r="W32" s="1445">
        <f t="shared" si="42"/>
        <v>1.4268727705113005E-2</v>
      </c>
      <c r="X32" s="1445">
        <f t="shared" si="42"/>
        <v>4.4548651817116092E-2</v>
      </c>
      <c r="Y32" s="1445">
        <f t="shared" si="42"/>
        <v>4.7138047138047146E-2</v>
      </c>
      <c r="Z32" s="1445">
        <f t="shared" si="42"/>
        <v>4.6087888531618493E-2</v>
      </c>
      <c r="AA32" s="1445">
        <f t="shared" si="42"/>
        <v>5.1316269494993128E-2</v>
      </c>
      <c r="AB32" s="1445">
        <f t="shared" si="42"/>
        <v>4.1824346323519057E-2</v>
      </c>
      <c r="AC32" s="1445">
        <f t="shared" si="42"/>
        <v>7.831333036245347E-2</v>
      </c>
      <c r="AD32" s="1445">
        <f t="shared" si="42"/>
        <v>5.6245507148401819E-2</v>
      </c>
      <c r="AE32" s="1445">
        <f t="shared" si="42"/>
        <v>4.7213888506548063E-2</v>
      </c>
      <c r="AF32" s="1445">
        <f t="shared" si="42"/>
        <v>4.5085239056445792E-2</v>
      </c>
      <c r="AG32" s="1445">
        <f t="shared" si="42"/>
        <v>4.3140250547554437E-2</v>
      </c>
      <c r="AH32" s="1445">
        <f t="shared" si="42"/>
        <v>0</v>
      </c>
      <c r="AI32" s="1423"/>
      <c r="AJ32" s="1448"/>
      <c r="AK32" s="1423"/>
      <c r="AL32" s="1423"/>
      <c r="AM32" s="1423"/>
      <c r="AN32" s="1423"/>
      <c r="AO32" s="1423"/>
      <c r="AP32" s="1449"/>
      <c r="AQ32" s="1423"/>
      <c r="AR32" s="1423"/>
      <c r="AS32" s="1421" t="s">
        <v>380</v>
      </c>
      <c r="AT32" s="1422">
        <f t="shared" si="40"/>
        <v>6.0105880818184694E-2</v>
      </c>
      <c r="AU32" s="1422">
        <f t="shared" si="40"/>
        <v>7.4444148824821962E-2</v>
      </c>
      <c r="AV32" s="1422">
        <f t="shared" si="40"/>
        <v>8.7467360910928715E-2</v>
      </c>
      <c r="AW32" s="1422">
        <f t="shared" si="40"/>
        <v>9.4477652325781605E-2</v>
      </c>
      <c r="AX32" s="1422">
        <f t="shared" si="40"/>
        <v>0.10712673869613021</v>
      </c>
      <c r="AY32" s="1422">
        <f t="shared" si="40"/>
        <v>0.1199773299798565</v>
      </c>
    </row>
    <row r="33" spans="1:51" hidden="1" outlineLevel="1">
      <c r="A33" s="1450" t="s">
        <v>167</v>
      </c>
      <c r="B33" s="1488">
        <f t="shared" ref="B33:M33" si="43">+B110+B169+B214+B256+B297</f>
        <v>9.89</v>
      </c>
      <c r="C33" s="1488">
        <f t="shared" si="43"/>
        <v>11.257999999999999</v>
      </c>
      <c r="D33" s="1488">
        <f t="shared" si="43"/>
        <v>13.158999999999999</v>
      </c>
      <c r="E33" s="1488">
        <f t="shared" si="43"/>
        <v>14.875</v>
      </c>
      <c r="F33" s="1488">
        <f t="shared" si="43"/>
        <v>16.93</v>
      </c>
      <c r="G33" s="1488">
        <f t="shared" si="43"/>
        <v>34.816000000000003</v>
      </c>
      <c r="H33" s="1488">
        <f t="shared" si="43"/>
        <v>33.894000000000005</v>
      </c>
      <c r="I33" s="1488">
        <f t="shared" si="43"/>
        <v>35.017000000000003</v>
      </c>
      <c r="J33" s="1488">
        <f t="shared" si="43"/>
        <v>37.126000000000005</v>
      </c>
      <c r="K33" s="1488">
        <f t="shared" si="43"/>
        <v>40.165000000000006</v>
      </c>
      <c r="L33" s="1488">
        <f t="shared" si="43"/>
        <v>43.978999999999999</v>
      </c>
      <c r="M33" s="1488">
        <f t="shared" si="43"/>
        <v>48.988999999999997</v>
      </c>
      <c r="N33" s="1488">
        <f t="shared" ref="N33:V33" si="44">+N110+N169+N214+N256+N297+N338</f>
        <v>53.826000000000001</v>
      </c>
      <c r="O33" s="1488">
        <f t="shared" si="44"/>
        <v>60.503</v>
      </c>
      <c r="P33" s="1488">
        <f t="shared" si="44"/>
        <v>64.709434678384909</v>
      </c>
      <c r="Q33" s="1488">
        <f t="shared" si="44"/>
        <v>70.575000000000003</v>
      </c>
      <c r="R33" s="1488">
        <f t="shared" si="44"/>
        <v>73.699999999999989</v>
      </c>
      <c r="S33" s="1488">
        <f t="shared" si="44"/>
        <v>76.239999999999995</v>
      </c>
      <c r="T33" s="1488">
        <f t="shared" si="44"/>
        <v>79.440200000000004</v>
      </c>
      <c r="U33" s="1488">
        <f t="shared" si="44"/>
        <v>80.399999999999991</v>
      </c>
      <c r="V33" s="1488">
        <f t="shared" si="44"/>
        <v>83.6</v>
      </c>
      <c r="W33" s="1488">
        <f t="shared" ref="W33:AB33" si="45">+W110+W169+W214+W256+W297+W338</f>
        <v>84.699999999999989</v>
      </c>
      <c r="X33" s="1488">
        <f t="shared" si="45"/>
        <v>88.5</v>
      </c>
      <c r="Y33" s="1488">
        <f t="shared" si="45"/>
        <v>93.37148016048657</v>
      </c>
      <c r="Z33" s="1488">
        <f>+Z110+Z169+Z214+Z256+Z297+Z338</f>
        <v>96.699999999999989</v>
      </c>
      <c r="AA33" s="1488">
        <f>+AA110+AA169+AA214+AA256+AA297+AA338</f>
        <v>100.71452850877192</v>
      </c>
      <c r="AB33" s="1488">
        <f t="shared" si="45"/>
        <v>105.10000000000001</v>
      </c>
      <c r="AC33" s="1488">
        <f t="shared" ref="AC33:AH33" si="46">+AC110+AC169+AC214+AC256+AC297+AC338</f>
        <v>112.33645692050818</v>
      </c>
      <c r="AD33" s="1488">
        <f t="shared" si="46"/>
        <v>118.33295887951176</v>
      </c>
      <c r="AE33" s="1488">
        <f t="shared" si="46"/>
        <v>123.3074698137118</v>
      </c>
      <c r="AF33" s="1488">
        <f t="shared" si="46"/>
        <v>128.28198074791183</v>
      </c>
      <c r="AG33" s="1488">
        <f t="shared" si="46"/>
        <v>133.25649168211186</v>
      </c>
      <c r="AH33" s="1488">
        <f t="shared" si="46"/>
        <v>133.25649168211186</v>
      </c>
      <c r="AI33" s="1423"/>
      <c r="AJ33" s="1448"/>
      <c r="AK33" s="1423"/>
      <c r="AL33" s="1423"/>
      <c r="AM33" s="1423"/>
      <c r="AN33" s="1423"/>
      <c r="AO33" s="1423"/>
      <c r="AP33" s="1449"/>
      <c r="AQ33" s="1423"/>
      <c r="AR33" s="1423"/>
      <c r="AS33" s="1421"/>
      <c r="AT33" s="1421"/>
      <c r="AU33" s="1421"/>
      <c r="AV33" s="1421"/>
      <c r="AW33" s="1421"/>
      <c r="AX33" s="1421"/>
      <c r="AY33" s="1421"/>
    </row>
    <row r="34" spans="1:51" collapsed="1">
      <c r="A34" s="1421"/>
      <c r="B34" s="1421"/>
      <c r="C34" s="1421"/>
      <c r="D34" s="1421"/>
      <c r="E34" s="1421"/>
      <c r="F34" s="1421"/>
      <c r="G34" s="1421"/>
      <c r="H34" s="1421"/>
      <c r="I34" s="1421"/>
      <c r="J34" s="1421"/>
      <c r="K34" s="1421"/>
      <c r="L34" s="1445"/>
      <c r="M34" s="1421"/>
      <c r="N34" s="1421"/>
      <c r="O34" s="1421"/>
      <c r="P34" s="1421"/>
      <c r="Q34" s="1421"/>
      <c r="R34" s="1421"/>
      <c r="S34" s="1421"/>
      <c r="T34" s="1421"/>
      <c r="U34" s="1421"/>
      <c r="V34" s="1421"/>
      <c r="W34" s="1421"/>
      <c r="X34" s="1421"/>
      <c r="Y34" s="1421"/>
      <c r="Z34" s="1421"/>
      <c r="AA34" s="1421"/>
      <c r="AB34" s="1421"/>
      <c r="AC34" s="1421"/>
      <c r="AD34" s="1421"/>
      <c r="AE34" s="1421"/>
      <c r="AF34" s="1421"/>
      <c r="AG34" s="1421"/>
      <c r="AH34" s="1421"/>
      <c r="AI34" s="1423"/>
      <c r="AJ34" s="1448"/>
      <c r="AK34" s="1423"/>
      <c r="AL34" s="1423"/>
      <c r="AM34" s="1423"/>
      <c r="AN34" s="1423"/>
      <c r="AO34" s="1423"/>
      <c r="AP34" s="1449"/>
      <c r="AQ34" s="1423"/>
      <c r="AR34" s="1423"/>
      <c r="AS34" s="1421" t="s">
        <v>381</v>
      </c>
      <c r="AT34" s="1422">
        <f t="shared" ref="AT34:AY35" si="47">+AT26/AT$7</f>
        <v>5.8848161124334143E-2</v>
      </c>
      <c r="AU34" s="1422">
        <f t="shared" si="47"/>
        <v>6.5766812540694594E-2</v>
      </c>
      <c r="AV34" s="1422">
        <f t="shared" si="47"/>
        <v>6.7919948679996484E-2</v>
      </c>
      <c r="AW34" s="1422">
        <f t="shared" si="47"/>
        <v>7.3910748798024145E-2</v>
      </c>
      <c r="AX34" s="1422">
        <f t="shared" si="47"/>
        <v>7.8433293380379021E-2</v>
      </c>
      <c r="AY34" s="1422">
        <f t="shared" si="47"/>
        <v>8.0142061706131765E-2</v>
      </c>
    </row>
    <row r="35" spans="1:51">
      <c r="A35" s="1450" t="s">
        <v>201</v>
      </c>
      <c r="B35" s="1482">
        <f>B31/B20*1000000</f>
        <v>24849.246231155779</v>
      </c>
      <c r="C35" s="1482">
        <f t="shared" ref="C35:S35" si="48">C31/C19*1000000</f>
        <v>25242.152466367712</v>
      </c>
      <c r="D35" s="1482">
        <f t="shared" si="48"/>
        <v>26317.999999999996</v>
      </c>
      <c r="E35" s="1482">
        <f t="shared" si="48"/>
        <v>27094.71766848816</v>
      </c>
      <c r="F35" s="1482">
        <f t="shared" si="48"/>
        <v>27845.394736842103</v>
      </c>
      <c r="G35" s="1482">
        <f t="shared" si="48"/>
        <v>29859.348198970845</v>
      </c>
      <c r="H35" s="1482">
        <f t="shared" si="48"/>
        <v>29836.267605633806</v>
      </c>
      <c r="I35" s="1482">
        <f t="shared" si="48"/>
        <v>29903.501280956451</v>
      </c>
      <c r="J35" s="1482">
        <f t="shared" si="48"/>
        <v>29796.147672552172</v>
      </c>
      <c r="K35" s="1482">
        <f t="shared" si="48"/>
        <v>29598.378776713344</v>
      </c>
      <c r="L35" s="1482">
        <f t="shared" si="48"/>
        <v>29456.798392498324</v>
      </c>
      <c r="M35" s="1482">
        <f t="shared" si="48"/>
        <v>29422.822822822822</v>
      </c>
      <c r="N35" s="1482">
        <f t="shared" si="48"/>
        <v>29205.642973412912</v>
      </c>
      <c r="O35" s="1482">
        <f t="shared" si="48"/>
        <v>29335.596508244424</v>
      </c>
      <c r="P35" s="1482">
        <f t="shared" si="48"/>
        <v>29095.96883020904</v>
      </c>
      <c r="Q35" s="1482">
        <f t="shared" si="48"/>
        <v>29640.907181856372</v>
      </c>
      <c r="R35" s="1482">
        <f t="shared" si="48"/>
        <v>29886.455798864554</v>
      </c>
      <c r="S35" s="1482">
        <f t="shared" si="48"/>
        <v>29746.390948107692</v>
      </c>
      <c r="T35" s="1482">
        <f t="shared" ref="T35:Y35" si="49">T31/T19*1000000</f>
        <v>29411.764705882353</v>
      </c>
      <c r="U35" s="1482">
        <f t="shared" si="49"/>
        <v>29420.342690484871</v>
      </c>
      <c r="V35" s="1482">
        <f t="shared" si="49"/>
        <v>29415.879678209163</v>
      </c>
      <c r="W35" s="1482">
        <f t="shared" si="49"/>
        <v>29363.166953528398</v>
      </c>
      <c r="X35" s="1482">
        <f t="shared" si="49"/>
        <v>29213.114754098358</v>
      </c>
      <c r="Y35" s="1482">
        <f t="shared" si="49"/>
        <v>28984.156570363466</v>
      </c>
      <c r="Z35" s="1482">
        <f t="shared" ref="Z35:AE35" si="50">Z31/Z19*1000000</f>
        <v>28748.15905743741</v>
      </c>
      <c r="AA35" s="1482">
        <f t="shared" si="50"/>
        <v>28391.939098702635</v>
      </c>
      <c r="AB35" s="1482">
        <f t="shared" si="50"/>
        <v>28043.022035676811</v>
      </c>
      <c r="AC35" s="1482">
        <f t="shared" si="50"/>
        <v>28420.043149838828</v>
      </c>
      <c r="AD35" s="1482">
        <f t="shared" si="50"/>
        <v>28354.729846707694</v>
      </c>
      <c r="AE35" s="1482">
        <f t="shared" si="50"/>
        <v>28340.463851964629</v>
      </c>
      <c r="AF35" s="1482">
        <f>AF31/AF19*1000000</f>
        <v>28327.441279382412</v>
      </c>
      <c r="AG35" s="1482">
        <f>AG31/AG19*1000000</f>
        <v>28315.506352911158</v>
      </c>
      <c r="AH35" s="1482">
        <f>AH31/AH19*1000000</f>
        <v>27180.449880023636</v>
      </c>
      <c r="AI35" s="1478"/>
      <c r="AJ35" s="1479"/>
      <c r="AK35" s="1478"/>
      <c r="AL35" s="1478"/>
      <c r="AM35" s="1478"/>
      <c r="AN35" s="1478"/>
      <c r="AO35" s="1478"/>
      <c r="AP35" s="1480"/>
      <c r="AQ35" s="1478"/>
      <c r="AR35" s="1478"/>
      <c r="AS35" s="1421" t="s">
        <v>374</v>
      </c>
      <c r="AT35" s="1422">
        <f t="shared" si="47"/>
        <v>2.3137067909769032E-2</v>
      </c>
      <c r="AU35" s="1422">
        <f t="shared" si="47"/>
        <v>3.1633100334050174E-2</v>
      </c>
      <c r="AV35" s="1422">
        <f t="shared" si="47"/>
        <v>3.5581426552067016E-2</v>
      </c>
      <c r="AW35" s="1422">
        <f t="shared" si="47"/>
        <v>3.835729812083559E-2</v>
      </c>
      <c r="AX35" s="1422">
        <f t="shared" si="47"/>
        <v>3.4578543637537512E-2</v>
      </c>
      <c r="AY35" s="1422">
        <f t="shared" si="47"/>
        <v>3.4249779381985888E-2</v>
      </c>
    </row>
    <row r="36" spans="1:51">
      <c r="A36" s="1450" t="s">
        <v>191</v>
      </c>
      <c r="B36" s="1484"/>
      <c r="C36" s="1484">
        <f>C35/B35-1</f>
        <v>1.5811595714292137E-2</v>
      </c>
      <c r="D36" s="1484">
        <f>D35/C35-1</f>
        <v>4.2621069461715955E-2</v>
      </c>
      <c r="E36" s="1484">
        <f>E35/D35-1</f>
        <v>2.9512792327994752E-2</v>
      </c>
      <c r="F36" s="1484">
        <f>F35/E35-1</f>
        <v>2.7705661211853139E-2</v>
      </c>
      <c r="G36" s="1484">
        <f t="shared" ref="G36:U36" si="51">G35/F35-1</f>
        <v>7.232626727550362E-2</v>
      </c>
      <c r="H36" s="1484">
        <f t="shared" si="51"/>
        <v>-7.7297713209412144E-4</v>
      </c>
      <c r="I36" s="1484">
        <f t="shared" si="51"/>
        <v>2.2534211118936387E-3</v>
      </c>
      <c r="J36" s="1484">
        <f>J35/I35-1</f>
        <v>-3.5900012976957107E-3</v>
      </c>
      <c r="K36" s="1484">
        <f t="shared" si="51"/>
        <v>-6.6373981634213486E-3</v>
      </c>
      <c r="L36" s="1484">
        <f t="shared" si="51"/>
        <v>-4.7833830792924914E-3</v>
      </c>
      <c r="M36" s="1484">
        <f t="shared" si="51"/>
        <v>-1.1534033408109323E-3</v>
      </c>
      <c r="N36" s="1484">
        <f t="shared" si="51"/>
        <v>-7.3813396735491477E-3</v>
      </c>
      <c r="O36" s="1484">
        <f t="shared" si="51"/>
        <v>4.4496036245398329E-3</v>
      </c>
      <c r="P36" s="1484">
        <f t="shared" si="51"/>
        <v>-8.1684951580254239E-3</v>
      </c>
      <c r="Q36" s="1484">
        <f t="shared" si="51"/>
        <v>1.8728998330570956E-2</v>
      </c>
      <c r="R36" s="1484">
        <f t="shared" si="51"/>
        <v>8.2841127466735109E-3</v>
      </c>
      <c r="S36" s="1484">
        <f t="shared" si="51"/>
        <v>-4.6865661053788754E-3</v>
      </c>
      <c r="T36" s="1484">
        <f t="shared" si="51"/>
        <v>-1.1249305598419967E-2</v>
      </c>
      <c r="U36" s="1484">
        <f t="shared" si="51"/>
        <v>2.9165147648568812E-4</v>
      </c>
      <c r="V36" s="1484">
        <f t="shared" ref="V36:AH36" si="52">V35/U35-1</f>
        <v>-1.5169817437754585E-4</v>
      </c>
      <c r="W36" s="1484">
        <f t="shared" si="52"/>
        <v>-1.7919819246410285E-3</v>
      </c>
      <c r="X36" s="1484">
        <f t="shared" si="52"/>
        <v>-5.1102185151731261E-3</v>
      </c>
      <c r="Y36" s="1484">
        <f t="shared" si="52"/>
        <v>-7.8375135846400212E-3</v>
      </c>
      <c r="Z36" s="1484">
        <f t="shared" si="52"/>
        <v>-8.1422936131723134E-3</v>
      </c>
      <c r="AA36" s="1484">
        <f t="shared" si="52"/>
        <v>-1.2391052867874564E-2</v>
      </c>
      <c r="AB36" s="1484">
        <f t="shared" si="52"/>
        <v>-1.2289300206401399E-2</v>
      </c>
      <c r="AC36" s="1484">
        <f t="shared" si="52"/>
        <v>1.3444382480688466E-2</v>
      </c>
      <c r="AD36" s="1484">
        <f t="shared" si="52"/>
        <v>-2.2981422929860829E-3</v>
      </c>
      <c r="AE36" s="1484">
        <f t="shared" si="52"/>
        <v>-5.0312575080735389E-4</v>
      </c>
      <c r="AF36" s="1484">
        <f t="shared" si="52"/>
        <v>-4.5950456740018186E-4</v>
      </c>
      <c r="AG36" s="1484">
        <f t="shared" si="52"/>
        <v>-4.2132031458630426E-4</v>
      </c>
      <c r="AH36" s="1484">
        <f t="shared" si="52"/>
        <v>-4.008603832616342E-2</v>
      </c>
      <c r="AI36" s="1423"/>
      <c r="AJ36" s="1448"/>
      <c r="AK36" s="1423"/>
      <c r="AL36" s="1423"/>
      <c r="AM36" s="1423"/>
      <c r="AN36" s="1423"/>
      <c r="AO36" s="1423"/>
      <c r="AP36" s="1449"/>
      <c r="AQ36" s="1423"/>
      <c r="AR36" s="1423"/>
      <c r="AS36" s="1421"/>
      <c r="AT36" s="1421"/>
      <c r="AU36" s="1421"/>
      <c r="AV36" s="1421"/>
      <c r="AW36" s="1421"/>
      <c r="AX36" s="1421"/>
      <c r="AY36" s="1421"/>
    </row>
    <row r="37" spans="1:51">
      <c r="A37" s="1421"/>
      <c r="B37" s="1421"/>
      <c r="C37" s="1421"/>
      <c r="D37" s="1421"/>
      <c r="E37" s="1421"/>
      <c r="F37" s="1421"/>
      <c r="G37" s="1421"/>
      <c r="H37" s="1421"/>
      <c r="I37" s="1421"/>
      <c r="J37" s="1421"/>
      <c r="K37" s="1421"/>
      <c r="L37" s="1421"/>
      <c r="M37" s="1421"/>
      <c r="N37" s="1421"/>
      <c r="O37" s="1421"/>
      <c r="P37" s="1421"/>
      <c r="Q37" s="1421"/>
      <c r="R37" s="1421"/>
      <c r="S37" s="1421"/>
      <c r="T37" s="1421"/>
      <c r="U37" s="1421"/>
      <c r="V37" s="1421"/>
      <c r="W37" s="1421"/>
      <c r="X37" s="1421"/>
      <c r="Y37" s="1421"/>
      <c r="Z37" s="1421"/>
      <c r="AA37" s="1421"/>
      <c r="AB37" s="1421"/>
      <c r="AC37" s="1421"/>
      <c r="AD37" s="1421"/>
      <c r="AE37" s="1421"/>
      <c r="AF37" s="1421"/>
      <c r="AG37" s="1421"/>
      <c r="AH37" s="1421"/>
      <c r="AI37" s="1423"/>
      <c r="AJ37" s="1448"/>
      <c r="AK37" s="1423"/>
      <c r="AL37" s="1423"/>
      <c r="AM37" s="1423"/>
      <c r="AN37" s="1423"/>
      <c r="AO37" s="1423"/>
      <c r="AP37" s="1449"/>
      <c r="AQ37" s="1423"/>
      <c r="AR37" s="1423" t="s">
        <v>309</v>
      </c>
      <c r="AS37" s="1421"/>
      <c r="AT37" s="1421"/>
      <c r="AU37" s="1421"/>
      <c r="AV37" s="1421"/>
      <c r="AW37" s="1421"/>
      <c r="AX37" s="1421"/>
      <c r="AY37" s="1421"/>
    </row>
    <row r="38" spans="1:51">
      <c r="A38" s="1450" t="s">
        <v>505</v>
      </c>
      <c r="B38" s="1451">
        <f t="shared" ref="B38:S38" si="53">B7/(B28)</f>
        <v>263.39477792732163</v>
      </c>
      <c r="C38" s="1451">
        <f t="shared" si="53"/>
        <v>260.80149423113301</v>
      </c>
      <c r="D38" s="1451">
        <f t="shared" si="53"/>
        <v>267.12863988204941</v>
      </c>
      <c r="E38" s="1451">
        <f t="shared" si="53"/>
        <v>202.04537347506599</v>
      </c>
      <c r="F38" s="1451">
        <f t="shared" si="53"/>
        <v>192.14419116491121</v>
      </c>
      <c r="G38" s="1451">
        <f t="shared" si="53"/>
        <v>199.74323059626025</v>
      </c>
      <c r="H38" s="1451">
        <f t="shared" si="53"/>
        <v>194.71430650560325</v>
      </c>
      <c r="I38" s="1451">
        <f t="shared" si="53"/>
        <v>214.45252572158293</v>
      </c>
      <c r="J38" s="1451">
        <f t="shared" si="53"/>
        <v>220.36430422910053</v>
      </c>
      <c r="K38" s="1451">
        <f t="shared" si="53"/>
        <v>227.59045684491076</v>
      </c>
      <c r="L38" s="1451">
        <f t="shared" si="53"/>
        <v>227.68126069594976</v>
      </c>
      <c r="M38" s="1451">
        <f t="shared" si="53"/>
        <v>230.38030289992258</v>
      </c>
      <c r="N38" s="1451">
        <f>N7/(N28)</f>
        <v>233.06340514516361</v>
      </c>
      <c r="O38" s="1451">
        <f>O7/(O28)</f>
        <v>233.17712306238846</v>
      </c>
      <c r="P38" s="1451">
        <f t="shared" si="53"/>
        <v>238.23562843250988</v>
      </c>
      <c r="Q38" s="1451">
        <f t="shared" si="53"/>
        <v>237.39515988184351</v>
      </c>
      <c r="R38" s="1451">
        <f t="shared" si="53"/>
        <v>241.27031017154741</v>
      </c>
      <c r="S38" s="1451">
        <f t="shared" si="53"/>
        <v>246.39152994531148</v>
      </c>
      <c r="T38" s="1451">
        <f t="shared" ref="T38:Y38" si="54">T7/(T28)</f>
        <v>246.36287603734436</v>
      </c>
      <c r="U38" s="1451">
        <f t="shared" si="54"/>
        <v>255.68297416509137</v>
      </c>
      <c r="V38" s="1451">
        <f t="shared" si="54"/>
        <v>262.90353155339801</v>
      </c>
      <c r="W38" s="1451">
        <f t="shared" si="54"/>
        <v>273.69806375442744</v>
      </c>
      <c r="X38" s="1451">
        <f t="shared" si="54"/>
        <v>296.7703211009175</v>
      </c>
      <c r="Y38" s="1451">
        <f t="shared" si="54"/>
        <v>300.68745614035089</v>
      </c>
      <c r="Z38" s="1451">
        <f t="shared" ref="Z38:AE38" si="55">Z7/(Z28)</f>
        <v>304.64543740178107</v>
      </c>
      <c r="AA38" s="1451">
        <f>AA7/(AA28)</f>
        <v>309.12716454168446</v>
      </c>
      <c r="AB38" s="1451">
        <f t="shared" si="55"/>
        <v>316.7771148554188</v>
      </c>
      <c r="AC38" s="1451">
        <f t="shared" si="55"/>
        <v>322.85538441301549</v>
      </c>
      <c r="AD38" s="1451">
        <f t="shared" si="55"/>
        <v>319.30389150540282</v>
      </c>
      <c r="AE38" s="1451">
        <f t="shared" si="55"/>
        <v>323.75931264619663</v>
      </c>
      <c r="AF38" s="1451">
        <f>AF7/(AF28)</f>
        <v>329.16897970574138</v>
      </c>
      <c r="AG38" s="1451">
        <f>AG7/(AG28)</f>
        <v>334.94358649949356</v>
      </c>
      <c r="AH38" s="1451">
        <f>AH7/(AH28)</f>
        <v>343.08156631868326</v>
      </c>
      <c r="AI38" s="1423"/>
      <c r="AJ38" s="1448"/>
      <c r="AK38" s="1453">
        <f>((X38/S38)^(1/5)-1)*100</f>
        <v>3.7908188899409501</v>
      </c>
      <c r="AL38" s="1454" t="s">
        <v>190</v>
      </c>
      <c r="AM38" s="1453">
        <f>((AC38/X38)^(1/5)-1)*100</f>
        <v>1.6991945667126584</v>
      </c>
      <c r="AN38" s="1454" t="s">
        <v>190</v>
      </c>
      <c r="AO38" s="1455">
        <f>((AH38/AC38)^(1/5)-1)*100</f>
        <v>1.2226889631692828</v>
      </c>
      <c r="AP38" s="1449" t="s">
        <v>190</v>
      </c>
      <c r="AQ38" s="1454"/>
      <c r="AR38" s="1423" t="s">
        <v>306</v>
      </c>
      <c r="AS38" s="1421"/>
      <c r="AT38" s="1422">
        <f>+AT22/M65-1</f>
        <v>7.0238663810314517E-2</v>
      </c>
      <c r="AU38" s="1422">
        <f>+AU22/AT22-1</f>
        <v>4.7611627836858128E-2</v>
      </c>
      <c r="AV38" s="1422">
        <f>+AV22/AU22-1</f>
        <v>5.5576185096696262E-2</v>
      </c>
      <c r="AW38" s="1422">
        <f>+AW22/AV22-1</f>
        <v>4.4550357987308775E-2</v>
      </c>
      <c r="AX38" s="1422">
        <f>+AX22/AW22-1</f>
        <v>5.247860960712214E-2</v>
      </c>
      <c r="AY38" s="1422">
        <f>+AY22/AX22-1</f>
        <v>3.7710207049472366E-2</v>
      </c>
    </row>
    <row r="39" spans="1:51">
      <c r="A39" s="1450" t="s">
        <v>191</v>
      </c>
      <c r="B39" s="1484"/>
      <c r="C39" s="1484">
        <f>C38/B38-1</f>
        <v>-9.8456154544726004E-3</v>
      </c>
      <c r="D39" s="1484">
        <f>D38/C38-1</f>
        <v>2.4260388804785871E-2</v>
      </c>
      <c r="E39" s="1484">
        <f>E38/D38-1</f>
        <v>-0.24364016690880064</v>
      </c>
      <c r="F39" s="1484">
        <f>F38/E38-1</f>
        <v>-4.9004746507480212E-2</v>
      </c>
      <c r="G39" s="1484">
        <f t="shared" ref="G39:U39" si="56">G38/F38-1</f>
        <v>3.9548629522851542E-2</v>
      </c>
      <c r="H39" s="1484">
        <f t="shared" si="56"/>
        <v>-2.5176943797519447E-2</v>
      </c>
      <c r="I39" s="1484">
        <f t="shared" si="56"/>
        <v>0.10137015389473536</v>
      </c>
      <c r="J39" s="1484">
        <f>J38/I38-1</f>
        <v>2.7566840202165155E-2</v>
      </c>
      <c r="K39" s="1484">
        <f t="shared" si="56"/>
        <v>3.2791847305258637E-2</v>
      </c>
      <c r="L39" s="1484">
        <f t="shared" si="56"/>
        <v>3.9897916765840868E-4</v>
      </c>
      <c r="M39" s="1484">
        <f t="shared" si="56"/>
        <v>1.1854476717682916E-2</v>
      </c>
      <c r="N39" s="1484">
        <f t="shared" si="56"/>
        <v>1.1646404711979974E-2</v>
      </c>
      <c r="O39" s="1484">
        <f t="shared" si="56"/>
        <v>4.8792695341437486E-4</v>
      </c>
      <c r="P39" s="1484">
        <f t="shared" si="56"/>
        <v>2.1693832155086579E-2</v>
      </c>
      <c r="Q39" s="1484">
        <f t="shared" si="56"/>
        <v>-3.5278877311353263E-3</v>
      </c>
      <c r="R39" s="1484">
        <f t="shared" si="56"/>
        <v>1.6323628045460836E-2</v>
      </c>
      <c r="S39" s="1484">
        <f t="shared" si="56"/>
        <v>2.1226067020524875E-2</v>
      </c>
      <c r="T39" s="1484">
        <f t="shared" si="56"/>
        <v>-1.1629420854475381E-4</v>
      </c>
      <c r="U39" s="1484">
        <f t="shared" si="56"/>
        <v>3.7830773360245429E-2</v>
      </c>
      <c r="V39" s="1484">
        <f t="shared" ref="V39:AH39" si="57">V38/U38-1</f>
        <v>2.8240274550484612E-2</v>
      </c>
      <c r="W39" s="1484">
        <f t="shared" si="57"/>
        <v>4.1058909088244722E-2</v>
      </c>
      <c r="X39" s="1484">
        <f t="shared" si="57"/>
        <v>8.4298211795869271E-2</v>
      </c>
      <c r="Y39" s="1484">
        <f t="shared" si="57"/>
        <v>1.3199214210174892E-2</v>
      </c>
      <c r="Z39" s="1484">
        <f t="shared" si="57"/>
        <v>1.3163107341540359E-2</v>
      </c>
      <c r="AA39" s="1484">
        <f t="shared" si="57"/>
        <v>1.4711289222404167E-2</v>
      </c>
      <c r="AB39" s="1484">
        <f t="shared" si="57"/>
        <v>2.4746936507751505E-2</v>
      </c>
      <c r="AC39" s="1484">
        <f t="shared" si="57"/>
        <v>1.9187843037117291E-2</v>
      </c>
      <c r="AD39" s="1484">
        <f t="shared" si="57"/>
        <v>-1.1000259184370309E-2</v>
      </c>
      <c r="AE39" s="1484">
        <f t="shared" si="57"/>
        <v>1.3953544755712421E-2</v>
      </c>
      <c r="AF39" s="1484">
        <f t="shared" si="57"/>
        <v>1.6708915692122295E-2</v>
      </c>
      <c r="AG39" s="1484">
        <f t="shared" si="57"/>
        <v>1.7542985973084013E-2</v>
      </c>
      <c r="AH39" s="1484">
        <f t="shared" si="57"/>
        <v>2.4296568578129785E-2</v>
      </c>
      <c r="AI39" s="1423"/>
      <c r="AJ39" s="1448"/>
      <c r="AK39" s="1423"/>
      <c r="AL39" s="1423"/>
      <c r="AM39" s="1423"/>
      <c r="AN39" s="1423"/>
      <c r="AO39" s="1423"/>
      <c r="AP39" s="1449"/>
      <c r="AQ39" s="1423"/>
      <c r="AR39" s="1423"/>
      <c r="AS39" s="1421" t="s">
        <v>303</v>
      </c>
      <c r="AT39" s="1422">
        <f t="shared" ref="AT39:AY40" si="58">+N125</f>
        <v>0.02</v>
      </c>
      <c r="AU39" s="1422">
        <f t="shared" si="58"/>
        <v>-0.01</v>
      </c>
      <c r="AV39" s="1422">
        <f t="shared" si="58"/>
        <v>0.04</v>
      </c>
      <c r="AW39" s="1422">
        <f t="shared" si="58"/>
        <v>2.3070545857052264E-2</v>
      </c>
      <c r="AX39" s="1422">
        <f t="shared" si="58"/>
        <v>0.02</v>
      </c>
      <c r="AY39" s="1422">
        <f t="shared" si="58"/>
        <v>0.01</v>
      </c>
    </row>
    <row r="40" spans="1:51" ht="11.25" customHeight="1">
      <c r="A40" s="1421"/>
      <c r="B40" s="1421"/>
      <c r="C40" s="1421"/>
      <c r="D40" s="1421"/>
      <c r="E40" s="1421"/>
      <c r="F40" s="1421"/>
      <c r="G40" s="1421"/>
      <c r="H40" s="1421"/>
      <c r="I40" s="1421"/>
      <c r="J40" s="1421"/>
      <c r="K40" s="1421"/>
      <c r="L40" s="1421"/>
      <c r="M40" s="1421"/>
      <c r="N40" s="1421"/>
      <c r="O40" s="1421"/>
      <c r="P40" s="1421"/>
      <c r="Q40" s="1421"/>
      <c r="R40" s="1421"/>
      <c r="S40" s="1421"/>
      <c r="T40" s="1421"/>
      <c r="U40" s="1421"/>
      <c r="V40" s="1421"/>
      <c r="W40" s="1421"/>
      <c r="X40" s="1421"/>
      <c r="Y40" s="1421"/>
      <c r="Z40" s="1421"/>
      <c r="AA40" s="1421"/>
      <c r="AB40" s="1421"/>
      <c r="AC40" s="1421"/>
      <c r="AD40" s="1421"/>
      <c r="AE40" s="1421"/>
      <c r="AF40" s="1421"/>
      <c r="AG40" s="1421"/>
      <c r="AH40" s="1421"/>
      <c r="AI40" s="1423"/>
      <c r="AJ40" s="1448"/>
      <c r="AK40" s="1423"/>
      <c r="AL40" s="1423"/>
      <c r="AM40" s="1423"/>
      <c r="AN40" s="1423"/>
      <c r="AO40" s="1423"/>
      <c r="AP40" s="1449"/>
      <c r="AQ40" s="1423"/>
      <c r="AR40" s="1423"/>
      <c r="AS40" s="1421" t="s">
        <v>304</v>
      </c>
      <c r="AT40" s="1422">
        <f t="shared" si="58"/>
        <v>5.0238663810314513E-2</v>
      </c>
      <c r="AU40" s="1422">
        <f t="shared" si="58"/>
        <v>5.761162783685813E-2</v>
      </c>
      <c r="AV40" s="1422">
        <f t="shared" si="58"/>
        <v>1.5576185096696261E-2</v>
      </c>
      <c r="AW40" s="1422">
        <f t="shared" si="58"/>
        <v>2.1479812130256511E-2</v>
      </c>
      <c r="AX40" s="1422">
        <f t="shared" si="58"/>
        <v>3.2478609607122136E-2</v>
      </c>
      <c r="AY40" s="1422">
        <f t="shared" si="58"/>
        <v>2.7710207049472364E-2</v>
      </c>
    </row>
    <row r="41" spans="1:51" ht="12.75" customHeight="1">
      <c r="A41" s="1450" t="s">
        <v>506</v>
      </c>
      <c r="B41" s="1484">
        <f>'qtrP&amp;L'!H14/100</f>
        <v>5.5E-2</v>
      </c>
      <c r="C41" s="1484">
        <f>'qtrP&amp;L'!L14/100</f>
        <v>0.02</v>
      </c>
      <c r="D41" s="1484">
        <f>'qtrP&amp;L'!P14/100</f>
        <v>0.05</v>
      </c>
      <c r="E41" s="1484">
        <f>'qtrP&amp;L'!T14/100</f>
        <v>0.02</v>
      </c>
      <c r="F41" s="1484">
        <f>'qtrP&amp;L'!X14/100</f>
        <v>0</v>
      </c>
      <c r="G41" s="1484">
        <f>'qtrP&amp;L'!AB14/100</f>
        <v>-0.02</v>
      </c>
      <c r="H41" s="1484">
        <f>'qtrP&amp;L'!AF14/100</f>
        <v>7.5263349084597891E-2</v>
      </c>
      <c r="I41" s="1484">
        <f>'qtrP&amp;L'!AJ14/100</f>
        <v>6.2E-2</v>
      </c>
      <c r="J41" s="1484">
        <f>'qtrP&amp;L'!AN14/100</f>
        <v>4.6106199232570262E-2</v>
      </c>
      <c r="K41" s="1484">
        <f>'qtrP&amp;L'!AR14/100</f>
        <v>0.05</v>
      </c>
      <c r="L41" s="1484">
        <f>'qtrP&amp;L'!AV14/100</f>
        <v>0.02</v>
      </c>
      <c r="M41" s="1484">
        <f>+'qtrP&amp;L'!AZ14/100</f>
        <v>0.03</v>
      </c>
      <c r="N41" s="1484">
        <f>+'qtrP&amp;L'!BD14/100</f>
        <v>0.03</v>
      </c>
      <c r="O41" s="1484">
        <f>+'qtrP&amp;L'!BH14/100</f>
        <v>0.01</v>
      </c>
      <c r="P41" s="1484">
        <f>'qtrP&amp;L'!BL14/100</f>
        <v>0.05</v>
      </c>
      <c r="Q41" s="1484">
        <f>+qtrSales!F121/100</f>
        <v>0.02</v>
      </c>
      <c r="R41" s="1484">
        <f>+'qtrP&amp;L'!BT14*0.01</f>
        <v>0.03</v>
      </c>
      <c r="S41" s="1484">
        <f>+'qtrP&amp;L'!BX14*0.01</f>
        <v>0.02</v>
      </c>
      <c r="T41" s="1484">
        <f>'qtrP&amp;L'!CB14*0.01</f>
        <v>0.01</v>
      </c>
      <c r="U41" s="1484">
        <f>'qtrP&amp;L'!$CF$14*0.01</f>
        <v>0.06</v>
      </c>
      <c r="V41" s="1484">
        <f>+'qtrP&amp;L'!CJ14*0.01</f>
        <v>0.04</v>
      </c>
      <c r="W41" s="1484">
        <f>+'qtrP&amp;L'!CN14*0.01</f>
        <v>0.04</v>
      </c>
      <c r="X41" s="1484">
        <f>+'qtrP&amp;L'!CR14*0.01</f>
        <v>7.0000000000000007E-2</v>
      </c>
      <c r="Y41" s="1484">
        <f>+'qtrP&amp;L'!CV14*0.01</f>
        <v>0.03</v>
      </c>
      <c r="Z41" s="1484">
        <f>+'qtrP&amp;L'!CZ14*0.01</f>
        <v>0.02</v>
      </c>
      <c r="AA41" s="1484">
        <f>+'qtrP&amp;L'!DD14*0.01</f>
        <v>0.05</v>
      </c>
      <c r="AB41" s="1484">
        <f>'qtrP&amp;L'!$DH$14*0.01</f>
        <v>0.05</v>
      </c>
      <c r="AC41" s="1484">
        <f>'qtrP&amp;L'!DL14/100</f>
        <v>0.02</v>
      </c>
      <c r="AD41" s="1484">
        <f>'qtrP&amp;L'!DP14/100</f>
        <v>2.2735531853315217E-2</v>
      </c>
      <c r="AE41" s="1489">
        <f>AE181*(AD138/AD$7)+AE223*(AD194/AD$7)+AE265*(AD236/AD$7)+AE125*(AD65/AD$7)</f>
        <v>3.0016526963287389E-2</v>
      </c>
      <c r="AF41" s="1489">
        <f>AF181*(AE138/AE$7)+AF223*(AE194/AE$7)+AF265*(AE236/AE$7)+AF125*(AE65/AE$7)</f>
        <v>3.0273474077404442E-2</v>
      </c>
      <c r="AG41" s="1489">
        <f>AG181*(AF138/AF$7)+AG223*(AF194/AF$7)+AG265*(AF236/AF$7)+AG125*(AF65/AF$7)</f>
        <v>3.0403082409305095E-2</v>
      </c>
      <c r="AH41" s="1489">
        <f>AH181*(AG138/AG$7)+AH223*(AG194/AG$7)+AH265*(AG236/AG$7)+AH125*(AG65/AG$7)</f>
        <v>3.0530362789752755E-2</v>
      </c>
      <c r="AI41" s="1490"/>
      <c r="AJ41" s="1491"/>
      <c r="AK41" s="1423"/>
      <c r="AL41" s="1423"/>
      <c r="AM41" s="1423"/>
      <c r="AN41" s="1423"/>
      <c r="AO41" s="1423"/>
      <c r="AP41" s="1449"/>
      <c r="AQ41" s="1423"/>
      <c r="AR41" s="1423"/>
      <c r="AS41" s="1421"/>
      <c r="AT41" s="1421"/>
      <c r="AU41" s="1421"/>
      <c r="AV41" s="1421"/>
      <c r="AW41" s="1421"/>
      <c r="AX41" s="1421"/>
      <c r="AY41" s="1421"/>
    </row>
    <row r="42" spans="1:51">
      <c r="A42" s="1450" t="s">
        <v>365</v>
      </c>
      <c r="B42" s="1484">
        <f t="shared" ref="B42:G42" si="59">+B9-B41</f>
        <v>0.4868411492276547</v>
      </c>
      <c r="C42" s="1484">
        <f t="shared" si="59"/>
        <v>0.1073100901409856</v>
      </c>
      <c r="D42" s="1484">
        <f t="shared" si="59"/>
        <v>0.13258775834341102</v>
      </c>
      <c r="E42" s="1484">
        <f t="shared" si="59"/>
        <v>-0.15159718389324303</v>
      </c>
      <c r="F42" s="1484">
        <f t="shared" si="59"/>
        <v>7.891860017584329E-2</v>
      </c>
      <c r="G42" s="1484">
        <f t="shared" si="59"/>
        <v>0.32093930009199556</v>
      </c>
      <c r="H42" s="1484"/>
      <c r="I42" s="1484"/>
      <c r="J42" s="1484">
        <f t="shared" ref="J42:Y42" si="60">+J9-J41</f>
        <v>2.9654630717725165E-2</v>
      </c>
      <c r="K42" s="1484">
        <f t="shared" si="60"/>
        <v>5.6490091485948121E-2</v>
      </c>
      <c r="L42" s="1484">
        <f t="shared" si="60"/>
        <v>6.9099270330096121E-2</v>
      </c>
      <c r="M42" s="1484">
        <f t="shared" si="60"/>
        <v>8.7965475749780336E-2</v>
      </c>
      <c r="N42" s="1484">
        <f t="shared" si="60"/>
        <v>8.879813592270705E-2</v>
      </c>
      <c r="O42" s="1484">
        <f t="shared" si="60"/>
        <v>0.10240361676415423</v>
      </c>
      <c r="P42" s="1484">
        <f t="shared" si="60"/>
        <v>6.8964013788179332E-2</v>
      </c>
      <c r="Q42" s="1484">
        <f t="shared" si="60"/>
        <v>5.6739417612907697E-2</v>
      </c>
      <c r="R42" s="1484">
        <f t="shared" si="60"/>
        <v>5.3865204336672329E-2</v>
      </c>
      <c r="S42" s="1484">
        <f t="shared" si="60"/>
        <v>4.1324806716738674E-2</v>
      </c>
      <c r="T42" s="1484">
        <f t="shared" si="60"/>
        <v>1.8558508611938425E-2</v>
      </c>
      <c r="U42" s="1484">
        <f t="shared" si="60"/>
        <v>7.840662164619705E-3</v>
      </c>
      <c r="V42" s="1484">
        <f t="shared" si="60"/>
        <v>2.7763057630245037E-2</v>
      </c>
      <c r="W42" s="1484">
        <f t="shared" si="60"/>
        <v>3.0117592230270808E-2</v>
      </c>
      <c r="X42" s="1484">
        <f t="shared" si="60"/>
        <v>4.6302291246750837E-2</v>
      </c>
      <c r="Y42" s="1484">
        <f t="shared" si="60"/>
        <v>2.9676242384953505E-2</v>
      </c>
      <c r="Z42" s="1484">
        <f t="shared" ref="Z42:AE42" si="61">+Z9-Z41</f>
        <v>4.0377396883223962E-2</v>
      </c>
      <c r="AA42" s="1484">
        <f t="shared" si="61"/>
        <v>1.4189589202737315E-2</v>
      </c>
      <c r="AB42" s="1484">
        <f t="shared" si="61"/>
        <v>2.2348052531241433E-2</v>
      </c>
      <c r="AC42" s="1484">
        <f t="shared" si="61"/>
        <v>6.07901603869654E-2</v>
      </c>
      <c r="AD42" s="1484">
        <f t="shared" si="61"/>
        <v>3.2392339284693775E-2</v>
      </c>
      <c r="AE42" s="1484">
        <f t="shared" si="61"/>
        <v>3.626328150675661E-2</v>
      </c>
      <c r="AF42" s="1484">
        <f>+AF9-AF41</f>
        <v>3.3331158431214591E-2</v>
      </c>
      <c r="AG42" s="1484">
        <f>+AG9-AG41</f>
        <v>3.2004702249600413E-2</v>
      </c>
      <c r="AH42" s="1484">
        <f>+AH9-AH41</f>
        <v>1.5393899037344436E-2</v>
      </c>
      <c r="AI42" s="1490"/>
      <c r="AJ42" s="1491"/>
      <c r="AK42" s="1423"/>
      <c r="AL42" s="1423"/>
      <c r="AM42" s="1423"/>
      <c r="AN42" s="1423"/>
      <c r="AO42" s="1423"/>
      <c r="AP42" s="1449"/>
      <c r="AQ42" s="1423"/>
      <c r="AR42" s="1423" t="s">
        <v>383</v>
      </c>
      <c r="AS42" s="1421"/>
      <c r="AT42" s="1422">
        <f>+AT24/M138-1</f>
        <v>0.20022636587443654</v>
      </c>
      <c r="AU42" s="1422">
        <f>+AU24/AT24-1</f>
        <v>0.35694690633659509</v>
      </c>
      <c r="AV42" s="1422">
        <f>+AV24/AU24-1</f>
        <v>0.1942763066820401</v>
      </c>
      <c r="AW42" s="1422">
        <f>+AW24/AV24-1</f>
        <v>0.13403747669084232</v>
      </c>
      <c r="AX42" s="1422">
        <f>+AX24/AW24-1</f>
        <v>0.19417782094974689</v>
      </c>
      <c r="AY42" s="1422">
        <f>+AY24/AX24-1</f>
        <v>0.17234529491106376</v>
      </c>
    </row>
    <row r="43" spans="1:51" ht="11.25" customHeight="1">
      <c r="A43" s="1421"/>
      <c r="B43" s="1421"/>
      <c r="C43" s="1421"/>
      <c r="D43" s="1421" t="s">
        <v>106</v>
      </c>
      <c r="E43" s="1421"/>
      <c r="F43" s="1421"/>
      <c r="G43" s="1421"/>
      <c r="H43" s="1421"/>
      <c r="I43" s="1421"/>
      <c r="J43" s="1421"/>
      <c r="K43" s="1421"/>
      <c r="L43" s="1421"/>
      <c r="M43" s="1421"/>
      <c r="N43" s="1421"/>
      <c r="O43" s="1421"/>
      <c r="P43" s="1421"/>
      <c r="Q43" s="1421"/>
      <c r="R43" s="1421"/>
      <c r="S43" s="1421"/>
      <c r="T43" s="1421"/>
      <c r="U43" s="1421"/>
      <c r="V43" s="1421"/>
      <c r="W43" s="1421"/>
      <c r="X43" s="1421"/>
      <c r="Y43" s="1421"/>
      <c r="Z43" s="1421"/>
      <c r="AA43" s="1421"/>
      <c r="AB43" s="1421"/>
      <c r="AC43" s="1421"/>
      <c r="AD43" s="1421"/>
      <c r="AE43" s="1421"/>
      <c r="AF43" s="1421"/>
      <c r="AG43" s="1421"/>
      <c r="AH43" s="1421"/>
      <c r="AI43" s="1423"/>
      <c r="AJ43" s="1448"/>
      <c r="AK43" s="1423"/>
      <c r="AL43" s="1423"/>
      <c r="AM43" s="1423"/>
      <c r="AN43" s="1423"/>
      <c r="AO43" s="1423"/>
      <c r="AP43" s="1449"/>
      <c r="AQ43" s="1423"/>
      <c r="AR43" s="1423"/>
      <c r="AS43" s="1421" t="s">
        <v>303</v>
      </c>
      <c r="AT43" s="1422">
        <f t="shared" ref="AT43:AY44" si="62">+N181</f>
        <v>0.05</v>
      </c>
      <c r="AU43" s="1422">
        <f t="shared" si="62"/>
        <v>0.04</v>
      </c>
      <c r="AV43" s="1422">
        <f t="shared" si="62"/>
        <v>3.6981607061867573E-2</v>
      </c>
      <c r="AW43" s="1422">
        <f t="shared" si="62"/>
        <v>-2.6737125240784341E-2</v>
      </c>
      <c r="AX43" s="1422">
        <f t="shared" si="62"/>
        <v>0.05</v>
      </c>
      <c r="AY43" s="1422">
        <f t="shared" si="62"/>
        <v>0.05</v>
      </c>
    </row>
    <row r="44" spans="1:51" ht="12.75" customHeight="1" outlineLevel="1">
      <c r="A44" s="1450" t="s">
        <v>432</v>
      </c>
      <c r="B44" s="1482"/>
      <c r="C44" s="1482">
        <f t="shared" ref="C44:U44" si="63">+(C31-B31)*1000000/(C19-C14)</f>
        <v>28499.999999999971</v>
      </c>
      <c r="D44" s="1482">
        <f t="shared" si="63"/>
        <v>35203.703703703701</v>
      </c>
      <c r="E44" s="1482">
        <f t="shared" si="63"/>
        <v>35020.408163265332</v>
      </c>
      <c r="F44" s="1482">
        <f t="shared" si="63"/>
        <v>34830.508474576265</v>
      </c>
      <c r="G44" s="1482">
        <f t="shared" si="63"/>
        <v>32053.763440860221</v>
      </c>
      <c r="H44" s="1482">
        <f t="shared" si="63"/>
        <v>30733.333333333238</v>
      </c>
      <c r="I44" s="1482">
        <f t="shared" si="63"/>
        <v>32085.714285714221</v>
      </c>
      <c r="J44" s="1482">
        <f t="shared" si="63"/>
        <v>28120.000000000025</v>
      </c>
      <c r="K44" s="1482">
        <f t="shared" si="63"/>
        <v>27378.378378378391</v>
      </c>
      <c r="L44" s="1482">
        <f t="shared" si="63"/>
        <v>28044.117647058771</v>
      </c>
      <c r="M44" s="1482">
        <f t="shared" si="63"/>
        <v>29127.906976744176</v>
      </c>
      <c r="N44" s="1482">
        <f t="shared" si="63"/>
        <v>27174.157303370808</v>
      </c>
      <c r="O44" s="1482">
        <f t="shared" si="63"/>
        <v>30429.223744292245</v>
      </c>
      <c r="P44" s="1482">
        <f t="shared" si="63"/>
        <v>26045.89307645004</v>
      </c>
      <c r="Q44" s="1482">
        <f t="shared" si="63"/>
        <v>37360.288672707698</v>
      </c>
      <c r="R44" s="1482">
        <f t="shared" si="63"/>
        <v>36764.705882352609</v>
      </c>
      <c r="S44" s="1482">
        <f t="shared" si="63"/>
        <v>26185.567010309489</v>
      </c>
      <c r="T44" s="1482">
        <f t="shared" si="63"/>
        <v>19775.280898876303</v>
      </c>
      <c r="U44" s="1482">
        <f t="shared" si="63"/>
        <v>29670.329670329702</v>
      </c>
      <c r="V44" s="1482">
        <f t="shared" ref="V44:AH44" si="64">+(V31-U31)*1000000/(V19-V14)</f>
        <v>29310.344827586134</v>
      </c>
      <c r="W44" s="1482">
        <f t="shared" si="64"/>
        <v>26086.95652173919</v>
      </c>
      <c r="X44" s="1482">
        <f t="shared" si="64"/>
        <v>26206.896551724119</v>
      </c>
      <c r="Y44" s="1482">
        <f t="shared" si="64"/>
        <v>24852.071005917176</v>
      </c>
      <c r="Z44" s="1482">
        <f t="shared" si="64"/>
        <v>24431.818181818166</v>
      </c>
      <c r="AA44" s="1482">
        <f t="shared" si="64"/>
        <v>22869.716450736672</v>
      </c>
      <c r="AB44" s="1482">
        <f t="shared" si="64"/>
        <v>21674.404531761011</v>
      </c>
      <c r="AC44" s="1482">
        <f t="shared" si="64"/>
        <v>34310.22547437001</v>
      </c>
      <c r="AD44" s="1482">
        <f t="shared" si="64"/>
        <v>27241.659437044353</v>
      </c>
      <c r="AE44" s="1482">
        <f t="shared" si="64"/>
        <v>28041.643454761048</v>
      </c>
      <c r="AF44" s="1482">
        <f t="shared" si="64"/>
        <v>28041.643454760982</v>
      </c>
      <c r="AG44" s="1482">
        <f t="shared" si="64"/>
        <v>28041.643454761048</v>
      </c>
      <c r="AH44" s="1482">
        <f t="shared" si="64"/>
        <v>0</v>
      </c>
      <c r="AI44" s="1478"/>
      <c r="AJ44" s="1479"/>
      <c r="AK44" s="1478"/>
      <c r="AL44" s="1478"/>
      <c r="AM44" s="1423"/>
      <c r="AN44" s="1478"/>
      <c r="AO44" s="1423"/>
      <c r="AP44" s="1449"/>
      <c r="AQ44" s="1423"/>
      <c r="AR44" s="1423"/>
      <c r="AS44" s="1421" t="s">
        <v>304</v>
      </c>
      <c r="AT44" s="1422">
        <f t="shared" si="62"/>
        <v>0.15022636587443655</v>
      </c>
      <c r="AU44" s="1422">
        <f t="shared" si="62"/>
        <v>0.31694690633659511</v>
      </c>
      <c r="AV44" s="1422">
        <f t="shared" si="62"/>
        <v>0.15729469962017253</v>
      </c>
      <c r="AW44" s="1422">
        <f t="shared" si="62"/>
        <v>0.16077460193162665</v>
      </c>
      <c r="AX44" s="1422">
        <f t="shared" si="62"/>
        <v>0.1441778209497469</v>
      </c>
      <c r="AY44" s="1422">
        <f t="shared" si="62"/>
        <v>0.12234529491106376</v>
      </c>
    </row>
    <row r="45" spans="1:51" ht="12.75" customHeight="1" outlineLevel="1">
      <c r="A45" s="1421"/>
      <c r="B45" s="1421"/>
      <c r="C45" s="1421"/>
      <c r="D45" s="1421"/>
      <c r="E45" s="1421"/>
      <c r="F45" s="1421"/>
      <c r="G45" s="1421"/>
      <c r="H45" s="1421"/>
      <c r="I45" s="1421"/>
      <c r="J45" s="1421"/>
      <c r="K45" s="1421"/>
      <c r="L45" s="1421"/>
      <c r="M45" s="1421"/>
      <c r="N45" s="1421"/>
      <c r="O45" s="1421"/>
      <c r="P45" s="1421"/>
      <c r="Q45" s="1421"/>
      <c r="R45" s="1421"/>
      <c r="S45" s="1421"/>
      <c r="T45" s="1421"/>
      <c r="U45" s="1421"/>
      <c r="V45" s="1421"/>
      <c r="W45" s="1421"/>
      <c r="X45" s="1421"/>
      <c r="Y45" s="1421"/>
      <c r="Z45" s="1421"/>
      <c r="AA45" s="1421"/>
      <c r="AB45" s="1421"/>
      <c r="AC45" s="1421"/>
      <c r="AD45" s="1421"/>
      <c r="AE45" s="1421"/>
      <c r="AF45" s="1421"/>
      <c r="AG45" s="1421"/>
      <c r="AH45" s="1421"/>
      <c r="AI45" s="1423"/>
      <c r="AJ45" s="1448"/>
      <c r="AK45" s="1423"/>
      <c r="AL45" s="1423"/>
      <c r="AM45" s="1423"/>
      <c r="AN45" s="1423"/>
      <c r="AO45" s="1423"/>
      <c r="AP45" s="1449"/>
      <c r="AQ45" s="1423"/>
      <c r="AR45" s="1423"/>
      <c r="AS45" s="1421"/>
      <c r="AT45" s="1421"/>
      <c r="AU45" s="1421"/>
      <c r="AV45" s="1421"/>
      <c r="AW45" s="1421"/>
      <c r="AX45" s="1421"/>
      <c r="AY45" s="1421"/>
    </row>
    <row r="46" spans="1:51">
      <c r="A46" s="1450" t="s">
        <v>507</v>
      </c>
      <c r="B46" s="1481"/>
      <c r="C46" s="1481">
        <f>(C42)/C29</f>
        <v>0.77469293601586109</v>
      </c>
      <c r="D46" s="1481">
        <f>(D42)/D29</f>
        <v>0.85774423782393894</v>
      </c>
      <c r="E46" s="1481">
        <f>(E42)/E29</f>
        <v>-1.0233752941999761</v>
      </c>
      <c r="F46" s="1481">
        <f>(F42)/F29</f>
        <v>0.58668895182434078</v>
      </c>
      <c r="G46" s="1481">
        <f>(G42)/G29</f>
        <v>1.2763730581669843</v>
      </c>
      <c r="H46" s="1481">
        <f>(H9-H41)/H29</f>
        <v>0.83652970416480033</v>
      </c>
      <c r="I46" s="1492" t="s">
        <v>181</v>
      </c>
      <c r="J46" s="1481">
        <f t="shared" ref="J46:S46" si="65">(J42)/J29</f>
        <v>0.63228040141991204</v>
      </c>
      <c r="K46" s="1481">
        <f t="shared" si="65"/>
        <v>0.79164037880162208</v>
      </c>
      <c r="L46" s="1481">
        <f t="shared" si="65"/>
        <v>0.77933046885793966</v>
      </c>
      <c r="M46" s="1481">
        <f t="shared" si="65"/>
        <v>0.83882218851875856</v>
      </c>
      <c r="N46" s="1481">
        <f t="shared" si="65"/>
        <v>0.83836550223034645</v>
      </c>
      <c r="O46" s="1481">
        <f t="shared" si="65"/>
        <v>0.91545325255251775</v>
      </c>
      <c r="P46" s="1481">
        <f t="shared" si="65"/>
        <v>0.72437520260648536</v>
      </c>
      <c r="Q46" s="1481">
        <f t="shared" si="65"/>
        <v>0.70438701131550097</v>
      </c>
      <c r="R46" s="1481">
        <f t="shared" si="65"/>
        <v>0.81053008980455465</v>
      </c>
      <c r="S46" s="1481">
        <f t="shared" si="65"/>
        <v>1.0524512778565702</v>
      </c>
      <c r="T46" s="1481">
        <f t="shared" ref="T46:Y46" si="66">(T42)/T29</f>
        <v>0.64713087936605551</v>
      </c>
      <c r="U46" s="1481">
        <f t="shared" si="66"/>
        <v>0.27115330319976505</v>
      </c>
      <c r="V46" s="1481">
        <f t="shared" si="66"/>
        <v>0.72229463047866593</v>
      </c>
      <c r="W46" s="1481">
        <f t="shared" si="66"/>
        <v>1.0789954781627524</v>
      </c>
      <c r="X46" s="1481">
        <f t="shared" si="66"/>
        <v>1.5687216274399152</v>
      </c>
      <c r="Y46" s="1481">
        <f t="shared" si="66"/>
        <v>0.64694208399198716</v>
      </c>
      <c r="Z46" s="1481">
        <f t="shared" ref="Z46:AE46" si="67">(Z42)/Z29</f>
        <v>0.86645143429412375</v>
      </c>
      <c r="AA46" s="1481">
        <f t="shared" si="67"/>
        <v>0.29100305303878682</v>
      </c>
      <c r="AB46" s="1481">
        <f t="shared" si="67"/>
        <v>0.48110423203109198</v>
      </c>
      <c r="AC46" s="1481">
        <f t="shared" si="67"/>
        <v>1.0057510026905618</v>
      </c>
      <c r="AD46" s="1481">
        <f t="shared" si="67"/>
        <v>0.48445366594815631</v>
      </c>
      <c r="AE46" s="1481">
        <f t="shared" si="67"/>
        <v>0.70269268658254025</v>
      </c>
      <c r="AF46" s="1481">
        <f>(AF42)/AF29</f>
        <v>0.7226264624542762</v>
      </c>
      <c r="AG46" s="1481">
        <f>(AG42)/AG29</f>
        <v>0.72587331819522127</v>
      </c>
      <c r="AH46" s="1481">
        <f>(AH42)/AH29</f>
        <v>0.72906147592707227</v>
      </c>
      <c r="AI46" s="1423"/>
      <c r="AJ46" s="1493"/>
      <c r="AK46" s="1425"/>
      <c r="AL46" s="1425"/>
      <c r="AM46" s="1425"/>
      <c r="AN46" s="1425"/>
      <c r="AO46" s="1425"/>
      <c r="AP46" s="1494"/>
      <c r="AQ46" s="1423"/>
      <c r="AR46" s="1423" t="s">
        <v>380</v>
      </c>
      <c r="AS46" s="1421"/>
      <c r="AT46" s="1422">
        <f>+AT25/M194-1</f>
        <v>0.38347911451619421</v>
      </c>
      <c r="AU46" s="1422">
        <f>+AU25/AT25-1</f>
        <v>0.37776768716126408</v>
      </c>
      <c r="AV46" s="1422">
        <f>+AV25/AU25-1</f>
        <v>0.31471486725788589</v>
      </c>
      <c r="AW46" s="1422">
        <f>+AW25/AV25-1</f>
        <v>0.1630374037041098</v>
      </c>
      <c r="AX46" s="1422">
        <f>+AX25/AW25-1</f>
        <v>0.22897787644451717</v>
      </c>
      <c r="AY46" s="1422">
        <f>+AY25/AX25-1</f>
        <v>0.18863803846818072</v>
      </c>
    </row>
    <row r="47" spans="1:51" ht="11.25" customHeight="1">
      <c r="A47" s="1421"/>
      <c r="B47" s="1421"/>
      <c r="C47" s="1421"/>
      <c r="D47" s="1421"/>
      <c r="E47" s="1421"/>
      <c r="F47" s="1421"/>
      <c r="G47" s="1421"/>
      <c r="H47" s="1421"/>
      <c r="I47" s="1421"/>
      <c r="J47" s="1421"/>
      <c r="K47" s="1421"/>
      <c r="L47" s="1421"/>
      <c r="M47" s="1421"/>
      <c r="N47" s="1421"/>
      <c r="O47" s="1421"/>
      <c r="P47" s="1421"/>
      <c r="Q47" s="1421"/>
      <c r="R47" s="1421"/>
      <c r="S47" s="1421"/>
      <c r="T47" s="1421"/>
      <c r="U47" s="1421"/>
      <c r="V47" s="1421"/>
      <c r="W47" s="1421"/>
      <c r="X47" s="1421"/>
      <c r="Y47" s="1421"/>
      <c r="Z47" s="1421"/>
      <c r="AA47" s="1421"/>
      <c r="AB47" s="1421"/>
      <c r="AC47" s="1421"/>
      <c r="AD47" s="1421"/>
      <c r="AE47" s="1421"/>
      <c r="AF47" s="1421"/>
      <c r="AG47" s="1421"/>
      <c r="AH47" s="1421"/>
      <c r="AI47" s="1423"/>
      <c r="AJ47" s="1421"/>
      <c r="AK47" s="1421"/>
      <c r="AL47" s="1421"/>
      <c r="AM47" s="1421"/>
      <c r="AN47" s="1421"/>
      <c r="AO47" s="1421"/>
      <c r="AP47" s="1421"/>
      <c r="AQ47" s="1421"/>
      <c r="AR47" s="1423"/>
      <c r="AS47" s="1421" t="s">
        <v>303</v>
      </c>
      <c r="AT47" s="1422">
        <f t="shared" ref="AT47:AY47" si="68">+N223</f>
        <v>0.05</v>
      </c>
      <c r="AU47" s="1422">
        <f t="shared" si="68"/>
        <v>0.06</v>
      </c>
      <c r="AV47" s="1422">
        <f t="shared" si="68"/>
        <v>3.2387762439600662E-2</v>
      </c>
      <c r="AW47" s="1422">
        <f t="shared" si="68"/>
        <v>6.9177175641150692E-3</v>
      </c>
      <c r="AX47" s="1422">
        <f t="shared" si="68"/>
        <v>0.09</v>
      </c>
      <c r="AY47" s="1422">
        <f t="shared" si="68"/>
        <v>0.06</v>
      </c>
    </row>
    <row r="48" spans="1:51" hidden="1" outlineLevel="1">
      <c r="A48" s="1421" t="s">
        <v>508</v>
      </c>
      <c r="B48" s="1451">
        <f>'qtrP&amp;L'!F65</f>
        <v>149.13399999999996</v>
      </c>
      <c r="C48" s="1451">
        <f>'qtrP&amp;L'!J65</f>
        <v>148.51300000000043</v>
      </c>
      <c r="D48" s="1451">
        <f>'qtrP&amp;L'!N65</f>
        <v>199.41599999999994</v>
      </c>
      <c r="E48" s="1451">
        <f>'qtrP&amp;L'!R65</f>
        <v>200.84199999999996</v>
      </c>
      <c r="F48" s="1451">
        <f>'qtrP&amp;L'!V65</f>
        <v>167.40900000000011</v>
      </c>
      <c r="G48" s="1451">
        <f>'qtrP&amp;L'!Z65</f>
        <v>126.98200000000006</v>
      </c>
      <c r="H48" s="1451">
        <f>'qtrP&amp;L'!AD65</f>
        <v>403.49000000000018</v>
      </c>
      <c r="I48" s="1451">
        <f>'qtrP&amp;L'!AH65</f>
        <v>526.77300000000048</v>
      </c>
      <c r="J48" s="1451">
        <f>'qtrP&amp;L'!AL65</f>
        <v>705.19800000000009</v>
      </c>
      <c r="K48" s="1451">
        <f>'qtrP&amp;L'!AP65</f>
        <v>861.28200000000061</v>
      </c>
      <c r="L48" s="1451">
        <f>'qtrP&amp;L'!AT65</f>
        <v>887.84599999999978</v>
      </c>
      <c r="M48" s="1451">
        <f>'qtrP&amp;L'!AX65</f>
        <v>899.68699999999944</v>
      </c>
      <c r="N48" s="1451">
        <f>'qtrP&amp;L'!BB65</f>
        <v>963.09700000000021</v>
      </c>
      <c r="O48" s="1451">
        <f>'qtrP&amp;L'!BF65</f>
        <v>1013.9899999999998</v>
      </c>
      <c r="P48" s="1495">
        <f>+P7*P49</f>
        <v>1043.9438100000002</v>
      </c>
      <c r="Q48" s="1495">
        <f>+Q7*Q49</f>
        <v>1284.6348</v>
      </c>
      <c r="R48" s="1495">
        <f>+R7*R49</f>
        <v>1566.4173300000002</v>
      </c>
      <c r="S48" s="1495"/>
      <c r="T48" s="1495"/>
      <c r="U48" s="1495"/>
      <c r="V48" s="1495"/>
      <c r="W48" s="1495"/>
      <c r="X48" s="1495"/>
      <c r="Y48" s="1495"/>
      <c r="Z48" s="1495"/>
      <c r="AA48" s="1495"/>
      <c r="AB48" s="1495"/>
      <c r="AC48" s="1495"/>
      <c r="AD48" s="1495"/>
      <c r="AE48" s="1495"/>
      <c r="AF48" s="1495"/>
      <c r="AG48" s="1495"/>
      <c r="AH48" s="1495"/>
      <c r="AI48" s="1496"/>
      <c r="AJ48" s="1495"/>
      <c r="AK48" s="1495"/>
      <c r="AL48" s="1495"/>
      <c r="AM48" s="1495"/>
      <c r="AN48" s="1495"/>
      <c r="AO48" s="1495"/>
      <c r="AP48" s="1495"/>
      <c r="AQ48" s="1495"/>
      <c r="AR48" s="1496"/>
      <c r="AS48" s="1421"/>
      <c r="AT48" s="1421"/>
      <c r="AU48" s="1421"/>
      <c r="AV48" s="1421"/>
      <c r="AW48" s="1421"/>
      <c r="AX48" s="1421"/>
      <c r="AY48" s="1421"/>
    </row>
    <row r="49" spans="1:51" hidden="1" outlineLevel="1">
      <c r="A49" s="1497" t="s">
        <v>509</v>
      </c>
      <c r="B49" s="1422">
        <f t="shared" ref="B49:O49" si="69">B48/B7</f>
        <v>6.0963610446723354E-2</v>
      </c>
      <c r="C49" s="1422">
        <f t="shared" si="69"/>
        <v>5.3853643324274052E-2</v>
      </c>
      <c r="D49" s="1422">
        <f t="shared" si="69"/>
        <v>6.1147293667439366E-2</v>
      </c>
      <c r="E49" s="1422">
        <f t="shared" si="69"/>
        <v>7.0917032417984013E-2</v>
      </c>
      <c r="F49" s="1422">
        <f t="shared" si="69"/>
        <v>5.478808720982941E-2</v>
      </c>
      <c r="G49" s="1422">
        <f t="shared" si="69"/>
        <v>3.1944233059924068E-2</v>
      </c>
      <c r="H49" s="1422">
        <f t="shared" si="69"/>
        <v>6.0317726077486686E-2</v>
      </c>
      <c r="I49" s="1422">
        <f t="shared" si="69"/>
        <v>7.1290848684726113E-2</v>
      </c>
      <c r="J49" s="1422">
        <f t="shared" si="69"/>
        <v>8.8716749837807168E-2</v>
      </c>
      <c r="K49" s="1422">
        <f t="shared" si="69"/>
        <v>9.7924732247630555E-2</v>
      </c>
      <c r="L49" s="1422">
        <f t="shared" si="69"/>
        <v>9.2686652456423962E-2</v>
      </c>
      <c r="M49" s="1422">
        <f t="shared" si="69"/>
        <v>8.4012248391492794E-2</v>
      </c>
      <c r="N49" s="1422">
        <f t="shared" si="69"/>
        <v>8.0383971331102144E-2</v>
      </c>
      <c r="O49" s="1422">
        <f t="shared" si="69"/>
        <v>7.6080035786480982E-2</v>
      </c>
      <c r="P49" s="1422">
        <v>7.0000000000000007E-2</v>
      </c>
      <c r="Q49" s="1422">
        <v>0.08</v>
      </c>
      <c r="R49" s="1422">
        <v>0.09</v>
      </c>
      <c r="S49" s="1422"/>
      <c r="T49" s="1422"/>
      <c r="U49" s="1422"/>
      <c r="V49" s="1422"/>
      <c r="W49" s="1422"/>
      <c r="X49" s="1422"/>
      <c r="Y49" s="1422"/>
      <c r="Z49" s="1422"/>
      <c r="AA49" s="1422"/>
      <c r="AB49" s="1422"/>
      <c r="AC49" s="1422"/>
      <c r="AD49" s="1422"/>
      <c r="AE49" s="1422"/>
      <c r="AF49" s="1422"/>
      <c r="AG49" s="1422"/>
      <c r="AH49" s="1422"/>
      <c r="AI49" s="1460"/>
      <c r="AJ49" s="1422"/>
      <c r="AK49" s="1422"/>
      <c r="AL49" s="1422"/>
      <c r="AM49" s="1422"/>
      <c r="AN49" s="1422"/>
      <c r="AO49" s="1422"/>
      <c r="AP49" s="1422"/>
      <c r="AQ49" s="1422"/>
      <c r="AR49" s="1460"/>
      <c r="AS49" s="1421"/>
      <c r="AT49" s="1421"/>
      <c r="AU49" s="1421"/>
      <c r="AV49" s="1421"/>
      <c r="AW49" s="1421"/>
      <c r="AX49" s="1421"/>
      <c r="AY49" s="1421"/>
    </row>
    <row r="50" spans="1:51" ht="11.25" hidden="1" customHeight="1" outlineLevel="1">
      <c r="A50" s="1421"/>
      <c r="B50" s="1421"/>
      <c r="C50" s="1421"/>
      <c r="D50" s="1421"/>
      <c r="E50" s="1421"/>
      <c r="F50" s="1421"/>
      <c r="G50" s="1421"/>
      <c r="H50" s="1421"/>
      <c r="I50" s="1421"/>
      <c r="J50" s="1421"/>
      <c r="K50" s="1421"/>
      <c r="L50" s="1421"/>
      <c r="M50" s="1421"/>
      <c r="N50" s="1421"/>
      <c r="O50" s="1421"/>
      <c r="P50" s="1421"/>
      <c r="Q50" s="1421"/>
      <c r="R50" s="1421"/>
      <c r="S50" s="1421"/>
      <c r="T50" s="1421"/>
      <c r="U50" s="1421"/>
      <c r="V50" s="1421"/>
      <c r="W50" s="1421"/>
      <c r="X50" s="1421"/>
      <c r="Y50" s="1421"/>
      <c r="Z50" s="1421"/>
      <c r="AA50" s="1421"/>
      <c r="AB50" s="1421"/>
      <c r="AC50" s="1421"/>
      <c r="AD50" s="1421"/>
      <c r="AE50" s="1421"/>
      <c r="AF50" s="1421"/>
      <c r="AG50" s="1421"/>
      <c r="AH50" s="1421"/>
      <c r="AI50" s="1423"/>
      <c r="AJ50" s="1423"/>
      <c r="AK50" s="1423"/>
      <c r="AL50" s="1423"/>
      <c r="AM50" s="1421"/>
      <c r="AN50" s="1423"/>
      <c r="AO50" s="1421"/>
      <c r="AP50" s="1423"/>
      <c r="AQ50" s="1423"/>
      <c r="AR50" s="1423"/>
      <c r="AS50" s="1421"/>
      <c r="AT50" s="1421"/>
      <c r="AU50" s="1421"/>
      <c r="AV50" s="1421"/>
      <c r="AW50" s="1421"/>
      <c r="AX50" s="1421"/>
      <c r="AY50" s="1421"/>
    </row>
    <row r="51" spans="1:51" collapsed="1">
      <c r="A51" s="780" t="s">
        <v>497</v>
      </c>
      <c r="B51" s="1421"/>
      <c r="C51" s="1421"/>
      <c r="D51" s="1421"/>
      <c r="E51" s="1421"/>
      <c r="F51" s="1421"/>
      <c r="G51" s="1421"/>
      <c r="H51" s="1421"/>
      <c r="I51" s="1498"/>
      <c r="J51" s="1421"/>
      <c r="K51" s="1421"/>
      <c r="L51" s="1421"/>
      <c r="M51" s="1421"/>
      <c r="N51" s="1421"/>
      <c r="O51" s="1421"/>
      <c r="P51" s="467"/>
      <c r="Q51" s="467"/>
      <c r="R51" s="1499"/>
      <c r="S51" s="1499"/>
      <c r="T51" s="1499"/>
      <c r="U51" s="1499"/>
      <c r="V51" s="1499"/>
      <c r="W51" s="1499"/>
      <c r="X51" s="1499"/>
      <c r="Y51" s="1499"/>
      <c r="Z51" s="1499"/>
      <c r="AA51" s="1499"/>
      <c r="AB51" s="1499"/>
      <c r="AC51" s="1499"/>
      <c r="AD51" s="1499"/>
      <c r="AE51" s="1499"/>
      <c r="AF51" s="1499"/>
      <c r="AG51" s="1499"/>
      <c r="AH51" s="1499"/>
      <c r="AI51" s="1423"/>
      <c r="AJ51" s="1423"/>
      <c r="AK51" s="1423"/>
      <c r="AL51" s="1423"/>
      <c r="AM51" s="1423"/>
      <c r="AN51" s="1423"/>
      <c r="AO51" s="1423"/>
      <c r="AP51" s="1423"/>
      <c r="AQ51" s="1423"/>
      <c r="AR51" s="1423"/>
      <c r="AS51" s="1421" t="s">
        <v>304</v>
      </c>
      <c r="AT51" s="1422">
        <f t="shared" ref="AT51:AY51" si="70">+N224</f>
        <v>0.33347911451619422</v>
      </c>
      <c r="AU51" s="1422">
        <f t="shared" si="70"/>
        <v>0.31776768716126408</v>
      </c>
      <c r="AV51" s="1422">
        <f t="shared" si="70"/>
        <v>0.28232710481828521</v>
      </c>
      <c r="AW51" s="1422">
        <f t="shared" si="70"/>
        <v>0.15611968613999472</v>
      </c>
      <c r="AX51" s="1422">
        <f t="shared" si="70"/>
        <v>0.13897787644451717</v>
      </c>
      <c r="AY51" s="1422">
        <f t="shared" si="70"/>
        <v>0.12863803846818073</v>
      </c>
    </row>
    <row r="52" spans="1:51">
      <c r="A52" s="780"/>
      <c r="B52" s="1421"/>
      <c r="C52" s="1421"/>
      <c r="D52" s="1421"/>
      <c r="E52" s="1421"/>
      <c r="F52" s="1421"/>
      <c r="G52" s="1421"/>
      <c r="H52" s="1421"/>
      <c r="I52" s="1498"/>
      <c r="J52" s="1421"/>
      <c r="K52" s="1421"/>
      <c r="L52" s="1421"/>
      <c r="M52" s="1421"/>
      <c r="N52" s="1421"/>
      <c r="O52" s="1421"/>
      <c r="P52" s="467"/>
      <c r="Q52" s="467"/>
      <c r="R52" s="1499"/>
      <c r="S52" s="1499"/>
      <c r="T52" s="1499"/>
      <c r="U52" s="1499"/>
      <c r="V52" s="1499"/>
      <c r="W52" s="1499"/>
      <c r="X52" s="1499"/>
      <c r="Y52" s="1499"/>
      <c r="Z52" s="1499"/>
      <c r="AA52" s="1499"/>
      <c r="AB52" s="1499"/>
      <c r="AC52" s="1499"/>
      <c r="AD52" s="1499"/>
      <c r="AE52" s="1499"/>
      <c r="AF52" s="1499"/>
      <c r="AG52" s="1499"/>
      <c r="AH52" s="1499"/>
      <c r="AI52" s="1423"/>
      <c r="AJ52" s="1423"/>
      <c r="AK52" s="1423"/>
      <c r="AL52" s="1423"/>
      <c r="AM52" s="1423"/>
      <c r="AN52" s="1423"/>
      <c r="AO52" s="1423"/>
      <c r="AP52" s="1423"/>
      <c r="AQ52" s="1423"/>
      <c r="AR52" s="1423"/>
      <c r="AS52" s="1421"/>
      <c r="AT52" s="1422"/>
      <c r="AU52" s="1422"/>
      <c r="AV52" s="1422"/>
      <c r="AW52" s="1422"/>
      <c r="AX52" s="1422"/>
      <c r="AY52" s="1422"/>
    </row>
    <row r="53" spans="1:51">
      <c r="A53" s="780"/>
      <c r="B53" s="1421"/>
      <c r="C53" s="1421"/>
      <c r="D53" s="1421"/>
      <c r="E53" s="1421"/>
      <c r="F53" s="1421"/>
      <c r="G53" s="1421"/>
      <c r="H53" s="1421"/>
      <c r="I53" s="1498"/>
      <c r="J53" s="1421"/>
      <c r="K53" s="1421"/>
      <c r="L53" s="1421"/>
      <c r="M53" s="1421"/>
      <c r="N53" s="1421"/>
      <c r="O53" s="1421"/>
      <c r="P53" s="467"/>
      <c r="Q53" s="467"/>
      <c r="R53" s="1499"/>
      <c r="S53" s="1499"/>
      <c r="T53" s="1499"/>
      <c r="U53" s="1499"/>
      <c r="V53" s="1499"/>
      <c r="W53" s="1499"/>
      <c r="X53" s="1500"/>
      <c r="Y53" s="1499"/>
      <c r="Z53" s="1499"/>
      <c r="AA53" s="1499"/>
      <c r="AB53" s="1499"/>
      <c r="AC53" s="1499"/>
      <c r="AD53" s="1499"/>
      <c r="AE53" s="1499"/>
      <c r="AF53" s="1499"/>
      <c r="AG53" s="1499"/>
      <c r="AH53" s="1499"/>
      <c r="AI53" s="1423"/>
      <c r="AJ53" s="1423"/>
      <c r="AK53" s="1423"/>
      <c r="AL53" s="1423"/>
      <c r="AM53" s="1423"/>
      <c r="AN53" s="1423"/>
      <c r="AO53" s="1423"/>
      <c r="AP53" s="1423"/>
      <c r="AQ53" s="1423"/>
      <c r="AR53" s="1423" t="s">
        <v>381</v>
      </c>
      <c r="AS53" s="1421"/>
      <c r="AT53" s="1422">
        <f>+AT26/M236-1</f>
        <v>0.39009603498346834</v>
      </c>
      <c r="AU53" s="1422">
        <f>+AU26/AT26-1</f>
        <v>0.24318651144847636</v>
      </c>
      <c r="AV53" s="1422">
        <f>+AV26/AU26-1</f>
        <v>0.15559771646572407</v>
      </c>
      <c r="AW53" s="1422">
        <f>+AW26/AV26-1</f>
        <v>0.17171196626002172</v>
      </c>
      <c r="AX53" s="1422">
        <f>+AX26/AW26-1</f>
        <v>0.15018612230316442</v>
      </c>
      <c r="AY53" s="1422">
        <f>+AY26/AX26-1</f>
        <v>8.4447107654147757E-2</v>
      </c>
    </row>
    <row r="54" spans="1:51">
      <c r="A54" s="780"/>
      <c r="B54" s="1421"/>
      <c r="C54" s="1421"/>
      <c r="D54" s="1421"/>
      <c r="E54" s="1421"/>
      <c r="F54" s="1421"/>
      <c r="G54" s="1421"/>
      <c r="H54" s="1421"/>
      <c r="I54" s="1498"/>
      <c r="J54" s="1421"/>
      <c r="K54" s="1421"/>
      <c r="L54" s="1421"/>
      <c r="M54" s="1421"/>
      <c r="N54" s="1421"/>
      <c r="O54" s="1421"/>
      <c r="P54" s="467"/>
      <c r="Q54" s="467"/>
      <c r="R54" s="1499"/>
      <c r="S54" s="1499"/>
      <c r="T54" s="1499"/>
      <c r="U54" s="1499"/>
      <c r="V54" s="1499"/>
      <c r="W54" s="1499"/>
      <c r="X54" s="1499"/>
      <c r="Y54" s="1499"/>
      <c r="Z54" s="1499"/>
      <c r="AA54" s="1499"/>
      <c r="AB54" s="1499"/>
      <c r="AC54" s="1499"/>
      <c r="AD54" s="1499"/>
      <c r="AE54" s="1499"/>
      <c r="AF54" s="1499"/>
      <c r="AG54" s="1499"/>
      <c r="AH54" s="1499"/>
      <c r="AI54" s="1423"/>
      <c r="AJ54" s="1423"/>
      <c r="AK54" s="1423"/>
      <c r="AL54" s="1423"/>
      <c r="AM54" s="1423"/>
      <c r="AN54" s="1423"/>
      <c r="AO54" s="1423"/>
      <c r="AP54" s="1423"/>
      <c r="AQ54" s="1423"/>
      <c r="AR54" s="1423"/>
      <c r="AS54" s="1421" t="s">
        <v>303</v>
      </c>
      <c r="AT54" s="1422">
        <f t="shared" ref="AT54:AY55" si="71">+N265</f>
        <v>0.06</v>
      </c>
      <c r="AU54" s="1422">
        <f t="shared" si="71"/>
        <v>0.01</v>
      </c>
      <c r="AV54" s="1422">
        <f t="shared" si="71"/>
        <v>1.3643021236559937E-2</v>
      </c>
      <c r="AW54" s="1422">
        <f t="shared" si="71"/>
        <v>1.5161923876062262E-2</v>
      </c>
      <c r="AX54" s="1422">
        <f t="shared" si="71"/>
        <v>0.04</v>
      </c>
      <c r="AY54" s="1422">
        <f t="shared" si="71"/>
        <v>0.03</v>
      </c>
    </row>
    <row r="55" spans="1:51">
      <c r="A55" s="780"/>
      <c r="B55" s="1421"/>
      <c r="C55" s="1421"/>
      <c r="D55" s="1421"/>
      <c r="E55" s="1421"/>
      <c r="F55" s="1421"/>
      <c r="G55" s="1421"/>
      <c r="H55" s="1421"/>
      <c r="I55" s="1498"/>
      <c r="J55" s="1421"/>
      <c r="K55" s="1421"/>
      <c r="L55" s="1421"/>
      <c r="M55" s="1421"/>
      <c r="N55" s="1421"/>
      <c r="O55" s="1421"/>
      <c r="P55" s="467"/>
      <c r="Q55" s="467"/>
      <c r="R55" s="1499"/>
      <c r="S55" s="1499"/>
      <c r="T55" s="1499"/>
      <c r="U55" s="1499"/>
      <c r="V55" s="1499"/>
      <c r="W55" s="1499"/>
      <c r="X55" s="1499"/>
      <c r="Y55" s="1499"/>
      <c r="Z55" s="1499"/>
      <c r="AA55" s="1499"/>
      <c r="AB55" s="1499"/>
      <c r="AC55" s="1499"/>
      <c r="AD55" s="1499"/>
      <c r="AE55" s="1499"/>
      <c r="AF55" s="1499"/>
      <c r="AG55" s="1499"/>
      <c r="AH55" s="1499"/>
      <c r="AI55" s="1423"/>
      <c r="AJ55" s="1423"/>
      <c r="AK55" s="1423"/>
      <c r="AL55" s="1423"/>
      <c r="AM55" s="1423"/>
      <c r="AN55" s="1423"/>
      <c r="AO55" s="1423"/>
      <c r="AP55" s="1423"/>
      <c r="AQ55" s="1423"/>
      <c r="AR55" s="1423"/>
      <c r="AS55" s="1421" t="s">
        <v>304</v>
      </c>
      <c r="AT55" s="1422">
        <f t="shared" si="71"/>
        <v>0.33009603498346834</v>
      </c>
      <c r="AU55" s="1422">
        <f t="shared" si="71"/>
        <v>0.23318651144847635</v>
      </c>
      <c r="AV55" s="1422">
        <f t="shared" si="71"/>
        <v>0.14195469522916412</v>
      </c>
      <c r="AW55" s="1422">
        <f t="shared" si="71"/>
        <v>0.15655004238395945</v>
      </c>
      <c r="AX55" s="1422">
        <f t="shared" si="71"/>
        <v>0.11018612230316441</v>
      </c>
      <c r="AY55" s="1422">
        <f t="shared" si="71"/>
        <v>5.4447107654147758E-2</v>
      </c>
    </row>
    <row r="56" spans="1:51">
      <c r="A56" s="780"/>
      <c r="B56" s="1421"/>
      <c r="C56" s="1421"/>
      <c r="D56" s="1421"/>
      <c r="E56" s="1421"/>
      <c r="F56" s="1421"/>
      <c r="G56" s="1421"/>
      <c r="H56" s="1421"/>
      <c r="I56" s="1498"/>
      <c r="J56" s="1421"/>
      <c r="K56" s="1421"/>
      <c r="L56" s="1421"/>
      <c r="M56" s="1421"/>
      <c r="N56" s="1421"/>
      <c r="O56" s="1421"/>
      <c r="P56" s="467"/>
      <c r="Q56" s="467"/>
      <c r="R56" s="1499"/>
      <c r="S56" s="1499"/>
      <c r="T56" s="1499"/>
      <c r="U56" s="1499"/>
      <c r="V56" s="1499"/>
      <c r="W56" s="1499"/>
      <c r="X56" s="1499"/>
      <c r="Y56" s="1499"/>
      <c r="Z56" s="1499"/>
      <c r="AA56" s="1499"/>
      <c r="AB56" s="1499"/>
      <c r="AC56" s="1499"/>
      <c r="AD56" s="1499"/>
      <c r="AE56" s="1499"/>
      <c r="AF56" s="1499"/>
      <c r="AG56" s="1499"/>
      <c r="AH56" s="1499"/>
      <c r="AI56" s="1423"/>
      <c r="AJ56" s="1423"/>
      <c r="AK56" s="1423"/>
      <c r="AL56" s="1423"/>
      <c r="AM56" s="1423"/>
      <c r="AN56" s="1423"/>
      <c r="AO56" s="1423"/>
      <c r="AP56" s="1423"/>
      <c r="AQ56" s="1423"/>
      <c r="AR56" s="1423"/>
      <c r="AS56" s="1421"/>
      <c r="AT56" s="1421"/>
      <c r="AU56" s="1421"/>
      <c r="AV56" s="1421"/>
      <c r="AW56" s="1421"/>
      <c r="AX56" s="1421"/>
      <c r="AY56" s="1421"/>
    </row>
    <row r="57" spans="1:51">
      <c r="A57" s="780"/>
      <c r="B57" s="1421"/>
      <c r="C57" s="1421"/>
      <c r="D57" s="1421"/>
      <c r="E57" s="1421"/>
      <c r="F57" s="1421"/>
      <c r="G57" s="1421"/>
      <c r="H57" s="1421"/>
      <c r="I57" s="1498"/>
      <c r="J57" s="1421"/>
      <c r="K57" s="1421"/>
      <c r="L57" s="1421"/>
      <c r="M57" s="1421"/>
      <c r="N57" s="1421"/>
      <c r="O57" s="1421"/>
      <c r="P57" s="467"/>
      <c r="Q57" s="467"/>
      <c r="R57" s="1499"/>
      <c r="S57" s="1499"/>
      <c r="T57" s="1499"/>
      <c r="U57" s="1499"/>
      <c r="V57" s="1499"/>
      <c r="W57" s="1499"/>
      <c r="X57" s="1499"/>
      <c r="Y57" s="1499"/>
      <c r="Z57" s="1499"/>
      <c r="AA57" s="1499"/>
      <c r="AB57" s="1499"/>
      <c r="AC57" s="1499"/>
      <c r="AD57" s="1499"/>
      <c r="AE57" s="1499"/>
      <c r="AF57" s="1499"/>
      <c r="AG57" s="1499"/>
      <c r="AH57" s="1499"/>
      <c r="AI57" s="1423"/>
      <c r="AJ57" s="1423"/>
      <c r="AK57" s="1423"/>
      <c r="AL57" s="1423"/>
      <c r="AM57" s="1423"/>
      <c r="AN57" s="1423"/>
      <c r="AO57" s="1423"/>
      <c r="AP57" s="1423"/>
      <c r="AQ57" s="1423"/>
      <c r="AR57" s="1423" t="s">
        <v>374</v>
      </c>
      <c r="AS57" s="1421"/>
      <c r="AT57" s="1422">
        <f>+AT27/M278-1</f>
        <v>0.76198769449811876</v>
      </c>
      <c r="AU57" s="1422">
        <f>+AU27/AT27-1</f>
        <v>0.52088308502579261</v>
      </c>
      <c r="AV57" s="1422">
        <f>+AV27/AU27-1</f>
        <v>0.25862895038946498</v>
      </c>
      <c r="AW57" s="1422">
        <f>+AW27/AV27-1</f>
        <v>0.16074083705994435</v>
      </c>
      <c r="AX57" s="1422">
        <f>+AX27/AW27-1</f>
        <v>-2.2911359728804426E-2</v>
      </c>
      <c r="AY57" s="1422">
        <f>+AY27/AX27-1</f>
        <v>5.1233992492859315E-2</v>
      </c>
    </row>
    <row r="58" spans="1:51">
      <c r="A58" s="780"/>
      <c r="B58" s="1421"/>
      <c r="C58" s="1421"/>
      <c r="D58" s="1421"/>
      <c r="E58" s="1421"/>
      <c r="F58" s="1421"/>
      <c r="G58" s="1421"/>
      <c r="H58" s="1421"/>
      <c r="I58" s="1498"/>
      <c r="J58" s="1421"/>
      <c r="K58" s="1421"/>
      <c r="L58" s="1421"/>
      <c r="M58" s="1421"/>
      <c r="N58" s="1421"/>
      <c r="O58" s="1421"/>
      <c r="P58" s="467"/>
      <c r="Q58" s="467"/>
      <c r="R58" s="1499"/>
      <c r="S58" s="1499"/>
      <c r="T58" s="1499"/>
      <c r="U58" s="1499"/>
      <c r="V58" s="1499"/>
      <c r="W58" s="1499"/>
      <c r="X58" s="1499"/>
      <c r="Y58" s="1499"/>
      <c r="Z58" s="1499"/>
      <c r="AA58" s="1499"/>
      <c r="AB58" s="1501"/>
      <c r="AC58" s="1501"/>
      <c r="AD58" s="1501"/>
      <c r="AE58" s="1499"/>
      <c r="AF58" s="1499"/>
      <c r="AG58" s="1499"/>
      <c r="AH58" s="1499"/>
      <c r="AI58" s="1423"/>
      <c r="AJ58" s="1423"/>
      <c r="AK58" s="1423"/>
      <c r="AL58" s="1423"/>
      <c r="AM58" s="1423"/>
      <c r="AN58" s="1423"/>
      <c r="AO58" s="1423"/>
      <c r="AP58" s="1423"/>
      <c r="AQ58" s="1423"/>
      <c r="AR58" s="1423"/>
      <c r="AS58" s="1421" t="s">
        <v>303</v>
      </c>
      <c r="AT58" s="1422">
        <f t="shared" ref="AT58:AY59" si="72">+N306</f>
        <v>0.11</v>
      </c>
      <c r="AU58" s="1422">
        <f t="shared" si="72"/>
        <v>0.08</v>
      </c>
      <c r="AV58" s="1422">
        <f t="shared" si="72"/>
        <v>0</v>
      </c>
      <c r="AW58" s="1422">
        <f t="shared" si="72"/>
        <v>0</v>
      </c>
      <c r="AX58" s="1422">
        <f t="shared" si="72"/>
        <v>0</v>
      </c>
      <c r="AY58" s="1422">
        <f t="shared" si="72"/>
        <v>0</v>
      </c>
    </row>
    <row r="59" spans="1:51" ht="12.75" customHeight="1">
      <c r="A59" s="1427"/>
      <c r="B59" s="1421"/>
      <c r="C59" s="1421"/>
      <c r="D59" s="1421"/>
      <c r="E59" s="1421"/>
      <c r="F59" s="1421"/>
      <c r="G59" s="1421"/>
      <c r="H59" s="1421"/>
      <c r="I59" s="1421"/>
      <c r="J59" s="1421"/>
      <c r="K59" s="1421"/>
      <c r="L59" s="1421"/>
      <c r="M59" s="1421"/>
      <c r="N59" s="1421"/>
      <c r="O59" s="1421"/>
      <c r="P59" s="1421"/>
      <c r="Q59" s="1421"/>
      <c r="R59" s="1423"/>
      <c r="S59" s="1423"/>
      <c r="T59" s="1423"/>
      <c r="U59" s="1423"/>
      <c r="V59" s="1423"/>
      <c r="W59" s="1423"/>
      <c r="X59" s="1423"/>
      <c r="Y59" s="1423"/>
      <c r="Z59" s="1423"/>
      <c r="AA59" s="1423"/>
      <c r="AB59" s="1423"/>
      <c r="AC59" s="1423"/>
      <c r="AD59" s="1423"/>
      <c r="AE59" s="1423"/>
      <c r="AF59" s="1423"/>
      <c r="AG59" s="1423"/>
      <c r="AH59" s="1423"/>
      <c r="AI59" s="1423"/>
      <c r="AJ59" s="1423"/>
      <c r="AK59" s="1423"/>
      <c r="AL59" s="1502"/>
      <c r="AM59" s="1423"/>
      <c r="AN59" s="1502"/>
      <c r="AO59" s="1423"/>
      <c r="AP59" s="1423"/>
      <c r="AQ59" s="1423"/>
      <c r="AR59" s="1423"/>
      <c r="AS59" s="1421" t="s">
        <v>304</v>
      </c>
      <c r="AT59" s="1422">
        <f t="shared" si="72"/>
        <v>0.65198769449811877</v>
      </c>
      <c r="AU59" s="1422">
        <f t="shared" si="72"/>
        <v>0.4408830850257926</v>
      </c>
      <c r="AV59" s="1422">
        <f t="shared" si="72"/>
        <v>0.25862895038946498</v>
      </c>
      <c r="AW59" s="1422">
        <f t="shared" si="72"/>
        <v>0.16074083705994435</v>
      </c>
      <c r="AX59" s="1422">
        <f t="shared" si="72"/>
        <v>-2.2911359728804426E-2</v>
      </c>
      <c r="AY59" s="1422">
        <f t="shared" si="72"/>
        <v>5.1233992492859315E-2</v>
      </c>
    </row>
    <row r="60" spans="1:51">
      <c r="A60" s="1503" t="s">
        <v>377</v>
      </c>
      <c r="B60" s="1421"/>
      <c r="C60" s="1421"/>
      <c r="D60" s="1421"/>
      <c r="E60" s="1421"/>
      <c r="F60" s="1421"/>
      <c r="G60" s="1421"/>
      <c r="H60" s="1421"/>
      <c r="I60" s="1421"/>
      <c r="J60" s="1421"/>
      <c r="K60" s="1421"/>
      <c r="L60" s="1421"/>
      <c r="M60" s="1421"/>
      <c r="N60" s="1421"/>
      <c r="O60" s="1421"/>
      <c r="P60" s="467"/>
      <c r="Q60" s="467"/>
      <c r="R60" s="1499"/>
      <c r="S60" s="1499"/>
      <c r="T60" s="1499"/>
      <c r="U60" s="1499"/>
      <c r="V60" s="1499"/>
      <c r="W60" s="1499"/>
      <c r="X60" s="1499"/>
      <c r="Y60" s="1499"/>
      <c r="Z60" s="1499"/>
      <c r="AA60" s="1499"/>
      <c r="AB60" s="1499"/>
      <c r="AC60" s="1499"/>
      <c r="AD60" s="1499"/>
      <c r="AE60" s="1499"/>
      <c r="AF60" s="1499"/>
      <c r="AG60" s="1499"/>
      <c r="AH60" s="1499"/>
      <c r="AI60" s="1423"/>
      <c r="AJ60" s="1423"/>
      <c r="AK60" s="1423"/>
      <c r="AL60" s="1423"/>
      <c r="AM60" s="1423"/>
      <c r="AN60" s="1423"/>
      <c r="AO60" s="1423"/>
      <c r="AP60" s="1423"/>
      <c r="AQ60" s="1423"/>
      <c r="AR60" s="1423"/>
      <c r="AS60" s="1421"/>
      <c r="AT60" s="1421"/>
      <c r="AU60" s="1421"/>
      <c r="AV60" s="1421"/>
      <c r="AW60" s="1421"/>
      <c r="AX60" s="1421"/>
      <c r="AY60" s="1421"/>
    </row>
    <row r="61" spans="1:51">
      <c r="A61" s="1504" t="str">
        <f>+A2</f>
        <v>Annual Sales Model, Fiscal 2002A-2022E</v>
      </c>
      <c r="B61" s="1425"/>
      <c r="C61" s="1425"/>
      <c r="D61" s="1425"/>
      <c r="E61" s="1425"/>
      <c r="F61" s="1425"/>
      <c r="G61" s="1425"/>
      <c r="H61" s="1425"/>
      <c r="I61" s="1425"/>
      <c r="J61" s="1425"/>
      <c r="K61" s="1425"/>
      <c r="L61" s="1425"/>
      <c r="M61" s="1425"/>
      <c r="N61" s="1425"/>
      <c r="O61" s="1425"/>
      <c r="P61" s="1425"/>
      <c r="Q61" s="1425"/>
      <c r="R61" s="1425"/>
      <c r="S61" s="1425"/>
      <c r="T61" s="1425"/>
      <c r="U61" s="1425"/>
      <c r="V61" s="1425"/>
      <c r="W61" s="1425"/>
      <c r="X61" s="1425"/>
      <c r="Y61" s="1425"/>
      <c r="Z61" s="1425"/>
      <c r="AA61" s="1425"/>
      <c r="AB61" s="1425"/>
      <c r="AC61" s="1425"/>
      <c r="AD61" s="1425"/>
      <c r="AE61" s="1425"/>
      <c r="AF61" s="1425"/>
      <c r="AG61" s="1425"/>
      <c r="AH61" s="1425"/>
      <c r="AI61" s="1423"/>
      <c r="AJ61" s="1425"/>
      <c r="AK61" s="1425"/>
      <c r="AL61" s="1425"/>
      <c r="AM61" s="1421"/>
      <c r="AN61" s="1425"/>
      <c r="AO61" s="1421"/>
      <c r="AP61" s="1423"/>
      <c r="AQ61" s="1423"/>
      <c r="AR61" s="1423"/>
      <c r="AS61" s="1421"/>
      <c r="AT61" s="1421"/>
      <c r="AU61" s="1421"/>
      <c r="AV61" s="1421"/>
      <c r="AW61" s="1421"/>
      <c r="AX61" s="1421"/>
      <c r="AY61" s="1421"/>
    </row>
    <row r="62" spans="1:51">
      <c r="A62" s="1427"/>
      <c r="B62" s="1421"/>
      <c r="C62" s="1421"/>
      <c r="D62" s="1421"/>
      <c r="E62" s="1421"/>
      <c r="F62" s="1421"/>
      <c r="G62" s="1421"/>
      <c r="H62" s="1421"/>
      <c r="I62" s="1421"/>
      <c r="J62" s="1421"/>
      <c r="K62" s="1421"/>
      <c r="L62" s="1421"/>
      <c r="M62" s="1421"/>
      <c r="N62" s="1421"/>
      <c r="O62" s="1421"/>
      <c r="P62" s="1421"/>
      <c r="Q62" s="1421"/>
      <c r="R62" s="1421"/>
      <c r="S62" s="1421"/>
      <c r="T62" s="1421"/>
      <c r="U62" s="1421"/>
      <c r="V62" s="1421"/>
      <c r="W62" s="1421"/>
      <c r="X62" s="1421"/>
      <c r="Y62" s="1421"/>
      <c r="Z62" s="1421"/>
      <c r="AA62" s="1421"/>
      <c r="AB62" s="1421"/>
      <c r="AC62" s="1421"/>
      <c r="AD62" s="1421"/>
      <c r="AE62" s="1421"/>
      <c r="AF62" s="1421"/>
      <c r="AG62" s="1421"/>
      <c r="AH62" s="1421"/>
      <c r="AI62" s="1423"/>
      <c r="AJ62" s="1505"/>
      <c r="AK62" s="1506"/>
      <c r="AL62" s="1441" t="s">
        <v>188</v>
      </c>
      <c r="AM62" s="1507"/>
      <c r="AN62" s="1441" t="s">
        <v>188</v>
      </c>
      <c r="AO62" s="1507"/>
      <c r="AP62" s="1508"/>
      <c r="AQ62" s="1423"/>
      <c r="AR62" s="1423"/>
      <c r="AS62" s="1421"/>
      <c r="AT62" s="1421"/>
      <c r="AU62" s="1421"/>
      <c r="AV62" s="1421"/>
      <c r="AW62" s="1421"/>
      <c r="AX62" s="1421"/>
      <c r="AY62" s="1421"/>
    </row>
    <row r="63" spans="1:51" ht="12.75" customHeight="1">
      <c r="A63" s="1434"/>
      <c r="B63" s="1435">
        <f t="shared" ref="B63:H63" si="73">+B5</f>
        <v>1990</v>
      </c>
      <c r="C63" s="1436">
        <f t="shared" si="73"/>
        <v>1991</v>
      </c>
      <c r="D63" s="1436">
        <f t="shared" si="73"/>
        <v>1992</v>
      </c>
      <c r="E63" s="1436">
        <f t="shared" si="73"/>
        <v>1993</v>
      </c>
      <c r="F63" s="1436">
        <f t="shared" si="73"/>
        <v>1994</v>
      </c>
      <c r="G63" s="1436">
        <f t="shared" si="73"/>
        <v>1995</v>
      </c>
      <c r="H63" s="1436">
        <f t="shared" si="73"/>
        <v>1996</v>
      </c>
      <c r="I63" s="1436">
        <f t="shared" ref="I63:Q63" si="74">+I5</f>
        <v>1997</v>
      </c>
      <c r="J63" s="1436">
        <f t="shared" si="74"/>
        <v>1998</v>
      </c>
      <c r="K63" s="1436">
        <f t="shared" si="74"/>
        <v>1999</v>
      </c>
      <c r="L63" s="1436">
        <f t="shared" si="74"/>
        <v>2000</v>
      </c>
      <c r="M63" s="1436">
        <f t="shared" si="74"/>
        <v>2001</v>
      </c>
      <c r="N63" s="1436">
        <f t="shared" si="74"/>
        <v>2002</v>
      </c>
      <c r="O63" s="1436">
        <f t="shared" si="74"/>
        <v>2003</v>
      </c>
      <c r="P63" s="1436">
        <f t="shared" si="74"/>
        <v>2004</v>
      </c>
      <c r="Q63" s="1437">
        <f t="shared" si="74"/>
        <v>2005</v>
      </c>
      <c r="R63" s="1437">
        <f t="shared" ref="R63:AH63" si="75">+R$5</f>
        <v>2006</v>
      </c>
      <c r="S63" s="1437">
        <f t="shared" si="75"/>
        <v>2007</v>
      </c>
      <c r="T63" s="1437">
        <f t="shared" si="75"/>
        <v>2008</v>
      </c>
      <c r="U63" s="1437">
        <f t="shared" si="75"/>
        <v>2009</v>
      </c>
      <c r="V63" s="1437">
        <f t="shared" si="75"/>
        <v>2010</v>
      </c>
      <c r="W63" s="1437">
        <f t="shared" si="75"/>
        <v>2011</v>
      </c>
      <c r="X63" s="1437">
        <f t="shared" si="75"/>
        <v>2012</v>
      </c>
      <c r="Y63" s="1437">
        <f t="shared" si="75"/>
        <v>2013</v>
      </c>
      <c r="Z63" s="1437">
        <f>Y63+1</f>
        <v>2014</v>
      </c>
      <c r="AA63" s="1437">
        <f>Z63+1</f>
        <v>2015</v>
      </c>
      <c r="AB63" s="1436">
        <f t="shared" si="75"/>
        <v>2016</v>
      </c>
      <c r="AC63" s="1436">
        <f t="shared" si="75"/>
        <v>2017</v>
      </c>
      <c r="AD63" s="1438">
        <f t="shared" si="75"/>
        <v>2018</v>
      </c>
      <c r="AE63" s="1438">
        <f t="shared" si="75"/>
        <v>2019</v>
      </c>
      <c r="AF63" s="1438">
        <f t="shared" si="75"/>
        <v>2020</v>
      </c>
      <c r="AG63" s="1438">
        <f t="shared" si="75"/>
        <v>2021</v>
      </c>
      <c r="AH63" s="1438">
        <f t="shared" si="75"/>
        <v>2022</v>
      </c>
      <c r="AI63" s="1439"/>
      <c r="AJ63" s="1440"/>
      <c r="AK63" s="2076" t="s">
        <v>855</v>
      </c>
      <c r="AL63" s="1423"/>
      <c r="AM63" s="1442" t="s">
        <v>853</v>
      </c>
      <c r="AN63" s="1423"/>
      <c r="AO63" s="1442" t="s">
        <v>854</v>
      </c>
      <c r="AP63" s="1443"/>
      <c r="AQ63" s="1429"/>
      <c r="AR63" s="1423"/>
      <c r="AS63" s="1421"/>
      <c r="AT63" s="1421"/>
      <c r="AU63" s="1421"/>
      <c r="AV63" s="1421"/>
      <c r="AW63" s="1421"/>
      <c r="AX63" s="1421"/>
      <c r="AY63" s="1421"/>
    </row>
    <row r="64" spans="1:51">
      <c r="A64" s="1434"/>
      <c r="B64" s="1434"/>
      <c r="C64" s="1434"/>
      <c r="D64" s="1434"/>
      <c r="E64" s="1434"/>
      <c r="F64" s="1434"/>
      <c r="G64" s="1434"/>
      <c r="H64" s="1434"/>
      <c r="I64" s="1421"/>
      <c r="J64" s="1421"/>
      <c r="K64" s="1421"/>
      <c r="L64" s="1421"/>
      <c r="M64" s="1421"/>
      <c r="N64" s="1421"/>
      <c r="O64" s="1421"/>
      <c r="P64" s="467"/>
      <c r="Q64" s="467"/>
      <c r="R64" s="467"/>
      <c r="S64" s="467"/>
      <c r="T64" s="1509"/>
      <c r="U64" s="467"/>
      <c r="V64" s="467"/>
      <c r="W64" s="467"/>
      <c r="X64" s="467"/>
      <c r="Y64" s="467"/>
      <c r="Z64" s="467"/>
      <c r="AA64" s="467"/>
      <c r="AB64" s="467"/>
      <c r="AC64" s="467"/>
      <c r="AD64" s="467"/>
      <c r="AE64" s="467"/>
      <c r="AF64" s="467"/>
      <c r="AG64" s="467"/>
      <c r="AH64" s="467"/>
      <c r="AI64" s="1423"/>
      <c r="AJ64" s="1448"/>
      <c r="AK64" s="1423"/>
      <c r="AL64" s="1423"/>
      <c r="AM64" s="1423"/>
      <c r="AN64" s="1423"/>
      <c r="AO64" s="1423"/>
      <c r="AP64" s="1449"/>
      <c r="AQ64" s="1423"/>
      <c r="AR64" s="1423"/>
      <c r="AS64" s="1421"/>
      <c r="AT64" s="1421"/>
      <c r="AU64" s="1421"/>
      <c r="AV64" s="1421"/>
      <c r="AW64" s="1421"/>
      <c r="AX64" s="1421"/>
      <c r="AY64" s="1421"/>
    </row>
    <row r="65" spans="1:51">
      <c r="A65" s="1450" t="s">
        <v>413</v>
      </c>
      <c r="B65" s="1451">
        <f>+B67+B68</f>
        <v>1938</v>
      </c>
      <c r="C65" s="1451">
        <f>+C67+C68</f>
        <v>2179.6999999999998</v>
      </c>
      <c r="D65" s="1451">
        <f>+D67+D68</f>
        <v>2537.5</v>
      </c>
      <c r="E65" s="1451">
        <f>+E67+E68</f>
        <v>2744.7</v>
      </c>
      <c r="F65" s="1451">
        <f>+SUM(F67:F68)</f>
        <v>2931.6</v>
      </c>
      <c r="G65" s="1451">
        <f>'SegP&amp;L'!$D50</f>
        <v>3718.971</v>
      </c>
      <c r="H65" s="1451">
        <f>'SegP&amp;L'!$D57</f>
        <v>6350.0000000000009</v>
      </c>
      <c r="I65" s="1451">
        <f>'SegP&amp;L'!D64</f>
        <v>6814</v>
      </c>
      <c r="J65" s="1451">
        <f>'SegP&amp;L'!D71</f>
        <v>7196.3249999999998</v>
      </c>
      <c r="K65" s="1451">
        <f>'SegP&amp;L'!D78</f>
        <v>7779.826</v>
      </c>
      <c r="L65" s="1451">
        <f>'SegP&amp;L'!D85</f>
        <v>8228.4680000000008</v>
      </c>
      <c r="M65" s="1451">
        <f>'SegP&amp;L'!D92</f>
        <v>8863.0529999999999</v>
      </c>
      <c r="N65" s="1451">
        <f>'SegP&amp;L'!$D99</f>
        <v>9485.5820000000003</v>
      </c>
      <c r="O65" s="1451">
        <f>'SegP&amp;L'!$D106</f>
        <v>9937.2060000000001</v>
      </c>
      <c r="P65" s="1451">
        <f>'SegP&amp;L'!$D113</f>
        <v>10489.478000000001</v>
      </c>
      <c r="Q65" s="1451">
        <f>'SegP&amp;L'!$D$120</f>
        <v>10956.788</v>
      </c>
      <c r="R65" s="1451">
        <f>'SegP&amp;L'!$D$127</f>
        <v>11531.785</v>
      </c>
      <c r="S65" s="1451">
        <f>'SegP&amp;L'!$D$134</f>
        <v>11966.651</v>
      </c>
      <c r="T65" s="1451">
        <f>'SegP&amp;L'!$D$141</f>
        <v>12362.121999999999</v>
      </c>
      <c r="U65" s="1451">
        <f>'SegP&amp;L'!$D$148</f>
        <v>13270.862999999999</v>
      </c>
      <c r="V65" s="1451">
        <f>'SegP&amp;L'!$D$155</f>
        <v>14092.159</v>
      </c>
      <c r="W65" s="1451">
        <f>'SegP&amp;L'!$D$162</f>
        <v>15367.519</v>
      </c>
      <c r="X65" s="1451">
        <f>'SegP&amp;L'!$D$169</f>
        <v>17011.409</v>
      </c>
      <c r="Y65" s="1451">
        <f>'SegP&amp;L'!$D$176</f>
        <v>17929.576000000001</v>
      </c>
      <c r="Z65" s="1451">
        <f>'SegP&amp;L'!$D$183</f>
        <v>18688.350999999999</v>
      </c>
      <c r="AA65" s="1451">
        <f>'SegP&amp;L'!$D$190</f>
        <v>19948.226999999999</v>
      </c>
      <c r="AB65" s="1451">
        <f>'SegP&amp;L'!$D$197</f>
        <v>21246.034</v>
      </c>
      <c r="AC65" s="1451">
        <f>'SegP&amp;L'!$D$204</f>
        <v>22249.105</v>
      </c>
      <c r="AD65" s="1451">
        <f>'SegP&amp;L'!$D$211</f>
        <v>22755.018556000003</v>
      </c>
      <c r="AE65" s="1451">
        <f>+AD65*(1+AE66)</f>
        <v>23816.404401567328</v>
      </c>
      <c r="AF65" s="1451">
        <f>+AE65*(1+AF66)</f>
        <v>24983.311377175723</v>
      </c>
      <c r="AG65" s="1451">
        <f>+AF65*(1+AG66)</f>
        <v>26192.62246896842</v>
      </c>
      <c r="AH65" s="1451">
        <f>+AG65*(1+AH66)</f>
        <v>27146.584063160895</v>
      </c>
      <c r="AI65" s="1423"/>
      <c r="AJ65" s="1448"/>
      <c r="AK65" s="1453">
        <f>((X65/S65)^(1/5)-1)*100</f>
        <v>7.2885886236811359</v>
      </c>
      <c r="AL65" s="1454" t="s">
        <v>190</v>
      </c>
      <c r="AM65" s="1453">
        <f>((AC65/X65)^(1/5)-1)*100</f>
        <v>5.515060394664606</v>
      </c>
      <c r="AN65" s="1454" t="s">
        <v>190</v>
      </c>
      <c r="AO65" s="1455">
        <f>((AH65/AC65)^(1/5)-1)*100</f>
        <v>4.059210995409912</v>
      </c>
      <c r="AP65" s="1449" t="s">
        <v>190</v>
      </c>
      <c r="AQ65" s="1454"/>
      <c r="AR65" s="1423"/>
      <c r="AS65" s="1510">
        <f>+X65*'SegP&amp;L'!I162/100+'SegP&amp;L'!AA162/100*yrSales!X138+yrSales!X194*0.07+yrSales!X236*0.1-170</f>
        <v>3019.5908896675755</v>
      </c>
      <c r="AT65" s="1422">
        <f>+AS65/AS66</f>
        <v>0.11668395869985852</v>
      </c>
      <c r="AU65" s="1421"/>
      <c r="AV65" s="1421"/>
      <c r="AW65" s="1421"/>
      <c r="AX65" s="1421"/>
      <c r="AY65" s="1421"/>
    </row>
    <row r="66" spans="1:51">
      <c r="A66" s="1450" t="s">
        <v>191</v>
      </c>
      <c r="B66" s="1445">
        <f>+B65/1671.8-1</f>
        <v>0.1592295729154205</v>
      </c>
      <c r="C66" s="1445">
        <f t="shared" ref="C66:AD66" si="76">C65/B65-1</f>
        <v>0.12471620227038183</v>
      </c>
      <c r="D66" s="1445">
        <f t="shared" si="76"/>
        <v>0.16415102995825115</v>
      </c>
      <c r="E66" s="1445">
        <f t="shared" si="76"/>
        <v>8.1655172413793053E-2</v>
      </c>
      <c r="F66" s="1445">
        <f t="shared" si="76"/>
        <v>6.8094873756694652E-2</v>
      </c>
      <c r="G66" s="1445">
        <f t="shared" si="76"/>
        <v>0.26858063855914871</v>
      </c>
      <c r="H66" s="1445">
        <f t="shared" si="76"/>
        <v>0.70746155320920789</v>
      </c>
      <c r="I66" s="1445">
        <f t="shared" si="76"/>
        <v>7.3070866141732083E-2</v>
      </c>
      <c r="J66" s="1445">
        <f t="shared" si="76"/>
        <v>5.6108746697974832E-2</v>
      </c>
      <c r="K66" s="1445">
        <f t="shared" si="76"/>
        <v>8.108319176802059E-2</v>
      </c>
      <c r="L66" s="1445">
        <f t="shared" si="76"/>
        <v>5.7667356570699768E-2</v>
      </c>
      <c r="M66" s="1445">
        <f t="shared" si="76"/>
        <v>7.7120674225141128E-2</v>
      </c>
      <c r="N66" s="1445">
        <f t="shared" si="76"/>
        <v>7.0238663810314517E-2</v>
      </c>
      <c r="O66" s="1445">
        <f t="shared" si="76"/>
        <v>4.7611627836858128E-2</v>
      </c>
      <c r="P66" s="1445">
        <f t="shared" si="76"/>
        <v>5.5576185096696262E-2</v>
      </c>
      <c r="Q66" s="1445">
        <f t="shared" si="76"/>
        <v>4.4550357987308775E-2</v>
      </c>
      <c r="R66" s="1445">
        <f t="shared" si="76"/>
        <v>5.247860960712214E-2</v>
      </c>
      <c r="S66" s="1445">
        <f t="shared" si="76"/>
        <v>3.7710207049472366E-2</v>
      </c>
      <c r="T66" s="1445">
        <f t="shared" si="76"/>
        <v>3.3047759143305822E-2</v>
      </c>
      <c r="U66" s="1445">
        <f t="shared" si="76"/>
        <v>7.3510114202076204E-2</v>
      </c>
      <c r="V66" s="1445">
        <f t="shared" si="76"/>
        <v>6.1887158355865779E-2</v>
      </c>
      <c r="W66" s="1445">
        <f t="shared" si="76"/>
        <v>9.0501391589464797E-2</v>
      </c>
      <c r="X66" s="1445">
        <f t="shared" si="76"/>
        <v>0.10697172393279608</v>
      </c>
      <c r="Y66" s="1445">
        <f t="shared" si="76"/>
        <v>5.3973600893376883E-2</v>
      </c>
      <c r="Z66" s="1445">
        <f t="shared" si="76"/>
        <v>4.2319740299491704E-2</v>
      </c>
      <c r="AA66" s="1445">
        <f t="shared" si="76"/>
        <v>6.7415043734998292E-2</v>
      </c>
      <c r="AB66" s="1445">
        <f t="shared" si="76"/>
        <v>6.505876437038749E-2</v>
      </c>
      <c r="AC66" s="1445">
        <f t="shared" si="76"/>
        <v>4.7212152630462745E-2</v>
      </c>
      <c r="AD66" s="1445">
        <f t="shared" si="76"/>
        <v>2.2738602564013499E-2</v>
      </c>
      <c r="AE66" s="1445">
        <f>+AE125+AE126</f>
        <v>4.6644033401038953E-2</v>
      </c>
      <c r="AF66" s="1445">
        <f>+AF125+AF126</f>
        <v>4.8995933892170537E-2</v>
      </c>
      <c r="AG66" s="1445">
        <f>+AG125+AG126</f>
        <v>4.8404756020352914E-2</v>
      </c>
      <c r="AH66" s="1445">
        <f>+AH125+AH126</f>
        <v>3.6421003483812088E-2</v>
      </c>
      <c r="AI66" s="1423"/>
      <c r="AJ66" s="1448"/>
      <c r="AK66" s="1423"/>
      <c r="AL66" s="1423"/>
      <c r="AM66" s="1423"/>
      <c r="AN66" s="1423"/>
      <c r="AO66" s="1423"/>
      <c r="AP66" s="1449"/>
      <c r="AQ66" s="1423"/>
      <c r="AR66" s="1423"/>
      <c r="AS66" s="1510">
        <f>+X65+yrSales!X138+yrSales!X194+yrSales!X236</f>
        <v>25878.372000000003</v>
      </c>
      <c r="AT66" s="1421"/>
      <c r="AU66" s="1421"/>
      <c r="AV66" s="1421"/>
      <c r="AW66" s="1421"/>
      <c r="AX66" s="1421"/>
      <c r="AY66" s="1421"/>
    </row>
    <row r="67" spans="1:51" hidden="1" outlineLevel="1">
      <c r="A67" s="1511" t="s">
        <v>375</v>
      </c>
      <c r="B67" s="1512">
        <v>1938</v>
      </c>
      <c r="C67" s="1512">
        <v>2179.6999999999998</v>
      </c>
      <c r="D67" s="1512">
        <v>2537.5</v>
      </c>
      <c r="E67" s="1512">
        <v>2744.7</v>
      </c>
      <c r="F67" s="1512">
        <v>2931.6</v>
      </c>
      <c r="G67" s="1512">
        <v>3070</v>
      </c>
      <c r="H67" s="1512">
        <v>3330</v>
      </c>
      <c r="I67" s="1512">
        <v>3549</v>
      </c>
      <c r="J67" s="1512">
        <v>3780</v>
      </c>
      <c r="K67" s="1512"/>
      <c r="L67" s="1512"/>
      <c r="M67" s="1512"/>
      <c r="N67" s="1451"/>
      <c r="O67" s="1451"/>
      <c r="P67" s="1451"/>
      <c r="Q67" s="1451"/>
      <c r="R67" s="1451"/>
      <c r="S67" s="1451"/>
      <c r="T67" s="1451"/>
      <c r="U67" s="1451"/>
      <c r="V67" s="1451"/>
      <c r="W67" s="1451"/>
      <c r="X67" s="1451"/>
      <c r="Y67" s="1451"/>
      <c r="Z67" s="1451"/>
      <c r="AA67" s="1451"/>
      <c r="AB67" s="1451"/>
      <c r="AC67" s="1451"/>
      <c r="AD67" s="1451"/>
      <c r="AE67" s="1451"/>
      <c r="AF67" s="1451"/>
      <c r="AG67" s="1451"/>
      <c r="AH67" s="1451"/>
      <c r="AI67" s="1423"/>
      <c r="AJ67" s="1448"/>
      <c r="AK67" s="1453"/>
      <c r="AL67" s="1454"/>
      <c r="AM67" s="1423"/>
      <c r="AN67" s="1454"/>
      <c r="AO67" s="1423"/>
      <c r="AP67" s="1459"/>
      <c r="AQ67" s="1454"/>
      <c r="AR67" s="1423"/>
      <c r="AS67" s="1421"/>
      <c r="AT67" s="1421"/>
      <c r="AU67" s="1421"/>
      <c r="AV67" s="1421"/>
      <c r="AW67" s="1421"/>
      <c r="AX67" s="1421"/>
      <c r="AY67" s="1421"/>
    </row>
    <row r="68" spans="1:51" hidden="1" outlineLevel="1">
      <c r="A68" s="1511" t="s">
        <v>370</v>
      </c>
      <c r="B68" s="1512"/>
      <c r="C68" s="1512"/>
      <c r="D68" s="1512"/>
      <c r="E68" s="1512"/>
      <c r="F68" s="1513" t="s">
        <v>642</v>
      </c>
      <c r="G68" s="1451">
        <f>+G65-G67</f>
        <v>648.971</v>
      </c>
      <c r="H68" s="1451">
        <f>+H65-H67</f>
        <v>3020.0000000000009</v>
      </c>
      <c r="I68" s="1451">
        <f>+I65-I67</f>
        <v>3265</v>
      </c>
      <c r="J68" s="1451">
        <f>+J65-J67</f>
        <v>3416.3249999999998</v>
      </c>
      <c r="K68" s="1512"/>
      <c r="L68" s="1512"/>
      <c r="M68" s="1512"/>
      <c r="N68" s="1451"/>
      <c r="O68" s="1451"/>
      <c r="P68" s="1451"/>
      <c r="Q68" s="1451"/>
      <c r="R68" s="1451"/>
      <c r="S68" s="1451"/>
      <c r="T68" s="1451"/>
      <c r="U68" s="1451"/>
      <c r="V68" s="1451"/>
      <c r="W68" s="1451"/>
      <c r="X68" s="1451"/>
      <c r="Y68" s="1451"/>
      <c r="Z68" s="1451"/>
      <c r="AA68" s="1451"/>
      <c r="AB68" s="1451"/>
      <c r="AC68" s="1451"/>
      <c r="AD68" s="1451"/>
      <c r="AE68" s="1451"/>
      <c r="AF68" s="1451"/>
      <c r="AG68" s="1451"/>
      <c r="AH68" s="1451"/>
      <c r="AI68" s="1423"/>
      <c r="AJ68" s="1448"/>
      <c r="AK68" s="1453"/>
      <c r="AL68" s="1454"/>
      <c r="AM68" s="1423"/>
      <c r="AN68" s="1454"/>
      <c r="AO68" s="1423"/>
      <c r="AP68" s="1459"/>
      <c r="AQ68" s="1454"/>
      <c r="AR68" s="1423"/>
      <c r="AS68" s="1421"/>
      <c r="AT68" s="1421"/>
      <c r="AU68" s="1421"/>
      <c r="AV68" s="1421"/>
      <c r="AW68" s="1421"/>
      <c r="AX68" s="1421"/>
      <c r="AY68" s="1421"/>
    </row>
    <row r="69" spans="1:51" collapsed="1">
      <c r="A69" s="1421"/>
      <c r="B69" s="1421"/>
      <c r="C69" s="1421"/>
      <c r="D69" s="1421"/>
      <c r="E69" s="1421"/>
      <c r="F69" s="1421"/>
      <c r="G69" s="1421"/>
      <c r="H69" s="1421"/>
      <c r="I69" s="1421"/>
      <c r="J69" s="1421"/>
      <c r="K69" s="1421"/>
      <c r="L69" s="1421"/>
      <c r="M69" s="1421"/>
      <c r="N69" s="1421"/>
      <c r="O69" s="1421"/>
      <c r="P69" s="1421"/>
      <c r="Q69" s="1421"/>
      <c r="R69" s="1421"/>
      <c r="S69" s="1421"/>
      <c r="T69" s="1421"/>
      <c r="U69" s="1421"/>
      <c r="V69" s="1421"/>
      <c r="W69" s="1421"/>
      <c r="X69" s="1421"/>
      <c r="Y69" s="1421"/>
      <c r="Z69" s="1421"/>
      <c r="AA69" s="1421"/>
      <c r="AB69" s="1421"/>
      <c r="AC69" s="1421"/>
      <c r="AD69" s="1421"/>
      <c r="AE69" s="1421"/>
      <c r="AF69" s="1421"/>
      <c r="AG69" s="1421"/>
      <c r="AH69" s="1421"/>
      <c r="AI69" s="1423"/>
      <c r="AJ69" s="1448"/>
      <c r="AK69" s="1423"/>
      <c r="AL69" s="1423"/>
      <c r="AM69" s="1423"/>
      <c r="AN69" s="1423"/>
      <c r="AO69" s="1423"/>
      <c r="AP69" s="1449"/>
      <c r="AQ69" s="1423"/>
      <c r="AR69" s="1423"/>
      <c r="AS69" s="1421"/>
      <c r="AT69" s="1421"/>
      <c r="AU69" s="1421"/>
      <c r="AV69" s="1421"/>
      <c r="AW69" s="1421"/>
      <c r="AX69" s="1421"/>
      <c r="AY69" s="1421"/>
    </row>
    <row r="70" spans="1:51" hidden="1" outlineLevel="1">
      <c r="A70" s="1450" t="s">
        <v>169</v>
      </c>
      <c r="B70" s="1451">
        <f>'SegP&amp;L'!$G$15</f>
        <v>160.80000000000001</v>
      </c>
      <c r="C70" s="1451">
        <f>'SegP&amp;L'!$G$22</f>
        <v>182.7</v>
      </c>
      <c r="D70" s="1451">
        <f>'SegP&amp;L'!$G$29</f>
        <v>215.7</v>
      </c>
      <c r="E70" s="1451">
        <f>'SegP&amp;L'!$G$36</f>
        <v>233.8</v>
      </c>
      <c r="F70" s="1451">
        <f>'SegP&amp;L'!$G$43</f>
        <v>202.2</v>
      </c>
      <c r="G70" s="1451">
        <f>'SegP&amp;L'!$G$50</f>
        <v>179.77799999999999</v>
      </c>
      <c r="H70" s="1451">
        <f>'SegP&amp;L'!$G$57</f>
        <v>446.38303599999995</v>
      </c>
      <c r="I70" s="1451">
        <f>'SegP&amp;L'!$G$64</f>
        <v>575.59683999999993</v>
      </c>
      <c r="J70" s="1451">
        <f>'SegP&amp;L'!$G$71</f>
        <v>753.92100000000005</v>
      </c>
      <c r="K70" s="1451">
        <f>'SegP&amp;L'!$G$78</f>
        <v>849.56</v>
      </c>
      <c r="L70" s="1451">
        <f>'SegP&amp;L'!$G$85</f>
        <v>858.35799999999995</v>
      </c>
      <c r="M70" s="1451">
        <f>'SegP&amp;L'!$G$92</f>
        <v>893.65</v>
      </c>
      <c r="N70" s="1451">
        <f>'SegP&amp;L'!$G$99</f>
        <v>887.94399999999996</v>
      </c>
      <c r="O70" s="1451">
        <f>'SegP&amp;L'!$G$106</f>
        <v>922.90700000000004</v>
      </c>
      <c r="P70" s="1512"/>
      <c r="Q70" s="1512"/>
      <c r="R70" s="1512"/>
      <c r="S70" s="1512"/>
      <c r="T70" s="1512"/>
      <c r="U70" s="1512"/>
      <c r="V70" s="1512"/>
      <c r="W70" s="1512"/>
      <c r="X70" s="1512"/>
      <c r="Y70" s="1512"/>
      <c r="Z70" s="1512"/>
      <c r="AA70" s="1512"/>
      <c r="AB70" s="1512"/>
      <c r="AC70" s="1512"/>
      <c r="AD70" s="1512"/>
      <c r="AE70" s="1512"/>
      <c r="AF70" s="1512"/>
      <c r="AG70" s="1512"/>
      <c r="AH70" s="1512"/>
      <c r="AI70" s="1423"/>
      <c r="AJ70" s="1448"/>
      <c r="AK70" s="1514"/>
      <c r="AL70" s="1454"/>
      <c r="AM70" s="1423"/>
      <c r="AN70" s="1454"/>
      <c r="AO70" s="1423"/>
      <c r="AP70" s="1459"/>
      <c r="AQ70" s="1454"/>
      <c r="AR70" s="1423"/>
      <c r="AS70" s="1421"/>
      <c r="AT70" s="1421"/>
      <c r="AU70" s="1421"/>
      <c r="AV70" s="1421"/>
      <c r="AW70" s="1421"/>
      <c r="AX70" s="1421"/>
      <c r="AY70" s="1421"/>
    </row>
    <row r="71" spans="1:51" hidden="1" outlineLevel="1">
      <c r="A71" s="1450" t="s">
        <v>254</v>
      </c>
      <c r="B71" s="1515">
        <f>+B70/133.3-1</f>
        <v>0.20630157539384841</v>
      </c>
      <c r="C71" s="1422">
        <f t="shared" ref="C71:O71" si="77">+C70/C65</f>
        <v>8.3818874156994086E-2</v>
      </c>
      <c r="D71" s="1422">
        <f t="shared" si="77"/>
        <v>8.5004926108374373E-2</v>
      </c>
      <c r="E71" s="1422">
        <f t="shared" si="77"/>
        <v>8.5182351440958953E-2</v>
      </c>
      <c r="F71" s="1422">
        <f t="shared" si="77"/>
        <v>6.897257470323373E-2</v>
      </c>
      <c r="G71" s="1422">
        <f t="shared" si="77"/>
        <v>4.8340791041392897E-2</v>
      </c>
      <c r="H71" s="1422">
        <f t="shared" si="77"/>
        <v>7.0296541102362192E-2</v>
      </c>
      <c r="I71" s="1422">
        <f t="shared" si="77"/>
        <v>8.4472679776929835E-2</v>
      </c>
      <c r="J71" s="1422">
        <f t="shared" si="77"/>
        <v>0.10476472366103533</v>
      </c>
      <c r="K71" s="1422">
        <f t="shared" si="77"/>
        <v>0.10920038571556741</v>
      </c>
      <c r="L71" s="1422">
        <f t="shared" si="77"/>
        <v>0.10431565146756357</v>
      </c>
      <c r="M71" s="1422">
        <f t="shared" si="77"/>
        <v>0.10082868736089021</v>
      </c>
      <c r="N71" s="1422">
        <f t="shared" si="77"/>
        <v>9.3609859679669616E-2</v>
      </c>
      <c r="O71" s="1422">
        <f t="shared" si="77"/>
        <v>9.2873892319430634E-2</v>
      </c>
      <c r="P71" s="1422"/>
      <c r="Q71" s="1422"/>
      <c r="R71" s="1422"/>
      <c r="S71" s="1422"/>
      <c r="T71" s="1422"/>
      <c r="U71" s="1422"/>
      <c r="V71" s="1422"/>
      <c r="W71" s="1422"/>
      <c r="X71" s="1422"/>
      <c r="Y71" s="1422"/>
      <c r="Z71" s="1422"/>
      <c r="AA71" s="1422"/>
      <c r="AB71" s="1422"/>
      <c r="AC71" s="1422"/>
      <c r="AD71" s="1422"/>
      <c r="AE71" s="1422"/>
      <c r="AF71" s="1422"/>
      <c r="AG71" s="1422"/>
      <c r="AH71" s="1422"/>
      <c r="AI71" s="1423"/>
      <c r="AJ71" s="1448"/>
      <c r="AK71" s="1423"/>
      <c r="AL71" s="1423"/>
      <c r="AM71" s="1423"/>
      <c r="AN71" s="1423"/>
      <c r="AO71" s="1423"/>
      <c r="AP71" s="1449"/>
      <c r="AQ71" s="1423"/>
      <c r="AR71" s="1423"/>
      <c r="AS71" s="1421"/>
      <c r="AT71" s="1421"/>
      <c r="AU71" s="1421"/>
      <c r="AV71" s="1421"/>
      <c r="AW71" s="1421"/>
      <c r="AX71" s="1421"/>
      <c r="AY71" s="1421"/>
    </row>
    <row r="72" spans="1:51" hidden="1" outlineLevel="1">
      <c r="A72" s="1450" t="s">
        <v>191</v>
      </c>
      <c r="B72" s="1515"/>
      <c r="C72" s="1422">
        <f t="shared" ref="C72:O72" si="78">+C70/B70-1</f>
        <v>0.13619402985074602</v>
      </c>
      <c r="D72" s="1422">
        <f t="shared" si="78"/>
        <v>0.180623973727422</v>
      </c>
      <c r="E72" s="1422">
        <f t="shared" si="78"/>
        <v>8.3912841910060321E-2</v>
      </c>
      <c r="F72" s="1422">
        <f t="shared" si="78"/>
        <v>-0.13515825491873401</v>
      </c>
      <c r="G72" s="1422">
        <f t="shared" si="78"/>
        <v>-0.11089020771513347</v>
      </c>
      <c r="H72" s="1422">
        <f t="shared" si="78"/>
        <v>1.4829680828577465</v>
      </c>
      <c r="I72" s="1422">
        <f t="shared" si="78"/>
        <v>0.28946844655628889</v>
      </c>
      <c r="J72" s="1422">
        <f t="shared" si="78"/>
        <v>0.3098073992206074</v>
      </c>
      <c r="K72" s="1422">
        <f t="shared" si="78"/>
        <v>0.12685546628890809</v>
      </c>
      <c r="L72" s="1422">
        <f t="shared" si="78"/>
        <v>1.0355948961815464E-2</v>
      </c>
      <c r="M72" s="1422">
        <f t="shared" si="78"/>
        <v>4.1115711626151352E-2</v>
      </c>
      <c r="N72" s="1422">
        <f t="shared" si="78"/>
        <v>-6.3850500755329165E-3</v>
      </c>
      <c r="O72" s="1422">
        <f t="shared" si="78"/>
        <v>3.937523087041539E-2</v>
      </c>
      <c r="P72" s="1422"/>
      <c r="Q72" s="1422"/>
      <c r="R72" s="1422"/>
      <c r="S72" s="1422"/>
      <c r="T72" s="1422"/>
      <c r="U72" s="1422"/>
      <c r="V72" s="1422"/>
      <c r="W72" s="1422"/>
      <c r="X72" s="1422"/>
      <c r="Y72" s="1422"/>
      <c r="Z72" s="1422"/>
      <c r="AA72" s="1422"/>
      <c r="AB72" s="1422"/>
      <c r="AC72" s="1422"/>
      <c r="AD72" s="1422"/>
      <c r="AE72" s="1422"/>
      <c r="AF72" s="1422"/>
      <c r="AG72" s="1422"/>
      <c r="AH72" s="1422"/>
      <c r="AI72" s="1423"/>
      <c r="AJ72" s="1448"/>
      <c r="AK72" s="1423"/>
      <c r="AL72" s="1423"/>
      <c r="AM72" s="1423"/>
      <c r="AN72" s="1423"/>
      <c r="AO72" s="1423"/>
      <c r="AP72" s="1449"/>
      <c r="AQ72" s="1423"/>
      <c r="AR72" s="1423"/>
      <c r="AS72" s="1421"/>
      <c r="AT72" s="1421"/>
      <c r="AU72" s="1421"/>
      <c r="AV72" s="1421"/>
      <c r="AW72" s="1421"/>
      <c r="AX72" s="1421"/>
      <c r="AY72" s="1421"/>
    </row>
    <row r="73" spans="1:51" hidden="1" outlineLevel="1">
      <c r="A73" s="1511" t="s">
        <v>375</v>
      </c>
      <c r="B73" s="1421"/>
      <c r="C73" s="1421"/>
      <c r="D73" s="1421"/>
      <c r="E73" s="1421"/>
      <c r="F73" s="1421"/>
      <c r="G73" s="1421"/>
      <c r="H73" s="1421"/>
      <c r="I73" s="1421"/>
      <c r="J73" s="1421"/>
      <c r="K73" s="1421"/>
      <c r="L73" s="1421"/>
      <c r="M73" s="1422"/>
      <c r="N73" s="1421"/>
      <c r="O73" s="1421"/>
      <c r="P73" s="1421"/>
      <c r="Q73" s="1421"/>
      <c r="R73" s="1421"/>
      <c r="S73" s="1421"/>
      <c r="T73" s="1421"/>
      <c r="U73" s="1421"/>
      <c r="V73" s="1421"/>
      <c r="W73" s="1421"/>
      <c r="X73" s="1421"/>
      <c r="Y73" s="1421"/>
      <c r="Z73" s="1421"/>
      <c r="AA73" s="1421"/>
      <c r="AB73" s="1421"/>
      <c r="AC73" s="1421"/>
      <c r="AD73" s="1421"/>
      <c r="AE73" s="1421"/>
      <c r="AF73" s="1421"/>
      <c r="AG73" s="1421"/>
      <c r="AH73" s="1421"/>
      <c r="AI73" s="1423"/>
      <c r="AJ73" s="1448"/>
      <c r="AK73" s="1423"/>
      <c r="AL73" s="1423"/>
      <c r="AM73" s="1423"/>
      <c r="AN73" s="1423"/>
      <c r="AO73" s="1423"/>
      <c r="AP73" s="1449"/>
      <c r="AQ73" s="1423"/>
      <c r="AR73" s="1423"/>
      <c r="AS73" s="1421"/>
      <c r="AT73" s="1421"/>
      <c r="AU73" s="1421"/>
      <c r="AV73" s="1421"/>
      <c r="AW73" s="1421"/>
      <c r="AX73" s="1421"/>
      <c r="AY73" s="1421"/>
    </row>
    <row r="74" spans="1:51" hidden="1" outlineLevel="1">
      <c r="A74" s="1511" t="s">
        <v>370</v>
      </c>
      <c r="B74" s="1421"/>
      <c r="C74" s="1421"/>
      <c r="D74" s="1421"/>
      <c r="E74" s="1421"/>
      <c r="F74" s="1421"/>
      <c r="G74" s="1421"/>
      <c r="H74" s="1421"/>
      <c r="I74" s="1421"/>
      <c r="J74" s="1421"/>
      <c r="K74" s="1421"/>
      <c r="L74" s="1421"/>
      <c r="M74" s="1422"/>
      <c r="N74" s="1421"/>
      <c r="O74" s="1421"/>
      <c r="P74" s="1421"/>
      <c r="Q74" s="1421"/>
      <c r="R74" s="1421"/>
      <c r="S74" s="1421"/>
      <c r="T74" s="1421"/>
      <c r="U74" s="1421"/>
      <c r="V74" s="1421"/>
      <c r="W74" s="1421"/>
      <c r="X74" s="1421"/>
      <c r="Y74" s="1421"/>
      <c r="Z74" s="1421"/>
      <c r="AA74" s="1421"/>
      <c r="AB74" s="1421"/>
      <c r="AC74" s="1421"/>
      <c r="AD74" s="1421"/>
      <c r="AE74" s="1421"/>
      <c r="AF74" s="1421"/>
      <c r="AG74" s="1421"/>
      <c r="AH74" s="1421"/>
      <c r="AI74" s="1423"/>
      <c r="AJ74" s="1448"/>
      <c r="AK74" s="1423"/>
      <c r="AL74" s="1423"/>
      <c r="AM74" s="1423"/>
      <c r="AN74" s="1423"/>
      <c r="AO74" s="1423"/>
      <c r="AP74" s="1449"/>
      <c r="AQ74" s="1423"/>
      <c r="AR74" s="1423"/>
      <c r="AS74" s="1421"/>
      <c r="AT74" s="1421"/>
      <c r="AU74" s="1421"/>
      <c r="AV74" s="1421"/>
      <c r="AW74" s="1421"/>
      <c r="AX74" s="1421"/>
      <c r="AY74" s="1421"/>
    </row>
    <row r="75" spans="1:51" hidden="1" outlineLevel="1">
      <c r="A75" s="1421"/>
      <c r="B75" s="1421"/>
      <c r="C75" s="1421"/>
      <c r="D75" s="1421"/>
      <c r="E75" s="1421"/>
      <c r="F75" s="1421"/>
      <c r="G75" s="1421"/>
      <c r="H75" s="1421"/>
      <c r="I75" s="1421"/>
      <c r="J75" s="1421"/>
      <c r="K75" s="1421"/>
      <c r="L75" s="1421"/>
      <c r="M75" s="1421"/>
      <c r="N75" s="1421"/>
      <c r="O75" s="1421"/>
      <c r="P75" s="1421"/>
      <c r="Q75" s="1421"/>
      <c r="R75" s="1421"/>
      <c r="S75" s="1421"/>
      <c r="T75" s="1421"/>
      <c r="U75" s="1421"/>
      <c r="V75" s="1421"/>
      <c r="W75" s="1421"/>
      <c r="X75" s="1421"/>
      <c r="Y75" s="1421"/>
      <c r="Z75" s="1421"/>
      <c r="AA75" s="1421"/>
      <c r="AB75" s="1421"/>
      <c r="AC75" s="1421"/>
      <c r="AD75" s="1421"/>
      <c r="AE75" s="1421"/>
      <c r="AF75" s="1421"/>
      <c r="AG75" s="1421"/>
      <c r="AH75" s="1421"/>
      <c r="AI75" s="1423"/>
      <c r="AJ75" s="1448"/>
      <c r="AK75" s="1423"/>
      <c r="AL75" s="1423"/>
      <c r="AM75" s="1423"/>
      <c r="AN75" s="1423"/>
      <c r="AO75" s="1423"/>
      <c r="AP75" s="1449"/>
      <c r="AQ75" s="1423"/>
      <c r="AR75" s="1423"/>
      <c r="AS75" s="1421"/>
      <c r="AT75" s="1421"/>
      <c r="AU75" s="1421"/>
      <c r="AV75" s="1421"/>
      <c r="AW75" s="1421"/>
      <c r="AX75" s="1421"/>
      <c r="AY75" s="1421"/>
    </row>
    <row r="76" spans="1:51" collapsed="1">
      <c r="A76" s="1450" t="s">
        <v>192</v>
      </c>
      <c r="B76" s="1434">
        <v>352</v>
      </c>
      <c r="C76" s="1434">
        <f t="shared" ref="C76:AH76" si="79">B92</f>
        <v>393</v>
      </c>
      <c r="D76" s="1434">
        <f t="shared" si="79"/>
        <v>437</v>
      </c>
      <c r="E76" s="1434">
        <f t="shared" si="79"/>
        <v>479</v>
      </c>
      <c r="F76" s="1434">
        <f t="shared" si="79"/>
        <v>512</v>
      </c>
      <c r="G76" s="1482">
        <f t="shared" si="79"/>
        <v>551</v>
      </c>
      <c r="H76" s="1482">
        <f t="shared" si="79"/>
        <v>1083</v>
      </c>
      <c r="I76" s="1482">
        <f t="shared" si="79"/>
        <v>1032</v>
      </c>
      <c r="J76" s="1482">
        <f t="shared" si="79"/>
        <v>1041</v>
      </c>
      <c r="K76" s="1482">
        <f t="shared" si="79"/>
        <v>1079</v>
      </c>
      <c r="L76" s="1482">
        <f t="shared" si="79"/>
        <v>1137</v>
      </c>
      <c r="M76" s="1482">
        <f t="shared" si="79"/>
        <v>1196</v>
      </c>
      <c r="N76" s="1482">
        <f t="shared" si="79"/>
        <v>1269</v>
      </c>
      <c r="O76" s="1482">
        <f t="shared" si="79"/>
        <v>1342</v>
      </c>
      <c r="P76" s="1482">
        <f t="shared" si="79"/>
        <v>1418</v>
      </c>
      <c r="Q76" s="1482">
        <f t="shared" si="79"/>
        <v>1468</v>
      </c>
      <c r="R76" s="1482">
        <f t="shared" si="79"/>
        <v>1514</v>
      </c>
      <c r="S76" s="1482">
        <f t="shared" si="79"/>
        <v>1569</v>
      </c>
      <c r="T76" s="1482">
        <f t="shared" si="79"/>
        <v>1623</v>
      </c>
      <c r="U76" s="1482">
        <f t="shared" si="79"/>
        <v>1680</v>
      </c>
      <c r="V76" s="1482">
        <f t="shared" si="79"/>
        <v>1703</v>
      </c>
      <c r="W76" s="1482">
        <f t="shared" si="79"/>
        <v>1753</v>
      </c>
      <c r="X76" s="1482">
        <f t="shared" si="79"/>
        <v>1867</v>
      </c>
      <c r="Y76" s="1482">
        <f t="shared" si="79"/>
        <v>1940</v>
      </c>
      <c r="Z76" s="1482">
        <f t="shared" si="79"/>
        <v>2021</v>
      </c>
      <c r="AA76" s="1482">
        <f t="shared" si="79"/>
        <v>2094</v>
      </c>
      <c r="AB76" s="1482">
        <f t="shared" si="79"/>
        <v>2163</v>
      </c>
      <c r="AC76" s="1482">
        <f t="shared" si="79"/>
        <v>2221</v>
      </c>
      <c r="AD76" s="1482">
        <f t="shared" si="79"/>
        <v>2285</v>
      </c>
      <c r="AE76" s="1482">
        <f t="shared" si="79"/>
        <v>2350</v>
      </c>
      <c r="AF76" s="1482">
        <f t="shared" si="79"/>
        <v>2410</v>
      </c>
      <c r="AG76" s="1482">
        <f t="shared" si="79"/>
        <v>2470</v>
      </c>
      <c r="AH76" s="1482">
        <f t="shared" si="79"/>
        <v>2530</v>
      </c>
      <c r="AI76" s="1423"/>
      <c r="AJ76" s="1448"/>
      <c r="AK76" s="1423"/>
      <c r="AL76" s="1423"/>
      <c r="AM76" s="1423"/>
      <c r="AN76" s="1423"/>
      <c r="AO76" s="1423"/>
      <c r="AP76" s="1449"/>
      <c r="AQ76" s="1423"/>
      <c r="AR76" s="1423"/>
      <c r="AS76" s="1421"/>
      <c r="AT76" s="1421"/>
      <c r="AU76" s="1421"/>
      <c r="AV76" s="1421"/>
      <c r="AW76" s="1421"/>
      <c r="AX76" s="1421"/>
      <c r="AY76" s="1421"/>
    </row>
    <row r="77" spans="1:51">
      <c r="A77" s="1511" t="s">
        <v>375</v>
      </c>
      <c r="B77" s="1434">
        <v>352</v>
      </c>
      <c r="C77" s="1434">
        <f t="shared" ref="C77:AH77" si="80">+B93</f>
        <v>393</v>
      </c>
      <c r="D77" s="1434">
        <f t="shared" si="80"/>
        <v>437</v>
      </c>
      <c r="E77" s="1434">
        <f t="shared" si="80"/>
        <v>479</v>
      </c>
      <c r="F77" s="1434">
        <f t="shared" si="80"/>
        <v>512</v>
      </c>
      <c r="G77" s="1482">
        <f t="shared" si="80"/>
        <v>551</v>
      </c>
      <c r="H77" s="1482">
        <f t="shared" si="80"/>
        <v>587</v>
      </c>
      <c r="I77" s="1482">
        <f t="shared" si="80"/>
        <v>578</v>
      </c>
      <c r="J77" s="1482">
        <f t="shared" si="80"/>
        <v>580</v>
      </c>
      <c r="K77" s="1482">
        <f t="shared" si="80"/>
        <v>604</v>
      </c>
      <c r="L77" s="1482">
        <f t="shared" si="80"/>
        <v>632</v>
      </c>
      <c r="M77" s="1482">
        <f t="shared" si="80"/>
        <v>661</v>
      </c>
      <c r="N77" s="1482">
        <f t="shared" si="80"/>
        <v>687</v>
      </c>
      <c r="O77" s="1482">
        <f t="shared" si="80"/>
        <v>713</v>
      </c>
      <c r="P77" s="1482">
        <f t="shared" si="80"/>
        <v>745</v>
      </c>
      <c r="Q77" s="1482">
        <f t="shared" si="80"/>
        <v>771</v>
      </c>
      <c r="R77" s="1482">
        <f t="shared" si="80"/>
        <v>799</v>
      </c>
      <c r="S77" s="1482">
        <f t="shared" si="80"/>
        <v>821</v>
      </c>
      <c r="T77" s="1482">
        <f t="shared" si="80"/>
        <v>847</v>
      </c>
      <c r="U77" s="1482">
        <f t="shared" si="80"/>
        <v>874</v>
      </c>
      <c r="V77" s="1482">
        <f t="shared" si="80"/>
        <v>890</v>
      </c>
      <c r="W77" s="1482">
        <f t="shared" si="80"/>
        <v>923</v>
      </c>
      <c r="X77" s="1482">
        <f t="shared" si="80"/>
        <v>983</v>
      </c>
      <c r="Y77" s="1482">
        <f t="shared" si="80"/>
        <v>1036</v>
      </c>
      <c r="Z77" s="1482">
        <f t="shared" si="80"/>
        <v>1079</v>
      </c>
      <c r="AA77" s="1482">
        <f t="shared" si="80"/>
        <v>1119</v>
      </c>
      <c r="AB77" s="1482">
        <f t="shared" si="80"/>
        <v>1156</v>
      </c>
      <c r="AC77" s="1482">
        <f t="shared" si="80"/>
        <v>1186</v>
      </c>
      <c r="AD77" s="1482">
        <f t="shared" si="80"/>
        <v>1223</v>
      </c>
      <c r="AE77" s="1482">
        <f t="shared" si="80"/>
        <v>1253</v>
      </c>
      <c r="AF77" s="1482">
        <f t="shared" si="80"/>
        <v>1283</v>
      </c>
      <c r="AG77" s="1482">
        <f t="shared" si="80"/>
        <v>1313</v>
      </c>
      <c r="AH77" s="1482">
        <f t="shared" si="80"/>
        <v>1343</v>
      </c>
      <c r="AI77" s="1423"/>
      <c r="AJ77" s="1448"/>
      <c r="AK77" s="1423"/>
      <c r="AL77" s="1423"/>
      <c r="AM77" s="1423"/>
      <c r="AN77" s="1423"/>
      <c r="AO77" s="1423"/>
      <c r="AP77" s="1449"/>
      <c r="AQ77" s="1423"/>
      <c r="AR77" s="1423"/>
      <c r="AS77" s="1421"/>
      <c r="AT77" s="1421"/>
      <c r="AU77" s="1421"/>
      <c r="AV77" s="1421"/>
      <c r="AW77" s="1421"/>
      <c r="AX77" s="1421"/>
      <c r="AY77" s="1421"/>
    </row>
    <row r="78" spans="1:51">
      <c r="A78" s="1511" t="s">
        <v>370</v>
      </c>
      <c r="B78" s="1516"/>
      <c r="C78" s="1516"/>
      <c r="D78" s="1516"/>
      <c r="E78" s="1516"/>
      <c r="F78" s="1516"/>
      <c r="G78" s="1517">
        <v>484</v>
      </c>
      <c r="H78" s="1482">
        <f t="shared" ref="H78:AH78" si="81">+G94</f>
        <v>496</v>
      </c>
      <c r="I78" s="1482">
        <f t="shared" si="81"/>
        <v>454</v>
      </c>
      <c r="J78" s="1482">
        <f t="shared" si="81"/>
        <v>461</v>
      </c>
      <c r="K78" s="1482">
        <f t="shared" si="81"/>
        <v>475</v>
      </c>
      <c r="L78" s="1482">
        <f t="shared" si="81"/>
        <v>505</v>
      </c>
      <c r="M78" s="1482">
        <f t="shared" si="81"/>
        <v>535</v>
      </c>
      <c r="N78" s="1482">
        <f t="shared" si="81"/>
        <v>582</v>
      </c>
      <c r="O78" s="1482">
        <f t="shared" si="81"/>
        <v>629</v>
      </c>
      <c r="P78" s="1482">
        <f t="shared" si="81"/>
        <v>673</v>
      </c>
      <c r="Q78" s="1482">
        <f t="shared" si="81"/>
        <v>697</v>
      </c>
      <c r="R78" s="1482">
        <f t="shared" si="81"/>
        <v>715</v>
      </c>
      <c r="S78" s="1482">
        <f t="shared" si="81"/>
        <v>748</v>
      </c>
      <c r="T78" s="1482">
        <f t="shared" si="81"/>
        <v>776</v>
      </c>
      <c r="U78" s="1482">
        <f t="shared" si="81"/>
        <v>806</v>
      </c>
      <c r="V78" s="1482">
        <f t="shared" si="81"/>
        <v>813</v>
      </c>
      <c r="W78" s="1482">
        <f t="shared" si="81"/>
        <v>830</v>
      </c>
      <c r="X78" s="1482">
        <f t="shared" si="81"/>
        <v>884</v>
      </c>
      <c r="Y78" s="1482">
        <f t="shared" si="81"/>
        <v>904</v>
      </c>
      <c r="Z78" s="1482">
        <f t="shared" si="81"/>
        <v>942</v>
      </c>
      <c r="AA78" s="1482">
        <f t="shared" si="81"/>
        <v>975</v>
      </c>
      <c r="AB78" s="1482">
        <f t="shared" si="81"/>
        <v>1007</v>
      </c>
      <c r="AC78" s="1482">
        <f t="shared" si="81"/>
        <v>1035</v>
      </c>
      <c r="AD78" s="1482">
        <f t="shared" si="81"/>
        <v>1062</v>
      </c>
      <c r="AE78" s="1482">
        <f t="shared" si="81"/>
        <v>1097</v>
      </c>
      <c r="AF78" s="1482">
        <f t="shared" si="81"/>
        <v>1127</v>
      </c>
      <c r="AG78" s="1482">
        <f t="shared" si="81"/>
        <v>1157</v>
      </c>
      <c r="AH78" s="1482">
        <f t="shared" si="81"/>
        <v>1187</v>
      </c>
      <c r="AI78" s="1423"/>
      <c r="AJ78" s="1448"/>
      <c r="AK78" s="1423"/>
      <c r="AL78" s="1423"/>
      <c r="AM78" s="1423"/>
      <c r="AN78" s="1423"/>
      <c r="AO78" s="1423"/>
      <c r="AP78" s="1449"/>
      <c r="AQ78" s="1423"/>
      <c r="AR78" s="1423"/>
      <c r="AS78" s="1421"/>
      <c r="AT78" s="1421"/>
      <c r="AU78" s="1421"/>
      <c r="AV78" s="1421"/>
      <c r="AW78" s="1421"/>
      <c r="AX78" s="1421"/>
      <c r="AY78" s="1421"/>
    </row>
    <row r="79" spans="1:51" ht="12.75" customHeight="1">
      <c r="A79" s="1511"/>
      <c r="B79" s="1516"/>
      <c r="C79" s="1516"/>
      <c r="D79" s="1516"/>
      <c r="E79" s="1516"/>
      <c r="F79" s="1516"/>
      <c r="G79" s="1517"/>
      <c r="H79" s="1482"/>
      <c r="I79" s="1482"/>
      <c r="J79" s="1482"/>
      <c r="K79" s="1482"/>
      <c r="L79" s="1482"/>
      <c r="M79" s="1482"/>
      <c r="N79" s="1482"/>
      <c r="O79" s="1482"/>
      <c r="P79" s="1482"/>
      <c r="Q79" s="1482"/>
      <c r="R79" s="1482"/>
      <c r="S79" s="1482"/>
      <c r="T79" s="1482"/>
      <c r="U79" s="1482"/>
      <c r="V79" s="1482"/>
      <c r="W79" s="1482"/>
      <c r="X79" s="1482"/>
      <c r="Y79" s="1482"/>
      <c r="Z79" s="1482"/>
      <c r="AA79" s="1482"/>
      <c r="AB79" s="1482"/>
      <c r="AC79" s="1482"/>
      <c r="AD79" s="1482"/>
      <c r="AE79" s="1482"/>
      <c r="AF79" s="1482"/>
      <c r="AG79" s="1482"/>
      <c r="AH79" s="1482"/>
      <c r="AI79" s="1423"/>
      <c r="AJ79" s="1448"/>
      <c r="AK79" s="1423"/>
      <c r="AL79" s="1423"/>
      <c r="AM79" s="1423"/>
      <c r="AN79" s="1423"/>
      <c r="AO79" s="1423"/>
      <c r="AP79" s="1449"/>
      <c r="AQ79" s="1423"/>
      <c r="AR79" s="1423"/>
      <c r="AS79" s="1421"/>
      <c r="AT79" s="1421"/>
      <c r="AU79" s="1421"/>
      <c r="AV79" s="1421"/>
      <c r="AW79" s="1421"/>
      <c r="AX79" s="1421"/>
      <c r="AY79" s="1421"/>
    </row>
    <row r="80" spans="1:51">
      <c r="A80" s="1465" t="s">
        <v>693</v>
      </c>
      <c r="B80" s="1482">
        <f t="shared" ref="B80:J80" si="82">+B84+B87</f>
        <v>41</v>
      </c>
      <c r="C80" s="1482">
        <f t="shared" si="82"/>
        <v>44</v>
      </c>
      <c r="D80" s="1482">
        <f t="shared" si="82"/>
        <v>42</v>
      </c>
      <c r="E80" s="1482">
        <f t="shared" si="82"/>
        <v>33</v>
      </c>
      <c r="F80" s="1482">
        <f t="shared" si="82"/>
        <v>39</v>
      </c>
      <c r="G80" s="1482">
        <f t="shared" si="82"/>
        <v>48</v>
      </c>
      <c r="H80" s="1482">
        <f t="shared" si="82"/>
        <v>-51</v>
      </c>
      <c r="I80" s="1482">
        <f t="shared" si="82"/>
        <v>9</v>
      </c>
      <c r="J80" s="1482">
        <f t="shared" si="82"/>
        <v>38</v>
      </c>
      <c r="K80" s="1482">
        <f t="shared" ref="K80:S80" si="83">K81+K82</f>
        <v>58</v>
      </c>
      <c r="L80" s="1482">
        <f t="shared" si="83"/>
        <v>59</v>
      </c>
      <c r="M80" s="1482">
        <f t="shared" si="83"/>
        <v>73</v>
      </c>
      <c r="N80" s="1482">
        <f t="shared" si="83"/>
        <v>73</v>
      </c>
      <c r="O80" s="1482">
        <f t="shared" si="83"/>
        <v>76</v>
      </c>
      <c r="P80" s="1482">
        <f t="shared" si="83"/>
        <v>50</v>
      </c>
      <c r="Q80" s="1482">
        <f t="shared" si="83"/>
        <v>46</v>
      </c>
      <c r="R80" s="1482">
        <f t="shared" si="83"/>
        <v>55</v>
      </c>
      <c r="S80" s="1482">
        <f t="shared" si="83"/>
        <v>54</v>
      </c>
      <c r="T80" s="1482">
        <f t="shared" ref="T80:Y80" si="84">T81+T82</f>
        <v>57</v>
      </c>
      <c r="U80" s="1482">
        <f t="shared" si="84"/>
        <v>23</v>
      </c>
      <c r="V80" s="1482">
        <f t="shared" si="84"/>
        <v>50</v>
      </c>
      <c r="W80" s="1482">
        <f t="shared" si="84"/>
        <v>114</v>
      </c>
      <c r="X80" s="1482">
        <f t="shared" si="84"/>
        <v>73</v>
      </c>
      <c r="Y80" s="1482">
        <f t="shared" si="84"/>
        <v>81</v>
      </c>
      <c r="Z80" s="1482">
        <f t="shared" ref="Z80:AE80" si="85">Z81+Z82</f>
        <v>73</v>
      </c>
      <c r="AA80" s="1482">
        <f t="shared" si="85"/>
        <v>69</v>
      </c>
      <c r="AB80" s="1482">
        <f>AB81+AB82</f>
        <v>58</v>
      </c>
      <c r="AC80" s="1482">
        <f t="shared" si="85"/>
        <v>64</v>
      </c>
      <c r="AD80" s="1482">
        <f t="shared" si="85"/>
        <v>65</v>
      </c>
      <c r="AE80" s="1482">
        <f t="shared" si="85"/>
        <v>60</v>
      </c>
      <c r="AF80" s="1482">
        <f>AF81+AF82</f>
        <v>60</v>
      </c>
      <c r="AG80" s="1482">
        <f>AG81+AG82</f>
        <v>60</v>
      </c>
      <c r="AH80" s="1482">
        <f>AH81+AH82</f>
        <v>60</v>
      </c>
      <c r="AI80" s="1423"/>
      <c r="AJ80" s="1448"/>
      <c r="AK80" s="1423"/>
      <c r="AL80" s="1423"/>
      <c r="AM80" s="1423"/>
      <c r="AN80" s="1423"/>
      <c r="AO80" s="1423"/>
      <c r="AP80" s="1449"/>
      <c r="AQ80" s="1423"/>
      <c r="AR80" s="1423"/>
      <c r="AS80" s="1421"/>
      <c r="AT80" s="1421"/>
      <c r="AU80" s="1421"/>
      <c r="AV80" s="1421"/>
      <c r="AW80" s="1421"/>
      <c r="AX80" s="1421"/>
      <c r="AY80" s="1421"/>
    </row>
    <row r="81" spans="1:51">
      <c r="A81" s="1511" t="s">
        <v>375</v>
      </c>
      <c r="B81" s="1518">
        <f>+Stores!$L$22</f>
        <v>41</v>
      </c>
      <c r="C81" s="1518">
        <f>+Stores!$L$29</f>
        <v>44</v>
      </c>
      <c r="D81" s="1518">
        <f>+Stores!$L$37</f>
        <v>42</v>
      </c>
      <c r="E81" s="1518">
        <f>+Stores!$L$45</f>
        <v>33</v>
      </c>
      <c r="F81" s="1518">
        <f>+Stores!$L$53</f>
        <v>39</v>
      </c>
      <c r="G81" s="1519">
        <f>+Stores!$L$61</f>
        <v>36</v>
      </c>
      <c r="H81" s="1519">
        <f>+Stores!$L$69</f>
        <v>-9</v>
      </c>
      <c r="I81" s="1519">
        <f>+Stores!$L$77</f>
        <v>2</v>
      </c>
      <c r="J81" s="1519">
        <f>+Stores!$L$85</f>
        <v>24</v>
      </c>
      <c r="K81" s="1519">
        <f>+Stores!$L$93</f>
        <v>28</v>
      </c>
      <c r="L81" s="1519">
        <f>+Stores!$L$101</f>
        <v>29</v>
      </c>
      <c r="M81" s="1519">
        <f>+Stores!$L$109</f>
        <v>26</v>
      </c>
      <c r="N81" s="1519">
        <f>+Stores!$L$117</f>
        <v>26</v>
      </c>
      <c r="O81" s="1519">
        <f>+Stores!$L$125</f>
        <v>32</v>
      </c>
      <c r="P81" s="1519">
        <f>+Stores!$L$133</f>
        <v>26</v>
      </c>
      <c r="Q81" s="1519">
        <f>+Stores!$L$141</f>
        <v>28</v>
      </c>
      <c r="R81" s="1519">
        <f>+Stores!$L$149</f>
        <v>22</v>
      </c>
      <c r="S81" s="1519">
        <f>+Stores!$L$156</f>
        <v>26</v>
      </c>
      <c r="T81" s="1519">
        <f>+Stores!$L$163</f>
        <v>27</v>
      </c>
      <c r="U81" s="1519">
        <f>+Stores!$L$170</f>
        <v>16</v>
      </c>
      <c r="V81" s="1519">
        <f>+Stores!$L$177</f>
        <v>33</v>
      </c>
      <c r="W81" s="1519">
        <f>+Stores!$L$184</f>
        <v>60</v>
      </c>
      <c r="X81" s="1519">
        <f>+Stores!$L$191</f>
        <v>53</v>
      </c>
      <c r="Y81" s="1519">
        <f>+Stores!$L$198</f>
        <v>43</v>
      </c>
      <c r="Z81" s="1519">
        <f>+Stores!$L$205</f>
        <v>40</v>
      </c>
      <c r="AA81" s="1519">
        <f>+Stores!$L$212</f>
        <v>37</v>
      </c>
      <c r="AB81" s="1519">
        <f>+Stores!$L$219</f>
        <v>30</v>
      </c>
      <c r="AC81" s="1519">
        <f>+Stores!$L$226</f>
        <v>37</v>
      </c>
      <c r="AD81" s="1519">
        <f>+Stores!$L$233</f>
        <v>30</v>
      </c>
      <c r="AE81" s="1519">
        <f>+Stores!$L$240</f>
        <v>30</v>
      </c>
      <c r="AF81" s="1519">
        <f>Stores!$L$247</f>
        <v>30</v>
      </c>
      <c r="AG81" s="1519">
        <f>Stores!$L$254</f>
        <v>30</v>
      </c>
      <c r="AH81" s="1519">
        <f>Stores!$L$254</f>
        <v>30</v>
      </c>
      <c r="AI81" s="1423"/>
      <c r="AJ81" s="1448"/>
      <c r="AK81" s="1423"/>
      <c r="AL81" s="1423"/>
      <c r="AM81" s="1423"/>
      <c r="AN81" s="1423"/>
      <c r="AO81" s="1423"/>
      <c r="AP81" s="1449"/>
      <c r="AQ81" s="1423"/>
      <c r="AR81" s="1423"/>
      <c r="AS81" s="1421"/>
      <c r="AT81" s="1421"/>
      <c r="AU81" s="1421"/>
      <c r="AV81" s="1421"/>
      <c r="AW81" s="1421"/>
      <c r="AX81" s="1421"/>
      <c r="AY81" s="1421"/>
    </row>
    <row r="82" spans="1:51">
      <c r="A82" s="1511" t="s">
        <v>370</v>
      </c>
      <c r="B82" s="1520"/>
      <c r="C82" s="1518"/>
      <c r="D82" s="1518"/>
      <c r="E82" s="1518"/>
      <c r="F82" s="1518"/>
      <c r="G82" s="1519">
        <f>+Stores!$S$61</f>
        <v>12</v>
      </c>
      <c r="H82" s="1519">
        <f>+Stores!$S$69</f>
        <v>-42</v>
      </c>
      <c r="I82" s="1519">
        <f>+Stores!$S$77</f>
        <v>7</v>
      </c>
      <c r="J82" s="1519">
        <f>+Stores!$S$85</f>
        <v>14</v>
      </c>
      <c r="K82" s="1519">
        <f>+Stores!$S$93</f>
        <v>30</v>
      </c>
      <c r="L82" s="1519">
        <f>+Stores!$S$101</f>
        <v>30</v>
      </c>
      <c r="M82" s="1519">
        <f>+Stores!$S$109</f>
        <v>47</v>
      </c>
      <c r="N82" s="1519">
        <f>+Stores!$S$117</f>
        <v>47</v>
      </c>
      <c r="O82" s="1519">
        <f>+Stores!$S$125</f>
        <v>44</v>
      </c>
      <c r="P82" s="1519">
        <f>+Stores!$S$133</f>
        <v>24</v>
      </c>
      <c r="Q82" s="1519">
        <f>+Stores!$S$141</f>
        <v>18</v>
      </c>
      <c r="R82" s="1519">
        <f>+Stores!$S$149</f>
        <v>33</v>
      </c>
      <c r="S82" s="1519">
        <f>+Stores!$S$156</f>
        <v>28</v>
      </c>
      <c r="T82" s="1519">
        <f>+Stores!$S$163</f>
        <v>30</v>
      </c>
      <c r="U82" s="1519">
        <f>+Stores!$S$170</f>
        <v>7</v>
      </c>
      <c r="V82" s="1519">
        <f>+Stores!$S$177</f>
        <v>17</v>
      </c>
      <c r="W82" s="1519">
        <f>+Stores!$S$184</f>
        <v>54</v>
      </c>
      <c r="X82" s="1519">
        <f>+Stores!$S$191</f>
        <v>20</v>
      </c>
      <c r="Y82" s="1519">
        <f>+Stores!$S$198</f>
        <v>38</v>
      </c>
      <c r="Z82" s="1519">
        <f>+Stores!$S$205</f>
        <v>33</v>
      </c>
      <c r="AA82" s="1519">
        <f>+Stores!$S$212</f>
        <v>32</v>
      </c>
      <c r="AB82" s="1519">
        <f>+Stores!$S$219</f>
        <v>28</v>
      </c>
      <c r="AC82" s="1519">
        <f>+Stores!$S$226</f>
        <v>27</v>
      </c>
      <c r="AD82" s="1519">
        <f>+Stores!$S$233</f>
        <v>35</v>
      </c>
      <c r="AE82" s="1519">
        <f>+Stores!$S$240</f>
        <v>30</v>
      </c>
      <c r="AF82" s="1519">
        <f>Stores!$S$247</f>
        <v>30</v>
      </c>
      <c r="AG82" s="1519">
        <f>Stores!$S$254</f>
        <v>30</v>
      </c>
      <c r="AH82" s="1519">
        <f>Stores!$S$254</f>
        <v>30</v>
      </c>
      <c r="AI82" s="1423"/>
      <c r="AJ82" s="1448"/>
      <c r="AK82" s="1423"/>
      <c r="AL82" s="1423"/>
      <c r="AM82" s="1423"/>
      <c r="AN82" s="1423"/>
      <c r="AO82" s="1423"/>
      <c r="AP82" s="1449"/>
      <c r="AQ82" s="1423"/>
      <c r="AR82" s="1423"/>
      <c r="AS82" s="1421"/>
      <c r="AT82" s="1421"/>
      <c r="AU82" s="1421"/>
      <c r="AV82" s="1421"/>
      <c r="AW82" s="1421"/>
      <c r="AX82" s="1421"/>
      <c r="AY82" s="1421"/>
    </row>
    <row r="83" spans="1:51" ht="5.0999999999999996" customHeight="1">
      <c r="A83" s="1511"/>
      <c r="B83" s="1520"/>
      <c r="C83" s="1518"/>
      <c r="D83" s="1518"/>
      <c r="E83" s="1518"/>
      <c r="F83" s="1518"/>
      <c r="G83" s="1519"/>
      <c r="H83" s="1519"/>
      <c r="I83" s="1519"/>
      <c r="J83" s="1519"/>
      <c r="K83" s="1519"/>
      <c r="L83" s="1519"/>
      <c r="M83" s="1519"/>
      <c r="N83" s="1519"/>
      <c r="O83" s="1519"/>
      <c r="P83" s="1519"/>
      <c r="Q83" s="1519"/>
      <c r="R83" s="1519"/>
      <c r="S83" s="1519"/>
      <c r="T83" s="1519"/>
      <c r="U83" s="1519"/>
      <c r="V83" s="1519"/>
      <c r="W83" s="1519"/>
      <c r="X83" s="1519"/>
      <c r="Y83" s="1519"/>
      <c r="Z83" s="1519"/>
      <c r="AA83" s="1519"/>
      <c r="AB83" s="1519"/>
      <c r="AC83" s="1519"/>
      <c r="AD83" s="1519"/>
      <c r="AE83" s="1519"/>
      <c r="AF83" s="1519"/>
      <c r="AG83" s="1519"/>
      <c r="AH83" s="1519"/>
      <c r="AI83" s="1423"/>
      <c r="AJ83" s="1448"/>
      <c r="AK83" s="1423"/>
      <c r="AL83" s="1423"/>
      <c r="AM83" s="1423"/>
      <c r="AN83" s="1423"/>
      <c r="AO83" s="1423"/>
      <c r="AP83" s="1449"/>
      <c r="AQ83" s="1423"/>
      <c r="AR83" s="1423"/>
      <c r="AS83" s="1421"/>
      <c r="AT83" s="1421"/>
      <c r="AU83" s="1421"/>
      <c r="AV83" s="1421"/>
      <c r="AW83" s="1421"/>
      <c r="AX83" s="1421"/>
      <c r="AY83" s="1421"/>
    </row>
    <row r="84" spans="1:51" hidden="1" outlineLevel="1">
      <c r="A84" s="1450" t="s">
        <v>345</v>
      </c>
      <c r="B84" s="1434">
        <f t="shared" ref="B84:R84" si="86">+B85+B86</f>
        <v>41</v>
      </c>
      <c r="C84" s="1434">
        <f t="shared" si="86"/>
        <v>45</v>
      </c>
      <c r="D84" s="1434">
        <f t="shared" si="86"/>
        <v>43</v>
      </c>
      <c r="E84" s="1434">
        <f t="shared" si="86"/>
        <v>38</v>
      </c>
      <c r="F84" s="1434">
        <f t="shared" si="86"/>
        <v>46</v>
      </c>
      <c r="G84" s="1482">
        <f t="shared" si="86"/>
        <v>64</v>
      </c>
      <c r="H84" s="1482">
        <f t="shared" si="86"/>
        <v>32</v>
      </c>
      <c r="I84" s="1482">
        <f t="shared" si="86"/>
        <v>37</v>
      </c>
      <c r="J84" s="1482">
        <f t="shared" si="86"/>
        <v>44</v>
      </c>
      <c r="K84" s="1482">
        <f t="shared" si="86"/>
        <v>58</v>
      </c>
      <c r="L84" s="1482">
        <f t="shared" si="86"/>
        <v>59</v>
      </c>
      <c r="M84" s="1482">
        <f t="shared" si="86"/>
        <v>73</v>
      </c>
      <c r="N84" s="1482">
        <f t="shared" si="86"/>
        <v>73</v>
      </c>
      <c r="O84" s="1482">
        <f t="shared" si="86"/>
        <v>76</v>
      </c>
      <c r="P84" s="1482">
        <f t="shared" si="86"/>
        <v>50</v>
      </c>
      <c r="Q84" s="1482">
        <f t="shared" si="86"/>
        <v>46</v>
      </c>
      <c r="R84" s="1482">
        <f t="shared" si="86"/>
        <v>55</v>
      </c>
      <c r="S84" s="1482"/>
      <c r="T84" s="1482"/>
      <c r="U84" s="1482"/>
      <c r="V84" s="1482"/>
      <c r="W84" s="1482"/>
      <c r="X84" s="1482"/>
      <c r="Y84" s="1482"/>
      <c r="Z84" s="1482"/>
      <c r="AA84" s="1482"/>
      <c r="AB84" s="1482"/>
      <c r="AC84" s="1482"/>
      <c r="AD84" s="1482"/>
      <c r="AE84" s="1482"/>
      <c r="AF84" s="1482"/>
      <c r="AG84" s="1482"/>
      <c r="AH84" s="1482"/>
      <c r="AI84" s="1423"/>
      <c r="AJ84" s="1448"/>
      <c r="AK84" s="1423"/>
      <c r="AL84" s="1423"/>
      <c r="AM84" s="1423"/>
      <c r="AN84" s="1423"/>
      <c r="AO84" s="1423"/>
      <c r="AP84" s="1449"/>
      <c r="AQ84" s="1423"/>
      <c r="AR84" s="1423"/>
      <c r="AS84" s="1421"/>
      <c r="AT84" s="1421"/>
      <c r="AU84" s="1421"/>
      <c r="AV84" s="1421"/>
      <c r="AW84" s="1421"/>
      <c r="AX84" s="1421"/>
      <c r="AY84" s="1421"/>
    </row>
    <row r="85" spans="1:51" hidden="1" outlineLevel="1">
      <c r="A85" s="1511" t="s">
        <v>375</v>
      </c>
      <c r="B85" s="1518">
        <f>+Stores!$L$22</f>
        <v>41</v>
      </c>
      <c r="C85" s="1518">
        <f>+Stores!$L$30</f>
        <v>45</v>
      </c>
      <c r="D85" s="1518">
        <f>+Stores!$L$38</f>
        <v>43</v>
      </c>
      <c r="E85" s="1518">
        <f>+Stores!$L$46</f>
        <v>38</v>
      </c>
      <c r="F85" s="1518">
        <f>+Stores!$L$54</f>
        <v>46</v>
      </c>
      <c r="G85" s="1519">
        <f>+Stores!$L$62</f>
        <v>40</v>
      </c>
      <c r="H85" s="1519">
        <f>+Stores!$L$70</f>
        <v>21</v>
      </c>
      <c r="I85" s="1519">
        <f>+Stores!$L$78</f>
        <v>15</v>
      </c>
      <c r="J85" s="1519">
        <f>+Stores!$L$86</f>
        <v>28</v>
      </c>
      <c r="K85" s="1519">
        <f>+Stores!$L$93</f>
        <v>28</v>
      </c>
      <c r="L85" s="1519">
        <f>+Stores!$L$101</f>
        <v>29</v>
      </c>
      <c r="M85" s="1519">
        <f>+Stores!$L$109</f>
        <v>26</v>
      </c>
      <c r="N85" s="1519">
        <f>+Stores!$L$117</f>
        <v>26</v>
      </c>
      <c r="O85" s="1519">
        <f>+Stores!$L$125</f>
        <v>32</v>
      </c>
      <c r="P85" s="1519">
        <f>+Stores!$L$133</f>
        <v>26</v>
      </c>
      <c r="Q85" s="1519">
        <f>+Stores!$L$141</f>
        <v>28</v>
      </c>
      <c r="R85" s="1519">
        <f>+Stores!$L$149</f>
        <v>22</v>
      </c>
      <c r="S85" s="1519"/>
      <c r="T85" s="1519"/>
      <c r="U85" s="1519"/>
      <c r="V85" s="1519"/>
      <c r="W85" s="1519"/>
      <c r="X85" s="1519"/>
      <c r="Y85" s="1519"/>
      <c r="Z85" s="1519"/>
      <c r="AA85" s="1519"/>
      <c r="AB85" s="1519"/>
      <c r="AC85" s="1519"/>
      <c r="AD85" s="1519"/>
      <c r="AE85" s="1519"/>
      <c r="AF85" s="1519"/>
      <c r="AG85" s="1519"/>
      <c r="AH85" s="1519"/>
      <c r="AI85" s="1423"/>
      <c r="AJ85" s="1448"/>
      <c r="AK85" s="1423"/>
      <c r="AL85" s="1423"/>
      <c r="AM85" s="1423"/>
      <c r="AN85" s="1423"/>
      <c r="AO85" s="1423"/>
      <c r="AP85" s="1449"/>
      <c r="AQ85" s="1423"/>
      <c r="AR85" s="1423"/>
      <c r="AS85" s="1421"/>
      <c r="AT85" s="1421"/>
      <c r="AU85" s="1421"/>
      <c r="AV85" s="1421"/>
      <c r="AW85" s="1421"/>
      <c r="AX85" s="1421"/>
      <c r="AY85" s="1421"/>
    </row>
    <row r="86" spans="1:51" hidden="1" outlineLevel="1">
      <c r="A86" s="1511" t="s">
        <v>370</v>
      </c>
      <c r="B86" s="1520"/>
      <c r="C86" s="1518"/>
      <c r="D86" s="1518"/>
      <c r="E86" s="1518"/>
      <c r="F86" s="1518"/>
      <c r="G86" s="1519">
        <f>+Stores!$S$62</f>
        <v>24</v>
      </c>
      <c r="H86" s="1519">
        <f>+Stores!$S$70</f>
        <v>11</v>
      </c>
      <c r="I86" s="1519">
        <f>+Stores!$S$78</f>
        <v>22</v>
      </c>
      <c r="J86" s="1519">
        <f>+Stores!$S$86</f>
        <v>16</v>
      </c>
      <c r="K86" s="1519">
        <f>+Stores!$S$93</f>
        <v>30</v>
      </c>
      <c r="L86" s="1519">
        <f>+Stores!$S$101</f>
        <v>30</v>
      </c>
      <c r="M86" s="1519">
        <f>+Stores!$S$109</f>
        <v>47</v>
      </c>
      <c r="N86" s="1519">
        <f>+Stores!$S$117</f>
        <v>47</v>
      </c>
      <c r="O86" s="1519">
        <f>+Stores!$S$125</f>
        <v>44</v>
      </c>
      <c r="P86" s="1519">
        <f>+Stores!$S$133</f>
        <v>24</v>
      </c>
      <c r="Q86" s="1519">
        <f>+Stores!$S$141</f>
        <v>18</v>
      </c>
      <c r="R86" s="1519">
        <f>+Stores!$S$149</f>
        <v>33</v>
      </c>
      <c r="S86" s="1519"/>
      <c r="T86" s="1519"/>
      <c r="U86" s="1519"/>
      <c r="V86" s="1519"/>
      <c r="W86" s="1519"/>
      <c r="X86" s="1519"/>
      <c r="Y86" s="1519"/>
      <c r="Z86" s="1519"/>
      <c r="AA86" s="1519"/>
      <c r="AB86" s="1519"/>
      <c r="AC86" s="1519"/>
      <c r="AD86" s="1519"/>
      <c r="AE86" s="1519"/>
      <c r="AF86" s="1519"/>
      <c r="AG86" s="1519"/>
      <c r="AH86" s="1519"/>
      <c r="AI86" s="1423"/>
      <c r="AJ86" s="1448"/>
      <c r="AK86" s="1423"/>
      <c r="AL86" s="1423"/>
      <c r="AM86" s="1423"/>
      <c r="AN86" s="1423"/>
      <c r="AO86" s="1423"/>
      <c r="AP86" s="1449"/>
      <c r="AQ86" s="1423"/>
      <c r="AR86" s="1423"/>
      <c r="AS86" s="1421"/>
      <c r="AT86" s="1421"/>
      <c r="AU86" s="1421"/>
      <c r="AV86" s="1421"/>
      <c r="AW86" s="1421"/>
      <c r="AX86" s="1421"/>
      <c r="AY86" s="1421"/>
    </row>
    <row r="87" spans="1:51" hidden="1" outlineLevel="1">
      <c r="A87" s="1465" t="s">
        <v>146</v>
      </c>
      <c r="B87" s="1434"/>
      <c r="C87" s="1466">
        <f t="shared" ref="C87:J87" si="87">+C88+C89</f>
        <v>-1</v>
      </c>
      <c r="D87" s="1466">
        <f t="shared" si="87"/>
        <v>-1</v>
      </c>
      <c r="E87" s="1466">
        <f t="shared" si="87"/>
        <v>-5</v>
      </c>
      <c r="F87" s="1466">
        <f t="shared" si="87"/>
        <v>-7</v>
      </c>
      <c r="G87" s="1482">
        <f t="shared" si="87"/>
        <v>-16</v>
      </c>
      <c r="H87" s="1482">
        <f t="shared" si="87"/>
        <v>-83</v>
      </c>
      <c r="I87" s="1482">
        <f t="shared" si="87"/>
        <v>-28</v>
      </c>
      <c r="J87" s="1482">
        <f t="shared" si="87"/>
        <v>-6</v>
      </c>
      <c r="K87" s="1482"/>
      <c r="L87" s="1482"/>
      <c r="M87" s="1482"/>
      <c r="N87" s="1482"/>
      <c r="O87" s="1482"/>
      <c r="P87" s="1482"/>
      <c r="Q87" s="1482"/>
      <c r="R87" s="1482"/>
      <c r="S87" s="1482"/>
      <c r="T87" s="1482"/>
      <c r="U87" s="1482"/>
      <c r="V87" s="1482"/>
      <c r="W87" s="1482"/>
      <c r="X87" s="1482"/>
      <c r="Y87" s="1482"/>
      <c r="Z87" s="1482"/>
      <c r="AA87" s="1482"/>
      <c r="AB87" s="1482"/>
      <c r="AC87" s="1482"/>
      <c r="AD87" s="1482"/>
      <c r="AE87" s="1482"/>
      <c r="AF87" s="1482"/>
      <c r="AG87" s="1482"/>
      <c r="AH87" s="1482"/>
      <c r="AI87" s="1423"/>
      <c r="AJ87" s="1448"/>
      <c r="AK87" s="1423"/>
      <c r="AL87" s="1423"/>
      <c r="AM87" s="1423"/>
      <c r="AN87" s="1423"/>
      <c r="AO87" s="1423"/>
      <c r="AP87" s="1449"/>
      <c r="AQ87" s="1423"/>
      <c r="AR87" s="1423"/>
      <c r="AS87" s="1421"/>
      <c r="AT87" s="1421"/>
      <c r="AU87" s="1421"/>
      <c r="AV87" s="1421"/>
      <c r="AW87" s="1421"/>
      <c r="AX87" s="1421"/>
      <c r="AY87" s="1421"/>
    </row>
    <row r="88" spans="1:51" hidden="1" outlineLevel="1">
      <c r="A88" s="1511" t="s">
        <v>375</v>
      </c>
      <c r="B88" s="1520"/>
      <c r="C88" s="1518">
        <f>+Stores!$M$30</f>
        <v>-1</v>
      </c>
      <c r="D88" s="1518">
        <f>+Stores!$M$38</f>
        <v>-1</v>
      </c>
      <c r="E88" s="1518">
        <f>+Stores!$M$46</f>
        <v>-5</v>
      </c>
      <c r="F88" s="1518">
        <f>+Stores!$M$54</f>
        <v>-7</v>
      </c>
      <c r="G88" s="1519">
        <f>+Stores!$M$62</f>
        <v>-4</v>
      </c>
      <c r="H88" s="1519">
        <f>+Stores!$M$70</f>
        <v>-30</v>
      </c>
      <c r="I88" s="1519">
        <f>+Stores!$M$78</f>
        <v>-13</v>
      </c>
      <c r="J88" s="1519">
        <f>+Stores!$M$86</f>
        <v>-4</v>
      </c>
      <c r="K88" s="1519"/>
      <c r="L88" s="1519"/>
      <c r="M88" s="1519"/>
      <c r="N88" s="1519"/>
      <c r="O88" s="1519"/>
      <c r="P88" s="1519"/>
      <c r="Q88" s="1519"/>
      <c r="R88" s="1519"/>
      <c r="S88" s="1519"/>
      <c r="T88" s="1519"/>
      <c r="U88" s="1519"/>
      <c r="V88" s="1519"/>
      <c r="W88" s="1519"/>
      <c r="X88" s="1519"/>
      <c r="Y88" s="1519"/>
      <c r="Z88" s="1519"/>
      <c r="AA88" s="1519"/>
      <c r="AB88" s="1519"/>
      <c r="AC88" s="1519"/>
      <c r="AD88" s="1519"/>
      <c r="AE88" s="1519"/>
      <c r="AF88" s="1519"/>
      <c r="AG88" s="1519"/>
      <c r="AH88" s="1519"/>
      <c r="AI88" s="1423"/>
      <c r="AJ88" s="1448"/>
      <c r="AK88" s="1423"/>
      <c r="AL88" s="1423"/>
      <c r="AM88" s="1423"/>
      <c r="AN88" s="1423"/>
      <c r="AO88" s="1423"/>
      <c r="AP88" s="1449"/>
      <c r="AQ88" s="1423"/>
      <c r="AR88" s="1423"/>
      <c r="AS88" s="1421"/>
      <c r="AT88" s="1421"/>
      <c r="AU88" s="1421"/>
      <c r="AV88" s="1421"/>
      <c r="AW88" s="1421"/>
      <c r="AX88" s="1421"/>
      <c r="AY88" s="1421"/>
    </row>
    <row r="89" spans="1:51" hidden="1" outlineLevel="1">
      <c r="A89" s="1511" t="s">
        <v>370</v>
      </c>
      <c r="B89" s="1520"/>
      <c r="C89" s="1518"/>
      <c r="D89" s="1518"/>
      <c r="E89" s="1518"/>
      <c r="F89" s="1518"/>
      <c r="G89" s="1521">
        <f>+Stores!$T$62</f>
        <v>-12</v>
      </c>
      <c r="H89" s="1521">
        <f>+Stores!$T$70</f>
        <v>-53</v>
      </c>
      <c r="I89" s="1521">
        <f>+Stores!$T$78</f>
        <v>-15</v>
      </c>
      <c r="J89" s="1521">
        <f>+Stores!$T$86</f>
        <v>-2</v>
      </c>
      <c r="K89" s="1521"/>
      <c r="L89" s="1521"/>
      <c r="M89" s="1521"/>
      <c r="N89" s="1521"/>
      <c r="O89" s="1521"/>
      <c r="P89" s="1521"/>
      <c r="Q89" s="1521"/>
      <c r="R89" s="1521"/>
      <c r="S89" s="1521"/>
      <c r="T89" s="1521"/>
      <c r="U89" s="1521"/>
      <c r="V89" s="1521"/>
      <c r="W89" s="1521"/>
      <c r="X89" s="1521"/>
      <c r="Y89" s="1521"/>
      <c r="Z89" s="1521"/>
      <c r="AA89" s="1521"/>
      <c r="AB89" s="1521"/>
      <c r="AC89" s="1521"/>
      <c r="AD89" s="1521"/>
      <c r="AE89" s="1521"/>
      <c r="AF89" s="1521"/>
      <c r="AG89" s="1521"/>
      <c r="AH89" s="1521"/>
      <c r="AI89" s="1423"/>
      <c r="AJ89" s="1448"/>
      <c r="AK89" s="1423"/>
      <c r="AL89" s="1423"/>
      <c r="AM89" s="1423"/>
      <c r="AN89" s="1423"/>
      <c r="AO89" s="1423"/>
      <c r="AP89" s="1449"/>
      <c r="AQ89" s="1423"/>
      <c r="AR89" s="1423"/>
      <c r="AS89" s="1421"/>
      <c r="AT89" s="1421"/>
      <c r="AU89" s="1421"/>
      <c r="AV89" s="1421"/>
      <c r="AW89" s="1421"/>
      <c r="AX89" s="1421"/>
      <c r="AY89" s="1421"/>
    </row>
    <row r="90" spans="1:51" ht="5.0999999999999996" hidden="1" customHeight="1" outlineLevel="1">
      <c r="A90" s="1511"/>
      <c r="B90" s="1520"/>
      <c r="C90" s="1518"/>
      <c r="D90" s="1518"/>
      <c r="E90" s="1518"/>
      <c r="F90" s="1518"/>
      <c r="G90" s="1521"/>
      <c r="H90" s="1521"/>
      <c r="I90" s="1521"/>
      <c r="J90" s="1521"/>
      <c r="K90" s="1521"/>
      <c r="L90" s="1521"/>
      <c r="M90" s="1521"/>
      <c r="N90" s="1521"/>
      <c r="O90" s="1521"/>
      <c r="P90" s="1521"/>
      <c r="Q90" s="1521"/>
      <c r="R90" s="1521"/>
      <c r="S90" s="1521"/>
      <c r="T90" s="1521"/>
      <c r="U90" s="1521"/>
      <c r="V90" s="1521"/>
      <c r="W90" s="1521"/>
      <c r="X90" s="1521"/>
      <c r="Y90" s="1521"/>
      <c r="Z90" s="1521"/>
      <c r="AA90" s="1521"/>
      <c r="AB90" s="1521"/>
      <c r="AC90" s="1521"/>
      <c r="AD90" s="1521"/>
      <c r="AE90" s="1521"/>
      <c r="AF90" s="1521"/>
      <c r="AG90" s="1521"/>
      <c r="AH90" s="1521"/>
      <c r="AI90" s="1423"/>
      <c r="AJ90" s="1448"/>
      <c r="AK90" s="1423"/>
      <c r="AL90" s="1423"/>
      <c r="AM90" s="1423"/>
      <c r="AN90" s="1423"/>
      <c r="AO90" s="1423"/>
      <c r="AP90" s="1449"/>
      <c r="AQ90" s="1423"/>
      <c r="AR90" s="1423"/>
      <c r="AS90" s="1421"/>
      <c r="AT90" s="1421"/>
      <c r="AU90" s="1421"/>
      <c r="AV90" s="1421"/>
      <c r="AW90" s="1421"/>
      <c r="AX90" s="1421"/>
      <c r="AY90" s="1421"/>
    </row>
    <row r="91" spans="1:51" ht="5.0999999999999996" hidden="1" customHeight="1" outlineLevel="1">
      <c r="A91" s="1511"/>
      <c r="B91" s="1520"/>
      <c r="C91" s="1518"/>
      <c r="D91" s="1518"/>
      <c r="E91" s="1518"/>
      <c r="F91" s="1518"/>
      <c r="G91" s="1521"/>
      <c r="H91" s="1521"/>
      <c r="I91" s="1521"/>
      <c r="J91" s="1521"/>
      <c r="K91" s="1521"/>
      <c r="L91" s="1521"/>
      <c r="M91" s="1521"/>
      <c r="N91" s="1521"/>
      <c r="O91" s="1521"/>
      <c r="P91" s="1521"/>
      <c r="Q91" s="1521"/>
      <c r="R91" s="1521"/>
      <c r="S91" s="1521"/>
      <c r="T91" s="1521"/>
      <c r="U91" s="1521"/>
      <c r="V91" s="1521"/>
      <c r="W91" s="1521"/>
      <c r="X91" s="1521"/>
      <c r="Y91" s="1521"/>
      <c r="Z91" s="1521"/>
      <c r="AA91" s="1521"/>
      <c r="AB91" s="1521"/>
      <c r="AC91" s="1521"/>
      <c r="AD91" s="1521"/>
      <c r="AE91" s="1521"/>
      <c r="AF91" s="1521"/>
      <c r="AG91" s="1521"/>
      <c r="AH91" s="1521"/>
      <c r="AI91" s="1423"/>
      <c r="AJ91" s="1448"/>
      <c r="AK91" s="1423"/>
      <c r="AL91" s="1423"/>
      <c r="AM91" s="1423"/>
      <c r="AN91" s="1423"/>
      <c r="AO91" s="1423"/>
      <c r="AP91" s="1449"/>
      <c r="AQ91" s="1423"/>
      <c r="AR91" s="1423"/>
      <c r="AS91" s="1421"/>
      <c r="AT91" s="1421"/>
      <c r="AU91" s="1421"/>
      <c r="AV91" s="1421"/>
      <c r="AW91" s="1421"/>
      <c r="AX91" s="1421"/>
      <c r="AY91" s="1421"/>
    </row>
    <row r="92" spans="1:51" collapsed="1">
      <c r="A92" s="1450" t="s">
        <v>194</v>
      </c>
      <c r="B92" s="1434">
        <f t="shared" ref="B92:S92" si="88">+B93+B94</f>
        <v>393</v>
      </c>
      <c r="C92" s="1434">
        <f t="shared" si="88"/>
        <v>437</v>
      </c>
      <c r="D92" s="1434">
        <f t="shared" si="88"/>
        <v>479</v>
      </c>
      <c r="E92" s="1434">
        <f t="shared" si="88"/>
        <v>512</v>
      </c>
      <c r="F92" s="1434">
        <f t="shared" si="88"/>
        <v>551</v>
      </c>
      <c r="G92" s="1482">
        <f t="shared" si="88"/>
        <v>1083</v>
      </c>
      <c r="H92" s="1482">
        <f t="shared" si="88"/>
        <v>1032</v>
      </c>
      <c r="I92" s="1482">
        <f t="shared" si="88"/>
        <v>1041</v>
      </c>
      <c r="J92" s="1482">
        <f t="shared" si="88"/>
        <v>1079</v>
      </c>
      <c r="K92" s="1482">
        <f t="shared" si="88"/>
        <v>1137</v>
      </c>
      <c r="L92" s="1482">
        <f t="shared" si="88"/>
        <v>1196</v>
      </c>
      <c r="M92" s="1482">
        <f t="shared" si="88"/>
        <v>1269</v>
      </c>
      <c r="N92" s="1482">
        <f t="shared" si="88"/>
        <v>1342</v>
      </c>
      <c r="O92" s="1482">
        <f t="shared" si="88"/>
        <v>1418</v>
      </c>
      <c r="P92" s="1482">
        <f t="shared" si="88"/>
        <v>1468</v>
      </c>
      <c r="Q92" s="1482">
        <f t="shared" si="88"/>
        <v>1514</v>
      </c>
      <c r="R92" s="1482">
        <f t="shared" si="88"/>
        <v>1569</v>
      </c>
      <c r="S92" s="1482">
        <f t="shared" si="88"/>
        <v>1623</v>
      </c>
      <c r="T92" s="1482">
        <f t="shared" ref="T92:Y92" si="89">+T93+T94</f>
        <v>1680</v>
      </c>
      <c r="U92" s="1482">
        <f t="shared" si="89"/>
        <v>1703</v>
      </c>
      <c r="V92" s="1482">
        <f t="shared" si="89"/>
        <v>1753</v>
      </c>
      <c r="W92" s="1482">
        <f t="shared" si="89"/>
        <v>1867</v>
      </c>
      <c r="X92" s="1482">
        <f t="shared" si="89"/>
        <v>1940</v>
      </c>
      <c r="Y92" s="1482">
        <f t="shared" si="89"/>
        <v>2021</v>
      </c>
      <c r="Z92" s="1482">
        <f t="shared" ref="Z92:AE92" si="90">+Z93+Z94</f>
        <v>2094</v>
      </c>
      <c r="AA92" s="1482">
        <f t="shared" si="90"/>
        <v>2163</v>
      </c>
      <c r="AB92" s="1482">
        <f t="shared" si="90"/>
        <v>2221</v>
      </c>
      <c r="AC92" s="1482">
        <f t="shared" si="90"/>
        <v>2285</v>
      </c>
      <c r="AD92" s="1482">
        <f t="shared" si="90"/>
        <v>2350</v>
      </c>
      <c r="AE92" s="1482">
        <f t="shared" si="90"/>
        <v>2410</v>
      </c>
      <c r="AF92" s="1482">
        <f>+AF93+AF94</f>
        <v>2470</v>
      </c>
      <c r="AG92" s="1482">
        <f>+AG93+AG94</f>
        <v>2530</v>
      </c>
      <c r="AH92" s="1482">
        <f>+AH93+AH94</f>
        <v>2590</v>
      </c>
      <c r="AI92" s="1423"/>
      <c r="AJ92" s="1448"/>
      <c r="AK92" s="1453">
        <f>((X92/S92)^(1/5)-1)*100</f>
        <v>3.6326591488814231</v>
      </c>
      <c r="AL92" s="1454" t="s">
        <v>190</v>
      </c>
      <c r="AM92" s="1453">
        <f>((AC92/X92)^(1/5)-1)*100</f>
        <v>3.3277315197359103</v>
      </c>
      <c r="AN92" s="1454" t="s">
        <v>190</v>
      </c>
      <c r="AO92" s="1455">
        <f>((AH92/AC92)^(1/5)-1)*100</f>
        <v>2.5374970194685709</v>
      </c>
      <c r="AP92" s="1449" t="s">
        <v>190</v>
      </c>
      <c r="AQ92" s="1454"/>
      <c r="AR92" s="1423"/>
      <c r="AS92" s="1421"/>
      <c r="AT92" s="1421"/>
      <c r="AU92" s="1421"/>
      <c r="AV92" s="1421"/>
      <c r="AW92" s="1421"/>
      <c r="AX92" s="1421"/>
      <c r="AY92" s="1421"/>
    </row>
    <row r="93" spans="1:51">
      <c r="A93" s="1511" t="s">
        <v>375</v>
      </c>
      <c r="B93" s="1434">
        <f t="shared" ref="B93:J93" si="91">+B77+B85+B88</f>
        <v>393</v>
      </c>
      <c r="C93" s="1434">
        <f t="shared" si="91"/>
        <v>437</v>
      </c>
      <c r="D93" s="1434">
        <f t="shared" si="91"/>
        <v>479</v>
      </c>
      <c r="E93" s="1434">
        <f t="shared" si="91"/>
        <v>512</v>
      </c>
      <c r="F93" s="1434">
        <f t="shared" si="91"/>
        <v>551</v>
      </c>
      <c r="G93" s="1482">
        <f t="shared" si="91"/>
        <v>587</v>
      </c>
      <c r="H93" s="1482">
        <f t="shared" si="91"/>
        <v>578</v>
      </c>
      <c r="I93" s="1482">
        <f t="shared" si="91"/>
        <v>580</v>
      </c>
      <c r="J93" s="1482">
        <f t="shared" si="91"/>
        <v>604</v>
      </c>
      <c r="K93" s="1482">
        <f t="shared" ref="K93:S93" si="92">+K77+K81</f>
        <v>632</v>
      </c>
      <c r="L93" s="1482">
        <f t="shared" si="92"/>
        <v>661</v>
      </c>
      <c r="M93" s="1482">
        <f t="shared" si="92"/>
        <v>687</v>
      </c>
      <c r="N93" s="1482">
        <f t="shared" si="92"/>
        <v>713</v>
      </c>
      <c r="O93" s="1482">
        <f t="shared" si="92"/>
        <v>745</v>
      </c>
      <c r="P93" s="1482">
        <f t="shared" si="92"/>
        <v>771</v>
      </c>
      <c r="Q93" s="1482">
        <f t="shared" si="92"/>
        <v>799</v>
      </c>
      <c r="R93" s="1482">
        <f t="shared" si="92"/>
        <v>821</v>
      </c>
      <c r="S93" s="1482">
        <f t="shared" si="92"/>
        <v>847</v>
      </c>
      <c r="T93" s="1482">
        <f t="shared" ref="T93:V94" si="93">+T77+T81</f>
        <v>874</v>
      </c>
      <c r="U93" s="1482">
        <f t="shared" si="93"/>
        <v>890</v>
      </c>
      <c r="V93" s="1482">
        <f t="shared" si="93"/>
        <v>923</v>
      </c>
      <c r="W93" s="1482">
        <f t="shared" ref="W93:Y94" si="94">+W77+W81</f>
        <v>983</v>
      </c>
      <c r="X93" s="1482">
        <f t="shared" si="94"/>
        <v>1036</v>
      </c>
      <c r="Y93" s="1482">
        <f t="shared" si="94"/>
        <v>1079</v>
      </c>
      <c r="Z93" s="1482">
        <f t="shared" ref="Z93:AD94" si="95">+Z77+Z81</f>
        <v>1119</v>
      </c>
      <c r="AA93" s="1482">
        <f t="shared" si="95"/>
        <v>1156</v>
      </c>
      <c r="AB93" s="1482">
        <f>+AB77+AB81</f>
        <v>1186</v>
      </c>
      <c r="AC93" s="1482">
        <f t="shared" si="95"/>
        <v>1223</v>
      </c>
      <c r="AD93" s="1482">
        <f t="shared" si="95"/>
        <v>1253</v>
      </c>
      <c r="AE93" s="1482">
        <f t="shared" ref="AE93:AG94" si="96">+AE77+AE81</f>
        <v>1283</v>
      </c>
      <c r="AF93" s="1482">
        <f t="shared" si="96"/>
        <v>1313</v>
      </c>
      <c r="AG93" s="1482">
        <f t="shared" si="96"/>
        <v>1343</v>
      </c>
      <c r="AH93" s="1482">
        <f>+AH77+AH81</f>
        <v>1373</v>
      </c>
      <c r="AI93" s="1423"/>
      <c r="AJ93" s="1448"/>
      <c r="AK93" s="1453"/>
      <c r="AL93" s="1454"/>
      <c r="AM93" s="1423"/>
      <c r="AN93" s="1454"/>
      <c r="AO93" s="1423"/>
      <c r="AP93" s="1459"/>
      <c r="AQ93" s="1454"/>
      <c r="AR93" s="1423"/>
      <c r="AS93" s="1421"/>
      <c r="AT93" s="1421"/>
      <c r="AU93" s="1421"/>
      <c r="AV93" s="1421"/>
      <c r="AW93" s="1421"/>
      <c r="AX93" s="1421"/>
      <c r="AY93" s="1421"/>
    </row>
    <row r="94" spans="1:51">
      <c r="A94" s="1511" t="s">
        <v>370</v>
      </c>
      <c r="B94" s="1434"/>
      <c r="C94" s="1434"/>
      <c r="D94" s="1434"/>
      <c r="E94" s="1434"/>
      <c r="F94" s="1434"/>
      <c r="G94" s="1482">
        <f>+G78+G86+G89</f>
        <v>496</v>
      </c>
      <c r="H94" s="1482">
        <f>+H78+H86+H89</f>
        <v>454</v>
      </c>
      <c r="I94" s="1482">
        <f>+I78+I86+I89</f>
        <v>461</v>
      </c>
      <c r="J94" s="1482">
        <f>+J78+J86+J89</f>
        <v>475</v>
      </c>
      <c r="K94" s="1482">
        <f t="shared" ref="K94:S94" si="97">+K78+K82</f>
        <v>505</v>
      </c>
      <c r="L94" s="1482">
        <f t="shared" si="97"/>
        <v>535</v>
      </c>
      <c r="M94" s="1482">
        <f t="shared" si="97"/>
        <v>582</v>
      </c>
      <c r="N94" s="1482">
        <f t="shared" si="97"/>
        <v>629</v>
      </c>
      <c r="O94" s="1482">
        <f t="shared" si="97"/>
        <v>673</v>
      </c>
      <c r="P94" s="1482">
        <f t="shared" si="97"/>
        <v>697</v>
      </c>
      <c r="Q94" s="1482">
        <f t="shared" si="97"/>
        <v>715</v>
      </c>
      <c r="R94" s="1482">
        <f t="shared" si="97"/>
        <v>748</v>
      </c>
      <c r="S94" s="1482">
        <f t="shared" si="97"/>
        <v>776</v>
      </c>
      <c r="T94" s="1482">
        <f t="shared" si="93"/>
        <v>806</v>
      </c>
      <c r="U94" s="1482">
        <f t="shared" si="93"/>
        <v>813</v>
      </c>
      <c r="V94" s="1482">
        <f t="shared" si="93"/>
        <v>830</v>
      </c>
      <c r="W94" s="1482">
        <f t="shared" si="94"/>
        <v>884</v>
      </c>
      <c r="X94" s="1482">
        <f t="shared" si="94"/>
        <v>904</v>
      </c>
      <c r="Y94" s="1482">
        <f t="shared" si="94"/>
        <v>942</v>
      </c>
      <c r="Z94" s="1482">
        <f t="shared" si="95"/>
        <v>975</v>
      </c>
      <c r="AA94" s="1482">
        <f t="shared" si="95"/>
        <v>1007</v>
      </c>
      <c r="AB94" s="1482">
        <f>+AB78+AB82</f>
        <v>1035</v>
      </c>
      <c r="AC94" s="1482">
        <f t="shared" si="95"/>
        <v>1062</v>
      </c>
      <c r="AD94" s="1482">
        <f t="shared" si="95"/>
        <v>1097</v>
      </c>
      <c r="AE94" s="1482">
        <f t="shared" si="96"/>
        <v>1127</v>
      </c>
      <c r="AF94" s="1482">
        <f t="shared" si="96"/>
        <v>1157</v>
      </c>
      <c r="AG94" s="1482">
        <f t="shared" si="96"/>
        <v>1187</v>
      </c>
      <c r="AH94" s="1482">
        <f>+AH78+AH82</f>
        <v>1217</v>
      </c>
      <c r="AI94" s="1423"/>
      <c r="AJ94" s="1448"/>
      <c r="AK94" s="1453"/>
      <c r="AL94" s="1454"/>
      <c r="AM94" s="1423"/>
      <c r="AN94" s="1454"/>
      <c r="AO94" s="1423"/>
      <c r="AP94" s="1459"/>
      <c r="AQ94" s="1454"/>
      <c r="AR94" s="1423"/>
      <c r="AS94" s="1421"/>
      <c r="AT94" s="1421"/>
      <c r="AU94" s="1421"/>
      <c r="AV94" s="1421"/>
      <c r="AW94" s="1421"/>
      <c r="AX94" s="1421"/>
      <c r="AY94" s="1421"/>
    </row>
    <row r="95" spans="1:51">
      <c r="A95" s="1450" t="s">
        <v>195</v>
      </c>
      <c r="B95" s="1482">
        <f t="shared" ref="B95:W95" si="98">(+B92+B76)/2</f>
        <v>372.5</v>
      </c>
      <c r="C95" s="1482">
        <f t="shared" si="98"/>
        <v>415</v>
      </c>
      <c r="D95" s="1482">
        <f t="shared" si="98"/>
        <v>458</v>
      </c>
      <c r="E95" s="1482">
        <f t="shared" si="98"/>
        <v>495.5</v>
      </c>
      <c r="F95" s="1482">
        <f t="shared" si="98"/>
        <v>531.5</v>
      </c>
      <c r="G95" s="1482">
        <f t="shared" si="98"/>
        <v>817</v>
      </c>
      <c r="H95" s="1482">
        <f t="shared" si="98"/>
        <v>1057.5</v>
      </c>
      <c r="I95" s="1482">
        <f t="shared" si="98"/>
        <v>1036.5</v>
      </c>
      <c r="J95" s="1482">
        <f t="shared" si="98"/>
        <v>1060</v>
      </c>
      <c r="K95" s="1482">
        <f t="shared" si="98"/>
        <v>1108</v>
      </c>
      <c r="L95" s="1482">
        <f t="shared" si="98"/>
        <v>1166.5</v>
      </c>
      <c r="M95" s="1482">
        <f t="shared" si="98"/>
        <v>1232.5</v>
      </c>
      <c r="N95" s="1482">
        <f t="shared" si="98"/>
        <v>1305.5</v>
      </c>
      <c r="O95" s="1482">
        <f t="shared" si="98"/>
        <v>1380</v>
      </c>
      <c r="P95" s="1482">
        <f t="shared" si="98"/>
        <v>1443</v>
      </c>
      <c r="Q95" s="1482">
        <f t="shared" si="98"/>
        <v>1491</v>
      </c>
      <c r="R95" s="1482">
        <f t="shared" si="98"/>
        <v>1541.5</v>
      </c>
      <c r="S95" s="1482">
        <f t="shared" si="98"/>
        <v>1596</v>
      </c>
      <c r="T95" s="1482">
        <f t="shared" si="98"/>
        <v>1651.5</v>
      </c>
      <c r="U95" s="1482">
        <f t="shared" si="98"/>
        <v>1691.5</v>
      </c>
      <c r="V95" s="1482">
        <f t="shared" si="98"/>
        <v>1728</v>
      </c>
      <c r="W95" s="1482">
        <f t="shared" si="98"/>
        <v>1810</v>
      </c>
      <c r="X95" s="1482">
        <f t="shared" ref="X95:Y97" si="99">(+X92+X76)/2</f>
        <v>1903.5</v>
      </c>
      <c r="Y95" s="1482">
        <f t="shared" si="99"/>
        <v>1980.5</v>
      </c>
      <c r="Z95" s="1482">
        <f t="shared" ref="Z95:AA97" si="100">(+Z92+Z76)/2</f>
        <v>2057.5</v>
      </c>
      <c r="AA95" s="1482">
        <f t="shared" si="100"/>
        <v>2128.5</v>
      </c>
      <c r="AB95" s="1482">
        <f t="shared" ref="AB95:AC97" si="101">(+AB92+AB76)/2</f>
        <v>2192</v>
      </c>
      <c r="AC95" s="1482">
        <f t="shared" si="101"/>
        <v>2253</v>
      </c>
      <c r="AD95" s="1482">
        <f t="shared" ref="AD95:AE97" si="102">(+AD92+AD76)/2</f>
        <v>2317.5</v>
      </c>
      <c r="AE95" s="1482">
        <f t="shared" si="102"/>
        <v>2380</v>
      </c>
      <c r="AF95" s="1482">
        <f t="shared" ref="AF95:AG97" si="103">(+AF92+AF76)/2</f>
        <v>2440</v>
      </c>
      <c r="AG95" s="1482">
        <f t="shared" si="103"/>
        <v>2500</v>
      </c>
      <c r="AH95" s="1482">
        <f>(+AH92+AH76)/2</f>
        <v>2560</v>
      </c>
      <c r="AI95" s="1478"/>
      <c r="AJ95" s="1479"/>
      <c r="AK95" s="1478"/>
      <c r="AL95" s="1478"/>
      <c r="AM95" s="1423"/>
      <c r="AN95" s="1478"/>
      <c r="AO95" s="1423"/>
      <c r="AP95" s="1480"/>
      <c r="AQ95" s="1478"/>
      <c r="AR95" s="1423"/>
      <c r="AS95" s="1421"/>
      <c r="AT95" s="1421"/>
      <c r="AU95" s="1421"/>
      <c r="AV95" s="1421"/>
      <c r="AW95" s="1421"/>
      <c r="AX95" s="1421"/>
      <c r="AY95" s="1421"/>
    </row>
    <row r="96" spans="1:51">
      <c r="A96" s="1511" t="s">
        <v>375</v>
      </c>
      <c r="B96" s="1482">
        <f t="shared" ref="B96:W96" si="104">(+B93+B77)/2</f>
        <v>372.5</v>
      </c>
      <c r="C96" s="1482">
        <f t="shared" si="104"/>
        <v>415</v>
      </c>
      <c r="D96" s="1482">
        <f t="shared" si="104"/>
        <v>458</v>
      </c>
      <c r="E96" s="1482">
        <f t="shared" si="104"/>
        <v>495.5</v>
      </c>
      <c r="F96" s="1482">
        <f t="shared" si="104"/>
        <v>531.5</v>
      </c>
      <c r="G96" s="1482">
        <f t="shared" si="104"/>
        <v>569</v>
      </c>
      <c r="H96" s="1482">
        <f t="shared" si="104"/>
        <v>582.5</v>
      </c>
      <c r="I96" s="1482">
        <f t="shared" si="104"/>
        <v>579</v>
      </c>
      <c r="J96" s="1482">
        <f t="shared" si="104"/>
        <v>592</v>
      </c>
      <c r="K96" s="1482">
        <f t="shared" si="104"/>
        <v>618</v>
      </c>
      <c r="L96" s="1482">
        <f t="shared" si="104"/>
        <v>646.5</v>
      </c>
      <c r="M96" s="1482">
        <f t="shared" si="104"/>
        <v>674</v>
      </c>
      <c r="N96" s="1482">
        <f t="shared" si="104"/>
        <v>700</v>
      </c>
      <c r="O96" s="1482">
        <f t="shared" si="104"/>
        <v>729</v>
      </c>
      <c r="P96" s="1482">
        <f t="shared" si="104"/>
        <v>758</v>
      </c>
      <c r="Q96" s="1482">
        <f t="shared" si="104"/>
        <v>785</v>
      </c>
      <c r="R96" s="1482">
        <f t="shared" si="104"/>
        <v>810</v>
      </c>
      <c r="S96" s="1482">
        <f t="shared" si="104"/>
        <v>834</v>
      </c>
      <c r="T96" s="1482">
        <f t="shared" si="104"/>
        <v>860.5</v>
      </c>
      <c r="U96" s="1482">
        <f t="shared" si="104"/>
        <v>882</v>
      </c>
      <c r="V96" s="1482">
        <f t="shared" si="104"/>
        <v>906.5</v>
      </c>
      <c r="W96" s="1482">
        <f t="shared" si="104"/>
        <v>953</v>
      </c>
      <c r="X96" s="1482">
        <f t="shared" si="99"/>
        <v>1009.5</v>
      </c>
      <c r="Y96" s="1482">
        <f t="shared" si="99"/>
        <v>1057.5</v>
      </c>
      <c r="Z96" s="1482">
        <f t="shared" si="100"/>
        <v>1099</v>
      </c>
      <c r="AA96" s="1482">
        <f t="shared" si="100"/>
        <v>1137.5</v>
      </c>
      <c r="AB96" s="1482">
        <f t="shared" si="101"/>
        <v>1171</v>
      </c>
      <c r="AC96" s="1482">
        <f t="shared" si="101"/>
        <v>1204.5</v>
      </c>
      <c r="AD96" s="1482">
        <f t="shared" si="102"/>
        <v>1238</v>
      </c>
      <c r="AE96" s="1482">
        <f t="shared" si="102"/>
        <v>1268</v>
      </c>
      <c r="AF96" s="1482">
        <f t="shared" si="103"/>
        <v>1298</v>
      </c>
      <c r="AG96" s="1482">
        <f t="shared" si="103"/>
        <v>1328</v>
      </c>
      <c r="AH96" s="1482">
        <f>(+AH93+AH77)/2</f>
        <v>1358</v>
      </c>
      <c r="AI96" s="1478"/>
      <c r="AJ96" s="1479"/>
      <c r="AK96" s="1478"/>
      <c r="AL96" s="1478"/>
      <c r="AM96" s="1423"/>
      <c r="AN96" s="1478"/>
      <c r="AO96" s="1423"/>
      <c r="AP96" s="1480"/>
      <c r="AQ96" s="1478"/>
      <c r="AR96" s="1423"/>
      <c r="AS96" s="1421"/>
      <c r="AT96" s="1421"/>
      <c r="AU96" s="1421"/>
      <c r="AV96" s="1421"/>
      <c r="AW96" s="1421"/>
      <c r="AX96" s="1421"/>
      <c r="AY96" s="1421"/>
    </row>
    <row r="97" spans="1:51">
      <c r="A97" s="1511" t="s">
        <v>370</v>
      </c>
      <c r="B97" s="1482"/>
      <c r="C97" s="1482"/>
      <c r="D97" s="1482"/>
      <c r="E97" s="1482"/>
      <c r="F97" s="1482"/>
      <c r="G97" s="1482">
        <f t="shared" ref="G97:W97" si="105">(+G94+G78)/2</f>
        <v>490</v>
      </c>
      <c r="H97" s="1482">
        <f t="shared" si="105"/>
        <v>475</v>
      </c>
      <c r="I97" s="1482">
        <f t="shared" si="105"/>
        <v>457.5</v>
      </c>
      <c r="J97" s="1482">
        <f t="shared" si="105"/>
        <v>468</v>
      </c>
      <c r="K97" s="1482">
        <f t="shared" si="105"/>
        <v>490</v>
      </c>
      <c r="L97" s="1482">
        <f t="shared" si="105"/>
        <v>520</v>
      </c>
      <c r="M97" s="1482">
        <f t="shared" si="105"/>
        <v>558.5</v>
      </c>
      <c r="N97" s="1482">
        <f t="shared" si="105"/>
        <v>605.5</v>
      </c>
      <c r="O97" s="1482">
        <f t="shared" si="105"/>
        <v>651</v>
      </c>
      <c r="P97" s="1482">
        <f t="shared" si="105"/>
        <v>685</v>
      </c>
      <c r="Q97" s="1482">
        <f t="shared" si="105"/>
        <v>706</v>
      </c>
      <c r="R97" s="1482">
        <f t="shared" si="105"/>
        <v>731.5</v>
      </c>
      <c r="S97" s="1482">
        <f t="shared" si="105"/>
        <v>762</v>
      </c>
      <c r="T97" s="1482">
        <f t="shared" si="105"/>
        <v>791</v>
      </c>
      <c r="U97" s="1482">
        <f t="shared" si="105"/>
        <v>809.5</v>
      </c>
      <c r="V97" s="1482">
        <f t="shared" si="105"/>
        <v>821.5</v>
      </c>
      <c r="W97" s="1482">
        <f t="shared" si="105"/>
        <v>857</v>
      </c>
      <c r="X97" s="1482">
        <f t="shared" si="99"/>
        <v>894</v>
      </c>
      <c r="Y97" s="1482">
        <f t="shared" si="99"/>
        <v>923</v>
      </c>
      <c r="Z97" s="1482">
        <f t="shared" si="100"/>
        <v>958.5</v>
      </c>
      <c r="AA97" s="1482">
        <f t="shared" si="100"/>
        <v>991</v>
      </c>
      <c r="AB97" s="1482">
        <f t="shared" si="101"/>
        <v>1021</v>
      </c>
      <c r="AC97" s="1482">
        <f t="shared" si="101"/>
        <v>1048.5</v>
      </c>
      <c r="AD97" s="1482">
        <f t="shared" si="102"/>
        <v>1079.5</v>
      </c>
      <c r="AE97" s="1482">
        <f t="shared" si="102"/>
        <v>1112</v>
      </c>
      <c r="AF97" s="1482">
        <f t="shared" si="103"/>
        <v>1142</v>
      </c>
      <c r="AG97" s="1482">
        <f t="shared" si="103"/>
        <v>1172</v>
      </c>
      <c r="AH97" s="1482">
        <f>(+AH94+AH78)/2</f>
        <v>1202</v>
      </c>
      <c r="AI97" s="1478"/>
      <c r="AJ97" s="1479"/>
      <c r="AK97" s="1478"/>
      <c r="AL97" s="1478"/>
      <c r="AM97" s="1423"/>
      <c r="AN97" s="1478"/>
      <c r="AO97" s="1423"/>
      <c r="AP97" s="1480"/>
      <c r="AQ97" s="1478"/>
      <c r="AR97" s="1423"/>
      <c r="AS97" s="1421"/>
      <c r="AT97" s="1421"/>
      <c r="AU97" s="1421"/>
      <c r="AV97" s="1421"/>
      <c r="AW97" s="1421"/>
      <c r="AX97" s="1421"/>
      <c r="AY97" s="1421"/>
    </row>
    <row r="98" spans="1:51">
      <c r="A98" s="1450" t="s">
        <v>197</v>
      </c>
      <c r="B98" s="1445"/>
      <c r="C98" s="1445"/>
      <c r="D98" s="1445">
        <f t="shared" ref="D98:J98" si="106">(D95/C95-1)</f>
        <v>0.10361445783132539</v>
      </c>
      <c r="E98" s="1445">
        <f t="shared" si="106"/>
        <v>8.1877729257642029E-2</v>
      </c>
      <c r="F98" s="1445">
        <f t="shared" si="106"/>
        <v>7.2653884964682058E-2</v>
      </c>
      <c r="G98" s="1445">
        <f t="shared" si="106"/>
        <v>0.53715898400752593</v>
      </c>
      <c r="H98" s="1445">
        <f t="shared" si="106"/>
        <v>0.29436964504283969</v>
      </c>
      <c r="I98" s="1445">
        <f t="shared" si="106"/>
        <v>-1.9858156028368823E-2</v>
      </c>
      <c r="J98" s="1445">
        <f t="shared" si="106"/>
        <v>2.2672455378678347E-2</v>
      </c>
      <c r="K98" s="1445">
        <f t="shared" ref="K98:AH98" si="107">(K95/J95-1)</f>
        <v>4.5283018867924518E-2</v>
      </c>
      <c r="L98" s="1445">
        <f t="shared" si="107"/>
        <v>5.2797833935018135E-2</v>
      </c>
      <c r="M98" s="1445">
        <f t="shared" si="107"/>
        <v>5.6579511358765489E-2</v>
      </c>
      <c r="N98" s="1445">
        <f t="shared" si="107"/>
        <v>5.9229208924949317E-2</v>
      </c>
      <c r="O98" s="1445">
        <f t="shared" si="107"/>
        <v>5.7066258138644299E-2</v>
      </c>
      <c r="P98" s="1445">
        <f t="shared" si="107"/>
        <v>4.5652173913043548E-2</v>
      </c>
      <c r="Q98" s="1445">
        <f t="shared" si="107"/>
        <v>3.3264033264033266E-2</v>
      </c>
      <c r="R98" s="1445">
        <f t="shared" si="107"/>
        <v>3.3869885982562131E-2</v>
      </c>
      <c r="S98" s="1445">
        <f t="shared" si="107"/>
        <v>3.5355173532273687E-2</v>
      </c>
      <c r="T98" s="1445">
        <f t="shared" si="107"/>
        <v>3.4774436090225569E-2</v>
      </c>
      <c r="U98" s="1445">
        <f t="shared" si="107"/>
        <v>2.4220405691795399E-2</v>
      </c>
      <c r="V98" s="1445">
        <f t="shared" si="107"/>
        <v>2.1578480638486441E-2</v>
      </c>
      <c r="W98" s="1445">
        <f t="shared" si="107"/>
        <v>4.745370370370372E-2</v>
      </c>
      <c r="X98" s="1445">
        <f t="shared" si="107"/>
        <v>5.1657458563535874E-2</v>
      </c>
      <c r="Y98" s="1445">
        <f t="shared" si="107"/>
        <v>4.0451799317047454E-2</v>
      </c>
      <c r="Z98" s="1445">
        <f t="shared" si="107"/>
        <v>3.8879070941681304E-2</v>
      </c>
      <c r="AA98" s="1445">
        <f t="shared" si="107"/>
        <v>3.4507897934386467E-2</v>
      </c>
      <c r="AB98" s="1445">
        <f t="shared" si="107"/>
        <v>2.9833215879727426E-2</v>
      </c>
      <c r="AC98" s="1445">
        <f t="shared" si="107"/>
        <v>2.7828467153284686E-2</v>
      </c>
      <c r="AD98" s="1445">
        <f t="shared" si="107"/>
        <v>2.8628495339547255E-2</v>
      </c>
      <c r="AE98" s="1445">
        <f t="shared" si="107"/>
        <v>2.6968716289104577E-2</v>
      </c>
      <c r="AF98" s="1445">
        <f t="shared" si="107"/>
        <v>2.5210084033613356E-2</v>
      </c>
      <c r="AG98" s="1445">
        <f t="shared" si="107"/>
        <v>2.4590163934426146E-2</v>
      </c>
      <c r="AH98" s="1445">
        <f t="shared" si="107"/>
        <v>2.4000000000000021E-2</v>
      </c>
      <c r="AI98" s="1423"/>
      <c r="AJ98" s="1448"/>
      <c r="AK98" s="1423"/>
      <c r="AL98" s="1423"/>
      <c r="AM98" s="1423"/>
      <c r="AN98" s="1423"/>
      <c r="AO98" s="1423"/>
      <c r="AP98" s="1449"/>
      <c r="AQ98" s="1423"/>
      <c r="AR98" s="1423"/>
      <c r="AS98" s="1421"/>
      <c r="AT98" s="1421"/>
      <c r="AU98" s="1421"/>
      <c r="AV98" s="1421"/>
      <c r="AW98" s="1421"/>
      <c r="AX98" s="1421"/>
      <c r="AY98" s="1421"/>
    </row>
    <row r="99" spans="1:51">
      <c r="A99" s="1421"/>
      <c r="B99" s="1421"/>
      <c r="C99" s="1421"/>
      <c r="D99" s="1421"/>
      <c r="E99" s="1421"/>
      <c r="F99" s="1421"/>
      <c r="G99" s="1421"/>
      <c r="H99" s="1445"/>
      <c r="I99" s="1445"/>
      <c r="J99" s="1421"/>
      <c r="K99" s="1421"/>
      <c r="L99" s="1421"/>
      <c r="M99" s="1421"/>
      <c r="N99" s="1421"/>
      <c r="O99" s="1421"/>
      <c r="P99" s="1421"/>
      <c r="Q99" s="1421"/>
      <c r="R99" s="1421"/>
      <c r="S99" s="1421"/>
      <c r="T99" s="1421"/>
      <c r="U99" s="1421"/>
      <c r="V99" s="1421"/>
      <c r="W99" s="1421"/>
      <c r="X99" s="1421"/>
      <c r="Y99" s="1421"/>
      <c r="Z99" s="1421"/>
      <c r="AA99" s="1421"/>
      <c r="AB99" s="1421"/>
      <c r="AC99" s="1421"/>
      <c r="AD99" s="1421"/>
      <c r="AE99" s="1421"/>
      <c r="AF99" s="1421"/>
      <c r="AG99" s="1421"/>
      <c r="AH99" s="1421"/>
      <c r="AI99" s="1423"/>
      <c r="AJ99" s="1448"/>
      <c r="AK99" s="1423"/>
      <c r="AL99" s="1423"/>
      <c r="AM99" s="1423"/>
      <c r="AN99" s="1423"/>
      <c r="AO99" s="1423"/>
      <c r="AP99" s="1449"/>
      <c r="AQ99" s="1423"/>
      <c r="AR99" s="1423"/>
      <c r="AS99" s="1421"/>
      <c r="AT99" s="1421"/>
      <c r="AU99" s="1421"/>
      <c r="AV99" s="1421"/>
      <c r="AW99" s="1421"/>
      <c r="AX99" s="1421"/>
      <c r="AY99" s="1421"/>
    </row>
    <row r="100" spans="1:51">
      <c r="A100" s="1450" t="s">
        <v>147</v>
      </c>
      <c r="B100" s="1483"/>
      <c r="C100" s="1483">
        <f t="shared" ref="C100:S100" si="108">(C65)/C95</f>
        <v>5.2522891566265058</v>
      </c>
      <c r="D100" s="1483">
        <f t="shared" si="108"/>
        <v>5.5403930131004371</v>
      </c>
      <c r="E100" s="1483">
        <f t="shared" si="108"/>
        <v>5.5392532795156404</v>
      </c>
      <c r="F100" s="1483">
        <f t="shared" si="108"/>
        <v>5.515710253998118</v>
      </c>
      <c r="G100" s="1483">
        <f>(G65)/(0.75*G96+0.25*G95)</f>
        <v>5.8937733755942947</v>
      </c>
      <c r="H100" s="1483">
        <f t="shared" si="108"/>
        <v>6.004728132387708</v>
      </c>
      <c r="I100" s="1483">
        <f t="shared" si="108"/>
        <v>6.574047274481428</v>
      </c>
      <c r="J100" s="1483">
        <f t="shared" si="108"/>
        <v>6.788985849056604</v>
      </c>
      <c r="K100" s="1483">
        <f t="shared" si="108"/>
        <v>7.0215036101083035</v>
      </c>
      <c r="L100" s="1483">
        <f t="shared" si="108"/>
        <v>7.0539802828975571</v>
      </c>
      <c r="M100" s="1483">
        <f t="shared" si="108"/>
        <v>7.1911180527383367</v>
      </c>
      <c r="N100" s="1483">
        <f t="shared" si="108"/>
        <v>7.2658613558023752</v>
      </c>
      <c r="O100" s="1483">
        <f t="shared" si="108"/>
        <v>7.2008739130434787</v>
      </c>
      <c r="P100" s="1483">
        <f t="shared" si="108"/>
        <v>7.2692155232155242</v>
      </c>
      <c r="Q100" s="1483">
        <f t="shared" si="108"/>
        <v>7.3486170355466136</v>
      </c>
      <c r="R100" s="1483">
        <f t="shared" si="108"/>
        <v>7.4808855011352575</v>
      </c>
      <c r="S100" s="1483">
        <f t="shared" si="108"/>
        <v>7.4979016290726817</v>
      </c>
      <c r="T100" s="1483">
        <f t="shared" ref="T100:Y100" si="109">(T65)/T95</f>
        <v>7.4853902512867085</v>
      </c>
      <c r="U100" s="1483">
        <f t="shared" si="109"/>
        <v>7.8456180904522608</v>
      </c>
      <c r="V100" s="1483">
        <f t="shared" si="109"/>
        <v>8.1551846064814821</v>
      </c>
      <c r="W100" s="1483">
        <f t="shared" si="109"/>
        <v>8.4903419889502771</v>
      </c>
      <c r="X100" s="1483">
        <f t="shared" si="109"/>
        <v>8.9369104281586544</v>
      </c>
      <c r="Y100" s="1483">
        <f t="shared" si="109"/>
        <v>9.0530552890684177</v>
      </c>
      <c r="Z100" s="1483">
        <f t="shared" ref="Z100:AE100" si="110">(Z65)/Z95</f>
        <v>9.0830381530984194</v>
      </c>
      <c r="AA100" s="1483">
        <f t="shared" si="110"/>
        <v>9.3719647639182515</v>
      </c>
      <c r="AB100" s="1483">
        <f t="shared" si="110"/>
        <v>9.6925337591240872</v>
      </c>
      <c r="AC100" s="1483">
        <f t="shared" si="110"/>
        <v>9.8753240124278729</v>
      </c>
      <c r="AD100" s="1483">
        <f t="shared" si="110"/>
        <v>9.8187782334412095</v>
      </c>
      <c r="AE100" s="1483">
        <f t="shared" si="110"/>
        <v>10.006892605700559</v>
      </c>
      <c r="AF100" s="1483">
        <f>(AF65)/AF95</f>
        <v>10.239062039826116</v>
      </c>
      <c r="AG100" s="1483">
        <f>(AG65)/AG95</f>
        <v>10.477048987587368</v>
      </c>
      <c r="AH100" s="1483">
        <f>(AH65)/AH95</f>
        <v>10.604134399672224</v>
      </c>
      <c r="AI100" s="1423"/>
      <c r="AJ100" s="1448"/>
      <c r="AK100" s="1423"/>
      <c r="AL100" s="1423"/>
      <c r="AM100" s="1423"/>
      <c r="AN100" s="1423"/>
      <c r="AO100" s="1423"/>
      <c r="AP100" s="1449"/>
      <c r="AQ100" s="1423"/>
      <c r="AR100" s="1423"/>
      <c r="AS100" s="1421"/>
      <c r="AT100" s="1421"/>
      <c r="AU100" s="1421"/>
      <c r="AV100" s="1421"/>
      <c r="AW100" s="1421"/>
      <c r="AX100" s="1421"/>
      <c r="AY100" s="1421"/>
    </row>
    <row r="101" spans="1:51">
      <c r="A101" s="1450" t="s">
        <v>191</v>
      </c>
      <c r="B101" s="1484"/>
      <c r="C101" s="1484"/>
      <c r="D101" s="1484">
        <f t="shared" ref="D101:J101" si="111">D100/C100-1</f>
        <v>5.4853007494922057E-2</v>
      </c>
      <c r="E101" s="1484">
        <f t="shared" si="111"/>
        <v>-2.0571349037912245E-4</v>
      </c>
      <c r="F101" s="1484">
        <f t="shared" si="111"/>
        <v>-4.2502164695348288E-3</v>
      </c>
      <c r="G101" s="1484">
        <f t="shared" si="111"/>
        <v>6.8542962589837719E-2</v>
      </c>
      <c r="H101" s="1484">
        <f t="shared" si="111"/>
        <v>1.8825758936179771E-2</v>
      </c>
      <c r="I101" s="1484">
        <f t="shared" si="111"/>
        <v>9.4811809884111531E-2</v>
      </c>
      <c r="J101" s="1484">
        <f t="shared" si="111"/>
        <v>3.2695015049482024E-2</v>
      </c>
      <c r="K101" s="1484">
        <f t="shared" ref="K101:AH101" si="112">K100/J100-1</f>
        <v>3.4249262882763309E-2</v>
      </c>
      <c r="L101" s="1484">
        <f t="shared" si="112"/>
        <v>4.6253159711404646E-3</v>
      </c>
      <c r="M101" s="1484">
        <f t="shared" si="112"/>
        <v>1.944118984472798E-2</v>
      </c>
      <c r="N101" s="1484">
        <f t="shared" si="112"/>
        <v>1.0393836190128569E-2</v>
      </c>
      <c r="O101" s="1484">
        <f t="shared" si="112"/>
        <v>-8.9442172891172067E-3</v>
      </c>
      <c r="P101" s="1484">
        <f t="shared" si="112"/>
        <v>9.4907383461129147E-3</v>
      </c>
      <c r="Q101" s="1484">
        <f t="shared" si="112"/>
        <v>1.0922982277455695E-2</v>
      </c>
      <c r="R101" s="1484">
        <f t="shared" si="112"/>
        <v>1.7999096285578275E-2</v>
      </c>
      <c r="S101" s="1484">
        <f t="shared" si="112"/>
        <v>2.2746141395750819E-3</v>
      </c>
      <c r="T101" s="1484">
        <f t="shared" si="112"/>
        <v>-1.668650564507379E-3</v>
      </c>
      <c r="U101" s="1484">
        <f t="shared" si="112"/>
        <v>4.8124122734099384E-2</v>
      </c>
      <c r="V101" s="1484">
        <f t="shared" si="112"/>
        <v>3.945725020772417E-2</v>
      </c>
      <c r="W101" s="1484">
        <f t="shared" si="112"/>
        <v>4.1097461141765379E-2</v>
      </c>
      <c r="X101" s="1484">
        <f t="shared" si="112"/>
        <v>5.2597226329582636E-2</v>
      </c>
      <c r="Y101" s="1484">
        <f t="shared" si="112"/>
        <v>1.299608649358408E-2</v>
      </c>
      <c r="Z101" s="1484">
        <f t="shared" si="112"/>
        <v>3.3119055470927083E-3</v>
      </c>
      <c r="AA101" s="1484">
        <f t="shared" si="112"/>
        <v>3.1809467928005208E-2</v>
      </c>
      <c r="AB101" s="1484">
        <f t="shared" si="112"/>
        <v>3.4205100347796336E-2</v>
      </c>
      <c r="AC101" s="1484">
        <f t="shared" si="112"/>
        <v>1.8858871977795788E-2</v>
      </c>
      <c r="AD101" s="1484">
        <f t="shared" si="112"/>
        <v>-5.7259669571856353E-3</v>
      </c>
      <c r="AE101" s="1484">
        <f t="shared" si="112"/>
        <v>1.9158633364247057E-2</v>
      </c>
      <c r="AF101" s="1484">
        <f t="shared" si="112"/>
        <v>2.3200951911215517E-2</v>
      </c>
      <c r="AG101" s="1484">
        <f t="shared" si="112"/>
        <v>2.3243041875864456E-2</v>
      </c>
      <c r="AH101" s="1484">
        <f t="shared" si="112"/>
        <v>1.2129886214660157E-2</v>
      </c>
      <c r="AI101" s="1423"/>
      <c r="AJ101" s="1448"/>
      <c r="AK101" s="1423"/>
      <c r="AL101" s="1423"/>
      <c r="AM101" s="1423"/>
      <c r="AN101" s="1423"/>
      <c r="AO101" s="1423"/>
      <c r="AP101" s="1449"/>
      <c r="AQ101" s="1423"/>
      <c r="AR101" s="1423"/>
      <c r="AS101" s="1421"/>
      <c r="AT101" s="1421"/>
      <c r="AU101" s="1421"/>
      <c r="AV101" s="1421"/>
      <c r="AW101" s="1421"/>
      <c r="AX101" s="1421"/>
      <c r="AY101" s="1421"/>
    </row>
    <row r="102" spans="1:51" hidden="1" outlineLevel="1">
      <c r="A102" s="1511" t="s">
        <v>375</v>
      </c>
      <c r="B102" s="1484"/>
      <c r="C102" s="1484"/>
      <c r="D102" s="1483">
        <f>+D67/D93</f>
        <v>5.2974947807933193</v>
      </c>
      <c r="E102" s="1483">
        <f t="shared" ref="E102:J102" si="113">+E67/E93</f>
        <v>5.3607421874999996</v>
      </c>
      <c r="F102" s="1483">
        <f t="shared" si="113"/>
        <v>5.3205081669691472</v>
      </c>
      <c r="G102" s="1483">
        <f t="shared" si="113"/>
        <v>5.2299829642248721</v>
      </c>
      <c r="H102" s="1483">
        <f t="shared" si="113"/>
        <v>5.7612456747404845</v>
      </c>
      <c r="I102" s="1483">
        <f t="shared" si="113"/>
        <v>6.1189655172413797</v>
      </c>
      <c r="J102" s="1483">
        <f t="shared" si="113"/>
        <v>6.258278145695364</v>
      </c>
      <c r="K102" s="1484"/>
      <c r="L102" s="1484"/>
      <c r="M102" s="1484"/>
      <c r="N102" s="1484"/>
      <c r="O102" s="1484"/>
      <c r="P102" s="1484"/>
      <c r="Q102" s="1484"/>
      <c r="R102" s="1484"/>
      <c r="S102" s="1484"/>
      <c r="T102" s="1484"/>
      <c r="U102" s="1484"/>
      <c r="V102" s="1484"/>
      <c r="W102" s="1484"/>
      <c r="X102" s="1484"/>
      <c r="Y102" s="1484"/>
      <c r="Z102" s="1484"/>
      <c r="AA102" s="1484"/>
      <c r="AB102" s="1484"/>
      <c r="AC102" s="1484"/>
      <c r="AD102" s="1484"/>
      <c r="AE102" s="1484"/>
      <c r="AF102" s="1484"/>
      <c r="AG102" s="1484"/>
      <c r="AH102" s="1484"/>
      <c r="AI102" s="1423"/>
      <c r="AJ102" s="1448"/>
      <c r="AK102" s="1423"/>
      <c r="AL102" s="1423"/>
      <c r="AM102" s="1423"/>
      <c r="AN102" s="1423"/>
      <c r="AO102" s="1423"/>
      <c r="AP102" s="1449"/>
      <c r="AQ102" s="1423"/>
      <c r="AR102" s="1423"/>
      <c r="AS102" s="1421"/>
      <c r="AT102" s="1421"/>
      <c r="AU102" s="1421"/>
      <c r="AV102" s="1421"/>
      <c r="AW102" s="1421"/>
      <c r="AX102" s="1421"/>
      <c r="AY102" s="1421"/>
    </row>
    <row r="103" spans="1:51" hidden="1" outlineLevel="1">
      <c r="A103" s="1511" t="s">
        <v>370</v>
      </c>
      <c r="B103" s="1484"/>
      <c r="C103" s="1484"/>
      <c r="D103" s="1483"/>
      <c r="E103" s="1484"/>
      <c r="F103" s="1484"/>
      <c r="G103" s="1483"/>
      <c r="H103" s="1483">
        <f>+H68/H94</f>
        <v>6.651982378854628</v>
      </c>
      <c r="I103" s="1483">
        <f>+I68/I94</f>
        <v>7.082429501084599</v>
      </c>
      <c r="J103" s="1483">
        <f>+J68/J94</f>
        <v>7.192263157894736</v>
      </c>
      <c r="K103" s="1484"/>
      <c r="L103" s="1484"/>
      <c r="M103" s="1484"/>
      <c r="N103" s="1484"/>
      <c r="O103" s="1484"/>
      <c r="P103" s="1484"/>
      <c r="Q103" s="1484"/>
      <c r="R103" s="1484"/>
      <c r="S103" s="1484"/>
      <c r="T103" s="1484"/>
      <c r="U103" s="1484"/>
      <c r="V103" s="1484"/>
      <c r="W103" s="1484"/>
      <c r="X103" s="1484"/>
      <c r="Y103" s="1484"/>
      <c r="Z103" s="1484"/>
      <c r="AA103" s="1484"/>
      <c r="AB103" s="1484"/>
      <c r="AC103" s="1484"/>
      <c r="AD103" s="1484"/>
      <c r="AE103" s="1484"/>
      <c r="AF103" s="1484"/>
      <c r="AG103" s="1484"/>
      <c r="AH103" s="1484"/>
      <c r="AI103" s="1423"/>
      <c r="AJ103" s="1448"/>
      <c r="AK103" s="1423"/>
      <c r="AL103" s="1423"/>
      <c r="AM103" s="1423"/>
      <c r="AN103" s="1423"/>
      <c r="AO103" s="1423"/>
      <c r="AP103" s="1449"/>
      <c r="AQ103" s="1423"/>
      <c r="AR103" s="1423"/>
      <c r="AS103" s="1421"/>
      <c r="AT103" s="1421"/>
      <c r="AU103" s="1421"/>
      <c r="AV103" s="1421"/>
      <c r="AW103" s="1421"/>
      <c r="AX103" s="1421"/>
      <c r="AY103" s="1421"/>
    </row>
    <row r="104" spans="1:51" collapsed="1">
      <c r="A104" s="1421"/>
      <c r="B104" s="1421"/>
      <c r="C104" s="1421"/>
      <c r="D104" s="1421"/>
      <c r="E104" s="1421"/>
      <c r="F104" s="1421"/>
      <c r="G104" s="1421"/>
      <c r="H104" s="1421"/>
      <c r="I104" s="1421"/>
      <c r="J104" s="1421"/>
      <c r="K104" s="1421"/>
      <c r="L104" s="1421"/>
      <c r="M104" s="1421"/>
      <c r="N104" s="1421"/>
      <c r="O104" s="1421"/>
      <c r="P104" s="1421"/>
      <c r="Q104" s="1421"/>
      <c r="R104" s="1421"/>
      <c r="S104" s="1421"/>
      <c r="T104" s="1421"/>
      <c r="U104" s="1421"/>
      <c r="V104" s="1421"/>
      <c r="W104" s="1421"/>
      <c r="X104" s="1421"/>
      <c r="Y104" s="1421"/>
      <c r="Z104" s="1421"/>
      <c r="AA104" s="1421"/>
      <c r="AB104" s="1421"/>
      <c r="AC104" s="1421"/>
      <c r="AD104" s="1421"/>
      <c r="AE104" s="1421"/>
      <c r="AF104" s="1421"/>
      <c r="AG104" s="1421"/>
      <c r="AH104" s="1421"/>
      <c r="AI104" s="1423"/>
      <c r="AJ104" s="1448"/>
      <c r="AK104" s="1423"/>
      <c r="AL104" s="1423"/>
      <c r="AM104" s="1423"/>
      <c r="AN104" s="1423"/>
      <c r="AO104" s="1423"/>
      <c r="AP104" s="1449"/>
      <c r="AQ104" s="1423"/>
      <c r="AR104" s="1423"/>
      <c r="AS104" s="1421"/>
      <c r="AT104" s="1421"/>
      <c r="AU104" s="1421"/>
      <c r="AV104" s="1421"/>
      <c r="AW104" s="1421"/>
      <c r="AX104" s="1421"/>
      <c r="AY104" s="1421"/>
    </row>
    <row r="105" spans="1:51">
      <c r="A105" s="1450" t="s">
        <v>199</v>
      </c>
      <c r="B105" s="1486">
        <f>+(Stores!G13+B110)/2</f>
        <v>9.2505000000000006</v>
      </c>
      <c r="C105" s="1486">
        <f t="shared" ref="C105:L105" si="114">+(B110+C110)/2</f>
        <v>10.464500000000001</v>
      </c>
      <c r="D105" s="1486">
        <f t="shared" si="114"/>
        <v>11.835999999999999</v>
      </c>
      <c r="E105" s="1486">
        <f t="shared" si="114"/>
        <v>13.183</v>
      </c>
      <c r="F105" s="1486">
        <f t="shared" si="114"/>
        <v>14.56</v>
      </c>
      <c r="G105" s="1486">
        <f>+(F110+(0.75*G112+0.25*G110))/2</f>
        <v>17.921625000000002</v>
      </c>
      <c r="H105" s="1486">
        <f t="shared" si="114"/>
        <v>31.731500000000004</v>
      </c>
      <c r="I105" s="1486">
        <f t="shared" si="114"/>
        <v>31.215499999999999</v>
      </c>
      <c r="J105" s="1486">
        <f t="shared" si="114"/>
        <v>31.999500000000001</v>
      </c>
      <c r="K105" s="1486">
        <f t="shared" si="114"/>
        <v>33.435000000000002</v>
      </c>
      <c r="L105" s="1486">
        <f t="shared" si="114"/>
        <v>35.189</v>
      </c>
      <c r="M105" s="1486">
        <f t="shared" ref="M105:AH105" si="115">+(L110+M110)/2</f>
        <v>37.227499999999999</v>
      </c>
      <c r="N105" s="1486">
        <f t="shared" si="115"/>
        <v>39.482500000000002</v>
      </c>
      <c r="O105" s="1486">
        <f t="shared" si="115"/>
        <v>41.737499999999997</v>
      </c>
      <c r="P105" s="1486">
        <f t="shared" si="115"/>
        <v>43.376018127516772</v>
      </c>
      <c r="Q105" s="1486">
        <f t="shared" si="115"/>
        <v>45.134518127516777</v>
      </c>
      <c r="R105" s="1486">
        <f t="shared" si="115"/>
        <v>47.558500000000002</v>
      </c>
      <c r="S105" s="1486">
        <f t="shared" si="115"/>
        <v>49.297000000000004</v>
      </c>
      <c r="T105" s="1486">
        <f t="shared" si="115"/>
        <v>50.647000000000006</v>
      </c>
      <c r="U105" s="1486">
        <f t="shared" si="115"/>
        <v>51.75</v>
      </c>
      <c r="V105" s="1486">
        <f t="shared" si="115"/>
        <v>52.8</v>
      </c>
      <c r="W105" s="1486">
        <f t="shared" si="115"/>
        <v>54.9</v>
      </c>
      <c r="X105" s="1486">
        <f t="shared" si="115"/>
        <v>57.25</v>
      </c>
      <c r="Y105" s="1486">
        <f t="shared" si="115"/>
        <v>59.415233026958688</v>
      </c>
      <c r="Z105" s="1486">
        <f t="shared" si="115"/>
        <v>61.215233026958686</v>
      </c>
      <c r="AA105" s="1486">
        <f t="shared" si="115"/>
        <v>62.55</v>
      </c>
      <c r="AB105" s="1486">
        <f t="shared" si="115"/>
        <v>63.9</v>
      </c>
      <c r="AC105" s="1486">
        <f t="shared" si="115"/>
        <v>65.683605634262577</v>
      </c>
      <c r="AD105" s="1486">
        <f t="shared" si="115"/>
        <v>67.822416269504458</v>
      </c>
      <c r="AE105" s="1486">
        <f t="shared" si="115"/>
        <v>69.657354573349863</v>
      </c>
      <c r="AF105" s="1486">
        <f t="shared" si="115"/>
        <v>71.416821179082064</v>
      </c>
      <c r="AG105" s="1486">
        <f t="shared" si="115"/>
        <v>73.176287784814264</v>
      </c>
      <c r="AH105" s="1486">
        <f t="shared" si="115"/>
        <v>74.056021087680364</v>
      </c>
      <c r="AI105" s="1423"/>
      <c r="AJ105" s="1448"/>
      <c r="AK105" s="1453">
        <f>((X105/S105)^(1/5)-1)*100</f>
        <v>3.0364767789864633</v>
      </c>
      <c r="AL105" s="1454" t="s">
        <v>190</v>
      </c>
      <c r="AM105" s="1453">
        <f>((AC105/X105)^(1/5)-1)*100</f>
        <v>2.7865522347068294</v>
      </c>
      <c r="AN105" s="1454" t="s">
        <v>190</v>
      </c>
      <c r="AO105" s="1455">
        <f>((AH105/AC105)^(1/5)-1)*100</f>
        <v>2.4284681828807164</v>
      </c>
      <c r="AP105" s="1449" t="s">
        <v>190</v>
      </c>
      <c r="AQ105" s="1454"/>
      <c r="AR105" s="1423"/>
      <c r="AS105" s="1421"/>
      <c r="AT105" s="1421"/>
      <c r="AU105" s="1421"/>
      <c r="AV105" s="1421"/>
      <c r="AW105" s="1421"/>
      <c r="AX105" s="1421"/>
      <c r="AY105" s="1421"/>
    </row>
    <row r="106" spans="1:51">
      <c r="A106" s="1450" t="s">
        <v>191</v>
      </c>
      <c r="B106" s="1445"/>
      <c r="C106" s="1445">
        <f t="shared" ref="C106:J106" si="116">C105/B105-1</f>
        <v>0.13123614939732997</v>
      </c>
      <c r="D106" s="1445">
        <f t="shared" si="116"/>
        <v>0.13106216254957204</v>
      </c>
      <c r="E106" s="1445">
        <f t="shared" si="116"/>
        <v>0.11380533964177109</v>
      </c>
      <c r="F106" s="1445">
        <f t="shared" si="116"/>
        <v>0.10445270424030961</v>
      </c>
      <c r="G106" s="1445">
        <f t="shared" si="116"/>
        <v>0.23088083791208813</v>
      </c>
      <c r="H106" s="1445">
        <f t="shared" si="116"/>
        <v>0.77057047003271184</v>
      </c>
      <c r="I106" s="1445">
        <f t="shared" si="116"/>
        <v>-1.6261443675842813E-2</v>
      </c>
      <c r="J106" s="1445">
        <f t="shared" si="116"/>
        <v>2.5115727763450835E-2</v>
      </c>
      <c r="K106" s="1445">
        <f t="shared" ref="K106:AA106" si="117">K105/J105-1</f>
        <v>4.4860075938686572E-2</v>
      </c>
      <c r="L106" s="1445">
        <f t="shared" si="117"/>
        <v>5.2459997009122183E-2</v>
      </c>
      <c r="M106" s="1445">
        <f t="shared" si="117"/>
        <v>5.7930034954104981E-2</v>
      </c>
      <c r="N106" s="1445">
        <f t="shared" si="117"/>
        <v>6.0573500772278521E-2</v>
      </c>
      <c r="O106" s="1445">
        <f t="shared" si="117"/>
        <v>5.7113911226492675E-2</v>
      </c>
      <c r="P106" s="1445">
        <f t="shared" si="117"/>
        <v>3.9257696975544265E-2</v>
      </c>
      <c r="Q106" s="1445">
        <f t="shared" si="117"/>
        <v>4.0540835141445353E-2</v>
      </c>
      <c r="R106" s="1445">
        <f t="shared" si="117"/>
        <v>5.3705721763437131E-2</v>
      </c>
      <c r="S106" s="1445">
        <f t="shared" si="117"/>
        <v>3.6554979656633346E-2</v>
      </c>
      <c r="T106" s="1445">
        <f t="shared" si="117"/>
        <v>2.738503357202271E-2</v>
      </c>
      <c r="U106" s="1445">
        <f t="shared" si="117"/>
        <v>2.1778190218571636E-2</v>
      </c>
      <c r="V106" s="1445">
        <f t="shared" si="117"/>
        <v>2.0289855072463725E-2</v>
      </c>
      <c r="W106" s="1445">
        <f t="shared" si="117"/>
        <v>3.9772727272727293E-2</v>
      </c>
      <c r="X106" s="1445">
        <f t="shared" si="117"/>
        <v>4.2805100182149447E-2</v>
      </c>
      <c r="Y106" s="1445">
        <f t="shared" si="117"/>
        <v>3.7820664226352552E-2</v>
      </c>
      <c r="Z106" s="1445">
        <f t="shared" si="117"/>
        <v>3.0295261135865115E-2</v>
      </c>
      <c r="AA106" s="1445">
        <f t="shared" si="117"/>
        <v>2.1804490598826831E-2</v>
      </c>
      <c r="AB106" s="1445">
        <f t="shared" ref="AB106:AH106" si="118">AB105/AA105-1</f>
        <v>2.1582733812949728E-2</v>
      </c>
      <c r="AC106" s="1445">
        <f t="shared" si="118"/>
        <v>2.7912451240415859E-2</v>
      </c>
      <c r="AD106" s="1445">
        <f t="shared" si="118"/>
        <v>3.2562320758564134E-2</v>
      </c>
      <c r="AE106" s="1445">
        <f t="shared" si="118"/>
        <v>2.7055041751298692E-2</v>
      </c>
      <c r="AF106" s="1445">
        <f t="shared" si="118"/>
        <v>2.5258877781232147E-2</v>
      </c>
      <c r="AG106" s="1445">
        <f t="shared" si="118"/>
        <v>2.4636585284582013E-2</v>
      </c>
      <c r="AH106" s="1445">
        <f t="shared" si="118"/>
        <v>1.2022108930328512E-2</v>
      </c>
      <c r="AI106" s="1423"/>
      <c r="AJ106" s="1448"/>
      <c r="AK106" s="1423"/>
      <c r="AL106" s="1423"/>
      <c r="AM106" s="1423"/>
      <c r="AN106" s="1423"/>
      <c r="AO106" s="1423"/>
      <c r="AP106" s="1449"/>
      <c r="AQ106" s="1423"/>
      <c r="AR106" s="1423"/>
      <c r="AS106" s="1421"/>
      <c r="AT106" s="1421"/>
      <c r="AU106" s="1421"/>
      <c r="AV106" s="1421"/>
      <c r="AW106" s="1421"/>
      <c r="AX106" s="1421"/>
      <c r="AY106" s="1421"/>
    </row>
    <row r="107" spans="1:51">
      <c r="A107" s="1511" t="s">
        <v>375</v>
      </c>
      <c r="B107" s="1486">
        <f>+(Stores!N13+B112)/2</f>
        <v>9.2505000000000006</v>
      </c>
      <c r="C107" s="1486">
        <f t="shared" ref="C107:AH107" si="119">+(B112+C112)/2</f>
        <v>10.464500000000001</v>
      </c>
      <c r="D107" s="1486">
        <f t="shared" si="119"/>
        <v>11.835999999999999</v>
      </c>
      <c r="E107" s="1486">
        <f t="shared" si="119"/>
        <v>13.183</v>
      </c>
      <c r="F107" s="1486">
        <f t="shared" si="119"/>
        <v>14.56</v>
      </c>
      <c r="G107" s="1486">
        <f t="shared" si="119"/>
        <v>15.931000000000001</v>
      </c>
      <c r="H107" s="1486">
        <f t="shared" si="119"/>
        <v>16.577500000000001</v>
      </c>
      <c r="I107" s="1486">
        <f t="shared" si="119"/>
        <v>16.7395</v>
      </c>
      <c r="J107" s="1486">
        <f t="shared" si="119"/>
        <v>17.2605</v>
      </c>
      <c r="K107" s="1486">
        <f t="shared" si="119"/>
        <v>18.085999999999999</v>
      </c>
      <c r="L107" s="1486">
        <f t="shared" si="119"/>
        <v>18.9605</v>
      </c>
      <c r="M107" s="1486">
        <f t="shared" si="119"/>
        <v>19.851999999999997</v>
      </c>
      <c r="N107" s="1486">
        <f t="shared" si="119"/>
        <v>20.686</v>
      </c>
      <c r="O107" s="1486">
        <f t="shared" si="119"/>
        <v>21.517499999999998</v>
      </c>
      <c r="P107" s="1486">
        <f t="shared" si="119"/>
        <v>22.368018127516777</v>
      </c>
      <c r="Q107" s="1486">
        <f t="shared" si="119"/>
        <v>23.26001812751678</v>
      </c>
      <c r="R107" s="1486">
        <f t="shared" si="119"/>
        <v>24.227</v>
      </c>
      <c r="S107" s="1486">
        <f t="shared" si="119"/>
        <v>24.962499999999999</v>
      </c>
      <c r="T107" s="1486">
        <f t="shared" si="119"/>
        <v>25.5625</v>
      </c>
      <c r="U107" s="1486">
        <f t="shared" si="119"/>
        <v>26.15</v>
      </c>
      <c r="V107" s="1486">
        <f t="shared" si="119"/>
        <v>26.85</v>
      </c>
      <c r="W107" s="1486">
        <f t="shared" si="119"/>
        <v>28</v>
      </c>
      <c r="X107" s="1486">
        <f t="shared" si="119"/>
        <v>29.45</v>
      </c>
      <c r="Y107" s="1486">
        <f t="shared" si="119"/>
        <v>30.826737451737451</v>
      </c>
      <c r="Z107" s="1486">
        <f t="shared" si="119"/>
        <v>31.776737451737453</v>
      </c>
      <c r="AA107" s="1486">
        <f t="shared" si="119"/>
        <v>32.5</v>
      </c>
      <c r="AB107" s="1486">
        <f t="shared" si="119"/>
        <v>33.200000000000003</v>
      </c>
      <c r="AC107" s="1486">
        <f t="shared" si="119"/>
        <v>34.153416955017299</v>
      </c>
      <c r="AD107" s="1486">
        <f t="shared" si="119"/>
        <v>35.233737024221448</v>
      </c>
      <c r="AE107" s="1486">
        <f t="shared" si="119"/>
        <v>36.087543252595154</v>
      </c>
      <c r="AF107" s="1486">
        <f t="shared" si="119"/>
        <v>36.941349480968853</v>
      </c>
      <c r="AG107" s="1486">
        <f t="shared" si="119"/>
        <v>37.795155709342559</v>
      </c>
      <c r="AH107" s="1486">
        <f t="shared" si="119"/>
        <v>38.222058823529416</v>
      </c>
      <c r="AI107" s="1423"/>
      <c r="AJ107" s="1448"/>
      <c r="AK107" s="1423"/>
      <c r="AL107" s="1423"/>
      <c r="AM107" s="1423"/>
      <c r="AN107" s="1423"/>
      <c r="AO107" s="1423"/>
      <c r="AP107" s="1449"/>
      <c r="AQ107" s="1423"/>
      <c r="AR107" s="1423"/>
      <c r="AS107" s="1421"/>
      <c r="AT107" s="1421"/>
      <c r="AU107" s="1421"/>
      <c r="AV107" s="1421"/>
      <c r="AW107" s="1421"/>
      <c r="AX107" s="1421"/>
      <c r="AY107" s="1421"/>
    </row>
    <row r="108" spans="1:51">
      <c r="A108" s="1511" t="s">
        <v>370</v>
      </c>
      <c r="B108" s="1445"/>
      <c r="C108" s="1445"/>
      <c r="D108" s="1445"/>
      <c r="E108" s="1486"/>
      <c r="F108" s="1445"/>
      <c r="G108" s="1445"/>
      <c r="H108" s="1486">
        <f t="shared" ref="H108:AH108" si="120">+(G113+H113)/2</f>
        <v>15.154</v>
      </c>
      <c r="I108" s="1486">
        <f t="shared" si="120"/>
        <v>14.475999999999999</v>
      </c>
      <c r="J108" s="1486">
        <f t="shared" si="120"/>
        <v>14.739000000000001</v>
      </c>
      <c r="K108" s="1486">
        <f t="shared" si="120"/>
        <v>15.349</v>
      </c>
      <c r="L108" s="1486">
        <f t="shared" si="120"/>
        <v>16.2285</v>
      </c>
      <c r="M108" s="1486">
        <f t="shared" si="120"/>
        <v>17.375499999999999</v>
      </c>
      <c r="N108" s="1486">
        <f t="shared" si="120"/>
        <v>18.796500000000002</v>
      </c>
      <c r="O108" s="1486">
        <f t="shared" si="120"/>
        <v>20.22</v>
      </c>
      <c r="P108" s="1486">
        <f t="shared" si="120"/>
        <v>21.007999999999999</v>
      </c>
      <c r="Q108" s="1486">
        <f t="shared" si="120"/>
        <v>21.874499999999998</v>
      </c>
      <c r="R108" s="1486">
        <f t="shared" si="120"/>
        <v>23.331499999999998</v>
      </c>
      <c r="S108" s="1486">
        <f t="shared" si="120"/>
        <v>24.334499999999998</v>
      </c>
      <c r="T108" s="1486">
        <f t="shared" si="120"/>
        <v>25.084499999999998</v>
      </c>
      <c r="U108" s="1486">
        <f t="shared" si="120"/>
        <v>25.6</v>
      </c>
      <c r="V108" s="1486">
        <f t="shared" si="120"/>
        <v>25.95</v>
      </c>
      <c r="W108" s="1486">
        <f t="shared" si="120"/>
        <v>26.9</v>
      </c>
      <c r="X108" s="1486">
        <f t="shared" si="120"/>
        <v>27.8</v>
      </c>
      <c r="Y108" s="1486">
        <f t="shared" si="120"/>
        <v>28.588495575221238</v>
      </c>
      <c r="Z108" s="1486">
        <f t="shared" si="120"/>
        <v>29.438495575221239</v>
      </c>
      <c r="AA108" s="1486">
        <f t="shared" si="120"/>
        <v>30.049999999999997</v>
      </c>
      <c r="AB108" s="1486">
        <f t="shared" si="120"/>
        <v>30.7</v>
      </c>
      <c r="AC108" s="1486">
        <f t="shared" si="120"/>
        <v>31.530188679245281</v>
      </c>
      <c r="AD108" s="1486">
        <f t="shared" si="120"/>
        <v>32.588679245283018</v>
      </c>
      <c r="AE108" s="1486">
        <f t="shared" si="120"/>
        <v>33.569811320754717</v>
      </c>
      <c r="AF108" s="1486">
        <f t="shared" si="120"/>
        <v>34.475471698113211</v>
      </c>
      <c r="AG108" s="1486">
        <f t="shared" si="120"/>
        <v>35.381132075471697</v>
      </c>
      <c r="AH108" s="1486">
        <f t="shared" si="120"/>
        <v>35.833962264150941</v>
      </c>
      <c r="AI108" s="1423"/>
      <c r="AJ108" s="1448"/>
      <c r="AK108" s="1423"/>
      <c r="AL108" s="1423"/>
      <c r="AM108" s="1423"/>
      <c r="AN108" s="1423"/>
      <c r="AO108" s="1423"/>
      <c r="AP108" s="1449"/>
      <c r="AQ108" s="1423"/>
      <c r="AR108" s="1423"/>
      <c r="AS108" s="1421"/>
      <c r="AT108" s="1421"/>
      <c r="AU108" s="1421"/>
      <c r="AV108" s="1421"/>
      <c r="AW108" s="1421"/>
      <c r="AX108" s="1421"/>
      <c r="AY108" s="1421"/>
    </row>
    <row r="109" spans="1:51">
      <c r="A109" s="1421"/>
      <c r="B109" s="1421"/>
      <c r="C109" s="1421"/>
      <c r="D109" s="1421"/>
      <c r="E109" s="1421"/>
      <c r="F109" s="1421"/>
      <c r="G109" s="1421"/>
      <c r="H109" s="1421"/>
      <c r="I109" s="1421"/>
      <c r="J109" s="1421"/>
      <c r="K109" s="1421"/>
      <c r="L109" s="1421"/>
      <c r="M109" s="1421"/>
      <c r="N109" s="1421"/>
      <c r="O109" s="1421"/>
      <c r="P109" s="1421"/>
      <c r="Q109" s="1421"/>
      <c r="R109" s="1421"/>
      <c r="S109" s="1421"/>
      <c r="T109" s="1421"/>
      <c r="U109" s="1421"/>
      <c r="V109" s="1421"/>
      <c r="W109" s="1421"/>
      <c r="X109" s="1421"/>
      <c r="Y109" s="1421"/>
      <c r="Z109" s="1421"/>
      <c r="AA109" s="1421"/>
      <c r="AB109" s="1421"/>
      <c r="AC109" s="1421"/>
      <c r="AD109" s="1421"/>
      <c r="AE109" s="1421"/>
      <c r="AF109" s="1421"/>
      <c r="AG109" s="1421"/>
      <c r="AH109" s="1421"/>
      <c r="AI109" s="1423"/>
      <c r="AJ109" s="1448"/>
      <c r="AK109" s="1423"/>
      <c r="AL109" s="1423"/>
      <c r="AM109" s="1423"/>
      <c r="AN109" s="1423"/>
      <c r="AO109" s="1423"/>
      <c r="AP109" s="1449"/>
      <c r="AQ109" s="1423"/>
      <c r="AR109" s="1423"/>
      <c r="AS109" s="1421"/>
      <c r="AT109" s="1421"/>
      <c r="AU109" s="1421"/>
      <c r="AV109" s="1421"/>
      <c r="AW109" s="1421"/>
      <c r="AX109" s="1421"/>
      <c r="AY109" s="1421"/>
    </row>
    <row r="110" spans="1:51">
      <c r="A110" s="1450" t="s">
        <v>200</v>
      </c>
      <c r="B110" s="1522">
        <f t="shared" ref="B110:S110" si="121">SUM(B112:B113)</f>
        <v>9.8160000000000007</v>
      </c>
      <c r="C110" s="1522">
        <f t="shared" si="121"/>
        <v>11.113</v>
      </c>
      <c r="D110" s="1522">
        <f t="shared" si="121"/>
        <v>12.558999999999999</v>
      </c>
      <c r="E110" s="1522">
        <f t="shared" si="121"/>
        <v>13.807</v>
      </c>
      <c r="F110" s="1522">
        <f t="shared" si="121"/>
        <v>15.313000000000001</v>
      </c>
      <c r="G110" s="1522">
        <f t="shared" si="121"/>
        <v>32.474000000000004</v>
      </c>
      <c r="H110" s="1522">
        <f t="shared" si="121"/>
        <v>30.989000000000001</v>
      </c>
      <c r="I110" s="1522">
        <f t="shared" si="121"/>
        <v>31.442</v>
      </c>
      <c r="J110" s="1522">
        <f t="shared" si="121"/>
        <v>32.557000000000002</v>
      </c>
      <c r="K110" s="1522">
        <f t="shared" si="121"/>
        <v>34.313000000000002</v>
      </c>
      <c r="L110" s="1522">
        <f t="shared" si="121"/>
        <v>36.064999999999998</v>
      </c>
      <c r="M110" s="1522">
        <f t="shared" si="121"/>
        <v>38.39</v>
      </c>
      <c r="N110" s="1522">
        <f t="shared" si="121"/>
        <v>40.575000000000003</v>
      </c>
      <c r="O110" s="1522">
        <f>SUM(O112:O113)</f>
        <v>42.9</v>
      </c>
      <c r="P110" s="1522">
        <f>SUM(P112:P113)</f>
        <v>43.852036255033553</v>
      </c>
      <c r="Q110" s="1522">
        <f t="shared" si="121"/>
        <v>46.417000000000002</v>
      </c>
      <c r="R110" s="1522">
        <f t="shared" si="121"/>
        <v>48.7</v>
      </c>
      <c r="S110" s="1522">
        <f t="shared" si="121"/>
        <v>49.894000000000005</v>
      </c>
      <c r="T110" s="1522">
        <f t="shared" ref="T110:Y110" si="122">SUM(T112:T113)</f>
        <v>51.4</v>
      </c>
      <c r="U110" s="1522">
        <f t="shared" si="122"/>
        <v>52.099999999999994</v>
      </c>
      <c r="V110" s="1522">
        <f t="shared" si="122"/>
        <v>53.5</v>
      </c>
      <c r="W110" s="1522">
        <f t="shared" si="122"/>
        <v>56.3</v>
      </c>
      <c r="X110" s="1522">
        <f t="shared" si="122"/>
        <v>58.2</v>
      </c>
      <c r="Y110" s="1522">
        <f t="shared" si="122"/>
        <v>60.630466053917381</v>
      </c>
      <c r="Z110" s="1522">
        <f t="shared" ref="Z110:AE110" si="123">SUM(Z112:Z113)</f>
        <v>61.8</v>
      </c>
      <c r="AA110" s="1522">
        <f t="shared" si="123"/>
        <v>63.3</v>
      </c>
      <c r="AB110" s="1522">
        <f t="shared" si="123"/>
        <v>64.5</v>
      </c>
      <c r="AC110" s="1522">
        <f t="shared" si="123"/>
        <v>66.867211268525153</v>
      </c>
      <c r="AD110" s="1522">
        <f t="shared" si="123"/>
        <v>68.777621270483763</v>
      </c>
      <c r="AE110" s="1522">
        <f t="shared" si="123"/>
        <v>70.537087876215963</v>
      </c>
      <c r="AF110" s="1522">
        <f>SUM(AF112:AF113)</f>
        <v>72.296554481948164</v>
      </c>
      <c r="AG110" s="1522">
        <f>SUM(AG112:AG113)</f>
        <v>74.056021087680364</v>
      </c>
      <c r="AH110" s="1522">
        <f>SUM(AH112:AH113)</f>
        <v>74.056021087680364</v>
      </c>
      <c r="AI110" s="1423"/>
      <c r="AJ110" s="1448"/>
      <c r="AK110" s="1453">
        <f>((X110/S110)^(1/5)-1)*100</f>
        <v>3.1276051015083794</v>
      </c>
      <c r="AL110" s="1454" t="s">
        <v>190</v>
      </c>
      <c r="AM110" s="1453">
        <f>((AC110/X110)^(1/5)-1)*100</f>
        <v>2.8153706026059266</v>
      </c>
      <c r="AN110" s="1454" t="s">
        <v>190</v>
      </c>
      <c r="AO110" s="1455">
        <f>((AH110/AC110)^(1/5)-1)*100</f>
        <v>2.0632592127832083</v>
      </c>
      <c r="AP110" s="1449" t="s">
        <v>190</v>
      </c>
      <c r="AQ110" s="1454"/>
      <c r="AR110" s="1423"/>
      <c r="AS110" s="1421"/>
      <c r="AT110" s="1421"/>
      <c r="AU110" s="1421"/>
      <c r="AV110" s="1421"/>
      <c r="AW110" s="1421"/>
      <c r="AX110" s="1421"/>
      <c r="AY110" s="1421"/>
    </row>
    <row r="111" spans="1:51">
      <c r="A111" s="1450" t="s">
        <v>191</v>
      </c>
      <c r="B111" s="1445"/>
      <c r="C111" s="1445">
        <f t="shared" ref="C111:AH111" si="124">C110/B110-1</f>
        <v>0.13213121434392816</v>
      </c>
      <c r="D111" s="1445">
        <f t="shared" si="124"/>
        <v>0.1301178799604068</v>
      </c>
      <c r="E111" s="1445">
        <f t="shared" si="124"/>
        <v>9.9370969026196354E-2</v>
      </c>
      <c r="F111" s="1445">
        <f t="shared" si="124"/>
        <v>0.10907510682986898</v>
      </c>
      <c r="G111" s="1445">
        <f t="shared" si="124"/>
        <v>1.1206817736563708</v>
      </c>
      <c r="H111" s="1445">
        <f t="shared" si="124"/>
        <v>-4.5728890804951794E-2</v>
      </c>
      <c r="I111" s="1445">
        <f t="shared" si="124"/>
        <v>1.461809029010297E-2</v>
      </c>
      <c r="J111" s="1445">
        <f t="shared" si="124"/>
        <v>3.5462120730233471E-2</v>
      </c>
      <c r="K111" s="1445">
        <f t="shared" si="124"/>
        <v>5.3936173480357619E-2</v>
      </c>
      <c r="L111" s="1445">
        <f t="shared" si="124"/>
        <v>5.1059365255150979E-2</v>
      </c>
      <c r="M111" s="1445">
        <f t="shared" si="124"/>
        <v>6.446693470123388E-2</v>
      </c>
      <c r="N111" s="1445">
        <f t="shared" si="124"/>
        <v>5.6915863506121545E-2</v>
      </c>
      <c r="O111" s="1445">
        <f t="shared" si="124"/>
        <v>5.730129390018468E-2</v>
      </c>
      <c r="P111" s="1445">
        <f t="shared" si="124"/>
        <v>2.2191987296819482E-2</v>
      </c>
      <c r="Q111" s="1445">
        <f t="shared" si="124"/>
        <v>5.8491325922682247E-2</v>
      </c>
      <c r="R111" s="1445">
        <f t="shared" si="124"/>
        <v>4.9184565999526031E-2</v>
      </c>
      <c r="S111" s="1445">
        <f t="shared" si="124"/>
        <v>2.4517453798768019E-2</v>
      </c>
      <c r="T111" s="1445">
        <f t="shared" si="124"/>
        <v>3.0183990058924692E-2</v>
      </c>
      <c r="U111" s="1445">
        <f t="shared" si="124"/>
        <v>1.3618677042801508E-2</v>
      </c>
      <c r="V111" s="1445">
        <f t="shared" si="124"/>
        <v>2.6871401151631558E-2</v>
      </c>
      <c r="W111" s="1445">
        <f t="shared" si="124"/>
        <v>5.2336448598130803E-2</v>
      </c>
      <c r="X111" s="1445">
        <f t="shared" si="124"/>
        <v>3.3747779751332141E-2</v>
      </c>
      <c r="Y111" s="1445">
        <f t="shared" si="124"/>
        <v>4.1760585118855387E-2</v>
      </c>
      <c r="Z111" s="1445">
        <f t="shared" si="124"/>
        <v>1.9289542406660365E-2</v>
      </c>
      <c r="AA111" s="1445">
        <f t="shared" si="124"/>
        <v>2.4271844660194164E-2</v>
      </c>
      <c r="AB111" s="1445">
        <f t="shared" si="124"/>
        <v>1.8957345971563955E-2</v>
      </c>
      <c r="AC111" s="1445">
        <f t="shared" si="124"/>
        <v>3.6700949899614699E-2</v>
      </c>
      <c r="AD111" s="1445">
        <f t="shared" si="124"/>
        <v>2.8570206020508193E-2</v>
      </c>
      <c r="AE111" s="1445">
        <f t="shared" si="124"/>
        <v>2.5581963627568483E-2</v>
      </c>
      <c r="AF111" s="1445">
        <f t="shared" si="124"/>
        <v>2.4943850940087664E-2</v>
      </c>
      <c r="AG111" s="1445">
        <f t="shared" si="124"/>
        <v>2.4336797491110396E-2</v>
      </c>
      <c r="AH111" s="1445">
        <f t="shared" si="124"/>
        <v>0</v>
      </c>
      <c r="AI111" s="1423"/>
      <c r="AJ111" s="1448"/>
      <c r="AK111" s="1423"/>
      <c r="AL111" s="1423"/>
      <c r="AM111" s="1423"/>
      <c r="AN111" s="1423"/>
      <c r="AO111" s="1423"/>
      <c r="AP111" s="1449"/>
      <c r="AQ111" s="1423"/>
      <c r="AR111" s="1423"/>
      <c r="AS111" s="1421"/>
      <c r="AT111" s="1421"/>
      <c r="AU111" s="1421"/>
      <c r="AV111" s="1421"/>
      <c r="AW111" s="1421"/>
      <c r="AX111" s="1421"/>
      <c r="AY111" s="1421"/>
    </row>
    <row r="112" spans="1:51">
      <c r="A112" s="1511" t="s">
        <v>375</v>
      </c>
      <c r="B112" s="1522">
        <f>Stores!$N21</f>
        <v>9.8160000000000007</v>
      </c>
      <c r="C112" s="1522">
        <f>Stores!$N29</f>
        <v>11.113</v>
      </c>
      <c r="D112" s="1522">
        <f>Stores!$N37</f>
        <v>12.558999999999999</v>
      </c>
      <c r="E112" s="1522">
        <f>Stores!$N45</f>
        <v>13.807</v>
      </c>
      <c r="F112" s="1522">
        <f>Stores!$N53</f>
        <v>15.313000000000001</v>
      </c>
      <c r="G112" s="1522">
        <f>Stores!$N61</f>
        <v>16.548999999999999</v>
      </c>
      <c r="H112" s="1522">
        <f>Stores!$N69</f>
        <v>16.606000000000002</v>
      </c>
      <c r="I112" s="1522">
        <f>Stores!$N77</f>
        <v>16.873000000000001</v>
      </c>
      <c r="J112" s="1522">
        <f>Stores!$N85</f>
        <v>17.648</v>
      </c>
      <c r="K112" s="1522">
        <f>Stores!$N93</f>
        <v>18.524000000000001</v>
      </c>
      <c r="L112" s="1522">
        <f>Stores!$N101</f>
        <v>19.396999999999998</v>
      </c>
      <c r="M112" s="1522">
        <f>Stores!$N109</f>
        <v>20.306999999999999</v>
      </c>
      <c r="N112" s="1522">
        <f>Stores!$N117</f>
        <v>21.065000000000001</v>
      </c>
      <c r="O112" s="1522">
        <f>Stores!$N125</f>
        <v>21.97</v>
      </c>
      <c r="P112" s="1522">
        <f>Stores!$N133</f>
        <v>22.766036255033555</v>
      </c>
      <c r="Q112" s="1522">
        <f>Stores!$N141</f>
        <v>23.754000000000001</v>
      </c>
      <c r="R112" s="1522">
        <f>Stores!$N149</f>
        <v>24.7</v>
      </c>
      <c r="S112" s="1522">
        <f>Stores!$N156</f>
        <v>25.225000000000001</v>
      </c>
      <c r="T112" s="1522">
        <f>Stores!$N163</f>
        <v>25.9</v>
      </c>
      <c r="U112" s="1522">
        <f>Stores!$N170</f>
        <v>26.4</v>
      </c>
      <c r="V112" s="1522">
        <f>Stores!$N177</f>
        <v>27.3</v>
      </c>
      <c r="W112" s="1522">
        <f>Stores!$N184</f>
        <v>28.7</v>
      </c>
      <c r="X112" s="1522">
        <f>Stores!$N191</f>
        <v>30.2</v>
      </c>
      <c r="Y112" s="1522">
        <f>Stores!$N198</f>
        <v>31.453474903474902</v>
      </c>
      <c r="Z112" s="1522">
        <f>Stores!$N205</f>
        <v>32.1</v>
      </c>
      <c r="AA112" s="1522">
        <f>Stores!$N212</f>
        <v>32.9</v>
      </c>
      <c r="AB112" s="1522">
        <f>Stores!$N219</f>
        <v>33.5</v>
      </c>
      <c r="AC112" s="1522">
        <f>Stores!$N226</f>
        <v>34.806833910034598</v>
      </c>
      <c r="AD112" s="1522">
        <f>Stores!$N233</f>
        <v>35.660640138408297</v>
      </c>
      <c r="AE112" s="1522">
        <f>Stores!$N240</f>
        <v>36.514446366782003</v>
      </c>
      <c r="AF112" s="1522">
        <f>Stores!$N247</f>
        <v>37.368252595155703</v>
      </c>
      <c r="AG112" s="1522">
        <f>Stores!$N254</f>
        <v>38.222058823529416</v>
      </c>
      <c r="AH112" s="1522">
        <f>Stores!$N254</f>
        <v>38.222058823529416</v>
      </c>
      <c r="AI112" s="1423"/>
      <c r="AJ112" s="1448"/>
      <c r="AK112" s="1453"/>
      <c r="AL112" s="1454"/>
      <c r="AM112" s="1423"/>
      <c r="AN112" s="1454"/>
      <c r="AO112" s="1423"/>
      <c r="AP112" s="1459"/>
      <c r="AQ112" s="1454"/>
      <c r="AR112" s="1423"/>
      <c r="AS112" s="1421"/>
      <c r="AT112" s="1421"/>
      <c r="AU112" s="1421"/>
      <c r="AV112" s="1421"/>
      <c r="AW112" s="1421"/>
      <c r="AX112" s="1421"/>
      <c r="AY112" s="1421"/>
    </row>
    <row r="113" spans="1:51">
      <c r="A113" s="1511" t="s">
        <v>370</v>
      </c>
      <c r="B113" s="1523"/>
      <c r="C113" s="1522"/>
      <c r="D113" s="1522"/>
      <c r="E113" s="1522"/>
      <c r="F113" s="1524" t="s">
        <v>642</v>
      </c>
      <c r="G113" s="1522">
        <f>Stores!$U61</f>
        <v>15.925000000000001</v>
      </c>
      <c r="H113" s="1522">
        <f>Stores!$U69</f>
        <v>14.382999999999999</v>
      </c>
      <c r="I113" s="1522">
        <f>Stores!$U77</f>
        <v>14.569000000000001</v>
      </c>
      <c r="J113" s="1522">
        <f>Stores!$U85</f>
        <v>14.909000000000001</v>
      </c>
      <c r="K113" s="1522">
        <f>Stores!$U93</f>
        <v>15.789</v>
      </c>
      <c r="L113" s="1522">
        <f>Stores!$U101</f>
        <v>16.667999999999999</v>
      </c>
      <c r="M113" s="1522">
        <f>Stores!$U109</f>
        <v>18.082999999999998</v>
      </c>
      <c r="N113" s="1522">
        <f>Stores!$U117</f>
        <v>19.510000000000002</v>
      </c>
      <c r="O113" s="1522">
        <f>Stores!$U125</f>
        <v>20.93</v>
      </c>
      <c r="P113" s="1522">
        <f>Stores!$U133</f>
        <v>21.085999999999999</v>
      </c>
      <c r="Q113" s="1522">
        <f>Stores!$U141</f>
        <v>22.663</v>
      </c>
      <c r="R113" s="1522">
        <f>Stores!$U149</f>
        <v>24</v>
      </c>
      <c r="S113" s="1522">
        <f>Stores!$U156</f>
        <v>24.669</v>
      </c>
      <c r="T113" s="1522">
        <f>Stores!$U163</f>
        <v>25.5</v>
      </c>
      <c r="U113" s="1522">
        <f>Stores!$U170</f>
        <v>25.7</v>
      </c>
      <c r="V113" s="1522">
        <f>Stores!$U177</f>
        <v>26.2</v>
      </c>
      <c r="W113" s="1522">
        <f>Stores!$U184</f>
        <v>27.6</v>
      </c>
      <c r="X113" s="1522">
        <f>Stores!$U191</f>
        <v>28</v>
      </c>
      <c r="Y113" s="1522">
        <f>Stores!$U198</f>
        <v>29.176991150442479</v>
      </c>
      <c r="Z113" s="1522">
        <f>Stores!$U205</f>
        <v>29.7</v>
      </c>
      <c r="AA113" s="1522">
        <f>Stores!$U212</f>
        <v>30.4</v>
      </c>
      <c r="AB113" s="1522">
        <f>Stores!$U219</f>
        <v>31</v>
      </c>
      <c r="AC113" s="1522">
        <f>Stores!$U226</f>
        <v>32.060377358490562</v>
      </c>
      <c r="AD113" s="1522">
        <f>Stores!$U233</f>
        <v>33.116981132075473</v>
      </c>
      <c r="AE113" s="1522">
        <f>Stores!$U240</f>
        <v>34.02264150943396</v>
      </c>
      <c r="AF113" s="1522">
        <f>Stores!$U247</f>
        <v>34.928301886792454</v>
      </c>
      <c r="AG113" s="1522">
        <f>Stores!$U254</f>
        <v>35.833962264150941</v>
      </c>
      <c r="AH113" s="1522">
        <f>Stores!$U254</f>
        <v>35.833962264150941</v>
      </c>
      <c r="AI113" s="1423"/>
      <c r="AJ113" s="1448"/>
      <c r="AK113" s="1453"/>
      <c r="AL113" s="1454"/>
      <c r="AM113" s="1423"/>
      <c r="AN113" s="1454"/>
      <c r="AO113" s="1423"/>
      <c r="AP113" s="1459"/>
      <c r="AQ113" s="1454"/>
      <c r="AR113" s="1423"/>
      <c r="AS113" s="1421"/>
      <c r="AT113" s="1421"/>
      <c r="AU113" s="1421"/>
      <c r="AV113" s="1421"/>
      <c r="AW113" s="1421"/>
      <c r="AX113" s="1421"/>
      <c r="AY113" s="1421"/>
    </row>
    <row r="114" spans="1:51">
      <c r="A114" s="1421"/>
      <c r="B114" s="1421"/>
      <c r="C114" s="1421"/>
      <c r="D114" s="1421"/>
      <c r="E114" s="1421"/>
      <c r="F114" s="1421"/>
      <c r="G114" s="1421"/>
      <c r="H114" s="1421"/>
      <c r="I114" s="1421"/>
      <c r="J114" s="1421"/>
      <c r="K114" s="1421"/>
      <c r="L114" s="1421"/>
      <c r="M114" s="1421"/>
      <c r="N114" s="1421"/>
      <c r="O114" s="1421"/>
      <c r="P114" s="1421"/>
      <c r="Q114" s="1421"/>
      <c r="R114" s="1421"/>
      <c r="S114" s="1421"/>
      <c r="T114" s="1421"/>
      <c r="U114" s="1421"/>
      <c r="V114" s="1421"/>
      <c r="W114" s="1421"/>
      <c r="X114" s="1421"/>
      <c r="Y114" s="1421"/>
      <c r="Z114" s="1421"/>
      <c r="AA114" s="1421"/>
      <c r="AB114" s="1421"/>
      <c r="AC114" s="1421"/>
      <c r="AD114" s="1421"/>
      <c r="AE114" s="1421"/>
      <c r="AF114" s="1421"/>
      <c r="AG114" s="1421"/>
      <c r="AH114" s="1421"/>
      <c r="AI114" s="1423"/>
      <c r="AJ114" s="1448"/>
      <c r="AK114" s="1423"/>
      <c r="AL114" s="1423"/>
      <c r="AM114" s="1423"/>
      <c r="AN114" s="1423"/>
      <c r="AO114" s="1423"/>
      <c r="AP114" s="1449"/>
      <c r="AQ114" s="1423"/>
      <c r="AR114" s="1423"/>
      <c r="AS114" s="1421"/>
      <c r="AT114" s="1421"/>
      <c r="AU114" s="1421"/>
      <c r="AV114" s="1421"/>
      <c r="AW114" s="1421"/>
      <c r="AX114" s="1421"/>
      <c r="AY114" s="1421"/>
    </row>
    <row r="115" spans="1:51">
      <c r="A115" s="1450" t="s">
        <v>201</v>
      </c>
      <c r="B115" s="1482">
        <f t="shared" ref="B115:J115" si="125">B110/B92*1000000</f>
        <v>24977.099236641225</v>
      </c>
      <c r="C115" s="1482">
        <f t="shared" si="125"/>
        <v>25430.205949656749</v>
      </c>
      <c r="D115" s="1482">
        <f t="shared" si="125"/>
        <v>26219.20668058455</v>
      </c>
      <c r="E115" s="1482">
        <f t="shared" si="125"/>
        <v>26966.796875</v>
      </c>
      <c r="F115" s="1482">
        <f t="shared" si="125"/>
        <v>27791.288566243195</v>
      </c>
      <c r="G115" s="1482">
        <f t="shared" si="125"/>
        <v>29985.226223453374</v>
      </c>
      <c r="H115" s="1482">
        <f t="shared" si="125"/>
        <v>30028.100775193801</v>
      </c>
      <c r="I115" s="1482">
        <f t="shared" si="125"/>
        <v>30203.650336215178</v>
      </c>
      <c r="J115" s="1482">
        <f t="shared" si="125"/>
        <v>30173.308619091753</v>
      </c>
      <c r="K115" s="1482">
        <f t="shared" ref="K115:S115" si="126">K110/K92*1000000</f>
        <v>30178.540017590152</v>
      </c>
      <c r="L115" s="1482">
        <f t="shared" si="126"/>
        <v>30154.682274247491</v>
      </c>
      <c r="M115" s="1482">
        <f t="shared" si="126"/>
        <v>30252.167060677701</v>
      </c>
      <c r="N115" s="1482">
        <f t="shared" si="126"/>
        <v>30234.724292101346</v>
      </c>
      <c r="O115" s="1482">
        <f t="shared" si="126"/>
        <v>30253.878702397742</v>
      </c>
      <c r="P115" s="1482">
        <f t="shared" si="126"/>
        <v>29871.959301793977</v>
      </c>
      <c r="Q115" s="1482">
        <f t="shared" si="126"/>
        <v>30658.520475561429</v>
      </c>
      <c r="R115" s="1482">
        <f t="shared" si="126"/>
        <v>31038.878266411728</v>
      </c>
      <c r="S115" s="1482">
        <f t="shared" si="126"/>
        <v>30741.836105976588</v>
      </c>
      <c r="T115" s="1482">
        <f t="shared" ref="T115:Y115" si="127">T110/T92*1000000</f>
        <v>30595.238095238095</v>
      </c>
      <c r="U115" s="1482">
        <f t="shared" si="127"/>
        <v>30593.071051086314</v>
      </c>
      <c r="V115" s="1482">
        <f t="shared" si="127"/>
        <v>30519.110096976612</v>
      </c>
      <c r="W115" s="1482">
        <f t="shared" si="127"/>
        <v>30155.329405463312</v>
      </c>
      <c r="X115" s="1482">
        <f t="shared" si="127"/>
        <v>30000.000000000004</v>
      </c>
      <c r="Y115" s="1482">
        <f t="shared" si="127"/>
        <v>30000.230605599892</v>
      </c>
      <c r="Z115" s="1482">
        <f t="shared" ref="Z115:AE115" si="128">Z110/Z92*1000000</f>
        <v>29512.893982808022</v>
      </c>
      <c r="AA115" s="1482">
        <f t="shared" si="128"/>
        <v>29264.909847434119</v>
      </c>
      <c r="AB115" s="1482">
        <f t="shared" si="128"/>
        <v>29040.972534894194</v>
      </c>
      <c r="AC115" s="1482">
        <f t="shared" si="128"/>
        <v>29263.549789288907</v>
      </c>
      <c r="AD115" s="1482">
        <f t="shared" si="128"/>
        <v>29267.07288105692</v>
      </c>
      <c r="AE115" s="1482">
        <f t="shared" si="128"/>
        <v>29268.501193450607</v>
      </c>
      <c r="AF115" s="1482">
        <f>AF110/AF92*1000000</f>
        <v>29269.860114149054</v>
      </c>
      <c r="AG115" s="1482">
        <f>AG110/AG92*1000000</f>
        <v>29271.154580110815</v>
      </c>
      <c r="AH115" s="1482">
        <f>AH110/AH92*1000000</f>
        <v>28593.058335011723</v>
      </c>
      <c r="AI115" s="1478"/>
      <c r="AJ115" s="1479"/>
      <c r="AK115" s="1478"/>
      <c r="AL115" s="1478"/>
      <c r="AM115" s="1423"/>
      <c r="AN115" s="1478"/>
      <c r="AO115" s="1423"/>
      <c r="AP115" s="1480"/>
      <c r="AQ115" s="1478"/>
      <c r="AR115" s="1423"/>
      <c r="AS115" s="1421"/>
      <c r="AT115" s="1421"/>
      <c r="AU115" s="1421"/>
      <c r="AV115" s="1421"/>
      <c r="AW115" s="1421"/>
      <c r="AX115" s="1421"/>
      <c r="AY115" s="1421"/>
    </row>
    <row r="116" spans="1:51">
      <c r="A116" s="1450" t="s">
        <v>191</v>
      </c>
      <c r="B116" s="1484"/>
      <c r="C116" s="1484">
        <f t="shared" ref="C116:K116" si="129">C115/B115-1</f>
        <v>1.814088612623288E-2</v>
      </c>
      <c r="D116" s="1484">
        <f t="shared" si="129"/>
        <v>3.1026124306258396E-2</v>
      </c>
      <c r="E116" s="1484">
        <f t="shared" si="129"/>
        <v>2.8513074538179861E-2</v>
      </c>
      <c r="F116" s="1484">
        <f t="shared" si="129"/>
        <v>3.0574327943544199E-2</v>
      </c>
      <c r="G116" s="1484">
        <f t="shared" si="129"/>
        <v>7.8943358526925467E-2</v>
      </c>
      <c r="H116" s="1484">
        <f t="shared" si="129"/>
        <v>1.4298558703851327E-3</v>
      </c>
      <c r="I116" s="1484">
        <f t="shared" si="129"/>
        <v>5.8461759648282818E-3</v>
      </c>
      <c r="J116" s="1484">
        <f t="shared" si="129"/>
        <v>-1.0045711953911018E-3</v>
      </c>
      <c r="K116" s="1484">
        <f t="shared" si="129"/>
        <v>1.7337835119235478E-4</v>
      </c>
      <c r="L116" s="1484">
        <f t="shared" ref="L116:U116" si="130">L115/K115-1</f>
        <v>-7.9055326496102474E-4</v>
      </c>
      <c r="M116" s="1484">
        <f t="shared" si="130"/>
        <v>3.2328241943859748E-3</v>
      </c>
      <c r="N116" s="1484">
        <f t="shared" si="130"/>
        <v>-5.7657914361541884E-4</v>
      </c>
      <c r="O116" s="1484">
        <f t="shared" si="130"/>
        <v>6.3352356420853795E-4</v>
      </c>
      <c r="P116" s="1484">
        <f t="shared" si="130"/>
        <v>-1.2623816085224671E-2</v>
      </c>
      <c r="Q116" s="1484">
        <f t="shared" si="130"/>
        <v>2.633108748645796E-2</v>
      </c>
      <c r="R116" s="1484">
        <f t="shared" si="130"/>
        <v>1.2406267000179882E-2</v>
      </c>
      <c r="S116" s="1484">
        <f t="shared" si="130"/>
        <v>-9.570003074388822E-3</v>
      </c>
      <c r="T116" s="1484">
        <f t="shared" si="130"/>
        <v>-4.7686810323600559E-3</v>
      </c>
      <c r="U116" s="1484">
        <f t="shared" si="130"/>
        <v>-7.0829458657439837E-5</v>
      </c>
      <c r="V116" s="1484">
        <f t="shared" ref="V116:AH116" si="131">V115/U115-1</f>
        <v>-2.4175720700350123E-3</v>
      </c>
      <c r="W116" s="1484">
        <f t="shared" si="131"/>
        <v>-1.1919767331267539E-2</v>
      </c>
      <c r="X116" s="1484">
        <f t="shared" si="131"/>
        <v>-5.1509769094137958E-3</v>
      </c>
      <c r="Y116" s="1484">
        <f t="shared" si="131"/>
        <v>7.6868533296359232E-6</v>
      </c>
      <c r="Z116" s="1484">
        <f t="shared" si="131"/>
        <v>-1.624442922451752E-2</v>
      </c>
      <c r="AA116" s="1484">
        <f t="shared" si="131"/>
        <v>-8.4025692471351165E-3</v>
      </c>
      <c r="AB116" s="1484">
        <f t="shared" si="131"/>
        <v>-7.6520759403453376E-3</v>
      </c>
      <c r="AC116" s="1484">
        <f t="shared" si="131"/>
        <v>7.6642493334986295E-3</v>
      </c>
      <c r="AD116" s="1484">
        <f t="shared" si="131"/>
        <v>1.203918114303093E-4</v>
      </c>
      <c r="AE116" s="1484">
        <f t="shared" si="131"/>
        <v>4.8802707380168897E-5</v>
      </c>
      <c r="AF116" s="1484">
        <f t="shared" si="131"/>
        <v>4.6429459761743175E-5</v>
      </c>
      <c r="AG116" s="1484">
        <f t="shared" si="131"/>
        <v>4.4225218593929583E-5</v>
      </c>
      <c r="AH116" s="1484">
        <f t="shared" si="131"/>
        <v>-2.316602316602312E-2</v>
      </c>
      <c r="AI116" s="1423"/>
      <c r="AJ116" s="1448"/>
      <c r="AK116" s="1423"/>
      <c r="AL116" s="1423"/>
      <c r="AM116" s="1423"/>
      <c r="AN116" s="1423"/>
      <c r="AO116" s="1423"/>
      <c r="AP116" s="1449"/>
      <c r="AQ116" s="1423"/>
      <c r="AR116" s="1423"/>
      <c r="AS116" s="1421"/>
      <c r="AT116" s="1421"/>
      <c r="AU116" s="1421"/>
      <c r="AV116" s="1421"/>
      <c r="AW116" s="1421"/>
      <c r="AX116" s="1421"/>
      <c r="AY116" s="1421"/>
    </row>
    <row r="117" spans="1:51">
      <c r="A117" s="1511" t="s">
        <v>375</v>
      </c>
      <c r="B117" s="1482">
        <f>B112/B93*1000000</f>
        <v>24977.099236641225</v>
      </c>
      <c r="C117" s="1482">
        <f>C112/C93*1000000</f>
        <v>25430.205949656749</v>
      </c>
      <c r="D117" s="1482">
        <f>D112/D93*1000000</f>
        <v>26219.20668058455</v>
      </c>
      <c r="E117" s="1482">
        <f t="shared" ref="E117:R117" si="132">E112/E93*1000000</f>
        <v>26966.796875</v>
      </c>
      <c r="F117" s="1482">
        <f t="shared" si="132"/>
        <v>27791.288566243195</v>
      </c>
      <c r="G117" s="1482">
        <f t="shared" si="132"/>
        <v>28192.50425894378</v>
      </c>
      <c r="H117" s="1482">
        <f t="shared" si="132"/>
        <v>28730.103806228377</v>
      </c>
      <c r="I117" s="1482">
        <f t="shared" si="132"/>
        <v>29091.37931034483</v>
      </c>
      <c r="J117" s="1482">
        <f t="shared" si="132"/>
        <v>29218.543046357616</v>
      </c>
      <c r="K117" s="1482">
        <f t="shared" si="132"/>
        <v>29310.126582278481</v>
      </c>
      <c r="L117" s="1482">
        <f t="shared" si="132"/>
        <v>29344.931921331314</v>
      </c>
      <c r="M117" s="1482">
        <f t="shared" si="132"/>
        <v>29558.951965065498</v>
      </c>
      <c r="N117" s="1482">
        <f t="shared" si="132"/>
        <v>29544.179523141654</v>
      </c>
      <c r="O117" s="1482">
        <f t="shared" si="132"/>
        <v>29489.932885906041</v>
      </c>
      <c r="P117" s="1482">
        <f t="shared" si="132"/>
        <v>29527.932885906037</v>
      </c>
      <c r="Q117" s="1482">
        <f t="shared" si="132"/>
        <v>29729.662077597</v>
      </c>
      <c r="R117" s="1482">
        <f t="shared" si="132"/>
        <v>30085.261875761265</v>
      </c>
      <c r="S117" s="1482">
        <f t="shared" ref="S117:U118" si="133">S112/S93*1000000</f>
        <v>29781.582054309329</v>
      </c>
      <c r="T117" s="1482">
        <f t="shared" si="133"/>
        <v>29633.867276887871</v>
      </c>
      <c r="U117" s="1482">
        <f t="shared" si="133"/>
        <v>29662.921348314605</v>
      </c>
      <c r="V117" s="1482">
        <f t="shared" ref="V117:X118" si="134">V112/V93*1000000</f>
        <v>29577.464788732395</v>
      </c>
      <c r="W117" s="1482">
        <f t="shared" si="134"/>
        <v>29196.337741607324</v>
      </c>
      <c r="X117" s="1482">
        <f t="shared" si="134"/>
        <v>29150.579150579149</v>
      </c>
      <c r="Y117" s="1482">
        <f t="shared" ref="Y117:AD118" si="135">Y112/Y93*1000000</f>
        <v>29150.579150579149</v>
      </c>
      <c r="Z117" s="1482">
        <f t="shared" si="135"/>
        <v>28686.327077747988</v>
      </c>
      <c r="AA117" s="1482">
        <f t="shared" si="135"/>
        <v>28460.207612456747</v>
      </c>
      <c r="AB117" s="1482">
        <f t="shared" si="135"/>
        <v>28246.205733558178</v>
      </c>
      <c r="AC117" s="1482">
        <f t="shared" si="135"/>
        <v>28460.207612456743</v>
      </c>
      <c r="AD117" s="1482">
        <f t="shared" si="135"/>
        <v>28460.207612456743</v>
      </c>
      <c r="AE117" s="1482">
        <f t="shared" ref="AE117:AG118" si="136">AE112/AE93*1000000</f>
        <v>28460.207612456747</v>
      </c>
      <c r="AF117" s="1482">
        <f t="shared" si="136"/>
        <v>28460.207612456743</v>
      </c>
      <c r="AG117" s="1482">
        <f t="shared" si="136"/>
        <v>28460.20761245675</v>
      </c>
      <c r="AH117" s="1482">
        <f>AH112/AH93*1000000</f>
        <v>27838.353112548739</v>
      </c>
      <c r="AI117" s="1423"/>
      <c r="AJ117" s="1448"/>
      <c r="AK117" s="1423"/>
      <c r="AL117" s="1423"/>
      <c r="AM117" s="1423"/>
      <c r="AN117" s="1423"/>
      <c r="AO117" s="1423"/>
      <c r="AP117" s="1449"/>
      <c r="AQ117" s="1423"/>
      <c r="AR117" s="1423"/>
      <c r="AS117" s="1421"/>
      <c r="AT117" s="1421"/>
      <c r="AU117" s="1421"/>
      <c r="AV117" s="1421"/>
      <c r="AW117" s="1421"/>
      <c r="AX117" s="1421"/>
      <c r="AY117" s="1421"/>
    </row>
    <row r="118" spans="1:51">
      <c r="A118" s="1511" t="s">
        <v>370</v>
      </c>
      <c r="B118" s="1484"/>
      <c r="C118" s="1484"/>
      <c r="D118" s="1484"/>
      <c r="E118" s="1484"/>
      <c r="F118" s="1524" t="s">
        <v>642</v>
      </c>
      <c r="G118" s="1482">
        <f>G113/G94*1000000</f>
        <v>32106.854838709682</v>
      </c>
      <c r="H118" s="1482">
        <f t="shared" ref="H118:R118" si="137">H113/H94*1000000</f>
        <v>31680.616740088102</v>
      </c>
      <c r="I118" s="1482">
        <f t="shared" si="137"/>
        <v>31603.036876355753</v>
      </c>
      <c r="J118" s="1482">
        <f t="shared" si="137"/>
        <v>31387.368421052637</v>
      </c>
      <c r="K118" s="1482">
        <f t="shared" si="137"/>
        <v>31265.346534653469</v>
      </c>
      <c r="L118" s="1482">
        <f t="shared" si="137"/>
        <v>31155.140186915887</v>
      </c>
      <c r="M118" s="1482">
        <f t="shared" si="137"/>
        <v>31070.446735395188</v>
      </c>
      <c r="N118" s="1482">
        <f t="shared" si="137"/>
        <v>31017.488076311609</v>
      </c>
      <c r="O118" s="1482">
        <f t="shared" si="137"/>
        <v>31099.554234769686</v>
      </c>
      <c r="P118" s="1482">
        <f t="shared" si="137"/>
        <v>30252.510760401721</v>
      </c>
      <c r="Q118" s="1482">
        <f t="shared" si="137"/>
        <v>31696.503496503497</v>
      </c>
      <c r="R118" s="1482">
        <f t="shared" si="137"/>
        <v>32085.561497326205</v>
      </c>
      <c r="S118" s="1482">
        <f t="shared" si="133"/>
        <v>31789.948453608245</v>
      </c>
      <c r="T118" s="1482">
        <f t="shared" si="133"/>
        <v>31637.717121588088</v>
      </c>
      <c r="U118" s="1482">
        <f t="shared" si="133"/>
        <v>31611.316113161134</v>
      </c>
      <c r="V118" s="1482">
        <f t="shared" si="134"/>
        <v>31566.265060240959</v>
      </c>
      <c r="W118" s="1482">
        <f t="shared" si="134"/>
        <v>31221.719457013576</v>
      </c>
      <c r="X118" s="1482">
        <f t="shared" si="134"/>
        <v>30973.451327433628</v>
      </c>
      <c r="Y118" s="1482">
        <f t="shared" si="135"/>
        <v>30973.451327433628</v>
      </c>
      <c r="Z118" s="1482">
        <f t="shared" si="135"/>
        <v>30461.538461538461</v>
      </c>
      <c r="AA118" s="1482">
        <f t="shared" si="135"/>
        <v>30188.67924528302</v>
      </c>
      <c r="AB118" s="1482">
        <f t="shared" si="135"/>
        <v>29951.690821256037</v>
      </c>
      <c r="AC118" s="1482">
        <f t="shared" si="135"/>
        <v>30188.679245283016</v>
      </c>
      <c r="AD118" s="1482">
        <f t="shared" si="135"/>
        <v>30188.67924528302</v>
      </c>
      <c r="AE118" s="1482">
        <f t="shared" si="136"/>
        <v>30188.679245283016</v>
      </c>
      <c r="AF118" s="1482">
        <f t="shared" si="136"/>
        <v>30188.67924528302</v>
      </c>
      <c r="AG118" s="1482">
        <f t="shared" si="136"/>
        <v>30188.679245283016</v>
      </c>
      <c r="AH118" s="1482">
        <f>AH113/AH94*1000000</f>
        <v>29444.504736360675</v>
      </c>
      <c r="AI118" s="1423"/>
      <c r="AJ118" s="1448"/>
      <c r="AK118" s="1423"/>
      <c r="AL118" s="1423"/>
      <c r="AM118" s="1423"/>
      <c r="AN118" s="1423"/>
      <c r="AO118" s="1423"/>
      <c r="AP118" s="1449"/>
      <c r="AQ118" s="1423"/>
      <c r="AR118" s="1423"/>
      <c r="AS118" s="1421"/>
      <c r="AT118" s="1421"/>
      <c r="AU118" s="1421"/>
      <c r="AV118" s="1421"/>
      <c r="AW118" s="1421"/>
      <c r="AX118" s="1421"/>
      <c r="AY118" s="1421"/>
    </row>
    <row r="119" spans="1:51">
      <c r="A119" s="1421"/>
      <c r="B119" s="1421"/>
      <c r="C119" s="1421"/>
      <c r="D119" s="1421"/>
      <c r="E119" s="1421"/>
      <c r="F119" s="1421"/>
      <c r="G119" s="1421"/>
      <c r="H119" s="1421"/>
      <c r="I119" s="1421"/>
      <c r="J119" s="1421"/>
      <c r="K119" s="1421"/>
      <c r="L119" s="1421"/>
      <c r="M119" s="1421"/>
      <c r="N119" s="1421"/>
      <c r="O119" s="1421"/>
      <c r="P119" s="1421"/>
      <c r="Q119" s="1421"/>
      <c r="R119" s="1421"/>
      <c r="S119" s="1421"/>
      <c r="T119" s="1421"/>
      <c r="U119" s="1421"/>
      <c r="V119" s="1421"/>
      <c r="W119" s="1421"/>
      <c r="X119" s="1421"/>
      <c r="Y119" s="1421"/>
      <c r="Z119" s="1421"/>
      <c r="AA119" s="1421"/>
      <c r="AB119" s="1421"/>
      <c r="AC119" s="1421"/>
      <c r="AD119" s="1421"/>
      <c r="AE119" s="1421"/>
      <c r="AF119" s="1421"/>
      <c r="AG119" s="1421"/>
      <c r="AH119" s="1421"/>
      <c r="AI119" s="1423"/>
      <c r="AJ119" s="1448"/>
      <c r="AK119" s="1423"/>
      <c r="AL119" s="1423"/>
      <c r="AM119" s="1423"/>
      <c r="AN119" s="1423"/>
      <c r="AO119" s="1423"/>
      <c r="AP119" s="1449"/>
      <c r="AQ119" s="1423"/>
      <c r="AR119" s="1423"/>
      <c r="AS119" s="1421"/>
      <c r="AT119" s="1421"/>
      <c r="AU119" s="1421"/>
      <c r="AV119" s="1421"/>
      <c r="AW119" s="1421"/>
      <c r="AX119" s="1421"/>
      <c r="AY119" s="1421"/>
    </row>
    <row r="120" spans="1:51">
      <c r="A120" s="1450" t="s">
        <v>148</v>
      </c>
      <c r="B120" s="1451">
        <f t="shared" ref="B120:R120" si="138">+B65/B105</f>
        <v>209.50218907086102</v>
      </c>
      <c r="C120" s="1451">
        <f t="shared" si="138"/>
        <v>208.29471068851828</v>
      </c>
      <c r="D120" s="1451">
        <f t="shared" si="138"/>
        <v>214.38830686042584</v>
      </c>
      <c r="E120" s="1451">
        <f t="shared" si="138"/>
        <v>208.19995448683909</v>
      </c>
      <c r="F120" s="1451">
        <f t="shared" si="138"/>
        <v>201.34615384615384</v>
      </c>
      <c r="G120" s="1451">
        <f t="shared" si="138"/>
        <v>207.51304638948753</v>
      </c>
      <c r="H120" s="1451">
        <f t="shared" si="138"/>
        <v>200.11660337519501</v>
      </c>
      <c r="I120" s="1451">
        <f t="shared" si="138"/>
        <v>218.28899104611492</v>
      </c>
      <c r="J120" s="1451">
        <f t="shared" si="138"/>
        <v>224.88867013547085</v>
      </c>
      <c r="K120" s="1451">
        <f t="shared" si="138"/>
        <v>232.68509047405411</v>
      </c>
      <c r="L120" s="1451">
        <f t="shared" si="138"/>
        <v>233.83636931995795</v>
      </c>
      <c r="M120" s="1451">
        <f t="shared" si="138"/>
        <v>238.07811429722651</v>
      </c>
      <c r="N120" s="1451">
        <f t="shared" si="138"/>
        <v>240.24775533464194</v>
      </c>
      <c r="O120" s="1451">
        <f t="shared" si="138"/>
        <v>238.08819407008087</v>
      </c>
      <c r="P120" s="1451">
        <f t="shared" si="138"/>
        <v>241.82666950117562</v>
      </c>
      <c r="Q120" s="1451">
        <f t="shared" si="138"/>
        <v>242.75850179776415</v>
      </c>
      <c r="R120" s="1451">
        <f t="shared" si="138"/>
        <v>242.47579297076231</v>
      </c>
      <c r="S120" s="1451">
        <f t="shared" ref="S120:X120" si="139">+S65/S105</f>
        <v>242.74602917013203</v>
      </c>
      <c r="T120" s="1451">
        <f t="shared" si="139"/>
        <v>244.08399312891183</v>
      </c>
      <c r="U120" s="1451">
        <f t="shared" si="139"/>
        <v>256.44179710144925</v>
      </c>
      <c r="V120" s="1451">
        <f t="shared" si="139"/>
        <v>266.89695075757578</v>
      </c>
      <c r="W120" s="1451">
        <f t="shared" si="139"/>
        <v>279.91837887067396</v>
      </c>
      <c r="X120" s="1451">
        <f t="shared" si="139"/>
        <v>297.14251528384278</v>
      </c>
      <c r="Y120" s="1451">
        <f t="shared" ref="Y120:AD120" si="140">+Y65/Y105</f>
        <v>301.76732609741259</v>
      </c>
      <c r="Z120" s="1451">
        <f t="shared" si="140"/>
        <v>305.28922419963351</v>
      </c>
      <c r="AA120" s="1451">
        <f t="shared" si="140"/>
        <v>318.91649880095923</v>
      </c>
      <c r="AB120" s="1451">
        <f t="shared" si="140"/>
        <v>332.48879499217526</v>
      </c>
      <c r="AC120" s="1451">
        <f t="shared" si="140"/>
        <v>338.73148078817076</v>
      </c>
      <c r="AD120" s="1451">
        <f t="shared" si="140"/>
        <v>335.50881563374094</v>
      </c>
      <c r="AE120" s="1451">
        <f>+AE65/AE105</f>
        <v>341.90796574808803</v>
      </c>
      <c r="AF120" s="1451">
        <f>+AF65/AF105</f>
        <v>349.82390653496793</v>
      </c>
      <c r="AG120" s="1451">
        <f>+AG65/AG105</f>
        <v>357.93866103172269</v>
      </c>
      <c r="AH120" s="1451">
        <f>+AH65/AH105</f>
        <v>366.56822314312649</v>
      </c>
      <c r="AI120" s="1423"/>
      <c r="AJ120" s="1448"/>
      <c r="AK120" s="1453">
        <f>((X120/S120)^(1/5)-1)*100</f>
        <v>4.1268024466863951</v>
      </c>
      <c r="AL120" s="1454" t="s">
        <v>190</v>
      </c>
      <c r="AM120" s="1453">
        <f>((AC120/X120)^(1/5)-1)*100</f>
        <v>2.6545380700457644</v>
      </c>
      <c r="AN120" s="1454" t="s">
        <v>190</v>
      </c>
      <c r="AO120" s="1455">
        <f>((AH120/AC120)^(1/5)-1)*100</f>
        <v>1.5920796644323554</v>
      </c>
      <c r="AP120" s="1449" t="s">
        <v>190</v>
      </c>
      <c r="AQ120" s="1454"/>
      <c r="AR120" s="1423"/>
      <c r="AS120" s="1421"/>
      <c r="AT120" s="1421"/>
      <c r="AU120" s="1421"/>
      <c r="AV120" s="1421"/>
      <c r="AW120" s="1421"/>
      <c r="AX120" s="1421"/>
      <c r="AY120" s="1421"/>
    </row>
    <row r="121" spans="1:51">
      <c r="A121" s="1450" t="s">
        <v>191</v>
      </c>
      <c r="B121" s="1484"/>
      <c r="C121" s="1484"/>
      <c r="D121" s="1484"/>
      <c r="E121" s="1484"/>
      <c r="F121" s="1484">
        <f t="shared" ref="F121:K121" si="141">F120/E120-1</f>
        <v>-3.2919318630871719E-2</v>
      </c>
      <c r="G121" s="1484">
        <f t="shared" si="141"/>
        <v>3.0628310625917088E-2</v>
      </c>
      <c r="H121" s="1484">
        <f t="shared" si="141"/>
        <v>-3.5643267461892059E-2</v>
      </c>
      <c r="I121" s="1484">
        <f t="shared" si="141"/>
        <v>9.0808995177920515E-2</v>
      </c>
      <c r="J121" s="1484">
        <f t="shared" si="141"/>
        <v>3.0233678105927586E-2</v>
      </c>
      <c r="K121" s="1484">
        <f t="shared" si="141"/>
        <v>3.4667910721721817E-2</v>
      </c>
      <c r="L121" s="1484">
        <f t="shared" ref="L121:AH121" si="142">L120/K120-1</f>
        <v>4.9477980886456496E-3</v>
      </c>
      <c r="M121" s="1484">
        <f t="shared" si="142"/>
        <v>1.8139800021717667E-2</v>
      </c>
      <c r="N121" s="1484">
        <f t="shared" si="142"/>
        <v>9.113147774292063E-3</v>
      </c>
      <c r="O121" s="1484">
        <f t="shared" si="142"/>
        <v>-8.9888925769691097E-3</v>
      </c>
      <c r="P121" s="1484">
        <f t="shared" si="142"/>
        <v>1.5702061354601726E-2</v>
      </c>
      <c r="Q121" s="1484">
        <f t="shared" si="142"/>
        <v>3.8533065790908871E-3</v>
      </c>
      <c r="R121" s="1484">
        <f t="shared" si="142"/>
        <v>-1.1645681815805053E-3</v>
      </c>
      <c r="S121" s="1484">
        <f t="shared" si="142"/>
        <v>1.1144873311221826E-3</v>
      </c>
      <c r="T121" s="1484">
        <f t="shared" si="142"/>
        <v>5.5117851499109083E-3</v>
      </c>
      <c r="U121" s="1484">
        <f t="shared" si="142"/>
        <v>5.0629309255894928E-2</v>
      </c>
      <c r="V121" s="1484">
        <f t="shared" si="142"/>
        <v>4.0770084184016397E-2</v>
      </c>
      <c r="W121" s="1484">
        <f t="shared" si="142"/>
        <v>4.8788223605168213E-2</v>
      </c>
      <c r="X121" s="1484">
        <f t="shared" si="142"/>
        <v>6.1532709937301311E-2</v>
      </c>
      <c r="Y121" s="1484">
        <f t="shared" si="142"/>
        <v>1.5564285067561023E-2</v>
      </c>
      <c r="Z121" s="1484">
        <f t="shared" si="142"/>
        <v>1.167090601811549E-2</v>
      </c>
      <c r="AA121" s="1484">
        <f t="shared" si="142"/>
        <v>4.4637260411178659E-2</v>
      </c>
      <c r="AB121" s="1484">
        <f t="shared" si="142"/>
        <v>4.2557522869604458E-2</v>
      </c>
      <c r="AC121" s="1484">
        <f t="shared" si="142"/>
        <v>1.8775627600149392E-2</v>
      </c>
      <c r="AD121" s="1484">
        <f t="shared" si="142"/>
        <v>-9.5139227890221889E-3</v>
      </c>
      <c r="AE121" s="1484">
        <f t="shared" si="142"/>
        <v>1.9072971606602263E-2</v>
      </c>
      <c r="AF121" s="1484">
        <f t="shared" si="142"/>
        <v>2.3152256103656343E-2</v>
      </c>
      <c r="AG121" s="1484">
        <f t="shared" si="142"/>
        <v>2.319668366045069E-2</v>
      </c>
      <c r="AH121" s="1484">
        <f t="shared" si="142"/>
        <v>2.4109052893392269E-2</v>
      </c>
      <c r="AI121" s="1423"/>
      <c r="AJ121" s="1448"/>
      <c r="AK121" s="1423"/>
      <c r="AL121" s="1423"/>
      <c r="AM121" s="1423"/>
      <c r="AN121" s="1423"/>
      <c r="AO121" s="1423"/>
      <c r="AP121" s="1449"/>
      <c r="AQ121" s="1423"/>
      <c r="AR121" s="1423"/>
      <c r="AS121" s="1421"/>
      <c r="AT121" s="1421"/>
      <c r="AU121" s="1421"/>
      <c r="AV121" s="1421"/>
      <c r="AW121" s="1421"/>
      <c r="AX121" s="1421"/>
      <c r="AY121" s="1421"/>
    </row>
    <row r="122" spans="1:51" hidden="1" outlineLevel="1">
      <c r="A122" s="1511" t="s">
        <v>375</v>
      </c>
      <c r="B122" s="1484"/>
      <c r="C122" s="1484"/>
      <c r="D122" s="1451"/>
      <c r="E122" s="1451">
        <f t="shared" ref="E122:J122" si="143">+E67/E107</f>
        <v>208.19995448683909</v>
      </c>
      <c r="F122" s="1451">
        <f t="shared" si="143"/>
        <v>201.34615384615384</v>
      </c>
      <c r="G122" s="1451">
        <f t="shared" si="143"/>
        <v>192.70604481827883</v>
      </c>
      <c r="H122" s="1451">
        <f t="shared" si="143"/>
        <v>200.87467953551499</v>
      </c>
      <c r="I122" s="1451">
        <f t="shared" si="143"/>
        <v>212.01350100062726</v>
      </c>
      <c r="J122" s="1451">
        <f t="shared" si="143"/>
        <v>218.99713218041191</v>
      </c>
      <c r="K122" s="1484"/>
      <c r="L122" s="1484"/>
      <c r="M122" s="1484"/>
      <c r="N122" s="1484"/>
      <c r="O122" s="1484"/>
      <c r="P122" s="1484"/>
      <c r="Q122" s="1484"/>
      <c r="R122" s="1484"/>
      <c r="S122" s="1484"/>
      <c r="T122" s="1484"/>
      <c r="U122" s="1484"/>
      <c r="V122" s="1484"/>
      <c r="W122" s="1484"/>
      <c r="X122" s="1484"/>
      <c r="Y122" s="1484"/>
      <c r="Z122" s="1484"/>
      <c r="AA122" s="1484"/>
      <c r="AB122" s="1484"/>
      <c r="AC122" s="1484"/>
      <c r="AD122" s="1484"/>
      <c r="AE122" s="1484"/>
      <c r="AF122" s="1484"/>
      <c r="AG122" s="1484"/>
      <c r="AH122" s="1484"/>
      <c r="AI122" s="1423"/>
      <c r="AJ122" s="1448"/>
      <c r="AK122" s="1423"/>
      <c r="AL122" s="1423"/>
      <c r="AM122" s="1423"/>
      <c r="AN122" s="1423"/>
      <c r="AO122" s="1423"/>
      <c r="AP122" s="1449"/>
      <c r="AQ122" s="1423"/>
      <c r="AR122" s="1423"/>
      <c r="AS122" s="1421"/>
      <c r="AT122" s="1421"/>
      <c r="AU122" s="1421"/>
      <c r="AV122" s="1421"/>
      <c r="AW122" s="1421"/>
      <c r="AX122" s="1421"/>
      <c r="AY122" s="1421"/>
    </row>
    <row r="123" spans="1:51" hidden="1" outlineLevel="1">
      <c r="A123" s="1511" t="s">
        <v>370</v>
      </c>
      <c r="B123" s="1484"/>
      <c r="C123" s="1484"/>
      <c r="D123" s="1484"/>
      <c r="E123" s="1484"/>
      <c r="F123" s="1484"/>
      <c r="G123" s="1451"/>
      <c r="H123" s="1451">
        <f>+H68/H108</f>
        <v>199.28731688003174</v>
      </c>
      <c r="I123" s="1451">
        <f>+I68/I108</f>
        <v>225.54573086487983</v>
      </c>
      <c r="J123" s="1451">
        <f>+J68/J108</f>
        <v>231.78811316914306</v>
      </c>
      <c r="K123" s="1484"/>
      <c r="L123" s="1484"/>
      <c r="M123" s="1484"/>
      <c r="N123" s="1484"/>
      <c r="O123" s="1484"/>
      <c r="P123" s="1484"/>
      <c r="Q123" s="1484"/>
      <c r="R123" s="1484"/>
      <c r="S123" s="1484"/>
      <c r="T123" s="1484"/>
      <c r="U123" s="1484"/>
      <c r="V123" s="1484"/>
      <c r="W123" s="1484"/>
      <c r="X123" s="1484"/>
      <c r="Y123" s="1484"/>
      <c r="Z123" s="1484"/>
      <c r="AA123" s="1484"/>
      <c r="AB123" s="1484"/>
      <c r="AC123" s="1484"/>
      <c r="AD123" s="1484"/>
      <c r="AE123" s="1484"/>
      <c r="AF123" s="1484"/>
      <c r="AG123" s="1484"/>
      <c r="AH123" s="1484"/>
      <c r="AI123" s="1423"/>
      <c r="AJ123" s="1448"/>
      <c r="AK123" s="1423"/>
      <c r="AL123" s="1423"/>
      <c r="AM123" s="1423"/>
      <c r="AN123" s="1423"/>
      <c r="AO123" s="1423"/>
      <c r="AP123" s="1449"/>
      <c r="AQ123" s="1423"/>
      <c r="AR123" s="1423"/>
      <c r="AS123" s="1421"/>
      <c r="AT123" s="1421"/>
      <c r="AU123" s="1421"/>
      <c r="AV123" s="1421"/>
      <c r="AW123" s="1421"/>
      <c r="AX123" s="1421"/>
      <c r="AY123" s="1421"/>
    </row>
    <row r="124" spans="1:51" collapsed="1">
      <c r="A124" s="1421"/>
      <c r="B124" s="1421"/>
      <c r="C124" s="1421"/>
      <c r="D124" s="1421"/>
      <c r="E124" s="1421"/>
      <c r="F124" s="1421"/>
      <c r="G124" s="1421"/>
      <c r="H124" s="1421"/>
      <c r="I124" s="1421"/>
      <c r="J124" s="1421"/>
      <c r="K124" s="1421"/>
      <c r="L124" s="1421"/>
      <c r="M124" s="1421"/>
      <c r="N124" s="1421"/>
      <c r="O124" s="1421"/>
      <c r="P124" s="1421"/>
      <c r="Q124" s="1421"/>
      <c r="R124" s="1421"/>
      <c r="S124" s="1421"/>
      <c r="T124" s="1421"/>
      <c r="U124" s="1421"/>
      <c r="V124" s="1421"/>
      <c r="W124" s="1421"/>
      <c r="X124" s="1421"/>
      <c r="Y124" s="1421"/>
      <c r="Z124" s="1421"/>
      <c r="AA124" s="1421"/>
      <c r="AB124" s="1484"/>
      <c r="AC124" s="1421"/>
      <c r="AD124" s="1421"/>
      <c r="AE124" s="1421"/>
      <c r="AF124" s="1421"/>
      <c r="AG124" s="1421"/>
      <c r="AH124" s="1421"/>
      <c r="AI124" s="1423"/>
      <c r="AJ124" s="1448"/>
      <c r="AK124" s="1423"/>
      <c r="AL124" s="1423"/>
      <c r="AM124" s="1423"/>
      <c r="AN124" s="1423"/>
      <c r="AO124" s="1423"/>
      <c r="AP124" s="1449"/>
      <c r="AQ124" s="1423"/>
      <c r="AR124" s="1423"/>
      <c r="AS124" s="1421"/>
      <c r="AT124" s="1421"/>
      <c r="AU124" s="1421"/>
      <c r="AV124" s="1421"/>
      <c r="AW124" s="1421"/>
      <c r="AX124" s="1421"/>
      <c r="AY124" s="1421"/>
    </row>
    <row r="125" spans="1:51">
      <c r="A125" s="1450" t="s">
        <v>506</v>
      </c>
      <c r="B125" s="1525">
        <f>'SegP&amp;L'!$F$15/100</f>
        <v>5.5E-2</v>
      </c>
      <c r="C125" s="1525">
        <f>'SegP&amp;L'!$F$22/100</f>
        <v>2.3E-2</v>
      </c>
      <c r="D125" s="1525">
        <f>'SegP&amp;L'!$F$29/100</f>
        <v>0.05</v>
      </c>
      <c r="E125" s="1525">
        <f>'SegP&amp;L'!$F$36/100</f>
        <v>0.02</v>
      </c>
      <c r="F125" s="1525">
        <f>'SegP&amp;L'!$F$43/100</f>
        <v>0</v>
      </c>
      <c r="G125" s="1525">
        <f>'SegP&amp;L'!$F$50/100</f>
        <v>-0.02</v>
      </c>
      <c r="H125" s="1525">
        <f>'SegP&amp;L'!$F$57/100</f>
        <v>7.0000000000000007E-2</v>
      </c>
      <c r="I125" s="1525">
        <f>'SegP&amp;L'!$F$64/100</f>
        <v>0.06</v>
      </c>
      <c r="J125" s="1525">
        <f>'SegP&amp;L'!$F$71/100</f>
        <v>0.05</v>
      </c>
      <c r="K125" s="1525">
        <f>'SegP&amp;L'!$F$78/100</f>
        <v>0.04</v>
      </c>
      <c r="L125" s="1525">
        <f>'SegP&amp;L'!$F$85/100</f>
        <v>0.02</v>
      </c>
      <c r="M125" s="1525">
        <f>'SegP&amp;L'!$F$92/100</f>
        <v>0.03</v>
      </c>
      <c r="N125" s="1525">
        <f>'SegP&amp;L'!$F$99/100</f>
        <v>0.02</v>
      </c>
      <c r="O125" s="1525">
        <f>'SegP&amp;L'!$F$106/100</f>
        <v>-0.01</v>
      </c>
      <c r="P125" s="1525">
        <f>'SegP&amp;L'!$F$113/100</f>
        <v>0.04</v>
      </c>
      <c r="Q125" s="1525">
        <f>+SegqtrSales!F85/100</f>
        <v>2.3070545857052264E-2</v>
      </c>
      <c r="R125" s="1484">
        <f>SegqtrSales!$F$92/100</f>
        <v>0.02</v>
      </c>
      <c r="S125" s="1484">
        <f>SegqtrSales!$F$99/100</f>
        <v>0.01</v>
      </c>
      <c r="T125" s="1484">
        <f>SegqtrSales!F106*0.01</f>
        <v>0</v>
      </c>
      <c r="U125" s="1484">
        <f>SegqtrSales!$F$113/100</f>
        <v>7.0000000000000007E-2</v>
      </c>
      <c r="V125" s="1484">
        <f>SegqtrSales!$F$120*0.01</f>
        <v>0.04</v>
      </c>
      <c r="W125" s="1484">
        <f>SegqtrSales!$F$127*0.01</f>
        <v>0.05</v>
      </c>
      <c r="X125" s="1484">
        <f>SegqtrSales!$F$134*0.01</f>
        <v>0.06</v>
      </c>
      <c r="Y125" s="1484">
        <f>'SegP&amp;L'!$F$176*0.01</f>
        <v>0.03</v>
      </c>
      <c r="Z125" s="1484">
        <f>'SegP&amp;L'!$F$183*0.01</f>
        <v>0.01</v>
      </c>
      <c r="AA125" s="1484">
        <f>'SegP&amp;L'!$F$190*0.01</f>
        <v>0.04</v>
      </c>
      <c r="AB125" s="1484">
        <f>'SegP&amp;L'!$F$197*0.01</f>
        <v>0.05</v>
      </c>
      <c r="AC125" s="1484">
        <f>'SegP&amp;L'!F204/100</f>
        <v>0.01</v>
      </c>
      <c r="AD125" s="1484">
        <f>'SegP&amp;L'!F211/100</f>
        <v>1.9999999999999997E-2</v>
      </c>
      <c r="AE125" s="1489">
        <v>2.5000000000000001E-2</v>
      </c>
      <c r="AF125" s="1489">
        <v>2.5000000000000001E-2</v>
      </c>
      <c r="AG125" s="1489">
        <v>2.5000000000000001E-2</v>
      </c>
      <c r="AH125" s="1489">
        <v>2.5000000000000001E-2</v>
      </c>
      <c r="AI125" s="1490"/>
      <c r="AJ125" s="1491"/>
      <c r="AK125" s="1423"/>
      <c r="AL125" s="1423"/>
      <c r="AM125" s="1423"/>
      <c r="AN125" s="1423"/>
      <c r="AO125" s="1423"/>
      <c r="AP125" s="1449"/>
      <c r="AQ125" s="1423"/>
      <c r="AR125" s="1423"/>
      <c r="AS125" s="1421"/>
      <c r="AT125" s="1421"/>
      <c r="AU125" s="1421"/>
      <c r="AV125" s="1421"/>
      <c r="AW125" s="1421"/>
      <c r="AX125" s="1421"/>
      <c r="AY125" s="1421"/>
    </row>
    <row r="126" spans="1:51">
      <c r="A126" s="1450" t="s">
        <v>365</v>
      </c>
      <c r="B126" s="1525"/>
      <c r="C126" s="1525">
        <f t="shared" ref="C126:Y126" si="144">+C66-C125</f>
        <v>0.10171620227038183</v>
      </c>
      <c r="D126" s="1525">
        <f t="shared" si="144"/>
        <v>0.11415102995825115</v>
      </c>
      <c r="E126" s="1525">
        <f t="shared" si="144"/>
        <v>6.165517241379305E-2</v>
      </c>
      <c r="F126" s="1525">
        <f t="shared" si="144"/>
        <v>6.8094873756694652E-2</v>
      </c>
      <c r="G126" s="1525" t="s">
        <v>181</v>
      </c>
      <c r="H126" s="1525" t="s">
        <v>181</v>
      </c>
      <c r="I126" s="1525">
        <f t="shared" si="144"/>
        <v>1.3070866141732085E-2</v>
      </c>
      <c r="J126" s="1525">
        <f t="shared" si="144"/>
        <v>6.1087466979748289E-3</v>
      </c>
      <c r="K126" s="1525">
        <f t="shared" si="144"/>
        <v>4.108319176802059E-2</v>
      </c>
      <c r="L126" s="1525">
        <f t="shared" si="144"/>
        <v>3.7667356570699764E-2</v>
      </c>
      <c r="M126" s="1525">
        <f t="shared" si="144"/>
        <v>4.7120674225141129E-2</v>
      </c>
      <c r="N126" s="1525">
        <f t="shared" si="144"/>
        <v>5.0238663810314513E-2</v>
      </c>
      <c r="O126" s="1525">
        <f t="shared" si="144"/>
        <v>5.761162783685813E-2</v>
      </c>
      <c r="P126" s="1525">
        <f t="shared" si="144"/>
        <v>1.5576185096696261E-2</v>
      </c>
      <c r="Q126" s="1525">
        <f t="shared" si="144"/>
        <v>2.1479812130256511E-2</v>
      </c>
      <c r="R126" s="1525">
        <f t="shared" si="144"/>
        <v>3.2478609607122136E-2</v>
      </c>
      <c r="S126" s="1525">
        <f t="shared" si="144"/>
        <v>2.7710207049472364E-2</v>
      </c>
      <c r="T126" s="1525">
        <f t="shared" si="144"/>
        <v>3.3047759143305822E-2</v>
      </c>
      <c r="U126" s="1525">
        <f t="shared" si="144"/>
        <v>3.5101142020761977E-3</v>
      </c>
      <c r="V126" s="1525">
        <f t="shared" si="144"/>
        <v>2.1887158355865778E-2</v>
      </c>
      <c r="W126" s="1525">
        <f t="shared" si="144"/>
        <v>4.0501391589464794E-2</v>
      </c>
      <c r="X126" s="1525">
        <f t="shared" si="144"/>
        <v>4.6971723932796083E-2</v>
      </c>
      <c r="Y126" s="1525">
        <f t="shared" si="144"/>
        <v>2.3973600893376884E-2</v>
      </c>
      <c r="Z126" s="1525">
        <f>+Z66-Z125</f>
        <v>3.2319740299491702E-2</v>
      </c>
      <c r="AA126" s="1525">
        <f>+AA66-AA125</f>
        <v>2.7415043734998291E-2</v>
      </c>
      <c r="AB126" s="1525">
        <f>+AB66-AB125</f>
        <v>1.5058764370387487E-2</v>
      </c>
      <c r="AC126" s="1525">
        <f>+AC66-AC125</f>
        <v>3.7212152630462743E-2</v>
      </c>
      <c r="AD126" s="1525">
        <f>+AD66-AD125</f>
        <v>2.7386025640135023E-3</v>
      </c>
      <c r="AE126" s="1525">
        <f>AE106*AE130</f>
        <v>2.1644033401038956E-2</v>
      </c>
      <c r="AF126" s="1525">
        <f>AF106*AF130</f>
        <v>2.3995933892170539E-2</v>
      </c>
      <c r="AG126" s="1525">
        <f>AG106*AG130</f>
        <v>2.3404756020352913E-2</v>
      </c>
      <c r="AH126" s="1525">
        <f>AH106*AH130</f>
        <v>1.1421003483812087E-2</v>
      </c>
      <c r="AI126" s="1490"/>
      <c r="AJ126" s="1491"/>
      <c r="AK126" s="1423"/>
      <c r="AL126" s="1423"/>
      <c r="AM126" s="1423"/>
      <c r="AN126" s="1423"/>
      <c r="AO126" s="1423"/>
      <c r="AP126" s="1449"/>
      <c r="AQ126" s="1423"/>
      <c r="AR126" s="1423"/>
      <c r="AS126" s="1421"/>
      <c r="AT126" s="1421"/>
      <c r="AU126" s="1421"/>
      <c r="AV126" s="1421"/>
      <c r="AW126" s="1421"/>
      <c r="AX126" s="1421"/>
      <c r="AY126" s="1421"/>
    </row>
    <row r="127" spans="1:51">
      <c r="A127" s="1421"/>
      <c r="B127" s="1421"/>
      <c r="C127" s="1421"/>
      <c r="D127" s="1421"/>
      <c r="E127" s="1421"/>
      <c r="F127" s="1421"/>
      <c r="G127" s="1421"/>
      <c r="H127" s="1421"/>
      <c r="I127" s="1421"/>
      <c r="J127" s="1421"/>
      <c r="K127" s="1421"/>
      <c r="L127" s="1421"/>
      <c r="M127" s="1421"/>
      <c r="N127" s="1421"/>
      <c r="O127" s="1421"/>
      <c r="P127" s="1421"/>
      <c r="Q127" s="1421"/>
      <c r="R127" s="1421"/>
      <c r="S127" s="1421"/>
      <c r="T127" s="1421"/>
      <c r="U127" s="1421"/>
      <c r="V127" s="1421"/>
      <c r="W127" s="1421"/>
      <c r="X127" s="1421"/>
      <c r="Y127" s="1421"/>
      <c r="Z127" s="1421"/>
      <c r="AA127" s="1421"/>
      <c r="AB127" s="1421"/>
      <c r="AC127" s="1421"/>
      <c r="AD127" s="1421"/>
      <c r="AE127" s="1421"/>
      <c r="AF127" s="1421"/>
      <c r="AG127" s="1421"/>
      <c r="AH127" s="1421"/>
      <c r="AI127" s="1423"/>
      <c r="AJ127" s="1448"/>
      <c r="AK127" s="1423"/>
      <c r="AL127" s="1423"/>
      <c r="AM127" s="1423"/>
      <c r="AN127" s="1423"/>
      <c r="AO127" s="1423"/>
      <c r="AP127" s="1449"/>
      <c r="AQ127" s="1423"/>
      <c r="AR127" s="1423"/>
      <c r="AS127" s="1421"/>
      <c r="AT127" s="1421"/>
      <c r="AU127" s="1421"/>
      <c r="AV127" s="1421"/>
      <c r="AW127" s="1421"/>
      <c r="AX127" s="1421"/>
      <c r="AY127" s="1421"/>
    </row>
    <row r="128" spans="1:51">
      <c r="A128" s="1450" t="s">
        <v>149</v>
      </c>
      <c r="B128" s="1482"/>
      <c r="C128" s="1482"/>
      <c r="D128" s="1482"/>
      <c r="E128" s="1482">
        <f t="shared" ref="E128:K128" si="145">+(E110-D110)*1000000/(E92-E76)</f>
        <v>37818.181818181853</v>
      </c>
      <c r="F128" s="1482">
        <f t="shared" si="145"/>
        <v>38615.384615384624</v>
      </c>
      <c r="G128" s="1482">
        <f t="shared" si="145"/>
        <v>32257.518796992481</v>
      </c>
      <c r="H128" s="1482">
        <f t="shared" si="145"/>
        <v>29117.64705882359</v>
      </c>
      <c r="I128" s="1482">
        <f t="shared" si="145"/>
        <v>50333.33333333327</v>
      </c>
      <c r="J128" s="1482">
        <f t="shared" si="145"/>
        <v>29342.105263157951</v>
      </c>
      <c r="K128" s="1482">
        <f t="shared" si="145"/>
        <v>30275.862068965522</v>
      </c>
      <c r="L128" s="1482">
        <f t="shared" ref="L128:AH128" si="146">+(L110-K110)*1000000/(L92-L76)</f>
        <v>29694.91525423721</v>
      </c>
      <c r="M128" s="1482">
        <f t="shared" si="146"/>
        <v>31849.31506849319</v>
      </c>
      <c r="N128" s="1482">
        <f t="shared" si="146"/>
        <v>29931.506849315101</v>
      </c>
      <c r="O128" s="1482">
        <f>+(O110-N110)*1000000/(O92-O76)</f>
        <v>30592.105263157839</v>
      </c>
      <c r="P128" s="1482">
        <f t="shared" si="146"/>
        <v>19040.725100671098</v>
      </c>
      <c r="Q128" s="1482">
        <f>+(Q110-P110)*1000000/(Q92-Q76)</f>
        <v>55760.081412314095</v>
      </c>
      <c r="R128" s="1482">
        <f t="shared" si="146"/>
        <v>41509.090909090934</v>
      </c>
      <c r="S128" s="1482">
        <f t="shared" si="146"/>
        <v>22111.111111111157</v>
      </c>
      <c r="T128" s="1482">
        <f t="shared" si="146"/>
        <v>26421.052631578827</v>
      </c>
      <c r="U128" s="1482">
        <f t="shared" si="146"/>
        <v>30434.782608695466</v>
      </c>
      <c r="V128" s="1482">
        <f t="shared" si="146"/>
        <v>28000.000000000113</v>
      </c>
      <c r="W128" s="1482">
        <f t="shared" si="146"/>
        <v>24561.403508771906</v>
      </c>
      <c r="X128" s="1482">
        <f t="shared" si="146"/>
        <v>26027.39726027405</v>
      </c>
      <c r="Y128" s="1482">
        <f t="shared" si="146"/>
        <v>30005.753752066397</v>
      </c>
      <c r="Z128" s="1482">
        <f t="shared" si="146"/>
        <v>16021.01296003584</v>
      </c>
      <c r="AA128" s="1482">
        <f t="shared" si="146"/>
        <v>21739.130434782608</v>
      </c>
      <c r="AB128" s="1482">
        <f t="shared" si="146"/>
        <v>20689.655172413841</v>
      </c>
      <c r="AC128" s="1482">
        <f t="shared" si="146"/>
        <v>36987.676070705522</v>
      </c>
      <c r="AD128" s="1482">
        <f t="shared" si="146"/>
        <v>29390.923107055536</v>
      </c>
      <c r="AE128" s="1482">
        <f t="shared" si="146"/>
        <v>29324.443428870003</v>
      </c>
      <c r="AF128" s="1482">
        <f t="shared" si="146"/>
        <v>29324.443428870003</v>
      </c>
      <c r="AG128" s="1482">
        <f t="shared" si="146"/>
        <v>29324.443428870003</v>
      </c>
      <c r="AH128" s="1482">
        <f t="shared" si="146"/>
        <v>0</v>
      </c>
      <c r="AI128" s="1478"/>
      <c r="AJ128" s="1479"/>
      <c r="AK128" s="1478"/>
      <c r="AL128" s="1478"/>
      <c r="AM128" s="1423"/>
      <c r="AN128" s="1478"/>
      <c r="AO128" s="1423"/>
      <c r="AP128" s="1449"/>
      <c r="AQ128" s="1423"/>
      <c r="AR128" s="1423"/>
      <c r="AS128" s="1421"/>
      <c r="AT128" s="1421"/>
      <c r="AU128" s="1421"/>
      <c r="AV128" s="1421"/>
      <c r="AW128" s="1421"/>
      <c r="AX128" s="1421"/>
      <c r="AY128" s="1421"/>
    </row>
    <row r="129" spans="1:51">
      <c r="A129" s="1421"/>
      <c r="B129" s="1421"/>
      <c r="C129" s="1421"/>
      <c r="D129" s="1421"/>
      <c r="E129" s="1421"/>
      <c r="F129" s="1421"/>
      <c r="G129" s="1421"/>
      <c r="H129" s="1421"/>
      <c r="I129" s="1421"/>
      <c r="J129" s="1421"/>
      <c r="K129" s="1421"/>
      <c r="L129" s="1526"/>
      <c r="M129" s="1421"/>
      <c r="N129" s="1421"/>
      <c r="O129" s="1421"/>
      <c r="P129" s="1421" t="s">
        <v>616</v>
      </c>
      <c r="Q129" s="1421"/>
      <c r="R129" s="1421"/>
      <c r="S129" s="1421"/>
      <c r="T129" s="1421"/>
      <c r="U129" s="1421"/>
      <c r="V129" s="1421"/>
      <c r="W129" s="1421"/>
      <c r="X129" s="1421"/>
      <c r="Y129" s="1421"/>
      <c r="Z129" s="1421"/>
      <c r="AA129" s="1421"/>
      <c r="AB129" s="1421"/>
      <c r="AC129" s="1421"/>
      <c r="AD129" s="1421"/>
      <c r="AE129" s="1421"/>
      <c r="AF129" s="1421"/>
      <c r="AG129" s="1421"/>
      <c r="AH129" s="1421"/>
      <c r="AI129" s="1423"/>
      <c r="AJ129" s="1448"/>
      <c r="AK129" s="1423"/>
      <c r="AL129" s="1423"/>
      <c r="AM129" s="1423"/>
      <c r="AN129" s="1423"/>
      <c r="AO129" s="1423"/>
      <c r="AP129" s="1449"/>
      <c r="AQ129" s="1423"/>
      <c r="AR129" s="1423"/>
      <c r="AS129" s="1421"/>
      <c r="AT129" s="1421"/>
      <c r="AU129" s="1421"/>
      <c r="AV129" s="1421"/>
      <c r="AW129" s="1421"/>
      <c r="AX129" s="1421"/>
      <c r="AY129" s="1421"/>
    </row>
    <row r="130" spans="1:51">
      <c r="A130" s="1450" t="s">
        <v>507</v>
      </c>
      <c r="B130" s="1445"/>
      <c r="C130" s="1481">
        <f t="shared" ref="C130:Y130" si="147">C126/C106</f>
        <v>0.77506237982056547</v>
      </c>
      <c r="D130" s="1481">
        <f t="shared" si="147"/>
        <v>0.87096861319586005</v>
      </c>
      <c r="E130" s="1481">
        <f t="shared" si="147"/>
        <v>0.54175992627294223</v>
      </c>
      <c r="F130" s="1481">
        <f t="shared" si="147"/>
        <v>0.65192063960385227</v>
      </c>
      <c r="G130" s="1525" t="s">
        <v>181</v>
      </c>
      <c r="H130" s="1525" t="s">
        <v>181</v>
      </c>
      <c r="I130" s="1481">
        <f t="shared" si="147"/>
        <v>-0.8037949398766796</v>
      </c>
      <c r="J130" s="1481">
        <f t="shared" si="147"/>
        <v>0.24322395733499155</v>
      </c>
      <c r="K130" s="1481">
        <f t="shared" si="147"/>
        <v>0.91580745035233302</v>
      </c>
      <c r="L130" s="1481">
        <f t="shared" si="147"/>
        <v>0.71802056268035719</v>
      </c>
      <c r="M130" s="1481">
        <f t="shared" si="147"/>
        <v>0.81340662512067263</v>
      </c>
      <c r="N130" s="1481">
        <f t="shared" si="147"/>
        <v>0.82938352860243225</v>
      </c>
      <c r="O130" s="1481">
        <f t="shared" si="147"/>
        <v>1.0087144550194032</v>
      </c>
      <c r="P130" s="1481">
        <f t="shared" si="147"/>
        <v>0.39676767351888997</v>
      </c>
      <c r="Q130" s="1481">
        <f t="shared" si="147"/>
        <v>0.52983151568817721</v>
      </c>
      <c r="R130" s="1481">
        <f t="shared" si="147"/>
        <v>0.60475138478138057</v>
      </c>
      <c r="S130" s="1481">
        <f t="shared" si="147"/>
        <v>0.75804192232518475</v>
      </c>
      <c r="T130" s="1481">
        <f t="shared" si="147"/>
        <v>1.2067817648055872</v>
      </c>
      <c r="U130" s="1481">
        <f t="shared" si="147"/>
        <v>0.16117566091799962</v>
      </c>
      <c r="V130" s="1481">
        <f t="shared" si="147"/>
        <v>1.0787242332533871</v>
      </c>
      <c r="W130" s="1481">
        <f t="shared" si="147"/>
        <v>1.0183207028208285</v>
      </c>
      <c r="X130" s="1481">
        <f t="shared" si="147"/>
        <v>1.0973394229406384</v>
      </c>
      <c r="Y130" s="1481">
        <f t="shared" si="147"/>
        <v>0.63387572333202546</v>
      </c>
      <c r="Z130" s="1481">
        <f>Z126/Z106</f>
        <v>1.066824945147276</v>
      </c>
      <c r="AA130" s="1481">
        <f>AA126/AA106</f>
        <v>1.2573118188999715</v>
      </c>
      <c r="AB130" s="1481">
        <f>AB126/AB106</f>
        <v>0.69772274916128407</v>
      </c>
      <c r="AC130" s="1481">
        <f>AC126/AC106</f>
        <v>1.3331739412617898</v>
      </c>
      <c r="AD130" s="2075">
        <f>AD126/AD106</f>
        <v>8.4103420770254206E-2</v>
      </c>
      <c r="AE130" s="1527">
        <v>0.8</v>
      </c>
      <c r="AF130" s="1527">
        <v>0.95</v>
      </c>
      <c r="AG130" s="1527">
        <v>0.95</v>
      </c>
      <c r="AH130" s="1527">
        <v>0.95</v>
      </c>
      <c r="AI130" s="1423"/>
      <c r="AJ130" s="1493"/>
      <c r="AK130" s="1425"/>
      <c r="AL130" s="1425"/>
      <c r="AM130" s="1425"/>
      <c r="AN130" s="1425"/>
      <c r="AO130" s="1425"/>
      <c r="AP130" s="1494"/>
      <c r="AQ130" s="1423"/>
      <c r="AR130" s="1423"/>
      <c r="AS130" s="1421"/>
      <c r="AT130" s="1421"/>
      <c r="AU130" s="1421"/>
      <c r="AV130" s="1421"/>
      <c r="AW130" s="1421"/>
      <c r="AX130" s="1421"/>
      <c r="AY130" s="1421"/>
    </row>
    <row r="131" spans="1:51">
      <c r="A131" s="1421"/>
      <c r="B131" s="1421"/>
      <c r="C131" s="1421"/>
      <c r="D131" s="1421"/>
      <c r="E131" s="1421"/>
      <c r="F131" s="1421"/>
      <c r="G131" s="1421"/>
      <c r="H131" s="1421"/>
      <c r="I131" s="1421"/>
      <c r="J131" s="1421"/>
      <c r="K131" s="1421"/>
      <c r="L131" s="1422"/>
      <c r="M131" s="1421"/>
      <c r="N131" s="1421"/>
      <c r="O131" s="1421"/>
      <c r="P131" s="1421"/>
      <c r="Q131" s="1421"/>
      <c r="R131" s="1421"/>
      <c r="S131" s="1421"/>
      <c r="T131" s="1421"/>
      <c r="U131" s="1421"/>
      <c r="V131" s="1421"/>
      <c r="W131" s="1421"/>
      <c r="X131" s="1421"/>
      <c r="Y131" s="1421"/>
      <c r="Z131" s="1421"/>
      <c r="AA131" s="1421"/>
      <c r="AB131" s="1421"/>
      <c r="AC131" s="1421"/>
      <c r="AD131" s="1421"/>
      <c r="AE131" s="1421"/>
      <c r="AF131" s="1421"/>
      <c r="AG131" s="1421"/>
      <c r="AH131" s="1421"/>
      <c r="AI131" s="1423"/>
      <c r="AJ131" s="1423"/>
      <c r="AK131" s="1423"/>
      <c r="AL131" s="1423"/>
      <c r="AM131" s="1423"/>
      <c r="AN131" s="1423"/>
      <c r="AO131" s="1423"/>
      <c r="AP131" s="1423"/>
      <c r="AQ131" s="1423"/>
      <c r="AR131" s="1423"/>
      <c r="AS131" s="1421"/>
      <c r="AT131" s="1421"/>
      <c r="AU131" s="1421"/>
      <c r="AV131" s="1421"/>
      <c r="AW131" s="1421"/>
      <c r="AX131" s="1421"/>
      <c r="AY131" s="1421"/>
    </row>
    <row r="132" spans="1:51">
      <c r="A132" s="467"/>
      <c r="B132" s="467"/>
      <c r="C132" s="467"/>
      <c r="D132" s="467"/>
      <c r="E132" s="467"/>
      <c r="F132" s="467"/>
      <c r="G132" s="467"/>
      <c r="H132" s="467"/>
      <c r="I132" s="467"/>
      <c r="J132" s="467"/>
      <c r="K132" s="467"/>
      <c r="L132" s="467"/>
      <c r="M132" s="552"/>
      <c r="N132" s="552"/>
      <c r="O132" s="552"/>
      <c r="P132" s="552"/>
      <c r="Q132" s="552"/>
      <c r="R132" s="552"/>
      <c r="S132" s="552"/>
      <c r="T132" s="552"/>
      <c r="U132" s="552"/>
      <c r="V132" s="552"/>
      <c r="W132" s="552"/>
      <c r="X132" s="552"/>
      <c r="Y132" s="552"/>
      <c r="Z132" s="552"/>
      <c r="AA132" s="552"/>
      <c r="AB132" s="552"/>
      <c r="AC132" s="552"/>
      <c r="AD132" s="552"/>
      <c r="AE132" s="552"/>
      <c r="AF132" s="552"/>
      <c r="AG132" s="552"/>
      <c r="AH132" s="552"/>
      <c r="AI132" s="1499"/>
      <c r="AJ132" s="467"/>
      <c r="AK132" s="467"/>
      <c r="AL132" s="467"/>
      <c r="AM132" s="1499"/>
      <c r="AN132" s="467"/>
      <c r="AO132" s="1499"/>
      <c r="AP132" s="1499"/>
      <c r="AQ132" s="1499"/>
      <c r="AR132" s="1499"/>
      <c r="AS132" s="467"/>
      <c r="AT132" s="467"/>
      <c r="AU132" s="467"/>
      <c r="AV132" s="467"/>
      <c r="AW132" s="467"/>
      <c r="AX132" s="467"/>
      <c r="AY132" s="467"/>
    </row>
    <row r="133" spans="1:51">
      <c r="A133" s="1503" t="s">
        <v>551</v>
      </c>
      <c r="B133" s="1421"/>
      <c r="C133" s="1421"/>
      <c r="D133" s="1421"/>
      <c r="E133" s="1421"/>
      <c r="F133" s="1421"/>
      <c r="G133" s="1421"/>
      <c r="H133" s="1421"/>
      <c r="I133" s="1421"/>
      <c r="J133" s="1421"/>
      <c r="K133" s="1421"/>
      <c r="L133" s="1421"/>
      <c r="M133" s="1421"/>
      <c r="N133" s="1421"/>
      <c r="O133" s="1421"/>
      <c r="P133" s="1421"/>
      <c r="Q133" s="1421"/>
      <c r="R133" s="1421"/>
      <c r="S133" s="1421"/>
      <c r="T133" s="1421"/>
      <c r="U133" s="1421"/>
      <c r="V133" s="1421"/>
      <c r="W133" s="1421"/>
      <c r="X133" s="1421"/>
      <c r="Y133" s="1421"/>
      <c r="Z133" s="1421"/>
      <c r="AA133" s="1421"/>
      <c r="AB133" s="1421"/>
      <c r="AC133" s="1421"/>
      <c r="AD133" s="1421"/>
      <c r="AE133" s="1421"/>
      <c r="AF133" s="1421"/>
      <c r="AG133" s="1421"/>
      <c r="AH133" s="1421"/>
      <c r="AI133" s="1423"/>
      <c r="AJ133" s="1421"/>
      <c r="AK133" s="1421"/>
      <c r="AL133" s="1421"/>
      <c r="AM133" s="1423"/>
      <c r="AN133" s="1421"/>
      <c r="AO133" s="1423"/>
      <c r="AP133" s="1423"/>
      <c r="AQ133" s="1423"/>
      <c r="AR133" s="1423"/>
      <c r="AS133" s="1421"/>
      <c r="AT133" s="1421"/>
      <c r="AU133" s="1421"/>
      <c r="AV133" s="1421"/>
      <c r="AW133" s="1421"/>
      <c r="AX133" s="1421"/>
      <c r="AY133" s="1421"/>
    </row>
    <row r="134" spans="1:51">
      <c r="A134" s="1504" t="str">
        <f>+A61</f>
        <v>Annual Sales Model, Fiscal 2002A-2022E</v>
      </c>
      <c r="B134" s="1425"/>
      <c r="C134" s="1425"/>
      <c r="D134" s="1425"/>
      <c r="E134" s="1425"/>
      <c r="F134" s="1425"/>
      <c r="G134" s="1425"/>
      <c r="H134" s="1425"/>
      <c r="I134" s="1425"/>
      <c r="J134" s="1425"/>
      <c r="K134" s="1425"/>
      <c r="L134" s="1425"/>
      <c r="M134" s="1425"/>
      <c r="N134" s="1425"/>
      <c r="O134" s="1425"/>
      <c r="P134" s="1425"/>
      <c r="Q134" s="1425"/>
      <c r="R134" s="1425"/>
      <c r="S134" s="1425"/>
      <c r="T134" s="1425"/>
      <c r="U134" s="1425"/>
      <c r="V134" s="1425"/>
      <c r="W134" s="1425"/>
      <c r="X134" s="1425"/>
      <c r="Y134" s="1425"/>
      <c r="Z134" s="1425"/>
      <c r="AA134" s="1425"/>
      <c r="AB134" s="1425"/>
      <c r="AC134" s="1425"/>
      <c r="AD134" s="1425"/>
      <c r="AE134" s="1425"/>
      <c r="AF134" s="1425"/>
      <c r="AG134" s="1425"/>
      <c r="AH134" s="1425"/>
      <c r="AI134" s="1423"/>
      <c r="AJ134" s="1425"/>
      <c r="AK134" s="1425"/>
      <c r="AL134" s="1425"/>
      <c r="AM134" s="1425"/>
      <c r="AN134" s="1425"/>
      <c r="AO134" s="1425"/>
      <c r="AP134" s="1425"/>
      <c r="AQ134" s="1423"/>
      <c r="AR134" s="1423"/>
      <c r="AS134" s="1421"/>
      <c r="AT134" s="1421"/>
      <c r="AU134" s="1421"/>
      <c r="AV134" s="1421"/>
      <c r="AW134" s="1421"/>
      <c r="AX134" s="1421"/>
      <c r="AY134" s="1421"/>
    </row>
    <row r="135" spans="1:51">
      <c r="A135" s="1427"/>
      <c r="B135" s="1421"/>
      <c r="C135" s="1421"/>
      <c r="D135" s="1421"/>
      <c r="E135" s="1421"/>
      <c r="F135" s="1421"/>
      <c r="G135" s="1421"/>
      <c r="H135" s="1421"/>
      <c r="I135" s="1421"/>
      <c r="J135" s="1421"/>
      <c r="K135" s="1421"/>
      <c r="L135" s="1421"/>
      <c r="M135" s="1421"/>
      <c r="N135" s="1421"/>
      <c r="O135" s="1421"/>
      <c r="P135" s="1421"/>
      <c r="Q135" s="1421"/>
      <c r="R135" s="1421"/>
      <c r="S135" s="1421"/>
      <c r="T135" s="1421"/>
      <c r="U135" s="1421"/>
      <c r="V135" s="1421"/>
      <c r="W135" s="1421"/>
      <c r="X135" s="1421"/>
      <c r="Y135" s="1421"/>
      <c r="Z135" s="1421"/>
      <c r="AA135" s="1421"/>
      <c r="AB135" s="1421"/>
      <c r="AC135" s="1421"/>
      <c r="AD135" s="1421"/>
      <c r="AE135" s="1421"/>
      <c r="AF135" s="1421"/>
      <c r="AG135" s="1421"/>
      <c r="AH135" s="1421"/>
      <c r="AI135" s="1423"/>
      <c r="AJ135" s="1505"/>
      <c r="AK135" s="1506"/>
      <c r="AL135" s="1441" t="s">
        <v>188</v>
      </c>
      <c r="AM135" s="1423"/>
      <c r="AN135" s="1441" t="s">
        <v>188</v>
      </c>
      <c r="AO135" s="1423"/>
      <c r="AP135" s="1449"/>
      <c r="AQ135" s="1423"/>
      <c r="AR135" s="1423"/>
      <c r="AS135" s="1421"/>
      <c r="AT135" s="1421"/>
      <c r="AU135" s="1421"/>
      <c r="AV135" s="1421"/>
      <c r="AW135" s="1421"/>
      <c r="AX135" s="1421"/>
      <c r="AY135" s="1421"/>
    </row>
    <row r="136" spans="1:51">
      <c r="A136" s="1434"/>
      <c r="B136" s="1435">
        <f t="shared" ref="B136:G136" si="148">+B5</f>
        <v>1990</v>
      </c>
      <c r="C136" s="1436">
        <f t="shared" si="148"/>
        <v>1991</v>
      </c>
      <c r="D136" s="1436">
        <f t="shared" si="148"/>
        <v>1992</v>
      </c>
      <c r="E136" s="1436">
        <f t="shared" si="148"/>
        <v>1993</v>
      </c>
      <c r="F136" s="1436">
        <f t="shared" si="148"/>
        <v>1994</v>
      </c>
      <c r="G136" s="1436">
        <f t="shared" si="148"/>
        <v>1995</v>
      </c>
      <c r="H136" s="1436">
        <f>+H5</f>
        <v>1996</v>
      </c>
      <c r="I136" s="1436">
        <f t="shared" ref="I136:Q136" si="149">+I5</f>
        <v>1997</v>
      </c>
      <c r="J136" s="1436">
        <f t="shared" si="149"/>
        <v>1998</v>
      </c>
      <c r="K136" s="1436">
        <f t="shared" si="149"/>
        <v>1999</v>
      </c>
      <c r="L136" s="1436">
        <f t="shared" si="149"/>
        <v>2000</v>
      </c>
      <c r="M136" s="1436">
        <f t="shared" si="149"/>
        <v>2001</v>
      </c>
      <c r="N136" s="1436">
        <f t="shared" si="149"/>
        <v>2002</v>
      </c>
      <c r="O136" s="1436">
        <f t="shared" si="149"/>
        <v>2003</v>
      </c>
      <c r="P136" s="1436">
        <f t="shared" si="149"/>
        <v>2004</v>
      </c>
      <c r="Q136" s="1437">
        <f t="shared" si="149"/>
        <v>2005</v>
      </c>
      <c r="R136" s="1437">
        <f t="shared" ref="R136:AH136" si="150">+R$5</f>
        <v>2006</v>
      </c>
      <c r="S136" s="1437">
        <f t="shared" si="150"/>
        <v>2007</v>
      </c>
      <c r="T136" s="1437">
        <f t="shared" si="150"/>
        <v>2008</v>
      </c>
      <c r="U136" s="1437">
        <f t="shared" si="150"/>
        <v>2009</v>
      </c>
      <c r="V136" s="1437">
        <f t="shared" si="150"/>
        <v>2010</v>
      </c>
      <c r="W136" s="1437">
        <f t="shared" si="150"/>
        <v>2011</v>
      </c>
      <c r="X136" s="1437">
        <f t="shared" si="150"/>
        <v>2012</v>
      </c>
      <c r="Y136" s="1437">
        <f t="shared" si="150"/>
        <v>2013</v>
      </c>
      <c r="Z136" s="1437">
        <f>Y136+1</f>
        <v>2014</v>
      </c>
      <c r="AA136" s="1437">
        <f>Z136+1</f>
        <v>2015</v>
      </c>
      <c r="AB136" s="1436">
        <f t="shared" si="150"/>
        <v>2016</v>
      </c>
      <c r="AC136" s="1436">
        <f t="shared" si="150"/>
        <v>2017</v>
      </c>
      <c r="AD136" s="1438">
        <f t="shared" si="150"/>
        <v>2018</v>
      </c>
      <c r="AE136" s="1438">
        <f t="shared" si="150"/>
        <v>2019</v>
      </c>
      <c r="AF136" s="1438">
        <f t="shared" si="150"/>
        <v>2020</v>
      </c>
      <c r="AG136" s="1438">
        <f t="shared" si="150"/>
        <v>2021</v>
      </c>
      <c r="AH136" s="1438">
        <f t="shared" si="150"/>
        <v>2022</v>
      </c>
      <c r="AI136" s="1439"/>
      <c r="AJ136" s="1440"/>
      <c r="AK136" s="2076" t="s">
        <v>855</v>
      </c>
      <c r="AL136" s="1423"/>
      <c r="AM136" s="1442" t="s">
        <v>853</v>
      </c>
      <c r="AN136" s="1423"/>
      <c r="AO136" s="1442" t="s">
        <v>854</v>
      </c>
      <c r="AP136" s="1443"/>
      <c r="AQ136" s="1429"/>
      <c r="AR136" s="1423"/>
      <c r="AS136" s="1421"/>
      <c r="AT136" s="1421"/>
      <c r="AU136" s="1421"/>
      <c r="AV136" s="1421"/>
      <c r="AW136" s="1421"/>
      <c r="AX136" s="1421"/>
      <c r="AY136" s="1421"/>
    </row>
    <row r="137" spans="1:51">
      <c r="A137" s="1434"/>
      <c r="B137" s="1528"/>
      <c r="C137" s="1528"/>
      <c r="D137" s="1528"/>
      <c r="E137" s="1528"/>
      <c r="F137" s="1528"/>
      <c r="G137" s="1528"/>
      <c r="H137" s="1528"/>
      <c r="I137" s="1528"/>
      <c r="J137" s="1528"/>
      <c r="K137" s="1528"/>
      <c r="L137" s="1528"/>
      <c r="M137" s="1528"/>
      <c r="N137" s="1421"/>
      <c r="O137" s="1421"/>
      <c r="P137" s="467"/>
      <c r="Q137" s="467"/>
      <c r="R137" s="467"/>
      <c r="S137" s="467"/>
      <c r="T137" s="467"/>
      <c r="U137" s="467"/>
      <c r="V137" s="467"/>
      <c r="W137" s="467"/>
      <c r="X137" s="467"/>
      <c r="Y137" s="467"/>
      <c r="Z137" s="467"/>
      <c r="AA137" s="467"/>
      <c r="AB137" s="467"/>
      <c r="AC137" s="467"/>
      <c r="AD137" s="467"/>
      <c r="AE137" s="467"/>
      <c r="AF137" s="467"/>
      <c r="AG137" s="467"/>
      <c r="AH137" s="467"/>
      <c r="AI137" s="1423"/>
      <c r="AJ137" s="1448"/>
      <c r="AK137" s="1423"/>
      <c r="AL137" s="1423"/>
      <c r="AM137" s="1423"/>
      <c r="AN137" s="1423"/>
      <c r="AO137" s="1423"/>
      <c r="AP137" s="1449"/>
      <c r="AQ137" s="1423"/>
      <c r="AR137" s="1423"/>
      <c r="AS137" s="1421"/>
      <c r="AT137" s="1421"/>
      <c r="AU137" s="1421"/>
      <c r="AV137" s="1421"/>
      <c r="AW137" s="1421"/>
      <c r="AX137" s="1421"/>
      <c r="AY137" s="1421"/>
    </row>
    <row r="138" spans="1:51">
      <c r="A138" s="1450" t="s">
        <v>413</v>
      </c>
      <c r="B138" s="1528">
        <v>10</v>
      </c>
      <c r="C138" s="1528">
        <v>28</v>
      </c>
      <c r="D138" s="1528">
        <v>51.8</v>
      </c>
      <c r="E138" s="1528">
        <v>87</v>
      </c>
      <c r="F138" s="1528">
        <v>120</v>
      </c>
      <c r="G138" s="1529">
        <f>'SegP&amp;L'!$W$50</f>
        <v>177.75900000000001</v>
      </c>
      <c r="H138" s="1529">
        <f>'SegP&amp;L'!$W$57</f>
        <v>252.39100000000002</v>
      </c>
      <c r="I138" s="1529">
        <f>'SegP&amp;L'!$W$64</f>
        <v>326.959</v>
      </c>
      <c r="J138" s="1529">
        <f>'SegP&amp;L'!$W$71</f>
        <v>387.43799999999999</v>
      </c>
      <c r="K138" s="1529">
        <f>'SegP&amp;L'!$W$78</f>
        <v>466.76499999999999</v>
      </c>
      <c r="L138" s="1529">
        <f>'SegP&amp;L'!$W$85</f>
        <v>563.31100000000004</v>
      </c>
      <c r="M138" s="1529">
        <f>'SegP&amp;L'!$W$92</f>
        <v>660.87699999999995</v>
      </c>
      <c r="N138" s="1529">
        <f>'SegP&amp;L'!$W$99</f>
        <v>793.202</v>
      </c>
      <c r="O138" s="1451">
        <f>'SegP&amp;L'!$W$106</f>
        <v>1076.3329999999999</v>
      </c>
      <c r="P138" s="1451">
        <f>'SegP&amp;L'!$W$113</f>
        <v>1285.4390000000001</v>
      </c>
      <c r="Q138" s="1451">
        <f>'SegP&amp;L'!$W$120</f>
        <v>1457.7359999999999</v>
      </c>
      <c r="R138" s="1451">
        <f>'SegP&amp;L'!$W$127</f>
        <v>1740.796</v>
      </c>
      <c r="S138" s="1451">
        <f>'SegP&amp;L'!$W$134</f>
        <v>2040.8140000000001</v>
      </c>
      <c r="T138" s="1451">
        <f>'SegP&amp;L'!$W$141</f>
        <v>2139.4430000000002</v>
      </c>
      <c r="U138" s="1451">
        <f>'SegP&amp;L'!$W$148</f>
        <v>2167.9120000000003</v>
      </c>
      <c r="V138" s="1451">
        <f>'SegP&amp;L'!$W$155</f>
        <v>2510.201</v>
      </c>
      <c r="W138" s="1451">
        <f>'SegP&amp;L'!$W$162</f>
        <v>2680.0709999999999</v>
      </c>
      <c r="X138" s="1451">
        <f>'SegP&amp;L'!$W$169</f>
        <v>2925.991</v>
      </c>
      <c r="Y138" s="1451">
        <f>'SegP&amp;L'!$W$176</f>
        <v>2877.8340000000003</v>
      </c>
      <c r="Z138" s="1451">
        <f>'SegP&amp;L'!$W$183</f>
        <v>2884.069</v>
      </c>
      <c r="AA138" s="1451">
        <f>'SegP&amp;L'!$W$190</f>
        <v>2854.6169999999997</v>
      </c>
      <c r="AB138" s="1451">
        <f>'SegP&amp;L'!$W$197</f>
        <v>3171.1270000000004</v>
      </c>
      <c r="AC138" s="1451">
        <f>'SegP&amp;L'!$W$204</f>
        <v>3642.2820000000002</v>
      </c>
      <c r="AD138" s="1451">
        <f>'SegP&amp;L'!$W$211</f>
        <v>3956.0110719999998</v>
      </c>
      <c r="AE138" s="1451">
        <f>+AD138*(1+AE139)</f>
        <v>4231.8454221655438</v>
      </c>
      <c r="AF138" s="1451">
        <f>+AE138*(1+AF139)</f>
        <v>4575.1615167745786</v>
      </c>
      <c r="AG138" s="1451">
        <f>+AF138*(1+AG139)</f>
        <v>4930.4080113134187</v>
      </c>
      <c r="AH138" s="1451">
        <f>+AG138*(1+AH139)</f>
        <v>5188.2937073100402</v>
      </c>
      <c r="AI138" s="1423"/>
      <c r="AJ138" s="1448"/>
      <c r="AK138" s="1453">
        <f>((X138/S138)^(1/5)-1)*100</f>
        <v>7.4716489145432163</v>
      </c>
      <c r="AL138" s="1454" t="s">
        <v>190</v>
      </c>
      <c r="AM138" s="1453">
        <f>((AC138/X138)^(1/5)-1)*100</f>
        <v>4.476861130889076</v>
      </c>
      <c r="AN138" s="1454" t="s">
        <v>190</v>
      </c>
      <c r="AO138" s="1455">
        <f>((AH138/AC138)^(1/5)-1)*100</f>
        <v>7.3322410062552468</v>
      </c>
      <c r="AP138" s="1449" t="s">
        <v>190</v>
      </c>
      <c r="AQ138" s="1454"/>
      <c r="AR138" s="1423"/>
      <c r="AS138" s="1421"/>
      <c r="AT138" s="1421"/>
      <c r="AU138" s="1421"/>
      <c r="AV138" s="1421"/>
      <c r="AW138" s="1421"/>
      <c r="AX138" s="1421"/>
      <c r="AY138" s="1421"/>
    </row>
    <row r="139" spans="1:51">
      <c r="A139" s="1450" t="s">
        <v>191</v>
      </c>
      <c r="B139" s="1445"/>
      <c r="C139" s="1445">
        <f t="shared" ref="C139:L139" si="151">C138/B138-1</f>
        <v>1.7999999999999998</v>
      </c>
      <c r="D139" s="1445">
        <f t="shared" si="151"/>
        <v>0.84999999999999987</v>
      </c>
      <c r="E139" s="1445">
        <f t="shared" si="151"/>
        <v>0.67953667953667973</v>
      </c>
      <c r="F139" s="1445">
        <f t="shared" si="151"/>
        <v>0.3793103448275863</v>
      </c>
      <c r="G139" s="1445">
        <f t="shared" si="151"/>
        <v>0.48132500000000022</v>
      </c>
      <c r="H139" s="1445">
        <f t="shared" si="151"/>
        <v>0.41984934658723327</v>
      </c>
      <c r="I139" s="1445">
        <f t="shared" si="151"/>
        <v>0.2954463510980978</v>
      </c>
      <c r="J139" s="1445">
        <f>J138/I138-1</f>
        <v>0.18497426282806106</v>
      </c>
      <c r="K139" s="1445">
        <f t="shared" si="151"/>
        <v>0.20474759832540945</v>
      </c>
      <c r="L139" s="1445">
        <f t="shared" si="151"/>
        <v>0.20684070142362865</v>
      </c>
      <c r="M139" s="1445">
        <f t="shared" ref="M139:AD139" si="152">M138/L138-1</f>
        <v>0.17320094938675057</v>
      </c>
      <c r="N139" s="1445">
        <f t="shared" si="152"/>
        <v>0.20022636587443654</v>
      </c>
      <c r="O139" s="1445">
        <f t="shared" si="152"/>
        <v>0.35694690633659509</v>
      </c>
      <c r="P139" s="1445">
        <f t="shared" si="152"/>
        <v>0.1942763066820401</v>
      </c>
      <c r="Q139" s="1445">
        <f t="shared" si="152"/>
        <v>0.13403747669084232</v>
      </c>
      <c r="R139" s="1445">
        <f t="shared" si="152"/>
        <v>0.19417782094974689</v>
      </c>
      <c r="S139" s="1445">
        <f t="shared" si="152"/>
        <v>0.17234529491106376</v>
      </c>
      <c r="T139" s="1445">
        <f t="shared" si="152"/>
        <v>4.8328265094222278E-2</v>
      </c>
      <c r="U139" s="1445">
        <f t="shared" si="152"/>
        <v>1.3306734509870077E-2</v>
      </c>
      <c r="V139" s="1445">
        <f t="shared" si="152"/>
        <v>0.1578887888438274</v>
      </c>
      <c r="W139" s="1445">
        <f t="shared" si="152"/>
        <v>6.7671871694736652E-2</v>
      </c>
      <c r="X139" s="1445">
        <f t="shared" si="152"/>
        <v>9.175876310739528E-2</v>
      </c>
      <c r="Y139" s="1445">
        <f t="shared" si="152"/>
        <v>-1.6458355476828057E-2</v>
      </c>
      <c r="Z139" s="1445">
        <f t="shared" si="152"/>
        <v>2.1665599892140008E-3</v>
      </c>
      <c r="AA139" s="1445">
        <f t="shared" si="152"/>
        <v>-1.0211960948229848E-2</v>
      </c>
      <c r="AB139" s="1445">
        <f t="shared" si="152"/>
        <v>0.11087652038784923</v>
      </c>
      <c r="AC139" s="1445">
        <f t="shared" si="152"/>
        <v>0.14857651554163542</v>
      </c>
      <c r="AD139" s="1445">
        <f t="shared" si="152"/>
        <v>8.6135305283885133E-2</v>
      </c>
      <c r="AE139" s="1445">
        <f>+AE181+AE182</f>
        <v>6.9725373651720712E-2</v>
      </c>
      <c r="AF139" s="1445">
        <f>+AF181+AF182</f>
        <v>8.1126804115012274E-2</v>
      </c>
      <c r="AG139" s="1445">
        <f>+AG181+AG182</f>
        <v>7.7646765745066737E-2</v>
      </c>
      <c r="AH139" s="1445">
        <f>+AH181+AH182</f>
        <v>5.2305142983069819E-2</v>
      </c>
      <c r="AI139" s="1423"/>
      <c r="AJ139" s="1448"/>
      <c r="AK139" s="1423"/>
      <c r="AL139" s="1423"/>
      <c r="AM139" s="1423"/>
      <c r="AN139" s="1423"/>
      <c r="AO139" s="1423"/>
      <c r="AP139" s="1449"/>
      <c r="AQ139" s="1423"/>
      <c r="AR139" s="1423"/>
      <c r="AS139" s="1421"/>
      <c r="AT139" s="1421"/>
      <c r="AU139" s="1421"/>
      <c r="AV139" s="1421"/>
      <c r="AW139" s="1421"/>
      <c r="AX139" s="1421"/>
      <c r="AY139" s="1421"/>
    </row>
    <row r="140" spans="1:51">
      <c r="A140" s="1421"/>
      <c r="B140" s="1421"/>
      <c r="C140" s="1421"/>
      <c r="D140" s="1421"/>
      <c r="E140" s="1421"/>
      <c r="F140" s="1421"/>
      <c r="G140" s="1421"/>
      <c r="H140" s="1421"/>
      <c r="I140" s="1421"/>
      <c r="J140" s="1421"/>
      <c r="K140" s="1421"/>
      <c r="L140" s="1421"/>
      <c r="M140" s="1421"/>
      <c r="N140" s="1421"/>
      <c r="O140" s="1421"/>
      <c r="P140" s="1421"/>
      <c r="Q140" s="1421"/>
      <c r="R140" s="1421"/>
      <c r="S140" s="1421"/>
      <c r="T140" s="1421"/>
      <c r="U140" s="1421"/>
      <c r="V140" s="1421"/>
      <c r="W140" s="1421"/>
      <c r="X140" s="1421"/>
      <c r="Y140" s="1421"/>
      <c r="Z140" s="1421"/>
      <c r="AA140" s="1421"/>
      <c r="AB140" s="1421"/>
      <c r="AC140" s="1421"/>
      <c r="AD140" s="1421"/>
      <c r="AE140" s="1421"/>
      <c r="AF140" s="1421"/>
      <c r="AG140" s="1421"/>
      <c r="AH140" s="1421"/>
      <c r="AI140" s="1423"/>
      <c r="AJ140" s="1448"/>
      <c r="AK140" s="1423"/>
      <c r="AL140" s="1423"/>
      <c r="AM140" s="1423"/>
      <c r="AN140" s="1423"/>
      <c r="AO140" s="1423"/>
      <c r="AP140" s="1449"/>
      <c r="AQ140" s="1423"/>
      <c r="AR140" s="1423"/>
      <c r="AS140" s="1421"/>
      <c r="AT140" s="1421"/>
      <c r="AU140" s="1421"/>
      <c r="AV140" s="1421"/>
      <c r="AW140" s="1421"/>
      <c r="AX140" s="1421"/>
      <c r="AY140" s="1421"/>
    </row>
    <row r="141" spans="1:51" hidden="1" outlineLevel="1">
      <c r="A141" s="1421" t="s">
        <v>169</v>
      </c>
      <c r="B141" s="1512"/>
      <c r="C141" s="1512"/>
      <c r="D141" s="1512"/>
      <c r="E141" s="1512"/>
      <c r="F141" s="1512"/>
      <c r="G141" s="1529">
        <f>'SegP&amp;L'!$Z$50</f>
        <v>8.1959999999999997</v>
      </c>
      <c r="H141" s="1529">
        <f>'SegP&amp;L'!$Z$57</f>
        <v>17.036392500000002</v>
      </c>
      <c r="I141" s="1529">
        <f>'SegP&amp;L'!$Z$64</f>
        <v>25.502801999999996</v>
      </c>
      <c r="J141" s="1529">
        <f>'SegP&amp;L'!$Z$71</f>
        <v>39.765000000000001</v>
      </c>
      <c r="K141" s="1529">
        <f>'SegP&amp;L'!$Z$78</f>
        <v>54.914000000000001</v>
      </c>
      <c r="L141" s="1529">
        <f>'SegP&amp;L'!$Z$85</f>
        <v>71.055000000000007</v>
      </c>
      <c r="M141" s="1529">
        <f>'SegP&amp;L'!$Z$92</f>
        <v>59.14</v>
      </c>
      <c r="N141" s="1529">
        <f>'SegP&amp;L'!$Z$99</f>
        <v>85.301000000000002</v>
      </c>
      <c r="O141" s="1529">
        <f>'SegP&amp;L'!$Z$106</f>
        <v>98.927999999999997</v>
      </c>
      <c r="P141" s="1529">
        <f>'SegP&amp;L'!$Z$113</f>
        <v>99.701000000000008</v>
      </c>
      <c r="Q141" s="1529">
        <f>'SegP&amp;L'!$Z$120</f>
        <v>120.319</v>
      </c>
      <c r="R141" s="1529">
        <f>'SegP&amp;L'!$Z$225</f>
        <v>0</v>
      </c>
      <c r="S141" s="1529"/>
      <c r="T141" s="1529"/>
      <c r="U141" s="1529"/>
      <c r="V141" s="1529"/>
      <c r="W141" s="1529"/>
      <c r="X141" s="1529"/>
      <c r="Y141" s="1529"/>
      <c r="Z141" s="1529"/>
      <c r="AA141" s="1529"/>
      <c r="AB141" s="1529"/>
      <c r="AC141" s="1529"/>
      <c r="AD141" s="1529"/>
      <c r="AE141" s="1529"/>
      <c r="AF141" s="1529"/>
      <c r="AG141" s="1529"/>
      <c r="AH141" s="1529"/>
      <c r="AI141" s="1423"/>
      <c r="AJ141" s="1448"/>
      <c r="AK141" s="1423"/>
      <c r="AL141" s="1423"/>
      <c r="AM141" s="1423"/>
      <c r="AN141" s="1423"/>
      <c r="AO141" s="1423"/>
      <c r="AP141" s="1449"/>
      <c r="AQ141" s="1423"/>
      <c r="AR141" s="1423"/>
      <c r="AS141" s="1421"/>
      <c r="AT141" s="1421"/>
      <c r="AU141" s="1421"/>
      <c r="AV141" s="1421"/>
      <c r="AW141" s="1421"/>
      <c r="AX141" s="1421"/>
      <c r="AY141" s="1421"/>
    </row>
    <row r="142" spans="1:51" hidden="1" outlineLevel="1">
      <c r="A142" s="1421"/>
      <c r="B142" s="1421"/>
      <c r="C142" s="1421"/>
      <c r="D142" s="1445"/>
      <c r="E142" s="1445"/>
      <c r="F142" s="1445"/>
      <c r="G142" s="1421"/>
      <c r="H142" s="1421"/>
      <c r="I142" s="1421"/>
      <c r="J142" s="1421"/>
      <c r="K142" s="1421"/>
      <c r="L142" s="1421"/>
      <c r="M142" s="1421"/>
      <c r="N142" s="1421"/>
      <c r="O142" s="1421"/>
      <c r="P142" s="1421"/>
      <c r="Q142" s="1421"/>
      <c r="R142" s="1421"/>
      <c r="S142" s="1421"/>
      <c r="T142" s="1421"/>
      <c r="U142" s="1421"/>
      <c r="V142" s="1421"/>
      <c r="W142" s="1421"/>
      <c r="X142" s="1421"/>
      <c r="Y142" s="1421"/>
      <c r="Z142" s="1421"/>
      <c r="AA142" s="1421"/>
      <c r="AB142" s="1421"/>
      <c r="AC142" s="1421"/>
      <c r="AD142" s="1421"/>
      <c r="AE142" s="1421"/>
      <c r="AF142" s="1421"/>
      <c r="AG142" s="1421"/>
      <c r="AH142" s="1421"/>
      <c r="AI142" s="1423"/>
      <c r="AJ142" s="1448"/>
      <c r="AK142" s="1423"/>
      <c r="AL142" s="1423"/>
      <c r="AM142" s="1423"/>
      <c r="AN142" s="1423"/>
      <c r="AO142" s="1423"/>
      <c r="AP142" s="1449"/>
      <c r="AQ142" s="1423"/>
      <c r="AR142" s="1423"/>
      <c r="AS142" s="1421"/>
      <c r="AT142" s="1421"/>
      <c r="AU142" s="1421"/>
      <c r="AV142" s="1421"/>
      <c r="AW142" s="1421"/>
      <c r="AX142" s="1421"/>
      <c r="AY142" s="1421"/>
    </row>
    <row r="143" spans="1:51" hidden="1" outlineLevel="1">
      <c r="A143" s="1421"/>
      <c r="B143" s="1421"/>
      <c r="C143" s="1421"/>
      <c r="D143" s="1421"/>
      <c r="E143" s="1421"/>
      <c r="F143" s="1421"/>
      <c r="G143" s="1421"/>
      <c r="H143" s="1421"/>
      <c r="I143" s="1421"/>
      <c r="J143" s="1421"/>
      <c r="K143" s="1421"/>
      <c r="L143" s="1421"/>
      <c r="M143" s="1421"/>
      <c r="N143" s="1421"/>
      <c r="O143" s="1421"/>
      <c r="P143" s="1421"/>
      <c r="Q143" s="1421"/>
      <c r="R143" s="1421"/>
      <c r="S143" s="1421"/>
      <c r="T143" s="1421"/>
      <c r="U143" s="1421"/>
      <c r="V143" s="1421"/>
      <c r="W143" s="1421"/>
      <c r="X143" s="1421"/>
      <c r="Y143" s="1421"/>
      <c r="Z143" s="1421"/>
      <c r="AA143" s="1421"/>
      <c r="AB143" s="1421"/>
      <c r="AC143" s="1421"/>
      <c r="AD143" s="1421"/>
      <c r="AE143" s="1421"/>
      <c r="AF143" s="1421"/>
      <c r="AG143" s="1421"/>
      <c r="AH143" s="1421"/>
      <c r="AI143" s="1423"/>
      <c r="AJ143" s="1448"/>
      <c r="AK143" s="1423"/>
      <c r="AL143" s="1423"/>
      <c r="AM143" s="1423"/>
      <c r="AN143" s="1423"/>
      <c r="AO143" s="1423"/>
      <c r="AP143" s="1449"/>
      <c r="AQ143" s="1423"/>
      <c r="AR143" s="1423"/>
      <c r="AS143" s="1421"/>
      <c r="AT143" s="1421"/>
      <c r="AU143" s="1421"/>
      <c r="AV143" s="1421"/>
      <c r="AW143" s="1421"/>
      <c r="AX143" s="1421"/>
      <c r="AY143" s="1421"/>
    </row>
    <row r="144" spans="1:51" collapsed="1">
      <c r="A144" s="1450" t="s">
        <v>192</v>
      </c>
      <c r="B144" s="1530" t="s">
        <v>642</v>
      </c>
      <c r="C144" s="1434">
        <f t="shared" ref="C144:AD144" si="153">B156</f>
        <v>5</v>
      </c>
      <c r="D144" s="1434">
        <f t="shared" si="153"/>
        <v>9</v>
      </c>
      <c r="E144" s="1434">
        <f t="shared" si="153"/>
        <v>15</v>
      </c>
      <c r="F144" s="1434">
        <f t="shared" si="153"/>
        <v>27</v>
      </c>
      <c r="G144" s="1434">
        <f t="shared" si="153"/>
        <v>37</v>
      </c>
      <c r="H144" s="1434">
        <f t="shared" si="153"/>
        <v>52</v>
      </c>
      <c r="I144" s="1434">
        <f t="shared" si="153"/>
        <v>65</v>
      </c>
      <c r="J144" s="1434">
        <f t="shared" si="153"/>
        <v>76</v>
      </c>
      <c r="K144" s="1434">
        <f t="shared" si="153"/>
        <v>87</v>
      </c>
      <c r="L144" s="1434">
        <f t="shared" si="153"/>
        <v>100</v>
      </c>
      <c r="M144" s="1434">
        <f>+M145+M146</f>
        <v>117</v>
      </c>
      <c r="N144" s="1434">
        <f t="shared" si="153"/>
        <v>138</v>
      </c>
      <c r="O144" s="1434">
        <f t="shared" si="153"/>
        <v>161</v>
      </c>
      <c r="P144" s="1434">
        <f t="shared" si="153"/>
        <v>185</v>
      </c>
      <c r="Q144" s="1434">
        <f t="shared" si="153"/>
        <v>208</v>
      </c>
      <c r="R144" s="1434">
        <f t="shared" si="153"/>
        <v>232</v>
      </c>
      <c r="S144" s="1434">
        <f t="shared" si="153"/>
        <v>252</v>
      </c>
      <c r="T144" s="1434">
        <f t="shared" si="153"/>
        <v>262</v>
      </c>
      <c r="U144" s="1434">
        <f t="shared" si="153"/>
        <v>277</v>
      </c>
      <c r="V144" s="1434">
        <f t="shared" si="153"/>
        <v>290</v>
      </c>
      <c r="W144" s="1434">
        <f t="shared" si="153"/>
        <v>297</v>
      </c>
      <c r="X144" s="1434">
        <f t="shared" si="153"/>
        <v>308</v>
      </c>
      <c r="Y144" s="1434">
        <f t="shared" si="153"/>
        <v>324</v>
      </c>
      <c r="Z144" s="1434">
        <f t="shared" si="153"/>
        <v>345</v>
      </c>
      <c r="AA144" s="1434">
        <f t="shared" si="153"/>
        <v>368</v>
      </c>
      <c r="AB144" s="1434">
        <f t="shared" si="153"/>
        <v>387</v>
      </c>
      <c r="AC144" s="1434">
        <f t="shared" si="153"/>
        <v>418</v>
      </c>
      <c r="AD144" s="1434">
        <f t="shared" si="153"/>
        <v>454</v>
      </c>
      <c r="AE144" s="1434">
        <f>AD156</f>
        <v>484</v>
      </c>
      <c r="AF144" s="1434">
        <f>AE156</f>
        <v>519</v>
      </c>
      <c r="AG144" s="1434">
        <f>AF156</f>
        <v>554</v>
      </c>
      <c r="AH144" s="1434">
        <f>AG156</f>
        <v>589</v>
      </c>
      <c r="AI144" s="1423"/>
      <c r="AJ144" s="1448"/>
      <c r="AK144" s="1423"/>
      <c r="AL144" s="1423"/>
      <c r="AM144" s="1423"/>
      <c r="AN144" s="1423"/>
      <c r="AO144" s="1423"/>
      <c r="AP144" s="1449"/>
      <c r="AQ144" s="1423"/>
      <c r="AR144" s="1423"/>
      <c r="AS144" s="1421"/>
      <c r="AT144" s="1421"/>
      <c r="AU144" s="1421"/>
      <c r="AV144" s="1421"/>
      <c r="AW144" s="1421"/>
      <c r="AX144" s="1421"/>
      <c r="AY144" s="1421"/>
    </row>
    <row r="145" spans="1:51">
      <c r="A145" s="1511" t="s">
        <v>383</v>
      </c>
      <c r="B145" s="1516"/>
      <c r="C145" s="1434">
        <f t="shared" ref="C145:AD145" si="154">+B157</f>
        <v>5</v>
      </c>
      <c r="D145" s="1434">
        <f t="shared" si="154"/>
        <v>9</v>
      </c>
      <c r="E145" s="1434">
        <f t="shared" si="154"/>
        <v>15</v>
      </c>
      <c r="F145" s="1434">
        <f t="shared" si="154"/>
        <v>27</v>
      </c>
      <c r="G145" s="1434">
        <f t="shared" si="154"/>
        <v>37</v>
      </c>
      <c r="H145" s="1434">
        <f t="shared" si="154"/>
        <v>52</v>
      </c>
      <c r="I145" s="1434">
        <f t="shared" si="154"/>
        <v>65</v>
      </c>
      <c r="J145" s="1434">
        <f t="shared" si="154"/>
        <v>76</v>
      </c>
      <c r="K145" s="1434">
        <f t="shared" si="154"/>
        <v>87</v>
      </c>
      <c r="L145" s="1434">
        <f t="shared" si="154"/>
        <v>100</v>
      </c>
      <c r="M145" s="1434">
        <f t="shared" si="154"/>
        <v>117</v>
      </c>
      <c r="N145" s="1434">
        <f t="shared" si="154"/>
        <v>131</v>
      </c>
      <c r="O145" s="1434">
        <f t="shared" si="154"/>
        <v>146</v>
      </c>
      <c r="P145" s="1434">
        <f t="shared" si="154"/>
        <v>160</v>
      </c>
      <c r="Q145" s="1434">
        <f t="shared" si="154"/>
        <v>168</v>
      </c>
      <c r="R145" s="1434">
        <f t="shared" si="154"/>
        <v>174</v>
      </c>
      <c r="S145" s="1434">
        <f t="shared" si="154"/>
        <v>184</v>
      </c>
      <c r="T145" s="1434">
        <f t="shared" si="154"/>
        <v>191</v>
      </c>
      <c r="U145" s="1434">
        <f t="shared" si="154"/>
        <v>202</v>
      </c>
      <c r="V145" s="1434">
        <f t="shared" si="154"/>
        <v>211</v>
      </c>
      <c r="W145" s="1434">
        <f t="shared" si="154"/>
        <v>215</v>
      </c>
      <c r="X145" s="1434">
        <f t="shared" si="154"/>
        <v>216</v>
      </c>
      <c r="Y145" s="1434">
        <f t="shared" si="154"/>
        <v>222</v>
      </c>
      <c r="Z145" s="1434">
        <f t="shared" si="154"/>
        <v>227</v>
      </c>
      <c r="AA145" s="1434">
        <f t="shared" si="154"/>
        <v>234</v>
      </c>
      <c r="AB145" s="1434">
        <f t="shared" si="154"/>
        <v>245</v>
      </c>
      <c r="AC145" s="1434">
        <f t="shared" si="154"/>
        <v>255</v>
      </c>
      <c r="AD145" s="1434">
        <f t="shared" si="154"/>
        <v>264</v>
      </c>
      <c r="AE145" s="1434">
        <f t="shared" ref="AE145:AH147" si="155">+AD157</f>
        <v>279</v>
      </c>
      <c r="AF145" s="1434">
        <f t="shared" si="155"/>
        <v>294</v>
      </c>
      <c r="AG145" s="1434">
        <f t="shared" si="155"/>
        <v>309</v>
      </c>
      <c r="AH145" s="1434">
        <f t="shared" si="155"/>
        <v>324</v>
      </c>
      <c r="AI145" s="1423"/>
      <c r="AJ145" s="1448"/>
      <c r="AK145" s="1423"/>
      <c r="AL145" s="1423"/>
      <c r="AM145" s="1423"/>
      <c r="AN145" s="1423"/>
      <c r="AO145" s="1423"/>
      <c r="AP145" s="1449"/>
      <c r="AQ145" s="1423"/>
      <c r="AR145" s="1423"/>
      <c r="AS145" s="1421"/>
      <c r="AT145" s="1421"/>
      <c r="AU145" s="1421"/>
      <c r="AV145" s="1421"/>
      <c r="AW145" s="1421"/>
      <c r="AX145" s="1421"/>
      <c r="AY145" s="1421"/>
    </row>
    <row r="146" spans="1:51">
      <c r="A146" s="1511" t="s">
        <v>382</v>
      </c>
      <c r="B146" s="1516"/>
      <c r="C146" s="1516"/>
      <c r="D146" s="1516"/>
      <c r="E146" s="1516"/>
      <c r="F146" s="1516"/>
      <c r="G146" s="1516"/>
      <c r="H146" s="1516"/>
      <c r="I146" s="1516"/>
      <c r="J146" s="1516"/>
      <c r="K146" s="1434"/>
      <c r="L146" s="1434"/>
      <c r="M146" s="1434">
        <f t="shared" ref="M146:AD147" si="156">+L158</f>
        <v>0</v>
      </c>
      <c r="N146" s="1434">
        <f t="shared" si="156"/>
        <v>7</v>
      </c>
      <c r="O146" s="1434">
        <f t="shared" si="156"/>
        <v>15</v>
      </c>
      <c r="P146" s="1434">
        <f t="shared" si="156"/>
        <v>25</v>
      </c>
      <c r="Q146" s="1434">
        <f t="shared" si="156"/>
        <v>40</v>
      </c>
      <c r="R146" s="1434">
        <f t="shared" si="156"/>
        <v>58</v>
      </c>
      <c r="S146" s="1434">
        <f t="shared" si="156"/>
        <v>68</v>
      </c>
      <c r="T146" s="1434">
        <f t="shared" si="156"/>
        <v>71</v>
      </c>
      <c r="U146" s="1434">
        <f t="shared" si="156"/>
        <v>75</v>
      </c>
      <c r="V146" s="1434">
        <f t="shared" si="156"/>
        <v>79</v>
      </c>
      <c r="W146" s="1434">
        <f t="shared" si="156"/>
        <v>82</v>
      </c>
      <c r="X146" s="1434">
        <f t="shared" si="156"/>
        <v>86</v>
      </c>
      <c r="Y146" s="1434">
        <f t="shared" si="156"/>
        <v>88</v>
      </c>
      <c r="Z146" s="1434">
        <f t="shared" si="156"/>
        <v>91</v>
      </c>
      <c r="AA146" s="1434">
        <f t="shared" si="156"/>
        <v>96</v>
      </c>
      <c r="AB146" s="1434">
        <f t="shared" si="156"/>
        <v>101</v>
      </c>
      <c r="AC146" s="1434">
        <f t="shared" si="156"/>
        <v>106</v>
      </c>
      <c r="AD146" s="1434">
        <f t="shared" si="156"/>
        <v>117</v>
      </c>
      <c r="AE146" s="1434">
        <f t="shared" si="155"/>
        <v>122</v>
      </c>
      <c r="AF146" s="1434">
        <f t="shared" si="155"/>
        <v>127</v>
      </c>
      <c r="AG146" s="1434">
        <f t="shared" si="155"/>
        <v>132</v>
      </c>
      <c r="AH146" s="1434">
        <f t="shared" si="155"/>
        <v>137</v>
      </c>
      <c r="AI146" s="1423"/>
      <c r="AJ146" s="1448"/>
      <c r="AK146" s="1423"/>
      <c r="AL146" s="1423"/>
      <c r="AM146" s="1423"/>
      <c r="AN146" s="1423"/>
      <c r="AO146" s="1423"/>
      <c r="AP146" s="1449"/>
      <c r="AQ146" s="1423"/>
      <c r="AR146" s="1423"/>
      <c r="AS146" s="1421"/>
      <c r="AT146" s="1421"/>
      <c r="AU146" s="1421"/>
      <c r="AV146" s="1421"/>
      <c r="AW146" s="1421"/>
      <c r="AX146" s="1421"/>
      <c r="AY146" s="1421"/>
    </row>
    <row r="147" spans="1:51">
      <c r="A147" s="1511" t="s">
        <v>627</v>
      </c>
      <c r="B147" s="1516"/>
      <c r="C147" s="1516"/>
      <c r="D147" s="1516"/>
      <c r="E147" s="1516"/>
      <c r="F147" s="1516"/>
      <c r="G147" s="1516"/>
      <c r="H147" s="1516"/>
      <c r="I147" s="1516"/>
      <c r="J147" s="1516"/>
      <c r="K147" s="1434"/>
      <c r="L147" s="1434"/>
      <c r="M147" s="1434"/>
      <c r="N147" s="1434"/>
      <c r="O147" s="1434"/>
      <c r="P147" s="1434"/>
      <c r="Q147" s="1434"/>
      <c r="R147" s="1434"/>
      <c r="S147" s="1434"/>
      <c r="T147" s="1434"/>
      <c r="U147" s="1434"/>
      <c r="V147" s="1434"/>
      <c r="W147" s="1434">
        <f t="shared" si="156"/>
        <v>0</v>
      </c>
      <c r="X147" s="1434">
        <f t="shared" ref="X147:AD147" si="157">+W159</f>
        <v>6</v>
      </c>
      <c r="Y147" s="1434">
        <f t="shared" si="157"/>
        <v>14</v>
      </c>
      <c r="Z147" s="1434">
        <f t="shared" si="157"/>
        <v>27</v>
      </c>
      <c r="AA147" s="1434">
        <f t="shared" si="157"/>
        <v>38</v>
      </c>
      <c r="AB147" s="1434">
        <f t="shared" si="157"/>
        <v>41</v>
      </c>
      <c r="AC147" s="1434">
        <f t="shared" si="157"/>
        <v>57</v>
      </c>
      <c r="AD147" s="1434">
        <f t="shared" si="157"/>
        <v>73</v>
      </c>
      <c r="AE147" s="1434">
        <f t="shared" si="155"/>
        <v>83</v>
      </c>
      <c r="AF147" s="1434">
        <f t="shared" si="155"/>
        <v>98</v>
      </c>
      <c r="AG147" s="1434">
        <f t="shared" si="155"/>
        <v>113</v>
      </c>
      <c r="AH147" s="1434">
        <f t="shared" si="155"/>
        <v>128</v>
      </c>
      <c r="AI147" s="1423"/>
      <c r="AJ147" s="1448"/>
      <c r="AK147" s="1423"/>
      <c r="AL147" s="1423"/>
      <c r="AM147" s="1423"/>
      <c r="AN147" s="1423"/>
      <c r="AO147" s="1423"/>
      <c r="AP147" s="1449"/>
      <c r="AQ147" s="1423"/>
      <c r="AR147" s="1423"/>
      <c r="AS147" s="1421"/>
      <c r="AT147" s="1421"/>
      <c r="AU147" s="1421"/>
      <c r="AV147" s="1421"/>
      <c r="AW147" s="1421"/>
      <c r="AX147" s="1421"/>
      <c r="AY147" s="1421"/>
    </row>
    <row r="148" spans="1:51" hidden="1" outlineLevel="1">
      <c r="A148" s="1450" t="s">
        <v>345</v>
      </c>
      <c r="B148" s="1434"/>
      <c r="C148" s="1434">
        <f t="shared" ref="C148:J148" si="158">+C149+C150</f>
        <v>4</v>
      </c>
      <c r="D148" s="1434">
        <f t="shared" si="158"/>
        <v>6</v>
      </c>
      <c r="E148" s="1434">
        <f t="shared" si="158"/>
        <v>12</v>
      </c>
      <c r="F148" s="1434">
        <f t="shared" si="158"/>
        <v>10</v>
      </c>
      <c r="G148" s="1434">
        <f t="shared" si="158"/>
        <v>15</v>
      </c>
      <c r="H148" s="1434">
        <f t="shared" si="158"/>
        <v>13</v>
      </c>
      <c r="I148" s="1434">
        <f t="shared" si="158"/>
        <v>11</v>
      </c>
      <c r="J148" s="1434">
        <f t="shared" si="158"/>
        <v>11</v>
      </c>
      <c r="K148" s="1434"/>
      <c r="L148" s="1434"/>
      <c r="M148" s="1434"/>
      <c r="N148" s="1434"/>
      <c r="O148" s="1434"/>
      <c r="P148" s="1434"/>
      <c r="Q148" s="1434"/>
      <c r="R148" s="1434"/>
      <c r="S148" s="1434"/>
      <c r="T148" s="1434"/>
      <c r="U148" s="1434"/>
      <c r="V148" s="1434"/>
      <c r="W148" s="1434"/>
      <c r="X148" s="1434"/>
      <c r="Y148" s="1434"/>
      <c r="Z148" s="1434"/>
      <c r="AA148" s="1434"/>
      <c r="AB148" s="1434"/>
      <c r="AC148" s="1434"/>
      <c r="AD148" s="1434"/>
      <c r="AE148" s="1434"/>
      <c r="AF148" s="1434"/>
      <c r="AG148" s="1434"/>
      <c r="AH148" s="1434"/>
      <c r="AI148" s="1423"/>
      <c r="AJ148" s="1448"/>
      <c r="AK148" s="1423"/>
      <c r="AL148" s="1423"/>
      <c r="AM148" s="1423"/>
      <c r="AN148" s="1423"/>
      <c r="AO148" s="1423"/>
      <c r="AP148" s="1449"/>
      <c r="AQ148" s="1423"/>
      <c r="AR148" s="1423"/>
      <c r="AS148" s="1421"/>
      <c r="AT148" s="1421"/>
      <c r="AU148" s="1421"/>
      <c r="AV148" s="1421"/>
      <c r="AW148" s="1421"/>
      <c r="AX148" s="1421"/>
      <c r="AY148" s="1421"/>
    </row>
    <row r="149" spans="1:51" hidden="1" outlineLevel="1">
      <c r="A149" s="1511" t="s">
        <v>383</v>
      </c>
      <c r="B149" s="1434"/>
      <c r="C149" s="1434">
        <f>+Stores!$Z$30</f>
        <v>4</v>
      </c>
      <c r="D149" s="1434">
        <f>+Stores!$Z$38</f>
        <v>6</v>
      </c>
      <c r="E149" s="1434">
        <f>+Stores!$Z$46</f>
        <v>12</v>
      </c>
      <c r="F149" s="1434">
        <f>+Stores!$Z$54</f>
        <v>10</v>
      </c>
      <c r="G149" s="1434">
        <f>+Stores!$Z$62</f>
        <v>15</v>
      </c>
      <c r="H149" s="1434">
        <f>+Stores!$Z$70</f>
        <v>13</v>
      </c>
      <c r="I149" s="1434">
        <f>+Stores!$Z$78</f>
        <v>11</v>
      </c>
      <c r="J149" s="1434">
        <f>+Stores!$Z$86</f>
        <v>11</v>
      </c>
      <c r="K149" s="1421"/>
      <c r="L149" s="1421"/>
      <c r="M149" s="1421"/>
      <c r="N149" s="1421"/>
      <c r="O149" s="1421"/>
      <c r="P149" s="1421"/>
      <c r="Q149" s="1421"/>
      <c r="R149" s="1421"/>
      <c r="S149" s="1421"/>
      <c r="T149" s="1421"/>
      <c r="U149" s="1421"/>
      <c r="V149" s="1421"/>
      <c r="W149" s="1421"/>
      <c r="X149" s="1421"/>
      <c r="Y149" s="1421"/>
      <c r="Z149" s="1421"/>
      <c r="AA149" s="1421"/>
      <c r="AB149" s="1421"/>
      <c r="AC149" s="1421"/>
      <c r="AD149" s="1421"/>
      <c r="AE149" s="1421"/>
      <c r="AF149" s="1421"/>
      <c r="AG149" s="1421"/>
      <c r="AH149" s="1421"/>
      <c r="AI149" s="1423"/>
      <c r="AJ149" s="1448"/>
      <c r="AK149" s="1423"/>
      <c r="AL149" s="1423"/>
      <c r="AM149" s="1423"/>
      <c r="AN149" s="1423"/>
      <c r="AO149" s="1423"/>
      <c r="AP149" s="1449"/>
      <c r="AQ149" s="1423"/>
      <c r="AR149" s="1423"/>
      <c r="AS149" s="1421"/>
      <c r="AT149" s="1421"/>
      <c r="AU149" s="1421"/>
      <c r="AV149" s="1421"/>
      <c r="AW149" s="1421"/>
      <c r="AX149" s="1421"/>
      <c r="AY149" s="1421"/>
    </row>
    <row r="150" spans="1:51" hidden="1" outlineLevel="1">
      <c r="A150" s="1511" t="s">
        <v>382</v>
      </c>
      <c r="B150" s="1434"/>
      <c r="C150" s="1434"/>
      <c r="D150" s="1434"/>
      <c r="E150" s="1434"/>
      <c r="F150" s="1434"/>
      <c r="G150" s="1434"/>
      <c r="H150" s="1434"/>
      <c r="I150" s="1434"/>
      <c r="J150" s="1434"/>
      <c r="K150" s="1421"/>
      <c r="L150" s="1421"/>
      <c r="M150" s="1421"/>
      <c r="N150" s="1421"/>
      <c r="O150" s="1421"/>
      <c r="P150" s="1421"/>
      <c r="Q150" s="1421"/>
      <c r="R150" s="1421"/>
      <c r="S150" s="1421"/>
      <c r="T150" s="1421"/>
      <c r="U150" s="1421"/>
      <c r="V150" s="1421"/>
      <c r="W150" s="1421"/>
      <c r="X150" s="1421"/>
      <c r="Y150" s="1421"/>
      <c r="Z150" s="1421"/>
      <c r="AA150" s="1421"/>
      <c r="AB150" s="1421"/>
      <c r="AC150" s="1421"/>
      <c r="AD150" s="1421"/>
      <c r="AE150" s="1421"/>
      <c r="AF150" s="1421"/>
      <c r="AG150" s="1421"/>
      <c r="AH150" s="1421"/>
      <c r="AI150" s="1423"/>
      <c r="AJ150" s="1448"/>
      <c r="AK150" s="1423"/>
      <c r="AL150" s="1423"/>
      <c r="AM150" s="1423"/>
      <c r="AN150" s="1423"/>
      <c r="AO150" s="1423"/>
      <c r="AP150" s="1449"/>
      <c r="AQ150" s="1423"/>
      <c r="AR150" s="1423"/>
      <c r="AS150" s="1421"/>
      <c r="AT150" s="1421"/>
      <c r="AU150" s="1421"/>
      <c r="AV150" s="1421"/>
      <c r="AW150" s="1421"/>
      <c r="AX150" s="1421"/>
      <c r="AY150" s="1421"/>
    </row>
    <row r="151" spans="1:51" hidden="1" outlineLevel="1">
      <c r="A151" s="1465" t="s">
        <v>193</v>
      </c>
      <c r="B151" s="1434"/>
      <c r="C151" s="1434">
        <f>+Stores!$AA$30</f>
        <v>0</v>
      </c>
      <c r="D151" s="1434">
        <f>+Stores!$AA$38</f>
        <v>0</v>
      </c>
      <c r="E151" s="1434">
        <f>+Stores!$AA$46</f>
        <v>0</v>
      </c>
      <c r="F151" s="1434">
        <f>+Stores!$AA$54</f>
        <v>0</v>
      </c>
      <c r="G151" s="1434">
        <f>+Stores!$AA$62</f>
        <v>0</v>
      </c>
      <c r="H151" s="1434">
        <f>+Stores!$AA$70</f>
        <v>0</v>
      </c>
      <c r="I151" s="1434">
        <f>+Stores!$AA$78</f>
        <v>0</v>
      </c>
      <c r="J151" s="1434">
        <f>+Stores!$AA$86</f>
        <v>0</v>
      </c>
      <c r="K151" s="1516"/>
      <c r="L151" s="1516"/>
      <c r="M151" s="1516"/>
      <c r="N151" s="1516"/>
      <c r="O151" s="1467"/>
      <c r="P151" s="1467"/>
      <c r="Q151" s="1516"/>
      <c r="R151" s="1516"/>
      <c r="S151" s="1516"/>
      <c r="T151" s="1516"/>
      <c r="U151" s="1516"/>
      <c r="V151" s="1516"/>
      <c r="W151" s="1516"/>
      <c r="X151" s="1516"/>
      <c r="Y151" s="1516"/>
      <c r="Z151" s="1516"/>
      <c r="AA151" s="1516"/>
      <c r="AB151" s="1516"/>
      <c r="AC151" s="1516"/>
      <c r="AD151" s="1516"/>
      <c r="AE151" s="1516"/>
      <c r="AF151" s="1516"/>
      <c r="AG151" s="1516"/>
      <c r="AH151" s="1516"/>
      <c r="AI151" s="1423"/>
      <c r="AJ151" s="1448"/>
      <c r="AK151" s="1423"/>
      <c r="AL151" s="1423"/>
      <c r="AM151" s="1423"/>
      <c r="AN151" s="1423"/>
      <c r="AO151" s="1423"/>
      <c r="AP151" s="1449"/>
      <c r="AQ151" s="1423"/>
      <c r="AR151" s="1423"/>
      <c r="AS151" s="1421"/>
      <c r="AT151" s="1421"/>
      <c r="AU151" s="1421"/>
      <c r="AV151" s="1421"/>
      <c r="AW151" s="1421"/>
      <c r="AX151" s="1421"/>
      <c r="AY151" s="1421"/>
    </row>
    <row r="152" spans="1:51" collapsed="1">
      <c r="A152" s="1465" t="s">
        <v>693</v>
      </c>
      <c r="B152" s="1434">
        <v>5</v>
      </c>
      <c r="C152" s="1434">
        <f>+C153+C154</f>
        <v>4</v>
      </c>
      <c r="D152" s="1434">
        <f t="shared" ref="D152:S152" si="159">+D153+D154</f>
        <v>6</v>
      </c>
      <c r="E152" s="1434">
        <f t="shared" si="159"/>
        <v>12</v>
      </c>
      <c r="F152" s="1434">
        <f t="shared" si="159"/>
        <v>10</v>
      </c>
      <c r="G152" s="1434">
        <f t="shared" si="159"/>
        <v>15</v>
      </c>
      <c r="H152" s="1434">
        <f t="shared" si="159"/>
        <v>13</v>
      </c>
      <c r="I152" s="1434">
        <f t="shared" si="159"/>
        <v>11</v>
      </c>
      <c r="J152" s="1434">
        <f t="shared" si="159"/>
        <v>11</v>
      </c>
      <c r="K152" s="1434">
        <f t="shared" si="159"/>
        <v>13</v>
      </c>
      <c r="L152" s="1434">
        <f t="shared" si="159"/>
        <v>17</v>
      </c>
      <c r="M152" s="1434">
        <f t="shared" si="159"/>
        <v>21</v>
      </c>
      <c r="N152" s="1434">
        <f t="shared" si="159"/>
        <v>23</v>
      </c>
      <c r="O152" s="1434">
        <f t="shared" si="159"/>
        <v>24</v>
      </c>
      <c r="P152" s="1531">
        <f t="shared" si="159"/>
        <v>23</v>
      </c>
      <c r="Q152" s="1531">
        <f t="shared" si="159"/>
        <v>24</v>
      </c>
      <c r="R152" s="1531">
        <f t="shared" si="159"/>
        <v>20</v>
      </c>
      <c r="S152" s="1531">
        <f t="shared" si="159"/>
        <v>10</v>
      </c>
      <c r="T152" s="1531">
        <f>+T153+T154</f>
        <v>15</v>
      </c>
      <c r="U152" s="1531">
        <f>+U153+U154</f>
        <v>13</v>
      </c>
      <c r="V152" s="1531">
        <f t="shared" ref="V152:AD152" si="160">+V153+V154+V155</f>
        <v>7</v>
      </c>
      <c r="W152" s="1531">
        <f t="shared" si="160"/>
        <v>11</v>
      </c>
      <c r="X152" s="1531">
        <f t="shared" si="160"/>
        <v>16</v>
      </c>
      <c r="Y152" s="1531">
        <f t="shared" si="160"/>
        <v>21</v>
      </c>
      <c r="Z152" s="1531">
        <f t="shared" si="160"/>
        <v>23</v>
      </c>
      <c r="AA152" s="1531">
        <f t="shared" si="160"/>
        <v>19</v>
      </c>
      <c r="AB152" s="1531">
        <f t="shared" si="160"/>
        <v>31</v>
      </c>
      <c r="AC152" s="1531">
        <f t="shared" si="160"/>
        <v>36</v>
      </c>
      <c r="AD152" s="1531">
        <f t="shared" si="160"/>
        <v>30</v>
      </c>
      <c r="AE152" s="1531">
        <f>+AE153+AE154+AE155</f>
        <v>35</v>
      </c>
      <c r="AF152" s="1531">
        <f>+AF153+AF154+AF155</f>
        <v>35</v>
      </c>
      <c r="AG152" s="1531">
        <f>+AG153+AG154+AG155</f>
        <v>35</v>
      </c>
      <c r="AH152" s="1531">
        <f>+AH153+AH154+AH155</f>
        <v>35</v>
      </c>
      <c r="AI152" s="1423"/>
      <c r="AJ152" s="1448"/>
      <c r="AK152" s="1423"/>
      <c r="AL152" s="1423"/>
      <c r="AM152" s="1423"/>
      <c r="AN152" s="1423"/>
      <c r="AO152" s="1423"/>
      <c r="AP152" s="1449"/>
      <c r="AQ152" s="1423"/>
      <c r="AR152" s="1423"/>
      <c r="AS152" s="1421"/>
      <c r="AT152" s="1421"/>
      <c r="AU152" s="1421"/>
      <c r="AV152" s="1421"/>
      <c r="AW152" s="1421"/>
      <c r="AX152" s="1421"/>
      <c r="AY152" s="1421"/>
    </row>
    <row r="153" spans="1:51">
      <c r="A153" s="1511" t="s">
        <v>383</v>
      </c>
      <c r="B153" s="1434">
        <v>5</v>
      </c>
      <c r="C153" s="1434">
        <f>+C149+C151</f>
        <v>4</v>
      </c>
      <c r="D153" s="1434">
        <f t="shared" ref="D153:J153" si="161">+D149+D151</f>
        <v>6</v>
      </c>
      <c r="E153" s="1434">
        <f t="shared" si="161"/>
        <v>12</v>
      </c>
      <c r="F153" s="1434">
        <f t="shared" si="161"/>
        <v>10</v>
      </c>
      <c r="G153" s="1434">
        <f t="shared" si="161"/>
        <v>15</v>
      </c>
      <c r="H153" s="1434">
        <f t="shared" si="161"/>
        <v>13</v>
      </c>
      <c r="I153" s="1434">
        <f t="shared" si="161"/>
        <v>11</v>
      </c>
      <c r="J153" s="1434">
        <f t="shared" si="161"/>
        <v>11</v>
      </c>
      <c r="K153" s="1434">
        <f>+Stores!$Z$93</f>
        <v>13</v>
      </c>
      <c r="L153" s="1434">
        <f>+Stores!$Z$101</f>
        <v>17</v>
      </c>
      <c r="M153" s="1434">
        <f>+Stores!$Z$109</f>
        <v>14</v>
      </c>
      <c r="N153" s="1434">
        <f>+Stores!$Z$117</f>
        <v>15</v>
      </c>
      <c r="O153" s="1434">
        <f>+Stores!$Z$125</f>
        <v>14</v>
      </c>
      <c r="P153" s="1531">
        <f>+Stores!$Z$133</f>
        <v>8</v>
      </c>
      <c r="Q153" s="1531">
        <f>+Stores!$Z$141</f>
        <v>6</v>
      </c>
      <c r="R153" s="1531">
        <f>+Stores!$Z$149</f>
        <v>10</v>
      </c>
      <c r="S153" s="1531">
        <f>+Stores!$Z$156</f>
        <v>7</v>
      </c>
      <c r="T153" s="1531">
        <f>+Stores!$Z$163</f>
        <v>11</v>
      </c>
      <c r="U153" s="1531">
        <f>+Stores!$Z$170</f>
        <v>9</v>
      </c>
      <c r="V153" s="1531">
        <f>+Stores!$Z$177</f>
        <v>4</v>
      </c>
      <c r="W153" s="1531">
        <f>+Stores!$Z$184</f>
        <v>1</v>
      </c>
      <c r="X153" s="1531">
        <f>+Stores!$Z$191</f>
        <v>6</v>
      </c>
      <c r="Y153" s="1531">
        <f>+Stores!$Z$198</f>
        <v>5</v>
      </c>
      <c r="Z153" s="1531">
        <f>+Stores!$Z$205</f>
        <v>7</v>
      </c>
      <c r="AA153" s="1531">
        <f>+Stores!$Z$212</f>
        <v>11</v>
      </c>
      <c r="AB153" s="1531">
        <f>+Stores!$Z$219</f>
        <v>10</v>
      </c>
      <c r="AC153" s="1531">
        <f>+Stores!$Z$226</f>
        <v>9</v>
      </c>
      <c r="AD153" s="1531">
        <f>+Stores!$Z$233</f>
        <v>15</v>
      </c>
      <c r="AE153" s="1531">
        <f>+Stores!$Z$240</f>
        <v>15</v>
      </c>
      <c r="AF153" s="1531">
        <f>+Stores!$Z$247</f>
        <v>15</v>
      </c>
      <c r="AG153" s="1531">
        <f>+Stores!$Z$254</f>
        <v>15</v>
      </c>
      <c r="AH153" s="1531">
        <f>+Stores!$Z$254</f>
        <v>15</v>
      </c>
      <c r="AI153" s="1423"/>
      <c r="AJ153" s="1448"/>
      <c r="AK153" s="1423"/>
      <c r="AL153" s="1423"/>
      <c r="AM153" s="1423"/>
      <c r="AN153" s="1423"/>
      <c r="AO153" s="1423"/>
      <c r="AP153" s="1449"/>
      <c r="AQ153" s="1423"/>
      <c r="AR153" s="1423"/>
      <c r="AS153" s="1421"/>
      <c r="AT153" s="1421"/>
      <c r="AU153" s="1421"/>
      <c r="AV153" s="1421"/>
      <c r="AW153" s="1421"/>
      <c r="AX153" s="1421"/>
      <c r="AY153" s="1421"/>
    </row>
    <row r="154" spans="1:51">
      <c r="A154" s="1511" t="s">
        <v>382</v>
      </c>
      <c r="B154" s="1434"/>
      <c r="C154" s="1434"/>
      <c r="D154" s="1434"/>
      <c r="E154" s="1434"/>
      <c r="F154" s="1434"/>
      <c r="G154" s="1434"/>
      <c r="H154" s="1434"/>
      <c r="I154" s="1434"/>
      <c r="J154" s="1434"/>
      <c r="K154" s="1434"/>
      <c r="L154" s="1434">
        <f>+Stores!$BB101</f>
        <v>0</v>
      </c>
      <c r="M154" s="1434">
        <f>+Stores!$BB109</f>
        <v>7</v>
      </c>
      <c r="N154" s="1434">
        <f>+Stores!$BB117</f>
        <v>8</v>
      </c>
      <c r="O154" s="1434">
        <f>+Stores!$BB125</f>
        <v>10</v>
      </c>
      <c r="P154" s="1531">
        <f>+Stores!$BB133</f>
        <v>15</v>
      </c>
      <c r="Q154" s="1531">
        <f>+Stores!$BB141</f>
        <v>18</v>
      </c>
      <c r="R154" s="1531">
        <f>+Stores!$BB149</f>
        <v>10</v>
      </c>
      <c r="S154" s="1531">
        <f>+Stores!$BB156</f>
        <v>3</v>
      </c>
      <c r="T154" s="1531">
        <f>+Stores!$BB163</f>
        <v>4</v>
      </c>
      <c r="U154" s="1531">
        <f>+Stores!$BB170</f>
        <v>4</v>
      </c>
      <c r="V154" s="1531">
        <f>+Stores!$BB177</f>
        <v>3</v>
      </c>
      <c r="W154" s="1531">
        <f>+Stores!$BB184</f>
        <v>4</v>
      </c>
      <c r="X154" s="1531">
        <f>+Stores!$BB191</f>
        <v>2</v>
      </c>
      <c r="Y154" s="1531">
        <f>+Stores!$BB198</f>
        <v>3</v>
      </c>
      <c r="Z154" s="1531">
        <f>+Stores!$BB205</f>
        <v>5</v>
      </c>
      <c r="AA154" s="1531">
        <f>+Stores!$BB212</f>
        <v>5</v>
      </c>
      <c r="AB154" s="1531">
        <f>+Stores!$BB219</f>
        <v>5</v>
      </c>
      <c r="AC154" s="1531">
        <f>+Stores!$BB226</f>
        <v>11</v>
      </c>
      <c r="AD154" s="1531">
        <f>+Stores!$BB233</f>
        <v>5</v>
      </c>
      <c r="AE154" s="1531">
        <f>+Stores!$BB240</f>
        <v>5</v>
      </c>
      <c r="AF154" s="1531">
        <f>+Stores!$BB247</f>
        <v>5</v>
      </c>
      <c r="AG154" s="1531">
        <f>+Stores!$BB254</f>
        <v>5</v>
      </c>
      <c r="AH154" s="1531">
        <f>+Stores!$BB254</f>
        <v>5</v>
      </c>
      <c r="AI154" s="1423"/>
      <c r="AJ154" s="1448"/>
      <c r="AK154" s="1423"/>
      <c r="AL154" s="1423"/>
      <c r="AM154" s="1423"/>
      <c r="AN154" s="1423"/>
      <c r="AO154" s="1423"/>
      <c r="AP154" s="1449"/>
      <c r="AQ154" s="1423"/>
      <c r="AR154" s="1423"/>
      <c r="AS154" s="1421"/>
      <c r="AT154" s="1421"/>
      <c r="AU154" s="1421"/>
      <c r="AV154" s="1421"/>
      <c r="AW154" s="1421"/>
      <c r="AX154" s="1421"/>
      <c r="AY154" s="1421"/>
    </row>
    <row r="155" spans="1:51">
      <c r="A155" s="1511" t="s">
        <v>627</v>
      </c>
      <c r="B155" s="1434"/>
      <c r="C155" s="1434"/>
      <c r="D155" s="1434"/>
      <c r="E155" s="1434"/>
      <c r="F155" s="1434"/>
      <c r="G155" s="1434"/>
      <c r="H155" s="1434"/>
      <c r="I155" s="1434"/>
      <c r="J155" s="1434"/>
      <c r="K155" s="1434"/>
      <c r="L155" s="1434"/>
      <c r="M155" s="1434"/>
      <c r="N155" s="1434"/>
      <c r="O155" s="1434"/>
      <c r="P155" s="1531"/>
      <c r="Q155" s="1531"/>
      <c r="R155" s="1531"/>
      <c r="S155" s="1531"/>
      <c r="T155" s="1531"/>
      <c r="U155" s="1531"/>
      <c r="V155" s="1531">
        <f>+Stores!$BP177</f>
        <v>0</v>
      </c>
      <c r="W155" s="1531">
        <f>+Stores!$BP184</f>
        <v>6</v>
      </c>
      <c r="X155" s="1531">
        <f>+Stores!$BP191</f>
        <v>8</v>
      </c>
      <c r="Y155" s="1531">
        <f>+Stores!$BP198</f>
        <v>13</v>
      </c>
      <c r="Z155" s="1531">
        <f>+Stores!$BP205</f>
        <v>11</v>
      </c>
      <c r="AA155" s="1531">
        <f>+Stores!$BP212</f>
        <v>3</v>
      </c>
      <c r="AB155" s="1531">
        <f>+Stores!$BP219</f>
        <v>16</v>
      </c>
      <c r="AC155" s="1531">
        <f>+Stores!$BP226</f>
        <v>16</v>
      </c>
      <c r="AD155" s="1531">
        <f>+Stores!$BP233</f>
        <v>10</v>
      </c>
      <c r="AE155" s="1531">
        <f>+Stores!$BP240</f>
        <v>15</v>
      </c>
      <c r="AF155" s="1531">
        <f>+Stores!$BP247</f>
        <v>15</v>
      </c>
      <c r="AG155" s="1531">
        <f>+Stores!$BP254</f>
        <v>15</v>
      </c>
      <c r="AH155" s="1531">
        <f>+Stores!$BP254</f>
        <v>15</v>
      </c>
      <c r="AI155" s="1423"/>
      <c r="AJ155" s="1448"/>
      <c r="AK155" s="1423"/>
      <c r="AL155" s="1423"/>
      <c r="AM155" s="1423"/>
      <c r="AN155" s="1423"/>
      <c r="AO155" s="1423"/>
      <c r="AP155" s="1449"/>
      <c r="AQ155" s="1423"/>
      <c r="AR155" s="1423"/>
      <c r="AS155" s="1421"/>
      <c r="AT155" s="1421"/>
      <c r="AU155" s="1421"/>
      <c r="AV155" s="1421"/>
      <c r="AW155" s="1421"/>
      <c r="AX155" s="1421"/>
      <c r="AY155" s="1421"/>
    </row>
    <row r="156" spans="1:51">
      <c r="A156" s="1450" t="s">
        <v>194</v>
      </c>
      <c r="B156" s="1434">
        <v>5</v>
      </c>
      <c r="C156" s="1466">
        <f t="shared" ref="C156:J156" si="162">+C144+C152</f>
        <v>9</v>
      </c>
      <c r="D156" s="1466">
        <f t="shared" si="162"/>
        <v>15</v>
      </c>
      <c r="E156" s="1466">
        <f t="shared" si="162"/>
        <v>27</v>
      </c>
      <c r="F156" s="1466">
        <f t="shared" si="162"/>
        <v>37</v>
      </c>
      <c r="G156" s="1466">
        <f t="shared" si="162"/>
        <v>52</v>
      </c>
      <c r="H156" s="1466">
        <f t="shared" si="162"/>
        <v>65</v>
      </c>
      <c r="I156" s="1466">
        <f t="shared" si="162"/>
        <v>76</v>
      </c>
      <c r="J156" s="1466">
        <f t="shared" si="162"/>
        <v>87</v>
      </c>
      <c r="K156" s="1466">
        <f t="shared" ref="K156:Y156" si="163">+K144+K152</f>
        <v>100</v>
      </c>
      <c r="L156" s="1466">
        <f t="shared" si="163"/>
        <v>117</v>
      </c>
      <c r="M156" s="1466">
        <f t="shared" si="163"/>
        <v>138</v>
      </c>
      <c r="N156" s="1466">
        <f t="shared" si="163"/>
        <v>161</v>
      </c>
      <c r="O156" s="1466">
        <f t="shared" si="163"/>
        <v>185</v>
      </c>
      <c r="P156" s="1466">
        <f t="shared" si="163"/>
        <v>208</v>
      </c>
      <c r="Q156" s="1466">
        <f t="shared" si="163"/>
        <v>232</v>
      </c>
      <c r="R156" s="1466">
        <f t="shared" si="163"/>
        <v>252</v>
      </c>
      <c r="S156" s="1466">
        <f t="shared" si="163"/>
        <v>262</v>
      </c>
      <c r="T156" s="1466">
        <f t="shared" si="163"/>
        <v>277</v>
      </c>
      <c r="U156" s="1466">
        <f t="shared" si="163"/>
        <v>290</v>
      </c>
      <c r="V156" s="1466">
        <f t="shared" si="163"/>
        <v>297</v>
      </c>
      <c r="W156" s="1466">
        <f t="shared" si="163"/>
        <v>308</v>
      </c>
      <c r="X156" s="1466">
        <f t="shared" si="163"/>
        <v>324</v>
      </c>
      <c r="Y156" s="1466">
        <f t="shared" si="163"/>
        <v>345</v>
      </c>
      <c r="Z156" s="1466">
        <f t="shared" ref="Z156:AD159" si="164">+Z144+Z152</f>
        <v>368</v>
      </c>
      <c r="AA156" s="1466">
        <f t="shared" si="164"/>
        <v>387</v>
      </c>
      <c r="AB156" s="1466">
        <f t="shared" si="164"/>
        <v>418</v>
      </c>
      <c r="AC156" s="1466">
        <f t="shared" si="164"/>
        <v>454</v>
      </c>
      <c r="AD156" s="1466">
        <f t="shared" si="164"/>
        <v>484</v>
      </c>
      <c r="AE156" s="1466">
        <f t="shared" ref="AE156:AF159" si="165">+AE144+AE152</f>
        <v>519</v>
      </c>
      <c r="AF156" s="1466">
        <f t="shared" si="165"/>
        <v>554</v>
      </c>
      <c r="AG156" s="1466">
        <f t="shared" ref="AG156:AH159" si="166">+AG144+AG152</f>
        <v>589</v>
      </c>
      <c r="AH156" s="1466">
        <f t="shared" si="166"/>
        <v>624</v>
      </c>
      <c r="AI156" s="1423"/>
      <c r="AJ156" s="1448"/>
      <c r="AK156" s="1453">
        <f>((X156/S156)^(1/5)-1)*100</f>
        <v>4.3394982092881174</v>
      </c>
      <c r="AL156" s="1454" t="s">
        <v>190</v>
      </c>
      <c r="AM156" s="1453">
        <f>((AC156/X156)^(1/5)-1)*100</f>
        <v>6.979895302447181</v>
      </c>
      <c r="AN156" s="1454" t="s">
        <v>190</v>
      </c>
      <c r="AO156" s="1455">
        <f>((AH156/AC156)^(1/5)-1)*100</f>
        <v>6.5677379500945987</v>
      </c>
      <c r="AP156" s="1449" t="s">
        <v>190</v>
      </c>
      <c r="AQ156" s="1454"/>
      <c r="AR156" s="1423"/>
      <c r="AS156" s="1421"/>
      <c r="AT156" s="1421"/>
      <c r="AU156" s="1421"/>
      <c r="AV156" s="1421"/>
      <c r="AW156" s="1421"/>
      <c r="AX156" s="1421"/>
      <c r="AY156" s="1421"/>
    </row>
    <row r="157" spans="1:51">
      <c r="A157" s="1511" t="s">
        <v>383</v>
      </c>
      <c r="B157" s="1482">
        <v>5</v>
      </c>
      <c r="C157" s="1482">
        <f t="shared" ref="C157:J157" si="167">+C145+C149</f>
        <v>9</v>
      </c>
      <c r="D157" s="1482">
        <f t="shared" si="167"/>
        <v>15</v>
      </c>
      <c r="E157" s="1482">
        <f t="shared" si="167"/>
        <v>27</v>
      </c>
      <c r="F157" s="1482">
        <f t="shared" si="167"/>
        <v>37</v>
      </c>
      <c r="G157" s="1482">
        <f t="shared" si="167"/>
        <v>52</v>
      </c>
      <c r="H157" s="1482">
        <f t="shared" si="167"/>
        <v>65</v>
      </c>
      <c r="I157" s="1482">
        <f t="shared" si="167"/>
        <v>76</v>
      </c>
      <c r="J157" s="1482">
        <f t="shared" si="167"/>
        <v>87</v>
      </c>
      <c r="K157" s="1482">
        <f t="shared" ref="K157:Y157" si="168">+K145+K153</f>
        <v>100</v>
      </c>
      <c r="L157" s="1482">
        <f t="shared" si="168"/>
        <v>117</v>
      </c>
      <c r="M157" s="1482">
        <f t="shared" si="168"/>
        <v>131</v>
      </c>
      <c r="N157" s="1482">
        <f t="shared" si="168"/>
        <v>146</v>
      </c>
      <c r="O157" s="1482">
        <f t="shared" si="168"/>
        <v>160</v>
      </c>
      <c r="P157" s="1482">
        <f t="shared" si="168"/>
        <v>168</v>
      </c>
      <c r="Q157" s="1482">
        <f t="shared" si="168"/>
        <v>174</v>
      </c>
      <c r="R157" s="1482">
        <f t="shared" si="168"/>
        <v>184</v>
      </c>
      <c r="S157" s="1482">
        <f t="shared" si="168"/>
        <v>191</v>
      </c>
      <c r="T157" s="1482">
        <f t="shared" si="168"/>
        <v>202</v>
      </c>
      <c r="U157" s="1482">
        <f t="shared" si="168"/>
        <v>211</v>
      </c>
      <c r="V157" s="1482">
        <f t="shared" si="168"/>
        <v>215</v>
      </c>
      <c r="W157" s="1482">
        <f t="shared" si="168"/>
        <v>216</v>
      </c>
      <c r="X157" s="1482">
        <f t="shared" si="168"/>
        <v>222</v>
      </c>
      <c r="Y157" s="1482">
        <f t="shared" si="168"/>
        <v>227</v>
      </c>
      <c r="Z157" s="1482">
        <f t="shared" si="164"/>
        <v>234</v>
      </c>
      <c r="AA157" s="1482">
        <f t="shared" si="164"/>
        <v>245</v>
      </c>
      <c r="AB157" s="1482">
        <f t="shared" si="164"/>
        <v>255</v>
      </c>
      <c r="AC157" s="1482">
        <f t="shared" si="164"/>
        <v>264</v>
      </c>
      <c r="AD157" s="1482">
        <f t="shared" si="164"/>
        <v>279</v>
      </c>
      <c r="AE157" s="1482">
        <f t="shared" si="165"/>
        <v>294</v>
      </c>
      <c r="AF157" s="1482">
        <f t="shared" si="165"/>
        <v>309</v>
      </c>
      <c r="AG157" s="1482">
        <f t="shared" si="166"/>
        <v>324</v>
      </c>
      <c r="AH157" s="1482">
        <f t="shared" si="166"/>
        <v>339</v>
      </c>
      <c r="AI157" s="1423"/>
      <c r="AJ157" s="1448"/>
      <c r="AK157" s="1453"/>
      <c r="AL157" s="1454"/>
      <c r="AM157" s="1423"/>
      <c r="AN157" s="1454"/>
      <c r="AO157" s="1423"/>
      <c r="AP157" s="1459"/>
      <c r="AQ157" s="1454"/>
      <c r="AR157" s="1423"/>
      <c r="AS157" s="1421"/>
      <c r="AT157" s="1421"/>
      <c r="AU157" s="1421"/>
      <c r="AV157" s="1421"/>
      <c r="AW157" s="1421"/>
      <c r="AX157" s="1421"/>
      <c r="AY157" s="1421"/>
    </row>
    <row r="158" spans="1:51">
      <c r="A158" s="1511" t="s">
        <v>382</v>
      </c>
      <c r="B158" s="1434"/>
      <c r="C158" s="1434"/>
      <c r="D158" s="1434"/>
      <c r="E158" s="1434"/>
      <c r="F158" s="1434"/>
      <c r="G158" s="1482"/>
      <c r="H158" s="1482"/>
      <c r="I158" s="1482"/>
      <c r="J158" s="1482"/>
      <c r="K158" s="1482"/>
      <c r="L158" s="1482">
        <f t="shared" ref="L158:R158" si="169">+L146+L154</f>
        <v>0</v>
      </c>
      <c r="M158" s="1482">
        <f t="shared" si="169"/>
        <v>7</v>
      </c>
      <c r="N158" s="1482">
        <f t="shared" si="169"/>
        <v>15</v>
      </c>
      <c r="O158" s="1482">
        <f t="shared" si="169"/>
        <v>25</v>
      </c>
      <c r="P158" s="1482">
        <f t="shared" si="169"/>
        <v>40</v>
      </c>
      <c r="Q158" s="1482">
        <f t="shared" si="169"/>
        <v>58</v>
      </c>
      <c r="R158" s="1482">
        <f t="shared" si="169"/>
        <v>68</v>
      </c>
      <c r="S158" s="1482">
        <f t="shared" ref="S158:Y158" si="170">+S146+S154</f>
        <v>71</v>
      </c>
      <c r="T158" s="1482">
        <f t="shared" si="170"/>
        <v>75</v>
      </c>
      <c r="U158" s="1482">
        <f t="shared" si="170"/>
        <v>79</v>
      </c>
      <c r="V158" s="1482">
        <f t="shared" si="170"/>
        <v>82</v>
      </c>
      <c r="W158" s="1482">
        <f t="shared" si="170"/>
        <v>86</v>
      </c>
      <c r="X158" s="1482">
        <f t="shared" si="170"/>
        <v>88</v>
      </c>
      <c r="Y158" s="1482">
        <f t="shared" si="170"/>
        <v>91</v>
      </c>
      <c r="Z158" s="1482">
        <f t="shared" si="164"/>
        <v>96</v>
      </c>
      <c r="AA158" s="1482">
        <f t="shared" si="164"/>
        <v>101</v>
      </c>
      <c r="AB158" s="1482">
        <f t="shared" si="164"/>
        <v>106</v>
      </c>
      <c r="AC158" s="1482">
        <f t="shared" si="164"/>
        <v>117</v>
      </c>
      <c r="AD158" s="1482">
        <f t="shared" si="164"/>
        <v>122</v>
      </c>
      <c r="AE158" s="1482">
        <f t="shared" si="165"/>
        <v>127</v>
      </c>
      <c r="AF158" s="1482">
        <f t="shared" si="165"/>
        <v>132</v>
      </c>
      <c r="AG158" s="1482">
        <f t="shared" si="166"/>
        <v>137</v>
      </c>
      <c r="AH158" s="1482">
        <f t="shared" si="166"/>
        <v>142</v>
      </c>
      <c r="AI158" s="1423"/>
      <c r="AJ158" s="1448"/>
      <c r="AK158" s="1453"/>
      <c r="AL158" s="1454"/>
      <c r="AM158" s="1423"/>
      <c r="AN158" s="1454"/>
      <c r="AO158" s="1423"/>
      <c r="AP158" s="1459"/>
      <c r="AQ158" s="1454"/>
      <c r="AR158" s="1423"/>
      <c r="AS158" s="1421"/>
      <c r="AT158" s="1421"/>
      <c r="AU158" s="1421"/>
      <c r="AV158" s="1421"/>
      <c r="AW158" s="1421"/>
      <c r="AX158" s="1421"/>
      <c r="AY158" s="1421"/>
    </row>
    <row r="159" spans="1:51">
      <c r="A159" s="1511" t="s">
        <v>627</v>
      </c>
      <c r="B159" s="1434"/>
      <c r="C159" s="1434"/>
      <c r="D159" s="1434"/>
      <c r="E159" s="1434"/>
      <c r="F159" s="1434"/>
      <c r="G159" s="1482"/>
      <c r="H159" s="1482"/>
      <c r="I159" s="1482"/>
      <c r="J159" s="1482"/>
      <c r="K159" s="1482"/>
      <c r="L159" s="1482"/>
      <c r="M159" s="1482"/>
      <c r="N159" s="1482"/>
      <c r="O159" s="1482"/>
      <c r="P159" s="1482"/>
      <c r="Q159" s="1482"/>
      <c r="R159" s="1482"/>
      <c r="S159" s="1482"/>
      <c r="T159" s="1482"/>
      <c r="U159" s="1482"/>
      <c r="V159" s="1517">
        <v>0</v>
      </c>
      <c r="W159" s="1482">
        <f>+W147+W155</f>
        <v>6</v>
      </c>
      <c r="X159" s="1482">
        <f>+X147+X155</f>
        <v>14</v>
      </c>
      <c r="Y159" s="1482">
        <f>+Y147+Y155</f>
        <v>27</v>
      </c>
      <c r="Z159" s="1482">
        <f t="shared" si="164"/>
        <v>38</v>
      </c>
      <c r="AA159" s="1482">
        <f t="shared" si="164"/>
        <v>41</v>
      </c>
      <c r="AB159" s="1482">
        <f t="shared" si="164"/>
        <v>57</v>
      </c>
      <c r="AC159" s="1482">
        <f t="shared" si="164"/>
        <v>73</v>
      </c>
      <c r="AD159" s="1482">
        <f t="shared" si="164"/>
        <v>83</v>
      </c>
      <c r="AE159" s="1482">
        <f t="shared" si="165"/>
        <v>98</v>
      </c>
      <c r="AF159" s="1482">
        <f t="shared" si="165"/>
        <v>113</v>
      </c>
      <c r="AG159" s="1482">
        <f t="shared" si="166"/>
        <v>128</v>
      </c>
      <c r="AH159" s="1482">
        <f t="shared" si="166"/>
        <v>143</v>
      </c>
      <c r="AI159" s="1423"/>
      <c r="AJ159" s="1448"/>
      <c r="AK159" s="1453"/>
      <c r="AL159" s="1454"/>
      <c r="AM159" s="1423"/>
      <c r="AN159" s="1454"/>
      <c r="AO159" s="1423"/>
      <c r="AP159" s="1459"/>
      <c r="AQ159" s="1454"/>
      <c r="AR159" s="1423"/>
      <c r="AS159" s="1421"/>
      <c r="AT159" s="1421"/>
      <c r="AU159" s="1421"/>
      <c r="AV159" s="1421"/>
      <c r="AW159" s="1421"/>
      <c r="AX159" s="1421"/>
      <c r="AY159" s="1421"/>
    </row>
    <row r="160" spans="1:51">
      <c r="A160" s="1450" t="s">
        <v>195</v>
      </c>
      <c r="B160" s="1482"/>
      <c r="C160" s="1482">
        <f t="shared" ref="C160:H160" si="171">(+C156+C144)/2</f>
        <v>7</v>
      </c>
      <c r="D160" s="1482">
        <f t="shared" si="171"/>
        <v>12</v>
      </c>
      <c r="E160" s="1482">
        <f t="shared" si="171"/>
        <v>21</v>
      </c>
      <c r="F160" s="1482">
        <f t="shared" si="171"/>
        <v>32</v>
      </c>
      <c r="G160" s="1482">
        <f t="shared" si="171"/>
        <v>44.5</v>
      </c>
      <c r="H160" s="1482">
        <f t="shared" si="171"/>
        <v>58.5</v>
      </c>
      <c r="I160" s="1482">
        <f t="shared" ref="I160:R160" si="172">(+I156+I144)/2</f>
        <v>70.5</v>
      </c>
      <c r="J160" s="1482">
        <f t="shared" si="172"/>
        <v>81.5</v>
      </c>
      <c r="K160" s="1482">
        <f t="shared" si="172"/>
        <v>93.5</v>
      </c>
      <c r="L160" s="1482">
        <f t="shared" si="172"/>
        <v>108.5</v>
      </c>
      <c r="M160" s="1482">
        <f t="shared" si="172"/>
        <v>127.5</v>
      </c>
      <c r="N160" s="1482">
        <f t="shared" si="172"/>
        <v>149.5</v>
      </c>
      <c r="O160" s="1482">
        <f t="shared" si="172"/>
        <v>173</v>
      </c>
      <c r="P160" s="1482">
        <f t="shared" si="172"/>
        <v>196.5</v>
      </c>
      <c r="Q160" s="1482">
        <f t="shared" si="172"/>
        <v>220</v>
      </c>
      <c r="R160" s="1482">
        <f t="shared" si="172"/>
        <v>242</v>
      </c>
      <c r="S160" s="1482">
        <f t="shared" ref="S160:X160" si="173">(+S156+S144)/2</f>
        <v>257</v>
      </c>
      <c r="T160" s="1482">
        <f t="shared" si="173"/>
        <v>269.5</v>
      </c>
      <c r="U160" s="1482">
        <f t="shared" si="173"/>
        <v>283.5</v>
      </c>
      <c r="V160" s="1482">
        <f t="shared" si="173"/>
        <v>293.5</v>
      </c>
      <c r="W160" s="1482">
        <f t="shared" si="173"/>
        <v>302.5</v>
      </c>
      <c r="X160" s="1482">
        <f t="shared" si="173"/>
        <v>316</v>
      </c>
      <c r="Y160" s="1482">
        <f t="shared" ref="Y160:AD160" si="174">(+Y156+Y144)/2</f>
        <v>334.5</v>
      </c>
      <c r="Z160" s="1482">
        <f t="shared" si="174"/>
        <v>356.5</v>
      </c>
      <c r="AA160" s="1482">
        <f t="shared" si="174"/>
        <v>377.5</v>
      </c>
      <c r="AB160" s="1482">
        <f t="shared" si="174"/>
        <v>402.5</v>
      </c>
      <c r="AC160" s="1482">
        <f t="shared" si="174"/>
        <v>436</v>
      </c>
      <c r="AD160" s="1482">
        <f t="shared" si="174"/>
        <v>469</v>
      </c>
      <c r="AE160" s="1482">
        <f>(+AE156+AE144)/2</f>
        <v>501.5</v>
      </c>
      <c r="AF160" s="1482">
        <f>(+AF156+AF144)/2</f>
        <v>536.5</v>
      </c>
      <c r="AG160" s="1482">
        <f>(+AG156+AG144)/2</f>
        <v>571.5</v>
      </c>
      <c r="AH160" s="1482">
        <f>(+AH156+AH144)/2</f>
        <v>606.5</v>
      </c>
      <c r="AI160" s="1478"/>
      <c r="AJ160" s="1479"/>
      <c r="AK160" s="1478"/>
      <c r="AL160" s="1478"/>
      <c r="AM160" s="1423"/>
      <c r="AN160" s="1478"/>
      <c r="AO160" s="1423"/>
      <c r="AP160" s="1480"/>
      <c r="AQ160" s="1478"/>
      <c r="AR160" s="1423"/>
      <c r="AS160" s="1421"/>
      <c r="AT160" s="1421"/>
      <c r="AU160" s="1421"/>
      <c r="AV160" s="1421"/>
      <c r="AW160" s="1421"/>
      <c r="AX160" s="1421"/>
      <c r="AY160" s="1421"/>
    </row>
    <row r="161" spans="1:51">
      <c r="A161" s="1450" t="s">
        <v>197</v>
      </c>
      <c r="B161" s="1445"/>
      <c r="C161" s="1445"/>
      <c r="D161" s="1445">
        <f t="shared" ref="D161:L161" si="175">(D160/C160-1)</f>
        <v>0.71428571428571419</v>
      </c>
      <c r="E161" s="1445">
        <f t="shared" si="175"/>
        <v>0.75</v>
      </c>
      <c r="F161" s="1445">
        <f t="shared" si="175"/>
        <v>0.52380952380952372</v>
      </c>
      <c r="G161" s="1445">
        <f t="shared" si="175"/>
        <v>0.390625</v>
      </c>
      <c r="H161" s="1445">
        <f t="shared" si="175"/>
        <v>0.31460674157303381</v>
      </c>
      <c r="I161" s="1445">
        <f t="shared" si="175"/>
        <v>0.20512820512820507</v>
      </c>
      <c r="J161" s="1445">
        <f t="shared" si="175"/>
        <v>0.15602836879432624</v>
      </c>
      <c r="K161" s="1445">
        <f t="shared" si="175"/>
        <v>0.14723926380368102</v>
      </c>
      <c r="L161" s="1445">
        <f t="shared" si="175"/>
        <v>0.16042780748663099</v>
      </c>
      <c r="M161" s="1445">
        <f t="shared" ref="M161:AH161" si="176">(M160/L160-1)</f>
        <v>0.1751152073732718</v>
      </c>
      <c r="N161" s="1445">
        <f t="shared" si="176"/>
        <v>0.17254901960784319</v>
      </c>
      <c r="O161" s="1445">
        <f t="shared" si="176"/>
        <v>0.15719063545150491</v>
      </c>
      <c r="P161" s="1445">
        <f t="shared" si="176"/>
        <v>0.13583815028901736</v>
      </c>
      <c r="Q161" s="1445">
        <f t="shared" si="176"/>
        <v>0.11959287531806617</v>
      </c>
      <c r="R161" s="1445">
        <f t="shared" si="176"/>
        <v>0.10000000000000009</v>
      </c>
      <c r="S161" s="1445">
        <f t="shared" si="176"/>
        <v>6.198347107438007E-2</v>
      </c>
      <c r="T161" s="1445">
        <f t="shared" si="176"/>
        <v>4.8638132295719894E-2</v>
      </c>
      <c r="U161" s="1445">
        <f t="shared" si="176"/>
        <v>5.1948051948051965E-2</v>
      </c>
      <c r="V161" s="1445">
        <f t="shared" si="176"/>
        <v>3.5273368606701938E-2</v>
      </c>
      <c r="W161" s="1445">
        <f t="shared" si="176"/>
        <v>3.0664395229982988E-2</v>
      </c>
      <c r="X161" s="1445">
        <f t="shared" si="176"/>
        <v>4.4628099173553704E-2</v>
      </c>
      <c r="Y161" s="1445">
        <f t="shared" si="176"/>
        <v>5.8544303797468444E-2</v>
      </c>
      <c r="Z161" s="1445">
        <f t="shared" si="176"/>
        <v>6.5769805680119475E-2</v>
      </c>
      <c r="AA161" s="1445">
        <f t="shared" si="176"/>
        <v>5.8906030855540026E-2</v>
      </c>
      <c r="AB161" s="1445">
        <f t="shared" si="176"/>
        <v>6.6225165562913801E-2</v>
      </c>
      <c r="AC161" s="1445">
        <f t="shared" si="176"/>
        <v>8.3229813664596364E-2</v>
      </c>
      <c r="AD161" s="1445">
        <f t="shared" si="176"/>
        <v>7.5688073394495348E-2</v>
      </c>
      <c r="AE161" s="1445">
        <f t="shared" si="176"/>
        <v>6.9296375266524546E-2</v>
      </c>
      <c r="AF161" s="1445">
        <f t="shared" si="176"/>
        <v>6.9790628115653064E-2</v>
      </c>
      <c r="AG161" s="1445">
        <f t="shared" si="176"/>
        <v>6.5237651444548073E-2</v>
      </c>
      <c r="AH161" s="1445">
        <f t="shared" si="176"/>
        <v>6.12423447069117E-2</v>
      </c>
      <c r="AI161" s="1423"/>
      <c r="AJ161" s="1448"/>
      <c r="AK161" s="1423"/>
      <c r="AL161" s="1423"/>
      <c r="AM161" s="1423"/>
      <c r="AN161" s="1423"/>
      <c r="AO161" s="1423"/>
      <c r="AP161" s="1449"/>
      <c r="AQ161" s="1423"/>
      <c r="AR161" s="1423"/>
      <c r="AS161" s="1421"/>
      <c r="AT161" s="1421"/>
      <c r="AU161" s="1421"/>
      <c r="AV161" s="1421"/>
      <c r="AW161" s="1421"/>
      <c r="AX161" s="1421"/>
      <c r="AY161" s="1421"/>
    </row>
    <row r="162" spans="1:51">
      <c r="A162" s="1421"/>
      <c r="B162" s="1421"/>
      <c r="C162" s="1421"/>
      <c r="D162" s="1421"/>
      <c r="E162" s="1421"/>
      <c r="F162" s="1421"/>
      <c r="G162" s="1421"/>
      <c r="H162" s="1445"/>
      <c r="I162" s="1445"/>
      <c r="J162" s="1421"/>
      <c r="K162" s="1421"/>
      <c r="L162" s="1421"/>
      <c r="M162" s="1421"/>
      <c r="N162" s="1421"/>
      <c r="O162" s="1421"/>
      <c r="P162" s="1421"/>
      <c r="Q162" s="1421"/>
      <c r="R162" s="1421"/>
      <c r="S162" s="1421"/>
      <c r="T162" s="1421"/>
      <c r="U162" s="1421"/>
      <c r="V162" s="1421"/>
      <c r="W162" s="1421"/>
      <c r="X162" s="1421"/>
      <c r="Y162" s="1421"/>
      <c r="Z162" s="1421"/>
      <c r="AA162" s="1421"/>
      <c r="AB162" s="1421"/>
      <c r="AC162" s="1421"/>
      <c r="AD162" s="1421"/>
      <c r="AE162" s="1421"/>
      <c r="AF162" s="1421"/>
      <c r="AG162" s="1421"/>
      <c r="AH162" s="1421"/>
      <c r="AI162" s="1423"/>
      <c r="AJ162" s="1448"/>
      <c r="AK162" s="1423"/>
      <c r="AL162" s="1423"/>
      <c r="AM162" s="1423"/>
      <c r="AN162" s="1423"/>
      <c r="AO162" s="1423"/>
      <c r="AP162" s="1449"/>
      <c r="AQ162" s="1423"/>
      <c r="AR162" s="1423"/>
      <c r="AS162" s="1421"/>
      <c r="AT162" s="1421"/>
      <c r="AU162" s="1421"/>
      <c r="AV162" s="1421"/>
      <c r="AW162" s="1421"/>
      <c r="AX162" s="1421"/>
      <c r="AY162" s="1421"/>
    </row>
    <row r="163" spans="1:51">
      <c r="A163" s="1450" t="s">
        <v>147</v>
      </c>
      <c r="B163" s="1483"/>
      <c r="C163" s="1483">
        <f t="shared" ref="C163:K163" si="177">(C138)/C160</f>
        <v>4</v>
      </c>
      <c r="D163" s="1483">
        <f t="shared" si="177"/>
        <v>4.3166666666666664</v>
      </c>
      <c r="E163" s="1483">
        <f t="shared" si="177"/>
        <v>4.1428571428571432</v>
      </c>
      <c r="F163" s="1483">
        <f t="shared" si="177"/>
        <v>3.75</v>
      </c>
      <c r="G163" s="1483">
        <f t="shared" si="177"/>
        <v>3.9945842696629215</v>
      </c>
      <c r="H163" s="1483">
        <f t="shared" si="177"/>
        <v>4.3143760683760686</v>
      </c>
      <c r="I163" s="1483">
        <f t="shared" si="177"/>
        <v>4.637716312056738</v>
      </c>
      <c r="J163" s="1483">
        <f t="shared" si="177"/>
        <v>4.753840490797546</v>
      </c>
      <c r="K163" s="1483">
        <f t="shared" si="177"/>
        <v>4.9921390374331551</v>
      </c>
      <c r="L163" s="1483">
        <f t="shared" ref="L163:R163" si="178">(L138)/L160</f>
        <v>5.1918064516129032</v>
      </c>
      <c r="M163" s="1483">
        <f t="shared" si="178"/>
        <v>5.1833490196078431</v>
      </c>
      <c r="N163" s="1483">
        <f t="shared" si="178"/>
        <v>5.3056989966555186</v>
      </c>
      <c r="O163" s="1483">
        <f t="shared" si="178"/>
        <v>6.2215780346820804</v>
      </c>
      <c r="P163" s="1483">
        <f t="shared" si="178"/>
        <v>6.5416743002544537</v>
      </c>
      <c r="Q163" s="1483">
        <f t="shared" si="178"/>
        <v>6.6260727272727271</v>
      </c>
      <c r="R163" s="1483">
        <f t="shared" si="178"/>
        <v>7.1933719008264463</v>
      </c>
      <c r="S163" s="1483">
        <f t="shared" ref="S163:X163" si="179">(S138)/S160</f>
        <v>7.9409105058365759</v>
      </c>
      <c r="T163" s="1483">
        <f t="shared" si="179"/>
        <v>7.9385640074211512</v>
      </c>
      <c r="U163" s="1483">
        <f t="shared" si="179"/>
        <v>7.6469559082892422</v>
      </c>
      <c r="V163" s="1483">
        <f t="shared" si="179"/>
        <v>8.5526439522998299</v>
      </c>
      <c r="W163" s="1483">
        <f t="shared" si="179"/>
        <v>8.8597388429752062</v>
      </c>
      <c r="X163" s="1483">
        <f t="shared" si="179"/>
        <v>9.259465189873417</v>
      </c>
      <c r="Y163" s="1483">
        <f t="shared" ref="Y163:AD163" si="180">(Y138)/Y160</f>
        <v>8.6033901345291497</v>
      </c>
      <c r="Z163" s="1483">
        <f t="shared" si="180"/>
        <v>8.0899551192145864</v>
      </c>
      <c r="AA163" s="1483">
        <f t="shared" si="180"/>
        <v>7.5618993377483434</v>
      </c>
      <c r="AB163" s="1483">
        <f t="shared" si="180"/>
        <v>7.8785763975155287</v>
      </c>
      <c r="AC163" s="1483">
        <f t="shared" si="180"/>
        <v>8.3538577981651372</v>
      </c>
      <c r="AD163" s="1483">
        <f t="shared" si="180"/>
        <v>8.4349916247334757</v>
      </c>
      <c r="AE163" s="1483">
        <f>(AE138)/AE160</f>
        <v>8.4383757171795484</v>
      </c>
      <c r="AF163" s="1483">
        <f>(AF138)/AF160</f>
        <v>8.5277940666814143</v>
      </c>
      <c r="AG163" s="1483">
        <f>(AG138)/AG160</f>
        <v>8.6271356278450018</v>
      </c>
      <c r="AH163" s="1483">
        <f>(AH138)/AH160</f>
        <v>8.5544826171641226</v>
      </c>
      <c r="AI163" s="1423"/>
      <c r="AJ163" s="1448"/>
      <c r="AK163" s="1423"/>
      <c r="AL163" s="1423"/>
      <c r="AM163" s="1423"/>
      <c r="AN163" s="1423"/>
      <c r="AO163" s="1423"/>
      <c r="AP163" s="1449"/>
      <c r="AQ163" s="1423"/>
      <c r="AR163" s="1423"/>
      <c r="AS163" s="1421"/>
      <c r="AT163" s="1421"/>
      <c r="AU163" s="1421"/>
      <c r="AV163" s="1421"/>
      <c r="AW163" s="1421"/>
      <c r="AX163" s="1421"/>
      <c r="AY163" s="1421"/>
    </row>
    <row r="164" spans="1:51">
      <c r="A164" s="1450" t="s">
        <v>191</v>
      </c>
      <c r="B164" s="1484"/>
      <c r="C164" s="1484"/>
      <c r="D164" s="1484">
        <f t="shared" ref="D164:M164" si="181">D163/C163-1</f>
        <v>7.9166666666666607E-2</v>
      </c>
      <c r="E164" s="1484">
        <f t="shared" si="181"/>
        <v>-4.026475455046874E-2</v>
      </c>
      <c r="F164" s="1484">
        <f t="shared" si="181"/>
        <v>-9.4827586206896686E-2</v>
      </c>
      <c r="G164" s="1484">
        <f t="shared" si="181"/>
        <v>6.5222471910112434E-2</v>
      </c>
      <c r="H164" s="1484">
        <f t="shared" si="181"/>
        <v>8.005634056635702E-2</v>
      </c>
      <c r="I164" s="1484">
        <f t="shared" si="181"/>
        <v>7.494484452820882E-2</v>
      </c>
      <c r="J164" s="1484">
        <f t="shared" si="181"/>
        <v>2.5039086250040477E-2</v>
      </c>
      <c r="K164" s="1484">
        <f t="shared" si="181"/>
        <v>5.0127585706105648E-2</v>
      </c>
      <c r="L164" s="1484">
        <f t="shared" si="181"/>
        <v>3.9996364821283548E-2</v>
      </c>
      <c r="M164" s="1484">
        <f t="shared" si="181"/>
        <v>-1.6289960120591251E-3</v>
      </c>
      <c r="N164" s="1484">
        <f t="shared" ref="N164:AD164" si="182">N163/M163-1</f>
        <v>2.3604425745757052E-2</v>
      </c>
      <c r="O164" s="1484">
        <f t="shared" si="182"/>
        <v>0.17262174853942747</v>
      </c>
      <c r="P164" s="1484">
        <f t="shared" si="182"/>
        <v>5.1449369241694409E-2</v>
      </c>
      <c r="Q164" s="1484">
        <f t="shared" si="182"/>
        <v>1.2901655317047789E-2</v>
      </c>
      <c r="R164" s="1484">
        <f t="shared" si="182"/>
        <v>8.5616200863406045E-2</v>
      </c>
      <c r="S164" s="1484">
        <f t="shared" si="182"/>
        <v>0.10392047225088485</v>
      </c>
      <c r="T164" s="1484">
        <f t="shared" si="182"/>
        <v>-2.9549488231861432E-4</v>
      </c>
      <c r="U164" s="1484">
        <f t="shared" si="182"/>
        <v>-3.6733104231358116E-2</v>
      </c>
      <c r="V164" s="1484">
        <f t="shared" si="182"/>
        <v>0.11843772278441267</v>
      </c>
      <c r="W164" s="1484">
        <f t="shared" si="182"/>
        <v>3.5906427578199063E-2</v>
      </c>
      <c r="X164" s="1484">
        <f t="shared" si="182"/>
        <v>4.5117170379705973E-2</v>
      </c>
      <c r="Y164" s="1484">
        <f t="shared" si="182"/>
        <v>-7.0854530136554961E-2</v>
      </c>
      <c r="Z164" s="1484">
        <f t="shared" si="182"/>
        <v>-5.9678220711382735E-2</v>
      </c>
      <c r="AA164" s="1484">
        <f t="shared" si="182"/>
        <v>-6.5273017425282021E-2</v>
      </c>
      <c r="AB164" s="1484">
        <f t="shared" si="182"/>
        <v>4.1877978748852351E-2</v>
      </c>
      <c r="AC164" s="1484">
        <f t="shared" si="182"/>
        <v>6.0325797030982065E-2</v>
      </c>
      <c r="AD164" s="1484">
        <f t="shared" si="182"/>
        <v>9.7121388140171128E-3</v>
      </c>
      <c r="AE164" s="1484">
        <f>AE163/AD163-1</f>
        <v>4.0119689463002928E-4</v>
      </c>
      <c r="AF164" s="1484">
        <f>AF163/AE163-1</f>
        <v>1.0596630500798954E-2</v>
      </c>
      <c r="AG164" s="1484">
        <f>AG163/AF163-1</f>
        <v>1.1649151045018957E-2</v>
      </c>
      <c r="AH164" s="1484">
        <f>AH163/AG163-1</f>
        <v>-8.4214522426636629E-3</v>
      </c>
      <c r="AI164" s="1423"/>
      <c r="AJ164" s="1448"/>
      <c r="AK164" s="1423"/>
      <c r="AL164" s="1423"/>
      <c r="AM164" s="1423"/>
      <c r="AN164" s="1423"/>
      <c r="AO164" s="1423"/>
      <c r="AP164" s="1449"/>
      <c r="AQ164" s="1423"/>
      <c r="AR164" s="1423"/>
      <c r="AS164" s="1421"/>
      <c r="AT164" s="1421"/>
      <c r="AU164" s="1421"/>
      <c r="AV164" s="1421"/>
      <c r="AW164" s="1421"/>
      <c r="AX164" s="1421"/>
      <c r="AY164" s="1421"/>
    </row>
    <row r="165" spans="1:51">
      <c r="A165" s="1421"/>
      <c r="B165" s="1421"/>
      <c r="C165" s="1421"/>
      <c r="D165" s="1421"/>
      <c r="E165" s="1421"/>
      <c r="F165" s="1421"/>
      <c r="G165" s="1421"/>
      <c r="H165" s="1421"/>
      <c r="I165" s="1421"/>
      <c r="J165" s="1421"/>
      <c r="K165" s="1421"/>
      <c r="L165" s="1421"/>
      <c r="M165" s="1421"/>
      <c r="N165" s="1421"/>
      <c r="O165" s="1421"/>
      <c r="P165" s="1421"/>
      <c r="Q165" s="1421"/>
      <c r="R165" s="1421"/>
      <c r="S165" s="1421"/>
      <c r="T165" s="1421"/>
      <c r="U165" s="1421"/>
      <c r="V165" s="1421"/>
      <c r="W165" s="1421"/>
      <c r="X165" s="1421"/>
      <c r="Y165" s="1421"/>
      <c r="Z165" s="1421"/>
      <c r="AA165" s="1421"/>
      <c r="AB165" s="1421"/>
      <c r="AC165" s="1421"/>
      <c r="AD165" s="1421"/>
      <c r="AE165" s="1421"/>
      <c r="AF165" s="1421"/>
      <c r="AG165" s="1421"/>
      <c r="AH165" s="1421"/>
      <c r="AI165" s="1423"/>
      <c r="AJ165" s="1448"/>
      <c r="AK165" s="1423"/>
      <c r="AL165" s="1423"/>
      <c r="AM165" s="1423"/>
      <c r="AN165" s="1423"/>
      <c r="AO165" s="1423"/>
      <c r="AP165" s="1449"/>
      <c r="AQ165" s="1423"/>
      <c r="AR165" s="1423"/>
      <c r="AS165" s="1421"/>
      <c r="AT165" s="1421"/>
      <c r="AU165" s="1421"/>
      <c r="AV165" s="1421"/>
      <c r="AW165" s="1421"/>
      <c r="AX165" s="1421"/>
      <c r="AY165" s="1421"/>
    </row>
    <row r="166" spans="1:51">
      <c r="A166" s="1450" t="s">
        <v>199</v>
      </c>
      <c r="B166" s="1486"/>
      <c r="C166" s="1486">
        <f>+(B169+C169)/2</f>
        <v>0.10949999999999999</v>
      </c>
      <c r="D166" s="1486">
        <f>+(C169+D169)/2</f>
        <v>0.21050000000000002</v>
      </c>
      <c r="E166" s="1486">
        <f t="shared" ref="E166:K166" si="183">+(D169+E169)/2</f>
        <v>0.42499999999999999</v>
      </c>
      <c r="F166" s="1486">
        <f t="shared" si="183"/>
        <v>0.70599999999999996</v>
      </c>
      <c r="G166" s="1486">
        <f t="shared" si="183"/>
        <v>1.0514999999999999</v>
      </c>
      <c r="H166" s="1486">
        <f t="shared" si="183"/>
        <v>1.4514999999999998</v>
      </c>
      <c r="I166" s="1486">
        <f t="shared" si="183"/>
        <v>1.8180000000000001</v>
      </c>
      <c r="J166" s="1486">
        <f t="shared" si="183"/>
        <v>2.1604999999999999</v>
      </c>
      <c r="K166" s="1486">
        <f t="shared" si="183"/>
        <v>2.5190000000000001</v>
      </c>
      <c r="L166" s="1486">
        <f t="shared" ref="L166:AD166" si="184">+(K169+L169)/2</f>
        <v>2.9550000000000001</v>
      </c>
      <c r="M166" s="1486">
        <f t="shared" si="184"/>
        <v>3.5124999999999997</v>
      </c>
      <c r="N166" s="1486">
        <f t="shared" si="184"/>
        <v>4.1395</v>
      </c>
      <c r="O166" s="1486">
        <f t="shared" si="184"/>
        <v>4.7844999999999995</v>
      </c>
      <c r="P166" s="1486">
        <f t="shared" si="184"/>
        <v>5.4878</v>
      </c>
      <c r="Q166" s="1486">
        <f t="shared" si="184"/>
        <v>6.2083000000000004</v>
      </c>
      <c r="R166" s="1486">
        <f t="shared" si="184"/>
        <v>6.7805</v>
      </c>
      <c r="S166" s="1486">
        <f t="shared" si="184"/>
        <v>7.1355000000000004</v>
      </c>
      <c r="T166" s="1486">
        <f t="shared" si="184"/>
        <v>7.4855</v>
      </c>
      <c r="U166" s="1486">
        <f t="shared" si="184"/>
        <v>7.85</v>
      </c>
      <c r="V166" s="1486">
        <f t="shared" si="184"/>
        <v>8.15</v>
      </c>
      <c r="W166" s="1486">
        <f t="shared" si="184"/>
        <v>8.4499999999999993</v>
      </c>
      <c r="X166" s="1486">
        <f t="shared" si="184"/>
        <v>8.85</v>
      </c>
      <c r="Y166" s="1486">
        <f t="shared" si="184"/>
        <v>9.4411365098865083</v>
      </c>
      <c r="Z166" s="1486">
        <f t="shared" si="184"/>
        <v>9.991136509886509</v>
      </c>
      <c r="AA166" s="1486">
        <f t="shared" si="184"/>
        <v>10.407264254385964</v>
      </c>
      <c r="AB166" s="1486">
        <f t="shared" si="184"/>
        <v>11.007264254385966</v>
      </c>
      <c r="AC166" s="1486">
        <f t="shared" si="184"/>
        <v>11.97174509935553</v>
      </c>
      <c r="AD166" s="1486">
        <f t="shared" si="184"/>
        <v>12.972505258682421</v>
      </c>
      <c r="AE166" s="1486">
        <f>+(AD169+AE169)/2</f>
        <v>13.909482747046187</v>
      </c>
      <c r="AF166" s="1486">
        <f>+(AE169+AF169)/2</f>
        <v>14.925407603831006</v>
      </c>
      <c r="AG166" s="1486">
        <f>+(AF169+AG169)/2</f>
        <v>15.941332460615826</v>
      </c>
      <c r="AH166" s="1486">
        <f>+(AG169+AH169)/2</f>
        <v>16.449294889008236</v>
      </c>
      <c r="AI166" s="1423"/>
      <c r="AJ166" s="1448"/>
      <c r="AK166" s="1453">
        <f>((X166/S166)^(1/5)-1)*100</f>
        <v>4.4007868899715419</v>
      </c>
      <c r="AL166" s="1454" t="s">
        <v>190</v>
      </c>
      <c r="AM166" s="1453">
        <f>((AC166/X166)^(1/5)-1)*100</f>
        <v>6.2289376059765811</v>
      </c>
      <c r="AN166" s="1454" t="s">
        <v>190</v>
      </c>
      <c r="AO166" s="1455">
        <f>((AH166/AC166)^(1/5)-1)*100</f>
        <v>6.5609208959084286</v>
      </c>
      <c r="AP166" s="1449" t="s">
        <v>190</v>
      </c>
      <c r="AQ166" s="1454"/>
      <c r="AR166" s="1423"/>
      <c r="AS166" s="1421"/>
      <c r="AT166" s="1421"/>
      <c r="AU166" s="1421"/>
      <c r="AV166" s="1421"/>
      <c r="AW166" s="1421"/>
      <c r="AX166" s="1421"/>
      <c r="AY166" s="1421"/>
    </row>
    <row r="167" spans="1:51">
      <c r="A167" s="1450" t="s">
        <v>191</v>
      </c>
      <c r="B167" s="1445"/>
      <c r="C167" s="1445"/>
      <c r="D167" s="1445">
        <f t="shared" ref="D167:K167" si="185">D166/C166-1</f>
        <v>0.9223744292237448</v>
      </c>
      <c r="E167" s="1445">
        <f t="shared" si="185"/>
        <v>1.0190023752969117</v>
      </c>
      <c r="F167" s="1445">
        <f t="shared" si="185"/>
        <v>0.66117647058823525</v>
      </c>
      <c r="G167" s="1445">
        <f t="shared" si="185"/>
        <v>0.48937677053824347</v>
      </c>
      <c r="H167" s="1445">
        <f t="shared" si="185"/>
        <v>0.38040893961008071</v>
      </c>
      <c r="I167" s="1445">
        <f t="shared" si="185"/>
        <v>0.25249741646572543</v>
      </c>
      <c r="J167" s="1445">
        <f t="shared" si="185"/>
        <v>0.18839383938393839</v>
      </c>
      <c r="K167" s="1445">
        <f t="shared" si="185"/>
        <v>0.16593381161768117</v>
      </c>
      <c r="L167" s="1445">
        <f t="shared" ref="L167:AD167" si="186">L166/K166-1</f>
        <v>0.17308455736403339</v>
      </c>
      <c r="M167" s="1445">
        <f t="shared" si="186"/>
        <v>0.18866328257191189</v>
      </c>
      <c r="N167" s="1445">
        <f t="shared" si="186"/>
        <v>0.17850533807829194</v>
      </c>
      <c r="O167" s="1445">
        <f t="shared" si="186"/>
        <v>0.15581591979707676</v>
      </c>
      <c r="P167" s="1445">
        <f t="shared" si="186"/>
        <v>0.14699550632249991</v>
      </c>
      <c r="Q167" s="1445">
        <f t="shared" si="186"/>
        <v>0.1312912278144247</v>
      </c>
      <c r="R167" s="1445">
        <f t="shared" si="186"/>
        <v>9.2166937809061933E-2</v>
      </c>
      <c r="S167" s="1445">
        <f t="shared" si="186"/>
        <v>5.2356020942408543E-2</v>
      </c>
      <c r="T167" s="1445">
        <f t="shared" si="186"/>
        <v>4.9050522037698885E-2</v>
      </c>
      <c r="U167" s="1445">
        <f t="shared" si="186"/>
        <v>4.8694142007881913E-2</v>
      </c>
      <c r="V167" s="1445">
        <f t="shared" si="186"/>
        <v>3.8216560509554132E-2</v>
      </c>
      <c r="W167" s="1445">
        <f t="shared" si="186"/>
        <v>3.6809815950920033E-2</v>
      </c>
      <c r="X167" s="1445">
        <f t="shared" si="186"/>
        <v>4.7337278106508895E-2</v>
      </c>
      <c r="Y167" s="1445">
        <f t="shared" si="186"/>
        <v>6.6795085862882297E-2</v>
      </c>
      <c r="Z167" s="1445">
        <f t="shared" si="186"/>
        <v>5.8255698286329816E-2</v>
      </c>
      <c r="AA167" s="1445">
        <f t="shared" si="186"/>
        <v>4.1649690612042489E-2</v>
      </c>
      <c r="AB167" s="1445">
        <f t="shared" si="186"/>
        <v>5.7652038550586537E-2</v>
      </c>
      <c r="AC167" s="1445">
        <f t="shared" si="186"/>
        <v>8.7622212266345478E-2</v>
      </c>
      <c r="AD167" s="1445">
        <f t="shared" si="186"/>
        <v>8.3593507130448774E-2</v>
      </c>
      <c r="AE167" s="1445">
        <f>AE166/AD166-1</f>
        <v>7.2227952094037651E-2</v>
      </c>
      <c r="AF167" s="1445">
        <f>AF166/AE166-1</f>
        <v>7.3038291592874671E-2</v>
      </c>
      <c r="AG167" s="1445">
        <f>AG166/AF166-1</f>
        <v>6.8066808207238205E-2</v>
      </c>
      <c r="AH167" s="1445">
        <f>AH166/AG166-1</f>
        <v>3.1864489975814037E-2</v>
      </c>
      <c r="AI167" s="1423"/>
      <c r="AJ167" s="1448"/>
      <c r="AK167" s="1423"/>
      <c r="AL167" s="1423"/>
      <c r="AM167" s="1423"/>
      <c r="AN167" s="1423"/>
      <c r="AO167" s="1423"/>
      <c r="AP167" s="1449"/>
      <c r="AQ167" s="1423"/>
      <c r="AR167" s="1423"/>
      <c r="AS167" s="1421"/>
      <c r="AT167" s="1421"/>
      <c r="AU167" s="1421"/>
      <c r="AV167" s="1421"/>
      <c r="AW167" s="1421"/>
      <c r="AX167" s="1421"/>
      <c r="AY167" s="1421"/>
    </row>
    <row r="168" spans="1:51">
      <c r="A168" s="1421"/>
      <c r="B168" s="1421"/>
      <c r="C168" s="1421"/>
      <c r="D168" s="1421"/>
      <c r="E168" s="1421"/>
      <c r="F168" s="1421"/>
      <c r="G168" s="1421"/>
      <c r="H168" s="1421"/>
      <c r="I168" s="1421"/>
      <c r="J168" s="1421"/>
      <c r="K168" s="1421"/>
      <c r="L168" s="1421"/>
      <c r="M168" s="1421"/>
      <c r="N168" s="1421"/>
      <c r="O168" s="1421"/>
      <c r="P168" s="1421"/>
      <c r="Q168" s="1421"/>
      <c r="R168" s="1421"/>
      <c r="S168" s="1421"/>
      <c r="T168" s="1421"/>
      <c r="U168" s="1421"/>
      <c r="V168" s="1421"/>
      <c r="W168" s="1421"/>
      <c r="X168" s="1421"/>
      <c r="Y168" s="1421"/>
      <c r="Z168" s="1421"/>
      <c r="AA168" s="1421"/>
      <c r="AB168" s="1421"/>
      <c r="AC168" s="1421"/>
      <c r="AD168" s="1421"/>
      <c r="AE168" s="1421"/>
      <c r="AF168" s="1421"/>
      <c r="AG168" s="1421"/>
      <c r="AH168" s="1421"/>
      <c r="AI168" s="1423"/>
      <c r="AJ168" s="1448"/>
      <c r="AK168" s="1423"/>
      <c r="AL168" s="1423"/>
      <c r="AM168" s="1423"/>
      <c r="AN168" s="1423"/>
      <c r="AO168" s="1423"/>
      <c r="AP168" s="1449"/>
      <c r="AQ168" s="1423"/>
      <c r="AR168" s="1423"/>
      <c r="AS168" s="1421"/>
      <c r="AT168" s="1421"/>
      <c r="AU168" s="1421"/>
      <c r="AV168" s="1421"/>
      <c r="AW168" s="1421"/>
      <c r="AX168" s="1421"/>
      <c r="AY168" s="1421"/>
    </row>
    <row r="169" spans="1:51">
      <c r="A169" s="1450" t="s">
        <v>200</v>
      </c>
      <c r="B169" s="1522">
        <f t="shared" ref="B169:R169" si="187">+B170+B171</f>
        <v>7.3999999999999996E-2</v>
      </c>
      <c r="C169" s="1522">
        <f t="shared" si="187"/>
        <v>0.14499999999999999</v>
      </c>
      <c r="D169" s="1522">
        <f t="shared" si="187"/>
        <v>0.27600000000000002</v>
      </c>
      <c r="E169" s="1522">
        <f t="shared" si="187"/>
        <v>0.57399999999999995</v>
      </c>
      <c r="F169" s="1522">
        <f t="shared" si="187"/>
        <v>0.83799999999999997</v>
      </c>
      <c r="G169" s="1522">
        <f t="shared" si="187"/>
        <v>1.2649999999999999</v>
      </c>
      <c r="H169" s="1522">
        <f t="shared" si="187"/>
        <v>1.6379999999999999</v>
      </c>
      <c r="I169" s="1522">
        <f t="shared" si="187"/>
        <v>1.998</v>
      </c>
      <c r="J169" s="1522">
        <f t="shared" si="187"/>
        <v>2.323</v>
      </c>
      <c r="K169" s="1522">
        <f t="shared" si="187"/>
        <v>2.7149999999999999</v>
      </c>
      <c r="L169" s="1522">
        <f t="shared" si="187"/>
        <v>3.1949999999999998</v>
      </c>
      <c r="M169" s="1522">
        <f t="shared" si="187"/>
        <v>3.8299999999999996</v>
      </c>
      <c r="N169" s="1522">
        <f t="shared" si="187"/>
        <v>4.4489999999999998</v>
      </c>
      <c r="O169" s="1522">
        <f t="shared" si="187"/>
        <v>5.12</v>
      </c>
      <c r="P169" s="1522">
        <f t="shared" si="187"/>
        <v>5.8556000000000008</v>
      </c>
      <c r="Q169" s="1522">
        <f t="shared" si="187"/>
        <v>6.5609999999999999</v>
      </c>
      <c r="R169" s="1522">
        <f t="shared" si="187"/>
        <v>7</v>
      </c>
      <c r="S169" s="1522">
        <f>+S170+S171</f>
        <v>7.2709999999999999</v>
      </c>
      <c r="T169" s="1522">
        <f>+T170+T171</f>
        <v>7.7</v>
      </c>
      <c r="U169" s="1522">
        <f>+U170+U171</f>
        <v>8</v>
      </c>
      <c r="V169" s="1522">
        <f t="shared" ref="V169:AD169" si="188">+V170+V171+V172</f>
        <v>8.3000000000000007</v>
      </c>
      <c r="W169" s="1522">
        <f t="shared" si="188"/>
        <v>8.6</v>
      </c>
      <c r="X169" s="1522">
        <f t="shared" si="188"/>
        <v>9.1</v>
      </c>
      <c r="Y169" s="1522">
        <f t="shared" si="188"/>
        <v>9.7822730197730188</v>
      </c>
      <c r="Z169" s="1522">
        <f t="shared" si="188"/>
        <v>10.199999999999999</v>
      </c>
      <c r="AA169" s="1522">
        <f t="shared" si="188"/>
        <v>10.614528508771931</v>
      </c>
      <c r="AB169" s="1522">
        <f t="shared" si="188"/>
        <v>11.399999999999999</v>
      </c>
      <c r="AC169" s="1522">
        <f t="shared" si="188"/>
        <v>12.543490198711064</v>
      </c>
      <c r="AD169" s="1522">
        <f t="shared" si="188"/>
        <v>13.401520318653779</v>
      </c>
      <c r="AE169" s="1522">
        <f>+AE170+AE171+AE172</f>
        <v>14.417445175438596</v>
      </c>
      <c r="AF169" s="1522">
        <f>+AF170+AF171+AF172</f>
        <v>15.433370032223417</v>
      </c>
      <c r="AG169" s="1522">
        <f>+AG170+AG171+AG172</f>
        <v>16.449294889008236</v>
      </c>
      <c r="AH169" s="1522">
        <f>+AH170+AH171+AH172</f>
        <v>16.449294889008236</v>
      </c>
      <c r="AI169" s="1423"/>
      <c r="AJ169" s="1448"/>
      <c r="AK169" s="1453">
        <f>((X169/S169)^(1/5)-1)*100</f>
        <v>4.589828178945643</v>
      </c>
      <c r="AL169" s="1454" t="s">
        <v>190</v>
      </c>
      <c r="AM169" s="1453">
        <f>((AC169/X169)^(1/5)-1)*100</f>
        <v>6.6290157670493732</v>
      </c>
      <c r="AN169" s="1454" t="s">
        <v>190</v>
      </c>
      <c r="AO169" s="1455">
        <f>((AH169/AC169)^(1/5)-1)*100</f>
        <v>5.5712778396715734</v>
      </c>
      <c r="AP169" s="1449" t="s">
        <v>190</v>
      </c>
      <c r="AQ169" s="1454"/>
      <c r="AR169" s="1423"/>
      <c r="AS169" s="1421"/>
      <c r="AT169" s="1421"/>
      <c r="AU169" s="1421"/>
      <c r="AV169" s="1421"/>
      <c r="AW169" s="1421"/>
      <c r="AX169" s="1421"/>
      <c r="AY169" s="1421"/>
    </row>
    <row r="170" spans="1:51">
      <c r="A170" s="1511" t="s">
        <v>383</v>
      </c>
      <c r="B170" s="1522">
        <f>Stores!$AB$21</f>
        <v>7.3999999999999996E-2</v>
      </c>
      <c r="C170" s="1522">
        <f>Stores!$AB$29</f>
        <v>0.14499999999999999</v>
      </c>
      <c r="D170" s="1522">
        <f>Stores!$AB$37</f>
        <v>0.27600000000000002</v>
      </c>
      <c r="E170" s="1522">
        <f>Stores!$AB$45</f>
        <v>0.57399999999999995</v>
      </c>
      <c r="F170" s="1522">
        <f>Stores!$AB$53</f>
        <v>0.83799999999999997</v>
      </c>
      <c r="G170" s="1522">
        <f>Stores!$AB$61</f>
        <v>1.2649999999999999</v>
      </c>
      <c r="H170" s="1522">
        <f>Stores!$AB$69</f>
        <v>1.6379999999999999</v>
      </c>
      <c r="I170" s="1522">
        <f>Stores!$AB$77</f>
        <v>1.998</v>
      </c>
      <c r="J170" s="1522">
        <f>Stores!$AB$85</f>
        <v>2.323</v>
      </c>
      <c r="K170" s="1522">
        <f>Stores!$AB$93</f>
        <v>2.7149999999999999</v>
      </c>
      <c r="L170" s="1522">
        <f>Stores!$AB$101</f>
        <v>3.1949999999999998</v>
      </c>
      <c r="M170" s="1522">
        <f>Stores!$AB$109</f>
        <v>3.6709999999999998</v>
      </c>
      <c r="N170" s="1522">
        <f>Stores!$AB$117</f>
        <v>4.0789999999999997</v>
      </c>
      <c r="O170" s="1522">
        <f>Stores!$AB$125</f>
        <v>4.508</v>
      </c>
      <c r="P170" s="1522">
        <f>Stores!$AB$133</f>
        <v>4.8804000000000007</v>
      </c>
      <c r="Q170" s="1522">
        <f>Stores!$AB$141</f>
        <v>5.1550000000000002</v>
      </c>
      <c r="R170" s="1522">
        <f>Stores!$AB$149</f>
        <v>5.4</v>
      </c>
      <c r="S170" s="1522">
        <f>Stores!$AB$156</f>
        <v>5.5659999999999998</v>
      </c>
      <c r="T170" s="1522">
        <f>Stores!$AB$163</f>
        <v>5.9</v>
      </c>
      <c r="U170" s="1522">
        <f>Stores!$AB$170</f>
        <v>6.1</v>
      </c>
      <c r="V170" s="1522">
        <f>Stores!$AB$177</f>
        <v>6.3</v>
      </c>
      <c r="W170" s="1522">
        <f>Stores!$AB$184</f>
        <v>6.3</v>
      </c>
      <c r="X170" s="1522">
        <f>Stores!$AB$191</f>
        <v>6.5</v>
      </c>
      <c r="Y170" s="1522">
        <f>Stores!$AB$198</f>
        <v>6.6463963963963959</v>
      </c>
      <c r="Z170" s="1522">
        <f>Stores!$AB$205</f>
        <v>6.7</v>
      </c>
      <c r="AA170" s="1522">
        <f>Stores!$AB$212</f>
        <v>6.9</v>
      </c>
      <c r="AB170" s="1522">
        <f>Stores!$AB$219</f>
        <v>7.2</v>
      </c>
      <c r="AC170" s="1522">
        <f>Stores!$AB$226</f>
        <v>7.4351020408163269</v>
      </c>
      <c r="AD170" s="1522">
        <f>Stores!$AB$233</f>
        <v>7.857551020408164</v>
      </c>
      <c r="AE170" s="1522">
        <f>Stores!$AB$240</f>
        <v>8.2799999999999994</v>
      </c>
      <c r="AF170" s="1522">
        <f>Stores!$AB$247</f>
        <v>8.7024489795918374</v>
      </c>
      <c r="AG170" s="1522">
        <f>Stores!$AB$254</f>
        <v>9.1248979591836736</v>
      </c>
      <c r="AH170" s="1522">
        <f>Stores!$AB$254</f>
        <v>9.1248979591836736</v>
      </c>
      <c r="AI170" s="1423"/>
      <c r="AJ170" s="1448"/>
      <c r="AK170" s="1453"/>
      <c r="AL170" s="1454"/>
      <c r="AM170" s="1423"/>
      <c r="AN170" s="1454"/>
      <c r="AO170" s="1423"/>
      <c r="AP170" s="1459"/>
      <c r="AQ170" s="1454"/>
      <c r="AR170" s="1423"/>
      <c r="AS170" s="1421"/>
      <c r="AT170" s="1421"/>
      <c r="AU170" s="1421"/>
      <c r="AV170" s="1421"/>
      <c r="AW170" s="1421"/>
      <c r="AX170" s="1421"/>
      <c r="AY170" s="1421"/>
    </row>
    <row r="171" spans="1:51">
      <c r="A171" s="1511" t="s">
        <v>382</v>
      </c>
      <c r="B171" s="1523"/>
      <c r="C171" s="1523"/>
      <c r="D171" s="1523"/>
      <c r="E171" s="1523"/>
      <c r="F171" s="1523"/>
      <c r="G171" s="1523"/>
      <c r="H171" s="1522"/>
      <c r="I171" s="1523"/>
      <c r="J171" s="1522"/>
      <c r="K171" s="1523"/>
      <c r="L171" s="1522">
        <f>Stores!$BD$101</f>
        <v>0</v>
      </c>
      <c r="M171" s="1522">
        <f>Stores!$BD$109</f>
        <v>0.159</v>
      </c>
      <c r="N171" s="1522">
        <f>Stores!$BD$117</f>
        <v>0.37</v>
      </c>
      <c r="O171" s="1522">
        <f>Stores!$BD$125</f>
        <v>0.61199999999999999</v>
      </c>
      <c r="P171" s="1522">
        <f>Stores!$BD$133</f>
        <v>0.97519999999999984</v>
      </c>
      <c r="Q171" s="1522">
        <f>Stores!$BD$141</f>
        <v>1.4059999999999999</v>
      </c>
      <c r="R171" s="1522">
        <f>Stores!$BD$149</f>
        <v>1.6</v>
      </c>
      <c r="S171" s="1522">
        <f>Stores!$BD$156</f>
        <v>1.7050000000000001</v>
      </c>
      <c r="T171" s="1522">
        <f>Stores!$BD$163</f>
        <v>1.8</v>
      </c>
      <c r="U171" s="1522">
        <f>Stores!$BD$170</f>
        <v>1.9</v>
      </c>
      <c r="V171" s="1522">
        <f>Stores!$BD$177</f>
        <v>2</v>
      </c>
      <c r="W171" s="1522">
        <f>Stores!$BD$184</f>
        <v>2.1</v>
      </c>
      <c r="X171" s="1522">
        <f>Stores!$BD$191</f>
        <v>2.1</v>
      </c>
      <c r="Y171" s="1522">
        <f>Stores!$BD$198</f>
        <v>2.1715909090909089</v>
      </c>
      <c r="Z171" s="1522">
        <f>Stores!$BD$205</f>
        <v>2.2999999999999998</v>
      </c>
      <c r="AA171" s="1522">
        <f>Stores!$BD$212</f>
        <v>2.4197916666666663</v>
      </c>
      <c r="AB171" s="1522">
        <f>Stores!$BD$219</f>
        <v>2.5</v>
      </c>
      <c r="AC171" s="1522">
        <f>Stores!$BD$226</f>
        <v>2.8031250000000001</v>
      </c>
      <c r="AD171" s="1522">
        <f>Stores!$BD$233</f>
        <v>2.9229166666666666</v>
      </c>
      <c r="AE171" s="1522">
        <f>Stores!$BD$240</f>
        <v>3.0427083333333331</v>
      </c>
      <c r="AF171" s="1522">
        <f>Stores!$BD$247</f>
        <v>3.1625000000000001</v>
      </c>
      <c r="AG171" s="1522">
        <f>Stores!$BD$254</f>
        <v>3.2822916666666666</v>
      </c>
      <c r="AH171" s="1522">
        <f>Stores!$BD$254</f>
        <v>3.2822916666666666</v>
      </c>
      <c r="AI171" s="1423"/>
      <c r="AJ171" s="1448"/>
      <c r="AK171" s="1453"/>
      <c r="AL171" s="1454"/>
      <c r="AM171" s="1423"/>
      <c r="AN171" s="1454"/>
      <c r="AO171" s="1423"/>
      <c r="AP171" s="1459"/>
      <c r="AQ171" s="1454"/>
      <c r="AR171" s="1423"/>
      <c r="AS171" s="1421"/>
      <c r="AT171" s="1421"/>
      <c r="AU171" s="1421"/>
      <c r="AV171" s="1421"/>
      <c r="AW171" s="1421"/>
      <c r="AX171" s="1421"/>
      <c r="AY171" s="1421"/>
    </row>
    <row r="172" spans="1:51">
      <c r="A172" s="1511" t="s">
        <v>627</v>
      </c>
      <c r="B172" s="1523"/>
      <c r="C172" s="1523"/>
      <c r="D172" s="1523"/>
      <c r="E172" s="1523"/>
      <c r="F172" s="1523"/>
      <c r="G172" s="1523"/>
      <c r="H172" s="1522"/>
      <c r="I172" s="1523"/>
      <c r="J172" s="1522"/>
      <c r="K172" s="1523"/>
      <c r="L172" s="1522"/>
      <c r="M172" s="1522"/>
      <c r="N172" s="1522"/>
      <c r="O172" s="1522"/>
      <c r="P172" s="1522"/>
      <c r="Q172" s="1522"/>
      <c r="R172" s="1522"/>
      <c r="S172" s="1522"/>
      <c r="T172" s="1522"/>
      <c r="U172" s="1522"/>
      <c r="V172" s="1522">
        <f>Stores!$BR$177</f>
        <v>0</v>
      </c>
      <c r="W172" s="1522">
        <f>Stores!$BR$184</f>
        <v>0.2</v>
      </c>
      <c r="X172" s="1522">
        <f>Stores!$BR$191</f>
        <v>0.5</v>
      </c>
      <c r="Y172" s="1522">
        <f>Stores!$BR$198</f>
        <v>0.9642857142857143</v>
      </c>
      <c r="Z172" s="1522">
        <f>Stores!$BR$205</f>
        <v>1.2</v>
      </c>
      <c r="AA172" s="1522">
        <f>Stores!$BR$212</f>
        <v>1.2947368421052634</v>
      </c>
      <c r="AB172" s="1522">
        <f>Stores!$BR$219</f>
        <v>1.7</v>
      </c>
      <c r="AC172" s="1522">
        <f>Stores!$BR$226</f>
        <v>2.3052631578947369</v>
      </c>
      <c r="AD172" s="1522">
        <f>Stores!$BR$233</f>
        <v>2.6210526315789475</v>
      </c>
      <c r="AE172" s="1522">
        <f>Stores!$BR$240</f>
        <v>3.0947368421052635</v>
      </c>
      <c r="AF172" s="1522">
        <f>Stores!$BR$247</f>
        <v>3.5684210526315794</v>
      </c>
      <c r="AG172" s="1522">
        <f>Stores!$BR$254</f>
        <v>4.0421052631578949</v>
      </c>
      <c r="AH172" s="1522">
        <f>Stores!$BR$254</f>
        <v>4.0421052631578949</v>
      </c>
      <c r="AI172" s="1423"/>
      <c r="AJ172" s="1448"/>
      <c r="AK172" s="1453"/>
      <c r="AL172" s="1454"/>
      <c r="AM172" s="1423"/>
      <c r="AN172" s="1454"/>
      <c r="AO172" s="1423"/>
      <c r="AP172" s="1459"/>
      <c r="AQ172" s="1454"/>
      <c r="AR172" s="1423"/>
      <c r="AS172" s="1421"/>
      <c r="AT172" s="1421"/>
      <c r="AU172" s="1421"/>
      <c r="AV172" s="1421"/>
      <c r="AW172" s="1421"/>
      <c r="AX172" s="1421"/>
      <c r="AY172" s="1421"/>
    </row>
    <row r="173" spans="1:51">
      <c r="A173" s="1450" t="s">
        <v>191</v>
      </c>
      <c r="B173" s="1445"/>
      <c r="C173" s="1445">
        <f t="shared" ref="C173:K173" si="189">C169/B169-1</f>
        <v>0.95945945945945943</v>
      </c>
      <c r="D173" s="1445">
        <f t="shared" si="189"/>
        <v>0.90344827586206922</v>
      </c>
      <c r="E173" s="1445">
        <f t="shared" si="189"/>
        <v>1.0797101449275357</v>
      </c>
      <c r="F173" s="1445">
        <f t="shared" si="189"/>
        <v>0.45993031358885017</v>
      </c>
      <c r="G173" s="1445">
        <f t="shared" si="189"/>
        <v>0.50954653937947492</v>
      </c>
      <c r="H173" s="1445">
        <f t="shared" si="189"/>
        <v>0.29486166007905146</v>
      </c>
      <c r="I173" s="1445">
        <f t="shared" si="189"/>
        <v>0.21978021978021989</v>
      </c>
      <c r="J173" s="1445">
        <f t="shared" si="189"/>
        <v>0.1626626626626626</v>
      </c>
      <c r="K173" s="1445">
        <f t="shared" si="189"/>
        <v>0.1687473095135601</v>
      </c>
      <c r="L173" s="1445">
        <f t="shared" ref="L173:AH173" si="190">L169/K169-1</f>
        <v>0.17679558011049723</v>
      </c>
      <c r="M173" s="1445">
        <f t="shared" si="190"/>
        <v>0.19874804381846634</v>
      </c>
      <c r="N173" s="1445">
        <f t="shared" si="190"/>
        <v>0.16161879895561371</v>
      </c>
      <c r="O173" s="1445">
        <f t="shared" si="190"/>
        <v>0.15082040908069239</v>
      </c>
      <c r="P173" s="1445">
        <f t="shared" si="190"/>
        <v>0.14367187500000012</v>
      </c>
      <c r="Q173" s="1445">
        <f t="shared" si="190"/>
        <v>0.12046587881685888</v>
      </c>
      <c r="R173" s="1445">
        <f t="shared" si="190"/>
        <v>6.6910531931108075E-2</v>
      </c>
      <c r="S173" s="1445">
        <f t="shared" si="190"/>
        <v>3.8714285714285701E-2</v>
      </c>
      <c r="T173" s="1445">
        <f t="shared" si="190"/>
        <v>5.9001512859304217E-2</v>
      </c>
      <c r="U173" s="1445">
        <f t="shared" si="190"/>
        <v>3.8961038961038863E-2</v>
      </c>
      <c r="V173" s="1445">
        <f t="shared" si="190"/>
        <v>3.7500000000000089E-2</v>
      </c>
      <c r="W173" s="1445">
        <f t="shared" si="190"/>
        <v>3.6144578313252795E-2</v>
      </c>
      <c r="X173" s="1445">
        <f t="shared" si="190"/>
        <v>5.8139534883721034E-2</v>
      </c>
      <c r="Y173" s="1445">
        <f t="shared" si="190"/>
        <v>7.497505711791419E-2</v>
      </c>
      <c r="Z173" s="1445">
        <f t="shared" si="190"/>
        <v>4.2702445472808215E-2</v>
      </c>
      <c r="AA173" s="1445">
        <f t="shared" si="190"/>
        <v>4.0640049879601126E-2</v>
      </c>
      <c r="AB173" s="1445">
        <f t="shared" si="190"/>
        <v>7.399965910675621E-2</v>
      </c>
      <c r="AC173" s="1445">
        <f t="shared" si="190"/>
        <v>0.1003061577816724</v>
      </c>
      <c r="AD173" s="1445">
        <f t="shared" si="190"/>
        <v>6.8404415864324886E-2</v>
      </c>
      <c r="AE173" s="1445">
        <f t="shared" si="190"/>
        <v>7.5806687049583266E-2</v>
      </c>
      <c r="AF173" s="1445">
        <f t="shared" si="190"/>
        <v>7.0464971041855673E-2</v>
      </c>
      <c r="AG173" s="1445">
        <f t="shared" si="190"/>
        <v>6.5826508057777566E-2</v>
      </c>
      <c r="AH173" s="1445">
        <f t="shared" si="190"/>
        <v>0</v>
      </c>
      <c r="AI173" s="1423"/>
      <c r="AJ173" s="1448"/>
      <c r="AK173" s="1423"/>
      <c r="AL173" s="1423"/>
      <c r="AM173" s="1423"/>
      <c r="AN173" s="1423"/>
      <c r="AO173" s="1423"/>
      <c r="AP173" s="1449"/>
      <c r="AQ173" s="1423"/>
      <c r="AR173" s="1423"/>
      <c r="AS173" s="1421"/>
      <c r="AT173" s="1421"/>
      <c r="AU173" s="1421"/>
      <c r="AV173" s="1421"/>
      <c r="AW173" s="1421"/>
      <c r="AX173" s="1421"/>
      <c r="AY173" s="1421"/>
    </row>
    <row r="174" spans="1:51">
      <c r="A174" s="1421"/>
      <c r="B174" s="1421"/>
      <c r="C174" s="1421"/>
      <c r="D174" s="1421"/>
      <c r="E174" s="1421"/>
      <c r="F174" s="1421"/>
      <c r="G174" s="1421"/>
      <c r="H174" s="1421"/>
      <c r="I174" s="1421"/>
      <c r="J174" s="1421"/>
      <c r="K174" s="1421"/>
      <c r="L174" s="1421"/>
      <c r="M174" s="1421"/>
      <c r="N174" s="1421"/>
      <c r="O174" s="1421"/>
      <c r="P174" s="1421"/>
      <c r="Q174" s="1421"/>
      <c r="R174" s="1421"/>
      <c r="S174" s="1421"/>
      <c r="T174" s="1421"/>
      <c r="U174" s="1421"/>
      <c r="V174" s="1421"/>
      <c r="W174" s="1421"/>
      <c r="X174" s="1421"/>
      <c r="Y174" s="1421"/>
      <c r="Z174" s="1421"/>
      <c r="AA174" s="1421"/>
      <c r="AB174" s="1421"/>
      <c r="AC174" s="1421"/>
      <c r="AD174" s="1421"/>
      <c r="AE174" s="1421"/>
      <c r="AF174" s="1421"/>
      <c r="AG174" s="1421"/>
      <c r="AH174" s="1421"/>
      <c r="AI174" s="1423"/>
      <c r="AJ174" s="1448"/>
      <c r="AK174" s="1423"/>
      <c r="AL174" s="1423"/>
      <c r="AM174" s="1423"/>
      <c r="AN174" s="1423"/>
      <c r="AO174" s="1423"/>
      <c r="AP174" s="1449"/>
      <c r="AQ174" s="1423"/>
      <c r="AR174" s="1423"/>
      <c r="AS174" s="1421"/>
      <c r="AT174" s="1421"/>
      <c r="AU174" s="1421"/>
      <c r="AV174" s="1421"/>
      <c r="AW174" s="1421"/>
      <c r="AX174" s="1421"/>
      <c r="AY174" s="1421"/>
    </row>
    <row r="175" spans="1:51">
      <c r="A175" s="1450" t="s">
        <v>201</v>
      </c>
      <c r="B175" s="1482"/>
      <c r="C175" s="1482">
        <f t="shared" ref="C175:R175" si="191">C169/C156*1000000</f>
        <v>16111.111111111111</v>
      </c>
      <c r="D175" s="1482">
        <f t="shared" si="191"/>
        <v>18400.000000000004</v>
      </c>
      <c r="E175" s="1482">
        <f t="shared" si="191"/>
        <v>21259.259259259259</v>
      </c>
      <c r="F175" s="1482">
        <f t="shared" si="191"/>
        <v>22648.64864864865</v>
      </c>
      <c r="G175" s="1482">
        <f t="shared" si="191"/>
        <v>24326.923076923074</v>
      </c>
      <c r="H175" s="1482">
        <f t="shared" si="191"/>
        <v>25200</v>
      </c>
      <c r="I175" s="1482">
        <f t="shared" si="191"/>
        <v>26289.473684210527</v>
      </c>
      <c r="J175" s="1482">
        <f t="shared" si="191"/>
        <v>26701.149425287353</v>
      </c>
      <c r="K175" s="1482">
        <f t="shared" si="191"/>
        <v>27149.999999999996</v>
      </c>
      <c r="L175" s="1482">
        <f t="shared" si="191"/>
        <v>27307.692307692309</v>
      </c>
      <c r="M175" s="1482">
        <f t="shared" si="191"/>
        <v>27753.623188405796</v>
      </c>
      <c r="N175" s="1482">
        <f t="shared" si="191"/>
        <v>27633.540372670806</v>
      </c>
      <c r="O175" s="1482">
        <f t="shared" si="191"/>
        <v>27675.675675675677</v>
      </c>
      <c r="P175" s="1482">
        <f t="shared" si="191"/>
        <v>28151.923076923082</v>
      </c>
      <c r="Q175" s="1482">
        <f t="shared" si="191"/>
        <v>28280.172413793101</v>
      </c>
      <c r="R175" s="1482">
        <f t="shared" si="191"/>
        <v>27777.777777777777</v>
      </c>
      <c r="S175" s="1482">
        <f t="shared" ref="S175:X175" si="192">S169/S156*1000000</f>
        <v>27751.908396946565</v>
      </c>
      <c r="T175" s="1482">
        <f t="shared" si="192"/>
        <v>27797.83393501805</v>
      </c>
      <c r="U175" s="1482">
        <f t="shared" si="192"/>
        <v>27586.206896551725</v>
      </c>
      <c r="V175" s="1482">
        <f t="shared" si="192"/>
        <v>27946.127946127948</v>
      </c>
      <c r="W175" s="1482">
        <f t="shared" si="192"/>
        <v>27922.077922077922</v>
      </c>
      <c r="X175" s="1482">
        <f t="shared" si="192"/>
        <v>28086.419753086418</v>
      </c>
      <c r="Y175" s="1482">
        <f t="shared" ref="Y175:AD175" si="193">Y169/Y156*1000000</f>
        <v>28354.414550066722</v>
      </c>
      <c r="Z175" s="1482">
        <f t="shared" si="193"/>
        <v>27717.391304347824</v>
      </c>
      <c r="AA175" s="1482">
        <f t="shared" si="193"/>
        <v>27427.722244888711</v>
      </c>
      <c r="AB175" s="1482">
        <f t="shared" si="193"/>
        <v>27272.727272727268</v>
      </c>
      <c r="AC175" s="1482">
        <f t="shared" si="193"/>
        <v>27628.833036808508</v>
      </c>
      <c r="AD175" s="1482">
        <f t="shared" si="193"/>
        <v>27689.091567466487</v>
      </c>
      <c r="AE175" s="1482">
        <f>AE169/AE156*1000000</f>
        <v>27779.277794679376</v>
      </c>
      <c r="AF175" s="1482">
        <f>AF169/AF156*1000000</f>
        <v>27858.068650222776</v>
      </c>
      <c r="AG175" s="1482">
        <f>AG169/AG156*1000000</f>
        <v>27927.495567076803</v>
      </c>
      <c r="AH175" s="1482">
        <f>AH169/AH156*1000000</f>
        <v>26361.049501615762</v>
      </c>
      <c r="AI175" s="1478"/>
      <c r="AJ175" s="1479"/>
      <c r="AK175" s="1478"/>
      <c r="AL175" s="1478"/>
      <c r="AM175" s="1423"/>
      <c r="AN175" s="1478"/>
      <c r="AO175" s="1423"/>
      <c r="AP175" s="1480"/>
      <c r="AQ175" s="1478"/>
      <c r="AR175" s="1423"/>
      <c r="AS175" s="1421"/>
      <c r="AT175" s="1421"/>
      <c r="AU175" s="1421"/>
      <c r="AV175" s="1421"/>
      <c r="AW175" s="1421"/>
      <c r="AX175" s="1421"/>
      <c r="AY175" s="1421"/>
    </row>
    <row r="176" spans="1:51">
      <c r="A176" s="1450" t="s">
        <v>191</v>
      </c>
      <c r="B176" s="1484"/>
      <c r="C176" s="1484"/>
      <c r="D176" s="1484">
        <f t="shared" ref="D176:L176" si="194">D175/C175-1</f>
        <v>0.14206896551724157</v>
      </c>
      <c r="E176" s="1484">
        <f t="shared" si="194"/>
        <v>0.15539452495974215</v>
      </c>
      <c r="F176" s="1484">
        <f t="shared" si="194"/>
        <v>6.5354553159431283E-2</v>
      </c>
      <c r="G176" s="1484">
        <f t="shared" si="194"/>
        <v>7.4100422250780174E-2</v>
      </c>
      <c r="H176" s="1484">
        <f t="shared" si="194"/>
        <v>3.5889328063241299E-2</v>
      </c>
      <c r="I176" s="1484">
        <f t="shared" si="194"/>
        <v>4.3233082706766846E-2</v>
      </c>
      <c r="J176" s="1484">
        <f t="shared" si="194"/>
        <v>1.5659337498417747E-2</v>
      </c>
      <c r="K176" s="1484">
        <f t="shared" si="194"/>
        <v>1.6810159276797298E-2</v>
      </c>
      <c r="L176" s="1484">
        <f t="shared" si="194"/>
        <v>5.808188128630265E-3</v>
      </c>
      <c r="M176" s="1484">
        <f t="shared" ref="M176:AH176" si="195">M175/L175-1</f>
        <v>1.6329863237395381E-2</v>
      </c>
      <c r="N176" s="1484">
        <f t="shared" si="195"/>
        <v>-4.3267437523312191E-3</v>
      </c>
      <c r="O176" s="1484">
        <f t="shared" si="195"/>
        <v>1.5247884431972558E-3</v>
      </c>
      <c r="P176" s="1484">
        <f t="shared" si="195"/>
        <v>1.720815805288467E-2</v>
      </c>
      <c r="Q176" s="1484">
        <f t="shared" si="195"/>
        <v>4.5556154909769386E-3</v>
      </c>
      <c r="R176" s="1484">
        <f t="shared" si="195"/>
        <v>-1.7764907111043282E-2</v>
      </c>
      <c r="S176" s="1484">
        <f t="shared" si="195"/>
        <v>-9.3129770992361749E-4</v>
      </c>
      <c r="T176" s="1484">
        <f t="shared" si="195"/>
        <v>1.6548605384032467E-3</v>
      </c>
      <c r="U176" s="1484">
        <f t="shared" si="195"/>
        <v>-7.6130765785937804E-3</v>
      </c>
      <c r="V176" s="1484">
        <f t="shared" si="195"/>
        <v>1.3047138047138196E-2</v>
      </c>
      <c r="W176" s="1484">
        <f t="shared" si="195"/>
        <v>-8.6058519793463795E-4</v>
      </c>
      <c r="X176" s="1484">
        <f t="shared" si="195"/>
        <v>5.8857306919322117E-3</v>
      </c>
      <c r="Y176" s="1484">
        <f t="shared" si="195"/>
        <v>9.5417927716063833E-3</v>
      </c>
      <c r="Z176" s="1484">
        <f t="shared" si="195"/>
        <v>-2.2466457369242354E-2</v>
      </c>
      <c r="AA176" s="1484">
        <f t="shared" si="195"/>
        <v>-1.0450805282446463E-2</v>
      </c>
      <c r="AB176" s="1484">
        <f t="shared" si="195"/>
        <v>-5.651033315036802E-3</v>
      </c>
      <c r="AC176" s="1484">
        <f t="shared" si="195"/>
        <v>1.3057211349645437E-2</v>
      </c>
      <c r="AD176" s="1484">
        <f t="shared" si="195"/>
        <v>2.1810016578587277E-3</v>
      </c>
      <c r="AE176" s="1484">
        <f t="shared" si="195"/>
        <v>3.2571031445052245E-3</v>
      </c>
      <c r="AF176" s="1484">
        <f t="shared" si="195"/>
        <v>2.836317636684349E-3</v>
      </c>
      <c r="AG176" s="1484">
        <f t="shared" si="195"/>
        <v>2.4921654736991261E-3</v>
      </c>
      <c r="AH176" s="1484">
        <f t="shared" si="195"/>
        <v>-5.6089743589743724E-2</v>
      </c>
      <c r="AI176" s="1423"/>
      <c r="AJ176" s="1448"/>
      <c r="AK176" s="1423"/>
      <c r="AL176" s="1423"/>
      <c r="AM176" s="1423"/>
      <c r="AN176" s="1423"/>
      <c r="AO176" s="1423"/>
      <c r="AP176" s="1449"/>
      <c r="AQ176" s="1423"/>
      <c r="AR176" s="1423"/>
      <c r="AS176" s="1421"/>
      <c r="AT176" s="1421"/>
      <c r="AU176" s="1421"/>
      <c r="AV176" s="1421"/>
      <c r="AW176" s="1421"/>
      <c r="AX176" s="1421"/>
      <c r="AY176" s="1421"/>
    </row>
    <row r="177" spans="1:51">
      <c r="A177" s="1421"/>
      <c r="B177" s="1421"/>
      <c r="C177" s="1421"/>
      <c r="D177" s="1421"/>
      <c r="E177" s="1421"/>
      <c r="F177" s="1421"/>
      <c r="G177" s="1421"/>
      <c r="H177" s="1421"/>
      <c r="I177" s="1421"/>
      <c r="J177" s="1421"/>
      <c r="K177" s="1421"/>
      <c r="L177" s="1421"/>
      <c r="M177" s="1421"/>
      <c r="N177" s="1421"/>
      <c r="O177" s="1421"/>
      <c r="P177" s="1421"/>
      <c r="Q177" s="1421"/>
      <c r="R177" s="1421"/>
      <c r="S177" s="1421"/>
      <c r="T177" s="1421"/>
      <c r="U177" s="1421"/>
      <c r="V177" s="1421"/>
      <c r="W177" s="1421"/>
      <c r="X177" s="1421"/>
      <c r="Y177" s="1421"/>
      <c r="Z177" s="1421"/>
      <c r="AA177" s="1421"/>
      <c r="AB177" s="1421"/>
      <c r="AC177" s="1421"/>
      <c r="AD177" s="1421"/>
      <c r="AE177" s="1421"/>
      <c r="AF177" s="1421"/>
      <c r="AG177" s="1421"/>
      <c r="AH177" s="1421"/>
      <c r="AI177" s="1423"/>
      <c r="AJ177" s="1448"/>
      <c r="AK177" s="1423"/>
      <c r="AL177" s="1423"/>
      <c r="AM177" s="1423"/>
      <c r="AN177" s="1423"/>
      <c r="AO177" s="1423"/>
      <c r="AP177" s="1449"/>
      <c r="AQ177" s="1423"/>
      <c r="AR177" s="1423"/>
      <c r="AS177" s="1421"/>
      <c r="AT177" s="1421"/>
      <c r="AU177" s="1421"/>
      <c r="AV177" s="1421"/>
      <c r="AW177" s="1421"/>
      <c r="AX177" s="1421"/>
      <c r="AY177" s="1421"/>
    </row>
    <row r="178" spans="1:51">
      <c r="A178" s="1450" t="s">
        <v>148</v>
      </c>
      <c r="B178" s="1451"/>
      <c r="C178" s="1451">
        <f t="shared" ref="C178:K178" si="196">+C138/C166</f>
        <v>255.70776255707767</v>
      </c>
      <c r="D178" s="1451">
        <f t="shared" si="196"/>
        <v>246.08076009501184</v>
      </c>
      <c r="E178" s="1451">
        <f t="shared" si="196"/>
        <v>204.70588235294119</v>
      </c>
      <c r="F178" s="1451">
        <f t="shared" si="196"/>
        <v>169.97167138810198</v>
      </c>
      <c r="G178" s="1451">
        <f t="shared" si="196"/>
        <v>169.05278174037093</v>
      </c>
      <c r="H178" s="1451">
        <f t="shared" si="196"/>
        <v>173.88287977953846</v>
      </c>
      <c r="I178" s="1451">
        <f t="shared" si="196"/>
        <v>179.84543454345433</v>
      </c>
      <c r="J178" s="1451">
        <f t="shared" si="196"/>
        <v>179.32793334876186</v>
      </c>
      <c r="K178" s="1451">
        <f t="shared" si="196"/>
        <v>185.29773719730051</v>
      </c>
      <c r="L178" s="1451">
        <f t="shared" ref="L178:R178" si="197">+L138/L166</f>
        <v>190.62978003384094</v>
      </c>
      <c r="M178" s="1451">
        <f t="shared" si="197"/>
        <v>188.15003558718863</v>
      </c>
      <c r="N178" s="1451">
        <f t="shared" si="197"/>
        <v>191.61782824012562</v>
      </c>
      <c r="O178" s="1451">
        <f t="shared" si="197"/>
        <v>224.96248301807921</v>
      </c>
      <c r="P178" s="1451">
        <f t="shared" si="197"/>
        <v>234.23575932067496</v>
      </c>
      <c r="Q178" s="1451">
        <f t="shared" si="197"/>
        <v>234.80437478858943</v>
      </c>
      <c r="R178" s="1451">
        <f t="shared" si="197"/>
        <v>256.73563896467812</v>
      </c>
      <c r="S178" s="1451">
        <f t="shared" ref="S178:X178" si="198">+S138/S166</f>
        <v>286.00854880526941</v>
      </c>
      <c r="T178" s="1451">
        <f t="shared" si="198"/>
        <v>285.81163582926996</v>
      </c>
      <c r="U178" s="1451">
        <f t="shared" si="198"/>
        <v>276.16713375796184</v>
      </c>
      <c r="V178" s="1451">
        <f t="shared" si="198"/>
        <v>308.00012269938651</v>
      </c>
      <c r="W178" s="1451">
        <f t="shared" si="198"/>
        <v>317.16816568047341</v>
      </c>
      <c r="X178" s="1451">
        <f t="shared" si="198"/>
        <v>330.62045197740116</v>
      </c>
      <c r="Y178" s="1451">
        <f t="shared" ref="Y178:AD178" si="199">+Y138/Y166</f>
        <v>304.81859858571147</v>
      </c>
      <c r="Z178" s="1451">
        <f t="shared" si="199"/>
        <v>288.66275594834809</v>
      </c>
      <c r="AA178" s="1451">
        <f t="shared" si="199"/>
        <v>274.29081555193238</v>
      </c>
      <c r="AB178" s="1451">
        <f t="shared" si="199"/>
        <v>288.09401925064441</v>
      </c>
      <c r="AC178" s="1451">
        <f t="shared" si="199"/>
        <v>304.23985557427824</v>
      </c>
      <c r="AD178" s="1451">
        <f t="shared" si="199"/>
        <v>304.95351461524865</v>
      </c>
      <c r="AE178" s="1451">
        <f>+AE138/AE166</f>
        <v>304.24175356658873</v>
      </c>
      <c r="AF178" s="1451">
        <f>+AF138/AF166</f>
        <v>306.53511369433159</v>
      </c>
      <c r="AG178" s="1451">
        <f>+AG138/AG166</f>
        <v>309.28456096717986</v>
      </c>
      <c r="AH178" s="1451">
        <f>+AH138/AH166</f>
        <v>315.41131351332069</v>
      </c>
      <c r="AI178" s="1423"/>
      <c r="AJ178" s="1448"/>
      <c r="AK178" s="1453">
        <f>((X178/S178)^(1/5)-1)*100</f>
        <v>2.9414165506320034</v>
      </c>
      <c r="AL178" s="1454" t="s">
        <v>190</v>
      </c>
      <c r="AM178" s="1453">
        <f>((AC178/X178)^(1/5)-1)*100</f>
        <v>-1.6493401088000126</v>
      </c>
      <c r="AN178" s="1454" t="s">
        <v>190</v>
      </c>
      <c r="AO178" s="1455">
        <f>((AH178/AC178)^(1/5)-1)*100</f>
        <v>0.72383018451978032</v>
      </c>
      <c r="AP178" s="1449" t="s">
        <v>190</v>
      </c>
      <c r="AQ178" s="1454"/>
      <c r="AR178" s="1423"/>
      <c r="AS178" s="1421"/>
      <c r="AT178" s="1421"/>
      <c r="AU178" s="1421"/>
      <c r="AV178" s="1421"/>
      <c r="AW178" s="1421"/>
      <c r="AX178" s="1421"/>
      <c r="AY178" s="1421"/>
    </row>
    <row r="179" spans="1:51">
      <c r="A179" s="1450" t="s">
        <v>191</v>
      </c>
      <c r="B179" s="1484"/>
      <c r="C179" s="1484"/>
      <c r="D179" s="1484"/>
      <c r="E179" s="1484">
        <f t="shared" ref="E179:L179" si="200">E178/D178-1</f>
        <v>-0.16813536225300918</v>
      </c>
      <c r="F179" s="1484">
        <f t="shared" si="200"/>
        <v>-0.16967861678226048</v>
      </c>
      <c r="G179" s="1484">
        <f t="shared" si="200"/>
        <v>-5.4061340941510272E-3</v>
      </c>
      <c r="H179" s="1484">
        <f t="shared" si="200"/>
        <v>2.8571538364778437E-2</v>
      </c>
      <c r="I179" s="1484">
        <f t="shared" si="200"/>
        <v>3.4290637304118965E-2</v>
      </c>
      <c r="J179" s="1484">
        <f t="shared" si="200"/>
        <v>-2.8774775184378099E-3</v>
      </c>
      <c r="K179" s="1484">
        <f t="shared" si="200"/>
        <v>3.3289871449800446E-2</v>
      </c>
      <c r="L179" s="1484">
        <f t="shared" si="200"/>
        <v>2.8775542093441908E-2</v>
      </c>
      <c r="M179" s="1484">
        <f t="shared" ref="M179:AH179" si="201">M178/L178-1</f>
        <v>-1.3008169270363301E-2</v>
      </c>
      <c r="N179" s="1484">
        <f t="shared" si="201"/>
        <v>1.8430996529522403E-2</v>
      </c>
      <c r="O179" s="1484">
        <f t="shared" si="201"/>
        <v>0.1740164528749788</v>
      </c>
      <c r="P179" s="1484">
        <f t="shared" si="201"/>
        <v>4.1221434695182024E-2</v>
      </c>
      <c r="Q179" s="1484">
        <f t="shared" si="201"/>
        <v>2.4275348459328328E-3</v>
      </c>
      <c r="R179" s="1484">
        <f t="shared" si="201"/>
        <v>9.3402280923577052E-2</v>
      </c>
      <c r="S179" s="1484">
        <f t="shared" si="201"/>
        <v>0.11401965834832417</v>
      </c>
      <c r="T179" s="1484">
        <f t="shared" si="201"/>
        <v>-6.8848632959406242E-4</v>
      </c>
      <c r="U179" s="1484">
        <f t="shared" si="201"/>
        <v>-3.3744259723104131E-2</v>
      </c>
      <c r="V179" s="1484">
        <f t="shared" si="201"/>
        <v>0.11526711563485215</v>
      </c>
      <c r="W179" s="1484">
        <f t="shared" si="201"/>
        <v>2.9766361457054025E-2</v>
      </c>
      <c r="X179" s="1484">
        <f t="shared" si="201"/>
        <v>4.2413734266383063E-2</v>
      </c>
      <c r="Y179" s="1484">
        <f t="shared" si="201"/>
        <v>-7.8040705701573843E-2</v>
      </c>
      <c r="Z179" s="1484">
        <f t="shared" si="201"/>
        <v>-5.3001498964704852E-2</v>
      </c>
      <c r="AA179" s="1484">
        <f t="shared" si="201"/>
        <v>-4.9787996893466024E-2</v>
      </c>
      <c r="AB179" s="1484">
        <f t="shared" si="201"/>
        <v>5.0323244221418761E-2</v>
      </c>
      <c r="AC179" s="1484">
        <f t="shared" si="201"/>
        <v>5.6043635913131551E-2</v>
      </c>
      <c r="AD179" s="1484">
        <f t="shared" si="201"/>
        <v>2.3457118713894332E-3</v>
      </c>
      <c r="AE179" s="1484">
        <f t="shared" si="201"/>
        <v>-2.333998509766122E-3</v>
      </c>
      <c r="AF179" s="1484">
        <f t="shared" si="201"/>
        <v>7.5379532916113323E-3</v>
      </c>
      <c r="AG179" s="1484">
        <f t="shared" si="201"/>
        <v>8.9694366159629446E-3</v>
      </c>
      <c r="AH179" s="1484">
        <f t="shared" si="201"/>
        <v>1.9809435449934965E-2</v>
      </c>
      <c r="AI179" s="1423"/>
      <c r="AJ179" s="1448"/>
      <c r="AK179" s="1423"/>
      <c r="AL179" s="1423"/>
      <c r="AM179" s="1423"/>
      <c r="AN179" s="1423"/>
      <c r="AO179" s="1423"/>
      <c r="AP179" s="1449"/>
      <c r="AQ179" s="1423"/>
      <c r="AR179" s="1423"/>
      <c r="AS179" s="1421"/>
      <c r="AT179" s="1421"/>
      <c r="AU179" s="1421"/>
      <c r="AV179" s="1421"/>
      <c r="AW179" s="1421"/>
      <c r="AX179" s="1421"/>
      <c r="AY179" s="1421"/>
    </row>
    <row r="180" spans="1:51">
      <c r="A180" s="1421"/>
      <c r="B180" s="1421"/>
      <c r="C180" s="1421"/>
      <c r="D180" s="1421"/>
      <c r="E180" s="1421"/>
      <c r="F180" s="1421"/>
      <c r="G180" s="1421"/>
      <c r="H180" s="1525"/>
      <c r="I180" s="1525"/>
      <c r="J180" s="1525"/>
      <c r="K180" s="1525"/>
      <c r="L180" s="1525"/>
      <c r="M180" s="1525"/>
      <c r="N180" s="1525"/>
      <c r="O180" s="1421"/>
      <c r="P180" s="1421"/>
      <c r="Q180" s="1421"/>
      <c r="R180" s="1421"/>
      <c r="S180" s="1421"/>
      <c r="T180" s="1421"/>
      <c r="U180" s="1421"/>
      <c r="V180" s="1421"/>
      <c r="W180" s="1421"/>
      <c r="X180" s="1421"/>
      <c r="Y180" s="1421"/>
      <c r="Z180" s="1421"/>
      <c r="AA180" s="1421"/>
      <c r="AB180" s="1421"/>
      <c r="AC180" s="1421"/>
      <c r="AD180" s="1421"/>
      <c r="AE180" s="1421"/>
      <c r="AF180" s="1421"/>
      <c r="AG180" s="1421"/>
      <c r="AH180" s="1421"/>
      <c r="AI180" s="1423"/>
      <c r="AJ180" s="1448"/>
      <c r="AK180" s="1423"/>
      <c r="AL180" s="1423"/>
      <c r="AM180" s="1423"/>
      <c r="AN180" s="1423"/>
      <c r="AO180" s="1423"/>
      <c r="AP180" s="1449"/>
      <c r="AQ180" s="1423"/>
      <c r="AR180" s="1423"/>
      <c r="AS180" s="1421"/>
      <c r="AT180" s="1421"/>
      <c r="AU180" s="1421"/>
      <c r="AV180" s="1421"/>
      <c r="AW180" s="1421"/>
      <c r="AX180" s="1421"/>
      <c r="AY180" s="1421"/>
    </row>
    <row r="181" spans="1:51">
      <c r="A181" s="1450" t="s">
        <v>506</v>
      </c>
      <c r="B181" s="1532">
        <v>5.5E-2</v>
      </c>
      <c r="C181" s="1532">
        <v>0.21</v>
      </c>
      <c r="D181" s="1525">
        <f>'SegP&amp;L'!$Y$29/100</f>
        <v>0.24</v>
      </c>
      <c r="E181" s="1525">
        <f>'SegP&amp;L'!$Y$36/100</f>
        <v>7.0000000000000007E-2</v>
      </c>
      <c r="F181" s="1525">
        <f>'SegP&amp;L'!$Y$43/100</f>
        <v>0.1</v>
      </c>
      <c r="G181" s="1525">
        <f>'SegP&amp;L'!$Y$50/100</f>
        <v>7.0000000000000007E-2</v>
      </c>
      <c r="H181" s="1525">
        <f>'SegP&amp;L'!$Y$57/100</f>
        <v>0.13</v>
      </c>
      <c r="I181" s="1525">
        <f>'SegP&amp;L'!$Y$64/100</f>
        <v>0.14000000000000001</v>
      </c>
      <c r="J181" s="1525">
        <f>'SegP&amp;L'!$Y$71/100</f>
        <v>0.13</v>
      </c>
      <c r="K181" s="1525">
        <f>'SegP&amp;L'!$Y$78/100</f>
        <v>0.08</v>
      </c>
      <c r="L181" s="1525">
        <f>'SegP&amp;L'!$Y$85/100</f>
        <v>0.08</v>
      </c>
      <c r="M181" s="1525">
        <f>'SegP&amp;L'!$Y$92/100</f>
        <v>0.06</v>
      </c>
      <c r="N181" s="1525">
        <f>'SegP&amp;L'!$Y$99/100</f>
        <v>0.05</v>
      </c>
      <c r="O181" s="1525">
        <f>'SegP&amp;L'!$Y$106/100</f>
        <v>0.04</v>
      </c>
      <c r="P181" s="1525">
        <f>'SegP&amp;L'!$Y$113/100</f>
        <v>3.6981607061867573E-2</v>
      </c>
      <c r="Q181" s="1525">
        <f>+SegqtrSales!F261/100</f>
        <v>-2.6737125240784341E-2</v>
      </c>
      <c r="R181" s="1484">
        <f>SegqtrSales!$F$268/100</f>
        <v>0.05</v>
      </c>
      <c r="S181" s="1484">
        <f>SegqtrSales!$F$275/100</f>
        <v>0.05</v>
      </c>
      <c r="T181" s="1484">
        <f>SegqtrSales!F282*0.01</f>
        <v>0.03</v>
      </c>
      <c r="U181" s="1484">
        <f>SegqtrSales!$F$289/100</f>
        <v>0.02</v>
      </c>
      <c r="V181" s="1484">
        <f>SegqtrSales!$F$296*0.01</f>
        <v>4.6398256553957226E-2</v>
      </c>
      <c r="W181" s="1484">
        <f>SegqtrSales!$F$303*0.01</f>
        <v>-0.01</v>
      </c>
      <c r="X181" s="1484">
        <f>SegqtrSales!$F$310*0.01</f>
        <v>0.05</v>
      </c>
      <c r="Y181" s="1484">
        <f>'SegP&amp;L'!Y176</f>
        <v>0</v>
      </c>
      <c r="Z181" s="1533">
        <f>'SegP&amp;L'!Y183*0.01</f>
        <v>0.03</v>
      </c>
      <c r="AA181" s="1484">
        <f>'SegP&amp;L'!Y190*0.01</f>
        <v>0.12</v>
      </c>
      <c r="AB181" s="1484">
        <f>'SegP&amp;L'!$Y$197*0.01</f>
        <v>0.08</v>
      </c>
      <c r="AC181" s="1484">
        <f>'SegP&amp;L'!$Y204/100</f>
        <v>0.05</v>
      </c>
      <c r="AD181" s="1484">
        <f>'SegP&amp;L'!$Y211/100</f>
        <v>3.3154102501965897E-2</v>
      </c>
      <c r="AE181" s="1489">
        <v>0.03</v>
      </c>
      <c r="AF181" s="1489">
        <v>0.03</v>
      </c>
      <c r="AG181" s="1489">
        <v>0.03</v>
      </c>
      <c r="AH181" s="1489">
        <v>0.03</v>
      </c>
      <c r="AI181" s="1490"/>
      <c r="AJ181" s="1491"/>
      <c r="AK181" s="1423"/>
      <c r="AL181" s="1423"/>
      <c r="AM181" s="1423"/>
      <c r="AN181" s="1423"/>
      <c r="AO181" s="1423"/>
      <c r="AP181" s="1449"/>
      <c r="AQ181" s="1423"/>
      <c r="AR181" s="1423"/>
      <c r="AS181" s="1421"/>
      <c r="AT181" s="1421"/>
      <c r="AU181" s="1421"/>
      <c r="AV181" s="1421"/>
      <c r="AW181" s="1421"/>
      <c r="AX181" s="1421"/>
      <c r="AY181" s="1421"/>
    </row>
    <row r="182" spans="1:51">
      <c r="A182" s="1450" t="s">
        <v>365</v>
      </c>
      <c r="B182" s="1484"/>
      <c r="C182" s="1525">
        <f>+C139-C181</f>
        <v>1.5899999999999999</v>
      </c>
      <c r="D182" s="1525">
        <f>+D139-D181</f>
        <v>0.60999999999999988</v>
      </c>
      <c r="E182" s="1525">
        <f>+E139-E181</f>
        <v>0.60953667953667967</v>
      </c>
      <c r="F182" s="1525">
        <f>+F139-F181</f>
        <v>0.27931034482758632</v>
      </c>
      <c r="G182" s="1525">
        <f>+G139-G181</f>
        <v>0.41132500000000022</v>
      </c>
      <c r="H182" s="1525">
        <f t="shared" ref="H182:X182" si="202">+H139-H181</f>
        <v>0.28984934658723327</v>
      </c>
      <c r="I182" s="1525">
        <f t="shared" si="202"/>
        <v>0.15544635109809779</v>
      </c>
      <c r="J182" s="1525">
        <f t="shared" si="202"/>
        <v>5.497426282806106E-2</v>
      </c>
      <c r="K182" s="1525">
        <f t="shared" si="202"/>
        <v>0.12474759832540945</v>
      </c>
      <c r="L182" s="1525">
        <f t="shared" si="202"/>
        <v>0.12684070142362863</v>
      </c>
      <c r="M182" s="1525">
        <f t="shared" si="202"/>
        <v>0.11320094938675057</v>
      </c>
      <c r="N182" s="1525">
        <f t="shared" si="202"/>
        <v>0.15022636587443655</v>
      </c>
      <c r="O182" s="1525">
        <f t="shared" si="202"/>
        <v>0.31694690633659511</v>
      </c>
      <c r="P182" s="1525">
        <f t="shared" si="202"/>
        <v>0.15729469962017253</v>
      </c>
      <c r="Q182" s="1525">
        <f t="shared" si="202"/>
        <v>0.16077460193162665</v>
      </c>
      <c r="R182" s="1525">
        <f t="shared" si="202"/>
        <v>0.1441778209497469</v>
      </c>
      <c r="S182" s="1525">
        <f t="shared" si="202"/>
        <v>0.12234529491106376</v>
      </c>
      <c r="T182" s="1525">
        <f t="shared" si="202"/>
        <v>1.8328265094222279E-2</v>
      </c>
      <c r="U182" s="1525">
        <f t="shared" si="202"/>
        <v>-6.6932654901299231E-3</v>
      </c>
      <c r="V182" s="1525">
        <f t="shared" si="202"/>
        <v>0.11149053228987017</v>
      </c>
      <c r="W182" s="1525">
        <f t="shared" si="202"/>
        <v>7.7671871694736647E-2</v>
      </c>
      <c r="X182" s="1525">
        <f t="shared" si="202"/>
        <v>4.1758763107395278E-2</v>
      </c>
      <c r="Y182" s="1525">
        <f t="shared" ref="Y182:AD182" si="203">+Y139-Y181</f>
        <v>-1.6458355476828057E-2</v>
      </c>
      <c r="Z182" s="1525">
        <f t="shared" si="203"/>
        <v>-2.7833440010785998E-2</v>
      </c>
      <c r="AA182" s="1525">
        <f t="shared" si="203"/>
        <v>-0.13021196094822984</v>
      </c>
      <c r="AB182" s="1525">
        <f t="shared" si="203"/>
        <v>3.0876520387849229E-2</v>
      </c>
      <c r="AC182" s="1525">
        <f t="shared" si="203"/>
        <v>9.8576515541635421E-2</v>
      </c>
      <c r="AD182" s="1525">
        <f t="shared" si="203"/>
        <v>5.2981202781919236E-2</v>
      </c>
      <c r="AE182" s="1525">
        <f>AE167*AE186</f>
        <v>3.9725373651720713E-2</v>
      </c>
      <c r="AF182" s="1525">
        <f>AF167*AF186</f>
        <v>5.1126804115012268E-2</v>
      </c>
      <c r="AG182" s="1525">
        <f>AG167*AG186</f>
        <v>4.7646765745066738E-2</v>
      </c>
      <c r="AH182" s="1525">
        <f>AH167*AH186</f>
        <v>2.2305142983069823E-2</v>
      </c>
      <c r="AI182" s="1490"/>
      <c r="AJ182" s="1491"/>
      <c r="AK182" s="1423"/>
      <c r="AL182" s="1423"/>
      <c r="AM182" s="1423"/>
      <c r="AN182" s="1423"/>
      <c r="AO182" s="1423"/>
      <c r="AP182" s="1449"/>
      <c r="AQ182" s="1423"/>
      <c r="AR182" s="1423"/>
      <c r="AS182" s="1421"/>
      <c r="AT182" s="1421"/>
      <c r="AU182" s="1421"/>
      <c r="AV182" s="1421"/>
      <c r="AW182" s="1421"/>
      <c r="AX182" s="1421"/>
      <c r="AY182" s="1421"/>
    </row>
    <row r="183" spans="1:51">
      <c r="A183" s="1421"/>
      <c r="B183" s="1421"/>
      <c r="C183" s="1421"/>
      <c r="D183" s="1421"/>
      <c r="E183" s="1421"/>
      <c r="F183" s="1421"/>
      <c r="G183" s="1421"/>
      <c r="H183" s="1421"/>
      <c r="I183" s="1421"/>
      <c r="J183" s="1421"/>
      <c r="K183" s="1421"/>
      <c r="L183" s="1421"/>
      <c r="M183" s="1421"/>
      <c r="N183" s="1421"/>
      <c r="O183" s="1421"/>
      <c r="P183" s="1421"/>
      <c r="Q183" s="1421"/>
      <c r="R183" s="1421"/>
      <c r="S183" s="1421"/>
      <c r="T183" s="1421"/>
      <c r="U183" s="1421"/>
      <c r="V183" s="1421"/>
      <c r="W183" s="1421"/>
      <c r="X183" s="1421"/>
      <c r="Y183" s="1421"/>
      <c r="Z183" s="1421"/>
      <c r="AA183" s="1421"/>
      <c r="AB183" s="1421"/>
      <c r="AC183" s="1421"/>
      <c r="AD183" s="1421"/>
      <c r="AE183" s="1421"/>
      <c r="AF183" s="1421"/>
      <c r="AG183" s="1421"/>
      <c r="AH183" s="1421"/>
      <c r="AI183" s="1423"/>
      <c r="AJ183" s="1448"/>
      <c r="AK183" s="1423"/>
      <c r="AL183" s="1423"/>
      <c r="AM183" s="1423"/>
      <c r="AN183" s="1423"/>
      <c r="AO183" s="1423"/>
      <c r="AP183" s="1449"/>
      <c r="AQ183" s="1423"/>
      <c r="AR183" s="1423"/>
      <c r="AS183" s="1421"/>
      <c r="AT183" s="1421"/>
      <c r="AU183" s="1421"/>
      <c r="AV183" s="1421"/>
      <c r="AW183" s="1421"/>
      <c r="AX183" s="1421"/>
      <c r="AY183" s="1421"/>
    </row>
    <row r="184" spans="1:51">
      <c r="A184" s="1450" t="s">
        <v>432</v>
      </c>
      <c r="B184" s="1482"/>
      <c r="C184" s="1482"/>
      <c r="D184" s="1482">
        <f t="shared" ref="D184:AH184" si="204">+(D169-C169)*1000000/(D156-D144)</f>
        <v>21833.333333333339</v>
      </c>
      <c r="E184" s="1482">
        <f t="shared" si="204"/>
        <v>24833.333333333328</v>
      </c>
      <c r="F184" s="1482">
        <f t="shared" si="204"/>
        <v>26400</v>
      </c>
      <c r="G184" s="1482">
        <f t="shared" si="204"/>
        <v>28466.666666666664</v>
      </c>
      <c r="H184" s="1482">
        <f t="shared" si="204"/>
        <v>28692.307692307691</v>
      </c>
      <c r="I184" s="1482">
        <f t="shared" si="204"/>
        <v>32727.272727272739</v>
      </c>
      <c r="J184" s="1482">
        <f t="shared" si="204"/>
        <v>29545.45454545454</v>
      </c>
      <c r="K184" s="1482">
        <f t="shared" si="204"/>
        <v>30153.846153846145</v>
      </c>
      <c r="L184" s="1482">
        <f t="shared" si="204"/>
        <v>28235.294117647059</v>
      </c>
      <c r="M184" s="1482">
        <f t="shared" si="204"/>
        <v>30238.095238095226</v>
      </c>
      <c r="N184" s="1482">
        <f t="shared" si="204"/>
        <v>26913.043478260879</v>
      </c>
      <c r="O184" s="1482">
        <f t="shared" si="204"/>
        <v>27958.333333333343</v>
      </c>
      <c r="P184" s="1482">
        <f t="shared" si="204"/>
        <v>31982.608695652205</v>
      </c>
      <c r="Q184" s="1482">
        <f t="shared" si="204"/>
        <v>29391.666666666631</v>
      </c>
      <c r="R184" s="1482">
        <f t="shared" si="204"/>
        <v>21950.000000000004</v>
      </c>
      <c r="S184" s="1482">
        <f t="shared" si="204"/>
        <v>27099.999999999989</v>
      </c>
      <c r="T184" s="1482">
        <f t="shared" si="204"/>
        <v>28600.000000000018</v>
      </c>
      <c r="U184" s="1482">
        <f t="shared" si="204"/>
        <v>23076.923076923063</v>
      </c>
      <c r="V184" s="1482">
        <f t="shared" si="204"/>
        <v>42857.142857142957</v>
      </c>
      <c r="W184" s="1482">
        <f t="shared" si="204"/>
        <v>27272.727272727177</v>
      </c>
      <c r="X184" s="1482">
        <f t="shared" si="204"/>
        <v>31250</v>
      </c>
      <c r="Y184" s="1482">
        <f t="shared" si="204"/>
        <v>32489.191417762817</v>
      </c>
      <c r="Z184" s="1482">
        <f t="shared" si="204"/>
        <v>18162.04261856437</v>
      </c>
      <c r="AA184" s="1482">
        <f t="shared" si="204"/>
        <v>21817.289935364839</v>
      </c>
      <c r="AB184" s="1482">
        <f t="shared" si="204"/>
        <v>25337.790039615076</v>
      </c>
      <c r="AC184" s="1482">
        <f t="shared" si="204"/>
        <v>31763.616630862925</v>
      </c>
      <c r="AD184" s="1482">
        <f t="shared" si="204"/>
        <v>28601.003998090491</v>
      </c>
      <c r="AE184" s="1482">
        <f t="shared" si="204"/>
        <v>29026.424479566213</v>
      </c>
      <c r="AF184" s="1482">
        <f t="shared" si="204"/>
        <v>29026.424479566311</v>
      </c>
      <c r="AG184" s="1482">
        <f t="shared" si="204"/>
        <v>29026.424479566263</v>
      </c>
      <c r="AH184" s="1482">
        <f t="shared" si="204"/>
        <v>0</v>
      </c>
      <c r="AI184" s="1478"/>
      <c r="AJ184" s="1479"/>
      <c r="AK184" s="1478"/>
      <c r="AL184" s="1478"/>
      <c r="AM184" s="1423"/>
      <c r="AN184" s="1478"/>
      <c r="AO184" s="1423"/>
      <c r="AP184" s="1449"/>
      <c r="AQ184" s="1423"/>
      <c r="AR184" s="1423"/>
      <c r="AS184" s="1421"/>
      <c r="AT184" s="1421"/>
      <c r="AU184" s="1421"/>
      <c r="AV184" s="1421"/>
      <c r="AW184" s="1421"/>
      <c r="AX184" s="1421"/>
      <c r="AY184" s="1421"/>
    </row>
    <row r="185" spans="1:51">
      <c r="A185" s="1421"/>
      <c r="B185" s="1421"/>
      <c r="C185" s="1421"/>
      <c r="D185" s="1421"/>
      <c r="E185" s="1421"/>
      <c r="F185" s="1421"/>
      <c r="G185" s="1421"/>
      <c r="H185" s="1421"/>
      <c r="I185" s="1421"/>
      <c r="J185" s="1421"/>
      <c r="K185" s="1421"/>
      <c r="L185" s="1526"/>
      <c r="M185" s="1421"/>
      <c r="N185" s="1421"/>
      <c r="O185" s="1421"/>
      <c r="P185" s="1421"/>
      <c r="Q185" s="1421"/>
      <c r="R185" s="1421"/>
      <c r="S185" s="1421"/>
      <c r="T185" s="1421"/>
      <c r="U185" s="1421"/>
      <c r="V185" s="1421"/>
      <c r="W185" s="1421"/>
      <c r="X185" s="1421"/>
      <c r="Y185" s="1421"/>
      <c r="Z185" s="1421"/>
      <c r="AA185" s="1421"/>
      <c r="AB185" s="1421"/>
      <c r="AC185" s="1421"/>
      <c r="AD185" s="1421"/>
      <c r="AE185" s="1421"/>
      <c r="AF185" s="1421"/>
      <c r="AG185" s="1421"/>
      <c r="AH185" s="1421"/>
      <c r="AI185" s="1423"/>
      <c r="AJ185" s="1448"/>
      <c r="AK185" s="1423"/>
      <c r="AL185" s="1423"/>
      <c r="AM185" s="1423"/>
      <c r="AN185" s="1423"/>
      <c r="AO185" s="1423"/>
      <c r="AP185" s="1449"/>
      <c r="AQ185" s="1423"/>
      <c r="AR185" s="1423"/>
      <c r="AS185" s="1421"/>
      <c r="AT185" s="1421"/>
      <c r="AU185" s="1421"/>
      <c r="AV185" s="1421"/>
      <c r="AW185" s="1421"/>
      <c r="AX185" s="1421"/>
      <c r="AY185" s="1421"/>
    </row>
    <row r="186" spans="1:51">
      <c r="A186" s="1450" t="s">
        <v>507</v>
      </c>
      <c r="B186" s="1445"/>
      <c r="C186" s="1445"/>
      <c r="D186" s="1481">
        <f t="shared" ref="D186:R186" si="205">D182/D167</f>
        <v>0.66133663366336581</v>
      </c>
      <c r="E186" s="1481">
        <f t="shared" si="205"/>
        <v>0.59817002817002851</v>
      </c>
      <c r="F186" s="1481">
        <f t="shared" si="205"/>
        <v>0.42244447171432098</v>
      </c>
      <c r="G186" s="1481">
        <f t="shared" si="205"/>
        <v>0.84050781476121639</v>
      </c>
      <c r="H186" s="1481">
        <f t="shared" si="205"/>
        <v>0.76194146984118971</v>
      </c>
      <c r="I186" s="1481">
        <f t="shared" si="205"/>
        <v>0.61563541232984631</v>
      </c>
      <c r="J186" s="1481">
        <f t="shared" si="205"/>
        <v>0.29180499217931388</v>
      </c>
      <c r="K186" s="1481">
        <f t="shared" si="205"/>
        <v>0.7517913143153333</v>
      </c>
      <c r="L186" s="1481">
        <f t="shared" si="205"/>
        <v>0.73282506166541383</v>
      </c>
      <c r="M186" s="1481">
        <f t="shared" si="205"/>
        <v>0.60001579450735099</v>
      </c>
      <c r="N186" s="1481">
        <f t="shared" si="205"/>
        <v>0.84157912302066673</v>
      </c>
      <c r="O186" s="1481">
        <f t="shared" si="205"/>
        <v>2.034111191907499</v>
      </c>
      <c r="P186" s="1481">
        <f t="shared" si="205"/>
        <v>1.0700646812636352</v>
      </c>
      <c r="Q186" s="1481">
        <f t="shared" si="205"/>
        <v>1.2245646918534085</v>
      </c>
      <c r="R186" s="1481">
        <f t="shared" si="205"/>
        <v>1.5643117193329517</v>
      </c>
      <c r="S186" s="1481">
        <f t="shared" ref="S186:X186" si="206">S182/S167</f>
        <v>2.3367951328013103</v>
      </c>
      <c r="T186" s="1481">
        <f t="shared" si="206"/>
        <v>0.37366095879949407</v>
      </c>
      <c r="U186" s="1481">
        <f t="shared" si="206"/>
        <v>-0.13745525055244864</v>
      </c>
      <c r="V186" s="1481">
        <f t="shared" si="206"/>
        <v>2.9173355949182702</v>
      </c>
      <c r="W186" s="1481">
        <f t="shared" si="206"/>
        <v>2.1100858477070243</v>
      </c>
      <c r="X186" s="1481">
        <f t="shared" si="206"/>
        <v>0.88215387064372486</v>
      </c>
      <c r="Y186" s="1481">
        <f t="shared" ref="Y186:AD186" si="207">Y182/Y167</f>
        <v>-0.24640069346739002</v>
      </c>
      <c r="Z186" s="1481">
        <f t="shared" si="207"/>
        <v>-0.47778055760284904</v>
      </c>
      <c r="AA186" s="1481">
        <f t="shared" si="207"/>
        <v>-3.1263608212873657</v>
      </c>
      <c r="AB186" s="1481">
        <f t="shared" si="207"/>
        <v>0.53556684488713713</v>
      </c>
      <c r="AC186" s="1481">
        <f t="shared" si="207"/>
        <v>1.1250174241434594</v>
      </c>
      <c r="AD186" s="1481">
        <f t="shared" si="207"/>
        <v>0.63379566907321361</v>
      </c>
      <c r="AE186" s="1527">
        <v>0.55000000000000004</v>
      </c>
      <c r="AF186" s="1527">
        <v>0.7</v>
      </c>
      <c r="AG186" s="1527">
        <v>0.7</v>
      </c>
      <c r="AH186" s="1527">
        <v>0.7</v>
      </c>
      <c r="AI186" s="1423"/>
      <c r="AJ186" s="1493"/>
      <c r="AK186" s="1425"/>
      <c r="AL186" s="1425"/>
      <c r="AM186" s="1425"/>
      <c r="AN186" s="1425"/>
      <c r="AO186" s="1425"/>
      <c r="AP186" s="1494"/>
      <c r="AQ186" s="1423"/>
      <c r="AR186" s="1423"/>
      <c r="AS186" s="1421"/>
      <c r="AT186" s="1421"/>
      <c r="AU186" s="1421"/>
      <c r="AV186" s="1421"/>
      <c r="AW186" s="1421"/>
      <c r="AX186" s="1421"/>
      <c r="AY186" s="1421"/>
    </row>
    <row r="187" spans="1:51">
      <c r="A187" s="467"/>
      <c r="B187" s="467"/>
      <c r="C187" s="467"/>
      <c r="D187" s="467"/>
      <c r="E187" s="467"/>
      <c r="F187" s="467"/>
      <c r="G187" s="467"/>
      <c r="H187" s="467"/>
      <c r="I187" s="467"/>
      <c r="J187" s="467"/>
      <c r="K187" s="467"/>
      <c r="L187" s="467"/>
      <c r="M187" s="467"/>
      <c r="N187" s="467"/>
      <c r="O187" s="467"/>
      <c r="P187" s="467"/>
      <c r="Q187" s="467"/>
      <c r="R187" s="467"/>
      <c r="S187" s="467"/>
      <c r="T187" s="467"/>
      <c r="U187" s="467"/>
      <c r="V187" s="467"/>
      <c r="W187" s="467"/>
      <c r="X187" s="467"/>
      <c r="Y187" s="467"/>
      <c r="Z187" s="467"/>
      <c r="AA187" s="467"/>
      <c r="AB187" s="467"/>
      <c r="AC187" s="467"/>
      <c r="AD187" s="467"/>
      <c r="AE187" s="467"/>
      <c r="AF187" s="467"/>
      <c r="AG187" s="467"/>
      <c r="AH187" s="467"/>
      <c r="AI187" s="1499"/>
      <c r="AJ187" s="467"/>
      <c r="AK187" s="467"/>
      <c r="AL187" s="467"/>
      <c r="AM187" s="1499"/>
      <c r="AN187" s="467"/>
      <c r="AO187" s="1499"/>
      <c r="AP187" s="1499"/>
      <c r="AQ187" s="1499"/>
      <c r="AR187" s="1499"/>
      <c r="AS187" s="467"/>
      <c r="AT187" s="467"/>
      <c r="AU187" s="467"/>
      <c r="AV187" s="467"/>
      <c r="AW187" s="467"/>
      <c r="AX187" s="467"/>
      <c r="AY187" s="467"/>
    </row>
    <row r="188" spans="1:51">
      <c r="A188" s="1421"/>
      <c r="B188" s="1421"/>
      <c r="C188" s="1421"/>
      <c r="D188" s="1421"/>
      <c r="E188" s="1421"/>
      <c r="F188" s="1421"/>
      <c r="G188" s="1421"/>
      <c r="H188" s="1421"/>
      <c r="I188" s="1421"/>
      <c r="J188" s="1421"/>
      <c r="K188" s="1421"/>
      <c r="L188" s="1421"/>
      <c r="M188" s="1421"/>
      <c r="N188" s="1421"/>
      <c r="O188" s="1421"/>
      <c r="P188" s="467"/>
      <c r="Q188" s="467"/>
      <c r="R188" s="467"/>
      <c r="S188" s="467"/>
      <c r="T188" s="467"/>
      <c r="U188" s="467"/>
      <c r="V188" s="467"/>
      <c r="W188" s="467"/>
      <c r="X188" s="467"/>
      <c r="Y188" s="467"/>
      <c r="Z188" s="467"/>
      <c r="AA188" s="467"/>
      <c r="AB188" s="467"/>
      <c r="AC188" s="467"/>
      <c r="AD188" s="467"/>
      <c r="AE188" s="467"/>
      <c r="AF188" s="467"/>
      <c r="AG188" s="467"/>
      <c r="AH188" s="467"/>
      <c r="AI188" s="1423"/>
      <c r="AJ188" s="1421"/>
      <c r="AK188" s="1421"/>
      <c r="AL188" s="1421"/>
      <c r="AM188" s="1423"/>
      <c r="AN188" s="1421"/>
      <c r="AO188" s="1423"/>
      <c r="AP188" s="1423"/>
      <c r="AQ188" s="1423"/>
      <c r="AR188" s="1423"/>
      <c r="AS188" s="1421"/>
      <c r="AT188" s="1421"/>
      <c r="AU188" s="1421"/>
      <c r="AV188" s="1421"/>
      <c r="AW188" s="1421"/>
      <c r="AX188" s="1421"/>
      <c r="AY188" s="1421"/>
    </row>
    <row r="189" spans="1:51">
      <c r="A189" s="1503" t="s">
        <v>553</v>
      </c>
      <c r="B189" s="1534"/>
      <c r="C189" s="1421"/>
      <c r="D189" s="1421"/>
      <c r="E189" s="1421"/>
      <c r="F189" s="1421"/>
      <c r="G189" s="1421"/>
      <c r="H189" s="1421"/>
      <c r="I189" s="1421"/>
      <c r="J189" s="1421"/>
      <c r="K189" s="1421"/>
      <c r="L189" s="1421"/>
      <c r="M189" s="1421"/>
      <c r="N189" s="1421"/>
      <c r="O189" s="1421"/>
      <c r="P189" s="467"/>
      <c r="Q189" s="467"/>
      <c r="R189" s="467"/>
      <c r="S189" s="467"/>
      <c r="T189" s="467"/>
      <c r="U189" s="467"/>
      <c r="V189" s="467"/>
      <c r="W189" s="467"/>
      <c r="X189" s="467"/>
      <c r="Y189" s="467"/>
      <c r="Z189" s="467"/>
      <c r="AA189" s="467"/>
      <c r="AB189" s="467"/>
      <c r="AC189" s="467"/>
      <c r="AD189" s="467"/>
      <c r="AE189" s="467"/>
      <c r="AF189" s="467"/>
      <c r="AG189" s="467"/>
      <c r="AH189" s="467"/>
      <c r="AI189" s="1423"/>
      <c r="AJ189" s="1421"/>
      <c r="AK189" s="1421"/>
      <c r="AL189" s="1421"/>
      <c r="AM189" s="1423"/>
      <c r="AN189" s="1421"/>
      <c r="AO189" s="1423"/>
      <c r="AP189" s="1423"/>
      <c r="AQ189" s="1423"/>
      <c r="AR189" s="1423"/>
      <c r="AS189" s="1421"/>
      <c r="AT189" s="1421"/>
      <c r="AU189" s="1421"/>
      <c r="AV189" s="1421"/>
      <c r="AW189" s="1421"/>
      <c r="AX189" s="1421"/>
      <c r="AY189" s="1421"/>
    </row>
    <row r="190" spans="1:51">
      <c r="A190" s="1504" t="str">
        <f>+A134</f>
        <v>Annual Sales Model, Fiscal 2002A-2022E</v>
      </c>
      <c r="B190" s="1425"/>
      <c r="C190" s="1425"/>
      <c r="D190" s="1425"/>
      <c r="E190" s="1425"/>
      <c r="F190" s="1425"/>
      <c r="G190" s="1425"/>
      <c r="H190" s="1425"/>
      <c r="I190" s="1425"/>
      <c r="J190" s="1425"/>
      <c r="K190" s="1425"/>
      <c r="L190" s="1425"/>
      <c r="M190" s="1425"/>
      <c r="N190" s="1425"/>
      <c r="O190" s="1425"/>
      <c r="P190" s="1425"/>
      <c r="Q190" s="1425"/>
      <c r="R190" s="1425"/>
      <c r="S190" s="1425"/>
      <c r="T190" s="1425"/>
      <c r="U190" s="1425"/>
      <c r="V190" s="1425"/>
      <c r="W190" s="1425"/>
      <c r="X190" s="1425"/>
      <c r="Y190" s="1425"/>
      <c r="Z190" s="1425"/>
      <c r="AA190" s="1425"/>
      <c r="AB190" s="1425"/>
      <c r="AC190" s="1425"/>
      <c r="AD190" s="1425"/>
      <c r="AE190" s="1425"/>
      <c r="AF190" s="1425"/>
      <c r="AG190" s="1425"/>
      <c r="AH190" s="1425"/>
      <c r="AI190" s="1423"/>
      <c r="AJ190" s="1425"/>
      <c r="AK190" s="1425"/>
      <c r="AL190" s="1425"/>
      <c r="AM190" s="1425"/>
      <c r="AN190" s="1425"/>
      <c r="AO190" s="1425"/>
      <c r="AP190" s="1425"/>
      <c r="AQ190" s="1423"/>
      <c r="AR190" s="1423"/>
      <c r="AS190" s="1421"/>
      <c r="AT190" s="1421"/>
      <c r="AU190" s="1421"/>
      <c r="AV190" s="1421"/>
      <c r="AW190" s="1421"/>
      <c r="AX190" s="1421"/>
      <c r="AY190" s="1421"/>
    </row>
    <row r="191" spans="1:51">
      <c r="A191" s="1427"/>
      <c r="B191" s="1421"/>
      <c r="C191" s="1421"/>
      <c r="D191" s="1421"/>
      <c r="E191" s="1421"/>
      <c r="F191" s="1421"/>
      <c r="G191" s="1421"/>
      <c r="H191" s="1421"/>
      <c r="I191" s="1421"/>
      <c r="J191" s="1421"/>
      <c r="K191" s="1421"/>
      <c r="L191" s="1421"/>
      <c r="M191" s="1421"/>
      <c r="N191" s="1421"/>
      <c r="O191" s="1421"/>
      <c r="P191" s="1421"/>
      <c r="Q191" s="1421"/>
      <c r="R191" s="1421"/>
      <c r="S191" s="1421"/>
      <c r="T191" s="1421"/>
      <c r="U191" s="1421"/>
      <c r="V191" s="1421"/>
      <c r="W191" s="1421"/>
      <c r="X191" s="1421"/>
      <c r="Y191" s="1421"/>
      <c r="Z191" s="1421"/>
      <c r="AA191" s="1421"/>
      <c r="AB191" s="1421"/>
      <c r="AC191" s="1421"/>
      <c r="AD191" s="1421"/>
      <c r="AE191" s="1421"/>
      <c r="AF191" s="1421"/>
      <c r="AG191" s="1421"/>
      <c r="AH191" s="1421"/>
      <c r="AI191" s="1423"/>
      <c r="AJ191" s="1505"/>
      <c r="AK191" s="1506"/>
      <c r="AL191" s="1441" t="s">
        <v>188</v>
      </c>
      <c r="AM191" s="1423"/>
      <c r="AN191" s="1441" t="s">
        <v>188</v>
      </c>
      <c r="AO191" s="1423"/>
      <c r="AP191" s="1449"/>
      <c r="AQ191" s="1423"/>
      <c r="AR191" s="1423"/>
      <c r="AS191" s="1421"/>
      <c r="AT191" s="1421"/>
      <c r="AU191" s="1421"/>
      <c r="AV191" s="1421"/>
      <c r="AW191" s="1421"/>
      <c r="AX191" s="1421"/>
      <c r="AY191" s="1421"/>
    </row>
    <row r="192" spans="1:51">
      <c r="A192" s="1434"/>
      <c r="B192" s="1435">
        <f t="shared" ref="B192:G192" si="208">+B5</f>
        <v>1990</v>
      </c>
      <c r="C192" s="1436">
        <f t="shared" si="208"/>
        <v>1991</v>
      </c>
      <c r="D192" s="1436">
        <f t="shared" si="208"/>
        <v>1992</v>
      </c>
      <c r="E192" s="1436">
        <f t="shared" si="208"/>
        <v>1993</v>
      </c>
      <c r="F192" s="1436">
        <f t="shared" si="208"/>
        <v>1994</v>
      </c>
      <c r="G192" s="1436">
        <f t="shared" si="208"/>
        <v>1995</v>
      </c>
      <c r="H192" s="1436">
        <f>+H5</f>
        <v>1996</v>
      </c>
      <c r="I192" s="1436">
        <f t="shared" ref="I192:Q192" si="209">+I5</f>
        <v>1997</v>
      </c>
      <c r="J192" s="1436">
        <f t="shared" si="209"/>
        <v>1998</v>
      </c>
      <c r="K192" s="1436">
        <f t="shared" si="209"/>
        <v>1999</v>
      </c>
      <c r="L192" s="1436">
        <f t="shared" si="209"/>
        <v>2000</v>
      </c>
      <c r="M192" s="1436">
        <f t="shared" si="209"/>
        <v>2001</v>
      </c>
      <c r="N192" s="1436">
        <f t="shared" si="209"/>
        <v>2002</v>
      </c>
      <c r="O192" s="1436">
        <f t="shared" si="209"/>
        <v>2003</v>
      </c>
      <c r="P192" s="1436">
        <f t="shared" si="209"/>
        <v>2004</v>
      </c>
      <c r="Q192" s="1437">
        <f t="shared" si="209"/>
        <v>2005</v>
      </c>
      <c r="R192" s="1437">
        <f t="shared" ref="R192:AH192" si="210">+R$5</f>
        <v>2006</v>
      </c>
      <c r="S192" s="1437">
        <f t="shared" si="210"/>
        <v>2007</v>
      </c>
      <c r="T192" s="1437">
        <f t="shared" si="210"/>
        <v>2008</v>
      </c>
      <c r="U192" s="1437">
        <f t="shared" si="210"/>
        <v>2009</v>
      </c>
      <c r="V192" s="1437">
        <f t="shared" si="210"/>
        <v>2010</v>
      </c>
      <c r="W192" s="1437">
        <f t="shared" si="210"/>
        <v>2011</v>
      </c>
      <c r="X192" s="1437">
        <f t="shared" si="210"/>
        <v>2012</v>
      </c>
      <c r="Y192" s="1437">
        <f t="shared" si="210"/>
        <v>2013</v>
      </c>
      <c r="Z192" s="1437">
        <f>Y192+1</f>
        <v>2014</v>
      </c>
      <c r="AA192" s="1437">
        <f>Z192+1</f>
        <v>2015</v>
      </c>
      <c r="AB192" s="1436">
        <f t="shared" si="210"/>
        <v>2016</v>
      </c>
      <c r="AC192" s="1436">
        <f t="shared" si="210"/>
        <v>2017</v>
      </c>
      <c r="AD192" s="1438">
        <f t="shared" si="210"/>
        <v>2018</v>
      </c>
      <c r="AE192" s="1438">
        <f t="shared" si="210"/>
        <v>2019</v>
      </c>
      <c r="AF192" s="1438">
        <f t="shared" si="210"/>
        <v>2020</v>
      </c>
      <c r="AG192" s="1438">
        <f t="shared" si="210"/>
        <v>2021</v>
      </c>
      <c r="AH192" s="1438">
        <f t="shared" si="210"/>
        <v>2022</v>
      </c>
      <c r="AI192" s="1439"/>
      <c r="AJ192" s="1440"/>
      <c r="AK192" s="2076" t="s">
        <v>855</v>
      </c>
      <c r="AL192" s="1423"/>
      <c r="AM192" s="1442" t="s">
        <v>853</v>
      </c>
      <c r="AN192" s="1423"/>
      <c r="AO192" s="1442" t="s">
        <v>854</v>
      </c>
      <c r="AP192" s="1449"/>
      <c r="AQ192" s="1423"/>
      <c r="AR192" s="1423"/>
      <c r="AS192" s="1421"/>
      <c r="AT192" s="1421"/>
      <c r="AU192" s="1421"/>
      <c r="AV192" s="1421"/>
      <c r="AW192" s="1421"/>
      <c r="AX192" s="1421"/>
      <c r="AY192" s="1421"/>
    </row>
    <row r="193" spans="1:51">
      <c r="A193" s="1434"/>
      <c r="B193" s="1434"/>
      <c r="C193" s="1434"/>
      <c r="D193" s="1434"/>
      <c r="E193" s="1434"/>
      <c r="F193" s="1434"/>
      <c r="G193" s="1434"/>
      <c r="H193" s="1434"/>
      <c r="I193" s="1421"/>
      <c r="J193" s="1421"/>
      <c r="K193" s="1421"/>
      <c r="L193" s="1421"/>
      <c r="M193" s="1421"/>
      <c r="N193" s="1421"/>
      <c r="O193" s="1421"/>
      <c r="P193" s="467"/>
      <c r="Q193" s="467"/>
      <c r="R193" s="467"/>
      <c r="S193" s="467"/>
      <c r="T193" s="467"/>
      <c r="U193" s="467"/>
      <c r="V193" s="467"/>
      <c r="W193" s="467"/>
      <c r="X193" s="467"/>
      <c r="Y193" s="467"/>
      <c r="Z193" s="467"/>
      <c r="AA193" s="467"/>
      <c r="AB193" s="467"/>
      <c r="AC193" s="467"/>
      <c r="AD193" s="467"/>
      <c r="AE193" s="467"/>
      <c r="AF193" s="467"/>
      <c r="AG193" s="467"/>
      <c r="AH193" s="467"/>
      <c r="AI193" s="1423"/>
      <c r="AJ193" s="1448"/>
      <c r="AK193" s="1423"/>
      <c r="AL193" s="1423"/>
      <c r="AM193" s="1423"/>
      <c r="AN193" s="1423"/>
      <c r="AO193" s="1423"/>
      <c r="AP193" s="1449"/>
      <c r="AQ193" s="1423"/>
      <c r="AR193" s="1423"/>
      <c r="AS193" s="1421"/>
      <c r="AT193" s="1421"/>
      <c r="AU193" s="1421"/>
      <c r="AV193" s="1421"/>
      <c r="AW193" s="1421"/>
      <c r="AX193" s="1421"/>
      <c r="AY193" s="1421"/>
    </row>
    <row r="194" spans="1:51">
      <c r="A194" s="1450" t="s">
        <v>413</v>
      </c>
      <c r="B194" s="1512"/>
      <c r="C194" s="1512"/>
      <c r="D194" s="1512"/>
      <c r="E194" s="1513" t="s">
        <v>642</v>
      </c>
      <c r="F194" s="1513" t="s">
        <v>642</v>
      </c>
      <c r="G194" s="1513" t="s">
        <v>642</v>
      </c>
      <c r="H194" s="1513" t="s">
        <v>642</v>
      </c>
      <c r="I194" s="1529">
        <f>'SegP&amp;L'!$AC$64</f>
        <v>151</v>
      </c>
      <c r="J194" s="1529">
        <f>'SegP&amp;L'!$AC$71</f>
        <v>222.09</v>
      </c>
      <c r="K194" s="1529">
        <f>'SegP&amp;L'!$AC$78</f>
        <v>298.65899999999999</v>
      </c>
      <c r="L194" s="1529">
        <f>'SegP&amp;L'!$AC$85</f>
        <v>389.06200000000001</v>
      </c>
      <c r="M194" s="1529">
        <f>'SegP&amp;L'!$AC$92</f>
        <v>520.529</v>
      </c>
      <c r="N194" s="1529">
        <f>'SegP&amp;L'!$AC$99</f>
        <v>720.14100000000008</v>
      </c>
      <c r="O194" s="1529">
        <f>'SegP&amp;L'!$AC$106</f>
        <v>992.18700000000001</v>
      </c>
      <c r="P194" s="1451">
        <f>'SegP&amp;L'!$AC$113</f>
        <v>1304.443</v>
      </c>
      <c r="Q194" s="1451">
        <f>'SegP&amp;L'!$AC$120</f>
        <v>1517.116</v>
      </c>
      <c r="R194" s="1451">
        <f>'SegP&amp;L'!$AC$127</f>
        <v>1864.502</v>
      </c>
      <c r="S194" s="1451">
        <f>'SegP&amp;L'!$AC$134</f>
        <v>2216.2179999999998</v>
      </c>
      <c r="T194" s="1451">
        <f>'SegP&amp;L'!$AC$141</f>
        <v>2242.0569999999998</v>
      </c>
      <c r="U194" s="1451">
        <f>'SegP&amp;L'!$AC$148</f>
        <v>2275.4490000000001</v>
      </c>
      <c r="V194" s="1451">
        <f>'SegP&amp;L'!$AC$155</f>
        <v>2493.4620000000004</v>
      </c>
      <c r="W194" s="1451">
        <f>'SegP&amp;L'!$AC$162</f>
        <v>2890.6499999999996</v>
      </c>
      <c r="X194" s="1451">
        <f>'SegP&amp;L'!$AC$169</f>
        <v>3283.8610000000003</v>
      </c>
      <c r="Y194" s="1451">
        <f>'SegP&amp;L'!$AC$176</f>
        <v>3621.5680000000002</v>
      </c>
      <c r="Z194" s="1451">
        <f>'SegP&amp;L'!$AC$183</f>
        <v>4092.7660000000001</v>
      </c>
      <c r="AA194" s="1451">
        <f>'SegP&amp;L'!$AC$190</f>
        <v>4226.8729999999996</v>
      </c>
      <c r="AB194" s="1451">
        <f>'SegP&amp;L'!$AC$197</f>
        <v>4361.9760000000006</v>
      </c>
      <c r="AC194" s="1451">
        <f>'SegP&amp;L'!$AC$204</f>
        <v>4856.9490000000005</v>
      </c>
      <c r="AD194" s="1451">
        <f>'SegP&amp;L'!$AC$211</f>
        <v>5410.7518010000003</v>
      </c>
      <c r="AE194" s="1451">
        <f>+AD194*(1+AE195)</f>
        <v>5795.8700174241185</v>
      </c>
      <c r="AF194" s="1451">
        <f>+AE194*(1+AF195)</f>
        <v>6247.1552811739793</v>
      </c>
      <c r="AG194" s="1451">
        <f>+AF194*(1+AG195)</f>
        <v>6714.4424962057928</v>
      </c>
      <c r="AH194" s="1451">
        <f>+AG194*(1+AH195)</f>
        <v>7057.2324552226155</v>
      </c>
      <c r="AI194" s="1423"/>
      <c r="AJ194" s="1448"/>
      <c r="AK194" s="1453">
        <f>((X194/S194)^(1/5)-1)*100</f>
        <v>8.1818633622307466</v>
      </c>
      <c r="AL194" s="1454" t="s">
        <v>190</v>
      </c>
      <c r="AM194" s="1453">
        <f>((AC194/X194)^(1/5)-1)*100</f>
        <v>8.142338204731514</v>
      </c>
      <c r="AN194" s="1454" t="s">
        <v>190</v>
      </c>
      <c r="AO194" s="1455">
        <f>((AH194/AC194)^(1/5)-1)*100</f>
        <v>7.7591546815561907</v>
      </c>
      <c r="AP194" s="1449" t="s">
        <v>190</v>
      </c>
      <c r="AQ194" s="1454"/>
      <c r="AR194" s="1423"/>
      <c r="AS194" s="1421"/>
      <c r="AT194" s="1421"/>
      <c r="AU194" s="1421"/>
      <c r="AV194" s="1421"/>
      <c r="AW194" s="1421"/>
      <c r="AX194" s="1421"/>
      <c r="AY194" s="1421"/>
    </row>
    <row r="195" spans="1:51">
      <c r="A195" s="1450" t="s">
        <v>191</v>
      </c>
      <c r="B195" s="1445"/>
      <c r="C195" s="1445"/>
      <c r="D195" s="1445"/>
      <c r="E195" s="1445"/>
      <c r="F195" s="1445"/>
      <c r="G195" s="1445"/>
      <c r="H195" s="1445"/>
      <c r="I195" s="1445"/>
      <c r="J195" s="1445">
        <f t="shared" ref="J195:AD195" si="211">J194/I194-1</f>
        <v>0.47079470198675488</v>
      </c>
      <c r="K195" s="1445">
        <f t="shared" si="211"/>
        <v>0.34476563555315409</v>
      </c>
      <c r="L195" s="1445">
        <f t="shared" si="211"/>
        <v>0.30269638617955597</v>
      </c>
      <c r="M195" s="1445">
        <f t="shared" si="211"/>
        <v>0.33790758285311839</v>
      </c>
      <c r="N195" s="1445">
        <f t="shared" si="211"/>
        <v>0.38347911451619421</v>
      </c>
      <c r="O195" s="1445">
        <f t="shared" si="211"/>
        <v>0.37776768716126408</v>
      </c>
      <c r="P195" s="1445">
        <f t="shared" si="211"/>
        <v>0.31471486725788589</v>
      </c>
      <c r="Q195" s="1445">
        <f t="shared" si="211"/>
        <v>0.1630374037041098</v>
      </c>
      <c r="R195" s="1445">
        <f t="shared" si="211"/>
        <v>0.22897787644451717</v>
      </c>
      <c r="S195" s="1445">
        <f t="shared" si="211"/>
        <v>0.18863803846818072</v>
      </c>
      <c r="T195" s="1445">
        <f t="shared" si="211"/>
        <v>1.165905159149494E-2</v>
      </c>
      <c r="U195" s="1445">
        <f t="shared" si="211"/>
        <v>1.4893466134001221E-2</v>
      </c>
      <c r="V195" s="1445">
        <f t="shared" si="211"/>
        <v>9.5810980602070384E-2</v>
      </c>
      <c r="W195" s="1445">
        <f t="shared" si="211"/>
        <v>0.15929177986269649</v>
      </c>
      <c r="X195" s="1445">
        <f t="shared" si="211"/>
        <v>0.13602857488800124</v>
      </c>
      <c r="Y195" s="1445">
        <f t="shared" si="211"/>
        <v>0.10283839663128247</v>
      </c>
      <c r="Z195" s="1445">
        <f t="shared" si="211"/>
        <v>0.13010883683531538</v>
      </c>
      <c r="AA195" s="1445">
        <f t="shared" si="211"/>
        <v>3.2766837879321553E-2</v>
      </c>
      <c r="AB195" s="1445">
        <f t="shared" si="211"/>
        <v>3.1962871844032348E-2</v>
      </c>
      <c r="AC195" s="1445">
        <f t="shared" si="211"/>
        <v>0.11347448954327111</v>
      </c>
      <c r="AD195" s="1445">
        <f t="shared" si="211"/>
        <v>0.11402277458544452</v>
      </c>
      <c r="AE195" s="1445">
        <f>+AE223+AE224</f>
        <v>7.1176470588235452E-2</v>
      </c>
      <c r="AF195" s="1445">
        <f>+AF223+AF224</f>
        <v>7.7863247863247845E-2</v>
      </c>
      <c r="AG195" s="1445">
        <f>+AG223+AG224</f>
        <v>7.479999999999988E-2</v>
      </c>
      <c r="AH195" s="1445">
        <f>+AH223+AH224</f>
        <v>5.1052631578947363E-2</v>
      </c>
      <c r="AI195" s="1423"/>
      <c r="AJ195" s="1448"/>
      <c r="AK195" s="1423"/>
      <c r="AL195" s="1423"/>
      <c r="AM195" s="1423"/>
      <c r="AN195" s="1423"/>
      <c r="AO195" s="1423"/>
      <c r="AP195" s="1449"/>
      <c r="AQ195" s="1423"/>
      <c r="AR195" s="1423"/>
      <c r="AS195" s="1421"/>
      <c r="AT195" s="1421"/>
      <c r="AU195" s="1421"/>
      <c r="AV195" s="1421"/>
      <c r="AW195" s="1421"/>
      <c r="AX195" s="1421"/>
      <c r="AY195" s="1421"/>
    </row>
    <row r="196" spans="1:51">
      <c r="A196" s="1421"/>
      <c r="B196" s="1421"/>
      <c r="C196" s="1421"/>
      <c r="D196" s="1421"/>
      <c r="E196" s="1421"/>
      <c r="F196" s="1421"/>
      <c r="G196" s="1421"/>
      <c r="H196" s="1421"/>
      <c r="I196" s="1421"/>
      <c r="J196" s="1421"/>
      <c r="K196" s="1421"/>
      <c r="L196" s="1421"/>
      <c r="M196" s="1421"/>
      <c r="N196" s="1421"/>
      <c r="O196" s="1421"/>
      <c r="P196" s="1421"/>
      <c r="Q196" s="1421"/>
      <c r="R196" s="1421"/>
      <c r="S196" s="1421"/>
      <c r="T196" s="1421"/>
      <c r="U196" s="1421"/>
      <c r="V196" s="1421"/>
      <c r="W196" s="1421"/>
      <c r="X196" s="1421"/>
      <c r="Y196" s="1421"/>
      <c r="Z196" s="1421"/>
      <c r="AA196" s="1421"/>
      <c r="AB196" s="1421"/>
      <c r="AC196" s="1421"/>
      <c r="AD196" s="1421"/>
      <c r="AE196" s="1421"/>
      <c r="AF196" s="1421"/>
      <c r="AG196" s="1421"/>
      <c r="AH196" s="1421"/>
      <c r="AI196" s="1423"/>
      <c r="AJ196" s="1448"/>
      <c r="AK196" s="1423"/>
      <c r="AL196" s="1423"/>
      <c r="AM196" s="1423"/>
      <c r="AN196" s="1423"/>
      <c r="AO196" s="1423"/>
      <c r="AP196" s="1449"/>
      <c r="AQ196" s="1423"/>
      <c r="AR196" s="1423"/>
      <c r="AS196" s="1421"/>
      <c r="AT196" s="1421"/>
      <c r="AU196" s="1421"/>
      <c r="AV196" s="1421"/>
      <c r="AW196" s="1421"/>
      <c r="AX196" s="1421"/>
      <c r="AY196" s="1421"/>
    </row>
    <row r="197" spans="1:51" hidden="1" outlineLevel="1">
      <c r="A197" s="1421" t="s">
        <v>169</v>
      </c>
      <c r="B197" s="1512"/>
      <c r="C197" s="1512"/>
      <c r="D197" s="1512"/>
      <c r="E197" s="1512"/>
      <c r="F197" s="1512"/>
      <c r="G197" s="1512"/>
      <c r="H197" s="1529"/>
      <c r="I197" s="1529">
        <f>'SegP&amp;L'!$AF$64</f>
        <v>-3.3999999999999995</v>
      </c>
      <c r="J197" s="1529">
        <f>'SegP&amp;L'!$AF$71</f>
        <v>-2.2429999999999999</v>
      </c>
      <c r="K197" s="1529">
        <f>'SegP&amp;L'!$AF$78</f>
        <v>6.4619999999999997</v>
      </c>
      <c r="L197" s="1529">
        <f>'SegP&amp;L'!$AF$85</f>
        <v>10.867000000000001</v>
      </c>
      <c r="M197" s="1529">
        <f>'SegP&amp;L'!$AF$92</f>
        <v>12.972000000000001</v>
      </c>
      <c r="N197" s="1529">
        <f>'SegP&amp;L'!$AF$99</f>
        <v>43.043999999999997</v>
      </c>
      <c r="O197" s="1529">
        <f>'SegP&amp;L'!$AF$106</f>
        <v>53.655000000000001</v>
      </c>
      <c r="P197" s="1529">
        <f>'SegP&amp;L'!$AF$113</f>
        <v>63.975000000000001</v>
      </c>
      <c r="Q197" s="1529">
        <f>'SegP&amp;L'!$AF$120</f>
        <v>69.205999999999989</v>
      </c>
      <c r="R197" s="1529">
        <f>'SegP&amp;L'!$AF$225</f>
        <v>0</v>
      </c>
      <c r="S197" s="1529"/>
      <c r="T197" s="1529"/>
      <c r="U197" s="1529"/>
      <c r="V197" s="1529"/>
      <c r="W197" s="1529"/>
      <c r="X197" s="1529"/>
      <c r="Y197" s="1529"/>
      <c r="Z197" s="1529"/>
      <c r="AA197" s="1529"/>
      <c r="AB197" s="1529"/>
      <c r="AC197" s="1529"/>
      <c r="AD197" s="1529"/>
      <c r="AE197" s="1529"/>
      <c r="AF197" s="1529"/>
      <c r="AG197" s="1529"/>
      <c r="AH197" s="1529"/>
      <c r="AI197" s="1423"/>
      <c r="AJ197" s="1448"/>
      <c r="AK197" s="1423"/>
      <c r="AL197" s="1423"/>
      <c r="AM197" s="1423"/>
      <c r="AN197" s="1423"/>
      <c r="AO197" s="1423"/>
      <c r="AP197" s="1449"/>
      <c r="AQ197" s="1423"/>
      <c r="AR197" s="1423"/>
      <c r="AS197" s="1421"/>
      <c r="AT197" s="1421"/>
      <c r="AU197" s="1421"/>
      <c r="AV197" s="1421"/>
      <c r="AW197" s="1421"/>
      <c r="AX197" s="1421"/>
      <c r="AY197" s="1421"/>
    </row>
    <row r="198" spans="1:51" hidden="1" outlineLevel="1">
      <c r="A198" s="1421"/>
      <c r="B198" s="1421"/>
      <c r="C198" s="1421"/>
      <c r="D198" s="1445"/>
      <c r="E198" s="1445"/>
      <c r="F198" s="1445"/>
      <c r="G198" s="1421"/>
      <c r="H198" s="1421"/>
      <c r="I198" s="1421"/>
      <c r="J198" s="1421"/>
      <c r="K198" s="1421"/>
      <c r="L198" s="1421"/>
      <c r="M198" s="1421"/>
      <c r="N198" s="1421"/>
      <c r="O198" s="1421"/>
      <c r="P198" s="1421"/>
      <c r="Q198" s="1421"/>
      <c r="R198" s="1421"/>
      <c r="S198" s="1421"/>
      <c r="T198" s="1421"/>
      <c r="U198" s="1421"/>
      <c r="V198" s="1421"/>
      <c r="W198" s="1421"/>
      <c r="X198" s="1421"/>
      <c r="Y198" s="1421"/>
      <c r="Z198" s="1421"/>
      <c r="AA198" s="1421"/>
      <c r="AB198" s="1421"/>
      <c r="AC198" s="1421"/>
      <c r="AD198" s="1421"/>
      <c r="AE198" s="1421"/>
      <c r="AF198" s="1421"/>
      <c r="AG198" s="1421"/>
      <c r="AH198" s="1421"/>
      <c r="AI198" s="1423"/>
      <c r="AJ198" s="1448"/>
      <c r="AK198" s="1423"/>
      <c r="AL198" s="1423"/>
      <c r="AM198" s="1423"/>
      <c r="AN198" s="1423"/>
      <c r="AO198" s="1423"/>
      <c r="AP198" s="1449"/>
      <c r="AQ198" s="1423"/>
      <c r="AR198" s="1423"/>
      <c r="AS198" s="1421"/>
      <c r="AT198" s="1421"/>
      <c r="AU198" s="1421"/>
      <c r="AV198" s="1421"/>
      <c r="AW198" s="1421"/>
      <c r="AX198" s="1421"/>
      <c r="AY198" s="1421"/>
    </row>
    <row r="199" spans="1:51" hidden="1" outlineLevel="1">
      <c r="A199" s="1421"/>
      <c r="B199" s="1421"/>
      <c r="C199" s="1421"/>
      <c r="D199" s="1421"/>
      <c r="E199" s="1421"/>
      <c r="F199" s="1421"/>
      <c r="G199" s="1421"/>
      <c r="H199" s="1421"/>
      <c r="I199" s="1421"/>
      <c r="J199" s="1421"/>
      <c r="K199" s="1421"/>
      <c r="L199" s="1421"/>
      <c r="M199" s="1421"/>
      <c r="N199" s="1421"/>
      <c r="O199" s="1421"/>
      <c r="P199" s="1421"/>
      <c r="Q199" s="1421"/>
      <c r="R199" s="1421"/>
      <c r="S199" s="1421"/>
      <c r="T199" s="1421"/>
      <c r="U199" s="1421"/>
      <c r="V199" s="1421"/>
      <c r="W199" s="1421"/>
      <c r="X199" s="1421"/>
      <c r="Y199" s="1421"/>
      <c r="Z199" s="1421"/>
      <c r="AA199" s="1421"/>
      <c r="AB199" s="1421"/>
      <c r="AC199" s="1421"/>
      <c r="AD199" s="1421"/>
      <c r="AE199" s="1421"/>
      <c r="AF199" s="1421"/>
      <c r="AG199" s="1421"/>
      <c r="AH199" s="1421"/>
      <c r="AI199" s="1423"/>
      <c r="AJ199" s="1448"/>
      <c r="AK199" s="1423"/>
      <c r="AL199" s="1423"/>
      <c r="AM199" s="1423"/>
      <c r="AN199" s="1423"/>
      <c r="AO199" s="1423"/>
      <c r="AP199" s="1449"/>
      <c r="AQ199" s="1423"/>
      <c r="AR199" s="1423"/>
      <c r="AS199" s="1421"/>
      <c r="AT199" s="1421"/>
      <c r="AU199" s="1421"/>
      <c r="AV199" s="1421"/>
      <c r="AW199" s="1421"/>
      <c r="AX199" s="1421"/>
      <c r="AY199" s="1421"/>
    </row>
    <row r="200" spans="1:51" collapsed="1">
      <c r="A200" s="1450" t="s">
        <v>192</v>
      </c>
      <c r="B200" s="1434"/>
      <c r="C200" s="1434"/>
      <c r="D200" s="1434"/>
      <c r="E200" s="1434"/>
      <c r="F200" s="1434">
        <f t="shared" ref="F200:AH200" si="212">E204</f>
        <v>0</v>
      </c>
      <c r="G200" s="1434">
        <f t="shared" si="212"/>
        <v>5</v>
      </c>
      <c r="H200" s="1434">
        <f t="shared" si="212"/>
        <v>9</v>
      </c>
      <c r="I200" s="1434">
        <f t="shared" si="212"/>
        <v>18</v>
      </c>
      <c r="J200" s="1434">
        <f t="shared" si="212"/>
        <v>31</v>
      </c>
      <c r="K200" s="1434">
        <f t="shared" si="212"/>
        <v>39</v>
      </c>
      <c r="L200" s="1434">
        <f t="shared" si="212"/>
        <v>54</v>
      </c>
      <c r="M200" s="1434">
        <f t="shared" si="212"/>
        <v>74</v>
      </c>
      <c r="N200" s="1434">
        <f t="shared" si="212"/>
        <v>101</v>
      </c>
      <c r="O200" s="1434">
        <f t="shared" si="212"/>
        <v>123</v>
      </c>
      <c r="P200" s="1434">
        <f t="shared" si="212"/>
        <v>147</v>
      </c>
      <c r="Q200" s="1434">
        <f t="shared" si="212"/>
        <v>170</v>
      </c>
      <c r="R200" s="1434">
        <f t="shared" si="212"/>
        <v>197</v>
      </c>
      <c r="S200" s="1434">
        <f t="shared" si="212"/>
        <v>210</v>
      </c>
      <c r="T200" s="1434">
        <f t="shared" si="212"/>
        <v>226</v>
      </c>
      <c r="U200" s="1434">
        <f t="shared" si="212"/>
        <v>242</v>
      </c>
      <c r="V200" s="1434">
        <f t="shared" si="212"/>
        <v>277</v>
      </c>
      <c r="W200" s="1434">
        <f t="shared" si="212"/>
        <v>331</v>
      </c>
      <c r="X200" s="1434">
        <f t="shared" si="212"/>
        <v>356</v>
      </c>
      <c r="Y200" s="1434">
        <f t="shared" si="212"/>
        <v>367</v>
      </c>
      <c r="Z200" s="1434">
        <f t="shared" si="212"/>
        <v>399</v>
      </c>
      <c r="AA200" s="1434">
        <f t="shared" si="212"/>
        <v>440</v>
      </c>
      <c r="AB200" s="1434">
        <f t="shared" si="212"/>
        <v>495</v>
      </c>
      <c r="AC200" s="1434">
        <f t="shared" si="212"/>
        <v>547</v>
      </c>
      <c r="AD200" s="1434">
        <f t="shared" si="212"/>
        <v>595</v>
      </c>
      <c r="AE200" s="1434">
        <f t="shared" si="212"/>
        <v>625</v>
      </c>
      <c r="AF200" s="1434">
        <f t="shared" si="212"/>
        <v>675</v>
      </c>
      <c r="AG200" s="1434">
        <f t="shared" si="212"/>
        <v>725</v>
      </c>
      <c r="AH200" s="1434">
        <f t="shared" si="212"/>
        <v>775</v>
      </c>
      <c r="AI200" s="1423"/>
      <c r="AJ200" s="1448"/>
      <c r="AK200" s="1423"/>
      <c r="AL200" s="1423"/>
      <c r="AM200" s="1423"/>
      <c r="AN200" s="1423"/>
      <c r="AO200" s="1423"/>
      <c r="AP200" s="1449"/>
      <c r="AQ200" s="1423"/>
      <c r="AR200" s="1423"/>
      <c r="AS200" s="1421"/>
      <c r="AT200" s="1421"/>
      <c r="AU200" s="1421"/>
      <c r="AV200" s="1421"/>
      <c r="AW200" s="1421"/>
      <c r="AX200" s="1421"/>
      <c r="AY200" s="1421"/>
    </row>
    <row r="201" spans="1:51" hidden="1" outlineLevel="1">
      <c r="A201" s="1450" t="s">
        <v>345</v>
      </c>
      <c r="B201" s="1434"/>
      <c r="C201" s="1434"/>
      <c r="D201" s="1434"/>
      <c r="E201" s="1434"/>
      <c r="F201" s="1434">
        <f>Stores!AG53</f>
        <v>5</v>
      </c>
      <c r="G201" s="1434">
        <f>+Stores!$AG$61</f>
        <v>4</v>
      </c>
      <c r="H201" s="1434">
        <f>+Stores!$AG$69</f>
        <v>9</v>
      </c>
      <c r="I201" s="1434">
        <f>+Stores!$AG$77</f>
        <v>13</v>
      </c>
      <c r="J201" s="1434">
        <f>+Stores!$AG$85</f>
        <v>8</v>
      </c>
      <c r="K201" s="1434">
        <f>+Stores!$AG$93</f>
        <v>15</v>
      </c>
      <c r="L201" s="1434">
        <f>+Stores!$AG$101</f>
        <v>20</v>
      </c>
      <c r="M201" s="1434">
        <f>+Stores!$AG$109</f>
        <v>27</v>
      </c>
      <c r="N201" s="1434">
        <f>+Stores!$AG$117</f>
        <v>22</v>
      </c>
      <c r="O201" s="1434">
        <f>+Stores!$AG$125</f>
        <v>24</v>
      </c>
      <c r="P201" s="1434">
        <f>+Stores!$AG$133</f>
        <v>23</v>
      </c>
      <c r="Q201" s="1434">
        <f>+Stores!$AG$141</f>
        <v>27</v>
      </c>
      <c r="R201" s="1434">
        <f>+Stores!$AG$149</f>
        <v>13</v>
      </c>
      <c r="S201" s="1434">
        <f>+Stores!$AG$156</f>
        <v>16</v>
      </c>
      <c r="T201" s="1434">
        <f>+Stores!$AG$156</f>
        <v>16</v>
      </c>
      <c r="U201" s="1434">
        <f>+Stores!$AG$156</f>
        <v>16</v>
      </c>
      <c r="V201" s="1434">
        <f>+Stores!$AG$156</f>
        <v>16</v>
      </c>
      <c r="W201" s="1434">
        <f>+Stores!$AG$156</f>
        <v>16</v>
      </c>
      <c r="X201" s="1434">
        <f>+Stores!$AG$156</f>
        <v>16</v>
      </c>
      <c r="Y201" s="1434">
        <f>+Stores!$AG$156</f>
        <v>16</v>
      </c>
      <c r="Z201" s="1434">
        <f>+Stores!$AG$156</f>
        <v>16</v>
      </c>
      <c r="AA201" s="1434">
        <f>+Stores!$AG$156</f>
        <v>16</v>
      </c>
      <c r="AB201" s="1434">
        <f>+Stores!$AG$156</f>
        <v>16</v>
      </c>
      <c r="AC201" s="1434">
        <f>+Stores!$AG$156</f>
        <v>16</v>
      </c>
      <c r="AD201" s="1434">
        <f>+Stores!$AG$156</f>
        <v>16</v>
      </c>
      <c r="AE201" s="1434">
        <f>+Stores!$AG$156</f>
        <v>16</v>
      </c>
      <c r="AF201" s="1434">
        <f>+Stores!$AG$156</f>
        <v>16</v>
      </c>
      <c r="AG201" s="1434">
        <f>+Stores!$AG$156</f>
        <v>16</v>
      </c>
      <c r="AH201" s="1434">
        <f>+Stores!$AG$156</f>
        <v>16</v>
      </c>
      <c r="AI201" s="1423"/>
      <c r="AJ201" s="1448"/>
      <c r="AK201" s="1423"/>
      <c r="AL201" s="1423"/>
      <c r="AM201" s="1423"/>
      <c r="AN201" s="1423"/>
      <c r="AO201" s="1423"/>
      <c r="AP201" s="1449"/>
      <c r="AQ201" s="1423"/>
      <c r="AR201" s="1423"/>
      <c r="AS201" s="1421"/>
      <c r="AT201" s="1421"/>
      <c r="AU201" s="1421"/>
      <c r="AV201" s="1421"/>
      <c r="AW201" s="1421"/>
      <c r="AX201" s="1421"/>
      <c r="AY201" s="1421"/>
    </row>
    <row r="202" spans="1:51" hidden="1" outlineLevel="1">
      <c r="A202" s="1465" t="s">
        <v>193</v>
      </c>
      <c r="B202" s="1434"/>
      <c r="C202" s="1434"/>
      <c r="D202" s="1434"/>
      <c r="E202" s="1434"/>
      <c r="F202" s="1516"/>
      <c r="G202" s="1516"/>
      <c r="H202" s="1516"/>
      <c r="I202" s="1516"/>
      <c r="J202" s="1516"/>
      <c r="K202" s="1434"/>
      <c r="L202" s="1434"/>
      <c r="M202" s="1434"/>
      <c r="N202" s="1434"/>
      <c r="O202" s="1466"/>
      <c r="P202" s="1466"/>
      <c r="Q202" s="1434"/>
      <c r="R202" s="1434"/>
      <c r="S202" s="1434"/>
      <c r="T202" s="1434"/>
      <c r="U202" s="1434"/>
      <c r="V202" s="1434"/>
      <c r="W202" s="1434"/>
      <c r="X202" s="1434"/>
      <c r="Y202" s="1434"/>
      <c r="Z202" s="1434"/>
      <c r="AA202" s="1434"/>
      <c r="AB202" s="1434"/>
      <c r="AC202" s="1434"/>
      <c r="AD202" s="1434"/>
      <c r="AE202" s="1434"/>
      <c r="AF202" s="1434"/>
      <c r="AG202" s="1434"/>
      <c r="AH202" s="1434"/>
      <c r="AI202" s="1423"/>
      <c r="AJ202" s="1448"/>
      <c r="AK202" s="1423"/>
      <c r="AL202" s="1423"/>
      <c r="AM202" s="1423"/>
      <c r="AN202" s="1423"/>
      <c r="AO202" s="1423"/>
      <c r="AP202" s="1449"/>
      <c r="AQ202" s="1423"/>
      <c r="AR202" s="1423"/>
      <c r="AS202" s="1421"/>
      <c r="AT202" s="1421"/>
      <c r="AU202" s="1421"/>
      <c r="AV202" s="1421"/>
      <c r="AW202" s="1421"/>
      <c r="AX202" s="1421"/>
      <c r="AY202" s="1421"/>
    </row>
    <row r="203" spans="1:51" collapsed="1">
      <c r="A203" s="1465" t="s">
        <v>92</v>
      </c>
      <c r="B203" s="1434"/>
      <c r="C203" s="1434"/>
      <c r="D203" s="1434"/>
      <c r="E203" s="1434"/>
      <c r="F203" s="1434">
        <f>F201+F202</f>
        <v>5</v>
      </c>
      <c r="G203" s="1434">
        <f>G201+G202</f>
        <v>4</v>
      </c>
      <c r="H203" s="1434">
        <f>H201+H202</f>
        <v>9</v>
      </c>
      <c r="I203" s="1434">
        <f>I201+I202</f>
        <v>13</v>
      </c>
      <c r="J203" s="1434">
        <f>J201+J202</f>
        <v>8</v>
      </c>
      <c r="K203" s="1434">
        <f>+Stores!$AG$93</f>
        <v>15</v>
      </c>
      <c r="L203" s="1434">
        <f>+Stores!$AG$101</f>
        <v>20</v>
      </c>
      <c r="M203" s="1434">
        <f>+Stores!$AG$109</f>
        <v>27</v>
      </c>
      <c r="N203" s="1434">
        <f>+Stores!$AG$117</f>
        <v>22</v>
      </c>
      <c r="O203" s="1434">
        <f>+Stores!$AG$125</f>
        <v>24</v>
      </c>
      <c r="P203" s="1531">
        <f>+Stores!$AG$133</f>
        <v>23</v>
      </c>
      <c r="Q203" s="1531">
        <f>+Stores!$AG$141</f>
        <v>27</v>
      </c>
      <c r="R203" s="1531">
        <f>+Stores!$AG$149</f>
        <v>13</v>
      </c>
      <c r="S203" s="1531">
        <f>+Stores!$AG$156</f>
        <v>16</v>
      </c>
      <c r="T203" s="1531">
        <f>+Stores!$AG$163+Stores!$BI$163</f>
        <v>16</v>
      </c>
      <c r="U203" s="1531">
        <f>+Stores!$AG$170+Stores!$BI$170</f>
        <v>35</v>
      </c>
      <c r="V203" s="1531">
        <f>+Stores!$AG$177+Stores!$BI$177</f>
        <v>54</v>
      </c>
      <c r="W203" s="1531">
        <f>+Stores!$AG$184+Stores!$BI$184</f>
        <v>25</v>
      </c>
      <c r="X203" s="1531">
        <f>+Stores!$AG$191+Stores!$BI$191</f>
        <v>11</v>
      </c>
      <c r="Y203" s="1531">
        <f>+Stores!$AG$198+Stores!$BI$198</f>
        <v>32</v>
      </c>
      <c r="Z203" s="1531">
        <f>+Stores!$AG$205+Stores!$BI$205</f>
        <v>41</v>
      </c>
      <c r="AA203" s="1531">
        <f>+Stores!$AG$212+Stores!$BI$212</f>
        <v>55</v>
      </c>
      <c r="AB203" s="1531">
        <f>+Stores!$AG$219+Stores!$BI$219</f>
        <v>52</v>
      </c>
      <c r="AC203" s="1531">
        <f>+Stores!$AG$226+Stores!$BI$226</f>
        <v>48</v>
      </c>
      <c r="AD203" s="1531">
        <f>+Stores!$AG$233+Stores!$BI$233</f>
        <v>30</v>
      </c>
      <c r="AE203" s="1531">
        <f>+Stores!$AG$240+Stores!$BI$240</f>
        <v>50</v>
      </c>
      <c r="AF203" s="1531">
        <f>+Stores!$AG$247+Stores!$BI$247</f>
        <v>50</v>
      </c>
      <c r="AG203" s="1531">
        <f>+Stores!$AG$254+Stores!$BI$254</f>
        <v>50</v>
      </c>
      <c r="AH203" s="1531">
        <f>+Stores!$AG$254+Stores!$BI$254</f>
        <v>50</v>
      </c>
      <c r="AI203" s="1423"/>
      <c r="AJ203" s="1448"/>
      <c r="AK203" s="1423"/>
      <c r="AL203" s="1423"/>
      <c r="AM203" s="1423"/>
      <c r="AN203" s="1423"/>
      <c r="AO203" s="1423"/>
      <c r="AP203" s="1449"/>
      <c r="AQ203" s="1423"/>
      <c r="AR203" s="1423"/>
      <c r="AS203" s="1421"/>
      <c r="AT203" s="1421"/>
      <c r="AU203" s="1421"/>
      <c r="AV203" s="1421"/>
      <c r="AW203" s="1421"/>
      <c r="AX203" s="1421"/>
      <c r="AY203" s="1421"/>
    </row>
    <row r="204" spans="1:51">
      <c r="A204" s="1450" t="s">
        <v>194</v>
      </c>
      <c r="B204" s="1434"/>
      <c r="C204" s="1434"/>
      <c r="D204" s="1434"/>
      <c r="E204" s="1434"/>
      <c r="F204" s="1434">
        <f>+F200+F201+F202</f>
        <v>5</v>
      </c>
      <c r="G204" s="1466">
        <f>+SUM(G200:G202)</f>
        <v>9</v>
      </c>
      <c r="H204" s="1466">
        <f>+SUM(H200:H202)</f>
        <v>18</v>
      </c>
      <c r="I204" s="1466">
        <f>+SUM(I200:I202)</f>
        <v>31</v>
      </c>
      <c r="J204" s="1466">
        <f>+SUM(J200:J202)</f>
        <v>39</v>
      </c>
      <c r="K204" s="1466">
        <f t="shared" ref="K204:AC204" si="213">+K200+K203</f>
        <v>54</v>
      </c>
      <c r="L204" s="1466">
        <f t="shared" si="213"/>
        <v>74</v>
      </c>
      <c r="M204" s="1466">
        <f t="shared" si="213"/>
        <v>101</v>
      </c>
      <c r="N204" s="1466">
        <f t="shared" si="213"/>
        <v>123</v>
      </c>
      <c r="O204" s="1466">
        <f t="shared" si="213"/>
        <v>147</v>
      </c>
      <c r="P204" s="1466">
        <f t="shared" si="213"/>
        <v>170</v>
      </c>
      <c r="Q204" s="1466">
        <f t="shared" si="213"/>
        <v>197</v>
      </c>
      <c r="R204" s="1466">
        <f t="shared" si="213"/>
        <v>210</v>
      </c>
      <c r="S204" s="1466">
        <f t="shared" si="213"/>
        <v>226</v>
      </c>
      <c r="T204" s="1466">
        <f t="shared" si="213"/>
        <v>242</v>
      </c>
      <c r="U204" s="1466">
        <f t="shared" si="213"/>
        <v>277</v>
      </c>
      <c r="V204" s="1466">
        <f t="shared" si="213"/>
        <v>331</v>
      </c>
      <c r="W204" s="1466">
        <f t="shared" si="213"/>
        <v>356</v>
      </c>
      <c r="X204" s="1466">
        <f t="shared" si="213"/>
        <v>367</v>
      </c>
      <c r="Y204" s="1466">
        <f t="shared" si="213"/>
        <v>399</v>
      </c>
      <c r="Z204" s="1466">
        <f>+Z200+Z203</f>
        <v>440</v>
      </c>
      <c r="AA204" s="1466">
        <f>+AA200+AA203</f>
        <v>495</v>
      </c>
      <c r="AB204" s="1466">
        <f t="shared" si="213"/>
        <v>547</v>
      </c>
      <c r="AC204" s="1466">
        <f t="shared" si="213"/>
        <v>595</v>
      </c>
      <c r="AD204" s="1466">
        <f>+AD200+AD203</f>
        <v>625</v>
      </c>
      <c r="AE204" s="1466">
        <f>+AE200+AE203</f>
        <v>675</v>
      </c>
      <c r="AF204" s="1466">
        <f>+AF200+AF203</f>
        <v>725</v>
      </c>
      <c r="AG204" s="1466">
        <f>+AG200+AG203</f>
        <v>775</v>
      </c>
      <c r="AH204" s="1466">
        <f>+AH200+AH203</f>
        <v>825</v>
      </c>
      <c r="AI204" s="1423"/>
      <c r="AJ204" s="1448"/>
      <c r="AK204" s="1453">
        <f>((X204/S204)^(1/5)-1)*100</f>
        <v>10.182221658861913</v>
      </c>
      <c r="AL204" s="1454" t="s">
        <v>190</v>
      </c>
      <c r="AM204" s="1453">
        <f>((AC204/X204)^(1/5)-1)*100</f>
        <v>10.146367779698263</v>
      </c>
      <c r="AN204" s="1454" t="s">
        <v>190</v>
      </c>
      <c r="AO204" s="1455">
        <f>((AH204/AC204)^(1/5)-1)*100</f>
        <v>6.7547963892178098</v>
      </c>
      <c r="AP204" s="1449" t="s">
        <v>190</v>
      </c>
      <c r="AQ204" s="1454"/>
      <c r="AR204" s="1423"/>
      <c r="AS204" s="1421"/>
      <c r="AT204" s="1421"/>
      <c r="AU204" s="1421"/>
      <c r="AV204" s="1421"/>
      <c r="AW204" s="1421"/>
      <c r="AX204" s="1421"/>
      <c r="AY204" s="1421"/>
    </row>
    <row r="205" spans="1:51">
      <c r="A205" s="1450" t="s">
        <v>195</v>
      </c>
      <c r="B205" s="1482"/>
      <c r="C205" s="1482"/>
      <c r="D205" s="1482"/>
      <c r="E205" s="1482"/>
      <c r="F205" s="1482">
        <f t="shared" ref="F205:K205" si="214">(+F204+F200)/2</f>
        <v>2.5</v>
      </c>
      <c r="G205" s="1482">
        <f t="shared" si="214"/>
        <v>7</v>
      </c>
      <c r="H205" s="1482">
        <f t="shared" si="214"/>
        <v>13.5</v>
      </c>
      <c r="I205" s="1482">
        <f t="shared" si="214"/>
        <v>24.5</v>
      </c>
      <c r="J205" s="1482">
        <f t="shared" si="214"/>
        <v>35</v>
      </c>
      <c r="K205" s="1482">
        <f t="shared" si="214"/>
        <v>46.5</v>
      </c>
      <c r="L205" s="1482">
        <f t="shared" ref="L205:AC205" si="215">(+L204+L200)/2</f>
        <v>64</v>
      </c>
      <c r="M205" s="1482">
        <f t="shared" si="215"/>
        <v>87.5</v>
      </c>
      <c r="N205" s="1482">
        <f t="shared" si="215"/>
        <v>112</v>
      </c>
      <c r="O205" s="1482">
        <f t="shared" si="215"/>
        <v>135</v>
      </c>
      <c r="P205" s="1482">
        <f t="shared" si="215"/>
        <v>158.5</v>
      </c>
      <c r="Q205" s="1482">
        <f t="shared" si="215"/>
        <v>183.5</v>
      </c>
      <c r="R205" s="1482">
        <f t="shared" si="215"/>
        <v>203.5</v>
      </c>
      <c r="S205" s="1482">
        <f t="shared" si="215"/>
        <v>218</v>
      </c>
      <c r="T205" s="1482">
        <f t="shared" si="215"/>
        <v>234</v>
      </c>
      <c r="U205" s="1482">
        <f t="shared" si="215"/>
        <v>259.5</v>
      </c>
      <c r="V205" s="1482">
        <f t="shared" si="215"/>
        <v>304</v>
      </c>
      <c r="W205" s="1482">
        <f t="shared" si="215"/>
        <v>343.5</v>
      </c>
      <c r="X205" s="1482">
        <f t="shared" si="215"/>
        <v>361.5</v>
      </c>
      <c r="Y205" s="1482">
        <f t="shared" si="215"/>
        <v>383</v>
      </c>
      <c r="Z205" s="1482">
        <f>(+Z204+Z200)/2</f>
        <v>419.5</v>
      </c>
      <c r="AA205" s="1482">
        <f>(+AA204+AA200)/2</f>
        <v>467.5</v>
      </c>
      <c r="AB205" s="1482">
        <f t="shared" si="215"/>
        <v>521</v>
      </c>
      <c r="AC205" s="1482">
        <f t="shared" si="215"/>
        <v>571</v>
      </c>
      <c r="AD205" s="1482">
        <f>(+AD204+AD200)/2</f>
        <v>610</v>
      </c>
      <c r="AE205" s="1482">
        <f>(+AE204+AE200)/2</f>
        <v>650</v>
      </c>
      <c r="AF205" s="1482">
        <f>(+AF204+AF200)/2</f>
        <v>700</v>
      </c>
      <c r="AG205" s="1482">
        <f>(+AG204+AG200)/2</f>
        <v>750</v>
      </c>
      <c r="AH205" s="1482">
        <f>(+AH204+AH200)/2</f>
        <v>800</v>
      </c>
      <c r="AI205" s="1478"/>
      <c r="AJ205" s="1479"/>
      <c r="AK205" s="1478"/>
      <c r="AL205" s="1478"/>
      <c r="AM205" s="1423"/>
      <c r="AN205" s="1478"/>
      <c r="AO205" s="1423"/>
      <c r="AP205" s="1480"/>
      <c r="AQ205" s="1478"/>
      <c r="AR205" s="1423"/>
      <c r="AS205" s="1421"/>
      <c r="AT205" s="1421"/>
      <c r="AU205" s="1421"/>
      <c r="AV205" s="1421"/>
      <c r="AW205" s="1421"/>
      <c r="AX205" s="1421"/>
      <c r="AY205" s="1421"/>
    </row>
    <row r="206" spans="1:51">
      <c r="A206" s="1450" t="s">
        <v>197</v>
      </c>
      <c r="B206" s="1445"/>
      <c r="C206" s="1445"/>
      <c r="D206" s="1445"/>
      <c r="E206" s="1445"/>
      <c r="F206" s="1445"/>
      <c r="G206" s="1445">
        <f t="shared" ref="G206:L206" si="216">(G205/F205-1)</f>
        <v>1.7999999999999998</v>
      </c>
      <c r="H206" s="1445">
        <f t="shared" si="216"/>
        <v>0.9285714285714286</v>
      </c>
      <c r="I206" s="1445">
        <f t="shared" si="216"/>
        <v>0.81481481481481488</v>
      </c>
      <c r="J206" s="1445">
        <f t="shared" si="216"/>
        <v>0.4285714285714286</v>
      </c>
      <c r="K206" s="1445">
        <f t="shared" si="216"/>
        <v>0.32857142857142851</v>
      </c>
      <c r="L206" s="1445">
        <f t="shared" si="216"/>
        <v>0.37634408602150549</v>
      </c>
      <c r="M206" s="1445">
        <f t="shared" ref="M206:AH206" si="217">(M205/L205-1)</f>
        <v>0.3671875</v>
      </c>
      <c r="N206" s="1445">
        <f t="shared" si="217"/>
        <v>0.28000000000000003</v>
      </c>
      <c r="O206" s="1445">
        <f t="shared" si="217"/>
        <v>0.20535714285714279</v>
      </c>
      <c r="P206" s="1445">
        <f t="shared" si="217"/>
        <v>0.17407407407407405</v>
      </c>
      <c r="Q206" s="1445">
        <f t="shared" si="217"/>
        <v>0.15772870662460559</v>
      </c>
      <c r="R206" s="1445">
        <f t="shared" si="217"/>
        <v>0.10899182561307907</v>
      </c>
      <c r="S206" s="1445">
        <f t="shared" si="217"/>
        <v>7.1253071253071232E-2</v>
      </c>
      <c r="T206" s="1445">
        <f t="shared" si="217"/>
        <v>7.3394495412844041E-2</v>
      </c>
      <c r="U206" s="1445">
        <f t="shared" si="217"/>
        <v>0.10897435897435903</v>
      </c>
      <c r="V206" s="1445">
        <f t="shared" si="217"/>
        <v>0.17148362235067438</v>
      </c>
      <c r="W206" s="1445">
        <f t="shared" si="217"/>
        <v>0.12993421052631571</v>
      </c>
      <c r="X206" s="1445">
        <f t="shared" si="217"/>
        <v>5.240174672489073E-2</v>
      </c>
      <c r="Y206" s="1445">
        <f t="shared" si="217"/>
        <v>5.9474412171507618E-2</v>
      </c>
      <c r="Z206" s="1445">
        <f t="shared" si="217"/>
        <v>9.5300261096605832E-2</v>
      </c>
      <c r="AA206" s="1445">
        <f t="shared" si="217"/>
        <v>0.11442193087008334</v>
      </c>
      <c r="AB206" s="1445">
        <f t="shared" si="217"/>
        <v>0.11443850267379685</v>
      </c>
      <c r="AC206" s="1445">
        <f t="shared" si="217"/>
        <v>9.5969289827255277E-2</v>
      </c>
      <c r="AD206" s="1445">
        <f t="shared" si="217"/>
        <v>6.8301225919439545E-2</v>
      </c>
      <c r="AE206" s="1445">
        <f t="shared" si="217"/>
        <v>6.5573770491803351E-2</v>
      </c>
      <c r="AF206" s="1445">
        <f t="shared" si="217"/>
        <v>7.6923076923076872E-2</v>
      </c>
      <c r="AG206" s="1445">
        <f t="shared" si="217"/>
        <v>7.1428571428571397E-2</v>
      </c>
      <c r="AH206" s="1445">
        <f t="shared" si="217"/>
        <v>6.6666666666666652E-2</v>
      </c>
      <c r="AI206" s="1423"/>
      <c r="AJ206" s="1448"/>
      <c r="AK206" s="1423"/>
      <c r="AL206" s="1423"/>
      <c r="AM206" s="1423"/>
      <c r="AN206" s="1423"/>
      <c r="AO206" s="1423"/>
      <c r="AP206" s="1449"/>
      <c r="AQ206" s="1423"/>
      <c r="AR206" s="1423"/>
      <c r="AS206" s="1421"/>
      <c r="AT206" s="1421"/>
      <c r="AU206" s="1421"/>
      <c r="AV206" s="1421"/>
      <c r="AW206" s="1421"/>
      <c r="AX206" s="1421"/>
      <c r="AY206" s="1421"/>
    </row>
    <row r="207" spans="1:51">
      <c r="A207" s="1421"/>
      <c r="B207" s="1421"/>
      <c r="C207" s="1421"/>
      <c r="D207" s="1421"/>
      <c r="E207" s="1421"/>
      <c r="F207" s="1421"/>
      <c r="G207" s="1421"/>
      <c r="H207" s="1445"/>
      <c r="I207" s="1445"/>
      <c r="J207" s="1421"/>
      <c r="K207" s="1421"/>
      <c r="L207" s="1421"/>
      <c r="M207" s="1421"/>
      <c r="N207" s="1421"/>
      <c r="O207" s="1421"/>
      <c r="P207" s="1421"/>
      <c r="Q207" s="1421"/>
      <c r="R207" s="1421"/>
      <c r="S207" s="1421"/>
      <c r="T207" s="1421"/>
      <c r="U207" s="1421"/>
      <c r="V207" s="1421"/>
      <c r="W207" s="1421"/>
      <c r="X207" s="1421"/>
      <c r="Y207" s="1421"/>
      <c r="Z207" s="1421"/>
      <c r="AA207" s="1421"/>
      <c r="AB207" s="1421"/>
      <c r="AC207" s="1421"/>
      <c r="AD207" s="1421"/>
      <c r="AE207" s="1421"/>
      <c r="AF207" s="1421"/>
      <c r="AG207" s="1421"/>
      <c r="AH207" s="1421"/>
      <c r="AI207" s="1423"/>
      <c r="AJ207" s="1448"/>
      <c r="AK207" s="1423"/>
      <c r="AL207" s="1423"/>
      <c r="AM207" s="1423"/>
      <c r="AN207" s="1423"/>
      <c r="AO207" s="1423"/>
      <c r="AP207" s="1449"/>
      <c r="AQ207" s="1423"/>
      <c r="AR207" s="1423"/>
      <c r="AS207" s="1421"/>
      <c r="AT207" s="1421"/>
      <c r="AU207" s="1421"/>
      <c r="AV207" s="1421"/>
      <c r="AW207" s="1421"/>
      <c r="AX207" s="1421"/>
      <c r="AY207" s="1421"/>
    </row>
    <row r="208" spans="1:51">
      <c r="A208" s="1450" t="s">
        <v>147</v>
      </c>
      <c r="B208" s="1483"/>
      <c r="C208" s="1483"/>
      <c r="D208" s="1483"/>
      <c r="E208" s="1483"/>
      <c r="F208" s="1483"/>
      <c r="G208" s="1483"/>
      <c r="H208" s="1483"/>
      <c r="I208" s="1483">
        <f t="shared" ref="I208:R208" si="218">(I194)/I205</f>
        <v>6.1632653061224492</v>
      </c>
      <c r="J208" s="1483">
        <f t="shared" si="218"/>
        <v>6.3454285714285712</v>
      </c>
      <c r="K208" s="1483">
        <f t="shared" si="218"/>
        <v>6.4227741935483866</v>
      </c>
      <c r="L208" s="1483">
        <f t="shared" si="218"/>
        <v>6.0790937500000002</v>
      </c>
      <c r="M208" s="1483">
        <f t="shared" si="218"/>
        <v>5.9489028571428575</v>
      </c>
      <c r="N208" s="1483">
        <f t="shared" si="218"/>
        <v>6.4298303571428574</v>
      </c>
      <c r="O208" s="1483">
        <f t="shared" si="218"/>
        <v>7.3495333333333335</v>
      </c>
      <c r="P208" s="1483">
        <f t="shared" si="218"/>
        <v>8.2299242902208203</v>
      </c>
      <c r="Q208" s="1483">
        <f t="shared" si="218"/>
        <v>8.2676621253405997</v>
      </c>
      <c r="R208" s="1483">
        <f t="shared" si="218"/>
        <v>9.1621719901719896</v>
      </c>
      <c r="S208" s="1483">
        <f t="shared" ref="S208:X208" si="219">(S194)/S205</f>
        <v>10.166137614678899</v>
      </c>
      <c r="T208" s="1483">
        <f t="shared" si="219"/>
        <v>9.5814401709401693</v>
      </c>
      <c r="U208" s="1483">
        <f t="shared" si="219"/>
        <v>8.7685895953757225</v>
      </c>
      <c r="V208" s="1483">
        <f t="shared" si="219"/>
        <v>8.2021776315789481</v>
      </c>
      <c r="W208" s="1483">
        <f t="shared" si="219"/>
        <v>8.4152838427947589</v>
      </c>
      <c r="X208" s="1483">
        <f t="shared" si="219"/>
        <v>9.0839861687413563</v>
      </c>
      <c r="Y208" s="1483">
        <f t="shared" ref="Y208:AD208" si="220">(Y194)/Y205</f>
        <v>9.4557911227154055</v>
      </c>
      <c r="Z208" s="1483">
        <f t="shared" si="220"/>
        <v>9.7562955899880812</v>
      </c>
      <c r="AA208" s="1483">
        <f t="shared" si="220"/>
        <v>9.0414395721925125</v>
      </c>
      <c r="AB208" s="1483">
        <f t="shared" si="220"/>
        <v>8.3723147792706349</v>
      </c>
      <c r="AC208" s="1483">
        <f t="shared" si="220"/>
        <v>8.5060402802101578</v>
      </c>
      <c r="AD208" s="1483">
        <f t="shared" si="220"/>
        <v>8.8700849196721325</v>
      </c>
      <c r="AE208" s="1483">
        <f>(AE194)/AE205</f>
        <v>8.9167231037294137</v>
      </c>
      <c r="AF208" s="1483">
        <f>(AF194)/AF205</f>
        <v>8.9245075445342561</v>
      </c>
      <c r="AG208" s="1483">
        <f>(AG194)/AG205</f>
        <v>8.9525899949410572</v>
      </c>
      <c r="AH208" s="1483">
        <f>(AH194)/AH205</f>
        <v>8.8215405690282687</v>
      </c>
      <c r="AI208" s="1423"/>
      <c r="AJ208" s="1448"/>
      <c r="AK208" s="1423"/>
      <c r="AL208" s="1423"/>
      <c r="AM208" s="1423"/>
      <c r="AN208" s="1423"/>
      <c r="AO208" s="1423"/>
      <c r="AP208" s="1449"/>
      <c r="AQ208" s="1423"/>
      <c r="AR208" s="1423"/>
      <c r="AS208" s="1421"/>
      <c r="AT208" s="1421"/>
      <c r="AU208" s="1421"/>
      <c r="AV208" s="1421"/>
      <c r="AW208" s="1421"/>
      <c r="AX208" s="1421"/>
      <c r="AY208" s="1421"/>
    </row>
    <row r="209" spans="1:51">
      <c r="A209" s="1450" t="s">
        <v>191</v>
      </c>
      <c r="B209" s="1484"/>
      <c r="C209" s="1484"/>
      <c r="D209" s="1484"/>
      <c r="E209" s="1484"/>
      <c r="F209" s="1484"/>
      <c r="G209" s="1484"/>
      <c r="H209" s="1484"/>
      <c r="I209" s="1484"/>
      <c r="J209" s="1484">
        <f>J208/I208-1</f>
        <v>2.9556291390728351E-2</v>
      </c>
      <c r="K209" s="1484">
        <f>K208/J208-1</f>
        <v>1.218918805076119E-2</v>
      </c>
      <c r="L209" s="1484">
        <f>L208/K208-1</f>
        <v>-5.3509656916416293E-2</v>
      </c>
      <c r="M209" s="1484">
        <f t="shared" ref="M209:AH209" si="221">M208/L208-1</f>
        <v>-2.1416167970290445E-2</v>
      </c>
      <c r="N209" s="1484">
        <f t="shared" si="221"/>
        <v>8.0843058215776642E-2</v>
      </c>
      <c r="O209" s="1484">
        <f t="shared" si="221"/>
        <v>0.14303689601527103</v>
      </c>
      <c r="P209" s="1484">
        <f t="shared" si="221"/>
        <v>0.11978868820072286</v>
      </c>
      <c r="Q209" s="1484">
        <f t="shared" si="221"/>
        <v>4.5854413466015487E-3</v>
      </c>
      <c r="R209" s="1484">
        <f t="shared" si="221"/>
        <v>0.10819380996348338</v>
      </c>
      <c r="S209" s="1484">
        <f t="shared" si="221"/>
        <v>0.10957725150584774</v>
      </c>
      <c r="T209" s="1484">
        <f t="shared" si="221"/>
        <v>-5.7514216893393644E-2</v>
      </c>
      <c r="U209" s="1484">
        <f t="shared" si="221"/>
        <v>-8.4835949613270567E-2</v>
      </c>
      <c r="V209" s="1484">
        <f t="shared" si="221"/>
        <v>-6.4595560966324905E-2</v>
      </c>
      <c r="W209" s="1484">
        <f t="shared" si="221"/>
        <v>2.5981662527684968E-2</v>
      </c>
      <c r="X209" s="1484">
        <f t="shared" si="221"/>
        <v>7.9462836719303986E-2</v>
      </c>
      <c r="Y209" s="1484">
        <f t="shared" si="221"/>
        <v>4.0929713791667321E-2</v>
      </c>
      <c r="Z209" s="1484">
        <f t="shared" si="221"/>
        <v>3.1779939232242649E-2</v>
      </c>
      <c r="AA209" s="1484">
        <f t="shared" si="221"/>
        <v>-7.3271254566041888E-2</v>
      </c>
      <c r="AB209" s="1484">
        <f t="shared" si="221"/>
        <v>-7.4006444170661823E-2</v>
      </c>
      <c r="AC209" s="1484">
        <f t="shared" si="221"/>
        <v>1.5972345099902308E-2</v>
      </c>
      <c r="AD209" s="1484">
        <f t="shared" si="221"/>
        <v>4.2798367685719541E-2</v>
      </c>
      <c r="AE209" s="1484">
        <f t="shared" si="221"/>
        <v>5.2579185520362781E-3</v>
      </c>
      <c r="AF209" s="1484">
        <f t="shared" si="221"/>
        <v>8.7301587301569228E-4</v>
      </c>
      <c r="AG209" s="1484">
        <f t="shared" si="221"/>
        <v>3.146666666666631E-3</v>
      </c>
      <c r="AH209" s="1484">
        <f t="shared" si="221"/>
        <v>-1.4638157894736881E-2</v>
      </c>
      <c r="AI209" s="1423"/>
      <c r="AJ209" s="1448"/>
      <c r="AK209" s="1423"/>
      <c r="AL209" s="1423"/>
      <c r="AM209" s="1423"/>
      <c r="AN209" s="1423"/>
      <c r="AO209" s="1423"/>
      <c r="AP209" s="1449"/>
      <c r="AQ209" s="1423"/>
      <c r="AR209" s="1423"/>
      <c r="AS209" s="1421"/>
      <c r="AT209" s="1421"/>
      <c r="AU209" s="1421"/>
      <c r="AV209" s="1421"/>
      <c r="AW209" s="1421"/>
      <c r="AX209" s="1421"/>
      <c r="AY209" s="1421"/>
    </row>
    <row r="210" spans="1:51">
      <c r="A210" s="1421"/>
      <c r="B210" s="1421"/>
      <c r="C210" s="1421"/>
      <c r="D210" s="1421"/>
      <c r="E210" s="1421"/>
      <c r="F210" s="1421"/>
      <c r="G210" s="1421"/>
      <c r="H210" s="1421"/>
      <c r="I210" s="1421"/>
      <c r="J210" s="1421"/>
      <c r="K210" s="1421"/>
      <c r="L210" s="1421"/>
      <c r="M210" s="1421"/>
      <c r="N210" s="1421"/>
      <c r="O210" s="1421"/>
      <c r="P210" s="1421"/>
      <c r="Q210" s="1421"/>
      <c r="R210" s="1421"/>
      <c r="S210" s="1421"/>
      <c r="T210" s="1421"/>
      <c r="U210" s="1421"/>
      <c r="V210" s="1421"/>
      <c r="W210" s="1421"/>
      <c r="X210" s="1421"/>
      <c r="Y210" s="1421"/>
      <c r="Z210" s="1421"/>
      <c r="AA210" s="1421"/>
      <c r="AB210" s="1421"/>
      <c r="AC210" s="1421"/>
      <c r="AD210" s="1421"/>
      <c r="AE210" s="1421"/>
      <c r="AF210" s="1421"/>
      <c r="AG210" s="1421"/>
      <c r="AH210" s="1421"/>
      <c r="AI210" s="1423"/>
      <c r="AJ210" s="1448"/>
      <c r="AK210" s="1423"/>
      <c r="AL210" s="1423"/>
      <c r="AM210" s="1423"/>
      <c r="AN210" s="1423"/>
      <c r="AO210" s="1423"/>
      <c r="AP210" s="1449"/>
      <c r="AQ210" s="1423"/>
      <c r="AR210" s="1423"/>
      <c r="AS210" s="1421"/>
      <c r="AT210" s="1421"/>
      <c r="AU210" s="1421"/>
      <c r="AV210" s="1421"/>
      <c r="AW210" s="1421"/>
      <c r="AX210" s="1421"/>
      <c r="AY210" s="1421"/>
    </row>
    <row r="211" spans="1:51">
      <c r="A211" s="1450" t="s">
        <v>199</v>
      </c>
      <c r="B211" s="1535"/>
      <c r="C211" s="1486"/>
      <c r="D211" s="1486"/>
      <c r="E211" s="1486"/>
      <c r="F211" s="1486">
        <f t="shared" ref="F211:L211" si="222">+(E214+F214)/2</f>
        <v>6.5000000000000002E-2</v>
      </c>
      <c r="G211" s="1486">
        <f t="shared" si="222"/>
        <v>0.1875</v>
      </c>
      <c r="H211" s="1486">
        <f t="shared" si="222"/>
        <v>0.3695</v>
      </c>
      <c r="I211" s="1486">
        <f t="shared" si="222"/>
        <v>0.64600000000000002</v>
      </c>
      <c r="J211" s="1486">
        <f t="shared" si="222"/>
        <v>0.89400000000000002</v>
      </c>
      <c r="K211" s="1486">
        <f t="shared" si="222"/>
        <v>1.17</v>
      </c>
      <c r="L211" s="1486">
        <f t="shared" si="222"/>
        <v>1.6335000000000002</v>
      </c>
      <c r="M211" s="1486">
        <f t="shared" ref="M211:AH211" si="223">+(L214+M214)/2</f>
        <v>2.294</v>
      </c>
      <c r="N211" s="1486">
        <f t="shared" si="223"/>
        <v>2.96</v>
      </c>
      <c r="O211" s="1486">
        <f t="shared" si="223"/>
        <v>3.6040000000000001</v>
      </c>
      <c r="P211" s="1486">
        <f t="shared" si="223"/>
        <v>4.4004676870748298</v>
      </c>
      <c r="Q211" s="1486">
        <f t="shared" si="223"/>
        <v>5.3564676870748302</v>
      </c>
      <c r="R211" s="1486">
        <f t="shared" si="223"/>
        <v>6.1855000000000002</v>
      </c>
      <c r="S211" s="1486">
        <f t="shared" si="223"/>
        <v>6.7925000000000004</v>
      </c>
      <c r="T211" s="1486">
        <f t="shared" si="223"/>
        <v>7.2925000000000004</v>
      </c>
      <c r="U211" s="1486">
        <f t="shared" si="223"/>
        <v>8</v>
      </c>
      <c r="V211" s="1486">
        <f t="shared" si="223"/>
        <v>9.15</v>
      </c>
      <c r="W211" s="1486">
        <f t="shared" si="223"/>
        <v>10.15</v>
      </c>
      <c r="X211" s="1486">
        <f t="shared" si="223"/>
        <v>10.65</v>
      </c>
      <c r="Y211" s="1486">
        <f t="shared" si="223"/>
        <v>11.240816326530613</v>
      </c>
      <c r="Z211" s="1486">
        <f t="shared" si="223"/>
        <v>12.140816326530611</v>
      </c>
      <c r="AA211" s="1486">
        <f t="shared" si="223"/>
        <v>13.2</v>
      </c>
      <c r="AB211" s="1486">
        <f t="shared" si="223"/>
        <v>14.4</v>
      </c>
      <c r="AC211" s="1486">
        <f t="shared" si="223"/>
        <v>15.671052631578947</v>
      </c>
      <c r="AD211" s="1486">
        <f t="shared" si="223"/>
        <v>16.720394736842103</v>
      </c>
      <c r="AE211" s="1486">
        <f t="shared" si="223"/>
        <v>17.703947368421055</v>
      </c>
      <c r="AF211" s="1486">
        <f t="shared" si="223"/>
        <v>18.914473684210527</v>
      </c>
      <c r="AG211" s="1486">
        <f t="shared" si="223"/>
        <v>20.125</v>
      </c>
      <c r="AH211" s="1486">
        <f t="shared" si="223"/>
        <v>20.730263157894736</v>
      </c>
      <c r="AI211" s="1423"/>
      <c r="AJ211" s="1448"/>
      <c r="AK211" s="1453">
        <f>((X211/S211)^(1/5)-1)*100</f>
        <v>9.4117569709603934</v>
      </c>
      <c r="AL211" s="1454" t="s">
        <v>190</v>
      </c>
      <c r="AM211" s="1453">
        <f>((AC211/X211)^(1/5)-1)*100</f>
        <v>8.0313273772917313</v>
      </c>
      <c r="AN211" s="1454" t="s">
        <v>190</v>
      </c>
      <c r="AO211" s="1455">
        <f>((AH211/AC211)^(1/5)-1)*100</f>
        <v>5.7551021830641869</v>
      </c>
      <c r="AP211" s="1449" t="s">
        <v>190</v>
      </c>
      <c r="AQ211" s="1454"/>
      <c r="AR211" s="1423"/>
      <c r="AS211" s="1421"/>
      <c r="AT211" s="1421"/>
      <c r="AU211" s="1421"/>
      <c r="AV211" s="1421"/>
      <c r="AW211" s="1421"/>
      <c r="AX211" s="1421"/>
      <c r="AY211" s="1421"/>
    </row>
    <row r="212" spans="1:51">
      <c r="A212" s="1450" t="s">
        <v>191</v>
      </c>
      <c r="B212" s="1445"/>
      <c r="C212" s="1445"/>
      <c r="D212" s="1445"/>
      <c r="E212" s="1445"/>
      <c r="F212" s="1445"/>
      <c r="G212" s="1445">
        <f t="shared" ref="G212:L212" si="224">G211/F211-1</f>
        <v>1.8846153846153846</v>
      </c>
      <c r="H212" s="1445">
        <f t="shared" si="224"/>
        <v>0.97066666666666657</v>
      </c>
      <c r="I212" s="1445">
        <f t="shared" si="224"/>
        <v>0.7483085250338295</v>
      </c>
      <c r="J212" s="1445">
        <f t="shared" si="224"/>
        <v>0.38390092879256965</v>
      </c>
      <c r="K212" s="1445">
        <f t="shared" si="224"/>
        <v>0.3087248322147651</v>
      </c>
      <c r="L212" s="1445">
        <f t="shared" si="224"/>
        <v>0.3961538461538463</v>
      </c>
      <c r="M212" s="1445">
        <f t="shared" ref="M212:AH212" si="225">M211/L211-1</f>
        <v>0.40434649525558597</v>
      </c>
      <c r="N212" s="1445">
        <f t="shared" si="225"/>
        <v>0.29032258064516125</v>
      </c>
      <c r="O212" s="1445">
        <f t="shared" si="225"/>
        <v>0.21756756756756768</v>
      </c>
      <c r="P212" s="1445">
        <f t="shared" si="225"/>
        <v>0.22099547366116257</v>
      </c>
      <c r="Q212" s="1445">
        <f t="shared" si="225"/>
        <v>0.21724963526217644</v>
      </c>
      <c r="R212" s="1445">
        <f t="shared" si="225"/>
        <v>0.15477220462388441</v>
      </c>
      <c r="S212" s="1445">
        <f t="shared" si="225"/>
        <v>9.8132729771239324E-2</v>
      </c>
      <c r="T212" s="1445">
        <f t="shared" si="225"/>
        <v>7.3610599926389408E-2</v>
      </c>
      <c r="U212" s="1445">
        <f t="shared" si="225"/>
        <v>9.7017483716146602E-2</v>
      </c>
      <c r="V212" s="1445">
        <f t="shared" si="225"/>
        <v>0.14375000000000004</v>
      </c>
      <c r="W212" s="1445">
        <f t="shared" si="225"/>
        <v>0.1092896174863387</v>
      </c>
      <c r="X212" s="1445">
        <f t="shared" si="225"/>
        <v>4.9261083743842304E-2</v>
      </c>
      <c r="Y212" s="1445">
        <f t="shared" si="225"/>
        <v>5.5475711411325124E-2</v>
      </c>
      <c r="Z212" s="1445">
        <f t="shared" si="225"/>
        <v>8.0065359477124121E-2</v>
      </c>
      <c r="AA212" s="1445">
        <f t="shared" si="225"/>
        <v>8.7241553202218824E-2</v>
      </c>
      <c r="AB212" s="1445">
        <f t="shared" si="225"/>
        <v>9.090909090909105E-2</v>
      </c>
      <c r="AC212" s="1445">
        <f t="shared" si="225"/>
        <v>8.8267543859648967E-2</v>
      </c>
      <c r="AD212" s="1445">
        <f t="shared" si="225"/>
        <v>6.6960537363560002E-2</v>
      </c>
      <c r="AE212" s="1445">
        <f t="shared" si="225"/>
        <v>5.8823529411764941E-2</v>
      </c>
      <c r="AF212" s="1445">
        <f t="shared" si="225"/>
        <v>6.8376068376068355E-2</v>
      </c>
      <c r="AG212" s="1445">
        <f t="shared" si="225"/>
        <v>6.3999999999999835E-2</v>
      </c>
      <c r="AH212" s="1445">
        <f t="shared" si="225"/>
        <v>3.007518796992481E-2</v>
      </c>
      <c r="AI212" s="1423"/>
      <c r="AJ212" s="1448"/>
      <c r="AK212" s="1423"/>
      <c r="AL212" s="1423"/>
      <c r="AM212" s="1423"/>
      <c r="AN212" s="1423"/>
      <c r="AO212" s="1423"/>
      <c r="AP212" s="1449"/>
      <c r="AQ212" s="1423"/>
      <c r="AR212" s="1423"/>
      <c r="AS212" s="1421"/>
      <c r="AT212" s="1421"/>
      <c r="AU212" s="1421"/>
      <c r="AV212" s="1421"/>
      <c r="AW212" s="1421"/>
      <c r="AX212" s="1421"/>
      <c r="AY212" s="1421"/>
    </row>
    <row r="213" spans="1:51">
      <c r="A213" s="1421"/>
      <c r="B213" s="1421"/>
      <c r="C213" s="1421"/>
      <c r="D213" s="1421"/>
      <c r="E213" s="1421"/>
      <c r="F213" s="1421"/>
      <c r="G213" s="1421"/>
      <c r="H213" s="1421"/>
      <c r="I213" s="1421"/>
      <c r="J213" s="1421"/>
      <c r="K213" s="1421"/>
      <c r="L213" s="1421"/>
      <c r="M213" s="1421"/>
      <c r="N213" s="1421"/>
      <c r="O213" s="1421"/>
      <c r="P213" s="1421"/>
      <c r="Q213" s="1421"/>
      <c r="R213" s="1421"/>
      <c r="S213" s="1421"/>
      <c r="T213" s="1421"/>
      <c r="U213" s="1421"/>
      <c r="V213" s="1421"/>
      <c r="W213" s="1421"/>
      <c r="X213" s="1421"/>
      <c r="Y213" s="1421"/>
      <c r="Z213" s="1421"/>
      <c r="AA213" s="1421"/>
      <c r="AB213" s="1421"/>
      <c r="AC213" s="1421"/>
      <c r="AD213" s="1421"/>
      <c r="AE213" s="1421"/>
      <c r="AF213" s="1421"/>
      <c r="AG213" s="1421"/>
      <c r="AH213" s="1421"/>
      <c r="AI213" s="1423"/>
      <c r="AJ213" s="1448"/>
      <c r="AK213" s="1423"/>
      <c r="AL213" s="1423"/>
      <c r="AM213" s="1423"/>
      <c r="AN213" s="1423"/>
      <c r="AO213" s="1423"/>
      <c r="AP213" s="1449"/>
      <c r="AQ213" s="1423"/>
      <c r="AR213" s="1423"/>
      <c r="AS213" s="1421"/>
      <c r="AT213" s="1421"/>
      <c r="AU213" s="1421"/>
      <c r="AV213" s="1421"/>
      <c r="AW213" s="1421"/>
      <c r="AX213" s="1421"/>
      <c r="AY213" s="1421"/>
    </row>
    <row r="214" spans="1:51">
      <c r="A214" s="1450" t="s">
        <v>200</v>
      </c>
      <c r="B214" s="1523"/>
      <c r="C214" s="1522"/>
      <c r="D214" s="1522"/>
      <c r="E214" s="1522"/>
      <c r="F214" s="1522">
        <f>Stores!AI53</f>
        <v>0.13</v>
      </c>
      <c r="G214" s="1522">
        <f>Stores!$AI$61</f>
        <v>0.245</v>
      </c>
      <c r="H214" s="1522">
        <f>Stores!$AI$69</f>
        <v>0.49399999999999999</v>
      </c>
      <c r="I214" s="1522">
        <f>Stores!$AI$77</f>
        <v>0.79800000000000004</v>
      </c>
      <c r="J214" s="1522">
        <f>Stores!$AI$85</f>
        <v>0.99</v>
      </c>
      <c r="K214" s="1522">
        <f>Stores!$AI$93</f>
        <v>1.35</v>
      </c>
      <c r="L214" s="1522">
        <f>Stores!$AI$101</f>
        <v>1.917</v>
      </c>
      <c r="M214" s="1522">
        <f>Stores!$AI$109</f>
        <v>2.6709999999999998</v>
      </c>
      <c r="N214" s="1522">
        <f>Stores!$AI$117</f>
        <v>3.2490000000000001</v>
      </c>
      <c r="O214" s="1522">
        <f>Stores!$AI$125</f>
        <v>3.9590000000000001</v>
      </c>
      <c r="P214" s="1522">
        <f>Stores!$AI$133</f>
        <v>4.84193537414966</v>
      </c>
      <c r="Q214" s="1522">
        <f>Stores!$AI$141</f>
        <v>5.8710000000000004</v>
      </c>
      <c r="R214" s="1522">
        <f>Stores!$AI$149</f>
        <v>6.5</v>
      </c>
      <c r="S214" s="1522">
        <f>Stores!$AI$156</f>
        <v>7.085</v>
      </c>
      <c r="T214" s="1522">
        <f>Stores!$AI$163</f>
        <v>7.5</v>
      </c>
      <c r="U214" s="1522">
        <f>Stores!$AI$170</f>
        <v>8.5</v>
      </c>
      <c r="V214" s="1522">
        <f>Stores!$AI$177</f>
        <v>9.8000000000000007</v>
      </c>
      <c r="W214" s="1522">
        <f>Stores!$AI$184</f>
        <v>10.5</v>
      </c>
      <c r="X214" s="1522">
        <f>Stores!$AI$191</f>
        <v>10.8</v>
      </c>
      <c r="Y214" s="1522">
        <f>Stores!$AI$198</f>
        <v>11.681632653061225</v>
      </c>
      <c r="Z214" s="1522">
        <f>Stores!$AI$205</f>
        <v>12.6</v>
      </c>
      <c r="AA214" s="1522">
        <f>Stores!$AI$212</f>
        <v>13.8</v>
      </c>
      <c r="AB214" s="1522">
        <f>Stores!$AI$219</f>
        <v>15</v>
      </c>
      <c r="AC214" s="1522">
        <f>Stores!$AI$226</f>
        <v>16.342105263157894</v>
      </c>
      <c r="AD214" s="1522">
        <f>Stores!$AI$233</f>
        <v>17.098684210526315</v>
      </c>
      <c r="AE214" s="1522">
        <f>Stores!$AI$240</f>
        <v>18.309210526315791</v>
      </c>
      <c r="AF214" s="1522">
        <f>Stores!$AI$247</f>
        <v>19.519736842105264</v>
      </c>
      <c r="AG214" s="1522">
        <f>Stores!$AI$254</f>
        <v>20.730263157894736</v>
      </c>
      <c r="AH214" s="1522">
        <f>Stores!$AI$254</f>
        <v>20.730263157894736</v>
      </c>
      <c r="AI214" s="1423"/>
      <c r="AJ214" s="1448"/>
      <c r="AK214" s="1453">
        <f>((X214/S214)^(1/5)-1)*100</f>
        <v>8.7969649318302423</v>
      </c>
      <c r="AL214" s="1454" t="s">
        <v>190</v>
      </c>
      <c r="AM214" s="1453">
        <f>((AC214/X214)^(1/5)-1)*100</f>
        <v>8.6367712447010803</v>
      </c>
      <c r="AN214" s="1454" t="s">
        <v>190</v>
      </c>
      <c r="AO214" s="1455">
        <f>((AH214/AC214)^(1/5)-1)*100</f>
        <v>4.8719545729584146</v>
      </c>
      <c r="AP214" s="1449" t="s">
        <v>190</v>
      </c>
      <c r="AQ214" s="1454"/>
      <c r="AR214" s="1423"/>
      <c r="AS214" s="1421"/>
      <c r="AT214" s="1421"/>
      <c r="AU214" s="1421"/>
      <c r="AV214" s="1421"/>
      <c r="AW214" s="1421"/>
      <c r="AX214" s="1421"/>
      <c r="AY214" s="1421"/>
    </row>
    <row r="215" spans="1:51">
      <c r="A215" s="1450" t="s">
        <v>191</v>
      </c>
      <c r="B215" s="1445"/>
      <c r="C215" s="1445"/>
      <c r="D215" s="1445"/>
      <c r="E215" s="1445"/>
      <c r="F215" s="1445"/>
      <c r="G215" s="1445">
        <f>G214/F214-1</f>
        <v>0.88461538461538458</v>
      </c>
      <c r="H215" s="1445">
        <f>H214/G214-1</f>
        <v>1.0163265306122451</v>
      </c>
      <c r="I215" s="1445">
        <f>I214/H214-1</f>
        <v>0.61538461538461542</v>
      </c>
      <c r="J215" s="1445">
        <f>J214/I214-1</f>
        <v>0.24060150375939848</v>
      </c>
      <c r="K215" s="1445">
        <f t="shared" ref="K215:AH215" si="226">K214/J214-1</f>
        <v>0.36363636363636376</v>
      </c>
      <c r="L215" s="1445">
        <f t="shared" si="226"/>
        <v>0.41999999999999993</v>
      </c>
      <c r="M215" s="1445">
        <f t="shared" si="226"/>
        <v>0.39332290036515372</v>
      </c>
      <c r="N215" s="1445">
        <f t="shared" si="226"/>
        <v>0.21639835267690022</v>
      </c>
      <c r="O215" s="1445">
        <f t="shared" si="226"/>
        <v>0.2185287780855647</v>
      </c>
      <c r="P215" s="1445">
        <f t="shared" si="226"/>
        <v>0.22301979645103809</v>
      </c>
      <c r="Q215" s="1445">
        <f t="shared" si="226"/>
        <v>0.21253167304635179</v>
      </c>
      <c r="R215" s="1445">
        <f t="shared" si="226"/>
        <v>0.10713677397376919</v>
      </c>
      <c r="S215" s="1445">
        <f t="shared" si="226"/>
        <v>9.000000000000008E-2</v>
      </c>
      <c r="T215" s="1445">
        <f t="shared" si="226"/>
        <v>5.8574453069865973E-2</v>
      </c>
      <c r="U215" s="1445">
        <f t="shared" si="226"/>
        <v>0.1333333333333333</v>
      </c>
      <c r="V215" s="1445">
        <f t="shared" si="226"/>
        <v>0.15294117647058836</v>
      </c>
      <c r="W215" s="1445">
        <f t="shared" si="226"/>
        <v>7.1428571428571397E-2</v>
      </c>
      <c r="X215" s="1445">
        <f t="shared" si="226"/>
        <v>2.8571428571428692E-2</v>
      </c>
      <c r="Y215" s="1445">
        <f t="shared" si="226"/>
        <v>8.163265306122458E-2</v>
      </c>
      <c r="Z215" s="1445">
        <f t="shared" si="226"/>
        <v>7.8616352201257733E-2</v>
      </c>
      <c r="AA215" s="1445">
        <f t="shared" si="226"/>
        <v>9.5238095238095344E-2</v>
      </c>
      <c r="AB215" s="1445">
        <f t="shared" si="226"/>
        <v>8.6956521739130377E-2</v>
      </c>
      <c r="AC215" s="1445">
        <f t="shared" si="226"/>
        <v>8.947368421052615E-2</v>
      </c>
      <c r="AD215" s="1445">
        <f t="shared" si="226"/>
        <v>4.629629629629628E-2</v>
      </c>
      <c r="AE215" s="1445">
        <f t="shared" si="226"/>
        <v>7.079646017699126E-2</v>
      </c>
      <c r="AF215" s="1445">
        <f t="shared" si="226"/>
        <v>6.6115702479338845E-2</v>
      </c>
      <c r="AG215" s="1445">
        <f t="shared" si="226"/>
        <v>6.201550387596888E-2</v>
      </c>
      <c r="AH215" s="1445">
        <f t="shared" si="226"/>
        <v>0</v>
      </c>
      <c r="AI215" s="1423"/>
      <c r="AJ215" s="1448"/>
      <c r="AK215" s="1423"/>
      <c r="AL215" s="1423"/>
      <c r="AM215" s="1423"/>
      <c r="AN215" s="1423"/>
      <c r="AO215" s="1423"/>
      <c r="AP215" s="1449"/>
      <c r="AQ215" s="1423"/>
      <c r="AR215" s="1423"/>
      <c r="AS215" s="1421"/>
      <c r="AT215" s="1421"/>
      <c r="AU215" s="1421"/>
      <c r="AV215" s="1421"/>
      <c r="AW215" s="1421"/>
      <c r="AX215" s="1421"/>
      <c r="AY215" s="1421"/>
    </row>
    <row r="216" spans="1:51">
      <c r="A216" s="1421"/>
      <c r="B216" s="1421"/>
      <c r="C216" s="1421"/>
      <c r="D216" s="1421"/>
      <c r="E216" s="1421"/>
      <c r="F216" s="1421"/>
      <c r="G216" s="1421"/>
      <c r="H216" s="1421"/>
      <c r="I216" s="1421"/>
      <c r="J216" s="1421"/>
      <c r="K216" s="1421"/>
      <c r="L216" s="1421"/>
      <c r="M216" s="1421"/>
      <c r="N216" s="1421"/>
      <c r="O216" s="1421"/>
      <c r="P216" s="1421"/>
      <c r="Q216" s="1421"/>
      <c r="R216" s="1421"/>
      <c r="S216" s="1421"/>
      <c r="T216" s="1421"/>
      <c r="U216" s="1421"/>
      <c r="V216" s="1421"/>
      <c r="W216" s="1421"/>
      <c r="X216" s="1421"/>
      <c r="Y216" s="1421"/>
      <c r="Z216" s="1421"/>
      <c r="AA216" s="1421"/>
      <c r="AB216" s="1421"/>
      <c r="AC216" s="1421"/>
      <c r="AD216" s="1421"/>
      <c r="AE216" s="1421"/>
      <c r="AF216" s="1421"/>
      <c r="AG216" s="1421"/>
      <c r="AH216" s="1421"/>
      <c r="AI216" s="1423"/>
      <c r="AJ216" s="1448"/>
      <c r="AK216" s="1423"/>
      <c r="AL216" s="1423"/>
      <c r="AM216" s="1423"/>
      <c r="AN216" s="1423"/>
      <c r="AO216" s="1423"/>
      <c r="AP216" s="1449"/>
      <c r="AQ216" s="1423"/>
      <c r="AR216" s="1423"/>
      <c r="AS216" s="1421"/>
      <c r="AT216" s="1421"/>
      <c r="AU216" s="1421"/>
      <c r="AV216" s="1421"/>
      <c r="AW216" s="1421"/>
      <c r="AX216" s="1421"/>
      <c r="AY216" s="1421"/>
    </row>
    <row r="217" spans="1:51">
      <c r="A217" s="1450" t="s">
        <v>201</v>
      </c>
      <c r="B217" s="1482"/>
      <c r="C217" s="1482"/>
      <c r="D217" s="1482"/>
      <c r="E217" s="1482"/>
      <c r="F217" s="1482">
        <f t="shared" ref="F217:R217" si="227">F214/F204*1000000</f>
        <v>26000.000000000004</v>
      </c>
      <c r="G217" s="1482">
        <f t="shared" si="227"/>
        <v>27222.222222222219</v>
      </c>
      <c r="H217" s="1482">
        <f t="shared" si="227"/>
        <v>27444.444444444445</v>
      </c>
      <c r="I217" s="1482">
        <f t="shared" si="227"/>
        <v>25741.93548387097</v>
      </c>
      <c r="J217" s="1482">
        <f t="shared" si="227"/>
        <v>25384.615384615383</v>
      </c>
      <c r="K217" s="1482">
        <f t="shared" si="227"/>
        <v>25000</v>
      </c>
      <c r="L217" s="1482">
        <f t="shared" si="227"/>
        <v>25905.405405405407</v>
      </c>
      <c r="M217" s="1482">
        <f t="shared" si="227"/>
        <v>26445.544554455446</v>
      </c>
      <c r="N217" s="1482">
        <f t="shared" si="227"/>
        <v>26414.634146341461</v>
      </c>
      <c r="O217" s="1482">
        <f t="shared" si="227"/>
        <v>26931.972789115647</v>
      </c>
      <c r="P217" s="1482">
        <f t="shared" si="227"/>
        <v>28481.972789115647</v>
      </c>
      <c r="Q217" s="1482">
        <f t="shared" si="227"/>
        <v>29802.030456852794</v>
      </c>
      <c r="R217" s="1482">
        <f t="shared" si="227"/>
        <v>30952.380952380954</v>
      </c>
      <c r="S217" s="1482">
        <f t="shared" ref="S217:X217" si="228">S214/S204*1000000</f>
        <v>31349.557522123894</v>
      </c>
      <c r="T217" s="1482">
        <f t="shared" si="228"/>
        <v>30991.735537190085</v>
      </c>
      <c r="U217" s="1482">
        <f t="shared" si="228"/>
        <v>30685.920577617326</v>
      </c>
      <c r="V217" s="1482">
        <f t="shared" si="228"/>
        <v>29607.250755287012</v>
      </c>
      <c r="W217" s="1482">
        <f t="shared" si="228"/>
        <v>29494.382022471909</v>
      </c>
      <c r="X217" s="1482">
        <f t="shared" si="228"/>
        <v>29427.792915531336</v>
      </c>
      <c r="Y217" s="1482">
        <f t="shared" ref="Y217:AD217" si="229">Y214/Y204*1000000</f>
        <v>29277.274819702317</v>
      </c>
      <c r="Z217" s="1482">
        <f t="shared" si="229"/>
        <v>28636.363636363636</v>
      </c>
      <c r="AA217" s="1482">
        <f t="shared" si="229"/>
        <v>27878.78787878788</v>
      </c>
      <c r="AB217" s="1482">
        <f t="shared" si="229"/>
        <v>27422.303473491771</v>
      </c>
      <c r="AC217" s="1482">
        <f t="shared" si="229"/>
        <v>27465.723131357805</v>
      </c>
      <c r="AD217" s="1482">
        <f t="shared" si="229"/>
        <v>27357.894736842107</v>
      </c>
      <c r="AE217" s="1482">
        <f>AE214/AE204*1000000</f>
        <v>27124.756335282651</v>
      </c>
      <c r="AF217" s="1482">
        <f>AF214/AF204*1000000</f>
        <v>26923.774954627952</v>
      </c>
      <c r="AG217" s="1482">
        <f>AG214/AG204*1000000</f>
        <v>26748.726655348048</v>
      </c>
      <c r="AH217" s="1482">
        <f>AH214/AH204*1000000</f>
        <v>25127.591706539075</v>
      </c>
      <c r="AI217" s="1478"/>
      <c r="AJ217" s="1479"/>
      <c r="AK217" s="1478"/>
      <c r="AL217" s="1478"/>
      <c r="AM217" s="1423"/>
      <c r="AN217" s="1478"/>
      <c r="AO217" s="1423"/>
      <c r="AP217" s="1480"/>
      <c r="AQ217" s="1478"/>
      <c r="AR217" s="1423"/>
      <c r="AS217" s="1421"/>
      <c r="AT217" s="1421"/>
      <c r="AU217" s="1421"/>
      <c r="AV217" s="1421"/>
      <c r="AW217" s="1421"/>
      <c r="AX217" s="1421"/>
      <c r="AY217" s="1421"/>
    </row>
    <row r="218" spans="1:51">
      <c r="A218" s="1450" t="s">
        <v>191</v>
      </c>
      <c r="B218" s="1484"/>
      <c r="C218" s="1484"/>
      <c r="D218" s="1484"/>
      <c r="E218" s="1484"/>
      <c r="F218" s="1484"/>
      <c r="G218" s="1484">
        <f>G217/F217-1</f>
        <v>4.7008547008546842E-2</v>
      </c>
      <c r="H218" s="1484">
        <f>H217/G217-1</f>
        <v>8.1632653061225469E-3</v>
      </c>
      <c r="I218" s="1484">
        <f>I217/H217-1</f>
        <v>-6.2034739454094212E-2</v>
      </c>
      <c r="J218" s="1484">
        <f>J217/I217-1</f>
        <v>-1.3880855986119323E-2</v>
      </c>
      <c r="K218" s="1484">
        <f>K217/J217-1</f>
        <v>-1.5151515151515138E-2</v>
      </c>
      <c r="L218" s="1484">
        <f t="shared" ref="L218:AH218" si="230">L217/K217-1</f>
        <v>3.621621621621629E-2</v>
      </c>
      <c r="M218" s="1484">
        <f t="shared" si="230"/>
        <v>2.0850441851696822E-2</v>
      </c>
      <c r="N218" s="1484">
        <f t="shared" si="230"/>
        <v>-1.1688323547407453E-3</v>
      </c>
      <c r="O218" s="1484">
        <f t="shared" si="230"/>
        <v>1.9585304112411439E-2</v>
      </c>
      <c r="P218" s="1484">
        <f t="shared" si="230"/>
        <v>5.7552412225309491E-2</v>
      </c>
      <c r="Q218" s="1484">
        <f t="shared" si="230"/>
        <v>4.6347129024770561E-2</v>
      </c>
      <c r="R218" s="1484">
        <f t="shared" si="230"/>
        <v>3.8599735584917028E-2</v>
      </c>
      <c r="S218" s="1484">
        <f t="shared" si="230"/>
        <v>1.2831858407079677E-2</v>
      </c>
      <c r="T218" s="1484">
        <f t="shared" si="230"/>
        <v>-1.1413940521530108E-2</v>
      </c>
      <c r="U218" s="1484">
        <f t="shared" si="230"/>
        <v>-9.867629362214414E-3</v>
      </c>
      <c r="V218" s="1484">
        <f t="shared" si="230"/>
        <v>-3.5151945974764343E-2</v>
      </c>
      <c r="W218" s="1484">
        <f t="shared" si="230"/>
        <v>-3.8121990369183179E-3</v>
      </c>
      <c r="X218" s="1484">
        <f t="shared" si="230"/>
        <v>-2.2576878162708924E-3</v>
      </c>
      <c r="Y218" s="1484">
        <f t="shared" si="230"/>
        <v>-5.1148278860416729E-3</v>
      </c>
      <c r="Z218" s="1484">
        <f t="shared" si="230"/>
        <v>-2.1891080617495784E-2</v>
      </c>
      <c r="AA218" s="1484">
        <f t="shared" si="230"/>
        <v>-2.6455026455026398E-2</v>
      </c>
      <c r="AB218" s="1484">
        <f t="shared" si="230"/>
        <v>-1.6373897146490846E-2</v>
      </c>
      <c r="AC218" s="1484">
        <f t="shared" si="230"/>
        <v>1.583370190181288E-3</v>
      </c>
      <c r="AD218" s="1484">
        <f t="shared" si="230"/>
        <v>-3.9259259259257773E-3</v>
      </c>
      <c r="AE218" s="1484">
        <f t="shared" si="230"/>
        <v>-8.5217961324156599E-3</v>
      </c>
      <c r="AF218" s="1484">
        <f t="shared" si="230"/>
        <v>-7.4095183813051024E-3</v>
      </c>
      <c r="AG218" s="1484">
        <f t="shared" si="230"/>
        <v>-6.5016254063516854E-3</v>
      </c>
      <c r="AH218" s="1484">
        <f t="shared" si="230"/>
        <v>-6.0606060606060663E-2</v>
      </c>
      <c r="AI218" s="1423"/>
      <c r="AJ218" s="1448"/>
      <c r="AK218" s="1423"/>
      <c r="AL218" s="1423"/>
      <c r="AM218" s="1423"/>
      <c r="AN218" s="1423"/>
      <c r="AO218" s="1423"/>
      <c r="AP218" s="1449"/>
      <c r="AQ218" s="1423"/>
      <c r="AR218" s="1423"/>
      <c r="AS218" s="1421"/>
      <c r="AT218" s="1421"/>
      <c r="AU218" s="1421"/>
      <c r="AV218" s="1421"/>
      <c r="AW218" s="1421"/>
      <c r="AX218" s="1421"/>
      <c r="AY218" s="1421"/>
    </row>
    <row r="219" spans="1:51">
      <c r="A219" s="1421"/>
      <c r="B219" s="1421"/>
      <c r="C219" s="1421"/>
      <c r="D219" s="1421"/>
      <c r="E219" s="1421"/>
      <c r="F219" s="1421"/>
      <c r="G219" s="1421"/>
      <c r="H219" s="1421"/>
      <c r="I219" s="1421"/>
      <c r="J219" s="1421"/>
      <c r="K219" s="1421"/>
      <c r="L219" s="1421"/>
      <c r="M219" s="1421"/>
      <c r="N219" s="1421"/>
      <c r="O219" s="1421"/>
      <c r="P219" s="1421"/>
      <c r="Q219" s="1421"/>
      <c r="R219" s="1421"/>
      <c r="S219" s="1421"/>
      <c r="T219" s="1421"/>
      <c r="U219" s="1421"/>
      <c r="V219" s="1421"/>
      <c r="W219" s="1421"/>
      <c r="X219" s="1421"/>
      <c r="Y219" s="1421"/>
      <c r="Z219" s="1421"/>
      <c r="AA219" s="1421"/>
      <c r="AB219" s="1421"/>
      <c r="AC219" s="1421"/>
      <c r="AD219" s="1421"/>
      <c r="AE219" s="1421"/>
      <c r="AF219" s="1421"/>
      <c r="AG219" s="1421"/>
      <c r="AH219" s="1421"/>
      <c r="AI219" s="1423"/>
      <c r="AJ219" s="1448"/>
      <c r="AK219" s="1423"/>
      <c r="AL219" s="1423"/>
      <c r="AM219" s="1423"/>
      <c r="AN219" s="1423"/>
      <c r="AO219" s="1423"/>
      <c r="AP219" s="1449"/>
      <c r="AQ219" s="1423"/>
      <c r="AR219" s="1423"/>
      <c r="AS219" s="1421"/>
      <c r="AT219" s="1421"/>
      <c r="AU219" s="1421"/>
      <c r="AV219" s="1421"/>
      <c r="AW219" s="1421"/>
      <c r="AX219" s="1421"/>
      <c r="AY219" s="1421"/>
    </row>
    <row r="220" spans="1:51">
      <c r="A220" s="1450" t="s">
        <v>148</v>
      </c>
      <c r="B220" s="1451"/>
      <c r="C220" s="1451"/>
      <c r="D220" s="1451"/>
      <c r="E220" s="1451"/>
      <c r="F220" s="1451"/>
      <c r="G220" s="1451"/>
      <c r="H220" s="1513" t="s">
        <v>642</v>
      </c>
      <c r="I220" s="1451">
        <f t="shared" ref="I220:R220" si="231">+I194/I211</f>
        <v>233.74613003095973</v>
      </c>
      <c r="J220" s="1451">
        <f t="shared" si="231"/>
        <v>248.4228187919463</v>
      </c>
      <c r="K220" s="1451">
        <f t="shared" si="231"/>
        <v>255.26410256410259</v>
      </c>
      <c r="L220" s="1451">
        <f t="shared" si="231"/>
        <v>238.17692072237526</v>
      </c>
      <c r="M220" s="1451">
        <f t="shared" si="231"/>
        <v>226.90889276373147</v>
      </c>
      <c r="N220" s="1451">
        <f t="shared" si="231"/>
        <v>243.29087837837841</v>
      </c>
      <c r="O220" s="1451">
        <f t="shared" si="231"/>
        <v>275.30160932297446</v>
      </c>
      <c r="P220" s="1451">
        <f t="shared" si="231"/>
        <v>296.43280959236324</v>
      </c>
      <c r="Q220" s="1451">
        <f t="shared" si="231"/>
        <v>283.23068272414014</v>
      </c>
      <c r="R220" s="1451">
        <f t="shared" si="231"/>
        <v>301.43108883679571</v>
      </c>
      <c r="S220" s="1451">
        <f t="shared" ref="S220:X220" si="232">+S194/S211</f>
        <v>326.27427309532567</v>
      </c>
      <c r="T220" s="1451">
        <f t="shared" si="232"/>
        <v>307.44696606102156</v>
      </c>
      <c r="U220" s="1451">
        <f t="shared" si="232"/>
        <v>284.43112500000001</v>
      </c>
      <c r="V220" s="1451">
        <f t="shared" si="232"/>
        <v>272.50950819672136</v>
      </c>
      <c r="W220" s="1451">
        <f t="shared" si="232"/>
        <v>284.79310344827582</v>
      </c>
      <c r="X220" s="1451">
        <f t="shared" si="232"/>
        <v>308.34375586854463</v>
      </c>
      <c r="Y220" s="1451">
        <f t="shared" ref="Y220:AD220" si="233">+Y194/Y211</f>
        <v>322.18015976761075</v>
      </c>
      <c r="Z220" s="1451">
        <f t="shared" si="233"/>
        <v>337.10797444948736</v>
      </c>
      <c r="AA220" s="1451">
        <f t="shared" si="233"/>
        <v>320.21765151515149</v>
      </c>
      <c r="AB220" s="1451">
        <f t="shared" si="233"/>
        <v>302.91500000000002</v>
      </c>
      <c r="AC220" s="1451">
        <f t="shared" si="233"/>
        <v>309.93125440806051</v>
      </c>
      <c r="AD220" s="1451">
        <f t="shared" si="233"/>
        <v>323.60191766751927</v>
      </c>
      <c r="AE220" s="1451">
        <f>+AE194/AE211</f>
        <v>327.37727337364026</v>
      </c>
      <c r="AF220" s="1451">
        <f>+AF194/AF211</f>
        <v>330.28438356119818</v>
      </c>
      <c r="AG220" s="1451">
        <f>+AG194/AG211</f>
        <v>333.63689422140584</v>
      </c>
      <c r="AH220" s="1451">
        <f>+AH194/AH211</f>
        <v>340.43139739569585</v>
      </c>
      <c r="AI220" s="1423"/>
      <c r="AJ220" s="1448"/>
      <c r="AK220" s="1453">
        <f>((X220/S220)^(1/5)-1)*100</f>
        <v>-1.1240963885225552</v>
      </c>
      <c r="AL220" s="1454" t="s">
        <v>190</v>
      </c>
      <c r="AM220" s="1453">
        <f>((AC220/X220)^(1/5)-1)*100</f>
        <v>0.10275799634682503</v>
      </c>
      <c r="AN220" s="1454" t="s">
        <v>190</v>
      </c>
      <c r="AO220" s="1455">
        <f>((AH220/AC220)^(1/5)-1)*100</f>
        <v>1.8949936760714881</v>
      </c>
      <c r="AP220" s="1449" t="s">
        <v>190</v>
      </c>
      <c r="AQ220" s="1454"/>
      <c r="AR220" s="1423"/>
      <c r="AS220" s="1421"/>
      <c r="AT220" s="1421"/>
      <c r="AU220" s="1421"/>
      <c r="AV220" s="1421"/>
      <c r="AW220" s="1421"/>
      <c r="AX220" s="1421"/>
      <c r="AY220" s="1421"/>
    </row>
    <row r="221" spans="1:51">
      <c r="A221" s="1450" t="s">
        <v>191</v>
      </c>
      <c r="B221" s="1484"/>
      <c r="C221" s="1484"/>
      <c r="D221" s="1484"/>
      <c r="E221" s="1484"/>
      <c r="F221" s="1484"/>
      <c r="G221" s="1484"/>
      <c r="H221" s="1484"/>
      <c r="I221" s="1484"/>
      <c r="J221" s="1484">
        <f>J220/I220-1</f>
        <v>6.2789012845015479E-2</v>
      </c>
      <c r="K221" s="1484">
        <f>K220/J220-1</f>
        <v>2.7538870243179359E-2</v>
      </c>
      <c r="L221" s="1484">
        <f t="shared" ref="L221:AH221" si="234">L220/K220-1</f>
        <v>-6.6939227529794754E-2</v>
      </c>
      <c r="M221" s="1484">
        <f t="shared" si="234"/>
        <v>-4.7309487100885228E-2</v>
      </c>
      <c r="N221" s="1484">
        <f t="shared" si="234"/>
        <v>7.2196313750050534E-2</v>
      </c>
      <c r="O221" s="1484">
        <f t="shared" si="234"/>
        <v>0.13157390510470068</v>
      </c>
      <c r="P221" s="1484">
        <f t="shared" si="234"/>
        <v>7.675654465426085E-2</v>
      </c>
      <c r="Q221" s="1484">
        <f t="shared" si="234"/>
        <v>-4.4536658699750098E-2</v>
      </c>
      <c r="R221" s="1484">
        <f t="shared" si="234"/>
        <v>6.4260008617718523E-2</v>
      </c>
      <c r="S221" s="1484">
        <f t="shared" si="234"/>
        <v>8.241745851231963E-2</v>
      </c>
      <c r="T221" s="1484">
        <f t="shared" si="234"/>
        <v>-5.7703927605727734E-2</v>
      </c>
      <c r="U221" s="1484">
        <f t="shared" si="234"/>
        <v>-7.4861174777224537E-2</v>
      </c>
      <c r="V221" s="1484">
        <f t="shared" si="234"/>
        <v>-4.1913896741359258E-2</v>
      </c>
      <c r="W221" s="1484">
        <f t="shared" si="234"/>
        <v>4.5075840959967861E-2</v>
      </c>
      <c r="X221" s="1484">
        <f t="shared" si="234"/>
        <v>8.2693900010630372E-2</v>
      </c>
      <c r="Y221" s="1484">
        <f t="shared" si="234"/>
        <v>4.4873306612263519E-2</v>
      </c>
      <c r="Z221" s="1484">
        <f t="shared" si="234"/>
        <v>4.6333749082017039E-2</v>
      </c>
      <c r="AA221" s="1484">
        <f t="shared" si="234"/>
        <v>-5.0103599482980266E-2</v>
      </c>
      <c r="AB221" s="1484">
        <f t="shared" si="234"/>
        <v>-5.4034034142970366E-2</v>
      </c>
      <c r="AC221" s="1484">
        <f t="shared" si="234"/>
        <v>2.3162452859912808E-2</v>
      </c>
      <c r="AD221" s="1484">
        <f t="shared" si="234"/>
        <v>4.4108695283308741E-2</v>
      </c>
      <c r="AE221" s="1484">
        <f t="shared" si="234"/>
        <v>1.1666666666666492E-2</v>
      </c>
      <c r="AF221" s="1484">
        <f t="shared" si="234"/>
        <v>8.879999999999999E-3</v>
      </c>
      <c r="AG221" s="1484">
        <f t="shared" si="234"/>
        <v>1.0150375939849576E-2</v>
      </c>
      <c r="AH221" s="1484">
        <f t="shared" si="234"/>
        <v>2.0364963503649802E-2</v>
      </c>
      <c r="AI221" s="1423"/>
      <c r="AJ221" s="1448"/>
      <c r="AK221" s="1423"/>
      <c r="AL221" s="1423"/>
      <c r="AM221" s="1423"/>
      <c r="AN221" s="1423"/>
      <c r="AO221" s="1423"/>
      <c r="AP221" s="1449"/>
      <c r="AQ221" s="1423"/>
      <c r="AR221" s="1423"/>
      <c r="AS221" s="1421"/>
      <c r="AT221" s="1421"/>
      <c r="AU221" s="1421"/>
      <c r="AV221" s="1421"/>
      <c r="AW221" s="1421"/>
      <c r="AX221" s="1421"/>
      <c r="AY221" s="1421"/>
    </row>
    <row r="222" spans="1:51">
      <c r="A222" s="1421"/>
      <c r="B222" s="1421"/>
      <c r="C222" s="1421"/>
      <c r="D222" s="1421"/>
      <c r="E222" s="1051"/>
      <c r="F222" s="1421"/>
      <c r="G222" s="1421"/>
      <c r="H222" s="1421"/>
      <c r="I222" s="1421"/>
      <c r="J222" s="1421"/>
      <c r="K222" s="1421"/>
      <c r="L222" s="1421"/>
      <c r="M222" s="1421"/>
      <c r="N222" s="1421"/>
      <c r="O222" s="1421"/>
      <c r="P222" s="1421"/>
      <c r="Q222" s="1421"/>
      <c r="R222" s="1421"/>
      <c r="S222" s="1421"/>
      <c r="T222" s="1421"/>
      <c r="U222" s="1421"/>
      <c r="V222" s="1421"/>
      <c r="W222" s="1421"/>
      <c r="X222" s="1421"/>
      <c r="Y222" s="1421"/>
      <c r="Z222" s="1421"/>
      <c r="AA222" s="1421"/>
      <c r="AB222" s="1421"/>
      <c r="AC222" s="1421"/>
      <c r="AD222" s="1421"/>
      <c r="AE222" s="1421"/>
      <c r="AF222" s="1421"/>
      <c r="AG222" s="1421"/>
      <c r="AH222" s="1421"/>
      <c r="AI222" s="1423"/>
      <c r="AJ222" s="1448"/>
      <c r="AK222" s="1423"/>
      <c r="AL222" s="1423"/>
      <c r="AM222" s="1423"/>
      <c r="AN222" s="1423"/>
      <c r="AO222" s="1423"/>
      <c r="AP222" s="1449"/>
      <c r="AQ222" s="1423"/>
      <c r="AR222" s="1423"/>
      <c r="AS222" s="1421"/>
      <c r="AT222" s="1421"/>
      <c r="AU222" s="1421"/>
      <c r="AV222" s="1421"/>
      <c r="AW222" s="1421"/>
      <c r="AX222" s="1421"/>
      <c r="AY222" s="1421"/>
    </row>
    <row r="223" spans="1:51">
      <c r="A223" s="1450" t="s">
        <v>506</v>
      </c>
      <c r="B223" s="1484"/>
      <c r="C223" s="1484"/>
      <c r="D223" s="1484"/>
      <c r="E223" s="1484"/>
      <c r="F223" s="1484"/>
      <c r="G223" s="1484"/>
      <c r="H223" s="1525">
        <f>'SegP&amp;L'!$AE$57/100</f>
        <v>0.3</v>
      </c>
      <c r="I223" s="1525">
        <f>'SegP&amp;L'!$AE$64/100</f>
        <v>0.15</v>
      </c>
      <c r="J223" s="1525">
        <f>'SegP&amp;L'!$AE$71/100</f>
        <v>0.12</v>
      </c>
      <c r="K223" s="1525">
        <f>'SegP&amp;L'!$AE$78/100</f>
        <v>0.12</v>
      </c>
      <c r="L223" s="1525">
        <f>'SegP&amp;L'!$AE$85/100</f>
        <v>0.08</v>
      </c>
      <c r="M223" s="1525">
        <f>'SegP&amp;L'!$AE$92/100</f>
        <v>0.05</v>
      </c>
      <c r="N223" s="1525">
        <f>'SegP&amp;L'!$AE$99/100</f>
        <v>0.05</v>
      </c>
      <c r="O223" s="1525">
        <f>'SegP&amp;L'!$AE$106/100</f>
        <v>0.06</v>
      </c>
      <c r="P223" s="1525">
        <f>'SegP&amp;L'!$AE$113/100</f>
        <v>3.2387762439600662E-2</v>
      </c>
      <c r="Q223" s="1525">
        <f>+SegqtrSales!F438/100</f>
        <v>6.9177175641150692E-3</v>
      </c>
      <c r="R223" s="1484">
        <f>SegqtrSales!$F$445/100</f>
        <v>0.09</v>
      </c>
      <c r="S223" s="1484">
        <f>SegqtrSales!$F$452/100</f>
        <v>0.06</v>
      </c>
      <c r="T223" s="1484">
        <f>SegqtrSales!F459*0.01</f>
        <v>0.04</v>
      </c>
      <c r="U223" s="1484">
        <f>SegqtrSales!$F$466*0.01</f>
        <v>0.05</v>
      </c>
      <c r="V223" s="1484">
        <f>SegqtrSales!$F$473*0.01</f>
        <v>-0.03</v>
      </c>
      <c r="W223" s="1484">
        <f>SegqtrSales!$F$480*0.01</f>
        <v>0.02</v>
      </c>
      <c r="X223" s="1484">
        <f>SegqtrSales!$F$487*0.01</f>
        <v>0.1</v>
      </c>
      <c r="Y223" s="1484">
        <f>'SegP&amp;L'!$AE$176*0.01</f>
        <v>0.06</v>
      </c>
      <c r="Z223" s="1484">
        <f>'SegP&amp;L'!$AE$183*0.01</f>
        <v>0.03</v>
      </c>
      <c r="AA223" s="1484">
        <f>'SegP&amp;L'!$AE$190*0.01</f>
        <v>0.04</v>
      </c>
      <c r="AB223" s="1484">
        <f>'SegP&amp;L'!$AE$197*0.01</f>
        <v>0.02</v>
      </c>
      <c r="AC223" s="1484">
        <f>'SegP&amp;L'!$AE$204/100</f>
        <v>0.02</v>
      </c>
      <c r="AD223" s="1484">
        <f>'SegP&amp;L'!$AE$211/100</f>
        <v>2.1336431338185493E-2</v>
      </c>
      <c r="AE223" s="1489">
        <v>0.03</v>
      </c>
      <c r="AF223" s="1489">
        <v>0.03</v>
      </c>
      <c r="AG223" s="1489">
        <v>0.03</v>
      </c>
      <c r="AH223" s="1489">
        <v>0.03</v>
      </c>
      <c r="AI223" s="1490"/>
      <c r="AJ223" s="1491"/>
      <c r="AK223" s="1423"/>
      <c r="AL223" s="1423"/>
      <c r="AM223" s="1423"/>
      <c r="AN223" s="1423"/>
      <c r="AO223" s="1423"/>
      <c r="AP223" s="1449"/>
      <c r="AQ223" s="1423"/>
      <c r="AR223" s="1423"/>
      <c r="AS223" s="1421"/>
      <c r="AT223" s="1421"/>
      <c r="AU223" s="1421"/>
      <c r="AV223" s="1421"/>
      <c r="AW223" s="1421"/>
      <c r="AX223" s="1421"/>
      <c r="AY223" s="1421"/>
    </row>
    <row r="224" spans="1:51">
      <c r="A224" s="1450" t="s">
        <v>365</v>
      </c>
      <c r="B224" s="1484"/>
      <c r="C224" s="1484"/>
      <c r="D224" s="1484"/>
      <c r="E224" s="1484"/>
      <c r="F224" s="1484"/>
      <c r="G224" s="1484"/>
      <c r="H224" s="1513" t="s">
        <v>642</v>
      </c>
      <c r="I224" s="1513" t="s">
        <v>642</v>
      </c>
      <c r="J224" s="1525">
        <f t="shared" ref="J224:Y224" si="235">+J195-J223</f>
        <v>0.35079470198675489</v>
      </c>
      <c r="K224" s="1525">
        <f t="shared" si="235"/>
        <v>0.2247656355531541</v>
      </c>
      <c r="L224" s="1525">
        <f t="shared" si="235"/>
        <v>0.22269638617955595</v>
      </c>
      <c r="M224" s="1525">
        <f t="shared" si="235"/>
        <v>0.2879075828531184</v>
      </c>
      <c r="N224" s="1525">
        <f t="shared" si="235"/>
        <v>0.33347911451619422</v>
      </c>
      <c r="O224" s="1525">
        <f t="shared" si="235"/>
        <v>0.31776768716126408</v>
      </c>
      <c r="P224" s="1525">
        <f t="shared" si="235"/>
        <v>0.28232710481828521</v>
      </c>
      <c r="Q224" s="1525">
        <f t="shared" si="235"/>
        <v>0.15611968613999472</v>
      </c>
      <c r="R224" s="1525">
        <f t="shared" si="235"/>
        <v>0.13897787644451717</v>
      </c>
      <c r="S224" s="1525">
        <f t="shared" si="235"/>
        <v>0.12863803846818073</v>
      </c>
      <c r="T224" s="1525">
        <f t="shared" si="235"/>
        <v>-2.8340948408505061E-2</v>
      </c>
      <c r="U224" s="1525">
        <f t="shared" si="235"/>
        <v>-3.5106533865998782E-2</v>
      </c>
      <c r="V224" s="1525">
        <f t="shared" si="235"/>
        <v>0.12581098060207038</v>
      </c>
      <c r="W224" s="1525">
        <f t="shared" si="235"/>
        <v>0.1392917798626965</v>
      </c>
      <c r="X224" s="1525">
        <f t="shared" si="235"/>
        <v>3.6028574888001236E-2</v>
      </c>
      <c r="Y224" s="1525">
        <f t="shared" si="235"/>
        <v>4.2838396631282472E-2</v>
      </c>
      <c r="Z224" s="1525">
        <f>+Z195-Z223</f>
        <v>0.10010883683531538</v>
      </c>
      <c r="AA224" s="1525">
        <f>+AA195-AA223</f>
        <v>-7.2331621206784477E-3</v>
      </c>
      <c r="AB224" s="1525">
        <f>+AB195-AB223</f>
        <v>1.1962871844032347E-2</v>
      </c>
      <c r="AC224" s="1525">
        <f>+AC195-AC223</f>
        <v>9.3474489543271103E-2</v>
      </c>
      <c r="AD224" s="1525">
        <f>+AD195-AD223</f>
        <v>9.2686343247259023E-2</v>
      </c>
      <c r="AE224" s="1525">
        <f>AE212*AE228</f>
        <v>4.1176470588235453E-2</v>
      </c>
      <c r="AF224" s="1525">
        <f>AF212*AF228</f>
        <v>4.7863247863247846E-2</v>
      </c>
      <c r="AG224" s="1525">
        <f>AG212*AG228</f>
        <v>4.4799999999999882E-2</v>
      </c>
      <c r="AH224" s="1525">
        <f>AH212*AH228</f>
        <v>2.1052631578947364E-2</v>
      </c>
      <c r="AI224" s="1490"/>
      <c r="AJ224" s="1491"/>
      <c r="AK224" s="1423"/>
      <c r="AL224" s="1423"/>
      <c r="AM224" s="1423"/>
      <c r="AN224" s="1423"/>
      <c r="AO224" s="1423"/>
      <c r="AP224" s="1449"/>
      <c r="AQ224" s="1423"/>
      <c r="AR224" s="1423"/>
      <c r="AS224" s="1421"/>
      <c r="AT224" s="1421"/>
      <c r="AU224" s="1421"/>
      <c r="AV224" s="1421"/>
      <c r="AW224" s="1421"/>
      <c r="AX224" s="1421"/>
      <c r="AY224" s="1421"/>
    </row>
    <row r="225" spans="1:51">
      <c r="A225" s="1421"/>
      <c r="B225" s="1421"/>
      <c r="C225" s="1421"/>
      <c r="D225" s="1421"/>
      <c r="E225" s="1421"/>
      <c r="F225" s="1421"/>
      <c r="G225" s="1421"/>
      <c r="H225" s="1421"/>
      <c r="I225" s="1421"/>
      <c r="J225" s="1421"/>
      <c r="K225" s="1421"/>
      <c r="L225" s="1421"/>
      <c r="M225" s="1421"/>
      <c r="N225" s="1421"/>
      <c r="O225" s="1421"/>
      <c r="P225" s="1421"/>
      <c r="Q225" s="1421"/>
      <c r="R225" s="1421"/>
      <c r="S225" s="1421"/>
      <c r="T225" s="1421"/>
      <c r="U225" s="1421"/>
      <c r="V225" s="1421"/>
      <c r="W225" s="1421"/>
      <c r="X225" s="1421"/>
      <c r="Y225" s="1421"/>
      <c r="Z225" s="1421"/>
      <c r="AA225" s="1421"/>
      <c r="AB225" s="1421"/>
      <c r="AC225" s="1421"/>
      <c r="AD225" s="1421"/>
      <c r="AE225" s="1421"/>
      <c r="AF225" s="1421"/>
      <c r="AG225" s="1421"/>
      <c r="AH225" s="1421"/>
      <c r="AI225" s="1423"/>
      <c r="AJ225" s="1448"/>
      <c r="AK225" s="1423"/>
      <c r="AL225" s="1423"/>
      <c r="AM225" s="1423"/>
      <c r="AN225" s="1423"/>
      <c r="AO225" s="1423"/>
      <c r="AP225" s="1449"/>
      <c r="AQ225" s="1423"/>
      <c r="AR225" s="1423"/>
      <c r="AS225" s="1421"/>
      <c r="AT225" s="1421"/>
      <c r="AU225" s="1421"/>
      <c r="AV225" s="1421"/>
      <c r="AW225" s="1421"/>
      <c r="AX225" s="1421"/>
      <c r="AY225" s="1421"/>
    </row>
    <row r="226" spans="1:51">
      <c r="A226" s="1450" t="s">
        <v>432</v>
      </c>
      <c r="B226" s="1482"/>
      <c r="C226" s="1482"/>
      <c r="D226" s="1482"/>
      <c r="E226" s="1482"/>
      <c r="F226" s="1482">
        <f t="shared" ref="F226:K226" si="236">+(F214-E214)*1000000/(F204-F200)</f>
        <v>26000</v>
      </c>
      <c r="G226" s="1482">
        <f t="shared" si="236"/>
        <v>28749.999999999996</v>
      </c>
      <c r="H226" s="1482">
        <f t="shared" si="236"/>
        <v>27666.666666666668</v>
      </c>
      <c r="I226" s="1482">
        <f t="shared" si="236"/>
        <v>23384.61538461539</v>
      </c>
      <c r="J226" s="1482">
        <f t="shared" si="236"/>
        <v>23999.999999999993</v>
      </c>
      <c r="K226" s="1482">
        <f t="shared" si="236"/>
        <v>24000.000000000007</v>
      </c>
      <c r="L226" s="1482">
        <f t="shared" ref="L226:AH226" si="237">+(L214-K214)*1000000/(L204-L200)</f>
        <v>28350</v>
      </c>
      <c r="M226" s="1482">
        <f t="shared" si="237"/>
        <v>27925.925925925916</v>
      </c>
      <c r="N226" s="1482">
        <f t="shared" si="237"/>
        <v>26272.72727272729</v>
      </c>
      <c r="O226" s="1482">
        <f t="shared" si="237"/>
        <v>29583.333333333332</v>
      </c>
      <c r="P226" s="1482">
        <f t="shared" si="237"/>
        <v>38388.49452824609</v>
      </c>
      <c r="Q226" s="1482">
        <f t="shared" si="237"/>
        <v>38113.504661123719</v>
      </c>
      <c r="R226" s="1482">
        <f t="shared" si="237"/>
        <v>48384.615384615347</v>
      </c>
      <c r="S226" s="1482">
        <f t="shared" si="237"/>
        <v>36562.5</v>
      </c>
      <c r="T226" s="1482">
        <f t="shared" si="237"/>
        <v>25937.500000000004</v>
      </c>
      <c r="U226" s="1482">
        <f t="shared" si="237"/>
        <v>28571.428571428572</v>
      </c>
      <c r="V226" s="1482">
        <f t="shared" si="237"/>
        <v>24074.074074074088</v>
      </c>
      <c r="W226" s="1482">
        <f t="shared" si="237"/>
        <v>27999.999999999971</v>
      </c>
      <c r="X226" s="1482">
        <f t="shared" si="237"/>
        <v>27272.727272727338</v>
      </c>
      <c r="Y226" s="1482">
        <f t="shared" si="237"/>
        <v>27551.020408163262</v>
      </c>
      <c r="Z226" s="1482">
        <f t="shared" si="237"/>
        <v>22399.20358387255</v>
      </c>
      <c r="AA226" s="1482">
        <f t="shared" si="237"/>
        <v>21818.181818181838</v>
      </c>
      <c r="AB226" s="1482">
        <f t="shared" si="237"/>
        <v>23076.923076923063</v>
      </c>
      <c r="AC226" s="1482">
        <f t="shared" si="237"/>
        <v>27960.526315789455</v>
      </c>
      <c r="AD226" s="1482">
        <f t="shared" si="237"/>
        <v>25219.298245614042</v>
      </c>
      <c r="AE226" s="1482">
        <f t="shared" si="237"/>
        <v>24210.526315789521</v>
      </c>
      <c r="AF226" s="1482">
        <f t="shared" si="237"/>
        <v>24210.526315789451</v>
      </c>
      <c r="AG226" s="1482">
        <f t="shared" si="237"/>
        <v>24210.526315789451</v>
      </c>
      <c r="AH226" s="1482">
        <f t="shared" si="237"/>
        <v>0</v>
      </c>
      <c r="AI226" s="1478"/>
      <c r="AJ226" s="1479"/>
      <c r="AK226" s="1478"/>
      <c r="AL226" s="1478"/>
      <c r="AM226" s="1423"/>
      <c r="AN226" s="1478"/>
      <c r="AO226" s="1423"/>
      <c r="AP226" s="1449"/>
      <c r="AQ226" s="1423"/>
      <c r="AR226" s="1423"/>
      <c r="AS226" s="1421"/>
      <c r="AT226" s="1421"/>
      <c r="AU226" s="1421"/>
      <c r="AV226" s="1421"/>
      <c r="AW226" s="1421"/>
      <c r="AX226" s="1421"/>
      <c r="AY226" s="1421"/>
    </row>
    <row r="227" spans="1:51">
      <c r="A227" s="1421"/>
      <c r="B227" s="1421"/>
      <c r="C227" s="1421"/>
      <c r="D227" s="1421"/>
      <c r="E227" s="1421"/>
      <c r="F227" s="1421"/>
      <c r="G227" s="1421"/>
      <c r="H227" s="1421"/>
      <c r="I227" s="1421"/>
      <c r="J227" s="1421"/>
      <c r="K227" s="1421"/>
      <c r="L227" s="1526"/>
      <c r="M227" s="1421"/>
      <c r="N227" s="1421"/>
      <c r="O227" s="1421"/>
      <c r="P227" s="1421"/>
      <c r="Q227" s="1421"/>
      <c r="R227" s="1421"/>
      <c r="S227" s="1421"/>
      <c r="T227" s="1421"/>
      <c r="U227" s="1421"/>
      <c r="V227" s="1421"/>
      <c r="W227" s="1421"/>
      <c r="X227" s="1421"/>
      <c r="Y227" s="1421"/>
      <c r="Z227" s="1421"/>
      <c r="AA227" s="1421"/>
      <c r="AB227" s="1421"/>
      <c r="AC227" s="1421"/>
      <c r="AD227" s="1421"/>
      <c r="AE227" s="1421"/>
      <c r="AF227" s="1421"/>
      <c r="AG227" s="1421"/>
      <c r="AH227" s="1421"/>
      <c r="AI227" s="1423"/>
      <c r="AJ227" s="1448"/>
      <c r="AK227" s="1423"/>
      <c r="AL227" s="1423"/>
      <c r="AM227" s="1423"/>
      <c r="AN227" s="1423"/>
      <c r="AO227" s="1423"/>
      <c r="AP227" s="1449"/>
      <c r="AQ227" s="1423"/>
      <c r="AR227" s="1423"/>
      <c r="AS227" s="1421"/>
      <c r="AT227" s="1421"/>
      <c r="AU227" s="1421"/>
      <c r="AV227" s="1421"/>
      <c r="AW227" s="1421"/>
      <c r="AX227" s="1421"/>
      <c r="AY227" s="1421"/>
    </row>
    <row r="228" spans="1:51">
      <c r="A228" s="1450" t="s">
        <v>507</v>
      </c>
      <c r="B228" s="1445"/>
      <c r="C228" s="1445"/>
      <c r="D228" s="1445"/>
      <c r="E228" s="1445"/>
      <c r="F228" s="1445"/>
      <c r="G228" s="1445"/>
      <c r="H228" s="1445"/>
      <c r="I228" s="1513" t="s">
        <v>642</v>
      </c>
      <c r="J228" s="1481">
        <f t="shared" ref="J228:X228" si="238">J224/J212</f>
        <v>0.91376361888485347</v>
      </c>
      <c r="K228" s="1481">
        <f t="shared" si="238"/>
        <v>0.72804521081347739</v>
      </c>
      <c r="L228" s="1481">
        <f t="shared" si="238"/>
        <v>0.56214621754062644</v>
      </c>
      <c r="M228" s="1481">
        <f t="shared" si="238"/>
        <v>0.71203184949367015</v>
      </c>
      <c r="N228" s="1481">
        <f t="shared" si="238"/>
        <v>1.1486502833335579</v>
      </c>
      <c r="O228" s="1481">
        <f t="shared" si="238"/>
        <v>1.4605471335362441</v>
      </c>
      <c r="P228" s="1481">
        <f t="shared" si="238"/>
        <v>1.2775243770429356</v>
      </c>
      <c r="Q228" s="1481">
        <f t="shared" si="238"/>
        <v>0.718618864200116</v>
      </c>
      <c r="R228" s="1481">
        <f t="shared" si="238"/>
        <v>0.89795113264846615</v>
      </c>
      <c r="S228" s="1481">
        <f t="shared" si="238"/>
        <v>1.3108576391185021</v>
      </c>
      <c r="T228" s="1481">
        <f t="shared" si="238"/>
        <v>-0.38501178412954123</v>
      </c>
      <c r="U228" s="1481">
        <f t="shared" si="238"/>
        <v>-0.3618578066682635</v>
      </c>
      <c r="V228" s="1481">
        <f t="shared" si="238"/>
        <v>0.87520682157961982</v>
      </c>
      <c r="W228" s="1481">
        <f t="shared" si="238"/>
        <v>1.2745197857436741</v>
      </c>
      <c r="X228" s="1481">
        <f t="shared" si="238"/>
        <v>0.73138007022642593</v>
      </c>
      <c r="Y228" s="1481">
        <f t="shared" ref="Y228:AD228" si="239">Y224/Y212</f>
        <v>0.77220094238461989</v>
      </c>
      <c r="Z228" s="1481">
        <f t="shared" si="239"/>
        <v>1.2503389416982258</v>
      </c>
      <c r="AA228" s="1481">
        <f t="shared" si="239"/>
        <v>-8.2909598180955876E-2</v>
      </c>
      <c r="AB228" s="1481">
        <f t="shared" si="239"/>
        <v>0.13159159028435563</v>
      </c>
      <c r="AC228" s="1481">
        <f t="shared" si="239"/>
        <v>1.058990490229359</v>
      </c>
      <c r="AD228" s="2075">
        <f t="shared" si="239"/>
        <v>1.384193539905775</v>
      </c>
      <c r="AE228" s="1527">
        <v>0.7</v>
      </c>
      <c r="AF228" s="1527">
        <v>0.7</v>
      </c>
      <c r="AG228" s="1527">
        <v>0.7</v>
      </c>
      <c r="AH228" s="1527">
        <v>0.7</v>
      </c>
      <c r="AI228" s="1423"/>
      <c r="AJ228" s="1493"/>
      <c r="AK228" s="1425"/>
      <c r="AL228" s="1425"/>
      <c r="AM228" s="1425"/>
      <c r="AN228" s="1425"/>
      <c r="AO228" s="1425"/>
      <c r="AP228" s="1494"/>
      <c r="AQ228" s="1423"/>
      <c r="AR228" s="1423"/>
      <c r="AS228" s="1421"/>
      <c r="AT228" s="1421"/>
      <c r="AU228" s="1421"/>
      <c r="AV228" s="1421"/>
      <c r="AW228" s="1421"/>
      <c r="AX228" s="1421"/>
      <c r="AY228" s="1421"/>
    </row>
    <row r="229" spans="1:51">
      <c r="A229" s="467"/>
      <c r="B229" s="467"/>
      <c r="C229" s="467"/>
      <c r="D229" s="467"/>
      <c r="E229" s="467"/>
      <c r="F229" s="467"/>
      <c r="G229" s="467"/>
      <c r="H229" s="467"/>
      <c r="I229" s="467"/>
      <c r="J229" s="467"/>
      <c r="K229" s="467"/>
      <c r="L229" s="467"/>
      <c r="M229" s="467"/>
      <c r="N229" s="467"/>
      <c r="O229" s="467"/>
      <c r="P229" s="467"/>
      <c r="Q229" s="467"/>
      <c r="R229" s="467"/>
      <c r="S229" s="467"/>
      <c r="T229" s="467"/>
      <c r="U229" s="467"/>
      <c r="V229" s="467"/>
      <c r="W229" s="467"/>
      <c r="X229" s="467"/>
      <c r="Y229" s="467"/>
      <c r="Z229" s="467"/>
      <c r="AA229" s="467"/>
      <c r="AB229" s="467"/>
      <c r="AC229" s="467"/>
      <c r="AD229" s="467"/>
      <c r="AE229" s="467"/>
      <c r="AF229" s="467"/>
      <c r="AG229" s="467"/>
      <c r="AH229" s="467"/>
      <c r="AI229" s="1499"/>
      <c r="AJ229" s="467"/>
      <c r="AK229" s="467"/>
      <c r="AL229" s="467"/>
      <c r="AM229" s="1499"/>
      <c r="AN229" s="467"/>
      <c r="AO229" s="1499"/>
      <c r="AP229" s="1499"/>
      <c r="AQ229" s="1499"/>
      <c r="AR229" s="1499"/>
      <c r="AS229" s="467"/>
      <c r="AT229" s="467"/>
      <c r="AU229" s="467"/>
      <c r="AV229" s="467"/>
      <c r="AW229" s="467"/>
      <c r="AX229" s="467"/>
      <c r="AY229" s="467"/>
    </row>
    <row r="230" spans="1:51">
      <c r="A230" s="467"/>
      <c r="B230" s="467"/>
      <c r="C230" s="467"/>
      <c r="D230" s="467"/>
      <c r="E230" s="467"/>
      <c r="F230" s="467"/>
      <c r="G230" s="467"/>
      <c r="H230" s="467"/>
      <c r="I230" s="467"/>
      <c r="J230" s="467"/>
      <c r="K230" s="467"/>
      <c r="L230" s="467"/>
      <c r="M230" s="467"/>
      <c r="N230" s="467"/>
      <c r="O230" s="467"/>
      <c r="P230" s="467"/>
      <c r="Q230" s="467"/>
      <c r="R230" s="467"/>
      <c r="S230" s="467"/>
      <c r="T230" s="467"/>
      <c r="U230" s="467"/>
      <c r="V230" s="467"/>
      <c r="W230" s="467"/>
      <c r="X230" s="467"/>
      <c r="Y230" s="467"/>
      <c r="Z230" s="467"/>
      <c r="AA230" s="467"/>
      <c r="AB230" s="467"/>
      <c r="AC230" s="1422"/>
      <c r="AD230" s="467"/>
      <c r="AE230" s="467"/>
      <c r="AF230" s="467"/>
      <c r="AG230" s="467"/>
      <c r="AH230" s="467"/>
      <c r="AI230" s="1499"/>
      <c r="AJ230" s="467"/>
      <c r="AK230" s="467"/>
      <c r="AL230" s="467"/>
      <c r="AM230" s="1499"/>
      <c r="AN230" s="467"/>
      <c r="AO230" s="1499"/>
      <c r="AP230" s="1499"/>
      <c r="AQ230" s="1499"/>
      <c r="AR230" s="1499"/>
      <c r="AS230" s="467"/>
      <c r="AT230" s="467"/>
      <c r="AU230" s="467"/>
      <c r="AV230" s="467"/>
      <c r="AW230" s="467"/>
      <c r="AX230" s="467"/>
      <c r="AY230" s="467"/>
    </row>
    <row r="231" spans="1:51">
      <c r="A231" s="1503" t="s">
        <v>381</v>
      </c>
      <c r="B231" s="1421"/>
      <c r="C231" s="1421"/>
      <c r="D231" s="1421"/>
      <c r="E231" s="1421"/>
      <c r="F231" s="1421"/>
      <c r="G231" s="1421"/>
      <c r="H231" s="1421"/>
      <c r="I231" s="1421"/>
      <c r="J231" s="1421"/>
      <c r="K231" s="1421"/>
      <c r="L231" s="1421"/>
      <c r="M231" s="1421"/>
      <c r="N231" s="1421"/>
      <c r="O231" s="1421"/>
      <c r="P231" s="467"/>
      <c r="Q231" s="467"/>
      <c r="R231" s="467"/>
      <c r="S231" s="467"/>
      <c r="T231" s="467"/>
      <c r="U231" s="467"/>
      <c r="V231" s="467"/>
      <c r="W231" s="467"/>
      <c r="X231" s="467"/>
      <c r="Y231" s="467"/>
      <c r="Z231" s="467"/>
      <c r="AA231" s="467"/>
      <c r="AB231" s="467"/>
      <c r="AC231" s="467"/>
      <c r="AD231" s="467"/>
      <c r="AE231" s="467"/>
      <c r="AF231" s="467"/>
      <c r="AG231" s="467"/>
      <c r="AH231" s="467"/>
      <c r="AI231" s="1423"/>
      <c r="AJ231" s="1421"/>
      <c r="AK231" s="1421"/>
      <c r="AL231" s="1421"/>
      <c r="AM231" s="1423"/>
      <c r="AN231" s="1421"/>
      <c r="AO231" s="1423"/>
      <c r="AP231" s="1423"/>
      <c r="AQ231" s="1423"/>
      <c r="AR231" s="1423"/>
      <c r="AS231" s="1421"/>
      <c r="AT231" s="1421"/>
      <c r="AU231" s="1421"/>
      <c r="AV231" s="1421"/>
      <c r="AW231" s="1421"/>
      <c r="AX231" s="1421"/>
      <c r="AY231" s="1421"/>
    </row>
    <row r="232" spans="1:51">
      <c r="A232" s="1504" t="str">
        <f>+A190</f>
        <v>Annual Sales Model, Fiscal 2002A-2022E</v>
      </c>
      <c r="B232" s="1425"/>
      <c r="C232" s="1425"/>
      <c r="D232" s="1425"/>
      <c r="E232" s="1425"/>
      <c r="F232" s="1425"/>
      <c r="G232" s="1425"/>
      <c r="H232" s="1425"/>
      <c r="I232" s="1425"/>
      <c r="J232" s="1425"/>
      <c r="K232" s="1425"/>
      <c r="L232" s="1425"/>
      <c r="M232" s="1425"/>
      <c r="N232" s="1425"/>
      <c r="O232" s="1425"/>
      <c r="P232" s="1425"/>
      <c r="Q232" s="1425"/>
      <c r="R232" s="1425"/>
      <c r="S232" s="1425"/>
      <c r="T232" s="1425"/>
      <c r="U232" s="1425"/>
      <c r="V232" s="1425"/>
      <c r="W232" s="1425"/>
      <c r="X232" s="1425"/>
      <c r="Y232" s="1425"/>
      <c r="Z232" s="1425"/>
      <c r="AA232" s="1425"/>
      <c r="AB232" s="1425"/>
      <c r="AC232" s="1425"/>
      <c r="AD232" s="1425"/>
      <c r="AE232" s="1425"/>
      <c r="AF232" s="1425"/>
      <c r="AG232" s="1425"/>
      <c r="AH232" s="1425"/>
      <c r="AI232" s="1423"/>
      <c r="AJ232" s="1425"/>
      <c r="AK232" s="1425"/>
      <c r="AL232" s="1425"/>
      <c r="AM232" s="1425"/>
      <c r="AN232" s="1425"/>
      <c r="AO232" s="1425"/>
      <c r="AP232" s="1425"/>
      <c r="AQ232" s="1423"/>
      <c r="AR232" s="1423"/>
      <c r="AS232" s="1421"/>
      <c r="AT232" s="1421"/>
      <c r="AU232" s="1421"/>
      <c r="AV232" s="1421"/>
      <c r="AW232" s="1421"/>
      <c r="AX232" s="1421"/>
      <c r="AY232" s="1421"/>
    </row>
    <row r="233" spans="1:51">
      <c r="A233" s="1427"/>
      <c r="B233" s="1421"/>
      <c r="C233" s="1421"/>
      <c r="D233" s="1421"/>
      <c r="E233" s="1421"/>
      <c r="F233" s="1421"/>
      <c r="G233" s="1421"/>
      <c r="H233" s="1421"/>
      <c r="I233" s="1421"/>
      <c r="J233" s="1421"/>
      <c r="K233" s="1421"/>
      <c r="L233" s="1421"/>
      <c r="M233" s="1421"/>
      <c r="N233" s="1421"/>
      <c r="O233" s="1421"/>
      <c r="P233" s="1421"/>
      <c r="Q233" s="1421"/>
      <c r="R233" s="1421"/>
      <c r="S233" s="1421"/>
      <c r="T233" s="1421"/>
      <c r="U233" s="1421"/>
      <c r="V233" s="1421"/>
      <c r="W233" s="1421"/>
      <c r="X233" s="1421"/>
      <c r="Y233" s="1421"/>
      <c r="Z233" s="1421"/>
      <c r="AA233" s="1421"/>
      <c r="AB233" s="1421"/>
      <c r="AC233" s="1421"/>
      <c r="AD233" s="1421"/>
      <c r="AE233" s="1421"/>
      <c r="AF233" s="1421"/>
      <c r="AG233" s="1421"/>
      <c r="AH233" s="1421"/>
      <c r="AI233" s="1423"/>
      <c r="AJ233" s="1505"/>
      <c r="AK233" s="1506"/>
      <c r="AL233" s="1441" t="s">
        <v>188</v>
      </c>
      <c r="AM233" s="1423"/>
      <c r="AN233" s="1441" t="s">
        <v>188</v>
      </c>
      <c r="AO233" s="1423"/>
      <c r="AP233" s="1449"/>
      <c r="AQ233" s="1423"/>
      <c r="AR233" s="1423"/>
      <c r="AS233" s="1421"/>
      <c r="AT233" s="1421"/>
      <c r="AU233" s="1421"/>
      <c r="AV233" s="1421"/>
      <c r="AW233" s="1421"/>
      <c r="AX233" s="1421"/>
      <c r="AY233" s="1421"/>
    </row>
    <row r="234" spans="1:51">
      <c r="A234" s="1434"/>
      <c r="B234" s="1435">
        <f t="shared" ref="B234:G234" si="240">+B5</f>
        <v>1990</v>
      </c>
      <c r="C234" s="1436">
        <f t="shared" si="240"/>
        <v>1991</v>
      </c>
      <c r="D234" s="1436">
        <f t="shared" si="240"/>
        <v>1992</v>
      </c>
      <c r="E234" s="1436">
        <f t="shared" si="240"/>
        <v>1993</v>
      </c>
      <c r="F234" s="1436">
        <f t="shared" si="240"/>
        <v>1994</v>
      </c>
      <c r="G234" s="1436">
        <f t="shared" si="240"/>
        <v>1995</v>
      </c>
      <c r="H234" s="1436">
        <f>+H5</f>
        <v>1996</v>
      </c>
      <c r="I234" s="1436">
        <f t="shared" ref="I234:Q234" si="241">+I5</f>
        <v>1997</v>
      </c>
      <c r="J234" s="1436">
        <f t="shared" si="241"/>
        <v>1998</v>
      </c>
      <c r="K234" s="1436">
        <f t="shared" si="241"/>
        <v>1999</v>
      </c>
      <c r="L234" s="1436">
        <f t="shared" si="241"/>
        <v>2000</v>
      </c>
      <c r="M234" s="1436">
        <f t="shared" si="241"/>
        <v>2001</v>
      </c>
      <c r="N234" s="1436">
        <f t="shared" si="241"/>
        <v>2002</v>
      </c>
      <c r="O234" s="1436">
        <f t="shared" si="241"/>
        <v>2003</v>
      </c>
      <c r="P234" s="1436">
        <f t="shared" si="241"/>
        <v>2004</v>
      </c>
      <c r="Q234" s="1437">
        <f t="shared" si="241"/>
        <v>2005</v>
      </c>
      <c r="R234" s="1437">
        <f t="shared" ref="R234:AH234" si="242">+R$5</f>
        <v>2006</v>
      </c>
      <c r="S234" s="1437">
        <f t="shared" si="242"/>
        <v>2007</v>
      </c>
      <c r="T234" s="1437">
        <f t="shared" si="242"/>
        <v>2008</v>
      </c>
      <c r="U234" s="1437">
        <f t="shared" si="242"/>
        <v>2009</v>
      </c>
      <c r="V234" s="1437">
        <f t="shared" si="242"/>
        <v>2010</v>
      </c>
      <c r="W234" s="1437">
        <f t="shared" si="242"/>
        <v>2011</v>
      </c>
      <c r="X234" s="1437">
        <f t="shared" si="242"/>
        <v>2012</v>
      </c>
      <c r="Y234" s="1437">
        <f t="shared" si="242"/>
        <v>2013</v>
      </c>
      <c r="Z234" s="1437">
        <f>Y234+1</f>
        <v>2014</v>
      </c>
      <c r="AA234" s="1437">
        <f>Z234+1</f>
        <v>2015</v>
      </c>
      <c r="AB234" s="1437">
        <f t="shared" si="242"/>
        <v>2016</v>
      </c>
      <c r="AC234" s="1437">
        <f t="shared" si="242"/>
        <v>2017</v>
      </c>
      <c r="AD234" s="1438">
        <f t="shared" si="242"/>
        <v>2018</v>
      </c>
      <c r="AE234" s="1438">
        <f t="shared" si="242"/>
        <v>2019</v>
      </c>
      <c r="AF234" s="1438">
        <f t="shared" si="242"/>
        <v>2020</v>
      </c>
      <c r="AG234" s="1438">
        <f t="shared" si="242"/>
        <v>2021</v>
      </c>
      <c r="AH234" s="1438">
        <f t="shared" si="242"/>
        <v>2022</v>
      </c>
      <c r="AI234" s="1439"/>
      <c r="AJ234" s="1440"/>
      <c r="AK234" s="2076" t="s">
        <v>855</v>
      </c>
      <c r="AL234" s="1423"/>
      <c r="AM234" s="1442" t="s">
        <v>853</v>
      </c>
      <c r="AN234" s="1423"/>
      <c r="AO234" s="1442" t="s">
        <v>854</v>
      </c>
      <c r="AP234" s="1443"/>
      <c r="AQ234" s="1429"/>
      <c r="AR234" s="1423"/>
      <c r="AS234" s="1421"/>
      <c r="AT234" s="1421"/>
      <c r="AU234" s="1421"/>
      <c r="AV234" s="1421"/>
      <c r="AW234" s="1421"/>
      <c r="AX234" s="1421"/>
      <c r="AY234" s="1421"/>
    </row>
    <row r="235" spans="1:51">
      <c r="A235" s="1434"/>
      <c r="B235" s="1434"/>
      <c r="C235" s="1434"/>
      <c r="D235" s="1434"/>
      <c r="E235" s="1434"/>
      <c r="F235" s="1434"/>
      <c r="G235" s="1434"/>
      <c r="H235" s="1434"/>
      <c r="I235" s="1421"/>
      <c r="J235" s="1421"/>
      <c r="K235" s="1421"/>
      <c r="L235" s="1421"/>
      <c r="M235" s="1421"/>
      <c r="N235" s="1421"/>
      <c r="O235" s="1421"/>
      <c r="P235" s="467"/>
      <c r="Q235" s="467"/>
      <c r="R235" s="467"/>
      <c r="S235" s="467"/>
      <c r="T235" s="467"/>
      <c r="U235" s="467"/>
      <c r="V235" s="467"/>
      <c r="W235" s="467"/>
      <c r="X235" s="467"/>
      <c r="Y235" s="467"/>
      <c r="Z235" s="467"/>
      <c r="AA235" s="467"/>
      <c r="AB235" s="467"/>
      <c r="AC235" s="467"/>
      <c r="AD235" s="467"/>
      <c r="AE235" s="467"/>
      <c r="AF235" s="467"/>
      <c r="AG235" s="467"/>
      <c r="AH235" s="467"/>
      <c r="AI235" s="1423"/>
      <c r="AJ235" s="1448"/>
      <c r="AK235" s="1423"/>
      <c r="AL235" s="1423"/>
      <c r="AM235" s="1423"/>
      <c r="AN235" s="1423"/>
      <c r="AO235" s="1423"/>
      <c r="AP235" s="1449"/>
      <c r="AQ235" s="1423"/>
      <c r="AR235" s="1423"/>
      <c r="AS235" s="1421"/>
      <c r="AT235" s="1421"/>
      <c r="AU235" s="1421"/>
      <c r="AV235" s="1421"/>
      <c r="AW235" s="1421"/>
      <c r="AX235" s="1421"/>
      <c r="AY235" s="1421"/>
    </row>
    <row r="236" spans="1:51">
      <c r="A236" s="1450" t="s">
        <v>413</v>
      </c>
      <c r="B236" s="1512"/>
      <c r="C236" s="1512"/>
      <c r="D236" s="1512"/>
      <c r="E236" s="1512"/>
      <c r="F236" s="1529"/>
      <c r="G236" s="1529">
        <f>'SegP&amp;L'!$AI$50</f>
        <v>78.405000000000001</v>
      </c>
      <c r="H236" s="1529">
        <f>'SegP&amp;L'!$AI$57</f>
        <v>87.01900000000002</v>
      </c>
      <c r="I236" s="1529">
        <f>'SegP&amp;L'!$AI$64</f>
        <v>98.11</v>
      </c>
      <c r="J236" s="1529">
        <f>'SegP&amp;L'!$AI$71</f>
        <v>132.53800000000001</v>
      </c>
      <c r="K236" s="1529">
        <f>'SegP&amp;L'!$AI$78</f>
        <v>206.81</v>
      </c>
      <c r="L236" s="1529">
        <f>'SegP&amp;L'!$AI$85</f>
        <v>315.01499999999999</v>
      </c>
      <c r="M236" s="1529">
        <f>'SegP&amp;L'!$AI$92</f>
        <v>507.21100000000001</v>
      </c>
      <c r="N236" s="1529">
        <f>'SegP&amp;L'!$AI$99</f>
        <v>705.072</v>
      </c>
      <c r="O236" s="1529">
        <f>'SegP&amp;L'!$AI$106</f>
        <v>876.53600000000006</v>
      </c>
      <c r="P236" s="1451">
        <f>'SegP&amp;L'!$AI$113</f>
        <v>1012.923</v>
      </c>
      <c r="Q236" s="1451">
        <f>'SegP&amp;L'!$AI$120</f>
        <v>1186.854</v>
      </c>
      <c r="R236" s="1451">
        <f>'SegP&amp;L'!$AI$127</f>
        <v>1365.1030000000001</v>
      </c>
      <c r="S236" s="1451">
        <f>'SegP&amp;L'!$AI$134</f>
        <v>1480.3820000000001</v>
      </c>
      <c r="T236" s="1451">
        <f>'SegP&amp;L'!$AI$141</f>
        <v>1578.2859999999998</v>
      </c>
      <c r="U236" s="1451">
        <f>'SegP&amp;L'!$AI$148</f>
        <v>1794.4089999999999</v>
      </c>
      <c r="V236" s="1451">
        <f>'SegP&amp;L'!$AI$155</f>
        <v>1958.0070000000001</v>
      </c>
      <c r="W236" s="1451">
        <f>'SegP&amp;L'!$AI$162</f>
        <v>2243.9859999999999</v>
      </c>
      <c r="X236" s="1451">
        <f>'SegP&amp;L'!$AI$169</f>
        <v>2657.1110000000003</v>
      </c>
      <c r="Y236" s="1451">
        <f>'SegP&amp;L'!$AI$176</f>
        <v>2993.7179999999998</v>
      </c>
      <c r="Z236" s="1451">
        <f>'SegP&amp;L'!$AI$183</f>
        <v>3414.268</v>
      </c>
      <c r="AA236" s="1451">
        <f>'SegP&amp;L'!$AI$190</f>
        <v>3915.221</v>
      </c>
      <c r="AB236" s="1451">
        <f>'SegP&amp;L'!$AI$197</f>
        <v>4404.607</v>
      </c>
      <c r="AC236" s="1451">
        <f>'SegP&amp;L'!$AI$204</f>
        <v>5116.3279999999995</v>
      </c>
      <c r="AD236" s="1451">
        <f>'SegP&amp;L'!$AI$211</f>
        <v>5720.0251464000003</v>
      </c>
      <c r="AE236" s="1451">
        <f>+AD236*(1+AE237)</f>
        <v>6505.8344262209712</v>
      </c>
      <c r="AF236" s="1451">
        <f>+AE236*(1+AF237)</f>
        <v>7110.7701051698377</v>
      </c>
      <c r="AG236" s="1451">
        <f>+AF236*(1+AG237)</f>
        <v>7757.2426460189117</v>
      </c>
      <c r="AH236" s="1451">
        <f>+AG236*(1+AH237)</f>
        <v>8296.5090549930155</v>
      </c>
      <c r="AI236" s="1423"/>
      <c r="AJ236" s="1448"/>
      <c r="AK236" s="1453">
        <f>((X236/S236)^(1/5)-1)*100</f>
        <v>12.410577841417147</v>
      </c>
      <c r="AL236" s="1454" t="s">
        <v>190</v>
      </c>
      <c r="AM236" s="1453">
        <f>((AC236/X236)^(1/5)-1)*100</f>
        <v>14.001282276310235</v>
      </c>
      <c r="AN236" s="1454" t="s">
        <v>190</v>
      </c>
      <c r="AO236" s="1455">
        <f>((AH236/AC236)^(1/5)-1)*100</f>
        <v>10.150735804295152</v>
      </c>
      <c r="AP236" s="1449" t="s">
        <v>190</v>
      </c>
      <c r="AQ236" s="1454"/>
      <c r="AR236" s="1423"/>
      <c r="AS236" s="1421"/>
      <c r="AT236" s="1421"/>
      <c r="AU236" s="1421"/>
      <c r="AV236" s="1421"/>
      <c r="AW236" s="1421"/>
      <c r="AX236" s="1421"/>
      <c r="AY236" s="1421"/>
    </row>
    <row r="237" spans="1:51">
      <c r="A237" s="1450" t="s">
        <v>191</v>
      </c>
      <c r="B237" s="1445"/>
      <c r="C237" s="1445"/>
      <c r="D237" s="1445"/>
      <c r="E237" s="1445"/>
      <c r="F237" s="1445"/>
      <c r="G237" s="1445"/>
      <c r="H237" s="1445">
        <f t="shared" ref="H237:AD237" si="243">H236/G236-1</f>
        <v>0.10986544225495853</v>
      </c>
      <c r="I237" s="1445">
        <f t="shared" si="243"/>
        <v>0.12745492363736632</v>
      </c>
      <c r="J237" s="1445">
        <f t="shared" si="243"/>
        <v>0.35091224136173693</v>
      </c>
      <c r="K237" s="1445">
        <f t="shared" si="243"/>
        <v>0.56038268270231928</v>
      </c>
      <c r="L237" s="1445">
        <f t="shared" si="243"/>
        <v>0.52320970939509692</v>
      </c>
      <c r="M237" s="1445">
        <f t="shared" si="243"/>
        <v>0.61011697855657676</v>
      </c>
      <c r="N237" s="1445">
        <f t="shared" si="243"/>
        <v>0.39009603498346834</v>
      </c>
      <c r="O237" s="1445">
        <f t="shared" si="243"/>
        <v>0.24318651144847636</v>
      </c>
      <c r="P237" s="1445">
        <f t="shared" si="243"/>
        <v>0.15559771646572407</v>
      </c>
      <c r="Q237" s="1445">
        <f t="shared" si="243"/>
        <v>0.17171196626002172</v>
      </c>
      <c r="R237" s="1445">
        <f t="shared" si="243"/>
        <v>0.15018612230316442</v>
      </c>
      <c r="S237" s="1445">
        <f t="shared" si="243"/>
        <v>8.4447107654147757E-2</v>
      </c>
      <c r="T237" s="1445">
        <f t="shared" si="243"/>
        <v>6.6134281557057362E-2</v>
      </c>
      <c r="U237" s="1445">
        <f t="shared" si="243"/>
        <v>0.13693525761490632</v>
      </c>
      <c r="V237" s="1445">
        <f t="shared" si="243"/>
        <v>9.1170964924941922E-2</v>
      </c>
      <c r="W237" s="1445">
        <f t="shared" si="243"/>
        <v>0.14605616833851953</v>
      </c>
      <c r="X237" s="1445">
        <f t="shared" si="243"/>
        <v>0.18410319850480361</v>
      </c>
      <c r="Y237" s="1445">
        <f t="shared" si="243"/>
        <v>0.12668157258014423</v>
      </c>
      <c r="Z237" s="1445">
        <f t="shared" si="243"/>
        <v>0.14047749320410285</v>
      </c>
      <c r="AA237" s="1445">
        <f t="shared" si="243"/>
        <v>0.14672339722599403</v>
      </c>
      <c r="AB237" s="1445">
        <f t="shared" si="243"/>
        <v>0.12499575375183158</v>
      </c>
      <c r="AC237" s="1445">
        <f t="shared" si="243"/>
        <v>0.1615855852746908</v>
      </c>
      <c r="AD237" s="1445">
        <f t="shared" si="243"/>
        <v>0.11799422288797756</v>
      </c>
      <c r="AE237" s="1445">
        <f>+AE265+AE266</f>
        <v>0.13737864077669898</v>
      </c>
      <c r="AF237" s="1445">
        <f>+AF265+AF266</f>
        <v>9.2983565107459087E-2</v>
      </c>
      <c r="AG237" s="1445">
        <f>+AG265+AG266</f>
        <v>9.0914560770156333E-2</v>
      </c>
      <c r="AH237" s="1445">
        <f>+AH265+AH266</f>
        <v>6.9517795637198621E-2</v>
      </c>
      <c r="AI237" s="1423"/>
      <c r="AJ237" s="1448"/>
      <c r="AK237" s="1423"/>
      <c r="AL237" s="1423"/>
      <c r="AM237" s="1423"/>
      <c r="AN237" s="1423"/>
      <c r="AO237" s="1423"/>
      <c r="AP237" s="1449"/>
      <c r="AQ237" s="1423"/>
      <c r="AR237" s="1423"/>
      <c r="AS237" s="1421"/>
      <c r="AT237" s="1421"/>
      <c r="AU237" s="1421"/>
      <c r="AV237" s="1421"/>
      <c r="AW237" s="1421"/>
      <c r="AX237" s="1421"/>
      <c r="AY237" s="1421"/>
    </row>
    <row r="238" spans="1:51">
      <c r="A238" s="1421"/>
      <c r="B238" s="1421"/>
      <c r="C238" s="1421"/>
      <c r="D238" s="1421"/>
      <c r="E238" s="1421"/>
      <c r="F238" s="1421"/>
      <c r="G238" s="1421"/>
      <c r="H238" s="1421"/>
      <c r="I238" s="1421"/>
      <c r="J238" s="1421"/>
      <c r="K238" s="1421"/>
      <c r="L238" s="1421"/>
      <c r="M238" s="1421"/>
      <c r="N238" s="1421"/>
      <c r="O238" s="1421"/>
      <c r="P238" s="1421"/>
      <c r="Q238" s="1421"/>
      <c r="R238" s="1421"/>
      <c r="S238" s="1421"/>
      <c r="T238" s="1421"/>
      <c r="U238" s="1421"/>
      <c r="V238" s="1421"/>
      <c r="W238" s="1421"/>
      <c r="X238" s="1421"/>
      <c r="Y238" s="1421"/>
      <c r="Z238" s="1421"/>
      <c r="AA238" s="1421"/>
      <c r="AB238" s="1421"/>
      <c r="AC238" s="1421"/>
      <c r="AD238" s="1421"/>
      <c r="AE238" s="1421"/>
      <c r="AF238" s="1421"/>
      <c r="AG238" s="1421"/>
      <c r="AH238" s="1421"/>
      <c r="AI238" s="1423"/>
      <c r="AJ238" s="1448"/>
      <c r="AK238" s="1423"/>
      <c r="AL238" s="1423"/>
      <c r="AM238" s="1423"/>
      <c r="AN238" s="1423"/>
      <c r="AO238" s="1423"/>
      <c r="AP238" s="1449"/>
      <c r="AQ238" s="1423"/>
      <c r="AR238" s="1423"/>
      <c r="AS238" s="1421"/>
      <c r="AT238" s="1421"/>
      <c r="AU238" s="1421"/>
      <c r="AV238" s="1421"/>
      <c r="AW238" s="1421"/>
      <c r="AX238" s="1421"/>
      <c r="AY238" s="1421"/>
    </row>
    <row r="239" spans="1:51" hidden="1" outlineLevel="1">
      <c r="A239" s="1421" t="s">
        <v>169</v>
      </c>
      <c r="B239" s="1512"/>
      <c r="C239" s="1512"/>
      <c r="D239" s="1512"/>
      <c r="E239" s="1512"/>
      <c r="F239" s="1512"/>
      <c r="G239" s="1529">
        <f>'SegP&amp;L'!$AL$50</f>
        <v>-13.375</v>
      </c>
      <c r="H239" s="1529">
        <f>'SegP&amp;L'!$AL$57</f>
        <v>-14.017999999999999</v>
      </c>
      <c r="I239" s="1529">
        <f>'SegP&amp;L'!$AL$64</f>
        <v>-8.6150000000000002</v>
      </c>
      <c r="J239" s="1529">
        <f>'SegP&amp;L'!$AL$71</f>
        <v>-4.95</v>
      </c>
      <c r="K239" s="1529">
        <f>'SegP&amp;L'!$AL$78</f>
        <v>4.5810000000000004</v>
      </c>
      <c r="L239" s="1529">
        <f>'SegP&amp;L'!$AL$85</f>
        <v>4.7</v>
      </c>
      <c r="M239" s="1529">
        <f>'SegP&amp;L'!$AL$92</f>
        <v>3.71</v>
      </c>
      <c r="N239" s="1529">
        <f>'SegP&amp;L'!$AL$99</f>
        <v>32.128</v>
      </c>
      <c r="O239" s="1529">
        <f>'SegP&amp;L'!$AL$106</f>
        <v>45.387999999999998</v>
      </c>
      <c r="P239" s="1529">
        <f>'SegP&amp;L'!$AL$113</f>
        <v>18.148</v>
      </c>
      <c r="Q239" s="1529">
        <f>'SegP&amp;L'!$AL$120</f>
        <v>28.417999999999999</v>
      </c>
      <c r="R239" s="1529">
        <f>'SegP&amp;L'!$AL$225</f>
        <v>0</v>
      </c>
      <c r="S239" s="1529"/>
      <c r="T239" s="1529"/>
      <c r="U239" s="1529"/>
      <c r="V239" s="1529"/>
      <c r="W239" s="1529"/>
      <c r="X239" s="1529"/>
      <c r="Y239" s="1529"/>
      <c r="Z239" s="1529"/>
      <c r="AA239" s="1529"/>
      <c r="AB239" s="1529"/>
      <c r="AC239" s="1529"/>
      <c r="AD239" s="1529"/>
      <c r="AE239" s="1529"/>
      <c r="AF239" s="1529"/>
      <c r="AG239" s="1529"/>
      <c r="AH239" s="1529"/>
      <c r="AI239" s="1423"/>
      <c r="AJ239" s="1448"/>
      <c r="AK239" s="1423"/>
      <c r="AL239" s="1423"/>
      <c r="AM239" s="1423"/>
      <c r="AN239" s="1423"/>
      <c r="AO239" s="1423"/>
      <c r="AP239" s="1449"/>
      <c r="AQ239" s="1423"/>
      <c r="AR239" s="1423"/>
      <c r="AS239" s="1421"/>
      <c r="AT239" s="1421"/>
      <c r="AU239" s="1421"/>
      <c r="AV239" s="1421"/>
      <c r="AW239" s="1421"/>
      <c r="AX239" s="1421"/>
      <c r="AY239" s="1421"/>
    </row>
    <row r="240" spans="1:51" hidden="1" outlineLevel="1">
      <c r="A240" s="1421"/>
      <c r="B240" s="1421"/>
      <c r="C240" s="1421"/>
      <c r="D240" s="1445"/>
      <c r="E240" s="1445"/>
      <c r="F240" s="1445"/>
      <c r="G240" s="1421"/>
      <c r="H240" s="1421"/>
      <c r="I240" s="1421"/>
      <c r="J240" s="1421"/>
      <c r="K240" s="1421"/>
      <c r="L240" s="1421"/>
      <c r="M240" s="1421"/>
      <c r="N240" s="1421"/>
      <c r="O240" s="1421"/>
      <c r="P240" s="1421"/>
      <c r="Q240" s="1421"/>
      <c r="R240" s="1421"/>
      <c r="S240" s="1421"/>
      <c r="T240" s="1421"/>
      <c r="U240" s="1421"/>
      <c r="V240" s="1421"/>
      <c r="W240" s="1421"/>
      <c r="X240" s="1421"/>
      <c r="Y240" s="1421"/>
      <c r="Z240" s="1421"/>
      <c r="AA240" s="1421"/>
      <c r="AB240" s="1421"/>
      <c r="AC240" s="1421"/>
      <c r="AD240" s="1421"/>
      <c r="AE240" s="1421"/>
      <c r="AF240" s="1421"/>
      <c r="AG240" s="1421"/>
      <c r="AH240" s="1421"/>
      <c r="AI240" s="1423"/>
      <c r="AJ240" s="1448"/>
      <c r="AK240" s="1423"/>
      <c r="AL240" s="1423"/>
      <c r="AM240" s="1423"/>
      <c r="AN240" s="1423"/>
      <c r="AO240" s="1423"/>
      <c r="AP240" s="1449"/>
      <c r="AQ240" s="1423"/>
      <c r="AR240" s="1423"/>
      <c r="AS240" s="1421"/>
      <c r="AT240" s="1421"/>
      <c r="AU240" s="1421"/>
      <c r="AV240" s="1421"/>
      <c r="AW240" s="1421"/>
      <c r="AX240" s="1421"/>
      <c r="AY240" s="1421"/>
    </row>
    <row r="241" spans="1:51" hidden="1" outlineLevel="1">
      <c r="A241" s="1421"/>
      <c r="B241" s="1421"/>
      <c r="C241" s="1421"/>
      <c r="D241" s="1421"/>
      <c r="E241" s="1421"/>
      <c r="F241" s="1421"/>
      <c r="G241" s="1421"/>
      <c r="H241" s="1421"/>
      <c r="I241" s="1421"/>
      <c r="J241" s="1421"/>
      <c r="K241" s="1421"/>
      <c r="L241" s="1421"/>
      <c r="M241" s="1421"/>
      <c r="N241" s="1421"/>
      <c r="O241" s="1421"/>
      <c r="P241" s="1421"/>
      <c r="Q241" s="1421"/>
      <c r="R241" s="1421"/>
      <c r="S241" s="1421"/>
      <c r="T241" s="1421"/>
      <c r="U241" s="1421"/>
      <c r="V241" s="1421"/>
      <c r="W241" s="1421"/>
      <c r="X241" s="1421"/>
      <c r="Y241" s="1421"/>
      <c r="Z241" s="1421"/>
      <c r="AA241" s="1421"/>
      <c r="AB241" s="1421"/>
      <c r="AC241" s="1421"/>
      <c r="AD241" s="1421"/>
      <c r="AE241" s="1421"/>
      <c r="AF241" s="1421"/>
      <c r="AG241" s="1421"/>
      <c r="AH241" s="1421"/>
      <c r="AI241" s="1423"/>
      <c r="AJ241" s="1448"/>
      <c r="AK241" s="1423"/>
      <c r="AL241" s="1423"/>
      <c r="AM241" s="1423"/>
      <c r="AN241" s="1423"/>
      <c r="AO241" s="1423"/>
      <c r="AP241" s="1449"/>
      <c r="AQ241" s="1423"/>
      <c r="AR241" s="1423"/>
      <c r="AS241" s="1421"/>
      <c r="AT241" s="1421"/>
      <c r="AU241" s="1421"/>
      <c r="AV241" s="1421"/>
      <c r="AW241" s="1421"/>
      <c r="AX241" s="1421"/>
      <c r="AY241" s="1421"/>
    </row>
    <row r="242" spans="1:51" collapsed="1">
      <c r="A242" s="1450" t="s">
        <v>192</v>
      </c>
      <c r="B242" s="1434"/>
      <c r="C242" s="1434"/>
      <c r="D242" s="1434">
        <v>0</v>
      </c>
      <c r="E242" s="1434">
        <f t="shared" ref="E242:AH242" si="244">D246</f>
        <v>6</v>
      </c>
      <c r="F242" s="1434">
        <f t="shared" si="244"/>
        <v>10</v>
      </c>
      <c r="G242" s="1434">
        <f t="shared" si="244"/>
        <v>15</v>
      </c>
      <c r="H242" s="1434">
        <f t="shared" si="244"/>
        <v>22</v>
      </c>
      <c r="I242" s="1434">
        <f t="shared" si="244"/>
        <v>21</v>
      </c>
      <c r="J242" s="1434">
        <f t="shared" si="244"/>
        <v>23</v>
      </c>
      <c r="K242" s="1434">
        <f t="shared" si="244"/>
        <v>35</v>
      </c>
      <c r="L242" s="1434">
        <f t="shared" si="244"/>
        <v>51</v>
      </c>
      <c r="M242" s="1434">
        <f t="shared" si="244"/>
        <v>81</v>
      </c>
      <c r="N242" s="1434">
        <f t="shared" si="244"/>
        <v>112</v>
      </c>
      <c r="O242" s="1434">
        <f t="shared" si="244"/>
        <v>142</v>
      </c>
      <c r="P242" s="1434">
        <f t="shared" si="244"/>
        <v>182</v>
      </c>
      <c r="Q242" s="1434">
        <f t="shared" si="244"/>
        <v>216</v>
      </c>
      <c r="R242" s="1434">
        <f t="shared" si="244"/>
        <v>251</v>
      </c>
      <c r="S242" s="1434">
        <f t="shared" si="244"/>
        <v>270</v>
      </c>
      <c r="T242" s="1434">
        <f t="shared" si="244"/>
        <v>289</v>
      </c>
      <c r="U242" s="1434">
        <f t="shared" si="244"/>
        <v>318</v>
      </c>
      <c r="V242" s="1434">
        <f t="shared" si="244"/>
        <v>323</v>
      </c>
      <c r="W242" s="1434">
        <f t="shared" si="244"/>
        <v>336</v>
      </c>
      <c r="X242" s="1434">
        <f t="shared" si="244"/>
        <v>374</v>
      </c>
      <c r="Y242" s="1434">
        <f t="shared" si="244"/>
        <v>415</v>
      </c>
      <c r="Z242" s="1434">
        <f t="shared" si="244"/>
        <v>450</v>
      </c>
      <c r="AA242" s="1434">
        <f t="shared" si="244"/>
        <v>487</v>
      </c>
      <c r="AB242" s="1434">
        <f t="shared" si="244"/>
        <v>526</v>
      </c>
      <c r="AC242" s="1434">
        <f t="shared" si="244"/>
        <v>579</v>
      </c>
      <c r="AD242" s="1434">
        <f t="shared" si="244"/>
        <v>671</v>
      </c>
      <c r="AE242" s="1434">
        <f t="shared" si="244"/>
        <v>771</v>
      </c>
      <c r="AF242" s="1434">
        <f t="shared" si="244"/>
        <v>811</v>
      </c>
      <c r="AG242" s="1434">
        <f t="shared" si="244"/>
        <v>851</v>
      </c>
      <c r="AH242" s="1434">
        <f t="shared" si="244"/>
        <v>891</v>
      </c>
      <c r="AI242" s="1423"/>
      <c r="AJ242" s="1448"/>
      <c r="AK242" s="1423"/>
      <c r="AL242" s="1423"/>
      <c r="AM242" s="1423"/>
      <c r="AN242" s="1423"/>
      <c r="AO242" s="1423"/>
      <c r="AP242" s="1449"/>
      <c r="AQ242" s="1423"/>
      <c r="AR242" s="1423"/>
      <c r="AS242" s="1421"/>
      <c r="AT242" s="1421"/>
      <c r="AU242" s="1421"/>
      <c r="AV242" s="1421"/>
      <c r="AW242" s="1421"/>
      <c r="AX242" s="1421"/>
      <c r="AY242" s="1421"/>
    </row>
    <row r="243" spans="1:51" hidden="1" outlineLevel="1">
      <c r="A243" s="1465" t="s">
        <v>691</v>
      </c>
      <c r="B243" s="1434"/>
      <c r="C243" s="1434"/>
      <c r="D243" s="1536">
        <f>Stores!$AN$38</f>
        <v>6</v>
      </c>
      <c r="E243" s="1536">
        <f>Stores!$AN$46</f>
        <v>4</v>
      </c>
      <c r="F243" s="1536">
        <f>Stores!$AN$54</f>
        <v>5</v>
      </c>
      <c r="G243" s="1536">
        <f>Stores!$AN$62</f>
        <v>7</v>
      </c>
      <c r="H243" s="1536">
        <f>Stores!$AN$70</f>
        <v>1</v>
      </c>
      <c r="I243" s="1536">
        <f>Stores!$AN$78</f>
        <v>2</v>
      </c>
      <c r="J243" s="1536">
        <f>Stores!$AN$86</f>
        <v>12</v>
      </c>
      <c r="K243" s="1536">
        <f>Stores!$AN$93</f>
        <v>16</v>
      </c>
      <c r="L243" s="1536">
        <f>Stores!$AN$101</f>
        <v>30</v>
      </c>
      <c r="M243" s="1536">
        <f>Stores!$AN$109</f>
        <v>31</v>
      </c>
      <c r="N243" s="1536">
        <f>Stores!$AN$117</f>
        <v>30</v>
      </c>
      <c r="O243" s="1536">
        <f>Stores!$AN$125</f>
        <v>40</v>
      </c>
      <c r="P243" s="1536">
        <f>Stores!$AN$133</f>
        <v>34</v>
      </c>
      <c r="Q243" s="1536">
        <f>Stores!$AN$141</f>
        <v>35</v>
      </c>
      <c r="R243" s="1536">
        <f>Stores!$AN$149</f>
        <v>19</v>
      </c>
      <c r="S243" s="1536"/>
      <c r="T243" s="1536"/>
      <c r="U243" s="1536"/>
      <c r="V243" s="1536"/>
      <c r="W243" s="1536"/>
      <c r="X243" s="1536"/>
      <c r="Y243" s="1536"/>
      <c r="Z243" s="1536"/>
      <c r="AA243" s="1536"/>
      <c r="AB243" s="1536"/>
      <c r="AC243" s="1536"/>
      <c r="AD243" s="1536"/>
      <c r="AE243" s="1536"/>
      <c r="AF243" s="1536"/>
      <c r="AG243" s="1536"/>
      <c r="AH243" s="1536"/>
      <c r="AI243" s="1423"/>
      <c r="AJ243" s="1448"/>
      <c r="AK243" s="1423"/>
      <c r="AL243" s="1423"/>
      <c r="AM243" s="1423"/>
      <c r="AN243" s="1423"/>
      <c r="AO243" s="1423"/>
      <c r="AP243" s="1449"/>
      <c r="AQ243" s="1423"/>
      <c r="AR243" s="1423"/>
      <c r="AS243" s="1421"/>
      <c r="AT243" s="1421"/>
      <c r="AU243" s="1421"/>
      <c r="AV243" s="1421"/>
      <c r="AW243" s="1421"/>
      <c r="AX243" s="1421"/>
      <c r="AY243" s="1421"/>
    </row>
    <row r="244" spans="1:51" hidden="1" outlineLevel="1">
      <c r="A244" s="1465" t="s">
        <v>193</v>
      </c>
      <c r="B244" s="1434"/>
      <c r="C244" s="1434"/>
      <c r="D244" s="1536">
        <f>Stores!$AO$38</f>
        <v>0</v>
      </c>
      <c r="E244" s="1536">
        <f>Stores!$AO$46</f>
        <v>0</v>
      </c>
      <c r="F244" s="1536">
        <f>Stores!$AO$54</f>
        <v>0</v>
      </c>
      <c r="G244" s="1536">
        <f>Stores!$AO$62</f>
        <v>0</v>
      </c>
      <c r="H244" s="1536">
        <f>Stores!$AO$70</f>
        <v>-2</v>
      </c>
      <c r="I244" s="1536">
        <f>Stores!$AO$78</f>
        <v>0</v>
      </c>
      <c r="J244" s="1536">
        <f>Stores!$AO$86</f>
        <v>0</v>
      </c>
      <c r="K244" s="1537"/>
      <c r="L244" s="1434"/>
      <c r="M244" s="1434"/>
      <c r="N244" s="1434"/>
      <c r="O244" s="1466"/>
      <c r="P244" s="1466"/>
      <c r="Q244" s="1434"/>
      <c r="R244" s="1434"/>
      <c r="S244" s="1434"/>
      <c r="T244" s="1434"/>
      <c r="U244" s="1434"/>
      <c r="V244" s="1434"/>
      <c r="W244" s="1434"/>
      <c r="X244" s="1434"/>
      <c r="Y244" s="1434"/>
      <c r="Z244" s="1434"/>
      <c r="AA244" s="1434"/>
      <c r="AB244" s="1434"/>
      <c r="AC244" s="1434"/>
      <c r="AD244" s="1434"/>
      <c r="AE244" s="1434"/>
      <c r="AF244" s="1434"/>
      <c r="AG244" s="1434"/>
      <c r="AH244" s="1434"/>
      <c r="AI244" s="1423"/>
      <c r="AJ244" s="1448"/>
      <c r="AK244" s="1423"/>
      <c r="AL244" s="1423"/>
      <c r="AM244" s="1423"/>
      <c r="AN244" s="1423"/>
      <c r="AO244" s="1423"/>
      <c r="AP244" s="1449"/>
      <c r="AQ244" s="1423"/>
      <c r="AR244" s="1423"/>
      <c r="AS244" s="1421"/>
      <c r="AT244" s="1421"/>
      <c r="AU244" s="1421"/>
      <c r="AV244" s="1421"/>
      <c r="AW244" s="1421"/>
      <c r="AX244" s="1421"/>
      <c r="AY244" s="1421"/>
    </row>
    <row r="245" spans="1:51" collapsed="1">
      <c r="A245" s="1465" t="s">
        <v>92</v>
      </c>
      <c r="B245" s="1434"/>
      <c r="C245" s="1434"/>
      <c r="D245" s="1536">
        <f>+D243+D244</f>
        <v>6</v>
      </c>
      <c r="E245" s="1536">
        <f t="shared" ref="E245:J245" si="245">+E243+E244</f>
        <v>4</v>
      </c>
      <c r="F245" s="1536">
        <f t="shared" si="245"/>
        <v>5</v>
      </c>
      <c r="G245" s="1536">
        <f t="shared" si="245"/>
        <v>7</v>
      </c>
      <c r="H245" s="1536">
        <f t="shared" si="245"/>
        <v>-1</v>
      </c>
      <c r="I245" s="1536">
        <f t="shared" si="245"/>
        <v>2</v>
      </c>
      <c r="J245" s="1536">
        <f t="shared" si="245"/>
        <v>12</v>
      </c>
      <c r="K245" s="1536">
        <f>Stores!$AN$93</f>
        <v>16</v>
      </c>
      <c r="L245" s="1536">
        <f>Stores!$AN$101</f>
        <v>30</v>
      </c>
      <c r="M245" s="1536">
        <f>Stores!$AN$109</f>
        <v>31</v>
      </c>
      <c r="N245" s="1536">
        <f>Stores!$AN$117</f>
        <v>30</v>
      </c>
      <c r="O245" s="1536">
        <f>Stores!$AN$125</f>
        <v>40</v>
      </c>
      <c r="P245" s="1536">
        <f>Stores!$AN$133</f>
        <v>34</v>
      </c>
      <c r="Q245" s="1536">
        <f>Stores!$AN$141</f>
        <v>35</v>
      </c>
      <c r="R245" s="1536">
        <f>Stores!$AN$149</f>
        <v>19</v>
      </c>
      <c r="S245" s="1536">
        <f>Stores!$AN$156</f>
        <v>19</v>
      </c>
      <c r="T245" s="1536">
        <f>Stores!$AN$163</f>
        <v>29</v>
      </c>
      <c r="U245" s="1536">
        <f>Stores!$AN$170</f>
        <v>5</v>
      </c>
      <c r="V245" s="1536">
        <f>Stores!$AN$177</f>
        <v>13</v>
      </c>
      <c r="W245" s="1536">
        <f>Stores!$AN$184</f>
        <v>38</v>
      </c>
      <c r="X245" s="1536">
        <f>Stores!$AN$191</f>
        <v>41</v>
      </c>
      <c r="Y245" s="1536">
        <f>Stores!$AN$198</f>
        <v>35</v>
      </c>
      <c r="Z245" s="1536">
        <f>Stores!$AN$205</f>
        <v>37</v>
      </c>
      <c r="AA245" s="1536">
        <f>Stores!$AN$212</f>
        <v>39</v>
      </c>
      <c r="AB245" s="1536">
        <f>Stores!$AN$219</f>
        <v>53</v>
      </c>
      <c r="AC245" s="1536">
        <f>Stores!$AN$226</f>
        <v>92</v>
      </c>
      <c r="AD245" s="1536">
        <f>Stores!$AN$233</f>
        <v>100</v>
      </c>
      <c r="AE245" s="1536">
        <f>Stores!$AN$240</f>
        <v>40</v>
      </c>
      <c r="AF245" s="1536">
        <f>Stores!$AN$247</f>
        <v>40</v>
      </c>
      <c r="AG245" s="1536">
        <f>Stores!$AN$254</f>
        <v>40</v>
      </c>
      <c r="AH245" s="1536">
        <f>Stores!$AN$254</f>
        <v>40</v>
      </c>
      <c r="AI245" s="1423"/>
      <c r="AJ245" s="1448"/>
      <c r="AK245" s="1423"/>
      <c r="AL245" s="1423"/>
      <c r="AM245" s="1423"/>
      <c r="AN245" s="1423"/>
      <c r="AO245" s="1423"/>
      <c r="AP245" s="1449"/>
      <c r="AQ245" s="1423"/>
      <c r="AR245" s="1423"/>
      <c r="AS245" s="1421"/>
      <c r="AT245" s="1421"/>
      <c r="AU245" s="1421"/>
      <c r="AV245" s="1421"/>
      <c r="AW245" s="1421"/>
      <c r="AX245" s="1421"/>
      <c r="AY245" s="1421"/>
    </row>
    <row r="246" spans="1:51">
      <c r="A246" s="1450" t="s">
        <v>194</v>
      </c>
      <c r="B246" s="1434"/>
      <c r="C246" s="1434"/>
      <c r="D246" s="1434">
        <f t="shared" ref="D246:J246" si="246">+D242+D243+D244</f>
        <v>6</v>
      </c>
      <c r="E246" s="1434">
        <f t="shared" si="246"/>
        <v>10</v>
      </c>
      <c r="F246" s="1434">
        <f t="shared" si="246"/>
        <v>15</v>
      </c>
      <c r="G246" s="1434">
        <f t="shared" si="246"/>
        <v>22</v>
      </c>
      <c r="H246" s="1434">
        <f t="shared" si="246"/>
        <v>21</v>
      </c>
      <c r="I246" s="1434">
        <f t="shared" si="246"/>
        <v>23</v>
      </c>
      <c r="J246" s="1434">
        <f t="shared" si="246"/>
        <v>35</v>
      </c>
      <c r="K246" s="1466">
        <f>K242+K245</f>
        <v>51</v>
      </c>
      <c r="L246" s="1466">
        <f t="shared" ref="L246:AC246" si="247">L242+L245</f>
        <v>81</v>
      </c>
      <c r="M246" s="1466">
        <f t="shared" si="247"/>
        <v>112</v>
      </c>
      <c r="N246" s="1466">
        <f t="shared" si="247"/>
        <v>142</v>
      </c>
      <c r="O246" s="1466">
        <f t="shared" si="247"/>
        <v>182</v>
      </c>
      <c r="P246" s="1466">
        <f t="shared" si="247"/>
        <v>216</v>
      </c>
      <c r="Q246" s="1466">
        <f t="shared" si="247"/>
        <v>251</v>
      </c>
      <c r="R246" s="1466">
        <f t="shared" si="247"/>
        <v>270</v>
      </c>
      <c r="S246" s="1466">
        <f t="shared" si="247"/>
        <v>289</v>
      </c>
      <c r="T246" s="1466">
        <f t="shared" si="247"/>
        <v>318</v>
      </c>
      <c r="U246" s="1466">
        <f t="shared" si="247"/>
        <v>323</v>
      </c>
      <c r="V246" s="1466">
        <f t="shared" si="247"/>
        <v>336</v>
      </c>
      <c r="W246" s="1466">
        <f t="shared" si="247"/>
        <v>374</v>
      </c>
      <c r="X246" s="1466">
        <f t="shared" si="247"/>
        <v>415</v>
      </c>
      <c r="Y246" s="1466">
        <f t="shared" si="247"/>
        <v>450</v>
      </c>
      <c r="Z246" s="1466">
        <f>Z242+Z245</f>
        <v>487</v>
      </c>
      <c r="AA246" s="1466">
        <f>AA242+AA245</f>
        <v>526</v>
      </c>
      <c r="AB246" s="1466">
        <f t="shared" si="247"/>
        <v>579</v>
      </c>
      <c r="AC246" s="1466">
        <f t="shared" si="247"/>
        <v>671</v>
      </c>
      <c r="AD246" s="1466">
        <f>AD242+AD245</f>
        <v>771</v>
      </c>
      <c r="AE246" s="1466">
        <f>AE242+AE245</f>
        <v>811</v>
      </c>
      <c r="AF246" s="1466">
        <f>AF242+AF245</f>
        <v>851</v>
      </c>
      <c r="AG246" s="1466">
        <f>AG242+AG245</f>
        <v>891</v>
      </c>
      <c r="AH246" s="1466">
        <f>AH242+AH245</f>
        <v>931</v>
      </c>
      <c r="AI246" s="1423"/>
      <c r="AJ246" s="1448"/>
      <c r="AK246" s="1453">
        <f>((X246/S246)^(1/5)-1)*100</f>
        <v>7.5053434035283306</v>
      </c>
      <c r="AL246" s="1454" t="s">
        <v>190</v>
      </c>
      <c r="AM246" s="1453">
        <f>((AC246/X246)^(1/5)-1)*100</f>
        <v>10.086707945822869</v>
      </c>
      <c r="AN246" s="1454" t="s">
        <v>190</v>
      </c>
      <c r="AO246" s="1455">
        <f>((AH246/AC246)^(1/5)-1)*100</f>
        <v>6.7690631890707564</v>
      </c>
      <c r="AP246" s="1449" t="s">
        <v>190</v>
      </c>
      <c r="AQ246" s="1454"/>
      <c r="AR246" s="1423"/>
      <c r="AS246" s="1421"/>
      <c r="AT246" s="1421"/>
      <c r="AU246" s="1421"/>
      <c r="AV246" s="1421"/>
      <c r="AW246" s="1421"/>
      <c r="AX246" s="1421"/>
      <c r="AY246" s="1421"/>
    </row>
    <row r="247" spans="1:51">
      <c r="A247" s="1450" t="s">
        <v>195</v>
      </c>
      <c r="B247" s="1482"/>
      <c r="C247" s="1482"/>
      <c r="D247" s="1482"/>
      <c r="E247" s="1482">
        <f t="shared" ref="E247:K247" si="248">(+E246+E242)/2</f>
        <v>8</v>
      </c>
      <c r="F247" s="1482">
        <f t="shared" si="248"/>
        <v>12.5</v>
      </c>
      <c r="G247" s="1482">
        <f t="shared" si="248"/>
        <v>18.5</v>
      </c>
      <c r="H247" s="1482">
        <f t="shared" si="248"/>
        <v>21.5</v>
      </c>
      <c r="I247" s="1482">
        <f t="shared" si="248"/>
        <v>22</v>
      </c>
      <c r="J247" s="1482">
        <f t="shared" si="248"/>
        <v>29</v>
      </c>
      <c r="K247" s="1482">
        <f t="shared" si="248"/>
        <v>43</v>
      </c>
      <c r="L247" s="1482">
        <f t="shared" ref="L247:AC247" si="249">(+L246+L242)/2</f>
        <v>66</v>
      </c>
      <c r="M247" s="1482">
        <f t="shared" si="249"/>
        <v>96.5</v>
      </c>
      <c r="N247" s="1482">
        <f t="shared" si="249"/>
        <v>127</v>
      </c>
      <c r="O247" s="1482">
        <f t="shared" si="249"/>
        <v>162</v>
      </c>
      <c r="P247" s="1482">
        <f t="shared" si="249"/>
        <v>199</v>
      </c>
      <c r="Q247" s="1482">
        <f t="shared" si="249"/>
        <v>233.5</v>
      </c>
      <c r="R247" s="1482">
        <f t="shared" si="249"/>
        <v>260.5</v>
      </c>
      <c r="S247" s="1482">
        <f t="shared" si="249"/>
        <v>279.5</v>
      </c>
      <c r="T247" s="1482">
        <f t="shared" si="249"/>
        <v>303.5</v>
      </c>
      <c r="U247" s="1482">
        <f t="shared" si="249"/>
        <v>320.5</v>
      </c>
      <c r="V247" s="1482">
        <f t="shared" si="249"/>
        <v>329.5</v>
      </c>
      <c r="W247" s="1482">
        <f t="shared" si="249"/>
        <v>355</v>
      </c>
      <c r="X247" s="1482">
        <f t="shared" si="249"/>
        <v>394.5</v>
      </c>
      <c r="Y247" s="1482">
        <f t="shared" si="249"/>
        <v>432.5</v>
      </c>
      <c r="Z247" s="1482">
        <f>(+Z246+Z242)/2</f>
        <v>468.5</v>
      </c>
      <c r="AA247" s="1482">
        <f>(+AA246+AA242)/2</f>
        <v>506.5</v>
      </c>
      <c r="AB247" s="1482">
        <f t="shared" si="249"/>
        <v>552.5</v>
      </c>
      <c r="AC247" s="1482">
        <f t="shared" si="249"/>
        <v>625</v>
      </c>
      <c r="AD247" s="1482">
        <f>(+AD246+AD242)/2</f>
        <v>721</v>
      </c>
      <c r="AE247" s="1482">
        <f>(+AE246+AE242)/2</f>
        <v>791</v>
      </c>
      <c r="AF247" s="1482">
        <f>(+AF246+AF242)/2</f>
        <v>831</v>
      </c>
      <c r="AG247" s="1482">
        <f>(+AG246+AG242)/2</f>
        <v>871</v>
      </c>
      <c r="AH247" s="1482">
        <f>(+AH246+AH242)/2</f>
        <v>911</v>
      </c>
      <c r="AI247" s="1478"/>
      <c r="AJ247" s="1479"/>
      <c r="AK247" s="1478"/>
      <c r="AL247" s="1478"/>
      <c r="AM247" s="1423"/>
      <c r="AN247" s="1478"/>
      <c r="AO247" s="1423"/>
      <c r="AP247" s="1480"/>
      <c r="AQ247" s="1478"/>
      <c r="AR247" s="1423"/>
      <c r="AS247" s="1421"/>
      <c r="AT247" s="1421"/>
      <c r="AU247" s="1421"/>
      <c r="AV247" s="1421"/>
      <c r="AW247" s="1421"/>
      <c r="AX247" s="1421"/>
      <c r="AY247" s="1421"/>
    </row>
    <row r="248" spans="1:51">
      <c r="A248" s="1450" t="s">
        <v>197</v>
      </c>
      <c r="B248" s="1445"/>
      <c r="C248" s="1445"/>
      <c r="D248" s="1445"/>
      <c r="E248" s="1445"/>
      <c r="F248" s="1445">
        <f t="shared" ref="F248:L248" si="250">(F247/E247-1)</f>
        <v>0.5625</v>
      </c>
      <c r="G248" s="1445">
        <f t="shared" si="250"/>
        <v>0.48</v>
      </c>
      <c r="H248" s="1445">
        <f t="shared" si="250"/>
        <v>0.16216216216216206</v>
      </c>
      <c r="I248" s="1445">
        <f t="shared" si="250"/>
        <v>2.3255813953488413E-2</v>
      </c>
      <c r="J248" s="1445">
        <f t="shared" si="250"/>
        <v>0.31818181818181812</v>
      </c>
      <c r="K248" s="1445">
        <f t="shared" si="250"/>
        <v>0.48275862068965525</v>
      </c>
      <c r="L248" s="1445">
        <f t="shared" si="250"/>
        <v>0.53488372093023262</v>
      </c>
      <c r="M248" s="1445">
        <f t="shared" ref="M248:AF248" si="251">(M247/L247-1)</f>
        <v>0.46212121212121215</v>
      </c>
      <c r="N248" s="1445">
        <f t="shared" si="251"/>
        <v>0.31606217616580312</v>
      </c>
      <c r="O248" s="1445">
        <f t="shared" si="251"/>
        <v>0.27559055118110232</v>
      </c>
      <c r="P248" s="1445">
        <f t="shared" si="251"/>
        <v>0.22839506172839497</v>
      </c>
      <c r="Q248" s="1445">
        <f t="shared" si="251"/>
        <v>0.1733668341708543</v>
      </c>
      <c r="R248" s="1445">
        <f t="shared" si="251"/>
        <v>0.11563169164882225</v>
      </c>
      <c r="S248" s="1445">
        <f t="shared" si="251"/>
        <v>7.2936660268714038E-2</v>
      </c>
      <c r="T248" s="1445">
        <f t="shared" si="251"/>
        <v>8.5867620751341578E-2</v>
      </c>
      <c r="U248" s="1445">
        <f t="shared" si="251"/>
        <v>5.6013179571663851E-2</v>
      </c>
      <c r="V248" s="1445">
        <f t="shared" si="251"/>
        <v>2.808112324492984E-2</v>
      </c>
      <c r="W248" s="1445">
        <f t="shared" si="251"/>
        <v>7.7389984825493086E-2</v>
      </c>
      <c r="X248" s="1445">
        <f t="shared" si="251"/>
        <v>0.11126760563380289</v>
      </c>
      <c r="Y248" s="1445">
        <f t="shared" si="251"/>
        <v>9.6324461343472834E-2</v>
      </c>
      <c r="Z248" s="1445">
        <f t="shared" si="251"/>
        <v>8.3236994219653138E-2</v>
      </c>
      <c r="AA248" s="1445">
        <f t="shared" si="251"/>
        <v>8.1109925293489926E-2</v>
      </c>
      <c r="AB248" s="1445">
        <f t="shared" si="251"/>
        <v>9.081934846989137E-2</v>
      </c>
      <c r="AC248" s="1445">
        <f t="shared" si="251"/>
        <v>0.13122171945701355</v>
      </c>
      <c r="AD248" s="1445">
        <f t="shared" si="251"/>
        <v>0.15359999999999996</v>
      </c>
      <c r="AE248" s="1445">
        <f t="shared" si="251"/>
        <v>9.7087378640776656E-2</v>
      </c>
      <c r="AF248" s="1445">
        <f t="shared" si="251"/>
        <v>5.0568900126422234E-2</v>
      </c>
      <c r="AG248" s="1445">
        <f>(AG254/AF254-1)</f>
        <v>-4.8134777376661053E-2</v>
      </c>
      <c r="AH248" s="1445">
        <f>(AH254/AG254-1)</f>
        <v>-0.5229621125143501</v>
      </c>
      <c r="AI248" s="1423"/>
      <c r="AJ248" s="1448"/>
      <c r="AK248" s="1423"/>
      <c r="AL248" s="1423"/>
      <c r="AM248" s="1423"/>
      <c r="AN248" s="1423"/>
      <c r="AO248" s="1423"/>
      <c r="AP248" s="1449"/>
      <c r="AQ248" s="1423"/>
      <c r="AR248" s="1423"/>
      <c r="AS248" s="1421"/>
      <c r="AT248" s="1421"/>
      <c r="AU248" s="1421"/>
      <c r="AV248" s="1421"/>
      <c r="AW248" s="1421"/>
      <c r="AX248" s="1421"/>
      <c r="AY248" s="1421"/>
    </row>
    <row r="249" spans="1:51">
      <c r="A249" s="1421"/>
      <c r="B249" s="1421"/>
      <c r="C249" s="1421"/>
      <c r="D249" s="1421"/>
      <c r="E249" s="1421"/>
      <c r="F249" s="1421"/>
      <c r="G249" s="1421"/>
      <c r="H249" s="1445"/>
      <c r="I249" s="1445"/>
      <c r="J249" s="1421"/>
      <c r="K249" s="1421"/>
      <c r="L249" s="1421"/>
      <c r="M249" s="1421"/>
      <c r="N249" s="1421"/>
      <c r="O249" s="1421"/>
      <c r="P249" s="1421"/>
      <c r="Q249" s="1421"/>
      <c r="R249" s="1421"/>
      <c r="S249" s="1421"/>
      <c r="T249" s="1421"/>
      <c r="U249" s="1421"/>
      <c r="V249" s="1421"/>
      <c r="W249" s="1421"/>
      <c r="X249" s="1421"/>
      <c r="Y249" s="1421"/>
      <c r="Z249" s="1421"/>
      <c r="AA249" s="1421"/>
      <c r="AB249" s="1421"/>
      <c r="AC249" s="1421"/>
      <c r="AD249" s="1421"/>
      <c r="AE249" s="1421"/>
      <c r="AF249" s="1421"/>
      <c r="AG249" s="1421"/>
      <c r="AH249" s="1421"/>
      <c r="AI249" s="1423"/>
      <c r="AJ249" s="1448"/>
      <c r="AK249" s="1423"/>
      <c r="AL249" s="1423"/>
      <c r="AM249" s="1423"/>
      <c r="AN249" s="1423"/>
      <c r="AO249" s="1423"/>
      <c r="AP249" s="1449"/>
      <c r="AQ249" s="1423"/>
      <c r="AR249" s="1423"/>
      <c r="AS249" s="1421"/>
      <c r="AT249" s="1421"/>
      <c r="AU249" s="1421"/>
      <c r="AV249" s="1421"/>
      <c r="AW249" s="1421"/>
      <c r="AX249" s="1421"/>
      <c r="AY249" s="1421"/>
    </row>
    <row r="250" spans="1:51">
      <c r="A250" s="1450" t="s">
        <v>147</v>
      </c>
      <c r="B250" s="1483"/>
      <c r="C250" s="1483"/>
      <c r="D250" s="1483"/>
      <c r="E250" s="1483">
        <f t="shared" ref="E250:K250" si="252">(E236)/E247</f>
        <v>0</v>
      </c>
      <c r="F250" s="1483">
        <f t="shared" si="252"/>
        <v>0</v>
      </c>
      <c r="G250" s="1483">
        <f t="shared" si="252"/>
        <v>4.2381081081081078</v>
      </c>
      <c r="H250" s="1483">
        <f t="shared" si="252"/>
        <v>4.0473953488372105</v>
      </c>
      <c r="I250" s="1483">
        <f t="shared" si="252"/>
        <v>4.4595454545454549</v>
      </c>
      <c r="J250" s="1483">
        <f t="shared" si="252"/>
        <v>4.5702758620689661</v>
      </c>
      <c r="K250" s="1483">
        <f t="shared" si="252"/>
        <v>4.8095348837209304</v>
      </c>
      <c r="L250" s="1483">
        <f t="shared" ref="L250:R250" si="253">(L236)/L247</f>
        <v>4.772954545454545</v>
      </c>
      <c r="M250" s="1483">
        <f t="shared" si="253"/>
        <v>5.2560725388601037</v>
      </c>
      <c r="N250" s="1483">
        <f t="shared" si="253"/>
        <v>5.5517480314960634</v>
      </c>
      <c r="O250" s="1483">
        <f t="shared" si="253"/>
        <v>5.4107160493827164</v>
      </c>
      <c r="P250" s="1483">
        <f t="shared" si="253"/>
        <v>5.0900653266331659</v>
      </c>
      <c r="Q250" s="1483">
        <f t="shared" si="253"/>
        <v>5.0828865096359745</v>
      </c>
      <c r="R250" s="1483">
        <f t="shared" si="253"/>
        <v>5.2403186180422265</v>
      </c>
      <c r="S250" s="1483">
        <f t="shared" ref="S250:X250" si="254">(S236)/S247</f>
        <v>5.2965366726296965</v>
      </c>
      <c r="T250" s="1483">
        <f t="shared" si="254"/>
        <v>5.2002833607907739</v>
      </c>
      <c r="U250" s="1483">
        <f t="shared" si="254"/>
        <v>5.5987800312012475</v>
      </c>
      <c r="V250" s="1483">
        <f t="shared" si="254"/>
        <v>5.9423581183611534</v>
      </c>
      <c r="W250" s="1483">
        <f t="shared" si="254"/>
        <v>6.3210873239436616</v>
      </c>
      <c r="X250" s="1483">
        <f t="shared" si="254"/>
        <v>6.7353891001267439</v>
      </c>
      <c r="Y250" s="1483">
        <f t="shared" ref="Y250:AD250" si="255">(Y236)/Y247</f>
        <v>6.9218913294797684</v>
      </c>
      <c r="Z250" s="1483">
        <f t="shared" si="255"/>
        <v>7.28765848452508</v>
      </c>
      <c r="AA250" s="1483">
        <f t="shared" si="255"/>
        <v>7.7299526159921026</v>
      </c>
      <c r="AB250" s="1483">
        <f t="shared" si="255"/>
        <v>7.9721393665158367</v>
      </c>
      <c r="AC250" s="1483">
        <f t="shared" si="255"/>
        <v>8.1861248</v>
      </c>
      <c r="AD250" s="1483">
        <f t="shared" si="255"/>
        <v>7.9334606746185861</v>
      </c>
      <c r="AE250" s="1483">
        <f>(AE236)/AE247</f>
        <v>8.2248222834651976</v>
      </c>
      <c r="AF250" s="1483">
        <f>(AF236)/AF247</f>
        <v>8.5568833997230289</v>
      </c>
      <c r="AG250" s="1483">
        <f>(AG236)/AG247</f>
        <v>8.9061339219505307</v>
      </c>
      <c r="AH250" s="1483">
        <f>(AH236)/AH247</f>
        <v>9.1070351866004557</v>
      </c>
      <c r="AI250" s="1423"/>
      <c r="AJ250" s="1448"/>
      <c r="AK250" s="1423"/>
      <c r="AL250" s="1423"/>
      <c r="AM250" s="1423"/>
      <c r="AN250" s="1423"/>
      <c r="AO250" s="1423"/>
      <c r="AP250" s="1449"/>
      <c r="AQ250" s="1423"/>
      <c r="AR250" s="1423"/>
      <c r="AS250" s="1421"/>
      <c r="AT250" s="1421"/>
      <c r="AU250" s="1421"/>
      <c r="AV250" s="1421"/>
      <c r="AW250" s="1421"/>
      <c r="AX250" s="1421"/>
      <c r="AY250" s="1421"/>
    </row>
    <row r="251" spans="1:51">
      <c r="A251" s="1450" t="s">
        <v>191</v>
      </c>
      <c r="B251" s="1484"/>
      <c r="C251" s="1484"/>
      <c r="D251" s="1484"/>
      <c r="E251" s="1484"/>
      <c r="F251" s="1484"/>
      <c r="G251" s="1484"/>
      <c r="H251" s="1484">
        <f>H250/G250-1</f>
        <v>-4.4999503175965794E-2</v>
      </c>
      <c r="I251" s="1484">
        <f>I250/H250-1</f>
        <v>0.10183094810015336</v>
      </c>
      <c r="J251" s="1484">
        <f>J250/I250-1</f>
        <v>2.4829976205455573E-2</v>
      </c>
      <c r="K251" s="1484">
        <f>K250/J250-1</f>
        <v>5.2351111589936217E-2</v>
      </c>
      <c r="L251" s="1484">
        <f>L250/K250-1</f>
        <v>-7.6057953941036649E-3</v>
      </c>
      <c r="M251" s="1484">
        <f t="shared" ref="M251:AH251" si="256">M250/L250-1</f>
        <v>0.10121990243247736</v>
      </c>
      <c r="N251" s="1484">
        <f t="shared" si="256"/>
        <v>5.6254073826021322E-2</v>
      </c>
      <c r="O251" s="1484">
        <f t="shared" si="256"/>
        <v>-2.5403166950885958E-2</v>
      </c>
      <c r="P251" s="1484">
        <f t="shared" si="256"/>
        <v>-5.926216046508892E-2</v>
      </c>
      <c r="Q251" s="1484">
        <f t="shared" si="256"/>
        <v>-1.4103585192961621E-3</v>
      </c>
      <c r="R251" s="1484">
        <f t="shared" si="256"/>
        <v>3.0972973350437139E-2</v>
      </c>
      <c r="S251" s="1484">
        <f t="shared" si="256"/>
        <v>1.0727984056907003E-2</v>
      </c>
      <c r="T251" s="1484">
        <f t="shared" si="256"/>
        <v>-1.817287744580709E-2</v>
      </c>
      <c r="U251" s="1484">
        <f t="shared" si="256"/>
        <v>7.6629799332680326E-2</v>
      </c>
      <c r="V251" s="1484">
        <f t="shared" si="256"/>
        <v>6.1366598659920779E-2</v>
      </c>
      <c r="W251" s="1484">
        <f t="shared" si="256"/>
        <v>6.3733823852231586E-2</v>
      </c>
      <c r="X251" s="1484">
        <f t="shared" si="256"/>
        <v>6.5542802203308881E-2</v>
      </c>
      <c r="Y251" s="1484">
        <f t="shared" si="256"/>
        <v>2.7689896838998473E-2</v>
      </c>
      <c r="Z251" s="1484">
        <f t="shared" si="256"/>
        <v>5.2842082840500515E-2</v>
      </c>
      <c r="AA251" s="1484">
        <f t="shared" si="256"/>
        <v>6.0690842251486909E-2</v>
      </c>
      <c r="AB251" s="1484">
        <f t="shared" si="256"/>
        <v>3.1330948914574996E-2</v>
      </c>
      <c r="AC251" s="1484">
        <f t="shared" si="256"/>
        <v>2.6841657382826734E-2</v>
      </c>
      <c r="AD251" s="1484">
        <f t="shared" si="256"/>
        <v>-3.0864924681018091E-2</v>
      </c>
      <c r="AE251" s="1484">
        <f t="shared" si="256"/>
        <v>3.6725663716814072E-2</v>
      </c>
      <c r="AF251" s="1484">
        <f t="shared" si="256"/>
        <v>4.0373044524669055E-2</v>
      </c>
      <c r="AG251" s="1484">
        <f t="shared" si="256"/>
        <v>4.0815154994259473E-2</v>
      </c>
      <c r="AH251" s="1484">
        <f t="shared" si="256"/>
        <v>2.2557628979143596E-2</v>
      </c>
      <c r="AI251" s="1423"/>
      <c r="AJ251" s="1448"/>
      <c r="AK251" s="1423"/>
      <c r="AL251" s="1423"/>
      <c r="AM251" s="1423"/>
      <c r="AN251" s="1423"/>
      <c r="AO251" s="1423"/>
      <c r="AP251" s="1449"/>
      <c r="AQ251" s="1423"/>
      <c r="AR251" s="1423"/>
      <c r="AS251" s="1421"/>
      <c r="AT251" s="1421"/>
      <c r="AU251" s="1421"/>
      <c r="AV251" s="1421"/>
      <c r="AW251" s="1421"/>
      <c r="AX251" s="1421"/>
      <c r="AY251" s="1421"/>
    </row>
    <row r="252" spans="1:51">
      <c r="A252" s="1421"/>
      <c r="B252" s="1421"/>
      <c r="C252" s="1421"/>
      <c r="D252" s="1421"/>
      <c r="E252" s="1421"/>
      <c r="F252" s="1421"/>
      <c r="G252" s="1421"/>
      <c r="H252" s="1421"/>
      <c r="I252" s="1421"/>
      <c r="J252" s="1421"/>
      <c r="K252" s="1421"/>
      <c r="L252" s="1421"/>
      <c r="M252" s="1421"/>
      <c r="N252" s="1421"/>
      <c r="O252" s="1421"/>
      <c r="P252" s="1421"/>
      <c r="Q252" s="1421"/>
      <c r="R252" s="1421"/>
      <c r="S252" s="1421"/>
      <c r="T252" s="1421"/>
      <c r="U252" s="1421"/>
      <c r="V252" s="1421"/>
      <c r="W252" s="1421"/>
      <c r="X252" s="1421"/>
      <c r="Y252" s="1421"/>
      <c r="Z252" s="1421"/>
      <c r="AA252" s="1421"/>
      <c r="AB252" s="1421"/>
      <c r="AC252" s="1421"/>
      <c r="AD252" s="1421"/>
      <c r="AE252" s="1421"/>
      <c r="AF252" s="1421"/>
      <c r="AG252" s="1421"/>
      <c r="AH252" s="1421"/>
      <c r="AI252" s="1423"/>
      <c r="AJ252" s="1448"/>
      <c r="AK252" s="1423"/>
      <c r="AL252" s="1423"/>
      <c r="AM252" s="1423"/>
      <c r="AN252" s="1423"/>
      <c r="AO252" s="1423"/>
      <c r="AP252" s="1449"/>
      <c r="AQ252" s="1423"/>
      <c r="AR252" s="1423"/>
      <c r="AS252" s="1421"/>
      <c r="AT252" s="1421"/>
      <c r="AU252" s="1421"/>
      <c r="AV252" s="1421"/>
      <c r="AW252" s="1421"/>
      <c r="AX252" s="1421"/>
      <c r="AY252" s="1421"/>
    </row>
    <row r="253" spans="1:51">
      <c r="A253" s="1450" t="s">
        <v>199</v>
      </c>
      <c r="B253" s="1535"/>
      <c r="C253" s="1486"/>
      <c r="D253" s="1486"/>
      <c r="E253" s="1486">
        <f t="shared" ref="E253:AD253" si="257">+(D256+E256)/2</f>
        <v>0.40900000000000003</v>
      </c>
      <c r="F253" s="1486">
        <f t="shared" si="257"/>
        <v>0.57150000000000001</v>
      </c>
      <c r="G253" s="1486">
        <f t="shared" si="257"/>
        <v>0.74049999999999994</v>
      </c>
      <c r="H253" s="1486">
        <f t="shared" si="257"/>
        <v>0.80249999999999999</v>
      </c>
      <c r="I253" s="1486">
        <f t="shared" si="257"/>
        <v>0.77600000000000002</v>
      </c>
      <c r="J253" s="1486">
        <f t="shared" si="257"/>
        <v>0.93250000000000011</v>
      </c>
      <c r="K253" s="1486">
        <f t="shared" si="257"/>
        <v>1.2335</v>
      </c>
      <c r="L253" s="1486">
        <f t="shared" si="257"/>
        <v>1.758</v>
      </c>
      <c r="M253" s="1486">
        <f t="shared" si="257"/>
        <v>2.5265</v>
      </c>
      <c r="N253" s="1486">
        <f t="shared" si="257"/>
        <v>3.2645</v>
      </c>
      <c r="O253" s="1486">
        <f t="shared" si="257"/>
        <v>4.085</v>
      </c>
      <c r="P253" s="1486">
        <f t="shared" si="257"/>
        <v>4.9563160000000002</v>
      </c>
      <c r="Q253" s="1486">
        <f t="shared" si="257"/>
        <v>5.788316</v>
      </c>
      <c r="R253" s="1486">
        <f t="shared" si="257"/>
        <v>6.4115000000000002</v>
      </c>
      <c r="S253" s="1486">
        <f t="shared" si="257"/>
        <v>6.8650000000000002</v>
      </c>
      <c r="T253" s="1486">
        <f t="shared" si="257"/>
        <v>7.5150000000000006</v>
      </c>
      <c r="U253" s="1486">
        <f t="shared" si="257"/>
        <v>7.95</v>
      </c>
      <c r="V253" s="1486">
        <f t="shared" si="257"/>
        <v>8.1999999999999993</v>
      </c>
      <c r="W253" s="1486">
        <f t="shared" si="257"/>
        <v>8.8500000000000014</v>
      </c>
      <c r="X253" s="1486">
        <f t="shared" si="257"/>
        <v>9.8500000000000014</v>
      </c>
      <c r="Y253" s="1486">
        <f t="shared" si="257"/>
        <v>10.83855421686747</v>
      </c>
      <c r="Z253" s="1486">
        <f t="shared" si="257"/>
        <v>11.68855421686747</v>
      </c>
      <c r="AA253" s="1486">
        <f t="shared" si="257"/>
        <v>12.55</v>
      </c>
      <c r="AB253" s="1486">
        <f t="shared" si="257"/>
        <v>13.6</v>
      </c>
      <c r="AC253" s="1486">
        <f t="shared" si="257"/>
        <v>15.391825095057035</v>
      </c>
      <c r="AD253" s="1486">
        <f t="shared" si="257"/>
        <v>17.819391634980988</v>
      </c>
      <c r="AE253" s="1486">
        <f>+(AD256+AE256)/2</f>
        <v>19.549429657794676</v>
      </c>
      <c r="AF253" s="1486">
        <f>+(AE256+AF256)/2</f>
        <v>20.538022813688215</v>
      </c>
      <c r="AG253" s="1486">
        <f>+(AF256+AG256)/2</f>
        <v>21.526615969581748</v>
      </c>
      <c r="AH253" s="1486">
        <f>+(AG256+AH256)/2</f>
        <v>22.020912547528518</v>
      </c>
      <c r="AI253" s="1423"/>
      <c r="AJ253" s="1448"/>
      <c r="AK253" s="1453">
        <f>((X253/S253)^(1/5)-1)*100</f>
        <v>7.4877910167689965</v>
      </c>
      <c r="AL253" s="1454" t="s">
        <v>190</v>
      </c>
      <c r="AM253" s="1453">
        <f>((AC253/X253)^(1/5)-1)*100</f>
        <v>9.3379124550338144</v>
      </c>
      <c r="AN253" s="1454" t="s">
        <v>190</v>
      </c>
      <c r="AO253" s="1455">
        <f>((AH253/AC253)^(1/5)-1)*100</f>
        <v>7.42590932076308</v>
      </c>
      <c r="AP253" s="1449" t="s">
        <v>190</v>
      </c>
      <c r="AQ253" s="1454"/>
      <c r="AR253" s="1423"/>
      <c r="AS253" s="1421"/>
      <c r="AT253" s="1421"/>
      <c r="AU253" s="1421"/>
      <c r="AV253" s="1421"/>
      <c r="AW253" s="1421"/>
      <c r="AX253" s="1421"/>
      <c r="AY253" s="1421"/>
    </row>
    <row r="254" spans="1:51">
      <c r="A254" s="1450" t="s">
        <v>191</v>
      </c>
      <c r="B254" s="1445"/>
      <c r="C254" s="1445"/>
      <c r="D254" s="1445"/>
      <c r="E254" s="1445"/>
      <c r="F254" s="1445">
        <f t="shared" ref="F254:AH254" si="258">F253/E253-1</f>
        <v>0.39731051344743262</v>
      </c>
      <c r="G254" s="1445">
        <f t="shared" si="258"/>
        <v>0.29571303587051601</v>
      </c>
      <c r="H254" s="1445">
        <f t="shared" si="258"/>
        <v>8.372721134368688E-2</v>
      </c>
      <c r="I254" s="1445">
        <f t="shared" si="258"/>
        <v>-3.3021806853582469E-2</v>
      </c>
      <c r="J254" s="1445">
        <f t="shared" si="258"/>
        <v>0.20167525773195893</v>
      </c>
      <c r="K254" s="1445">
        <f t="shared" si="258"/>
        <v>0.32278820375335116</v>
      </c>
      <c r="L254" s="1445">
        <f t="shared" si="258"/>
        <v>0.42521280907985393</v>
      </c>
      <c r="M254" s="1445">
        <f t="shared" si="258"/>
        <v>0.4371444823663253</v>
      </c>
      <c r="N254" s="1445">
        <f t="shared" si="258"/>
        <v>0.2921037007718188</v>
      </c>
      <c r="O254" s="1445">
        <f t="shared" si="258"/>
        <v>0.25134017460560587</v>
      </c>
      <c r="P254" s="1445">
        <f t="shared" si="258"/>
        <v>0.21329645042839673</v>
      </c>
      <c r="Q254" s="1445">
        <f t="shared" si="258"/>
        <v>0.16786661705992922</v>
      </c>
      <c r="R254" s="1445">
        <f t="shared" si="258"/>
        <v>0.1076624012925349</v>
      </c>
      <c r="S254" s="1445">
        <f t="shared" si="258"/>
        <v>7.0732277938079902E-2</v>
      </c>
      <c r="T254" s="1445">
        <f t="shared" si="258"/>
        <v>9.4683175528040842E-2</v>
      </c>
      <c r="U254" s="1445">
        <f t="shared" si="258"/>
        <v>5.7884231536926123E-2</v>
      </c>
      <c r="V254" s="1445">
        <f t="shared" si="258"/>
        <v>3.1446540880503138E-2</v>
      </c>
      <c r="W254" s="1445">
        <f t="shared" si="258"/>
        <v>7.9268292682927122E-2</v>
      </c>
      <c r="X254" s="1445">
        <f t="shared" si="258"/>
        <v>0.11299435028248594</v>
      </c>
      <c r="Y254" s="1445">
        <f t="shared" si="258"/>
        <v>0.10036083419974307</v>
      </c>
      <c r="Z254" s="1445">
        <f t="shared" si="258"/>
        <v>7.8423743886171682E-2</v>
      </c>
      <c r="AA254" s="1445">
        <f t="shared" si="258"/>
        <v>7.3699943307736104E-2</v>
      </c>
      <c r="AB254" s="1445">
        <f t="shared" si="258"/>
        <v>8.3665338645418252E-2</v>
      </c>
      <c r="AC254" s="1445">
        <f t="shared" si="258"/>
        <v>0.13175184522478212</v>
      </c>
      <c r="AD254" s="1445">
        <f t="shared" si="258"/>
        <v>0.15771791356332043</v>
      </c>
      <c r="AE254" s="1445">
        <f t="shared" si="258"/>
        <v>9.7087378640776656E-2</v>
      </c>
      <c r="AF254" s="1445">
        <f t="shared" si="258"/>
        <v>5.0568900126422456E-2</v>
      </c>
      <c r="AG254" s="1445">
        <f t="shared" si="258"/>
        <v>4.8134777376654503E-2</v>
      </c>
      <c r="AH254" s="1445">
        <f t="shared" si="258"/>
        <v>2.2962112514351318E-2</v>
      </c>
      <c r="AI254" s="1423"/>
      <c r="AJ254" s="1448"/>
      <c r="AK254" s="1423"/>
      <c r="AL254" s="1423"/>
      <c r="AM254" s="1423"/>
      <c r="AN254" s="1423"/>
      <c r="AO254" s="1423"/>
      <c r="AP254" s="1449"/>
      <c r="AQ254" s="1423"/>
      <c r="AR254" s="1423"/>
      <c r="AS254" s="1421"/>
      <c r="AT254" s="1421"/>
      <c r="AU254" s="1421"/>
      <c r="AV254" s="1421"/>
      <c r="AW254" s="1421"/>
      <c r="AX254" s="1421"/>
      <c r="AY254" s="1421"/>
    </row>
    <row r="255" spans="1:51">
      <c r="A255" s="1421"/>
      <c r="B255" s="1421"/>
      <c r="C255" s="1421"/>
      <c r="D255" s="1421"/>
      <c r="E255" s="1421"/>
      <c r="F255" s="1421"/>
      <c r="G255" s="1421"/>
      <c r="H255" s="1421"/>
      <c r="I255" s="1421"/>
      <c r="J255" s="1421"/>
      <c r="K255" s="1421"/>
      <c r="L255" s="1421"/>
      <c r="M255" s="1421"/>
      <c r="N255" s="1421"/>
      <c r="O255" s="1421"/>
      <c r="P255" s="1421"/>
      <c r="Q255" s="1421"/>
      <c r="R255" s="1421"/>
      <c r="S255" s="1421"/>
      <c r="T255" s="1421"/>
      <c r="U255" s="1421"/>
      <c r="V255" s="1421"/>
      <c r="W255" s="1421"/>
      <c r="X255" s="1421"/>
      <c r="Y255" s="1421"/>
      <c r="Z255" s="1421"/>
      <c r="AA255" s="1421"/>
      <c r="AB255" s="1421"/>
      <c r="AC255" s="1421"/>
      <c r="AD255" s="1421"/>
      <c r="AE255" s="1421"/>
      <c r="AF255" s="1421"/>
      <c r="AG255" s="1421"/>
      <c r="AH255" s="1421"/>
      <c r="AI255" s="1423"/>
      <c r="AJ255" s="1448"/>
      <c r="AK255" s="1423"/>
      <c r="AL255" s="1423"/>
      <c r="AM255" s="1423"/>
      <c r="AN255" s="1423"/>
      <c r="AO255" s="1423"/>
      <c r="AP255" s="1449"/>
      <c r="AQ255" s="1423"/>
      <c r="AR255" s="1423"/>
      <c r="AS255" s="1421"/>
      <c r="AT255" s="1421"/>
      <c r="AU255" s="1421"/>
      <c r="AV255" s="1421"/>
      <c r="AW255" s="1421"/>
      <c r="AX255" s="1421"/>
      <c r="AY255" s="1421"/>
    </row>
    <row r="256" spans="1:51">
      <c r="A256" s="1450" t="s">
        <v>200</v>
      </c>
      <c r="B256" s="1523"/>
      <c r="C256" s="1522"/>
      <c r="D256" s="1522">
        <f>Stores!$AP$37</f>
        <v>0.32400000000000001</v>
      </c>
      <c r="E256" s="1522">
        <f>Stores!$AP$45</f>
        <v>0.49399999999999999</v>
      </c>
      <c r="F256" s="1522">
        <f>Stores!$AP$53</f>
        <v>0.64900000000000002</v>
      </c>
      <c r="G256" s="1522">
        <f>Stores!$AP$61</f>
        <v>0.83199999999999996</v>
      </c>
      <c r="H256" s="1522">
        <f>Stores!$AP$69</f>
        <v>0.77300000000000002</v>
      </c>
      <c r="I256" s="1522">
        <f>Stores!$AP$77</f>
        <v>0.77900000000000003</v>
      </c>
      <c r="J256" s="1522">
        <f>Stores!$AP$85</f>
        <v>1.0860000000000001</v>
      </c>
      <c r="K256" s="1522">
        <f>Stores!$AP$93</f>
        <v>1.381</v>
      </c>
      <c r="L256" s="1522">
        <f>Stores!$AP$101</f>
        <v>2.1349999999999998</v>
      </c>
      <c r="M256" s="1522">
        <f>Stores!$AP$109</f>
        <v>2.9180000000000001</v>
      </c>
      <c r="N256" s="1522">
        <f>Stores!$AP$117</f>
        <v>3.6110000000000002</v>
      </c>
      <c r="O256" s="1522">
        <f>Stores!$AP$125</f>
        <v>4.5590000000000002</v>
      </c>
      <c r="P256" s="1522">
        <f>Stores!$AP$133</f>
        <v>5.3536320000000002</v>
      </c>
      <c r="Q256" s="1522">
        <f>Stores!$AP$141</f>
        <v>6.2229999999999999</v>
      </c>
      <c r="R256" s="1522">
        <f>Stores!$AP$149</f>
        <v>6.6</v>
      </c>
      <c r="S256" s="1522">
        <f>Stores!$AP$156</f>
        <v>7.13</v>
      </c>
      <c r="T256" s="1522">
        <f>Stores!$AP$163</f>
        <v>7.9</v>
      </c>
      <c r="U256" s="1522">
        <f>Stores!$AP$170</f>
        <v>8</v>
      </c>
      <c r="V256" s="1522">
        <f>Stores!$AP$177</f>
        <v>8.4</v>
      </c>
      <c r="W256" s="1522">
        <f>Stores!$AP$184</f>
        <v>9.3000000000000007</v>
      </c>
      <c r="X256" s="1522">
        <f>Stores!$AP$191</f>
        <v>10.4</v>
      </c>
      <c r="Y256" s="1522">
        <f>Stores!$AP$198</f>
        <v>11.27710843373494</v>
      </c>
      <c r="Z256" s="1522">
        <f>Stores!$AP$205</f>
        <v>12.1</v>
      </c>
      <c r="AA256" s="1522">
        <f>Stores!$AP$212</f>
        <v>13</v>
      </c>
      <c r="AB256" s="1522">
        <f>Stores!$AP$219</f>
        <v>14.2</v>
      </c>
      <c r="AC256" s="1522">
        <f>Stores!$AP$226</f>
        <v>16.583650190114071</v>
      </c>
      <c r="AD256" s="1522">
        <f>Stores!$AP$233</f>
        <v>19.055133079847909</v>
      </c>
      <c r="AE256" s="1522">
        <f>Stores!$AP$240</f>
        <v>20.043726235741445</v>
      </c>
      <c r="AF256" s="1522">
        <f>Stores!$AP$247</f>
        <v>21.032319391634982</v>
      </c>
      <c r="AG256" s="1522">
        <f>Stores!$AP$254</f>
        <v>22.020912547528518</v>
      </c>
      <c r="AH256" s="1522">
        <f>Stores!$AP$254</f>
        <v>22.020912547528518</v>
      </c>
      <c r="AI256" s="1423"/>
      <c r="AJ256" s="1448"/>
      <c r="AK256" s="1453">
        <f>((X256/S256)^(1/5)-1)*100</f>
        <v>7.8422056922281325</v>
      </c>
      <c r="AL256" s="1454" t="s">
        <v>190</v>
      </c>
      <c r="AM256" s="1453">
        <f>((AC256/X256)^(1/5)-1)*100</f>
        <v>9.7815498823441658</v>
      </c>
      <c r="AN256" s="1454" t="s">
        <v>190</v>
      </c>
      <c r="AO256" s="1455">
        <f>((AH256/AC256)^(1/5)-1)*100</f>
        <v>5.8354197970304611</v>
      </c>
      <c r="AP256" s="1449" t="s">
        <v>190</v>
      </c>
      <c r="AQ256" s="1454"/>
      <c r="AR256" s="1423"/>
      <c r="AS256" s="1421"/>
      <c r="AT256" s="1421"/>
      <c r="AU256" s="1421"/>
      <c r="AV256" s="1421"/>
      <c r="AW256" s="1421"/>
      <c r="AX256" s="1421"/>
      <c r="AY256" s="1421"/>
    </row>
    <row r="257" spans="1:51">
      <c r="A257" s="1450" t="s">
        <v>191</v>
      </c>
      <c r="B257" s="1445"/>
      <c r="C257" s="1445"/>
      <c r="D257" s="1445"/>
      <c r="E257" s="1445">
        <f t="shared" ref="E257:AH257" si="259">E256/D256-1</f>
        <v>0.52469135802469125</v>
      </c>
      <c r="F257" s="1445">
        <f t="shared" si="259"/>
        <v>0.31376518218623484</v>
      </c>
      <c r="G257" s="1445">
        <f t="shared" si="259"/>
        <v>0.28197226502311246</v>
      </c>
      <c r="H257" s="1445">
        <f t="shared" si="259"/>
        <v>-7.0913461538461453E-2</v>
      </c>
      <c r="I257" s="1445">
        <f t="shared" si="259"/>
        <v>7.7619663648125226E-3</v>
      </c>
      <c r="J257" s="1445">
        <f t="shared" si="259"/>
        <v>0.39409499358151479</v>
      </c>
      <c r="K257" s="1445">
        <f t="shared" si="259"/>
        <v>0.27163904235727432</v>
      </c>
      <c r="L257" s="1445">
        <f t="shared" si="259"/>
        <v>0.54598117306299776</v>
      </c>
      <c r="M257" s="1445">
        <f t="shared" si="259"/>
        <v>0.36674473067915714</v>
      </c>
      <c r="N257" s="1445">
        <f t="shared" si="259"/>
        <v>0.23749143248800553</v>
      </c>
      <c r="O257" s="1445">
        <f t="shared" si="259"/>
        <v>0.2625311548047633</v>
      </c>
      <c r="P257" s="1445">
        <f t="shared" si="259"/>
        <v>0.1742996271112085</v>
      </c>
      <c r="Q257" s="1445">
        <f t="shared" si="259"/>
        <v>0.16238844956097087</v>
      </c>
      <c r="R257" s="1445">
        <f t="shared" si="259"/>
        <v>6.0581713000160686E-2</v>
      </c>
      <c r="S257" s="1445">
        <f t="shared" si="259"/>
        <v>8.0303030303030321E-2</v>
      </c>
      <c r="T257" s="1445">
        <f t="shared" si="259"/>
        <v>0.10799438990182342</v>
      </c>
      <c r="U257" s="1445">
        <f t="shared" si="259"/>
        <v>1.2658227848101111E-2</v>
      </c>
      <c r="V257" s="1445">
        <f t="shared" si="259"/>
        <v>5.0000000000000044E-2</v>
      </c>
      <c r="W257" s="1445">
        <f t="shared" si="259"/>
        <v>0.10714285714285721</v>
      </c>
      <c r="X257" s="1445">
        <f t="shared" si="259"/>
        <v>0.11827956989247301</v>
      </c>
      <c r="Y257" s="1445">
        <f t="shared" si="259"/>
        <v>8.43373493975903E-2</v>
      </c>
      <c r="Z257" s="1445">
        <f t="shared" si="259"/>
        <v>7.2970085470085433E-2</v>
      </c>
      <c r="AA257" s="1445">
        <f t="shared" si="259"/>
        <v>7.4380165289256173E-2</v>
      </c>
      <c r="AB257" s="1445">
        <f t="shared" si="259"/>
        <v>9.2307692307692202E-2</v>
      </c>
      <c r="AC257" s="1445">
        <f t="shared" si="259"/>
        <v>0.16786268944465288</v>
      </c>
      <c r="AD257" s="1445">
        <f t="shared" si="259"/>
        <v>0.14903129657227998</v>
      </c>
      <c r="AE257" s="1445">
        <f t="shared" si="259"/>
        <v>5.1880674448767872E-2</v>
      </c>
      <c r="AF257" s="1445">
        <f t="shared" si="259"/>
        <v>4.9321824907521572E-2</v>
      </c>
      <c r="AG257" s="1445">
        <f t="shared" si="259"/>
        <v>4.7003525264394774E-2</v>
      </c>
      <c r="AH257" s="1445">
        <f t="shared" si="259"/>
        <v>0</v>
      </c>
      <c r="AI257" s="1423"/>
      <c r="AJ257" s="1448"/>
      <c r="AK257" s="1423"/>
      <c r="AL257" s="1423"/>
      <c r="AM257" s="1423"/>
      <c r="AN257" s="1423"/>
      <c r="AO257" s="1423"/>
      <c r="AP257" s="1449"/>
      <c r="AQ257" s="1423"/>
      <c r="AR257" s="1423"/>
      <c r="AS257" s="1421"/>
      <c r="AT257" s="1421"/>
      <c r="AU257" s="1421"/>
      <c r="AV257" s="1421"/>
      <c r="AW257" s="1421"/>
      <c r="AX257" s="1421"/>
      <c r="AY257" s="1421"/>
    </row>
    <row r="258" spans="1:51">
      <c r="A258" s="1421"/>
      <c r="B258" s="1421"/>
      <c r="C258" s="1421"/>
      <c r="D258" s="1421"/>
      <c r="E258" s="1421"/>
      <c r="F258" s="1421"/>
      <c r="G258" s="1421"/>
      <c r="H258" s="1421"/>
      <c r="I258" s="1421"/>
      <c r="J258" s="1421"/>
      <c r="K258" s="1421"/>
      <c r="L258" s="1421"/>
      <c r="M258" s="1421"/>
      <c r="N258" s="1421"/>
      <c r="O258" s="1421"/>
      <c r="P258" s="1421"/>
      <c r="Q258" s="1421"/>
      <c r="R258" s="1421"/>
      <c r="S258" s="1421"/>
      <c r="T258" s="1421"/>
      <c r="U258" s="1421"/>
      <c r="V258" s="1421"/>
      <c r="W258" s="1421"/>
      <c r="X258" s="1421"/>
      <c r="Y258" s="1421"/>
      <c r="Z258" s="1421"/>
      <c r="AA258" s="1421"/>
      <c r="AB258" s="1421"/>
      <c r="AC258" s="1421"/>
      <c r="AD258" s="1421"/>
      <c r="AE258" s="1421"/>
      <c r="AF258" s="1421"/>
      <c r="AG258" s="1421"/>
      <c r="AH258" s="1421"/>
      <c r="AI258" s="1423"/>
      <c r="AJ258" s="1448"/>
      <c r="AK258" s="1423"/>
      <c r="AL258" s="1423"/>
      <c r="AM258" s="1423"/>
      <c r="AN258" s="1423"/>
      <c r="AO258" s="1423"/>
      <c r="AP258" s="1449"/>
      <c r="AQ258" s="1423"/>
      <c r="AR258" s="1423"/>
      <c r="AS258" s="1421"/>
      <c r="AT258" s="1421"/>
      <c r="AU258" s="1421"/>
      <c r="AV258" s="1421"/>
      <c r="AW258" s="1421"/>
      <c r="AX258" s="1421"/>
      <c r="AY258" s="1421"/>
    </row>
    <row r="259" spans="1:51">
      <c r="A259" s="1450" t="s">
        <v>201</v>
      </c>
      <c r="B259" s="1482"/>
      <c r="C259" s="1482"/>
      <c r="D259" s="1482"/>
      <c r="E259" s="1482"/>
      <c r="F259" s="1482">
        <f t="shared" ref="F259:P259" si="260">F256/F246*1000000</f>
        <v>43266.666666666672</v>
      </c>
      <c r="G259" s="1482">
        <f t="shared" si="260"/>
        <v>37818.181818181816</v>
      </c>
      <c r="H259" s="1482">
        <f t="shared" si="260"/>
        <v>36809.523809523809</v>
      </c>
      <c r="I259" s="1482">
        <f t="shared" si="260"/>
        <v>33869.565217391304</v>
      </c>
      <c r="J259" s="1482">
        <f t="shared" si="260"/>
        <v>31028.571428571431</v>
      </c>
      <c r="K259" s="1482">
        <f t="shared" si="260"/>
        <v>27078.431372549021</v>
      </c>
      <c r="L259" s="1482">
        <f t="shared" si="260"/>
        <v>26358.024691358023</v>
      </c>
      <c r="M259" s="1482">
        <f t="shared" si="260"/>
        <v>26053.571428571431</v>
      </c>
      <c r="N259" s="1482">
        <f t="shared" si="260"/>
        <v>25429.577464788734</v>
      </c>
      <c r="O259" s="1482">
        <f t="shared" si="260"/>
        <v>25049.45054945055</v>
      </c>
      <c r="P259" s="1482">
        <f t="shared" si="260"/>
        <v>24785.333333333332</v>
      </c>
      <c r="Q259" s="1482">
        <f t="shared" ref="Q259:V259" si="261">Q256/Q246*1000000</f>
        <v>24792.828685258963</v>
      </c>
      <c r="R259" s="1482">
        <f t="shared" si="261"/>
        <v>24444.444444444442</v>
      </c>
      <c r="S259" s="1482">
        <f t="shared" si="261"/>
        <v>24671.280276816608</v>
      </c>
      <c r="T259" s="1482">
        <f t="shared" si="261"/>
        <v>24842.767295597485</v>
      </c>
      <c r="U259" s="1482">
        <f t="shared" si="261"/>
        <v>24767.801857585142</v>
      </c>
      <c r="V259" s="1482">
        <f t="shared" si="261"/>
        <v>25000</v>
      </c>
      <c r="W259" s="1482">
        <f t="shared" ref="W259:AB259" si="262">W256/W246*1000000</f>
        <v>24866.310160427809</v>
      </c>
      <c r="X259" s="1482">
        <f t="shared" si="262"/>
        <v>25060.240963855424</v>
      </c>
      <c r="Y259" s="1482">
        <f t="shared" si="262"/>
        <v>25060.24096385542</v>
      </c>
      <c r="Z259" s="1482">
        <f>Z256/Z246*1000000</f>
        <v>24845.995893223819</v>
      </c>
      <c r="AA259" s="1482">
        <f>AA256/AA246*1000000</f>
        <v>24714.828897338404</v>
      </c>
      <c r="AB259" s="1482">
        <f t="shared" si="262"/>
        <v>24525.04317789292</v>
      </c>
      <c r="AC259" s="1482">
        <f t="shared" ref="AC259:AH259" si="263">AC256/AC246*1000000</f>
        <v>24714.828897338408</v>
      </c>
      <c r="AD259" s="1482">
        <f t="shared" si="263"/>
        <v>24714.828897338404</v>
      </c>
      <c r="AE259" s="1482">
        <f t="shared" si="263"/>
        <v>24714.828897338404</v>
      </c>
      <c r="AF259" s="1482">
        <f t="shared" si="263"/>
        <v>24714.828897338404</v>
      </c>
      <c r="AG259" s="1482">
        <f t="shared" si="263"/>
        <v>24714.828897338404</v>
      </c>
      <c r="AH259" s="1482">
        <f t="shared" si="263"/>
        <v>23652.967290578428</v>
      </c>
      <c r="AI259" s="1478"/>
      <c r="AJ259" s="1479"/>
      <c r="AK259" s="1478"/>
      <c r="AL259" s="1478"/>
      <c r="AM259" s="1423"/>
      <c r="AN259" s="1478"/>
      <c r="AO259" s="1423"/>
      <c r="AP259" s="1480"/>
      <c r="AQ259" s="1478"/>
      <c r="AR259" s="1423"/>
      <c r="AS259" s="1421"/>
      <c r="AT259" s="1421"/>
      <c r="AU259" s="1421"/>
      <c r="AV259" s="1421"/>
      <c r="AW259" s="1421"/>
      <c r="AX259" s="1421"/>
      <c r="AY259" s="1421"/>
    </row>
    <row r="260" spans="1:51">
      <c r="A260" s="1450" t="s">
        <v>191</v>
      </c>
      <c r="B260" s="1484"/>
      <c r="C260" s="1484"/>
      <c r="D260" s="1484"/>
      <c r="E260" s="1484"/>
      <c r="F260" s="1484"/>
      <c r="G260" s="1484">
        <f t="shared" ref="G260:AH260" si="264">G259/F259-1</f>
        <v>-0.12592800112060532</v>
      </c>
      <c r="H260" s="1484">
        <f t="shared" si="264"/>
        <v>-2.6671245421245326E-2</v>
      </c>
      <c r="I260" s="1484">
        <f t="shared" si="264"/>
        <v>-7.9869508971258218E-2</v>
      </c>
      <c r="J260" s="1484">
        <f t="shared" si="264"/>
        <v>-8.3880432789290249E-2</v>
      </c>
      <c r="K260" s="1484">
        <f t="shared" si="264"/>
        <v>-0.12730653955873328</v>
      </c>
      <c r="L260" s="1484">
        <f t="shared" si="264"/>
        <v>-2.6604446589964414E-2</v>
      </c>
      <c r="M260" s="1484">
        <f t="shared" si="264"/>
        <v>-1.1550685848109588E-2</v>
      </c>
      <c r="N260" s="1484">
        <f t="shared" si="264"/>
        <v>-2.3950419446080229E-2</v>
      </c>
      <c r="O260" s="1484">
        <f t="shared" si="264"/>
        <v>-1.4948219877602309E-2</v>
      </c>
      <c r="P260" s="1484">
        <f t="shared" si="264"/>
        <v>-1.0543832711852108E-2</v>
      </c>
      <c r="Q260" s="1484">
        <f t="shared" si="264"/>
        <v>3.0241077756865131E-4</v>
      </c>
      <c r="R260" s="1484">
        <f t="shared" si="264"/>
        <v>-1.405181495170249E-2</v>
      </c>
      <c r="S260" s="1484">
        <f t="shared" si="264"/>
        <v>9.2796476879521972E-3</v>
      </c>
      <c r="T260" s="1484">
        <f t="shared" si="264"/>
        <v>6.9508763573173926E-3</v>
      </c>
      <c r="U260" s="1484">
        <f t="shared" si="264"/>
        <v>-3.0175961123956041E-3</v>
      </c>
      <c r="V260" s="1484">
        <f t="shared" si="264"/>
        <v>9.3749999999999112E-3</v>
      </c>
      <c r="W260" s="1484">
        <f t="shared" si="264"/>
        <v>-5.3475935828876109E-3</v>
      </c>
      <c r="X260" s="1484">
        <f t="shared" si="264"/>
        <v>7.7989376862288573E-3</v>
      </c>
      <c r="Y260" s="1484">
        <f t="shared" si="264"/>
        <v>0</v>
      </c>
      <c r="Z260" s="1484">
        <f t="shared" si="264"/>
        <v>-8.5492023377032877E-3</v>
      </c>
      <c r="AA260" s="1484">
        <f t="shared" si="264"/>
        <v>-5.2792005781980844E-3</v>
      </c>
      <c r="AB260" s="1484">
        <f t="shared" si="264"/>
        <v>-7.679022186794171E-3</v>
      </c>
      <c r="AC260" s="1484">
        <f t="shared" si="264"/>
        <v>7.7384458844322879E-3</v>
      </c>
      <c r="AD260" s="1484">
        <f t="shared" si="264"/>
        <v>0</v>
      </c>
      <c r="AE260" s="1484">
        <f t="shared" si="264"/>
        <v>0</v>
      </c>
      <c r="AF260" s="1484">
        <f t="shared" si="264"/>
        <v>0</v>
      </c>
      <c r="AG260" s="1484">
        <f t="shared" si="264"/>
        <v>0</v>
      </c>
      <c r="AH260" s="1484">
        <f t="shared" si="264"/>
        <v>-4.2964554242749808E-2</v>
      </c>
      <c r="AI260" s="1423"/>
      <c r="AJ260" s="1448"/>
      <c r="AK260" s="1423"/>
      <c r="AL260" s="1423"/>
      <c r="AM260" s="1423"/>
      <c r="AN260" s="1423"/>
      <c r="AO260" s="1423"/>
      <c r="AP260" s="1449"/>
      <c r="AQ260" s="1423"/>
      <c r="AR260" s="1423"/>
      <c r="AS260" s="1421"/>
      <c r="AT260" s="1421"/>
      <c r="AU260" s="1421"/>
      <c r="AV260" s="1421"/>
      <c r="AW260" s="1421"/>
      <c r="AX260" s="1421"/>
      <c r="AY260" s="1421"/>
    </row>
    <row r="261" spans="1:51">
      <c r="A261" s="1421"/>
      <c r="B261" s="1421"/>
      <c r="C261" s="1421"/>
      <c r="D261" s="1421"/>
      <c r="E261" s="1421"/>
      <c r="F261" s="1421"/>
      <c r="G261" s="1421"/>
      <c r="H261" s="1421"/>
      <c r="I261" s="1421"/>
      <c r="J261" s="1421"/>
      <c r="K261" s="1421"/>
      <c r="L261" s="1421"/>
      <c r="M261" s="1421"/>
      <c r="N261" s="1421"/>
      <c r="O261" s="1421"/>
      <c r="P261" s="1421"/>
      <c r="Q261" s="1421"/>
      <c r="R261" s="1421"/>
      <c r="S261" s="1421"/>
      <c r="T261" s="1421"/>
      <c r="U261" s="1421"/>
      <c r="V261" s="1421"/>
      <c r="W261" s="1421"/>
      <c r="X261" s="1421"/>
      <c r="Y261" s="1421"/>
      <c r="Z261" s="1421"/>
      <c r="AA261" s="1421"/>
      <c r="AB261" s="1421"/>
      <c r="AC261" s="1421"/>
      <c r="AD261" s="1421"/>
      <c r="AE261" s="1421"/>
      <c r="AF261" s="1421"/>
      <c r="AG261" s="1421"/>
      <c r="AH261" s="1421"/>
      <c r="AI261" s="1423"/>
      <c r="AJ261" s="1448"/>
      <c r="AK261" s="1423"/>
      <c r="AL261" s="1423"/>
      <c r="AM261" s="1423"/>
      <c r="AN261" s="1423"/>
      <c r="AO261" s="1423"/>
      <c r="AP261" s="1449"/>
      <c r="AQ261" s="1423"/>
      <c r="AR261" s="1423"/>
      <c r="AS261" s="1421"/>
      <c r="AT261" s="1421"/>
      <c r="AU261" s="1421"/>
      <c r="AV261" s="1421"/>
      <c r="AW261" s="1421"/>
      <c r="AX261" s="1421"/>
      <c r="AY261" s="1421"/>
    </row>
    <row r="262" spans="1:51">
      <c r="A262" s="1450" t="s">
        <v>148</v>
      </c>
      <c r="B262" s="1451"/>
      <c r="C262" s="1451"/>
      <c r="D262" s="1451"/>
      <c r="E262" s="1451"/>
      <c r="F262" s="1538" t="s">
        <v>642</v>
      </c>
      <c r="G262" s="1451">
        <f t="shared" ref="G262:P262" si="265">+G236/G253</f>
        <v>105.88116137744768</v>
      </c>
      <c r="H262" s="1451">
        <f t="shared" si="265"/>
        <v>108.43489096573211</v>
      </c>
      <c r="I262" s="1451">
        <f t="shared" si="265"/>
        <v>126.43041237113401</v>
      </c>
      <c r="J262" s="1451">
        <f t="shared" si="265"/>
        <v>142.1319034852547</v>
      </c>
      <c r="K262" s="1451">
        <f t="shared" si="265"/>
        <v>167.66112687474666</v>
      </c>
      <c r="L262" s="1451">
        <f t="shared" si="265"/>
        <v>179.18941979522182</v>
      </c>
      <c r="M262" s="1451">
        <f t="shared" si="265"/>
        <v>200.75638234712054</v>
      </c>
      <c r="N262" s="1451">
        <f t="shared" si="265"/>
        <v>215.98162046255169</v>
      </c>
      <c r="O262" s="1451">
        <f t="shared" si="265"/>
        <v>214.57429620563036</v>
      </c>
      <c r="P262" s="1451">
        <f t="shared" si="265"/>
        <v>204.37014104831087</v>
      </c>
      <c r="Q262" s="1451">
        <f t="shared" ref="Q262:V262" si="266">+Q236/Q253</f>
        <v>205.04305570048354</v>
      </c>
      <c r="R262" s="1451">
        <f t="shared" si="266"/>
        <v>212.914762536068</v>
      </c>
      <c r="S262" s="1451">
        <f t="shared" si="266"/>
        <v>215.64195193008013</v>
      </c>
      <c r="T262" s="1451">
        <f t="shared" si="266"/>
        <v>210.01809713905519</v>
      </c>
      <c r="U262" s="1451">
        <f t="shared" si="266"/>
        <v>225.71182389937104</v>
      </c>
      <c r="V262" s="1451">
        <f t="shared" si="266"/>
        <v>238.78134146341466</v>
      </c>
      <c r="W262" s="1451">
        <f t="shared" ref="W262:AB262" si="267">+W236/W253</f>
        <v>253.55774011299428</v>
      </c>
      <c r="X262" s="1451">
        <f t="shared" si="267"/>
        <v>269.75746192893399</v>
      </c>
      <c r="Y262" s="1451">
        <f t="shared" si="267"/>
        <v>276.21008670520229</v>
      </c>
      <c r="Z262" s="1451">
        <f>+Z236/Z253</f>
        <v>292.10353450497348</v>
      </c>
      <c r="AA262" s="1451">
        <f>+AA236/AA253</f>
        <v>311.96980079681271</v>
      </c>
      <c r="AB262" s="1451">
        <f t="shared" si="267"/>
        <v>323.86816176470592</v>
      </c>
      <c r="AC262" s="1451">
        <f t="shared" ref="AC262:AH262" si="268">+AC236/AC253</f>
        <v>332.40554439791993</v>
      </c>
      <c r="AD262" s="1451">
        <f t="shared" si="268"/>
        <v>321.00002421918276</v>
      </c>
      <c r="AE262" s="1451">
        <f t="shared" si="268"/>
        <v>332.7889631617457</v>
      </c>
      <c r="AF262" s="1451">
        <f t="shared" si="268"/>
        <v>346.22466678879334</v>
      </c>
      <c r="AG262" s="1451">
        <f t="shared" si="268"/>
        <v>360.35588022661375</v>
      </c>
      <c r="AH262" s="1451">
        <f t="shared" si="268"/>
        <v>376.7559149552211</v>
      </c>
      <c r="AI262" s="1423"/>
      <c r="AJ262" s="1448"/>
      <c r="AK262" s="1453">
        <f>((X262/S262)^(1/5)-1)*100</f>
        <v>4.5798567242675503</v>
      </c>
      <c r="AL262" s="1454" t="s">
        <v>190</v>
      </c>
      <c r="AM262" s="1453">
        <f>((AC262/X262)^(1/5)-1)*100</f>
        <v>4.2650986437977378</v>
      </c>
      <c r="AN262" s="1454" t="s">
        <v>190</v>
      </c>
      <c r="AO262" s="1455">
        <f>((AH262/AC262)^(1/5)-1)*100</f>
        <v>2.5364704853426234</v>
      </c>
      <c r="AP262" s="1449" t="s">
        <v>190</v>
      </c>
      <c r="AQ262" s="1454"/>
      <c r="AR262" s="1423"/>
      <c r="AS262" s="1421"/>
      <c r="AT262" s="1421"/>
      <c r="AU262" s="1421"/>
      <c r="AV262" s="1421"/>
      <c r="AW262" s="1421"/>
      <c r="AX262" s="1421"/>
      <c r="AY262" s="1421"/>
    </row>
    <row r="263" spans="1:51">
      <c r="A263" s="1450" t="s">
        <v>191</v>
      </c>
      <c r="B263" s="1484"/>
      <c r="C263" s="1484"/>
      <c r="D263" s="1484"/>
      <c r="E263" s="1484"/>
      <c r="F263" s="1484"/>
      <c r="G263" s="1484"/>
      <c r="H263" s="1484">
        <f t="shared" ref="H263:AH263" si="269">H262/G262-1</f>
        <v>2.4118828647721635E-2</v>
      </c>
      <c r="I263" s="1484">
        <f t="shared" si="269"/>
        <v>0.1659569281172506</v>
      </c>
      <c r="J263" s="1484">
        <f t="shared" si="269"/>
        <v>0.12419077672569201</v>
      </c>
      <c r="K263" s="1484">
        <f t="shared" si="269"/>
        <v>0.1796164180137112</v>
      </c>
      <c r="L263" s="1484">
        <f t="shared" si="269"/>
        <v>6.875948608580873E-2</v>
      </c>
      <c r="M263" s="1484">
        <f t="shared" si="269"/>
        <v>0.12035845964870862</v>
      </c>
      <c r="N263" s="1484">
        <f t="shared" si="269"/>
        <v>7.5839372763281565E-2</v>
      </c>
      <c r="O263" s="1484">
        <f t="shared" si="269"/>
        <v>-6.5159445229986401E-3</v>
      </c>
      <c r="P263" s="1484">
        <f t="shared" si="269"/>
        <v>-4.7555347204963794E-2</v>
      </c>
      <c r="Q263" s="1484">
        <f t="shared" si="269"/>
        <v>3.2926270379858291E-3</v>
      </c>
      <c r="R263" s="1484">
        <f t="shared" si="269"/>
        <v>3.8390506855706663E-2</v>
      </c>
      <c r="S263" s="1484">
        <f t="shared" si="269"/>
        <v>1.2808831860825709E-2</v>
      </c>
      <c r="T263" s="1484">
        <f t="shared" si="269"/>
        <v>-2.6079595091257679E-2</v>
      </c>
      <c r="U263" s="1484">
        <f t="shared" si="269"/>
        <v>7.4725592575600075E-2</v>
      </c>
      <c r="V263" s="1484">
        <f t="shared" si="269"/>
        <v>5.7903557457718247E-2</v>
      </c>
      <c r="W263" s="1484">
        <f t="shared" si="269"/>
        <v>6.1882551454899293E-2</v>
      </c>
      <c r="X263" s="1484">
        <f t="shared" si="269"/>
        <v>6.3889675813960656E-2</v>
      </c>
      <c r="Y263" s="1484">
        <f t="shared" si="269"/>
        <v>2.3920097446528565E-2</v>
      </c>
      <c r="Z263" s="1484">
        <f t="shared" si="269"/>
        <v>5.7541156405103377E-2</v>
      </c>
      <c r="AA263" s="1484">
        <f t="shared" si="269"/>
        <v>6.8011043842747476E-2</v>
      </c>
      <c r="AB263" s="1484">
        <f t="shared" si="269"/>
        <v>3.8139463940109586E-2</v>
      </c>
      <c r="AC263" s="1484">
        <f t="shared" si="269"/>
        <v>2.6360672770966875E-2</v>
      </c>
      <c r="AD263" s="1484">
        <f t="shared" si="269"/>
        <v>-3.4312063595075659E-2</v>
      </c>
      <c r="AE263" s="1484">
        <f t="shared" si="269"/>
        <v>3.6725663716814294E-2</v>
      </c>
      <c r="AF263" s="1484">
        <f t="shared" si="269"/>
        <v>4.0373044524669055E-2</v>
      </c>
      <c r="AG263" s="1484">
        <f t="shared" si="269"/>
        <v>4.0815154994259473E-2</v>
      </c>
      <c r="AH263" s="1484">
        <f t="shared" si="269"/>
        <v>4.5510662177328687E-2</v>
      </c>
      <c r="AI263" s="1423"/>
      <c r="AJ263" s="1448"/>
      <c r="AK263" s="1423"/>
      <c r="AL263" s="1423"/>
      <c r="AM263" s="1423"/>
      <c r="AN263" s="1423"/>
      <c r="AO263" s="1423"/>
      <c r="AP263" s="1449"/>
      <c r="AQ263" s="1423"/>
      <c r="AR263" s="1423"/>
      <c r="AS263" s="1421"/>
      <c r="AT263" s="1421"/>
      <c r="AU263" s="1421"/>
      <c r="AV263" s="1421"/>
      <c r="AW263" s="1421"/>
      <c r="AX263" s="1421"/>
      <c r="AY263" s="1421"/>
    </row>
    <row r="264" spans="1:51">
      <c r="A264" s="1421"/>
      <c r="B264" s="1421"/>
      <c r="C264" s="1421"/>
      <c r="D264" s="1421"/>
      <c r="E264" s="1421"/>
      <c r="F264" s="1421"/>
      <c r="G264" s="1421"/>
      <c r="H264" s="1525"/>
      <c r="I264" s="1525"/>
      <c r="J264" s="1525"/>
      <c r="K264" s="1525"/>
      <c r="L264" s="1525"/>
      <c r="M264" s="1525"/>
      <c r="N264" s="1525"/>
      <c r="O264" s="1525"/>
      <c r="P264" s="1421"/>
      <c r="Q264" s="1421"/>
      <c r="R264" s="1421"/>
      <c r="S264" s="1421"/>
      <c r="T264" s="1421"/>
      <c r="U264" s="1421"/>
      <c r="V264" s="1421"/>
      <c r="W264" s="1421"/>
      <c r="X264" s="1421"/>
      <c r="Y264" s="1421"/>
      <c r="Z264" s="1421"/>
      <c r="AA264" s="1421"/>
      <c r="AB264" s="1421"/>
      <c r="AC264" s="1421"/>
      <c r="AD264" s="1421"/>
      <c r="AE264" s="1421"/>
      <c r="AF264" s="1421"/>
      <c r="AG264" s="1421"/>
      <c r="AH264" s="1421"/>
      <c r="AI264" s="1423"/>
      <c r="AJ264" s="1448"/>
      <c r="AK264" s="1423"/>
      <c r="AL264" s="1423"/>
      <c r="AM264" s="1423"/>
      <c r="AN264" s="1423"/>
      <c r="AO264" s="1423"/>
      <c r="AP264" s="1449"/>
      <c r="AQ264" s="1423"/>
      <c r="AR264" s="1423"/>
      <c r="AS264" s="1421"/>
      <c r="AT264" s="1421"/>
      <c r="AU264" s="1421"/>
      <c r="AV264" s="1421"/>
      <c r="AW264" s="1421"/>
      <c r="AX264" s="1421"/>
      <c r="AY264" s="1421"/>
    </row>
    <row r="265" spans="1:51">
      <c r="A265" s="1450" t="s">
        <v>506</v>
      </c>
      <c r="B265" s="1484"/>
      <c r="C265" s="1484"/>
      <c r="D265" s="1484"/>
      <c r="E265" s="1525"/>
      <c r="F265" s="1525">
        <f>'SegP&amp;L'!$AK$43/100</f>
        <v>0.13</v>
      </c>
      <c r="G265" s="1525">
        <f>'SegP&amp;L'!$AK$50/100</f>
        <v>0.01</v>
      </c>
      <c r="H265" s="1525">
        <f>'SegP&amp;L'!$AK$57/100</f>
        <v>0.02</v>
      </c>
      <c r="I265" s="1525">
        <f>'SegP&amp;L'!$AK$64/100</f>
        <v>0.13</v>
      </c>
      <c r="J265" s="1525">
        <f>'SegP&amp;L'!$AK$71/100</f>
        <v>0.09</v>
      </c>
      <c r="K265" s="1525">
        <f>'SegP&amp;L'!$AK$78/100</f>
        <v>0.13</v>
      </c>
      <c r="L265" s="1525">
        <f>'SegP&amp;L'!$AK$85/100</f>
        <v>0.03</v>
      </c>
      <c r="M265" s="1525">
        <f>'SegP&amp;L'!$AK$92/100</f>
        <v>7.0000000000000007E-2</v>
      </c>
      <c r="N265" s="1525">
        <f>'SegP&amp;L'!$AK$99/100</f>
        <v>0.06</v>
      </c>
      <c r="O265" s="1525">
        <f>'SegP&amp;L'!$AK$106/100</f>
        <v>0.01</v>
      </c>
      <c r="P265" s="1525">
        <f>'SegP&amp;L'!$AK$113/100</f>
        <v>1.3643021236559937E-2</v>
      </c>
      <c r="Q265" s="1525">
        <f>+SegqtrSales!F615/100</f>
        <v>1.5161923876062262E-2</v>
      </c>
      <c r="R265" s="1484">
        <f>SegqtrSales!$F$622/100</f>
        <v>0.04</v>
      </c>
      <c r="S265" s="1484">
        <f>SegqtrSales!$F$629/100</f>
        <v>0.03</v>
      </c>
      <c r="T265" s="1484">
        <f>SegqtrSales!F636*0.01</f>
        <v>-0.03</v>
      </c>
      <c r="U265" s="1484">
        <f>SegqtrSales!$F$643*0.01</f>
        <v>0.09</v>
      </c>
      <c r="V265" s="1484">
        <f>SegqtrSales!$F$650*0.01</f>
        <v>0.06</v>
      </c>
      <c r="W265" s="1484">
        <f>SegqtrSales!$F$657*0.01</f>
        <v>0.06</v>
      </c>
      <c r="X265" s="1484">
        <f>SegqtrSales!$F$664*0.01</f>
        <v>7.0000000000000007E-2</v>
      </c>
      <c r="Y265" s="1484">
        <f>SegqtrSales!$F$671*0.01</f>
        <v>7.0000000000000007E-2</v>
      </c>
      <c r="Z265" s="1484">
        <f>'SegP&amp;L'!$AK$183*0.01</f>
        <v>7.0000000000000007E-2</v>
      </c>
      <c r="AA265" s="1484">
        <f>'SegP&amp;L'!$AK$190*0.01</f>
        <v>0.08</v>
      </c>
      <c r="AB265" s="1484">
        <f>'SegP&amp;L'!$AK$197*0.01</f>
        <v>0.06</v>
      </c>
      <c r="AC265" s="1484">
        <f>'SegP&amp;L'!$AK$204/100</f>
        <v>0.04</v>
      </c>
      <c r="AD265" s="1484">
        <f>'SegP&amp;L'!$AK$211/100</f>
        <v>2.7735734150023558E-2</v>
      </c>
      <c r="AE265" s="1489">
        <v>0.05</v>
      </c>
      <c r="AF265" s="1489">
        <v>0.05</v>
      </c>
      <c r="AG265" s="1489">
        <v>0.05</v>
      </c>
      <c r="AH265" s="1489">
        <v>0.05</v>
      </c>
      <c r="AI265" s="1490"/>
      <c r="AJ265" s="1491"/>
      <c r="AK265" s="1423"/>
      <c r="AL265" s="1423"/>
      <c r="AM265" s="1423"/>
      <c r="AN265" s="1423"/>
      <c r="AO265" s="1423"/>
      <c r="AP265" s="1449"/>
      <c r="AQ265" s="1423"/>
      <c r="AR265" s="1423"/>
      <c r="AS265" s="1421"/>
      <c r="AT265" s="1421"/>
      <c r="AU265" s="1421"/>
      <c r="AV265" s="1421"/>
      <c r="AW265" s="1421"/>
      <c r="AX265" s="1421"/>
      <c r="AY265" s="1421"/>
    </row>
    <row r="266" spans="1:51">
      <c r="A266" s="1450" t="s">
        <v>365</v>
      </c>
      <c r="B266" s="1484"/>
      <c r="C266" s="1484"/>
      <c r="D266" s="1484"/>
      <c r="E266" s="1484"/>
      <c r="F266" s="1484"/>
      <c r="G266" s="1484"/>
      <c r="H266" s="1525">
        <f t="shared" ref="H266:Y266" si="270">+H237-H265</f>
        <v>8.986544225495853E-2</v>
      </c>
      <c r="I266" s="1525">
        <f t="shared" si="270"/>
        <v>-2.5450763626336803E-3</v>
      </c>
      <c r="J266" s="1525">
        <f t="shared" si="270"/>
        <v>0.26091224136173696</v>
      </c>
      <c r="K266" s="1525">
        <f t="shared" si="270"/>
        <v>0.43038268270231927</v>
      </c>
      <c r="L266" s="1525">
        <f t="shared" si="270"/>
        <v>0.4932097093950969</v>
      </c>
      <c r="M266" s="1525">
        <f t="shared" si="270"/>
        <v>0.5401169785565767</v>
      </c>
      <c r="N266" s="1525">
        <f t="shared" si="270"/>
        <v>0.33009603498346834</v>
      </c>
      <c r="O266" s="1525">
        <f t="shared" si="270"/>
        <v>0.23318651144847635</v>
      </c>
      <c r="P266" s="1525">
        <f t="shared" si="270"/>
        <v>0.14195469522916412</v>
      </c>
      <c r="Q266" s="1525">
        <f t="shared" si="270"/>
        <v>0.15655004238395945</v>
      </c>
      <c r="R266" s="1525">
        <f t="shared" si="270"/>
        <v>0.11018612230316441</v>
      </c>
      <c r="S266" s="1525">
        <f t="shared" si="270"/>
        <v>5.4447107654147758E-2</v>
      </c>
      <c r="T266" s="1525">
        <f t="shared" si="270"/>
        <v>9.6134281557057361E-2</v>
      </c>
      <c r="U266" s="1525">
        <f t="shared" si="270"/>
        <v>4.6935257614906328E-2</v>
      </c>
      <c r="V266" s="1525">
        <f t="shared" si="270"/>
        <v>3.1170964924941924E-2</v>
      </c>
      <c r="W266" s="1525">
        <f t="shared" si="270"/>
        <v>8.6056168338519534E-2</v>
      </c>
      <c r="X266" s="1525">
        <f t="shared" si="270"/>
        <v>0.1141031985048036</v>
      </c>
      <c r="Y266" s="1525">
        <f t="shared" si="270"/>
        <v>5.6681572580144224E-2</v>
      </c>
      <c r="Z266" s="1525">
        <f>+Z237-Z265</f>
        <v>7.0477493204102848E-2</v>
      </c>
      <c r="AA266" s="1525">
        <f>+AA237-AA265</f>
        <v>6.6723397225994033E-2</v>
      </c>
      <c r="AB266" s="1525">
        <f>+AB237-AB265</f>
        <v>6.4995753751831586E-2</v>
      </c>
      <c r="AC266" s="1525">
        <f>+AC237-AC265</f>
        <v>0.12158558527469079</v>
      </c>
      <c r="AD266" s="1525">
        <f>+AD237-AD265</f>
        <v>9.0258488737954001E-2</v>
      </c>
      <c r="AE266" s="1525">
        <f>AE254*AE270</f>
        <v>8.737864077669899E-2</v>
      </c>
      <c r="AF266" s="1525">
        <f>AF254*AF270</f>
        <v>4.2983565107459085E-2</v>
      </c>
      <c r="AG266" s="1525">
        <f>AG254*AG270</f>
        <v>4.0914560770156323E-2</v>
      </c>
      <c r="AH266" s="1525">
        <f>AH254*AH270</f>
        <v>1.9517795637198621E-2</v>
      </c>
      <c r="AI266" s="1490"/>
      <c r="AJ266" s="1491"/>
      <c r="AK266" s="1423"/>
      <c r="AL266" s="1423"/>
      <c r="AM266" s="1423"/>
      <c r="AN266" s="1423"/>
      <c r="AO266" s="1423"/>
      <c r="AP266" s="1449"/>
      <c r="AQ266" s="1423"/>
      <c r="AR266" s="1423"/>
      <c r="AS266" s="1421"/>
      <c r="AT266" s="1421"/>
      <c r="AU266" s="1421"/>
      <c r="AV266" s="1421"/>
      <c r="AW266" s="1421"/>
      <c r="AX266" s="1421"/>
      <c r="AY266" s="1421"/>
    </row>
    <row r="267" spans="1:51">
      <c r="A267" s="1421"/>
      <c r="B267" s="1421"/>
      <c r="C267" s="1421"/>
      <c r="D267" s="1421"/>
      <c r="E267" s="1421"/>
      <c r="F267" s="1421"/>
      <c r="G267" s="1421"/>
      <c r="H267" s="1421"/>
      <c r="I267" s="1421"/>
      <c r="J267" s="1421"/>
      <c r="K267" s="1421"/>
      <c r="L267" s="1421"/>
      <c r="M267" s="1421"/>
      <c r="N267" s="1421"/>
      <c r="O267" s="1421"/>
      <c r="P267" s="1421"/>
      <c r="Q267" s="1421"/>
      <c r="R267" s="1421"/>
      <c r="S267" s="1421"/>
      <c r="T267" s="1421"/>
      <c r="U267" s="1421"/>
      <c r="V267" s="1421"/>
      <c r="W267" s="1421"/>
      <c r="X267" s="1421"/>
      <c r="Y267" s="1421"/>
      <c r="Z267" s="1421"/>
      <c r="AA267" s="1421"/>
      <c r="AB267" s="1421"/>
      <c r="AC267" s="1421"/>
      <c r="AD267" s="1421"/>
      <c r="AE267" s="1421"/>
      <c r="AF267" s="1421"/>
      <c r="AG267" s="1421"/>
      <c r="AH267" s="1421"/>
      <c r="AI267" s="1423"/>
      <c r="AJ267" s="1448"/>
      <c r="AK267" s="1423"/>
      <c r="AL267" s="1423"/>
      <c r="AM267" s="1423"/>
      <c r="AN267" s="1423"/>
      <c r="AO267" s="1423"/>
      <c r="AP267" s="1449"/>
      <c r="AQ267" s="1423"/>
      <c r="AR267" s="1423"/>
      <c r="AS267" s="1421"/>
      <c r="AT267" s="1421"/>
      <c r="AU267" s="1421"/>
      <c r="AV267" s="1421"/>
      <c r="AW267" s="1421"/>
      <c r="AX267" s="1421"/>
      <c r="AY267" s="1421"/>
    </row>
    <row r="268" spans="1:51">
      <c r="A268" s="1450" t="s">
        <v>432</v>
      </c>
      <c r="B268" s="1482"/>
      <c r="C268" s="1482"/>
      <c r="D268" s="1482"/>
      <c r="E268" s="1482"/>
      <c r="F268" s="1482"/>
      <c r="G268" s="1482">
        <f t="shared" ref="G268:AB268" si="271">+(G256-F256)*1000000/(G246-G242)</f>
        <v>26142.857142857134</v>
      </c>
      <c r="H268" s="1482">
        <f t="shared" si="271"/>
        <v>58999.999999999942</v>
      </c>
      <c r="I268" s="1482">
        <f t="shared" si="271"/>
        <v>3000.0000000000027</v>
      </c>
      <c r="J268" s="1482">
        <f t="shared" si="271"/>
        <v>25583.333333333339</v>
      </c>
      <c r="K268" s="1482">
        <f t="shared" si="271"/>
        <v>18437.499999999996</v>
      </c>
      <c r="L268" s="1482">
        <f t="shared" si="271"/>
        <v>25133.333333333325</v>
      </c>
      <c r="M268" s="1482">
        <f t="shared" si="271"/>
        <v>25258.064516129045</v>
      </c>
      <c r="N268" s="1482">
        <f t="shared" si="271"/>
        <v>23100.000000000004</v>
      </c>
      <c r="O268" s="1482">
        <f t="shared" si="271"/>
        <v>23700</v>
      </c>
      <c r="P268" s="1482">
        <f t="shared" si="271"/>
        <v>23371.529411764706</v>
      </c>
      <c r="Q268" s="1482">
        <f t="shared" si="271"/>
        <v>24839.085714285706</v>
      </c>
      <c r="R268" s="1482">
        <f t="shared" si="271"/>
        <v>19842.105263157882</v>
      </c>
      <c r="S268" s="1482">
        <f t="shared" si="271"/>
        <v>27894.736842105274</v>
      </c>
      <c r="T268" s="1482">
        <f t="shared" si="271"/>
        <v>26551.724137931051</v>
      </c>
      <c r="U268" s="1482">
        <f t="shared" si="271"/>
        <v>19999.999999999931</v>
      </c>
      <c r="V268" s="1482">
        <f t="shared" si="271"/>
        <v>30769.230769230795</v>
      </c>
      <c r="W268" s="1482">
        <f t="shared" si="271"/>
        <v>23684.210526315797</v>
      </c>
      <c r="X268" s="1482">
        <f t="shared" si="271"/>
        <v>26829.268292682915</v>
      </c>
      <c r="Y268" s="1482">
        <f t="shared" si="271"/>
        <v>25060.240963855409</v>
      </c>
      <c r="Z268" s="1482">
        <f t="shared" si="271"/>
        <v>22240.312601758378</v>
      </c>
      <c r="AA268" s="1482">
        <f t="shared" si="271"/>
        <v>23076.923076923085</v>
      </c>
      <c r="AB268" s="1482">
        <f t="shared" si="271"/>
        <v>22641.509433962252</v>
      </c>
      <c r="AC268" s="1482">
        <f t="shared" ref="AC268:AH268" si="272">+(AC256-AB256)*1000000/(AC246-AC242)</f>
        <v>25909.241196892082</v>
      </c>
      <c r="AD268" s="1482">
        <f t="shared" si="272"/>
        <v>24714.828897338382</v>
      </c>
      <c r="AE268" s="1482">
        <f t="shared" si="272"/>
        <v>24714.828897338404</v>
      </c>
      <c r="AF268" s="1482">
        <f t="shared" si="272"/>
        <v>24714.828897338404</v>
      </c>
      <c r="AG268" s="1482">
        <f t="shared" si="272"/>
        <v>24714.828897338404</v>
      </c>
      <c r="AH268" s="1482">
        <f t="shared" si="272"/>
        <v>0</v>
      </c>
      <c r="AI268" s="1478"/>
      <c r="AJ268" s="1479"/>
      <c r="AK268" s="1478"/>
      <c r="AL268" s="1478"/>
      <c r="AM268" s="1423"/>
      <c r="AN268" s="1478"/>
      <c r="AO268" s="1423"/>
      <c r="AP268" s="1449"/>
      <c r="AQ268" s="1423"/>
      <c r="AR268" s="1423"/>
      <c r="AS268" s="1421"/>
      <c r="AT268" s="1421"/>
      <c r="AU268" s="1421"/>
      <c r="AV268" s="1421"/>
      <c r="AW268" s="1421"/>
      <c r="AX268" s="1421"/>
      <c r="AY268" s="1421"/>
    </row>
    <row r="269" spans="1:51">
      <c r="A269" s="1421"/>
      <c r="B269" s="1421"/>
      <c r="C269" s="1421"/>
      <c r="D269" s="1421"/>
      <c r="E269" s="1421"/>
      <c r="F269" s="1421"/>
      <c r="G269" s="1421"/>
      <c r="H269" s="1421"/>
      <c r="I269" s="1421"/>
      <c r="J269" s="1421"/>
      <c r="K269" s="1421"/>
      <c r="L269" s="1526"/>
      <c r="M269" s="1421"/>
      <c r="N269" s="1421"/>
      <c r="O269" s="1421"/>
      <c r="P269" s="1421"/>
      <c r="Q269" s="1421"/>
      <c r="R269" s="1421"/>
      <c r="S269" s="1421"/>
      <c r="T269" s="1421"/>
      <c r="U269" s="1421"/>
      <c r="V269" s="1421"/>
      <c r="W269" s="1421"/>
      <c r="X269" s="1421"/>
      <c r="Y269" s="1421"/>
      <c r="Z269" s="1421"/>
      <c r="AA269" s="1421"/>
      <c r="AB269" s="1421"/>
      <c r="AC269" s="1421"/>
      <c r="AD269" s="1421"/>
      <c r="AE269" s="1421"/>
      <c r="AF269" s="1421"/>
      <c r="AG269" s="1421"/>
      <c r="AH269" s="1421"/>
      <c r="AI269" s="1423"/>
      <c r="AJ269" s="1448"/>
      <c r="AK269" s="1423"/>
      <c r="AL269" s="1423"/>
      <c r="AM269" s="1423"/>
      <c r="AN269" s="1423"/>
      <c r="AO269" s="1423"/>
      <c r="AP269" s="1449"/>
      <c r="AQ269" s="1423"/>
      <c r="AR269" s="1423"/>
      <c r="AS269" s="1421"/>
      <c r="AT269" s="1421"/>
      <c r="AU269" s="1421"/>
      <c r="AV269" s="1421"/>
      <c r="AW269" s="1421"/>
      <c r="AX269" s="1421"/>
      <c r="AY269" s="1421"/>
    </row>
    <row r="270" spans="1:51">
      <c r="A270" s="1450" t="s">
        <v>507</v>
      </c>
      <c r="B270" s="1445"/>
      <c r="C270" s="1445"/>
      <c r="D270" s="1445"/>
      <c r="E270" s="1445"/>
      <c r="F270" s="1445"/>
      <c r="G270" s="1445"/>
      <c r="H270" s="1481">
        <f t="shared" ref="H270:X270" si="273">H266/H254</f>
        <v>1.0733122578999459</v>
      </c>
      <c r="I270" s="1481">
        <f t="shared" si="273"/>
        <v>7.7072595509944664E-2</v>
      </c>
      <c r="J270" s="1481">
        <f t="shared" si="273"/>
        <v>1.2937245961450972</v>
      </c>
      <c r="K270" s="1481">
        <f t="shared" si="273"/>
        <v>1.3333284106973846</v>
      </c>
      <c r="L270" s="1481">
        <f t="shared" si="273"/>
        <v>1.1599126340111576</v>
      </c>
      <c r="M270" s="1481">
        <f t="shared" si="273"/>
        <v>1.2355571220591568</v>
      </c>
      <c r="N270" s="1481">
        <f t="shared" si="273"/>
        <v>1.1300645425280929</v>
      </c>
      <c r="O270" s="1481">
        <f t="shared" si="273"/>
        <v>0.92777253701834339</v>
      </c>
      <c r="P270" s="1481">
        <f t="shared" si="273"/>
        <v>0.66552769604957907</v>
      </c>
      <c r="Q270" s="1481">
        <f t="shared" si="273"/>
        <v>0.93258591330324059</v>
      </c>
      <c r="R270" s="1481">
        <f t="shared" si="273"/>
        <v>1.0234410618779732</v>
      </c>
      <c r="S270" s="1481">
        <f t="shared" si="273"/>
        <v>0.76976324305307364</v>
      </c>
      <c r="T270" s="1481">
        <f t="shared" si="273"/>
        <v>1.0153259121372282</v>
      </c>
      <c r="U270" s="1481">
        <f t="shared" si="273"/>
        <v>0.8108470367264855</v>
      </c>
      <c r="V270" s="1481">
        <f t="shared" si="273"/>
        <v>0.9912366846131534</v>
      </c>
      <c r="W270" s="1481">
        <f t="shared" si="273"/>
        <v>1.0856316621167039</v>
      </c>
      <c r="X270" s="1481">
        <f t="shared" si="273"/>
        <v>1.0098133067675112</v>
      </c>
      <c r="Y270" s="1481">
        <f t="shared" ref="Y270:AD270" si="274">Y266/Y254</f>
        <v>0.56477781429490481</v>
      </c>
      <c r="Z270" s="1481">
        <f t="shared" si="274"/>
        <v>0.8986754484253846</v>
      </c>
      <c r="AA270" s="1481">
        <f t="shared" si="274"/>
        <v>0.90533851494822304</v>
      </c>
      <c r="AB270" s="1481">
        <f t="shared" si="274"/>
        <v>0.77685400912903535</v>
      </c>
      <c r="AC270" s="1481">
        <f t="shared" si="274"/>
        <v>0.92283781731673931</v>
      </c>
      <c r="AD270" s="2075">
        <f t="shared" si="274"/>
        <v>0.57227797844102923</v>
      </c>
      <c r="AE270" s="1527">
        <v>0.9</v>
      </c>
      <c r="AF270" s="1527">
        <v>0.85</v>
      </c>
      <c r="AG270" s="1527">
        <v>0.85</v>
      </c>
      <c r="AH270" s="1527">
        <v>0.85</v>
      </c>
      <c r="AI270" s="1423"/>
      <c r="AJ270" s="1493"/>
      <c r="AK270" s="1425"/>
      <c r="AL270" s="1425"/>
      <c r="AM270" s="1425"/>
      <c r="AN270" s="1425"/>
      <c r="AO270" s="1425"/>
      <c r="AP270" s="1494"/>
      <c r="AQ270" s="1423"/>
      <c r="AR270" s="1423"/>
      <c r="AS270" s="1421"/>
      <c r="AT270" s="1421"/>
      <c r="AU270" s="1421"/>
      <c r="AV270" s="1421"/>
      <c r="AW270" s="1421"/>
      <c r="AX270" s="1421"/>
      <c r="AY270" s="1421"/>
    </row>
    <row r="271" spans="1:51">
      <c r="A271" s="467"/>
      <c r="B271" s="467"/>
      <c r="C271" s="467"/>
      <c r="D271" s="467"/>
      <c r="E271" s="467"/>
      <c r="F271" s="467"/>
      <c r="G271" s="467"/>
      <c r="H271" s="467"/>
      <c r="I271" s="467"/>
      <c r="J271" s="467"/>
      <c r="K271" s="467"/>
      <c r="L271" s="467"/>
      <c r="M271" s="467"/>
      <c r="N271" s="467"/>
      <c r="O271" s="467"/>
      <c r="P271" s="467"/>
      <c r="Q271" s="467"/>
      <c r="R271" s="467"/>
      <c r="S271" s="467"/>
      <c r="T271" s="467"/>
      <c r="U271" s="467"/>
      <c r="V271" s="467"/>
      <c r="W271" s="467"/>
      <c r="X271" s="467"/>
      <c r="Y271" s="467"/>
      <c r="Z271" s="467"/>
      <c r="AA271" s="467"/>
      <c r="AB271" s="467"/>
      <c r="AC271" s="467"/>
      <c r="AD271" s="467"/>
      <c r="AE271" s="467"/>
      <c r="AF271" s="467"/>
      <c r="AG271" s="467"/>
      <c r="AH271" s="467"/>
      <c r="AI271" s="1499"/>
      <c r="AJ271" s="467"/>
      <c r="AK271" s="467"/>
      <c r="AL271" s="467"/>
      <c r="AM271" s="1499"/>
      <c r="AN271" s="467"/>
      <c r="AO271" s="1499"/>
      <c r="AP271" s="1499"/>
      <c r="AQ271" s="1499"/>
      <c r="AR271" s="1499"/>
      <c r="AS271" s="467"/>
      <c r="AT271" s="467"/>
      <c r="AU271" s="467"/>
      <c r="AV271" s="467"/>
      <c r="AW271" s="467"/>
      <c r="AX271" s="467"/>
      <c r="AY271" s="467"/>
    </row>
    <row r="272" spans="1:51">
      <c r="A272" s="467"/>
      <c r="B272" s="467"/>
      <c r="C272" s="467"/>
      <c r="D272" s="467"/>
      <c r="E272" s="467"/>
      <c r="F272" s="467"/>
      <c r="G272" s="467"/>
      <c r="H272" s="467"/>
      <c r="I272" s="467"/>
      <c r="J272" s="467"/>
      <c r="K272" s="467"/>
      <c r="L272" s="467"/>
      <c r="M272" s="467"/>
      <c r="N272" s="467"/>
      <c r="O272" s="467"/>
      <c r="P272" s="467"/>
      <c r="Q272" s="467"/>
      <c r="R272" s="467"/>
      <c r="S272" s="467"/>
      <c r="T272" s="467"/>
      <c r="U272" s="467"/>
      <c r="V272" s="467"/>
      <c r="W272" s="467"/>
      <c r="X272" s="467"/>
      <c r="Y272" s="467"/>
      <c r="Z272" s="467"/>
      <c r="AA272" s="467"/>
      <c r="AB272" s="467"/>
      <c r="AC272" s="467"/>
      <c r="AD272" s="467"/>
      <c r="AE272" s="467"/>
      <c r="AF272" s="467"/>
      <c r="AG272" s="467"/>
      <c r="AH272" s="467"/>
      <c r="AI272" s="1499"/>
      <c r="AJ272" s="467"/>
      <c r="AK272" s="467"/>
      <c r="AL272" s="467"/>
      <c r="AM272" s="1499"/>
      <c r="AN272" s="467"/>
      <c r="AO272" s="1499"/>
      <c r="AP272" s="1499"/>
      <c r="AQ272" s="1499"/>
      <c r="AR272" s="1499"/>
      <c r="AS272" s="467"/>
      <c r="AT272" s="467"/>
      <c r="AU272" s="467"/>
      <c r="AV272" s="467"/>
      <c r="AW272" s="467"/>
      <c r="AX272" s="467"/>
      <c r="AY272" s="467"/>
    </row>
    <row r="273" spans="1:51" hidden="1" outlineLevel="1">
      <c r="A273" s="1503" t="s">
        <v>374</v>
      </c>
      <c r="B273" s="1421"/>
      <c r="C273" s="1421"/>
      <c r="D273" s="1421"/>
      <c r="E273" s="1421"/>
      <c r="F273" s="1421"/>
      <c r="G273" s="1421"/>
      <c r="H273" s="1421"/>
      <c r="I273" s="1421"/>
      <c r="J273" s="1421"/>
      <c r="K273" s="1421"/>
      <c r="L273" s="1421"/>
      <c r="M273" s="1421"/>
      <c r="N273" s="1421"/>
      <c r="O273" s="1421"/>
      <c r="P273" s="467"/>
      <c r="Q273" s="467"/>
      <c r="R273" s="467"/>
      <c r="S273" s="467"/>
      <c r="T273" s="467"/>
      <c r="U273" s="467"/>
      <c r="V273" s="467"/>
      <c r="W273" s="467"/>
      <c r="X273" s="467"/>
      <c r="Y273" s="467"/>
      <c r="Z273" s="467"/>
      <c r="AA273" s="467"/>
      <c r="AB273" s="467"/>
      <c r="AC273" s="467"/>
      <c r="AD273" s="467"/>
      <c r="AE273" s="467"/>
      <c r="AF273" s="467"/>
      <c r="AG273" s="467"/>
      <c r="AH273" s="467"/>
      <c r="AI273" s="1423"/>
      <c r="AJ273" s="1421"/>
      <c r="AK273" s="1421"/>
      <c r="AL273" s="1421"/>
      <c r="AM273" s="1423"/>
      <c r="AN273" s="1421"/>
      <c r="AO273" s="1423"/>
      <c r="AP273" s="1423"/>
      <c r="AQ273" s="1423"/>
      <c r="AR273" s="1423"/>
      <c r="AS273" s="1421"/>
      <c r="AT273" s="1421"/>
      <c r="AU273" s="1421"/>
      <c r="AV273" s="1421"/>
      <c r="AW273" s="1421"/>
      <c r="AX273" s="1421"/>
      <c r="AY273" s="1421"/>
    </row>
    <row r="274" spans="1:51" hidden="1" outlineLevel="1">
      <c r="A274" s="1504" t="str">
        <f>+A232</f>
        <v>Annual Sales Model, Fiscal 2002A-2022E</v>
      </c>
      <c r="B274" s="1425"/>
      <c r="C274" s="1425"/>
      <c r="D274" s="1425"/>
      <c r="E274" s="1425"/>
      <c r="F274" s="1425"/>
      <c r="G274" s="1425"/>
      <c r="H274" s="1425"/>
      <c r="I274" s="1425"/>
      <c r="J274" s="1425"/>
      <c r="K274" s="1425"/>
      <c r="L274" s="1425"/>
      <c r="M274" s="1425"/>
      <c r="N274" s="1425"/>
      <c r="O274" s="1425"/>
      <c r="P274" s="1425"/>
      <c r="Q274" s="1425"/>
      <c r="R274" s="1425"/>
      <c r="S274" s="1425"/>
      <c r="T274" s="1425"/>
      <c r="U274" s="1425"/>
      <c r="V274" s="1425"/>
      <c r="W274" s="1425"/>
      <c r="X274" s="1425"/>
      <c r="Y274" s="1425"/>
      <c r="Z274" s="1425"/>
      <c r="AA274" s="1425"/>
      <c r="AB274" s="1425"/>
      <c r="AC274" s="1425"/>
      <c r="AD274" s="1425"/>
      <c r="AE274" s="1425"/>
      <c r="AF274" s="1425"/>
      <c r="AG274" s="1425"/>
      <c r="AH274" s="1425"/>
      <c r="AI274" s="1423"/>
      <c r="AJ274" s="1425"/>
      <c r="AK274" s="1425"/>
      <c r="AL274" s="1425"/>
      <c r="AM274" s="1425"/>
      <c r="AN274" s="1425"/>
      <c r="AO274" s="1425"/>
      <c r="AP274" s="1425"/>
      <c r="AQ274" s="1423"/>
      <c r="AR274" s="1423"/>
      <c r="AS274" s="1421"/>
      <c r="AT274" s="1421"/>
      <c r="AU274" s="1421"/>
      <c r="AV274" s="1421"/>
      <c r="AW274" s="1421"/>
      <c r="AX274" s="1421"/>
      <c r="AY274" s="1421"/>
    </row>
    <row r="275" spans="1:51" hidden="1" outlineLevel="1">
      <c r="A275" s="1427"/>
      <c r="B275" s="1421"/>
      <c r="C275" s="1421"/>
      <c r="D275" s="1421"/>
      <c r="E275" s="1421"/>
      <c r="F275" s="1421"/>
      <c r="G275" s="1421"/>
      <c r="H275" s="1421"/>
      <c r="I275" s="1421"/>
      <c r="J275" s="1421"/>
      <c r="K275" s="1421"/>
      <c r="L275" s="1421"/>
      <c r="M275" s="1421"/>
      <c r="N275" s="1421"/>
      <c r="O275" s="1421"/>
      <c r="P275" s="1421"/>
      <c r="Q275" s="1421"/>
      <c r="R275" s="1421"/>
      <c r="S275" s="1421"/>
      <c r="T275" s="1421"/>
      <c r="U275" s="1421"/>
      <c r="V275" s="1421"/>
      <c r="W275" s="1421"/>
      <c r="X275" s="1421"/>
      <c r="Y275" s="1421"/>
      <c r="Z275" s="1421"/>
      <c r="AA275" s="1421"/>
      <c r="AB275" s="1421"/>
      <c r="AC275" s="1421"/>
      <c r="AD275" s="1421"/>
      <c r="AE275" s="1421"/>
      <c r="AF275" s="1421"/>
      <c r="AG275" s="1421"/>
      <c r="AH275" s="1421"/>
      <c r="AI275" s="1423"/>
      <c r="AJ275" s="1505"/>
      <c r="AK275" s="1506"/>
      <c r="AL275" s="1441" t="s">
        <v>188</v>
      </c>
      <c r="AM275" s="1423"/>
      <c r="AN275" s="1441" t="s">
        <v>188</v>
      </c>
      <c r="AO275" s="1423"/>
      <c r="AP275" s="1449"/>
      <c r="AQ275" s="1423"/>
      <c r="AR275" s="1423"/>
      <c r="AS275" s="1421"/>
      <c r="AT275" s="1421"/>
      <c r="AU275" s="1421"/>
      <c r="AV275" s="1421"/>
      <c r="AW275" s="1421"/>
      <c r="AX275" s="1421"/>
      <c r="AY275" s="1421"/>
    </row>
    <row r="276" spans="1:51" hidden="1" outlineLevel="1">
      <c r="A276" s="1434"/>
      <c r="B276" s="1435">
        <f>+B5</f>
        <v>1990</v>
      </c>
      <c r="C276" s="1436">
        <f>+C5</f>
        <v>1991</v>
      </c>
      <c r="D276" s="1436">
        <f t="shared" ref="D276:Q276" si="275">+D5</f>
        <v>1992</v>
      </c>
      <c r="E276" s="1436">
        <f t="shared" si="275"/>
        <v>1993</v>
      </c>
      <c r="F276" s="1436">
        <f t="shared" si="275"/>
        <v>1994</v>
      </c>
      <c r="G276" s="1436">
        <f t="shared" si="275"/>
        <v>1995</v>
      </c>
      <c r="H276" s="1436">
        <f t="shared" si="275"/>
        <v>1996</v>
      </c>
      <c r="I276" s="1436">
        <f t="shared" si="275"/>
        <v>1997</v>
      </c>
      <c r="J276" s="1436">
        <f t="shared" si="275"/>
        <v>1998</v>
      </c>
      <c r="K276" s="1436">
        <f t="shared" si="275"/>
        <v>1999</v>
      </c>
      <c r="L276" s="1436">
        <f>+L5</f>
        <v>2000</v>
      </c>
      <c r="M276" s="1436">
        <f t="shared" si="275"/>
        <v>2001</v>
      </c>
      <c r="N276" s="1436">
        <f t="shared" si="275"/>
        <v>2002</v>
      </c>
      <c r="O276" s="1436">
        <f t="shared" si="275"/>
        <v>2003</v>
      </c>
      <c r="P276" s="1436">
        <f t="shared" si="275"/>
        <v>2004</v>
      </c>
      <c r="Q276" s="1437">
        <f t="shared" si="275"/>
        <v>2005</v>
      </c>
      <c r="R276" s="1437">
        <f t="shared" ref="R276:AH276" si="276">+R$5</f>
        <v>2006</v>
      </c>
      <c r="S276" s="1437">
        <f t="shared" si="276"/>
        <v>2007</v>
      </c>
      <c r="T276" s="1437">
        <f t="shared" si="276"/>
        <v>2008</v>
      </c>
      <c r="U276" s="1437">
        <f t="shared" si="276"/>
        <v>2009</v>
      </c>
      <c r="V276" s="1437">
        <f t="shared" si="276"/>
        <v>2010</v>
      </c>
      <c r="W276" s="1438">
        <f t="shared" si="276"/>
        <v>2011</v>
      </c>
      <c r="X276" s="1438">
        <f t="shared" si="276"/>
        <v>2012</v>
      </c>
      <c r="Y276" s="1438">
        <f t="shared" si="276"/>
        <v>2013</v>
      </c>
      <c r="Z276" s="1438">
        <f t="shared" si="276"/>
        <v>2014</v>
      </c>
      <c r="AA276" s="1438">
        <f t="shared" si="276"/>
        <v>2015</v>
      </c>
      <c r="AB276" s="1438">
        <f t="shared" si="276"/>
        <v>2016</v>
      </c>
      <c r="AC276" s="1438">
        <f t="shared" si="276"/>
        <v>2017</v>
      </c>
      <c r="AD276" s="1438">
        <f t="shared" si="276"/>
        <v>2018</v>
      </c>
      <c r="AE276" s="1438">
        <f t="shared" si="276"/>
        <v>2019</v>
      </c>
      <c r="AF276" s="1438">
        <f t="shared" si="276"/>
        <v>2020</v>
      </c>
      <c r="AG276" s="1438">
        <f t="shared" si="276"/>
        <v>2021</v>
      </c>
      <c r="AH276" s="1438">
        <f t="shared" si="276"/>
        <v>2022</v>
      </c>
      <c r="AI276" s="1439"/>
      <c r="AJ276" s="1440"/>
      <c r="AK276" s="1442" t="str">
        <f>AK234</f>
        <v>07-12A</v>
      </c>
      <c r="AL276" s="1423"/>
      <c r="AM276" s="1442"/>
      <c r="AN276" s="1423"/>
      <c r="AO276" s="1442" t="str">
        <f>AO234</f>
        <v>17E-22E</v>
      </c>
      <c r="AP276" s="1443"/>
      <c r="AQ276" s="1429"/>
      <c r="AR276" s="1423"/>
      <c r="AS276" s="1421"/>
      <c r="AT276" s="1421"/>
      <c r="AU276" s="1421"/>
      <c r="AV276" s="1421"/>
      <c r="AW276" s="1421"/>
      <c r="AX276" s="1421"/>
      <c r="AY276" s="1421"/>
    </row>
    <row r="277" spans="1:51" hidden="1" outlineLevel="1">
      <c r="A277" s="1434"/>
      <c r="B277" s="1434"/>
      <c r="C277" s="1434"/>
      <c r="D277" s="1434"/>
      <c r="E277" s="1434"/>
      <c r="F277" s="1434"/>
      <c r="G277" s="1434"/>
      <c r="H277" s="1434"/>
      <c r="I277" s="1421"/>
      <c r="J277" s="1421"/>
      <c r="K277" s="1421"/>
      <c r="L277" s="1421"/>
      <c r="M277" s="1421"/>
      <c r="N277" s="1421"/>
      <c r="O277" s="1421"/>
      <c r="P277" s="467"/>
      <c r="Q277" s="467"/>
      <c r="R277" s="467"/>
      <c r="S277" s="467"/>
      <c r="T277" s="467"/>
      <c r="U277" s="467"/>
      <c r="V277" s="467"/>
      <c r="W277" s="467"/>
      <c r="X277" s="467"/>
      <c r="Y277" s="467"/>
      <c r="Z277" s="467"/>
      <c r="AA277" s="467"/>
      <c r="AB277" s="467"/>
      <c r="AC277" s="467"/>
      <c r="AD277" s="467"/>
      <c r="AE277" s="467"/>
      <c r="AF277" s="467"/>
      <c r="AG277" s="467"/>
      <c r="AH277" s="467"/>
      <c r="AI277" s="1423"/>
      <c r="AJ277" s="1448"/>
      <c r="AK277" s="1423"/>
      <c r="AL277" s="1423"/>
      <c r="AM277" s="1423"/>
      <c r="AN277" s="1423"/>
      <c r="AO277" s="1423"/>
      <c r="AP277" s="1449"/>
      <c r="AQ277" s="1423"/>
      <c r="AR277" s="1423"/>
      <c r="AS277" s="1421"/>
      <c r="AT277" s="1421"/>
      <c r="AU277" s="1421"/>
      <c r="AV277" s="1421"/>
      <c r="AW277" s="1421"/>
      <c r="AX277" s="1421"/>
      <c r="AY277" s="1421"/>
    </row>
    <row r="278" spans="1:51" hidden="1" outlineLevel="1">
      <c r="A278" s="1450" t="s">
        <v>413</v>
      </c>
      <c r="B278" s="1512"/>
      <c r="C278" s="1512"/>
      <c r="D278" s="1512"/>
      <c r="E278" s="1512"/>
      <c r="F278" s="1512"/>
      <c r="G278" s="1512"/>
      <c r="H278" s="1539" t="s">
        <v>642</v>
      </c>
      <c r="I278" s="1539" t="s">
        <v>642</v>
      </c>
      <c r="J278" s="1529">
        <f>'SegP&amp;L'!$AO$71</f>
        <v>10.71</v>
      </c>
      <c r="K278" s="1529">
        <f>'SegP&amp;L'!$AO$78</f>
        <v>43.286999999999999</v>
      </c>
      <c r="L278" s="1529">
        <f>'SegP&amp;L'!$AO$85</f>
        <v>83.15</v>
      </c>
      <c r="M278" s="1529">
        <f>'SegP&amp;L'!$AO$92</f>
        <v>157.328</v>
      </c>
      <c r="N278" s="1529">
        <f>'SegP&amp;L'!$AO$99</f>
        <v>277.21000000000004</v>
      </c>
      <c r="O278" s="1529">
        <f>'SegP&amp;L'!$AO$106</f>
        <v>421.60400000000004</v>
      </c>
      <c r="P278" s="1529">
        <f>'SegP&amp;L'!$AO$113</f>
        <v>530.64300000000003</v>
      </c>
      <c r="Q278" s="1529">
        <f>'SegP&amp;L'!$AO$120</f>
        <v>615.93900000000008</v>
      </c>
      <c r="R278" s="1529">
        <f>'SegP&amp;L'!$AO$127</f>
        <v>601.827</v>
      </c>
      <c r="S278" s="1451">
        <f>'SegP&amp;L'!$AO$134</f>
        <v>632.66100000000006</v>
      </c>
      <c r="T278" s="1451">
        <f>'SegP&amp;L'!$AO$141</f>
        <v>677.59699999999998</v>
      </c>
      <c r="U278" s="1451">
        <f>'SegP&amp;L'!$AO$148</f>
        <v>0</v>
      </c>
      <c r="V278" s="1451">
        <f>'SegP&amp;L'!$AO$155</f>
        <v>0</v>
      </c>
      <c r="W278" s="1451">
        <f t="shared" ref="W278:AB278" si="277">+V278*(1+W279)</f>
        <v>0</v>
      </c>
      <c r="X278" s="1451">
        <f t="shared" si="277"/>
        <v>0</v>
      </c>
      <c r="Y278" s="1451">
        <f t="shared" si="277"/>
        <v>0</v>
      </c>
      <c r="Z278" s="1451">
        <f t="shared" si="277"/>
        <v>0</v>
      </c>
      <c r="AA278" s="1451">
        <f t="shared" si="277"/>
        <v>0</v>
      </c>
      <c r="AB278" s="1451">
        <f t="shared" si="277"/>
        <v>0</v>
      </c>
      <c r="AC278" s="1451">
        <f t="shared" ref="AC278:AH278" si="278">+AB278*(1+AC279)</f>
        <v>0</v>
      </c>
      <c r="AD278" s="1451">
        <f t="shared" si="278"/>
        <v>0</v>
      </c>
      <c r="AE278" s="1451">
        <f t="shared" si="278"/>
        <v>0</v>
      </c>
      <c r="AF278" s="1451">
        <f t="shared" si="278"/>
        <v>0</v>
      </c>
      <c r="AG278" s="1451">
        <f t="shared" si="278"/>
        <v>0</v>
      </c>
      <c r="AH278" s="1451">
        <f t="shared" si="278"/>
        <v>0</v>
      </c>
      <c r="AI278" s="1423"/>
      <c r="AJ278" s="1448"/>
      <c r="AK278" s="1453">
        <f>((V278/Q278)^(1/5)-1)*100</f>
        <v>-100</v>
      </c>
      <c r="AL278" s="1454" t="s">
        <v>190</v>
      </c>
      <c r="AM278" s="1455"/>
      <c r="AN278" s="1454" t="s">
        <v>190</v>
      </c>
      <c r="AO278" s="1455" t="e">
        <f>((AA278/V278)^(1/5)-1)*100</f>
        <v>#DIV/0!</v>
      </c>
      <c r="AP278" s="1459" t="s">
        <v>190</v>
      </c>
      <c r="AQ278" s="1454"/>
      <c r="AR278" s="1423"/>
      <c r="AS278" s="1421"/>
      <c r="AT278" s="1421"/>
      <c r="AU278" s="1421"/>
      <c r="AV278" s="1421"/>
      <c r="AW278" s="1421"/>
      <c r="AX278" s="1421"/>
      <c r="AY278" s="1421"/>
    </row>
    <row r="279" spans="1:51" hidden="1" outlineLevel="1">
      <c r="A279" s="1450" t="s">
        <v>191</v>
      </c>
      <c r="B279" s="1445"/>
      <c r="C279" s="1445"/>
      <c r="D279" s="1445"/>
      <c r="E279" s="1445"/>
      <c r="F279" s="1445"/>
      <c r="G279" s="1445"/>
      <c r="H279" s="1445"/>
      <c r="I279" s="1445"/>
      <c r="J279" s="1445"/>
      <c r="K279" s="1445">
        <f t="shared" ref="K279:V279" si="279">K278/J278-1</f>
        <v>3.041736694677871</v>
      </c>
      <c r="L279" s="1445">
        <f t="shared" si="279"/>
        <v>0.9209000392727611</v>
      </c>
      <c r="M279" s="1445">
        <f t="shared" si="279"/>
        <v>0.89209861695730597</v>
      </c>
      <c r="N279" s="1445">
        <f t="shared" si="279"/>
        <v>0.76198769449811876</v>
      </c>
      <c r="O279" s="1445">
        <f t="shared" si="279"/>
        <v>0.52088308502579261</v>
      </c>
      <c r="P279" s="1445">
        <f t="shared" si="279"/>
        <v>0.25862895038946498</v>
      </c>
      <c r="Q279" s="1445">
        <f t="shared" si="279"/>
        <v>0.16074083705994435</v>
      </c>
      <c r="R279" s="1445">
        <f t="shared" si="279"/>
        <v>-2.2911359728804426E-2</v>
      </c>
      <c r="S279" s="1445">
        <f t="shared" si="279"/>
        <v>5.1233992492859315E-2</v>
      </c>
      <c r="T279" s="1445">
        <f t="shared" si="279"/>
        <v>7.1026979693706194E-2</v>
      </c>
      <c r="U279" s="1445">
        <f t="shared" si="279"/>
        <v>-1</v>
      </c>
      <c r="V279" s="1445" t="e">
        <f t="shared" si="279"/>
        <v>#DIV/0!</v>
      </c>
      <c r="W279" s="1445">
        <f t="shared" ref="W279:AB279" si="280">+W306+W307</f>
        <v>-0.35513513513513517</v>
      </c>
      <c r="X279" s="1445">
        <f t="shared" si="280"/>
        <v>-0.72</v>
      </c>
      <c r="Y279" s="1445">
        <f t="shared" si="280"/>
        <v>0.02</v>
      </c>
      <c r="Z279" s="1445">
        <f>+Z306+Z307</f>
        <v>0.02</v>
      </c>
      <c r="AA279" s="1445">
        <f>+AA306+AA307</f>
        <v>0.02</v>
      </c>
      <c r="AB279" s="1445">
        <f t="shared" si="280"/>
        <v>0.02</v>
      </c>
      <c r="AC279" s="1445">
        <f t="shared" ref="AC279:AH279" si="281">+AC306+AC307</f>
        <v>0.02</v>
      </c>
      <c r="AD279" s="1445">
        <f t="shared" si="281"/>
        <v>0.02</v>
      </c>
      <c r="AE279" s="1445">
        <f t="shared" si="281"/>
        <v>0.02</v>
      </c>
      <c r="AF279" s="1445">
        <f t="shared" si="281"/>
        <v>0.02</v>
      </c>
      <c r="AG279" s="1445">
        <f t="shared" si="281"/>
        <v>0.02</v>
      </c>
      <c r="AH279" s="1445">
        <f t="shared" si="281"/>
        <v>0.02</v>
      </c>
      <c r="AI279" s="1423"/>
      <c r="AJ279" s="1448"/>
      <c r="AK279" s="1423"/>
      <c r="AL279" s="1423"/>
      <c r="AM279" s="1423"/>
      <c r="AN279" s="1423"/>
      <c r="AO279" s="1423"/>
      <c r="AP279" s="1449"/>
      <c r="AQ279" s="1423"/>
      <c r="AR279" s="1423"/>
      <c r="AS279" s="1421"/>
      <c r="AT279" s="1421"/>
      <c r="AU279" s="1421"/>
      <c r="AV279" s="1421"/>
      <c r="AW279" s="1421"/>
      <c r="AX279" s="1421"/>
      <c r="AY279" s="1421"/>
    </row>
    <row r="280" spans="1:51" hidden="1" outlineLevel="1">
      <c r="A280" s="1421"/>
      <c r="B280" s="1421"/>
      <c r="C280" s="1421"/>
      <c r="D280" s="1421"/>
      <c r="E280" s="1421"/>
      <c r="F280" s="1421"/>
      <c r="G280" s="1421"/>
      <c r="H280" s="1421"/>
      <c r="I280" s="1421"/>
      <c r="J280" s="1421"/>
      <c r="K280" s="1421"/>
      <c r="L280" s="1421"/>
      <c r="M280" s="1421"/>
      <c r="N280" s="1421"/>
      <c r="O280" s="1421"/>
      <c r="P280" s="1421"/>
      <c r="Q280" s="1421"/>
      <c r="R280" s="1421"/>
      <c r="S280" s="1421"/>
      <c r="T280" s="1421"/>
      <c r="U280" s="1421"/>
      <c r="V280" s="1421"/>
      <c r="W280" s="1421"/>
      <c r="X280" s="1421"/>
      <c r="Y280" s="1421"/>
      <c r="Z280" s="1421"/>
      <c r="AA280" s="1421"/>
      <c r="AB280" s="1421"/>
      <c r="AC280" s="1421"/>
      <c r="AD280" s="1421"/>
      <c r="AE280" s="1421"/>
      <c r="AF280" s="1421"/>
      <c r="AG280" s="1421"/>
      <c r="AH280" s="1421"/>
      <c r="AI280" s="1423"/>
      <c r="AJ280" s="1448"/>
      <c r="AK280" s="1423"/>
      <c r="AL280" s="1423"/>
      <c r="AM280" s="1423"/>
      <c r="AN280" s="1423"/>
      <c r="AO280" s="1423"/>
      <c r="AP280" s="1449"/>
      <c r="AQ280" s="1423"/>
      <c r="AR280" s="1423"/>
      <c r="AS280" s="1421"/>
      <c r="AT280" s="1421"/>
      <c r="AU280" s="1421"/>
      <c r="AV280" s="1421"/>
      <c r="AW280" s="1421"/>
      <c r="AX280" s="1421"/>
      <c r="AY280" s="1421"/>
    </row>
    <row r="281" spans="1:51" hidden="1" outlineLevel="2">
      <c r="A281" s="1421" t="s">
        <v>169</v>
      </c>
      <c r="B281" s="1512"/>
      <c r="C281" s="1512"/>
      <c r="D281" s="1512"/>
      <c r="E281" s="1512"/>
      <c r="F281" s="1512"/>
      <c r="G281" s="1512"/>
      <c r="H281" s="1512"/>
      <c r="I281" s="1529">
        <f>'SegP&amp;L'!$AR$64</f>
        <v>0</v>
      </c>
      <c r="J281" s="1529">
        <f>'SegP&amp;L'!$AR$71</f>
        <v>-8.7370000000000001</v>
      </c>
      <c r="K281" s="1529">
        <f>'SegP&amp;L'!$AR$78</f>
        <v>-14.444000000000001</v>
      </c>
      <c r="L281" s="1529">
        <f>'SegP&amp;L'!$AR$85</f>
        <v>-15.012</v>
      </c>
      <c r="M281" s="1529">
        <f>'SegP&amp;L'!$AR$92</f>
        <v>-11.843</v>
      </c>
      <c r="N281" s="1529">
        <f>'SegP&amp;L'!$AR$99</f>
        <v>-12.565999999999999</v>
      </c>
      <c r="O281" s="1529">
        <f>'SegP&amp;L'!$AR$106</f>
        <v>-2.1249999999999996</v>
      </c>
      <c r="P281" s="1529"/>
      <c r="Q281" s="1529"/>
      <c r="R281" s="1529"/>
      <c r="S281" s="1529"/>
      <c r="T281" s="1529"/>
      <c r="U281" s="1529"/>
      <c r="V281" s="1529"/>
      <c r="W281" s="1529"/>
      <c r="X281" s="1529"/>
      <c r="Y281" s="1529"/>
      <c r="Z281" s="1529"/>
      <c r="AA281" s="1529"/>
      <c r="AB281" s="1529"/>
      <c r="AC281" s="1529"/>
      <c r="AD281" s="1529"/>
      <c r="AE281" s="1529"/>
      <c r="AF281" s="1529"/>
      <c r="AG281" s="1529"/>
      <c r="AH281" s="1529"/>
      <c r="AI281" s="1423"/>
      <c r="AJ281" s="1448"/>
      <c r="AK281" s="1423"/>
      <c r="AL281" s="1423"/>
      <c r="AM281" s="1423"/>
      <c r="AN281" s="1423"/>
      <c r="AO281" s="1423"/>
      <c r="AP281" s="1449"/>
      <c r="AQ281" s="1423"/>
      <c r="AR281" s="1423"/>
      <c r="AS281" s="1421"/>
      <c r="AT281" s="1421"/>
      <c r="AU281" s="1421"/>
      <c r="AV281" s="1421"/>
      <c r="AW281" s="1421"/>
      <c r="AX281" s="1421"/>
      <c r="AY281" s="1421"/>
    </row>
    <row r="282" spans="1:51" hidden="1" outlineLevel="2">
      <c r="A282" s="1421"/>
      <c r="B282" s="1421"/>
      <c r="C282" s="1421"/>
      <c r="D282" s="1445"/>
      <c r="E282" s="1445"/>
      <c r="F282" s="1445"/>
      <c r="G282" s="1421"/>
      <c r="H282" s="1421"/>
      <c r="I282" s="1421"/>
      <c r="J282" s="1421"/>
      <c r="K282" s="1421"/>
      <c r="L282" s="1421"/>
      <c r="M282" s="1421"/>
      <c r="N282" s="1421"/>
      <c r="O282" s="1421"/>
      <c r="P282" s="1421"/>
      <c r="Q282" s="1421"/>
      <c r="R282" s="1421"/>
      <c r="S282" s="1421"/>
      <c r="T282" s="1421"/>
      <c r="U282" s="1421"/>
      <c r="V282" s="1421"/>
      <c r="W282" s="1421"/>
      <c r="X282" s="1421"/>
      <c r="Y282" s="1421"/>
      <c r="Z282" s="1421"/>
      <c r="AA282" s="1421"/>
      <c r="AB282" s="1421"/>
      <c r="AC282" s="1421"/>
      <c r="AD282" s="1421"/>
      <c r="AE282" s="1421"/>
      <c r="AF282" s="1421"/>
      <c r="AG282" s="1421"/>
      <c r="AH282" s="1421"/>
      <c r="AI282" s="1423"/>
      <c r="AJ282" s="1448"/>
      <c r="AK282" s="1423"/>
      <c r="AL282" s="1423"/>
      <c r="AM282" s="1423"/>
      <c r="AN282" s="1423"/>
      <c r="AO282" s="1423"/>
      <c r="AP282" s="1449"/>
      <c r="AQ282" s="1423"/>
      <c r="AR282" s="1423"/>
      <c r="AS282" s="1421"/>
      <c r="AT282" s="1421"/>
      <c r="AU282" s="1421"/>
      <c r="AV282" s="1421"/>
      <c r="AW282" s="1421"/>
      <c r="AX282" s="1421"/>
      <c r="AY282" s="1421"/>
    </row>
    <row r="283" spans="1:51" hidden="1" outlineLevel="2">
      <c r="A283" s="1421"/>
      <c r="B283" s="1421"/>
      <c r="C283" s="1421"/>
      <c r="D283" s="1421"/>
      <c r="E283" s="1421"/>
      <c r="F283" s="1421"/>
      <c r="G283" s="1421"/>
      <c r="H283" s="1421"/>
      <c r="I283" s="1421"/>
      <c r="J283" s="1421"/>
      <c r="K283" s="1421"/>
      <c r="L283" s="1421"/>
      <c r="M283" s="1421"/>
      <c r="N283" s="1421"/>
      <c r="O283" s="1421"/>
      <c r="P283" s="1421"/>
      <c r="Q283" s="1421"/>
      <c r="R283" s="1421"/>
      <c r="S283" s="1421"/>
      <c r="T283" s="1421"/>
      <c r="U283" s="1421"/>
      <c r="V283" s="1421"/>
      <c r="W283" s="1421"/>
      <c r="X283" s="1421"/>
      <c r="Y283" s="1421"/>
      <c r="Z283" s="1421"/>
      <c r="AA283" s="1421"/>
      <c r="AB283" s="1421"/>
      <c r="AC283" s="1421"/>
      <c r="AD283" s="1421"/>
      <c r="AE283" s="1421"/>
      <c r="AF283" s="1421"/>
      <c r="AG283" s="1421"/>
      <c r="AH283" s="1421"/>
      <c r="AI283" s="1423"/>
      <c r="AJ283" s="1448"/>
      <c r="AK283" s="1423"/>
      <c r="AL283" s="1423"/>
      <c r="AM283" s="1423"/>
      <c r="AN283" s="1423"/>
      <c r="AO283" s="1423"/>
      <c r="AP283" s="1449"/>
      <c r="AQ283" s="1423"/>
      <c r="AR283" s="1423"/>
      <c r="AS283" s="1421"/>
      <c r="AT283" s="1421"/>
      <c r="AU283" s="1421"/>
      <c r="AV283" s="1421"/>
      <c r="AW283" s="1421"/>
      <c r="AX283" s="1421"/>
      <c r="AY283" s="1421"/>
    </row>
    <row r="284" spans="1:51" hidden="1" outlineLevel="1">
      <c r="A284" s="1450" t="s">
        <v>192</v>
      </c>
      <c r="B284" s="1434"/>
      <c r="C284" s="1434"/>
      <c r="D284" s="1434"/>
      <c r="E284" s="1434"/>
      <c r="F284" s="1434"/>
      <c r="G284" s="1434"/>
      <c r="H284" s="1434"/>
      <c r="I284" s="1434"/>
      <c r="J284" s="1434">
        <v>0</v>
      </c>
      <c r="K284" s="1434">
        <f t="shared" ref="K284:AH284" si="282">J287</f>
        <v>6</v>
      </c>
      <c r="L284" s="1434">
        <f t="shared" si="282"/>
        <v>15</v>
      </c>
      <c r="M284" s="1434">
        <f t="shared" si="282"/>
        <v>25</v>
      </c>
      <c r="N284" s="1434">
        <f t="shared" si="282"/>
        <v>45</v>
      </c>
      <c r="O284" s="1434">
        <f t="shared" si="282"/>
        <v>75</v>
      </c>
      <c r="P284" s="1434">
        <f t="shared" si="282"/>
        <v>99</v>
      </c>
      <c r="Q284" s="1434">
        <f t="shared" si="282"/>
        <v>130</v>
      </c>
      <c r="R284" s="1434">
        <f t="shared" si="282"/>
        <v>152</v>
      </c>
      <c r="S284" s="1434">
        <f t="shared" si="282"/>
        <v>129</v>
      </c>
      <c r="T284" s="1434">
        <f t="shared" si="282"/>
        <v>129</v>
      </c>
      <c r="U284" s="1434">
        <f t="shared" si="282"/>
        <v>135</v>
      </c>
      <c r="V284" s="1434">
        <f t="shared" si="282"/>
        <v>150</v>
      </c>
      <c r="W284" s="1434">
        <f t="shared" si="282"/>
        <v>142</v>
      </c>
      <c r="X284" s="1434">
        <f t="shared" si="282"/>
        <v>0</v>
      </c>
      <c r="Y284" s="1434">
        <f t="shared" si="282"/>
        <v>0</v>
      </c>
      <c r="Z284" s="1434">
        <f t="shared" si="282"/>
        <v>0</v>
      </c>
      <c r="AA284" s="1434">
        <f t="shared" si="282"/>
        <v>0</v>
      </c>
      <c r="AB284" s="1434">
        <f t="shared" si="282"/>
        <v>0</v>
      </c>
      <c r="AC284" s="1434">
        <f t="shared" si="282"/>
        <v>0</v>
      </c>
      <c r="AD284" s="1434">
        <f t="shared" si="282"/>
        <v>0</v>
      </c>
      <c r="AE284" s="1434">
        <f t="shared" si="282"/>
        <v>0</v>
      </c>
      <c r="AF284" s="1434">
        <f t="shared" si="282"/>
        <v>0</v>
      </c>
      <c r="AG284" s="1434">
        <f t="shared" si="282"/>
        <v>0</v>
      </c>
      <c r="AH284" s="1434">
        <f t="shared" si="282"/>
        <v>0</v>
      </c>
      <c r="AI284" s="1423"/>
      <c r="AJ284" s="1448"/>
      <c r="AK284" s="1423"/>
      <c r="AL284" s="1423"/>
      <c r="AM284" s="1423"/>
      <c r="AN284" s="1423"/>
      <c r="AO284" s="1423"/>
      <c r="AP284" s="1449"/>
      <c r="AQ284" s="1423"/>
      <c r="AR284" s="1423"/>
      <c r="AS284" s="1421"/>
      <c r="AT284" s="1421"/>
      <c r="AU284" s="1421"/>
      <c r="AV284" s="1421"/>
      <c r="AW284" s="1421"/>
      <c r="AX284" s="1421"/>
      <c r="AY284" s="1421"/>
    </row>
    <row r="285" spans="1:51" hidden="1" outlineLevel="1">
      <c r="A285" s="1465" t="s">
        <v>693</v>
      </c>
      <c r="B285" s="1434"/>
      <c r="C285" s="1434"/>
      <c r="D285" s="1434"/>
      <c r="E285" s="1434"/>
      <c r="F285" s="1434"/>
      <c r="G285" s="1434"/>
      <c r="H285" s="1434"/>
      <c r="I285" s="1434"/>
      <c r="J285" s="1536">
        <f>Stores!$AU$85</f>
        <v>6</v>
      </c>
      <c r="K285" s="1536">
        <f>Stores!$AU$93</f>
        <v>9</v>
      </c>
      <c r="L285" s="1536">
        <f>Stores!$AU$101</f>
        <v>10</v>
      </c>
      <c r="M285" s="1536">
        <f>Stores!$AU$109</f>
        <v>20</v>
      </c>
      <c r="N285" s="1536">
        <f>Stores!$AU$117</f>
        <v>30</v>
      </c>
      <c r="O285" s="1536">
        <f>Stores!$AU$125</f>
        <v>24</v>
      </c>
      <c r="P285" s="1536">
        <f>Stores!$AU$133</f>
        <v>31</v>
      </c>
      <c r="Q285" s="1536">
        <f>Stores!$AU$141</f>
        <v>22</v>
      </c>
      <c r="R285" s="1536">
        <f>Stores!$AU$149</f>
        <v>-23</v>
      </c>
      <c r="S285" s="1536">
        <f>Stores!$AU$156</f>
        <v>0</v>
      </c>
      <c r="T285" s="1536">
        <f>Stores!$AU$163</f>
        <v>6</v>
      </c>
      <c r="U285" s="1536">
        <f>Stores!$AU$170</f>
        <v>15</v>
      </c>
      <c r="V285" s="1536">
        <f>Stores!$AU$177</f>
        <v>-8</v>
      </c>
      <c r="W285" s="1536">
        <f>Stores!$AU$184</f>
        <v>-142</v>
      </c>
      <c r="X285" s="1536">
        <f>Stores!$AU$191</f>
        <v>0</v>
      </c>
      <c r="Y285" s="1536">
        <f>Stores!$AU$198</f>
        <v>0</v>
      </c>
      <c r="Z285" s="1536">
        <f>Stores!$AU$205</f>
        <v>0</v>
      </c>
      <c r="AA285" s="1536">
        <f>Stores!$AU$212</f>
        <v>0</v>
      </c>
      <c r="AB285" s="1536">
        <f>Stores!$AU$205</f>
        <v>0</v>
      </c>
      <c r="AC285" s="1536">
        <f>Stores!$AU$205</f>
        <v>0</v>
      </c>
      <c r="AD285" s="1536">
        <f>Stores!$AU$205</f>
        <v>0</v>
      </c>
      <c r="AE285" s="1536">
        <f>Stores!$AU$205</f>
        <v>0</v>
      </c>
      <c r="AF285" s="1536">
        <f>Stores!$AU$205</f>
        <v>0</v>
      </c>
      <c r="AG285" s="1536">
        <f>Stores!$AU$205</f>
        <v>0</v>
      </c>
      <c r="AH285" s="1536">
        <f>Stores!$AU$205</f>
        <v>0</v>
      </c>
      <c r="AI285" s="1423"/>
      <c r="AJ285" s="1448"/>
      <c r="AK285" s="1423"/>
      <c r="AL285" s="1423"/>
      <c r="AM285" s="1423"/>
      <c r="AN285" s="1423"/>
      <c r="AO285" s="1423"/>
      <c r="AP285" s="1449"/>
      <c r="AQ285" s="1423"/>
      <c r="AR285" s="1423"/>
      <c r="AS285" s="1421"/>
      <c r="AT285" s="1421"/>
      <c r="AU285" s="1421"/>
      <c r="AV285" s="1421"/>
      <c r="AW285" s="1421"/>
      <c r="AX285" s="1421"/>
      <c r="AY285" s="1421"/>
    </row>
    <row r="286" spans="1:51" hidden="1" outlineLevel="2">
      <c r="A286" s="1465" t="s">
        <v>193</v>
      </c>
      <c r="B286" s="1434"/>
      <c r="C286" s="1434"/>
      <c r="D286" s="1434"/>
      <c r="E286" s="1434"/>
      <c r="F286" s="1434"/>
      <c r="G286" s="1434"/>
      <c r="H286" s="1434"/>
      <c r="I286" s="1434"/>
      <c r="J286" s="1434"/>
      <c r="K286" s="1434"/>
      <c r="L286" s="1434"/>
      <c r="M286" s="1434"/>
      <c r="N286" s="1434"/>
      <c r="O286" s="1466"/>
      <c r="P286" s="1466"/>
      <c r="Q286" s="1434"/>
      <c r="R286" s="1434"/>
      <c r="S286" s="1434"/>
      <c r="T286" s="1434"/>
      <c r="U286" s="1434"/>
      <c r="V286" s="1434"/>
      <c r="W286" s="1434"/>
      <c r="X286" s="1434"/>
      <c r="Y286" s="1434"/>
      <c r="Z286" s="1434"/>
      <c r="AA286" s="1434"/>
      <c r="AB286" s="1434"/>
      <c r="AC286" s="1434"/>
      <c r="AD286" s="1434"/>
      <c r="AE286" s="1434"/>
      <c r="AF286" s="1434"/>
      <c r="AG286" s="1434"/>
      <c r="AH286" s="1434"/>
      <c r="AI286" s="1423"/>
      <c r="AJ286" s="1448"/>
      <c r="AK286" s="1423"/>
      <c r="AL286" s="1423"/>
      <c r="AM286" s="1423"/>
      <c r="AN286" s="1423"/>
      <c r="AO286" s="1423"/>
      <c r="AP286" s="1449"/>
      <c r="AQ286" s="1423"/>
      <c r="AR286" s="1423"/>
      <c r="AS286" s="1421"/>
      <c r="AT286" s="1421"/>
      <c r="AU286" s="1421"/>
      <c r="AV286" s="1421"/>
      <c r="AW286" s="1421"/>
      <c r="AX286" s="1421"/>
      <c r="AY286" s="1421"/>
    </row>
    <row r="287" spans="1:51" hidden="1" outlineLevel="1">
      <c r="A287" s="1450" t="s">
        <v>194</v>
      </c>
      <c r="B287" s="1434"/>
      <c r="C287" s="1434"/>
      <c r="D287" s="1434"/>
      <c r="E287" s="1434"/>
      <c r="F287" s="1434"/>
      <c r="G287" s="1434"/>
      <c r="H287" s="1434"/>
      <c r="I287" s="1434"/>
      <c r="J287" s="1434">
        <f t="shared" ref="J287:AC287" si="283">+J284+J285+J286</f>
        <v>6</v>
      </c>
      <c r="K287" s="1434">
        <f t="shared" si="283"/>
        <v>15</v>
      </c>
      <c r="L287" s="1434">
        <f t="shared" si="283"/>
        <v>25</v>
      </c>
      <c r="M287" s="1434">
        <f t="shared" si="283"/>
        <v>45</v>
      </c>
      <c r="N287" s="1434">
        <f t="shared" si="283"/>
        <v>75</v>
      </c>
      <c r="O287" s="1434">
        <f t="shared" si="283"/>
        <v>99</v>
      </c>
      <c r="P287" s="1434">
        <f t="shared" si="283"/>
        <v>130</v>
      </c>
      <c r="Q287" s="1434">
        <f t="shared" si="283"/>
        <v>152</v>
      </c>
      <c r="R287" s="1434">
        <f t="shared" si="283"/>
        <v>129</v>
      </c>
      <c r="S287" s="1434">
        <f t="shared" si="283"/>
        <v>129</v>
      </c>
      <c r="T287" s="1434">
        <f t="shared" si="283"/>
        <v>135</v>
      </c>
      <c r="U287" s="1434">
        <f t="shared" si="283"/>
        <v>150</v>
      </c>
      <c r="V287" s="1434">
        <f t="shared" si="283"/>
        <v>142</v>
      </c>
      <c r="W287" s="1434">
        <f t="shared" si="283"/>
        <v>0</v>
      </c>
      <c r="X287" s="1434">
        <f t="shared" si="283"/>
        <v>0</v>
      </c>
      <c r="Y287" s="1434">
        <f t="shared" si="283"/>
        <v>0</v>
      </c>
      <c r="Z287" s="1434">
        <f>+Z284+Z285+Z286</f>
        <v>0</v>
      </c>
      <c r="AA287" s="1434">
        <f>+AA284+AA285+AA286</f>
        <v>0</v>
      </c>
      <c r="AB287" s="1434">
        <f t="shared" si="283"/>
        <v>0</v>
      </c>
      <c r="AC287" s="1434">
        <f t="shared" si="283"/>
        <v>0</v>
      </c>
      <c r="AD287" s="1434">
        <f>+AD284+AD285+AD286</f>
        <v>0</v>
      </c>
      <c r="AE287" s="1434">
        <f>+AE284+AE285+AE286</f>
        <v>0</v>
      </c>
      <c r="AF287" s="1434">
        <f>+AF284+AF285+AF286</f>
        <v>0</v>
      </c>
      <c r="AG287" s="1434">
        <f>+AG284+AG285+AG286</f>
        <v>0</v>
      </c>
      <c r="AH287" s="1434">
        <f>+AH284+AH285+AH286</f>
        <v>0</v>
      </c>
      <c r="AI287" s="1423"/>
      <c r="AJ287" s="1448"/>
      <c r="AK287" s="1453">
        <f>((V287/Q287)^(1/5)-1)*100</f>
        <v>-1.3518485978081252</v>
      </c>
      <c r="AL287" s="1454" t="s">
        <v>190</v>
      </c>
      <c r="AM287" s="1455"/>
      <c r="AN287" s="1454" t="s">
        <v>190</v>
      </c>
      <c r="AO287" s="1455">
        <f>((AA287/V287)^(1/5)-1)*100</f>
        <v>-100</v>
      </c>
      <c r="AP287" s="1459" t="s">
        <v>190</v>
      </c>
      <c r="AQ287" s="1454"/>
      <c r="AR287" s="1423"/>
      <c r="AS287" s="1421"/>
      <c r="AT287" s="1421"/>
      <c r="AU287" s="1421"/>
      <c r="AV287" s="1421"/>
      <c r="AW287" s="1421"/>
      <c r="AX287" s="1421"/>
      <c r="AY287" s="1421"/>
    </row>
    <row r="288" spans="1:51" hidden="1" outlineLevel="1">
      <c r="A288" s="1450" t="s">
        <v>195</v>
      </c>
      <c r="B288" s="1482"/>
      <c r="C288" s="1482"/>
      <c r="D288" s="1482"/>
      <c r="E288" s="1482"/>
      <c r="F288" s="1482"/>
      <c r="G288" s="1482"/>
      <c r="H288" s="1482"/>
      <c r="I288" s="1482"/>
      <c r="J288" s="1482">
        <f t="shared" ref="J288:AC288" si="284">(+J287+J284)/2</f>
        <v>3</v>
      </c>
      <c r="K288" s="1482">
        <f t="shared" si="284"/>
        <v>10.5</v>
      </c>
      <c r="L288" s="1482">
        <f t="shared" si="284"/>
        <v>20</v>
      </c>
      <c r="M288" s="1482">
        <f t="shared" si="284"/>
        <v>35</v>
      </c>
      <c r="N288" s="1482">
        <f t="shared" si="284"/>
        <v>60</v>
      </c>
      <c r="O288" s="1482">
        <f t="shared" si="284"/>
        <v>87</v>
      </c>
      <c r="P288" s="1482">
        <f t="shared" si="284"/>
        <v>114.5</v>
      </c>
      <c r="Q288" s="1482">
        <f t="shared" si="284"/>
        <v>141</v>
      </c>
      <c r="R288" s="1482">
        <f t="shared" si="284"/>
        <v>140.5</v>
      </c>
      <c r="S288" s="1482">
        <f t="shared" si="284"/>
        <v>129</v>
      </c>
      <c r="T288" s="1482">
        <f t="shared" si="284"/>
        <v>132</v>
      </c>
      <c r="U288" s="1482">
        <f t="shared" si="284"/>
        <v>142.5</v>
      </c>
      <c r="V288" s="1482">
        <f t="shared" si="284"/>
        <v>146</v>
      </c>
      <c r="W288" s="1482">
        <f t="shared" si="284"/>
        <v>71</v>
      </c>
      <c r="X288" s="1482">
        <f t="shared" si="284"/>
        <v>0</v>
      </c>
      <c r="Y288" s="1482">
        <f t="shared" si="284"/>
        <v>0</v>
      </c>
      <c r="Z288" s="1482">
        <f>(+Z287+Z284)/2</f>
        <v>0</v>
      </c>
      <c r="AA288" s="1482">
        <f>(+AA287+AA284)/2</f>
        <v>0</v>
      </c>
      <c r="AB288" s="1482">
        <f t="shared" si="284"/>
        <v>0</v>
      </c>
      <c r="AC288" s="1482">
        <f t="shared" si="284"/>
        <v>0</v>
      </c>
      <c r="AD288" s="1482">
        <f>(+AD287+AD284)/2</f>
        <v>0</v>
      </c>
      <c r="AE288" s="1482">
        <f>(+AE287+AE284)/2</f>
        <v>0</v>
      </c>
      <c r="AF288" s="1482">
        <f>(+AF287+AF284)/2</f>
        <v>0</v>
      </c>
      <c r="AG288" s="1482">
        <f>(+AG287+AG284)/2</f>
        <v>0</v>
      </c>
      <c r="AH288" s="1482">
        <f>(+AH287+AH284)/2</f>
        <v>0</v>
      </c>
      <c r="AI288" s="1478"/>
      <c r="AJ288" s="1479"/>
      <c r="AK288" s="1478"/>
      <c r="AL288" s="1478"/>
      <c r="AM288" s="1423"/>
      <c r="AN288" s="1478"/>
      <c r="AO288" s="1423"/>
      <c r="AP288" s="1480"/>
      <c r="AQ288" s="1478"/>
      <c r="AR288" s="1423"/>
      <c r="AS288" s="1421"/>
      <c r="AT288" s="1421"/>
      <c r="AU288" s="1421"/>
      <c r="AV288" s="1421"/>
      <c r="AW288" s="1421"/>
      <c r="AX288" s="1421"/>
      <c r="AY288" s="1421"/>
    </row>
    <row r="289" spans="1:51" hidden="1" outlineLevel="1">
      <c r="A289" s="1450" t="s">
        <v>197</v>
      </c>
      <c r="B289" s="1445"/>
      <c r="C289" s="1445"/>
      <c r="D289" s="1445"/>
      <c r="E289" s="1445"/>
      <c r="F289" s="1445"/>
      <c r="G289" s="1445"/>
      <c r="H289" s="1445"/>
      <c r="I289" s="1445"/>
      <c r="J289" s="1445"/>
      <c r="K289" s="1445">
        <f t="shared" ref="K289:X289" si="285">(K288/J288-1)</f>
        <v>2.5</v>
      </c>
      <c r="L289" s="1445">
        <f t="shared" si="285"/>
        <v>0.90476190476190466</v>
      </c>
      <c r="M289" s="1445">
        <f t="shared" si="285"/>
        <v>0.75</v>
      </c>
      <c r="N289" s="1445">
        <f t="shared" si="285"/>
        <v>0.71428571428571419</v>
      </c>
      <c r="O289" s="1445">
        <f t="shared" si="285"/>
        <v>0.44999999999999996</v>
      </c>
      <c r="P289" s="1445">
        <f t="shared" si="285"/>
        <v>0.31609195402298851</v>
      </c>
      <c r="Q289" s="1445">
        <f t="shared" si="285"/>
        <v>0.23144104803493448</v>
      </c>
      <c r="R289" s="1445">
        <f t="shared" si="285"/>
        <v>-3.5460992907800915E-3</v>
      </c>
      <c r="S289" s="1445">
        <f t="shared" si="285"/>
        <v>-8.185053380782914E-2</v>
      </c>
      <c r="T289" s="1445">
        <f t="shared" si="285"/>
        <v>2.3255813953488413E-2</v>
      </c>
      <c r="U289" s="1445">
        <f t="shared" si="285"/>
        <v>7.9545454545454586E-2</v>
      </c>
      <c r="V289" s="1445">
        <f t="shared" si="285"/>
        <v>2.4561403508772006E-2</v>
      </c>
      <c r="W289" s="1445">
        <f t="shared" si="285"/>
        <v>-0.51369863013698636</v>
      </c>
      <c r="X289" s="1445">
        <f t="shared" si="285"/>
        <v>-1</v>
      </c>
      <c r="Y289" s="1445"/>
      <c r="Z289" s="1445"/>
      <c r="AA289" s="1445"/>
      <c r="AB289" s="1445"/>
      <c r="AC289" s="1445"/>
      <c r="AD289" s="1445"/>
      <c r="AE289" s="1445"/>
      <c r="AF289" s="1445"/>
      <c r="AG289" s="1445"/>
      <c r="AH289" s="1445"/>
      <c r="AI289" s="1423"/>
      <c r="AJ289" s="1448"/>
      <c r="AK289" s="1423"/>
      <c r="AL289" s="1423"/>
      <c r="AM289" s="1423"/>
      <c r="AN289" s="1423"/>
      <c r="AO289" s="1423"/>
      <c r="AP289" s="1449"/>
      <c r="AQ289" s="1423"/>
      <c r="AR289" s="1423"/>
      <c r="AS289" s="1421"/>
      <c r="AT289" s="1421"/>
      <c r="AU289" s="1421"/>
      <c r="AV289" s="1421"/>
      <c r="AW289" s="1421"/>
      <c r="AX289" s="1421"/>
      <c r="AY289" s="1421"/>
    </row>
    <row r="290" spans="1:51" hidden="1" outlineLevel="1">
      <c r="A290" s="1421"/>
      <c r="B290" s="1421"/>
      <c r="C290" s="1421"/>
      <c r="D290" s="1421"/>
      <c r="E290" s="1421"/>
      <c r="F290" s="1421"/>
      <c r="G290" s="1421"/>
      <c r="H290" s="1445"/>
      <c r="I290" s="1445"/>
      <c r="J290" s="1421"/>
      <c r="K290" s="1421"/>
      <c r="L290" s="1421"/>
      <c r="M290" s="1421"/>
      <c r="N290" s="1421"/>
      <c r="O290" s="1421"/>
      <c r="P290" s="1421"/>
      <c r="Q290" s="1421"/>
      <c r="R290" s="1421"/>
      <c r="S290" s="1421"/>
      <c r="T290" s="1421"/>
      <c r="U290" s="1421"/>
      <c r="V290" s="1421"/>
      <c r="W290" s="1421"/>
      <c r="X290" s="1421"/>
      <c r="Y290" s="1421"/>
      <c r="Z290" s="1421"/>
      <c r="AA290" s="1421"/>
      <c r="AB290" s="1421"/>
      <c r="AC290" s="1421"/>
      <c r="AD290" s="1421"/>
      <c r="AE290" s="1421"/>
      <c r="AF290" s="1421"/>
      <c r="AG290" s="1421"/>
      <c r="AH290" s="1421"/>
      <c r="AI290" s="1423"/>
      <c r="AJ290" s="1448"/>
      <c r="AK290" s="1423"/>
      <c r="AL290" s="1423"/>
      <c r="AM290" s="1423"/>
      <c r="AN290" s="1423"/>
      <c r="AO290" s="1423"/>
      <c r="AP290" s="1449"/>
      <c r="AQ290" s="1423"/>
      <c r="AR290" s="1423"/>
      <c r="AS290" s="1421"/>
      <c r="AT290" s="1421"/>
      <c r="AU290" s="1421"/>
      <c r="AV290" s="1421"/>
      <c r="AW290" s="1421"/>
      <c r="AX290" s="1421"/>
      <c r="AY290" s="1421"/>
    </row>
    <row r="291" spans="1:51" hidden="1" outlineLevel="1">
      <c r="A291" s="1450" t="s">
        <v>147</v>
      </c>
      <c r="B291" s="1483"/>
      <c r="C291" s="1483"/>
      <c r="D291" s="1483"/>
      <c r="E291" s="1483"/>
      <c r="F291" s="1483"/>
      <c r="G291" s="1483"/>
      <c r="H291" s="1483"/>
      <c r="I291" s="1483"/>
      <c r="J291" s="1483">
        <f t="shared" ref="J291:R291" si="286">(J278)/J288</f>
        <v>3.5700000000000003</v>
      </c>
      <c r="K291" s="1483">
        <f t="shared" si="286"/>
        <v>4.1225714285714288</v>
      </c>
      <c r="L291" s="1483">
        <f t="shared" si="286"/>
        <v>4.1575000000000006</v>
      </c>
      <c r="M291" s="1483">
        <f t="shared" si="286"/>
        <v>4.4950857142857146</v>
      </c>
      <c r="N291" s="1483">
        <f t="shared" si="286"/>
        <v>4.620166666666667</v>
      </c>
      <c r="O291" s="1483">
        <f t="shared" si="286"/>
        <v>4.846022988505748</v>
      </c>
      <c r="P291" s="1483">
        <f t="shared" si="286"/>
        <v>4.6344366812227076</v>
      </c>
      <c r="Q291" s="1483">
        <f t="shared" si="286"/>
        <v>4.3683617021276602</v>
      </c>
      <c r="R291" s="1483">
        <f t="shared" si="286"/>
        <v>4.2834661921708186</v>
      </c>
      <c r="S291" s="1483">
        <f>(S278)/S288</f>
        <v>4.9043488372093025</v>
      </c>
      <c r="T291" s="1483">
        <f>(T278)/T288</f>
        <v>5.133310606060606</v>
      </c>
      <c r="U291" s="1483">
        <f>(U278)/U288</f>
        <v>0</v>
      </c>
      <c r="V291" s="1483">
        <f>(V278)/V288</f>
        <v>0</v>
      </c>
      <c r="W291" s="1483">
        <f>(W278)/W288</f>
        <v>0</v>
      </c>
      <c r="X291" s="1483"/>
      <c r="Y291" s="1483"/>
      <c r="Z291" s="1483"/>
      <c r="AA291" s="1483"/>
      <c r="AB291" s="1483"/>
      <c r="AC291" s="1483"/>
      <c r="AD291" s="1483"/>
      <c r="AE291" s="1483"/>
      <c r="AF291" s="1483"/>
      <c r="AG291" s="1483"/>
      <c r="AH291" s="1483"/>
      <c r="AI291" s="1423"/>
      <c r="AJ291" s="1448"/>
      <c r="AK291" s="1423"/>
      <c r="AL291" s="1423"/>
      <c r="AM291" s="1423"/>
      <c r="AN291" s="1423"/>
      <c r="AO291" s="1423"/>
      <c r="AP291" s="1449"/>
      <c r="AQ291" s="1423"/>
      <c r="AR291" s="1423"/>
      <c r="AS291" s="1421"/>
      <c r="AT291" s="1421"/>
      <c r="AU291" s="1421"/>
      <c r="AV291" s="1421"/>
      <c r="AW291" s="1421"/>
      <c r="AX291" s="1421"/>
      <c r="AY291" s="1421"/>
    </row>
    <row r="292" spans="1:51" hidden="1" outlineLevel="1">
      <c r="A292" s="1450" t="s">
        <v>191</v>
      </c>
      <c r="B292" s="1484"/>
      <c r="C292" s="1484"/>
      <c r="D292" s="1484"/>
      <c r="E292" s="1484"/>
      <c r="F292" s="1484"/>
      <c r="G292" s="1484"/>
      <c r="H292" s="1484"/>
      <c r="I292" s="1484"/>
      <c r="J292" s="1484"/>
      <c r="K292" s="1484">
        <f t="shared" ref="K292:W292" si="287">K291/J291-1</f>
        <v>0.154781912765106</v>
      </c>
      <c r="L292" s="1484">
        <f t="shared" si="287"/>
        <v>8.472520618199475E-3</v>
      </c>
      <c r="M292" s="1484">
        <f t="shared" si="287"/>
        <v>8.1199209689889029E-2</v>
      </c>
      <c r="N292" s="1484">
        <f t="shared" si="287"/>
        <v>2.7826155123902518E-2</v>
      </c>
      <c r="O292" s="1484">
        <f t="shared" si="287"/>
        <v>4.8884886224684676E-2</v>
      </c>
      <c r="P292" s="1484">
        <f t="shared" si="287"/>
        <v>-4.3661845555603152E-2</v>
      </c>
      <c r="Q292" s="1484">
        <f t="shared" si="287"/>
        <v>-5.7412582671179879E-2</v>
      </c>
      <c r="R292" s="1484">
        <f t="shared" si="287"/>
        <v>-1.9434175955597377E-2</v>
      </c>
      <c r="S292" s="1484">
        <f t="shared" si="287"/>
        <v>0.14494865073834662</v>
      </c>
      <c r="T292" s="1484">
        <f t="shared" si="287"/>
        <v>4.668545742794028E-2</v>
      </c>
      <c r="U292" s="1484">
        <f t="shared" si="287"/>
        <v>-1</v>
      </c>
      <c r="V292" s="1484" t="e">
        <f t="shared" si="287"/>
        <v>#DIV/0!</v>
      </c>
      <c r="W292" s="1484" t="e">
        <f t="shared" si="287"/>
        <v>#DIV/0!</v>
      </c>
      <c r="X292" s="1484"/>
      <c r="Y292" s="1484"/>
      <c r="Z292" s="1484"/>
      <c r="AA292" s="1484"/>
      <c r="AB292" s="1484"/>
      <c r="AC292" s="1484"/>
      <c r="AD292" s="1484"/>
      <c r="AE292" s="1484"/>
      <c r="AF292" s="1484"/>
      <c r="AG292" s="1484"/>
      <c r="AH292" s="1484"/>
      <c r="AI292" s="1423"/>
      <c r="AJ292" s="1448"/>
      <c r="AK292" s="1423"/>
      <c r="AL292" s="1423"/>
      <c r="AM292" s="1423"/>
      <c r="AN292" s="1423"/>
      <c r="AO292" s="1423"/>
      <c r="AP292" s="1449"/>
      <c r="AQ292" s="1423"/>
      <c r="AR292" s="1423"/>
      <c r="AS292" s="1421"/>
      <c r="AT292" s="1421"/>
      <c r="AU292" s="1421"/>
      <c r="AV292" s="1421"/>
      <c r="AW292" s="1421"/>
      <c r="AX292" s="1421"/>
      <c r="AY292" s="1421"/>
    </row>
    <row r="293" spans="1:51" hidden="1" outlineLevel="1">
      <c r="A293" s="1421"/>
      <c r="B293" s="1421"/>
      <c r="C293" s="1421"/>
      <c r="D293" s="1421"/>
      <c r="E293" s="1421"/>
      <c r="F293" s="1421"/>
      <c r="G293" s="1421"/>
      <c r="H293" s="1421"/>
      <c r="I293" s="1421"/>
      <c r="J293" s="1421"/>
      <c r="K293" s="1421"/>
      <c r="L293" s="1421"/>
      <c r="M293" s="1421"/>
      <c r="N293" s="1421"/>
      <c r="O293" s="1421"/>
      <c r="P293" s="1421"/>
      <c r="Q293" s="1421"/>
      <c r="R293" s="1421"/>
      <c r="S293" s="1421"/>
      <c r="T293" s="1421"/>
      <c r="U293" s="1421"/>
      <c r="V293" s="1421"/>
      <c r="W293" s="1421"/>
      <c r="X293" s="1421"/>
      <c r="Y293" s="1421"/>
      <c r="Z293" s="1421"/>
      <c r="AA293" s="1421"/>
      <c r="AB293" s="1421"/>
      <c r="AC293" s="1421"/>
      <c r="AD293" s="1421"/>
      <c r="AE293" s="1421"/>
      <c r="AF293" s="1421"/>
      <c r="AG293" s="1421"/>
      <c r="AH293" s="1421"/>
      <c r="AI293" s="1423"/>
      <c r="AJ293" s="1448"/>
      <c r="AK293" s="1423"/>
      <c r="AL293" s="1423"/>
      <c r="AM293" s="1423"/>
      <c r="AN293" s="1423"/>
      <c r="AO293" s="1423"/>
      <c r="AP293" s="1449"/>
      <c r="AQ293" s="1423"/>
      <c r="AR293" s="1423"/>
      <c r="AS293" s="1421"/>
      <c r="AT293" s="1421"/>
      <c r="AU293" s="1421"/>
      <c r="AV293" s="1421"/>
      <c r="AW293" s="1421"/>
      <c r="AX293" s="1421"/>
      <c r="AY293" s="1421"/>
    </row>
    <row r="294" spans="1:51" hidden="1" outlineLevel="1">
      <c r="A294" s="1450" t="s">
        <v>199</v>
      </c>
      <c r="B294" s="1535"/>
      <c r="C294" s="1486"/>
      <c r="D294" s="1486"/>
      <c r="E294" s="1486"/>
      <c r="F294" s="1486"/>
      <c r="G294" s="1486"/>
      <c r="H294" s="1486"/>
      <c r="I294" s="1486"/>
      <c r="J294" s="1486">
        <f t="shared" ref="J294:AH294" si="288">+(I297+J297)/2</f>
        <v>8.5000000000000006E-2</v>
      </c>
      <c r="K294" s="1486">
        <f t="shared" si="288"/>
        <v>0.28800000000000003</v>
      </c>
      <c r="L294" s="1486">
        <f t="shared" si="288"/>
        <v>0.53649999999999998</v>
      </c>
      <c r="M294" s="1486">
        <f t="shared" si="288"/>
        <v>0.92349999999999999</v>
      </c>
      <c r="N294" s="1486">
        <f t="shared" si="288"/>
        <v>1.5609999999999999</v>
      </c>
      <c r="O294" s="1486">
        <f t="shared" si="288"/>
        <v>2.2404999999999999</v>
      </c>
      <c r="P294" s="1486">
        <f t="shared" si="288"/>
        <v>2.9420452020202021</v>
      </c>
      <c r="Q294" s="1486">
        <f t="shared" si="288"/>
        <v>3.6275452020202019</v>
      </c>
      <c r="R294" s="1486">
        <f t="shared" si="288"/>
        <v>3.605</v>
      </c>
      <c r="S294" s="1486">
        <f t="shared" si="288"/>
        <v>3.306</v>
      </c>
      <c r="T294" s="1486">
        <f t="shared" si="288"/>
        <v>3.3559999999999999</v>
      </c>
      <c r="U294" s="1486">
        <f t="shared" si="288"/>
        <v>3.5999999999999996</v>
      </c>
      <c r="V294" s="1486">
        <f t="shared" si="288"/>
        <v>3.7</v>
      </c>
      <c r="W294" s="1486">
        <f t="shared" si="288"/>
        <v>1.8</v>
      </c>
      <c r="X294" s="1486">
        <f t="shared" si="288"/>
        <v>0</v>
      </c>
      <c r="Y294" s="1486">
        <f t="shared" si="288"/>
        <v>0</v>
      </c>
      <c r="Z294" s="1486">
        <f t="shared" si="288"/>
        <v>0</v>
      </c>
      <c r="AA294" s="1486">
        <f t="shared" si="288"/>
        <v>0</v>
      </c>
      <c r="AB294" s="1486">
        <f t="shared" si="288"/>
        <v>0</v>
      </c>
      <c r="AC294" s="1486">
        <f t="shared" si="288"/>
        <v>0</v>
      </c>
      <c r="AD294" s="1486">
        <f t="shared" si="288"/>
        <v>0</v>
      </c>
      <c r="AE294" s="1486">
        <f t="shared" si="288"/>
        <v>0</v>
      </c>
      <c r="AF294" s="1486">
        <f t="shared" si="288"/>
        <v>0</v>
      </c>
      <c r="AG294" s="1486">
        <f t="shared" si="288"/>
        <v>0</v>
      </c>
      <c r="AH294" s="1486">
        <f t="shared" si="288"/>
        <v>0</v>
      </c>
      <c r="AI294" s="1423"/>
      <c r="AJ294" s="1448"/>
      <c r="AK294" s="1453">
        <f>((V294/Q294)^(1/5)-1)*100</f>
        <v>0.39631632480969792</v>
      </c>
      <c r="AL294" s="1454" t="s">
        <v>190</v>
      </c>
      <c r="AM294" s="1455"/>
      <c r="AN294" s="1454" t="s">
        <v>190</v>
      </c>
      <c r="AO294" s="1455">
        <f>((AA294/V294)^(1/5)-1)*100</f>
        <v>-100</v>
      </c>
      <c r="AP294" s="1459" t="s">
        <v>190</v>
      </c>
      <c r="AQ294" s="1454"/>
      <c r="AR294" s="1423"/>
      <c r="AS294" s="1421"/>
      <c r="AT294" s="1421"/>
      <c r="AU294" s="1421"/>
      <c r="AV294" s="1421"/>
      <c r="AW294" s="1421"/>
      <c r="AX294" s="1421"/>
      <c r="AY294" s="1421"/>
    </row>
    <row r="295" spans="1:51" hidden="1" outlineLevel="1">
      <c r="A295" s="1450" t="s">
        <v>191</v>
      </c>
      <c r="B295" s="1445"/>
      <c r="C295" s="1445"/>
      <c r="D295" s="1445"/>
      <c r="E295" s="1445"/>
      <c r="F295" s="1445"/>
      <c r="G295" s="1445"/>
      <c r="H295" s="1445"/>
      <c r="I295" s="1445"/>
      <c r="J295" s="1445"/>
      <c r="K295" s="1445">
        <f t="shared" ref="K295:X295" si="289">K294/J294-1</f>
        <v>2.388235294117647</v>
      </c>
      <c r="L295" s="1445">
        <f t="shared" si="289"/>
        <v>0.86284722222222188</v>
      </c>
      <c r="M295" s="1445">
        <f t="shared" si="289"/>
        <v>0.72134203168685929</v>
      </c>
      <c r="N295" s="1445">
        <f t="shared" si="289"/>
        <v>0.69030860855441256</v>
      </c>
      <c r="O295" s="1445">
        <f t="shared" si="289"/>
        <v>0.43529788597053165</v>
      </c>
      <c r="P295" s="1445">
        <f t="shared" si="289"/>
        <v>0.31311992948904366</v>
      </c>
      <c r="Q295" s="1445">
        <f t="shared" si="289"/>
        <v>0.23300117874779436</v>
      </c>
      <c r="R295" s="1445">
        <f t="shared" si="289"/>
        <v>-6.2150023678950728E-3</v>
      </c>
      <c r="S295" s="1445">
        <f t="shared" si="289"/>
        <v>-8.2940360610263553E-2</v>
      </c>
      <c r="T295" s="1445">
        <f t="shared" si="289"/>
        <v>1.5124016938898865E-2</v>
      </c>
      <c r="U295" s="1445">
        <f t="shared" si="289"/>
        <v>7.2705601907032014E-2</v>
      </c>
      <c r="V295" s="1445">
        <f t="shared" si="289"/>
        <v>2.7777777777777901E-2</v>
      </c>
      <c r="W295" s="1445">
        <f t="shared" si="289"/>
        <v>-0.5135135135135136</v>
      </c>
      <c r="X295" s="1445">
        <f t="shared" si="289"/>
        <v>-1</v>
      </c>
      <c r="Y295" s="1445"/>
      <c r="Z295" s="1445"/>
      <c r="AA295" s="1445"/>
      <c r="AB295" s="1445"/>
      <c r="AC295" s="1445"/>
      <c r="AD295" s="1445"/>
      <c r="AE295" s="1445"/>
      <c r="AF295" s="1445"/>
      <c r="AG295" s="1445"/>
      <c r="AH295" s="1445"/>
      <c r="AI295" s="1423"/>
      <c r="AJ295" s="1448"/>
      <c r="AK295" s="1423"/>
      <c r="AL295" s="1423"/>
      <c r="AM295" s="1423"/>
      <c r="AN295" s="1423"/>
      <c r="AO295" s="1423"/>
      <c r="AP295" s="1449"/>
      <c r="AQ295" s="1423"/>
      <c r="AR295" s="1423"/>
      <c r="AS295" s="1421"/>
      <c r="AT295" s="1421"/>
      <c r="AU295" s="1421"/>
      <c r="AV295" s="1421"/>
      <c r="AW295" s="1421"/>
      <c r="AX295" s="1421"/>
      <c r="AY295" s="1421"/>
    </row>
    <row r="296" spans="1:51" hidden="1" outlineLevel="1">
      <c r="A296" s="1421"/>
      <c r="B296" s="1421"/>
      <c r="C296" s="1421"/>
      <c r="D296" s="1421"/>
      <c r="E296" s="1421"/>
      <c r="F296" s="1421"/>
      <c r="G296" s="1421"/>
      <c r="H296" s="1421"/>
      <c r="I296" s="1421"/>
      <c r="J296" s="1421"/>
      <c r="K296" s="1421"/>
      <c r="L296" s="1421"/>
      <c r="M296" s="1421"/>
      <c r="N296" s="1421"/>
      <c r="O296" s="1421"/>
      <c r="P296" s="1421"/>
      <c r="Q296" s="1421"/>
      <c r="R296" s="1421"/>
      <c r="S296" s="1421"/>
      <c r="T296" s="1421"/>
      <c r="U296" s="1421"/>
      <c r="V296" s="1421"/>
      <c r="W296" s="1421"/>
      <c r="X296" s="1421"/>
      <c r="Y296" s="1421"/>
      <c r="Z296" s="1421"/>
      <c r="AA296" s="1421"/>
      <c r="AB296" s="1421"/>
      <c r="AC296" s="1421"/>
      <c r="AD296" s="1421"/>
      <c r="AE296" s="1421"/>
      <c r="AF296" s="1421"/>
      <c r="AG296" s="1421"/>
      <c r="AH296" s="1421"/>
      <c r="AI296" s="1423"/>
      <c r="AJ296" s="1448"/>
      <c r="AK296" s="1423"/>
      <c r="AL296" s="1423"/>
      <c r="AM296" s="1423"/>
      <c r="AN296" s="1423"/>
      <c r="AO296" s="1423"/>
      <c r="AP296" s="1449"/>
      <c r="AQ296" s="1423"/>
      <c r="AR296" s="1423"/>
      <c r="AS296" s="1421"/>
      <c r="AT296" s="1421"/>
      <c r="AU296" s="1421"/>
      <c r="AV296" s="1421"/>
      <c r="AW296" s="1421"/>
      <c r="AX296" s="1421"/>
      <c r="AY296" s="1421"/>
    </row>
    <row r="297" spans="1:51" hidden="1" outlineLevel="1">
      <c r="A297" s="1450" t="s">
        <v>200</v>
      </c>
      <c r="B297" s="1523"/>
      <c r="C297" s="1522"/>
      <c r="D297" s="1522"/>
      <c r="E297" s="1522"/>
      <c r="F297" s="1522"/>
      <c r="G297" s="1522"/>
      <c r="H297" s="1522"/>
      <c r="I297" s="1522"/>
      <c r="J297" s="1522">
        <f>Stores!$AW$85</f>
        <v>0.17</v>
      </c>
      <c r="K297" s="1522">
        <f>Stores!$AW$93</f>
        <v>0.40600000000000003</v>
      </c>
      <c r="L297" s="1522">
        <f>Stores!$AW$101</f>
        <v>0.66700000000000004</v>
      </c>
      <c r="M297" s="1522">
        <f>Stores!$AW$109</f>
        <v>1.18</v>
      </c>
      <c r="N297" s="1522">
        <f>Stores!$AW$117</f>
        <v>1.9419999999999999</v>
      </c>
      <c r="O297" s="1522">
        <f>Stores!$AW$125</f>
        <v>2.5390000000000001</v>
      </c>
      <c r="P297" s="1522">
        <f>Stores!$AW$133</f>
        <v>3.3450904040404041</v>
      </c>
      <c r="Q297" s="1522">
        <f>Stores!$AW$141</f>
        <v>3.91</v>
      </c>
      <c r="R297" s="1522">
        <f>Stores!$AW$149</f>
        <v>3.3</v>
      </c>
      <c r="S297" s="1522">
        <f>Stores!$AW$156</f>
        <v>3.3119999999999998</v>
      </c>
      <c r="T297" s="1522">
        <f>Stores!$AW$163</f>
        <v>3.4</v>
      </c>
      <c r="U297" s="1522">
        <f>Stores!$AW$170</f>
        <v>3.8</v>
      </c>
      <c r="V297" s="1522">
        <f>Stores!$AW$177</f>
        <v>3.6</v>
      </c>
      <c r="W297" s="1522">
        <f>Stores!$AW$184</f>
        <v>0</v>
      </c>
      <c r="X297" s="1522">
        <f>Stores!$AW$191</f>
        <v>0</v>
      </c>
      <c r="Y297" s="1522">
        <f>Stores!$AW$198</f>
        <v>0</v>
      </c>
      <c r="Z297" s="1522">
        <f>Stores!$AW$205</f>
        <v>0</v>
      </c>
      <c r="AA297" s="1522">
        <f>Stores!$AW$212</f>
        <v>0</v>
      </c>
      <c r="AB297" s="1522">
        <f>Stores!$AW$219</f>
        <v>0</v>
      </c>
      <c r="AC297" s="1522">
        <f>Stores!$AW$226</f>
        <v>0</v>
      </c>
      <c r="AD297" s="1522">
        <f>Stores!$AW$233</f>
        <v>0</v>
      </c>
      <c r="AE297" s="1522">
        <f>Stores!$AW$233</f>
        <v>0</v>
      </c>
      <c r="AF297" s="1522">
        <f>Stores!$AW$233</f>
        <v>0</v>
      </c>
      <c r="AG297" s="1522">
        <f>Stores!$AW$233</f>
        <v>0</v>
      </c>
      <c r="AH297" s="1522">
        <f>Stores!$AW$233</f>
        <v>0</v>
      </c>
      <c r="AI297" s="1423"/>
      <c r="AJ297" s="1448"/>
      <c r="AK297" s="1453">
        <f>((V297/Q297)^(1/5)-1)*100</f>
        <v>-1.6384987264475681</v>
      </c>
      <c r="AL297" s="1454" t="s">
        <v>190</v>
      </c>
      <c r="AM297" s="1455"/>
      <c r="AN297" s="1454" t="s">
        <v>190</v>
      </c>
      <c r="AO297" s="1455">
        <f>((AA297/V297)^(1/5)-1)*100</f>
        <v>-100</v>
      </c>
      <c r="AP297" s="1459" t="s">
        <v>190</v>
      </c>
      <c r="AQ297" s="1454"/>
      <c r="AR297" s="1423"/>
      <c r="AS297" s="1421"/>
      <c r="AT297" s="1421"/>
      <c r="AU297" s="1421"/>
      <c r="AV297" s="1421"/>
      <c r="AW297" s="1421"/>
      <c r="AX297" s="1421"/>
      <c r="AY297" s="1421"/>
    </row>
    <row r="298" spans="1:51" hidden="1" outlineLevel="1">
      <c r="A298" s="1450" t="s">
        <v>191</v>
      </c>
      <c r="B298" s="1445"/>
      <c r="C298" s="1445"/>
      <c r="D298" s="1445"/>
      <c r="E298" s="1445"/>
      <c r="F298" s="1445"/>
      <c r="G298" s="1445"/>
      <c r="H298" s="1445"/>
      <c r="I298" s="1445"/>
      <c r="J298" s="1445"/>
      <c r="K298" s="1445">
        <f t="shared" ref="K298:W298" si="290">K297/J297-1</f>
        <v>1.388235294117647</v>
      </c>
      <c r="L298" s="1445">
        <f t="shared" si="290"/>
        <v>0.64285714285714279</v>
      </c>
      <c r="M298" s="1445">
        <f t="shared" si="290"/>
        <v>0.76911544227886042</v>
      </c>
      <c r="N298" s="1445">
        <f t="shared" si="290"/>
        <v>0.64576271186440692</v>
      </c>
      <c r="O298" s="1445">
        <f t="shared" si="290"/>
        <v>0.30741503604531428</v>
      </c>
      <c r="P298" s="1445">
        <f t="shared" si="290"/>
        <v>0.31748342026010401</v>
      </c>
      <c r="Q298" s="1445">
        <f t="shared" si="290"/>
        <v>0.1688772283335791</v>
      </c>
      <c r="R298" s="1445">
        <f t="shared" si="290"/>
        <v>-0.15601023017902826</v>
      </c>
      <c r="S298" s="1445">
        <f t="shared" si="290"/>
        <v>3.6363636363636598E-3</v>
      </c>
      <c r="T298" s="1445">
        <f t="shared" si="290"/>
        <v>2.6570048309178862E-2</v>
      </c>
      <c r="U298" s="1445">
        <f t="shared" si="290"/>
        <v>0.11764705882352944</v>
      </c>
      <c r="V298" s="1445">
        <f t="shared" si="290"/>
        <v>-5.2631578947368363E-2</v>
      </c>
      <c r="W298" s="1445">
        <f t="shared" si="290"/>
        <v>-1</v>
      </c>
      <c r="X298" s="1445"/>
      <c r="Y298" s="1445"/>
      <c r="Z298" s="1445"/>
      <c r="AA298" s="1445"/>
      <c r="AB298" s="1445"/>
      <c r="AC298" s="1445"/>
      <c r="AD298" s="1445"/>
      <c r="AE298" s="1445"/>
      <c r="AF298" s="1445"/>
      <c r="AG298" s="1445"/>
      <c r="AH298" s="1445"/>
      <c r="AI298" s="1423"/>
      <c r="AJ298" s="1448"/>
      <c r="AK298" s="1423"/>
      <c r="AL298" s="1423"/>
      <c r="AM298" s="1423"/>
      <c r="AN298" s="1423"/>
      <c r="AO298" s="1423"/>
      <c r="AP298" s="1449"/>
      <c r="AQ298" s="1423"/>
      <c r="AR298" s="1423"/>
      <c r="AS298" s="1421"/>
      <c r="AT298" s="1421"/>
      <c r="AU298" s="1421"/>
      <c r="AV298" s="1421"/>
      <c r="AW298" s="1421"/>
      <c r="AX298" s="1421"/>
      <c r="AY298" s="1421"/>
    </row>
    <row r="299" spans="1:51" hidden="1" outlineLevel="1">
      <c r="A299" s="1421"/>
      <c r="B299" s="1421"/>
      <c r="C299" s="1421"/>
      <c r="D299" s="1421"/>
      <c r="E299" s="1421"/>
      <c r="F299" s="1421"/>
      <c r="G299" s="1421"/>
      <c r="H299" s="1421"/>
      <c r="I299" s="1421"/>
      <c r="J299" s="1421"/>
      <c r="K299" s="1421"/>
      <c r="L299" s="1421"/>
      <c r="M299" s="1421"/>
      <c r="N299" s="1421"/>
      <c r="O299" s="1421"/>
      <c r="P299" s="1421"/>
      <c r="Q299" s="1421"/>
      <c r="R299" s="1421"/>
      <c r="S299" s="1421"/>
      <c r="T299" s="1421"/>
      <c r="U299" s="1421"/>
      <c r="V299" s="1421"/>
      <c r="W299" s="1421"/>
      <c r="X299" s="1421"/>
      <c r="Y299" s="1421"/>
      <c r="Z299" s="1421"/>
      <c r="AA299" s="1421"/>
      <c r="AB299" s="1421"/>
      <c r="AC299" s="1421"/>
      <c r="AD299" s="1421"/>
      <c r="AE299" s="1421"/>
      <c r="AF299" s="1421"/>
      <c r="AG299" s="1421"/>
      <c r="AH299" s="1421"/>
      <c r="AI299" s="1423"/>
      <c r="AJ299" s="1448"/>
      <c r="AK299" s="1423"/>
      <c r="AL299" s="1423"/>
      <c r="AM299" s="1423"/>
      <c r="AN299" s="1423"/>
      <c r="AO299" s="1423"/>
      <c r="AP299" s="1449"/>
      <c r="AQ299" s="1423"/>
      <c r="AR299" s="1423"/>
      <c r="AS299" s="1421"/>
      <c r="AT299" s="1421"/>
      <c r="AU299" s="1421"/>
      <c r="AV299" s="1421"/>
      <c r="AW299" s="1421"/>
      <c r="AX299" s="1421"/>
      <c r="AY299" s="1421"/>
    </row>
    <row r="300" spans="1:51" hidden="1" outlineLevel="1">
      <c r="A300" s="1450" t="s">
        <v>201</v>
      </c>
      <c r="B300" s="1482"/>
      <c r="C300" s="1482"/>
      <c r="D300" s="1482"/>
      <c r="E300" s="1482"/>
      <c r="F300" s="1482"/>
      <c r="G300" s="1482"/>
      <c r="H300" s="1482"/>
      <c r="I300" s="1482"/>
      <c r="J300" s="1482">
        <f t="shared" ref="J300:P300" si="291">J297/J287*1000000</f>
        <v>28333.333333333336</v>
      </c>
      <c r="K300" s="1482">
        <f t="shared" si="291"/>
        <v>27066.666666666668</v>
      </c>
      <c r="L300" s="1482">
        <f t="shared" si="291"/>
        <v>26680.000000000004</v>
      </c>
      <c r="M300" s="1482">
        <f t="shared" si="291"/>
        <v>26222.222222222219</v>
      </c>
      <c r="N300" s="1482">
        <f t="shared" si="291"/>
        <v>25893.333333333336</v>
      </c>
      <c r="O300" s="1482">
        <f t="shared" si="291"/>
        <v>25646.464646464647</v>
      </c>
      <c r="P300" s="1482">
        <f t="shared" si="291"/>
        <v>25731.464646464647</v>
      </c>
      <c r="Q300" s="1482">
        <f t="shared" ref="Q300:V300" si="292">Q297/Q287*1000000</f>
        <v>25723.684210526317</v>
      </c>
      <c r="R300" s="1482">
        <f t="shared" si="292"/>
        <v>25581.39534883721</v>
      </c>
      <c r="S300" s="1482">
        <f t="shared" si="292"/>
        <v>25674.41860465116</v>
      </c>
      <c r="T300" s="1482">
        <f t="shared" si="292"/>
        <v>25185.185185185186</v>
      </c>
      <c r="U300" s="1482">
        <f t="shared" si="292"/>
        <v>25333.333333333332</v>
      </c>
      <c r="V300" s="1482">
        <f t="shared" si="292"/>
        <v>25352.112676056338</v>
      </c>
      <c r="W300" s="1482"/>
      <c r="X300" s="1482"/>
      <c r="Y300" s="1482"/>
      <c r="Z300" s="1482"/>
      <c r="AA300" s="1482"/>
      <c r="AB300" s="1482"/>
      <c r="AC300" s="1482"/>
      <c r="AD300" s="1482"/>
      <c r="AE300" s="1482"/>
      <c r="AF300" s="1482"/>
      <c r="AG300" s="1482"/>
      <c r="AH300" s="1482"/>
      <c r="AI300" s="1478"/>
      <c r="AJ300" s="1479"/>
      <c r="AK300" s="1478"/>
      <c r="AL300" s="1478"/>
      <c r="AM300" s="1423"/>
      <c r="AN300" s="1478"/>
      <c r="AO300" s="1423"/>
      <c r="AP300" s="1480"/>
      <c r="AQ300" s="1478"/>
      <c r="AR300" s="1423"/>
      <c r="AS300" s="1421"/>
      <c r="AT300" s="1421"/>
      <c r="AU300" s="1421"/>
      <c r="AV300" s="1421"/>
      <c r="AW300" s="1421"/>
      <c r="AX300" s="1421"/>
      <c r="AY300" s="1421"/>
    </row>
    <row r="301" spans="1:51" hidden="1" outlineLevel="1">
      <c r="A301" s="1450" t="s">
        <v>191</v>
      </c>
      <c r="B301" s="1484"/>
      <c r="C301" s="1484"/>
      <c r="D301" s="1484"/>
      <c r="E301" s="1484"/>
      <c r="F301" s="1484"/>
      <c r="G301" s="1484"/>
      <c r="H301" s="1484"/>
      <c r="I301" s="1484"/>
      <c r="J301" s="1484"/>
      <c r="K301" s="1484">
        <f t="shared" ref="K301:V301" si="293">K300/J300-1</f>
        <v>-4.4705882352941262E-2</v>
      </c>
      <c r="L301" s="1484">
        <f t="shared" si="293"/>
        <v>-1.4285714285714235E-2</v>
      </c>
      <c r="M301" s="1484">
        <f t="shared" si="293"/>
        <v>-1.7158087622855533E-2</v>
      </c>
      <c r="N301" s="1484">
        <f t="shared" si="293"/>
        <v>-1.2542372881355734E-2</v>
      </c>
      <c r="O301" s="1484">
        <f t="shared" si="293"/>
        <v>-9.5340636020349034E-3</v>
      </c>
      <c r="P301" s="1484">
        <f t="shared" si="293"/>
        <v>3.3142969673098932E-3</v>
      </c>
      <c r="Q301" s="1484">
        <f t="shared" si="293"/>
        <v>-3.0237050417569744E-4</v>
      </c>
      <c r="R301" s="1484">
        <f t="shared" si="293"/>
        <v>-5.5314340093974845E-3</v>
      </c>
      <c r="S301" s="1484">
        <f t="shared" si="293"/>
        <v>3.6363636363634377E-3</v>
      </c>
      <c r="T301" s="1484">
        <f t="shared" si="293"/>
        <v>-1.9055287171229063E-2</v>
      </c>
      <c r="U301" s="1484">
        <f t="shared" si="293"/>
        <v>5.8823529411764497E-3</v>
      </c>
      <c r="V301" s="1484">
        <f t="shared" si="293"/>
        <v>7.4128984432908496E-4</v>
      </c>
      <c r="W301" s="1484"/>
      <c r="X301" s="1484"/>
      <c r="Y301" s="1484"/>
      <c r="Z301" s="1484"/>
      <c r="AA301" s="1484"/>
      <c r="AB301" s="1484"/>
      <c r="AC301" s="1484"/>
      <c r="AD301" s="1484"/>
      <c r="AE301" s="1484"/>
      <c r="AF301" s="1484"/>
      <c r="AG301" s="1484"/>
      <c r="AH301" s="1484"/>
      <c r="AI301" s="1423"/>
      <c r="AJ301" s="1448"/>
      <c r="AK301" s="1423"/>
      <c r="AL301" s="1423"/>
      <c r="AM301" s="1423"/>
      <c r="AN301" s="1423"/>
      <c r="AO301" s="1423"/>
      <c r="AP301" s="1449"/>
      <c r="AQ301" s="1423"/>
      <c r="AR301" s="1423"/>
      <c r="AS301" s="1421"/>
      <c r="AT301" s="1421"/>
      <c r="AU301" s="1421"/>
      <c r="AV301" s="1421"/>
      <c r="AW301" s="1421"/>
      <c r="AX301" s="1421"/>
      <c r="AY301" s="1421"/>
    </row>
    <row r="302" spans="1:51" hidden="1" outlineLevel="1">
      <c r="A302" s="1421"/>
      <c r="B302" s="1421"/>
      <c r="C302" s="1421"/>
      <c r="D302" s="1421"/>
      <c r="E302" s="1421"/>
      <c r="F302" s="1421"/>
      <c r="G302" s="1421"/>
      <c r="H302" s="1421"/>
      <c r="I302" s="1421"/>
      <c r="J302" s="1421"/>
      <c r="K302" s="1421"/>
      <c r="L302" s="1421"/>
      <c r="M302" s="1421"/>
      <c r="N302" s="1421"/>
      <c r="O302" s="1421"/>
      <c r="P302" s="1421"/>
      <c r="Q302" s="1421"/>
      <c r="R302" s="1421"/>
      <c r="S302" s="1421"/>
      <c r="T302" s="1421"/>
      <c r="U302" s="1421"/>
      <c r="V302" s="1421"/>
      <c r="W302" s="1421"/>
      <c r="X302" s="1421"/>
      <c r="Y302" s="1421"/>
      <c r="Z302" s="1421"/>
      <c r="AA302" s="1421"/>
      <c r="AB302" s="1421"/>
      <c r="AC302" s="1421"/>
      <c r="AD302" s="1421"/>
      <c r="AE302" s="1421"/>
      <c r="AF302" s="1421"/>
      <c r="AG302" s="1421"/>
      <c r="AH302" s="1421"/>
      <c r="AI302" s="1423"/>
      <c r="AJ302" s="1448"/>
      <c r="AK302" s="1423"/>
      <c r="AL302" s="1423"/>
      <c r="AM302" s="1423"/>
      <c r="AN302" s="1423"/>
      <c r="AO302" s="1423"/>
      <c r="AP302" s="1449"/>
      <c r="AQ302" s="1423"/>
      <c r="AR302" s="1423"/>
      <c r="AS302" s="1421"/>
      <c r="AT302" s="1421"/>
      <c r="AU302" s="1421"/>
      <c r="AV302" s="1421"/>
      <c r="AW302" s="1421"/>
      <c r="AX302" s="1421"/>
      <c r="AY302" s="1421"/>
    </row>
    <row r="303" spans="1:51" hidden="1" outlineLevel="1">
      <c r="A303" s="1450" t="s">
        <v>148</v>
      </c>
      <c r="B303" s="1451"/>
      <c r="C303" s="1451"/>
      <c r="D303" s="1451"/>
      <c r="E303" s="1451"/>
      <c r="F303" s="1451"/>
      <c r="G303" s="1451"/>
      <c r="H303" s="1451"/>
      <c r="I303" s="1451"/>
      <c r="J303" s="1451">
        <f t="shared" ref="J303:R303" si="294">+J278/J294</f>
        <v>126</v>
      </c>
      <c r="K303" s="1451">
        <f t="shared" si="294"/>
        <v>150.30208333333331</v>
      </c>
      <c r="L303" s="1451">
        <f t="shared" si="294"/>
        <v>154.9860205032619</v>
      </c>
      <c r="M303" s="1451">
        <f t="shared" si="294"/>
        <v>170.36058473199785</v>
      </c>
      <c r="N303" s="1451">
        <f t="shared" si="294"/>
        <v>177.58488148622681</v>
      </c>
      <c r="O303" s="1451">
        <f t="shared" si="294"/>
        <v>188.17406828832853</v>
      </c>
      <c r="P303" s="1451">
        <f t="shared" si="294"/>
        <v>180.3653457246767</v>
      </c>
      <c r="Q303" s="1451">
        <f t="shared" si="294"/>
        <v>169.79498964119867</v>
      </c>
      <c r="R303" s="1451">
        <f t="shared" si="294"/>
        <v>166.94230235783633</v>
      </c>
      <c r="S303" s="1451">
        <f>+S278/S294</f>
        <v>191.36751361161527</v>
      </c>
      <c r="T303" s="1451">
        <f>+T278/T294</f>
        <v>201.90613825983314</v>
      </c>
      <c r="U303" s="1451">
        <f>+U278/U294</f>
        <v>0</v>
      </c>
      <c r="V303" s="1451">
        <f>+V278/V294</f>
        <v>0</v>
      </c>
      <c r="W303" s="1451">
        <f>+W278/W294</f>
        <v>0</v>
      </c>
      <c r="X303" s="1451"/>
      <c r="Y303" s="1451"/>
      <c r="Z303" s="1451"/>
      <c r="AA303" s="1451"/>
      <c r="AB303" s="1451"/>
      <c r="AC303" s="1451"/>
      <c r="AD303" s="1451"/>
      <c r="AE303" s="1451"/>
      <c r="AF303" s="1451"/>
      <c r="AG303" s="1451"/>
      <c r="AH303" s="1451"/>
      <c r="AI303" s="1423"/>
      <c r="AJ303" s="1448"/>
      <c r="AK303" s="1453">
        <f>((V303/Q303)^(1/5)-1)*100</f>
        <v>-100</v>
      </c>
      <c r="AL303" s="1454" t="s">
        <v>190</v>
      </c>
      <c r="AM303" s="1455"/>
      <c r="AN303" s="1454" t="s">
        <v>190</v>
      </c>
      <c r="AO303" s="1455" t="e">
        <f>((AA303/V303)^(1/5)-1)*100</f>
        <v>#DIV/0!</v>
      </c>
      <c r="AP303" s="1459" t="s">
        <v>190</v>
      </c>
      <c r="AQ303" s="1454"/>
      <c r="AR303" s="1423"/>
      <c r="AS303" s="1540"/>
      <c r="AT303" s="1421"/>
      <c r="AU303" s="1421"/>
      <c r="AV303" s="1421"/>
      <c r="AW303" s="1421"/>
      <c r="AX303" s="1421"/>
      <c r="AY303" s="1421"/>
    </row>
    <row r="304" spans="1:51" hidden="1" outlineLevel="1">
      <c r="A304" s="1450" t="s">
        <v>191</v>
      </c>
      <c r="B304" s="1484"/>
      <c r="C304" s="1484"/>
      <c r="D304" s="1484"/>
      <c r="E304" s="1484"/>
      <c r="F304" s="1484"/>
      <c r="G304" s="1484"/>
      <c r="H304" s="1484"/>
      <c r="I304" s="1484"/>
      <c r="J304" s="1484"/>
      <c r="K304" s="1484">
        <f t="shared" ref="K304:W304" si="295">K303/J303-1</f>
        <v>0.19287367724867699</v>
      </c>
      <c r="L304" s="1484">
        <f t="shared" si="295"/>
        <v>3.116348799730706E-2</v>
      </c>
      <c r="M304" s="1484">
        <f t="shared" si="295"/>
        <v>9.9199683808981698E-2</v>
      </c>
      <c r="N304" s="1484">
        <f t="shared" si="295"/>
        <v>4.2405916636138796E-2</v>
      </c>
      <c r="O304" s="1484">
        <f t="shared" si="295"/>
        <v>5.9628875574765594E-2</v>
      </c>
      <c r="P304" s="1484">
        <f t="shared" si="295"/>
        <v>-4.1497336135003282E-2</v>
      </c>
      <c r="Q304" s="1484">
        <f t="shared" si="295"/>
        <v>-5.8605249478541288E-2</v>
      </c>
      <c r="R304" s="1484">
        <f t="shared" si="295"/>
        <v>-1.6800774212422209E-2</v>
      </c>
      <c r="S304" s="1484">
        <f t="shared" si="295"/>
        <v>0.14630929913392565</v>
      </c>
      <c r="T304" s="1484">
        <f t="shared" si="295"/>
        <v>5.5070081903275669E-2</v>
      </c>
      <c r="U304" s="1484">
        <f t="shared" si="295"/>
        <v>-1</v>
      </c>
      <c r="V304" s="1484" t="e">
        <f t="shared" si="295"/>
        <v>#DIV/0!</v>
      </c>
      <c r="W304" s="1484" t="e">
        <f t="shared" si="295"/>
        <v>#DIV/0!</v>
      </c>
      <c r="X304" s="1484"/>
      <c r="Y304" s="1484"/>
      <c r="Z304" s="1484"/>
      <c r="AA304" s="1484"/>
      <c r="AB304" s="1484"/>
      <c r="AC304" s="1484"/>
      <c r="AD304" s="1484"/>
      <c r="AE304" s="1484"/>
      <c r="AF304" s="1484"/>
      <c r="AG304" s="1484"/>
      <c r="AH304" s="1484"/>
      <c r="AI304" s="1423"/>
      <c r="AJ304" s="1448"/>
      <c r="AK304" s="1423"/>
      <c r="AL304" s="1423"/>
      <c r="AM304" s="1423"/>
      <c r="AN304" s="1423"/>
      <c r="AO304" s="1423"/>
      <c r="AP304" s="1449"/>
      <c r="AQ304" s="1423"/>
      <c r="AR304" s="1423"/>
      <c r="AS304" s="1421"/>
      <c r="AT304" s="1421"/>
      <c r="AU304" s="1421"/>
      <c r="AV304" s="1421"/>
      <c r="AW304" s="1421"/>
      <c r="AX304" s="1421"/>
      <c r="AY304" s="1421"/>
    </row>
    <row r="305" spans="1:51" hidden="1" outlineLevel="1">
      <c r="A305" s="1421"/>
      <c r="B305" s="1421"/>
      <c r="C305" s="1421"/>
      <c r="D305" s="1421"/>
      <c r="E305" s="1421"/>
      <c r="F305" s="1421"/>
      <c r="G305" s="1421"/>
      <c r="H305" s="1421"/>
      <c r="I305" s="1421"/>
      <c r="J305" s="1421"/>
      <c r="K305" s="1421"/>
      <c r="L305" s="1421"/>
      <c r="M305" s="1421"/>
      <c r="N305" s="1421"/>
      <c r="O305" s="1421"/>
      <c r="P305" s="1421"/>
      <c r="Q305" s="1421"/>
      <c r="R305" s="1421"/>
      <c r="S305" s="1421"/>
      <c r="T305" s="1421"/>
      <c r="U305" s="1421"/>
      <c r="V305" s="1421"/>
      <c r="W305" s="1421"/>
      <c r="X305" s="1421"/>
      <c r="Y305" s="1421"/>
      <c r="Z305" s="1421"/>
      <c r="AA305" s="1421"/>
      <c r="AB305" s="1421"/>
      <c r="AC305" s="1421"/>
      <c r="AD305" s="1421"/>
      <c r="AE305" s="1421"/>
      <c r="AF305" s="1421"/>
      <c r="AG305" s="1421"/>
      <c r="AH305" s="1421"/>
      <c r="AI305" s="1423"/>
      <c r="AJ305" s="1448"/>
      <c r="AK305" s="1423"/>
      <c r="AL305" s="1423"/>
      <c r="AM305" s="1423"/>
      <c r="AN305" s="1423"/>
      <c r="AO305" s="1423"/>
      <c r="AP305" s="1449"/>
      <c r="AQ305" s="1423"/>
      <c r="AR305" s="1423"/>
      <c r="AS305" s="1421"/>
      <c r="AT305" s="1421"/>
      <c r="AU305" s="1421"/>
      <c r="AV305" s="1421"/>
      <c r="AW305" s="1421"/>
      <c r="AX305" s="1421"/>
      <c r="AY305" s="1421"/>
    </row>
    <row r="306" spans="1:51" hidden="1" outlineLevel="1">
      <c r="A306" s="1450" t="s">
        <v>506</v>
      </c>
      <c r="B306" s="1484"/>
      <c r="C306" s="1484"/>
      <c r="D306" s="1484"/>
      <c r="E306" s="1484"/>
      <c r="F306" s="1484"/>
      <c r="G306" s="1484"/>
      <c r="H306" s="1541"/>
      <c r="I306" s="1541"/>
      <c r="J306" s="1541"/>
      <c r="K306" s="1541"/>
      <c r="L306" s="1525">
        <f>'SegP&amp;L'!$AQ$85/100</f>
        <v>0.19</v>
      </c>
      <c r="M306" s="1525">
        <f>'SegP&amp;L'!$AQ$92/100</f>
        <v>0.18</v>
      </c>
      <c r="N306" s="1525">
        <f>'SegP&amp;L'!$AQ$99/100</f>
        <v>0.11</v>
      </c>
      <c r="O306" s="1525">
        <f>'SegP&amp;L'!$AQ$106/100</f>
        <v>0.08</v>
      </c>
      <c r="P306" s="1525">
        <f>'SegP&amp;L'!$AQ$113/100</f>
        <v>0</v>
      </c>
      <c r="Q306" s="1525">
        <f>+SegqtrSales!F772/100</f>
        <v>0</v>
      </c>
      <c r="R306" s="1484">
        <f>SegqtrSales!$F$779/100</f>
        <v>0</v>
      </c>
      <c r="S306" s="1484">
        <f>SegqtrSales!$F$786/100</f>
        <v>0</v>
      </c>
      <c r="T306" s="1484">
        <f>SegqtrSales!F793*0.01</f>
        <v>0</v>
      </c>
      <c r="U306" s="1484">
        <f>SegqtrSales!$F$800*0.01</f>
        <v>0</v>
      </c>
      <c r="V306" s="1484">
        <f>SegqtrSales!$F$807*0.01</f>
        <v>0</v>
      </c>
      <c r="W306" s="1532">
        <v>0.03</v>
      </c>
      <c r="X306" s="1532">
        <v>0.03</v>
      </c>
      <c r="Y306" s="1532">
        <v>0.02</v>
      </c>
      <c r="Z306" s="1532">
        <v>0.02</v>
      </c>
      <c r="AA306" s="1532">
        <v>0.02</v>
      </c>
      <c r="AB306" s="1532">
        <v>0.02</v>
      </c>
      <c r="AC306" s="1532">
        <v>0.02</v>
      </c>
      <c r="AD306" s="1532">
        <v>0.02</v>
      </c>
      <c r="AE306" s="1532">
        <v>0.02</v>
      </c>
      <c r="AF306" s="1532">
        <v>0.02</v>
      </c>
      <c r="AG306" s="1532">
        <v>0.02</v>
      </c>
      <c r="AH306" s="1532">
        <v>0.02</v>
      </c>
      <c r="AI306" s="1490"/>
      <c r="AJ306" s="1491"/>
      <c r="AK306" s="1423"/>
      <c r="AL306" s="1423"/>
      <c r="AM306" s="1423"/>
      <c r="AN306" s="1423"/>
      <c r="AO306" s="1423"/>
      <c r="AP306" s="1449"/>
      <c r="AQ306" s="1423"/>
      <c r="AR306" s="1423"/>
      <c r="AS306" s="1421"/>
      <c r="AT306" s="1421"/>
      <c r="AU306" s="1421"/>
      <c r="AV306" s="1421"/>
      <c r="AW306" s="1421"/>
      <c r="AX306" s="1421"/>
      <c r="AY306" s="1421"/>
    </row>
    <row r="307" spans="1:51" hidden="1" outlineLevel="1">
      <c r="A307" s="1450" t="s">
        <v>365</v>
      </c>
      <c r="B307" s="1484"/>
      <c r="C307" s="1484"/>
      <c r="D307" s="1484"/>
      <c r="E307" s="1484"/>
      <c r="F307" s="1484"/>
      <c r="G307" s="1484"/>
      <c r="H307" s="1541"/>
      <c r="I307" s="1541"/>
      <c r="J307" s="1541"/>
      <c r="K307" s="1525">
        <f t="shared" ref="K307:V307" si="296">+K279-K306</f>
        <v>3.041736694677871</v>
      </c>
      <c r="L307" s="1525">
        <f t="shared" si="296"/>
        <v>0.73090003927276115</v>
      </c>
      <c r="M307" s="1525">
        <f t="shared" si="296"/>
        <v>0.71209861695730603</v>
      </c>
      <c r="N307" s="1525">
        <f t="shared" si="296"/>
        <v>0.65198769449811877</v>
      </c>
      <c r="O307" s="1525">
        <f t="shared" si="296"/>
        <v>0.4408830850257926</v>
      </c>
      <c r="P307" s="1525">
        <f>+P279-P306</f>
        <v>0.25862895038946498</v>
      </c>
      <c r="Q307" s="1525">
        <f t="shared" si="296"/>
        <v>0.16074083705994435</v>
      </c>
      <c r="R307" s="1525">
        <f t="shared" si="296"/>
        <v>-2.2911359728804426E-2</v>
      </c>
      <c r="S307" s="1525">
        <f t="shared" si="296"/>
        <v>5.1233992492859315E-2</v>
      </c>
      <c r="T307" s="1525">
        <f t="shared" si="296"/>
        <v>7.1026979693706194E-2</v>
      </c>
      <c r="U307" s="1525">
        <f t="shared" si="296"/>
        <v>-1</v>
      </c>
      <c r="V307" s="1525" t="e">
        <f t="shared" si="296"/>
        <v>#DIV/0!</v>
      </c>
      <c r="W307" s="1525">
        <f>W295*W311</f>
        <v>-0.3851351351351352</v>
      </c>
      <c r="X307" s="1525">
        <f>X295*X311</f>
        <v>-0.75</v>
      </c>
      <c r="Y307" s="1525"/>
      <c r="Z307" s="1525"/>
      <c r="AA307" s="1525"/>
      <c r="AB307" s="1525"/>
      <c r="AC307" s="1525"/>
      <c r="AD307" s="1525"/>
      <c r="AE307" s="1525"/>
      <c r="AF307" s="1525"/>
      <c r="AG307" s="1525"/>
      <c r="AH307" s="1525"/>
      <c r="AI307" s="1490"/>
      <c r="AJ307" s="1491"/>
      <c r="AK307" s="1423"/>
      <c r="AL307" s="1423"/>
      <c r="AM307" s="1423"/>
      <c r="AN307" s="1423"/>
      <c r="AO307" s="1423"/>
      <c r="AP307" s="1449"/>
      <c r="AQ307" s="1423"/>
      <c r="AR307" s="1423"/>
      <c r="AS307" s="1421"/>
      <c r="AT307" s="1421"/>
      <c r="AU307" s="1421"/>
      <c r="AV307" s="1421"/>
      <c r="AW307" s="1421"/>
      <c r="AX307" s="1421"/>
      <c r="AY307" s="1421"/>
    </row>
    <row r="308" spans="1:51" hidden="1" outlineLevel="1">
      <c r="A308" s="1421"/>
      <c r="B308" s="1421"/>
      <c r="C308" s="1421"/>
      <c r="D308" s="1421"/>
      <c r="E308" s="1421"/>
      <c r="F308" s="1421"/>
      <c r="G308" s="1421"/>
      <c r="H308" s="1421"/>
      <c r="I308" s="1421"/>
      <c r="J308" s="1421"/>
      <c r="K308" s="1421"/>
      <c r="L308" s="1421"/>
      <c r="M308" s="1421"/>
      <c r="N308" s="1421"/>
      <c r="O308" s="1421"/>
      <c r="P308" s="1421"/>
      <c r="Q308" s="1421"/>
      <c r="R308" s="1421"/>
      <c r="S308" s="1421"/>
      <c r="T308" s="1421"/>
      <c r="U308" s="1421"/>
      <c r="V308" s="1421"/>
      <c r="W308" s="1421"/>
      <c r="X308" s="1421"/>
      <c r="Y308" s="1421"/>
      <c r="Z308" s="1421"/>
      <c r="AA308" s="1421"/>
      <c r="AB308" s="1421"/>
      <c r="AC308" s="1421"/>
      <c r="AD308" s="1421"/>
      <c r="AE308" s="1421"/>
      <c r="AF308" s="1421"/>
      <c r="AG308" s="1421"/>
      <c r="AH308" s="1421"/>
      <c r="AI308" s="1423"/>
      <c r="AJ308" s="1448"/>
      <c r="AK308" s="1423"/>
      <c r="AL308" s="1423"/>
      <c r="AM308" s="1423"/>
      <c r="AN308" s="1423"/>
      <c r="AO308" s="1423"/>
      <c r="AP308" s="1449"/>
      <c r="AQ308" s="1423"/>
      <c r="AR308" s="1423"/>
      <c r="AS308" s="1421"/>
      <c r="AT308" s="1421"/>
      <c r="AU308" s="1421"/>
      <c r="AV308" s="1421"/>
      <c r="AW308" s="1421"/>
      <c r="AX308" s="1421"/>
      <c r="AY308" s="1421"/>
    </row>
    <row r="309" spans="1:51" hidden="1" outlineLevel="1">
      <c r="A309" s="1450" t="s">
        <v>432</v>
      </c>
      <c r="B309" s="1482"/>
      <c r="C309" s="1482"/>
      <c r="D309" s="1482"/>
      <c r="E309" s="1482"/>
      <c r="F309" s="1482"/>
      <c r="G309" s="1482"/>
      <c r="H309" s="1482"/>
      <c r="I309" s="1482"/>
      <c r="J309" s="1482">
        <f t="shared" ref="J309:W309" si="297">+(J297-I297)*1000000/(J287-J284)</f>
        <v>28333.333333333332</v>
      </c>
      <c r="K309" s="1482">
        <f t="shared" si="297"/>
        <v>26222.222222222226</v>
      </c>
      <c r="L309" s="1482">
        <f t="shared" si="297"/>
        <v>26100</v>
      </c>
      <c r="M309" s="1482">
        <f t="shared" si="297"/>
        <v>25649.999999999993</v>
      </c>
      <c r="N309" s="1482">
        <f t="shared" si="297"/>
        <v>25400</v>
      </c>
      <c r="O309" s="1482">
        <f t="shared" si="297"/>
        <v>24875.000000000011</v>
      </c>
      <c r="P309" s="1482">
        <f t="shared" si="297"/>
        <v>26002.91625936787</v>
      </c>
      <c r="Q309" s="1482">
        <f t="shared" si="297"/>
        <v>25677.708907254364</v>
      </c>
      <c r="R309" s="1482">
        <f t="shared" si="297"/>
        <v>26521.739130434798</v>
      </c>
      <c r="S309" s="1482">
        <f>R309</f>
        <v>26521.739130434798</v>
      </c>
      <c r="T309" s="1482">
        <f t="shared" si="297"/>
        <v>14666.666666666679</v>
      </c>
      <c r="U309" s="1482">
        <f t="shared" si="297"/>
        <v>26666.666666666661</v>
      </c>
      <c r="V309" s="1482">
        <f t="shared" si="297"/>
        <v>24999.999999999967</v>
      </c>
      <c r="W309" s="1482">
        <f t="shared" si="297"/>
        <v>25352.112676056338</v>
      </c>
      <c r="X309" s="1482"/>
      <c r="Y309" s="1482"/>
      <c r="Z309" s="1482"/>
      <c r="AA309" s="1482"/>
      <c r="AB309" s="1482"/>
      <c r="AC309" s="1482"/>
      <c r="AD309" s="1482"/>
      <c r="AE309" s="1482"/>
      <c r="AF309" s="1482"/>
      <c r="AG309" s="1482"/>
      <c r="AH309" s="1482"/>
      <c r="AI309" s="1478"/>
      <c r="AJ309" s="1479"/>
      <c r="AK309" s="1478"/>
      <c r="AL309" s="1478"/>
      <c r="AM309" s="1423"/>
      <c r="AN309" s="1478"/>
      <c r="AO309" s="1423"/>
      <c r="AP309" s="1449"/>
      <c r="AQ309" s="1423"/>
      <c r="AR309" s="1423"/>
      <c r="AS309" s="1421"/>
      <c r="AT309" s="1421"/>
      <c r="AU309" s="1421"/>
      <c r="AV309" s="1421"/>
      <c r="AW309" s="1421"/>
      <c r="AX309" s="1421"/>
      <c r="AY309" s="1421"/>
    </row>
    <row r="310" spans="1:51" hidden="1" outlineLevel="1">
      <c r="A310" s="1421"/>
      <c r="B310" s="1421"/>
      <c r="C310" s="1421"/>
      <c r="D310" s="1421"/>
      <c r="E310" s="1421"/>
      <c r="F310" s="1421"/>
      <c r="G310" s="1421"/>
      <c r="H310" s="1421"/>
      <c r="I310" s="1421"/>
      <c r="J310" s="1421"/>
      <c r="K310" s="1421"/>
      <c r="L310" s="1526"/>
      <c r="M310" s="1421"/>
      <c r="N310" s="1421"/>
      <c r="O310" s="1421"/>
      <c r="P310" s="1421"/>
      <c r="Q310" s="1421"/>
      <c r="R310" s="1421"/>
      <c r="S310" s="1421"/>
      <c r="T310" s="1421"/>
      <c r="U310" s="1421"/>
      <c r="V310" s="1421"/>
      <c r="W310" s="1421"/>
      <c r="X310" s="1421"/>
      <c r="Y310" s="1421"/>
      <c r="Z310" s="1421"/>
      <c r="AA310" s="1421"/>
      <c r="AB310" s="1421"/>
      <c r="AC310" s="1421"/>
      <c r="AD310" s="1421"/>
      <c r="AE310" s="1421"/>
      <c r="AF310" s="1421"/>
      <c r="AG310" s="1421"/>
      <c r="AH310" s="1421"/>
      <c r="AI310" s="1423"/>
      <c r="AJ310" s="1448"/>
      <c r="AK310" s="1423"/>
      <c r="AL310" s="1423"/>
      <c r="AM310" s="1423"/>
      <c r="AN310" s="1423"/>
      <c r="AO310" s="1423"/>
      <c r="AP310" s="1449"/>
      <c r="AQ310" s="1423"/>
      <c r="AR310" s="1423"/>
      <c r="AS310" s="1421"/>
      <c r="AT310" s="1421"/>
      <c r="AU310" s="1421"/>
      <c r="AV310" s="1421"/>
      <c r="AW310" s="1421"/>
      <c r="AX310" s="1421"/>
      <c r="AY310" s="1421"/>
    </row>
    <row r="311" spans="1:51" hidden="1" outlineLevel="1">
      <c r="A311" s="1450" t="s">
        <v>507</v>
      </c>
      <c r="B311" s="1445"/>
      <c r="C311" s="1445"/>
      <c r="D311" s="1445"/>
      <c r="E311" s="1445"/>
      <c r="F311" s="1445"/>
      <c r="G311" s="1445"/>
      <c r="H311" s="1445"/>
      <c r="I311" s="1445"/>
      <c r="J311" s="1481"/>
      <c r="K311" s="1481">
        <f t="shared" ref="K311:V311" si="298">K307/K295</f>
        <v>1.2736335913675816</v>
      </c>
      <c r="L311" s="1481">
        <f t="shared" si="298"/>
        <v>0.84707932116923657</v>
      </c>
      <c r="M311" s="1481">
        <f t="shared" si="298"/>
        <v>0.98718580877931439</v>
      </c>
      <c r="N311" s="1481">
        <f t="shared" si="298"/>
        <v>0.94448727195139248</v>
      </c>
      <c r="O311" s="1481">
        <f t="shared" si="298"/>
        <v>1.0128307516192234</v>
      </c>
      <c r="P311" s="1481">
        <f t="shared" si="298"/>
        <v>0.8259740950105019</v>
      </c>
      <c r="Q311" s="1481">
        <f t="shared" si="298"/>
        <v>0.68987134710564624</v>
      </c>
      <c r="R311" s="1481">
        <f t="shared" si="298"/>
        <v>3.6864603378363885</v>
      </c>
      <c r="S311" s="1481">
        <f t="shared" si="298"/>
        <v>-0.6177208793871497</v>
      </c>
      <c r="T311" s="1481">
        <f t="shared" si="298"/>
        <v>4.6963038973478861</v>
      </c>
      <c r="U311" s="1481">
        <f t="shared" si="298"/>
        <v>-13.754098360655769</v>
      </c>
      <c r="V311" s="1481" t="e">
        <f t="shared" si="298"/>
        <v>#DIV/0!</v>
      </c>
      <c r="W311" s="1527">
        <v>0.75</v>
      </c>
      <c r="X311" s="1527">
        <v>0.75</v>
      </c>
      <c r="Y311" s="1527">
        <v>0.75</v>
      </c>
      <c r="Z311" s="1527">
        <v>0.75</v>
      </c>
      <c r="AA311" s="1527">
        <v>0.75</v>
      </c>
      <c r="AB311" s="1527">
        <v>0.75</v>
      </c>
      <c r="AC311" s="1527">
        <v>0.75</v>
      </c>
      <c r="AD311" s="1527">
        <v>0.75</v>
      </c>
      <c r="AE311" s="1527">
        <v>0.75</v>
      </c>
      <c r="AF311" s="1527">
        <v>0.75</v>
      </c>
      <c r="AG311" s="1527">
        <v>0.75</v>
      </c>
      <c r="AH311" s="1527">
        <v>0.75</v>
      </c>
      <c r="AI311" s="1423"/>
      <c r="AJ311" s="1493"/>
      <c r="AK311" s="1425"/>
      <c r="AL311" s="1425"/>
      <c r="AM311" s="1425"/>
      <c r="AN311" s="1425"/>
      <c r="AO311" s="1425"/>
      <c r="AP311" s="1494"/>
      <c r="AQ311" s="1423"/>
      <c r="AR311" s="1423"/>
      <c r="AS311" s="1421"/>
      <c r="AT311" s="1421"/>
      <c r="AU311" s="1421"/>
      <c r="AV311" s="1421"/>
      <c r="AW311" s="1421"/>
      <c r="AX311" s="1421"/>
      <c r="AY311" s="1421"/>
    </row>
    <row r="312" spans="1:51" hidden="1" outlineLevel="1">
      <c r="A312" s="467"/>
      <c r="B312" s="467"/>
      <c r="C312" s="467"/>
      <c r="D312" s="467"/>
      <c r="E312" s="467"/>
      <c r="F312" s="467"/>
      <c r="G312" s="467"/>
      <c r="H312" s="467"/>
      <c r="I312" s="467"/>
      <c r="J312" s="467"/>
      <c r="K312" s="467"/>
      <c r="L312" s="467"/>
      <c r="M312" s="467"/>
      <c r="N312" s="467"/>
      <c r="O312" s="467"/>
      <c r="P312" s="467"/>
      <c r="Q312" s="467"/>
      <c r="R312" s="467"/>
      <c r="S312" s="467"/>
      <c r="T312" s="467"/>
      <c r="U312" s="467"/>
      <c r="V312" s="467"/>
      <c r="W312" s="467"/>
      <c r="X312" s="467"/>
      <c r="Y312" s="467"/>
      <c r="Z312" s="467"/>
      <c r="AA312" s="467"/>
      <c r="AB312" s="467"/>
      <c r="AC312" s="467"/>
      <c r="AD312" s="467"/>
      <c r="AE312" s="467"/>
      <c r="AF312" s="467"/>
      <c r="AG312" s="467"/>
      <c r="AH312" s="467"/>
      <c r="AI312" s="1499"/>
      <c r="AJ312" s="467"/>
      <c r="AK312" s="467"/>
      <c r="AL312" s="467"/>
      <c r="AM312" s="467"/>
      <c r="AN312" s="467"/>
      <c r="AO312" s="467"/>
      <c r="AP312" s="467"/>
      <c r="AQ312" s="467"/>
      <c r="AR312" s="1499"/>
      <c r="AS312" s="467"/>
      <c r="AT312" s="467"/>
      <c r="AU312" s="467"/>
      <c r="AV312" s="467"/>
      <c r="AW312" s="467"/>
      <c r="AX312" s="467"/>
      <c r="AY312" s="467"/>
    </row>
    <row r="313" spans="1:51" hidden="1" outlineLevel="1">
      <c r="A313" s="467"/>
      <c r="B313" s="467"/>
      <c r="C313" s="467"/>
      <c r="D313" s="467"/>
      <c r="E313" s="467"/>
      <c r="F313" s="467"/>
      <c r="G313" s="467"/>
      <c r="H313" s="467"/>
      <c r="I313" s="467"/>
      <c r="J313" s="467"/>
      <c r="K313" s="467"/>
      <c r="L313" s="467"/>
      <c r="M313" s="467"/>
      <c r="N313" s="467"/>
      <c r="O313" s="467"/>
      <c r="P313" s="467"/>
      <c r="Q313" s="467"/>
      <c r="R313" s="467"/>
      <c r="S313" s="467"/>
      <c r="T313" s="467"/>
      <c r="U313" s="467"/>
      <c r="V313" s="467"/>
      <c r="W313" s="467"/>
      <c r="X313" s="467"/>
      <c r="Y313" s="467"/>
      <c r="Z313" s="467"/>
      <c r="AA313" s="467"/>
      <c r="AB313" s="467"/>
      <c r="AC313" s="467"/>
      <c r="AD313" s="467"/>
      <c r="AE313" s="467"/>
      <c r="AF313" s="467"/>
      <c r="AG313" s="467"/>
      <c r="AH313" s="467"/>
      <c r="AI313" s="1499"/>
      <c r="AJ313" s="467"/>
      <c r="AK313" s="467"/>
      <c r="AL313" s="467"/>
      <c r="AM313" s="467"/>
      <c r="AN313" s="467"/>
      <c r="AO313" s="467"/>
      <c r="AP313" s="467"/>
      <c r="AQ313" s="467"/>
      <c r="AR313" s="1499"/>
      <c r="AS313" s="467"/>
      <c r="AT313" s="467"/>
      <c r="AU313" s="467"/>
      <c r="AV313" s="467"/>
      <c r="AW313" s="467"/>
      <c r="AX313" s="467"/>
      <c r="AY313" s="467"/>
    </row>
    <row r="314" spans="1:51" hidden="1" outlineLevel="1">
      <c r="A314" s="1503" t="s">
        <v>352</v>
      </c>
      <c r="B314" s="1421"/>
      <c r="C314" s="1421"/>
      <c r="D314" s="1421"/>
      <c r="E314" s="1421"/>
      <c r="F314" s="1421"/>
      <c r="G314" s="1421"/>
      <c r="H314" s="1421"/>
      <c r="I314" s="1421"/>
      <c r="J314" s="1421"/>
      <c r="K314" s="1421"/>
      <c r="L314" s="1421"/>
      <c r="M314" s="1421"/>
      <c r="N314" s="1421"/>
      <c r="O314" s="1421"/>
      <c r="P314" s="467"/>
      <c r="Q314" s="467"/>
      <c r="R314" s="467"/>
      <c r="S314" s="467"/>
      <c r="T314" s="467"/>
      <c r="U314" s="467"/>
      <c r="V314" s="467"/>
      <c r="W314" s="467"/>
      <c r="X314" s="467"/>
      <c r="Y314" s="467"/>
      <c r="Z314" s="467"/>
      <c r="AA314" s="467"/>
      <c r="AB314" s="467"/>
      <c r="AC314" s="467"/>
      <c r="AD314" s="467"/>
      <c r="AE314" s="467"/>
      <c r="AF314" s="467"/>
      <c r="AG314" s="467"/>
      <c r="AH314" s="467"/>
      <c r="AI314" s="1423"/>
      <c r="AJ314" s="1421"/>
      <c r="AK314" s="1421"/>
      <c r="AL314" s="1421"/>
      <c r="AM314" s="1421"/>
      <c r="AN314" s="1421"/>
      <c r="AO314" s="1421"/>
      <c r="AP314" s="1421"/>
      <c r="AQ314" s="1421"/>
      <c r="AR314" s="1423"/>
      <c r="AS314" s="1421"/>
      <c r="AT314" s="1421"/>
      <c r="AU314" s="1421"/>
      <c r="AV314" s="1421"/>
      <c r="AW314" s="1421"/>
      <c r="AX314" s="1421"/>
      <c r="AY314" s="1421"/>
    </row>
    <row r="315" spans="1:51" hidden="1" outlineLevel="1">
      <c r="A315" s="1504" t="str">
        <f>+A274</f>
        <v>Annual Sales Model, Fiscal 2002A-2022E</v>
      </c>
      <c r="B315" s="1425"/>
      <c r="C315" s="1425"/>
      <c r="D315" s="1425"/>
      <c r="E315" s="1425"/>
      <c r="F315" s="1425"/>
      <c r="G315" s="1425"/>
      <c r="H315" s="1425"/>
      <c r="I315" s="1425"/>
      <c r="J315" s="1425"/>
      <c r="K315" s="1425"/>
      <c r="L315" s="1425"/>
      <c r="M315" s="1425"/>
      <c r="N315" s="1425"/>
      <c r="O315" s="1425"/>
      <c r="P315" s="1425"/>
      <c r="Q315" s="1425"/>
      <c r="R315" s="1425"/>
      <c r="S315" s="1425"/>
      <c r="T315" s="1425"/>
      <c r="U315" s="1425"/>
      <c r="V315" s="1425"/>
      <c r="W315" s="1425"/>
      <c r="X315" s="1425"/>
      <c r="Y315" s="1425"/>
      <c r="Z315" s="1425"/>
      <c r="AA315" s="1425"/>
      <c r="AB315" s="1425"/>
      <c r="AC315" s="1425"/>
      <c r="AD315" s="1425"/>
      <c r="AE315" s="1425"/>
      <c r="AF315" s="1425"/>
      <c r="AG315" s="1425"/>
      <c r="AH315" s="1425"/>
      <c r="AI315" s="1423"/>
      <c r="AJ315" s="1425"/>
      <c r="AK315" s="1425"/>
      <c r="AL315" s="1425"/>
      <c r="AM315" s="1421"/>
      <c r="AN315" s="1425"/>
      <c r="AO315" s="1421"/>
      <c r="AP315" s="1423"/>
      <c r="AQ315" s="1423"/>
      <c r="AR315" s="1423"/>
      <c r="AS315" s="1421"/>
      <c r="AT315" s="1421"/>
      <c r="AU315" s="1421"/>
      <c r="AV315" s="1421"/>
      <c r="AW315" s="1421"/>
      <c r="AX315" s="1421"/>
      <c r="AY315" s="1421"/>
    </row>
    <row r="316" spans="1:51" hidden="1" outlineLevel="1">
      <c r="A316" s="1427"/>
      <c r="B316" s="1421"/>
      <c r="C316" s="1421"/>
      <c r="D316" s="1421"/>
      <c r="E316" s="1421"/>
      <c r="F316" s="1421"/>
      <c r="G316" s="1421"/>
      <c r="H316" s="1421"/>
      <c r="I316" s="1421"/>
      <c r="J316" s="1421"/>
      <c r="K316" s="1421"/>
      <c r="L316" s="1421"/>
      <c r="M316" s="1421"/>
      <c r="N316" s="1421"/>
      <c r="O316" s="1421"/>
      <c r="P316" s="1421"/>
      <c r="Q316" s="1421"/>
      <c r="R316" s="1421"/>
      <c r="S316" s="1421"/>
      <c r="T316" s="1421"/>
      <c r="U316" s="1421"/>
      <c r="V316" s="1421"/>
      <c r="W316" s="1421"/>
      <c r="X316" s="1421"/>
      <c r="Y316" s="1421"/>
      <c r="Z316" s="1421"/>
      <c r="AA316" s="1421"/>
      <c r="AB316" s="1421"/>
      <c r="AC316" s="1421"/>
      <c r="AD316" s="1421"/>
      <c r="AE316" s="1421"/>
      <c r="AF316" s="1421"/>
      <c r="AG316" s="1421"/>
      <c r="AH316" s="1421"/>
      <c r="AI316" s="1423"/>
      <c r="AJ316" s="1505"/>
      <c r="AK316" s="1506"/>
      <c r="AL316" s="1441" t="s">
        <v>188</v>
      </c>
      <c r="AM316" s="1507"/>
      <c r="AN316" s="1441" t="s">
        <v>188</v>
      </c>
      <c r="AO316" s="1507"/>
      <c r="AP316" s="1508"/>
      <c r="AQ316" s="1423"/>
      <c r="AR316" s="1423"/>
      <c r="AS316" s="1421"/>
      <c r="AT316" s="1421"/>
      <c r="AU316" s="1421"/>
      <c r="AV316" s="1421"/>
      <c r="AW316" s="1421"/>
      <c r="AX316" s="1421"/>
      <c r="AY316" s="1421"/>
    </row>
    <row r="317" spans="1:51" hidden="1" outlineLevel="1">
      <c r="A317" s="1434"/>
      <c r="B317" s="1435">
        <f t="shared" ref="B317:I317" si="299">+B49</f>
        <v>6.0963610446723354E-2</v>
      </c>
      <c r="C317" s="1436">
        <f t="shared" si="299"/>
        <v>5.3853643324274052E-2</v>
      </c>
      <c r="D317" s="1436">
        <f t="shared" si="299"/>
        <v>6.1147293667439366E-2</v>
      </c>
      <c r="E317" s="1436">
        <f t="shared" si="299"/>
        <v>7.0917032417984013E-2</v>
      </c>
      <c r="F317" s="1436">
        <f t="shared" si="299"/>
        <v>5.478808720982941E-2</v>
      </c>
      <c r="G317" s="1436">
        <f t="shared" si="299"/>
        <v>3.1944233059924068E-2</v>
      </c>
      <c r="H317" s="1436">
        <f t="shared" si="299"/>
        <v>6.0317726077486686E-2</v>
      </c>
      <c r="I317" s="1436">
        <f t="shared" si="299"/>
        <v>7.1290848684726113E-2</v>
      </c>
      <c r="J317" s="1436">
        <f t="shared" ref="J317:Q317" si="300">+J5</f>
        <v>1998</v>
      </c>
      <c r="K317" s="1436">
        <f t="shared" si="300"/>
        <v>1999</v>
      </c>
      <c r="L317" s="1436">
        <f t="shared" si="300"/>
        <v>2000</v>
      </c>
      <c r="M317" s="1436">
        <f t="shared" si="300"/>
        <v>2001</v>
      </c>
      <c r="N317" s="1436">
        <f t="shared" si="300"/>
        <v>2002</v>
      </c>
      <c r="O317" s="1436">
        <f t="shared" si="300"/>
        <v>2003</v>
      </c>
      <c r="P317" s="1436">
        <f t="shared" si="300"/>
        <v>2004</v>
      </c>
      <c r="Q317" s="1437">
        <f t="shared" si="300"/>
        <v>2005</v>
      </c>
      <c r="R317" s="1437">
        <f t="shared" ref="R317:AH317" si="301">+R$5</f>
        <v>2006</v>
      </c>
      <c r="S317" s="1437">
        <f t="shared" si="301"/>
        <v>2007</v>
      </c>
      <c r="T317" s="1438">
        <f t="shared" si="301"/>
        <v>2008</v>
      </c>
      <c r="U317" s="1438">
        <f t="shared" si="301"/>
        <v>2009</v>
      </c>
      <c r="V317" s="1438">
        <f t="shared" si="301"/>
        <v>2010</v>
      </c>
      <c r="W317" s="1438">
        <f t="shared" si="301"/>
        <v>2011</v>
      </c>
      <c r="X317" s="1438">
        <f t="shared" si="301"/>
        <v>2012</v>
      </c>
      <c r="Y317" s="1438">
        <f t="shared" si="301"/>
        <v>2013</v>
      </c>
      <c r="Z317" s="1438">
        <f t="shared" si="301"/>
        <v>2014</v>
      </c>
      <c r="AA317" s="1438">
        <f t="shared" si="301"/>
        <v>2015</v>
      </c>
      <c r="AB317" s="1438">
        <f t="shared" si="301"/>
        <v>2016</v>
      </c>
      <c r="AC317" s="1438">
        <f t="shared" si="301"/>
        <v>2017</v>
      </c>
      <c r="AD317" s="1438">
        <f t="shared" si="301"/>
        <v>2018</v>
      </c>
      <c r="AE317" s="1438">
        <f t="shared" si="301"/>
        <v>2019</v>
      </c>
      <c r="AF317" s="1438">
        <f t="shared" si="301"/>
        <v>2020</v>
      </c>
      <c r="AG317" s="1438">
        <f t="shared" si="301"/>
        <v>2021</v>
      </c>
      <c r="AH317" s="1438">
        <f t="shared" si="301"/>
        <v>2022</v>
      </c>
      <c r="AI317" s="1439"/>
      <c r="AJ317" s="1440"/>
      <c r="AK317" s="1442" t="str">
        <f>AK276</f>
        <v>07-12A</v>
      </c>
      <c r="AL317" s="1423"/>
      <c r="AM317" s="1442"/>
      <c r="AN317" s="1423"/>
      <c r="AO317" s="1442" t="str">
        <f>AO276</f>
        <v>17E-22E</v>
      </c>
      <c r="AP317" s="1443"/>
      <c r="AQ317" s="1429"/>
      <c r="AR317" s="1423"/>
      <c r="AS317" s="1421"/>
      <c r="AT317" s="1421"/>
      <c r="AU317" s="1421"/>
      <c r="AV317" s="1421"/>
      <c r="AW317" s="1421"/>
      <c r="AX317" s="1421"/>
      <c r="AY317" s="1421"/>
    </row>
    <row r="318" spans="1:51" hidden="1" outlineLevel="1">
      <c r="A318" s="1434"/>
      <c r="B318" s="1434"/>
      <c r="C318" s="1434"/>
      <c r="D318" s="1434"/>
      <c r="E318" s="1434"/>
      <c r="F318" s="1434"/>
      <c r="G318" s="1434"/>
      <c r="H318" s="1434"/>
      <c r="I318" s="1421"/>
      <c r="J318" s="1421"/>
      <c r="K318" s="1421"/>
      <c r="L318" s="1421"/>
      <c r="M318" s="1421"/>
      <c r="N318" s="1421"/>
      <c r="O318" s="1421"/>
      <c r="P318" s="467"/>
      <c r="Q318" s="467"/>
      <c r="R318" s="467"/>
      <c r="S318" s="467"/>
      <c r="T318" s="467"/>
      <c r="U318" s="467"/>
      <c r="V318" s="467"/>
      <c r="W318" s="467"/>
      <c r="X318" s="467"/>
      <c r="Y318" s="467"/>
      <c r="Z318" s="467"/>
      <c r="AA318" s="467"/>
      <c r="AB318" s="467"/>
      <c r="AC318" s="467"/>
      <c r="AD318" s="467"/>
      <c r="AE318" s="467"/>
      <c r="AF318" s="467"/>
      <c r="AG318" s="467"/>
      <c r="AH318" s="467"/>
      <c r="AI318" s="1423"/>
      <c r="AJ318" s="1448"/>
      <c r="AK318" s="1423"/>
      <c r="AL318" s="1423"/>
      <c r="AM318" s="1423"/>
      <c r="AN318" s="1423"/>
      <c r="AO318" s="1423"/>
      <c r="AP318" s="1449"/>
      <c r="AQ318" s="1423"/>
      <c r="AR318" s="1423"/>
      <c r="AS318" s="1421"/>
      <c r="AT318" s="1421"/>
      <c r="AU318" s="1421"/>
      <c r="AV318" s="1421"/>
      <c r="AW318" s="1421"/>
      <c r="AX318" s="1421"/>
      <c r="AY318" s="1421"/>
    </row>
    <row r="319" spans="1:51" hidden="1" outlineLevel="1">
      <c r="A319" s="1450" t="s">
        <v>413</v>
      </c>
      <c r="B319" s="1512"/>
      <c r="C319" s="1512"/>
      <c r="D319" s="1512"/>
      <c r="E319" s="1512"/>
      <c r="F319" s="1512"/>
      <c r="G319" s="1512"/>
      <c r="H319" s="1539" t="s">
        <v>642</v>
      </c>
      <c r="I319" s="1539" t="s">
        <v>642</v>
      </c>
      <c r="J319" s="1529"/>
      <c r="K319" s="1529"/>
      <c r="L319" s="1529"/>
      <c r="M319" s="1529"/>
      <c r="N319" s="1529"/>
      <c r="O319" s="1529">
        <f>'SegP&amp;L'!$AV$106</f>
        <v>24.071999999999999</v>
      </c>
      <c r="P319" s="1451">
        <f>'SegP&amp;L'!$AV$113</f>
        <v>290.55700000000002</v>
      </c>
      <c r="Q319" s="1451">
        <f>'SegP&amp;L'!$AV$120</f>
        <v>288.48</v>
      </c>
      <c r="R319" s="1451">
        <f>'SegP&amp;L'!$AV$127</f>
        <v>300.62399999999997</v>
      </c>
      <c r="S319" s="1451">
        <f>'SegP&amp;L'!$AV$134</f>
        <v>310.39999999999998</v>
      </c>
      <c r="T319" s="1451">
        <f>'SegP&amp;L'!$AV$141</f>
        <v>127.46700000000001</v>
      </c>
      <c r="U319" s="1451">
        <f t="shared" ref="U319:AA319" si="302">+T319*(1+U320)</f>
        <v>118.51211510977271</v>
      </c>
      <c r="V319" s="1451">
        <f t="shared" si="302"/>
        <v>50.960209497202271</v>
      </c>
      <c r="W319" s="1451">
        <f t="shared" si="302"/>
        <v>52.489015782118344</v>
      </c>
      <c r="X319" s="1451">
        <f t="shared" si="302"/>
        <v>54.063686255581892</v>
      </c>
      <c r="Y319" s="1451">
        <f t="shared" si="302"/>
        <v>55.68559684324935</v>
      </c>
      <c r="Z319" s="1451">
        <f t="shared" si="302"/>
        <v>57.356164748546831</v>
      </c>
      <c r="AA319" s="1451">
        <f t="shared" si="302"/>
        <v>59.07684969100324</v>
      </c>
      <c r="AB319" s="1451">
        <f t="shared" ref="AB319:AH319" si="303">+AA319*(1+AB320)</f>
        <v>60.849155181733337</v>
      </c>
      <c r="AC319" s="1451">
        <f t="shared" si="303"/>
        <v>62.674629837185336</v>
      </c>
      <c r="AD319" s="1451">
        <f t="shared" si="303"/>
        <v>64.554868732300903</v>
      </c>
      <c r="AE319" s="1451">
        <f t="shared" si="303"/>
        <v>66.491514794269932</v>
      </c>
      <c r="AF319" s="1451">
        <f t="shared" si="303"/>
        <v>68.486260238098026</v>
      </c>
      <c r="AG319" s="1451">
        <f t="shared" si="303"/>
        <v>70.540848045240963</v>
      </c>
      <c r="AH319" s="1451">
        <f t="shared" si="303"/>
        <v>72.657073486598193</v>
      </c>
      <c r="AI319" s="1423"/>
      <c r="AJ319" s="1448"/>
      <c r="AK319" s="1453"/>
      <c r="AL319" s="1454"/>
      <c r="AM319" s="1455"/>
      <c r="AN319" s="1454"/>
      <c r="AO319" s="1455"/>
      <c r="AP319" s="1459"/>
      <c r="AQ319" s="1454"/>
      <c r="AR319" s="1423"/>
      <c r="AS319" s="1421"/>
      <c r="AT319" s="1421"/>
      <c r="AU319" s="1421"/>
      <c r="AV319" s="1421"/>
      <c r="AW319" s="1421"/>
      <c r="AX319" s="1421"/>
      <c r="AY319" s="1421"/>
    </row>
    <row r="320" spans="1:51" hidden="1" outlineLevel="1">
      <c r="A320" s="1450" t="s">
        <v>191</v>
      </c>
      <c r="B320" s="1445"/>
      <c r="C320" s="1445"/>
      <c r="D320" s="1445"/>
      <c r="E320" s="1445"/>
      <c r="F320" s="1445"/>
      <c r="G320" s="1445"/>
      <c r="H320" s="1445"/>
      <c r="I320" s="1445"/>
      <c r="J320" s="1445"/>
      <c r="K320" s="1445"/>
      <c r="L320" s="1445"/>
      <c r="M320" s="1445"/>
      <c r="N320" s="1445"/>
      <c r="O320" s="1445"/>
      <c r="P320" s="1445">
        <f>+P319/O319-1</f>
        <v>11.07033067464274</v>
      </c>
      <c r="Q320" s="1445">
        <f>+Q319/P319-1</f>
        <v>-7.1483392243174571E-3</v>
      </c>
      <c r="R320" s="1445">
        <f>+R319/Q319-1</f>
        <v>4.2096505823627117E-2</v>
      </c>
      <c r="S320" s="1445">
        <f>+S319/R319-1</f>
        <v>3.2519027090318842E-2</v>
      </c>
      <c r="T320" s="1445">
        <f>+T319/S319-1</f>
        <v>-0.58934600515463909</v>
      </c>
      <c r="U320" s="1445">
        <f t="shared" ref="U320:AD320" si="304">+U347+U348</f>
        <v>-7.0252574315135041E-2</v>
      </c>
      <c r="V320" s="1445">
        <f t="shared" si="304"/>
        <v>-0.56999999999999995</v>
      </c>
      <c r="W320" s="1445">
        <f t="shared" si="304"/>
        <v>0.03</v>
      </c>
      <c r="X320" s="1445">
        <f t="shared" si="304"/>
        <v>0.03</v>
      </c>
      <c r="Y320" s="1445">
        <f t="shared" si="304"/>
        <v>0.03</v>
      </c>
      <c r="Z320" s="1445">
        <f t="shared" si="304"/>
        <v>0.03</v>
      </c>
      <c r="AA320" s="1445">
        <f t="shared" si="304"/>
        <v>0.03</v>
      </c>
      <c r="AB320" s="1445">
        <f t="shared" si="304"/>
        <v>0.03</v>
      </c>
      <c r="AC320" s="1445">
        <f t="shared" si="304"/>
        <v>0.03</v>
      </c>
      <c r="AD320" s="1445">
        <f t="shared" si="304"/>
        <v>0.03</v>
      </c>
      <c r="AE320" s="1445">
        <f>+AE347+AE348</f>
        <v>0.03</v>
      </c>
      <c r="AF320" s="1445">
        <f>+AF347+AF348</f>
        <v>0.03</v>
      </c>
      <c r="AG320" s="1445">
        <f>+AG347+AG348</f>
        <v>0.03</v>
      </c>
      <c r="AH320" s="1445">
        <f>+AH347+AH348</f>
        <v>0.03</v>
      </c>
      <c r="AI320" s="1423"/>
      <c r="AJ320" s="1448"/>
      <c r="AK320" s="1423"/>
      <c r="AL320" s="1423"/>
      <c r="AM320" s="1423"/>
      <c r="AN320" s="1423"/>
      <c r="AO320" s="1423"/>
      <c r="AP320" s="1449"/>
      <c r="AQ320" s="1423"/>
      <c r="AR320" s="1423"/>
      <c r="AS320" s="1421"/>
      <c r="AT320" s="1421"/>
      <c r="AU320" s="1421"/>
      <c r="AV320" s="1421"/>
      <c r="AW320" s="1421"/>
      <c r="AX320" s="1421"/>
      <c r="AY320" s="1421"/>
    </row>
    <row r="321" spans="1:51" hidden="1" outlineLevel="1">
      <c r="A321" s="1421"/>
      <c r="B321" s="1421"/>
      <c r="C321" s="1421"/>
      <c r="D321" s="1421"/>
      <c r="E321" s="1421"/>
      <c r="F321" s="1421"/>
      <c r="G321" s="1421"/>
      <c r="H321" s="1421"/>
      <c r="I321" s="1421"/>
      <c r="J321" s="1421"/>
      <c r="K321" s="1421"/>
      <c r="L321" s="1421"/>
      <c r="M321" s="1421"/>
      <c r="N321" s="1421"/>
      <c r="O321" s="1421"/>
      <c r="P321" s="1421"/>
      <c r="Q321" s="1421"/>
      <c r="R321" s="1421"/>
      <c r="S321" s="1421"/>
      <c r="T321" s="1421"/>
      <c r="U321" s="1421"/>
      <c r="V321" s="1421"/>
      <c r="W321" s="1421"/>
      <c r="X321" s="1421"/>
      <c r="Y321" s="1421"/>
      <c r="Z321" s="1421"/>
      <c r="AA321" s="1421"/>
      <c r="AB321" s="1421"/>
      <c r="AC321" s="1421"/>
      <c r="AD321" s="1421"/>
      <c r="AE321" s="1421"/>
      <c r="AF321" s="1421"/>
      <c r="AG321" s="1421"/>
      <c r="AH321" s="1421"/>
      <c r="AI321" s="1423"/>
      <c r="AJ321" s="1448"/>
      <c r="AK321" s="1423"/>
      <c r="AL321" s="1423"/>
      <c r="AM321" s="1423"/>
      <c r="AN321" s="1423"/>
      <c r="AO321" s="1423"/>
      <c r="AP321" s="1449"/>
      <c r="AQ321" s="1423"/>
      <c r="AR321" s="1423"/>
      <c r="AS321" s="1421"/>
      <c r="AT321" s="1421"/>
      <c r="AU321" s="1421"/>
      <c r="AV321" s="1421"/>
      <c r="AW321" s="1421"/>
      <c r="AX321" s="1421"/>
      <c r="AY321" s="1421"/>
    </row>
    <row r="322" spans="1:51" hidden="1" outlineLevel="2">
      <c r="A322" s="1421" t="s">
        <v>169</v>
      </c>
      <c r="B322" s="1512"/>
      <c r="C322" s="1512"/>
      <c r="D322" s="1512"/>
      <c r="E322" s="1512"/>
      <c r="F322" s="1512"/>
      <c r="G322" s="1512"/>
      <c r="H322" s="1512"/>
      <c r="I322" s="1529">
        <f>'SegP&amp;L'!$AR$64</f>
        <v>0</v>
      </c>
      <c r="J322" s="1529">
        <f>'SegP&amp;L'!$AR$71</f>
        <v>-8.7370000000000001</v>
      </c>
      <c r="K322" s="1529">
        <f>'SegP&amp;L'!$AR$78</f>
        <v>-14.444000000000001</v>
      </c>
      <c r="L322" s="1529">
        <f>'SegP&amp;L'!$AR$85</f>
        <v>-15.012</v>
      </c>
      <c r="M322" s="1529">
        <f>'SegP&amp;L'!$AR$92</f>
        <v>-11.843</v>
      </c>
      <c r="N322" s="1529">
        <f>'SegP&amp;L'!$AR$99</f>
        <v>-12.565999999999999</v>
      </c>
      <c r="O322" s="1529">
        <f>'SegP&amp;L'!$AR$106</f>
        <v>-2.1249999999999996</v>
      </c>
      <c r="P322" s="1529"/>
      <c r="Q322" s="1529"/>
      <c r="R322" s="1529"/>
      <c r="S322" s="1529"/>
      <c r="T322" s="1529"/>
      <c r="U322" s="1529"/>
      <c r="V322" s="1529"/>
      <c r="W322" s="1529"/>
      <c r="X322" s="1529"/>
      <c r="Y322" s="1529"/>
      <c r="Z322" s="1529"/>
      <c r="AA322" s="1529"/>
      <c r="AB322" s="1529"/>
      <c r="AC322" s="1529"/>
      <c r="AD322" s="1529"/>
      <c r="AE322" s="1529"/>
      <c r="AF322" s="1529"/>
      <c r="AG322" s="1529"/>
      <c r="AH322" s="1529"/>
      <c r="AI322" s="1423"/>
      <c r="AJ322" s="1448"/>
      <c r="AK322" s="1423"/>
      <c r="AL322" s="1423"/>
      <c r="AM322" s="1423"/>
      <c r="AN322" s="1423"/>
      <c r="AO322" s="1423"/>
      <c r="AP322" s="1449"/>
      <c r="AQ322" s="1423"/>
      <c r="AR322" s="1423"/>
      <c r="AS322" s="1421"/>
      <c r="AT322" s="1421"/>
      <c r="AU322" s="1421"/>
      <c r="AV322" s="1421"/>
      <c r="AW322" s="1421"/>
      <c r="AX322" s="1421"/>
      <c r="AY322" s="1421"/>
    </row>
    <row r="323" spans="1:51" hidden="1" outlineLevel="2">
      <c r="A323" s="1421"/>
      <c r="B323" s="1421"/>
      <c r="C323" s="1421"/>
      <c r="D323" s="1445"/>
      <c r="E323" s="1445"/>
      <c r="F323" s="1445"/>
      <c r="G323" s="1421"/>
      <c r="H323" s="1421"/>
      <c r="I323" s="1421"/>
      <c r="J323" s="1421"/>
      <c r="K323" s="1421"/>
      <c r="L323" s="1421"/>
      <c r="M323" s="1421"/>
      <c r="N323" s="1421"/>
      <c r="O323" s="1421"/>
      <c r="P323" s="1421"/>
      <c r="Q323" s="1421"/>
      <c r="R323" s="1421"/>
      <c r="S323" s="1421"/>
      <c r="T323" s="1421"/>
      <c r="U323" s="1421"/>
      <c r="V323" s="1421"/>
      <c r="W323" s="1421"/>
      <c r="X323" s="1421"/>
      <c r="Y323" s="1421"/>
      <c r="Z323" s="1421"/>
      <c r="AA323" s="1421"/>
      <c r="AB323" s="1421"/>
      <c r="AC323" s="1421"/>
      <c r="AD323" s="1421"/>
      <c r="AE323" s="1421"/>
      <c r="AF323" s="1421"/>
      <c r="AG323" s="1421"/>
      <c r="AH323" s="1421"/>
      <c r="AI323" s="1423"/>
      <c r="AJ323" s="1448"/>
      <c r="AK323" s="1423"/>
      <c r="AL323" s="1423"/>
      <c r="AM323" s="1423"/>
      <c r="AN323" s="1423"/>
      <c r="AO323" s="1423"/>
      <c r="AP323" s="1449"/>
      <c r="AQ323" s="1423"/>
      <c r="AR323" s="1423"/>
      <c r="AS323" s="1421"/>
      <c r="AT323" s="1421"/>
      <c r="AU323" s="1421"/>
      <c r="AV323" s="1421"/>
      <c r="AW323" s="1421"/>
      <c r="AX323" s="1421"/>
      <c r="AY323" s="1421"/>
    </row>
    <row r="324" spans="1:51" hidden="1" outlineLevel="2">
      <c r="A324" s="1421"/>
      <c r="B324" s="1421"/>
      <c r="C324" s="1421"/>
      <c r="D324" s="1421"/>
      <c r="E324" s="1421"/>
      <c r="F324" s="1421"/>
      <c r="G324" s="1421"/>
      <c r="H324" s="1421"/>
      <c r="I324" s="1421"/>
      <c r="J324" s="1421"/>
      <c r="K324" s="1421"/>
      <c r="L324" s="1421"/>
      <c r="M324" s="1421"/>
      <c r="N324" s="1421"/>
      <c r="O324" s="1421"/>
      <c r="P324" s="1421"/>
      <c r="Q324" s="1421"/>
      <c r="R324" s="1421"/>
      <c r="S324" s="1421"/>
      <c r="T324" s="1421"/>
      <c r="U324" s="1421"/>
      <c r="V324" s="1421"/>
      <c r="W324" s="1421"/>
      <c r="X324" s="1421"/>
      <c r="Y324" s="1421"/>
      <c r="Z324" s="1421"/>
      <c r="AA324" s="1421"/>
      <c r="AB324" s="1421"/>
      <c r="AC324" s="1421"/>
      <c r="AD324" s="1421"/>
      <c r="AE324" s="1421"/>
      <c r="AF324" s="1421"/>
      <c r="AG324" s="1421"/>
      <c r="AH324" s="1421"/>
      <c r="AI324" s="1423"/>
      <c r="AJ324" s="1448"/>
      <c r="AK324" s="1423"/>
      <c r="AL324" s="1423"/>
      <c r="AM324" s="1423"/>
      <c r="AN324" s="1423"/>
      <c r="AO324" s="1423"/>
      <c r="AP324" s="1449"/>
      <c r="AQ324" s="1423"/>
      <c r="AR324" s="1423"/>
      <c r="AS324" s="1421"/>
      <c r="AT324" s="1421"/>
      <c r="AU324" s="1421"/>
      <c r="AV324" s="1421"/>
      <c r="AW324" s="1421"/>
      <c r="AX324" s="1421"/>
      <c r="AY324" s="1421"/>
    </row>
    <row r="325" spans="1:51" hidden="1" outlineLevel="1">
      <c r="A325" s="1450" t="s">
        <v>192</v>
      </c>
      <c r="B325" s="1434"/>
      <c r="C325" s="1434"/>
      <c r="D325" s="1434"/>
      <c r="E325" s="1434"/>
      <c r="F325" s="1434"/>
      <c r="G325" s="1434"/>
      <c r="H325" s="1434"/>
      <c r="I325" s="1434"/>
      <c r="J325" s="1434"/>
      <c r="K325" s="1434"/>
      <c r="L325" s="1434"/>
      <c r="M325" s="1434"/>
      <c r="N325" s="1434"/>
      <c r="O325" s="1542" t="s">
        <v>642</v>
      </c>
      <c r="P325" s="1434">
        <f>+O328</f>
        <v>31</v>
      </c>
      <c r="Q325" s="1434">
        <f t="shared" ref="Q325:AH325" si="305">P328</f>
        <v>32</v>
      </c>
      <c r="R325" s="1434">
        <f t="shared" si="305"/>
        <v>35</v>
      </c>
      <c r="S325" s="1434">
        <f t="shared" si="305"/>
        <v>36</v>
      </c>
      <c r="T325" s="1434">
        <f t="shared" si="305"/>
        <v>34</v>
      </c>
      <c r="U325" s="1434">
        <f t="shared" si="305"/>
        <v>34</v>
      </c>
      <c r="V325" s="1434">
        <f t="shared" si="305"/>
        <v>34</v>
      </c>
      <c r="W325" s="1434">
        <f t="shared" si="305"/>
        <v>34</v>
      </c>
      <c r="X325" s="1434">
        <f t="shared" si="305"/>
        <v>34</v>
      </c>
      <c r="Y325" s="1434">
        <f t="shared" si="305"/>
        <v>34</v>
      </c>
      <c r="Z325" s="1434">
        <f t="shared" si="305"/>
        <v>34</v>
      </c>
      <c r="AA325" s="1434">
        <f t="shared" si="305"/>
        <v>34</v>
      </c>
      <c r="AB325" s="1434">
        <f t="shared" si="305"/>
        <v>34</v>
      </c>
      <c r="AC325" s="1434">
        <f t="shared" si="305"/>
        <v>34</v>
      </c>
      <c r="AD325" s="1434">
        <f t="shared" si="305"/>
        <v>34</v>
      </c>
      <c r="AE325" s="1434">
        <f t="shared" si="305"/>
        <v>34</v>
      </c>
      <c r="AF325" s="1434">
        <f t="shared" si="305"/>
        <v>34</v>
      </c>
      <c r="AG325" s="1434">
        <f t="shared" si="305"/>
        <v>34</v>
      </c>
      <c r="AH325" s="1434">
        <f t="shared" si="305"/>
        <v>34</v>
      </c>
      <c r="AI325" s="1423"/>
      <c r="AJ325" s="1448"/>
      <c r="AK325" s="1423"/>
      <c r="AL325" s="1423"/>
      <c r="AM325" s="1423"/>
      <c r="AN325" s="1423"/>
      <c r="AO325" s="1423"/>
      <c r="AP325" s="1449"/>
      <c r="AQ325" s="1423"/>
      <c r="AR325" s="1423"/>
      <c r="AS325" s="1421"/>
      <c r="AT325" s="1421"/>
      <c r="AU325" s="1421"/>
      <c r="AV325" s="1421"/>
      <c r="AW325" s="1421"/>
      <c r="AX325" s="1421"/>
      <c r="AY325" s="1421"/>
    </row>
    <row r="326" spans="1:51" hidden="1" outlineLevel="1">
      <c r="A326" s="1465" t="s">
        <v>693</v>
      </c>
      <c r="B326" s="1434"/>
      <c r="C326" s="1434"/>
      <c r="D326" s="1434"/>
      <c r="E326" s="1434"/>
      <c r="F326" s="1434"/>
      <c r="G326" s="1434"/>
      <c r="H326" s="1434"/>
      <c r="I326" s="1434"/>
      <c r="J326" s="1536"/>
      <c r="K326" s="1536"/>
      <c r="L326" s="1536"/>
      <c r="M326" s="1536"/>
      <c r="N326" s="1536"/>
      <c r="O326" s="1542">
        <v>31</v>
      </c>
      <c r="P326" s="1536">
        <f>Stores!$CD$133</f>
        <v>1</v>
      </c>
      <c r="Q326" s="1536">
        <f>Stores!$CD$141</f>
        <v>3</v>
      </c>
      <c r="R326" s="1536">
        <f>Stores!$CD$149</f>
        <v>1</v>
      </c>
      <c r="S326" s="1536">
        <f>Stores!$CD$156</f>
        <v>-2</v>
      </c>
      <c r="T326" s="1536">
        <f>Stores!$CD$163</f>
        <v>0</v>
      </c>
      <c r="U326" s="1536">
        <f>Stores!$CD$170</f>
        <v>0</v>
      </c>
      <c r="V326" s="1536">
        <f>Stores!$CD$177</f>
        <v>0</v>
      </c>
      <c r="W326" s="1536">
        <f>Stores!$CD$177</f>
        <v>0</v>
      </c>
      <c r="X326" s="1536">
        <f>Stores!$CD$177</f>
        <v>0</v>
      </c>
      <c r="Y326" s="1536">
        <f>Stores!$CD$177</f>
        <v>0</v>
      </c>
      <c r="Z326" s="1536">
        <f>Stores!$CD$177</f>
        <v>0</v>
      </c>
      <c r="AA326" s="1536">
        <f>Stores!$CD$177</f>
        <v>0</v>
      </c>
      <c r="AB326" s="1536">
        <f>Stores!$CD$177</f>
        <v>0</v>
      </c>
      <c r="AC326" s="1536">
        <f>Stores!$CD$177</f>
        <v>0</v>
      </c>
      <c r="AD326" s="1536">
        <f>Stores!$CD$177</f>
        <v>0</v>
      </c>
      <c r="AE326" s="1536">
        <f>Stores!$CD$177</f>
        <v>0</v>
      </c>
      <c r="AF326" s="1536">
        <f>Stores!$CD$177</f>
        <v>0</v>
      </c>
      <c r="AG326" s="1536">
        <f>Stores!$CD$177</f>
        <v>0</v>
      </c>
      <c r="AH326" s="1536">
        <f>Stores!$CD$177</f>
        <v>0</v>
      </c>
      <c r="AI326" s="1423"/>
      <c r="AJ326" s="1448"/>
      <c r="AK326" s="1423"/>
      <c r="AL326" s="1423"/>
      <c r="AM326" s="1423"/>
      <c r="AN326" s="1423"/>
      <c r="AO326" s="1423"/>
      <c r="AP326" s="1449"/>
      <c r="AQ326" s="1423"/>
      <c r="AR326" s="1423"/>
      <c r="AS326" s="1421"/>
      <c r="AT326" s="1421"/>
      <c r="AU326" s="1421"/>
      <c r="AV326" s="1421"/>
      <c r="AW326" s="1421"/>
      <c r="AX326" s="1421"/>
      <c r="AY326" s="1421"/>
    </row>
    <row r="327" spans="1:51" hidden="1" outlineLevel="2">
      <c r="A327" s="1465" t="s">
        <v>193</v>
      </c>
      <c r="B327" s="1434"/>
      <c r="C327" s="1434"/>
      <c r="D327" s="1434"/>
      <c r="E327" s="1434"/>
      <c r="F327" s="1434"/>
      <c r="G327" s="1434"/>
      <c r="H327" s="1434"/>
      <c r="I327" s="1434"/>
      <c r="J327" s="1434"/>
      <c r="K327" s="1434"/>
      <c r="L327" s="1434"/>
      <c r="M327" s="1434"/>
      <c r="N327" s="1434"/>
      <c r="O327" s="1466"/>
      <c r="P327" s="1466"/>
      <c r="Q327" s="1434"/>
      <c r="R327" s="1434"/>
      <c r="S327" s="1434"/>
      <c r="T327" s="1434"/>
      <c r="U327" s="1434"/>
      <c r="V327" s="1434"/>
      <c r="W327" s="1434"/>
      <c r="X327" s="1434"/>
      <c r="Y327" s="1434"/>
      <c r="Z327" s="1434"/>
      <c r="AA327" s="1434"/>
      <c r="AB327" s="1434"/>
      <c r="AC327" s="1434"/>
      <c r="AD327" s="1434"/>
      <c r="AE327" s="1434"/>
      <c r="AF327" s="1434"/>
      <c r="AG327" s="1434"/>
      <c r="AH327" s="1434"/>
      <c r="AI327" s="1423"/>
      <c r="AJ327" s="1448"/>
      <c r="AK327" s="1423"/>
      <c r="AL327" s="1423"/>
      <c r="AM327" s="1423"/>
      <c r="AN327" s="1423"/>
      <c r="AO327" s="1423"/>
      <c r="AP327" s="1449"/>
      <c r="AQ327" s="1423"/>
      <c r="AR327" s="1423"/>
      <c r="AS327" s="1421"/>
      <c r="AT327" s="1421"/>
      <c r="AU327" s="1421"/>
      <c r="AV327" s="1421"/>
      <c r="AW327" s="1421"/>
      <c r="AX327" s="1421"/>
      <c r="AY327" s="1421"/>
    </row>
    <row r="328" spans="1:51" hidden="1" outlineLevel="1">
      <c r="A328" s="1450" t="s">
        <v>194</v>
      </c>
      <c r="B328" s="1434"/>
      <c r="C328" s="1434"/>
      <c r="D328" s="1434"/>
      <c r="E328" s="1434"/>
      <c r="F328" s="1434"/>
      <c r="G328" s="1434"/>
      <c r="H328" s="1434"/>
      <c r="I328" s="1434"/>
      <c r="J328" s="1434"/>
      <c r="K328" s="1434"/>
      <c r="L328" s="1434"/>
      <c r="M328" s="1434"/>
      <c r="N328" s="1434"/>
      <c r="O328" s="1516">
        <v>31</v>
      </c>
      <c r="P328" s="1434">
        <f t="shared" ref="P328:AC328" si="306">+P325+P326+P327</f>
        <v>32</v>
      </c>
      <c r="Q328" s="1434">
        <f t="shared" si="306"/>
        <v>35</v>
      </c>
      <c r="R328" s="1434">
        <f t="shared" si="306"/>
        <v>36</v>
      </c>
      <c r="S328" s="1434">
        <f t="shared" si="306"/>
        <v>34</v>
      </c>
      <c r="T328" s="1434">
        <f t="shared" si="306"/>
        <v>34</v>
      </c>
      <c r="U328" s="1434">
        <f t="shared" si="306"/>
        <v>34</v>
      </c>
      <c r="V328" s="1434">
        <f t="shared" si="306"/>
        <v>34</v>
      </c>
      <c r="W328" s="1434">
        <f t="shared" si="306"/>
        <v>34</v>
      </c>
      <c r="X328" s="1434">
        <f t="shared" si="306"/>
        <v>34</v>
      </c>
      <c r="Y328" s="1434">
        <f t="shared" si="306"/>
        <v>34</v>
      </c>
      <c r="Z328" s="1434">
        <f>+Z325+Z326+Z327</f>
        <v>34</v>
      </c>
      <c r="AA328" s="1434">
        <f>+AA325+AA326+AA327</f>
        <v>34</v>
      </c>
      <c r="AB328" s="1434">
        <f t="shared" si="306"/>
        <v>34</v>
      </c>
      <c r="AC328" s="1434">
        <f t="shared" si="306"/>
        <v>34</v>
      </c>
      <c r="AD328" s="1434">
        <f>+AD325+AD326+AD327</f>
        <v>34</v>
      </c>
      <c r="AE328" s="1434">
        <f>+AE325+AE326+AE327</f>
        <v>34</v>
      </c>
      <c r="AF328" s="1434">
        <f>+AF325+AF326+AF327</f>
        <v>34</v>
      </c>
      <c r="AG328" s="1434">
        <f>+AG325+AG326+AG327</f>
        <v>34</v>
      </c>
      <c r="AH328" s="1434">
        <f>+AH325+AH326+AH327</f>
        <v>34</v>
      </c>
      <c r="AI328" s="1423"/>
      <c r="AJ328" s="1448"/>
      <c r="AK328" s="1453"/>
      <c r="AL328" s="1454"/>
      <c r="AM328" s="1455"/>
      <c r="AN328" s="1454"/>
      <c r="AO328" s="1455"/>
      <c r="AP328" s="1459"/>
      <c r="AQ328" s="1454"/>
      <c r="AR328" s="1423"/>
      <c r="AS328" s="1421"/>
      <c r="AT328" s="1421"/>
      <c r="AU328" s="1421"/>
      <c r="AV328" s="1421"/>
      <c r="AW328" s="1421"/>
      <c r="AX328" s="1421"/>
      <c r="AY328" s="1421"/>
    </row>
    <row r="329" spans="1:51" hidden="1" outlineLevel="1">
      <c r="A329" s="1450" t="s">
        <v>195</v>
      </c>
      <c r="B329" s="1482"/>
      <c r="C329" s="1482"/>
      <c r="D329" s="1482"/>
      <c r="E329" s="1482"/>
      <c r="F329" s="1482"/>
      <c r="G329" s="1482"/>
      <c r="H329" s="1482"/>
      <c r="I329" s="1482"/>
      <c r="J329" s="1482"/>
      <c r="K329" s="1482"/>
      <c r="L329" s="1482"/>
      <c r="M329" s="1482"/>
      <c r="N329" s="1482"/>
      <c r="O329" s="1517">
        <v>31</v>
      </c>
      <c r="P329" s="1482">
        <f t="shared" ref="P329:AC329" si="307">(+P328+P325)/2</f>
        <v>31.5</v>
      </c>
      <c r="Q329" s="1482">
        <f t="shared" si="307"/>
        <v>33.5</v>
      </c>
      <c r="R329" s="1482">
        <f t="shared" si="307"/>
        <v>35.5</v>
      </c>
      <c r="S329" s="1482">
        <f t="shared" si="307"/>
        <v>35</v>
      </c>
      <c r="T329" s="1482">
        <f t="shared" si="307"/>
        <v>34</v>
      </c>
      <c r="U329" s="1482">
        <f t="shared" si="307"/>
        <v>34</v>
      </c>
      <c r="V329" s="1482">
        <f t="shared" si="307"/>
        <v>34</v>
      </c>
      <c r="W329" s="1482">
        <f t="shared" si="307"/>
        <v>34</v>
      </c>
      <c r="X329" s="1482">
        <f t="shared" si="307"/>
        <v>34</v>
      </c>
      <c r="Y329" s="1482">
        <f t="shared" si="307"/>
        <v>34</v>
      </c>
      <c r="Z329" s="1482">
        <f>(+Z328+Z325)/2</f>
        <v>34</v>
      </c>
      <c r="AA329" s="1482">
        <f>(+AA328+AA325)/2</f>
        <v>34</v>
      </c>
      <c r="AB329" s="1482">
        <f t="shared" si="307"/>
        <v>34</v>
      </c>
      <c r="AC329" s="1482">
        <f t="shared" si="307"/>
        <v>34</v>
      </c>
      <c r="AD329" s="1482">
        <f>(+AD328+AD325)/2</f>
        <v>34</v>
      </c>
      <c r="AE329" s="1482">
        <f>(+AE328+AE325)/2</f>
        <v>34</v>
      </c>
      <c r="AF329" s="1482">
        <f>(+AF328+AF325)/2</f>
        <v>34</v>
      </c>
      <c r="AG329" s="1482">
        <f>(+AG328+AG325)/2</f>
        <v>34</v>
      </c>
      <c r="AH329" s="1482">
        <f>(+AH328+AH325)/2</f>
        <v>34</v>
      </c>
      <c r="AI329" s="1478"/>
      <c r="AJ329" s="1479"/>
      <c r="AK329" s="1478"/>
      <c r="AL329" s="1478"/>
      <c r="AM329" s="1423"/>
      <c r="AN329" s="1478"/>
      <c r="AO329" s="1423"/>
      <c r="AP329" s="1480"/>
      <c r="AQ329" s="1478"/>
      <c r="AR329" s="1423"/>
      <c r="AS329" s="1421"/>
      <c r="AT329" s="1421"/>
      <c r="AU329" s="1421"/>
      <c r="AV329" s="1421"/>
      <c r="AW329" s="1421"/>
      <c r="AX329" s="1421"/>
      <c r="AY329" s="1421"/>
    </row>
    <row r="330" spans="1:51" hidden="1" outlineLevel="1">
      <c r="A330" s="1450" t="s">
        <v>197</v>
      </c>
      <c r="B330" s="1445"/>
      <c r="C330" s="1445"/>
      <c r="D330" s="1445"/>
      <c r="E330" s="1445"/>
      <c r="F330" s="1445"/>
      <c r="G330" s="1445"/>
      <c r="H330" s="1445"/>
      <c r="I330" s="1445"/>
      <c r="J330" s="1445"/>
      <c r="K330" s="1445"/>
      <c r="L330" s="1445"/>
      <c r="M330" s="1445"/>
      <c r="N330" s="1445"/>
      <c r="O330" s="1445"/>
      <c r="P330" s="1445">
        <f t="shared" ref="P330:AH330" si="308">(P329/O329-1)</f>
        <v>1.6129032258064502E-2</v>
      </c>
      <c r="Q330" s="1445">
        <f t="shared" si="308"/>
        <v>6.3492063492063489E-2</v>
      </c>
      <c r="R330" s="1445">
        <f t="shared" si="308"/>
        <v>5.9701492537313383E-2</v>
      </c>
      <c r="S330" s="1445">
        <f t="shared" si="308"/>
        <v>-1.4084507042253502E-2</v>
      </c>
      <c r="T330" s="1445">
        <f t="shared" si="308"/>
        <v>-2.8571428571428581E-2</v>
      </c>
      <c r="U330" s="1445">
        <f t="shared" si="308"/>
        <v>0</v>
      </c>
      <c r="V330" s="1445">
        <f t="shared" si="308"/>
        <v>0</v>
      </c>
      <c r="W330" s="1445">
        <f t="shared" si="308"/>
        <v>0</v>
      </c>
      <c r="X330" s="1445">
        <f t="shared" si="308"/>
        <v>0</v>
      </c>
      <c r="Y330" s="1445">
        <f t="shared" si="308"/>
        <v>0</v>
      </c>
      <c r="Z330" s="1445">
        <f t="shared" si="308"/>
        <v>0</v>
      </c>
      <c r="AA330" s="1445">
        <f t="shared" si="308"/>
        <v>0</v>
      </c>
      <c r="AB330" s="1445">
        <f t="shared" si="308"/>
        <v>0</v>
      </c>
      <c r="AC330" s="1445">
        <f t="shared" si="308"/>
        <v>0</v>
      </c>
      <c r="AD330" s="1445">
        <f t="shared" si="308"/>
        <v>0</v>
      </c>
      <c r="AE330" s="1445">
        <f t="shared" si="308"/>
        <v>0</v>
      </c>
      <c r="AF330" s="1445">
        <f t="shared" si="308"/>
        <v>0</v>
      </c>
      <c r="AG330" s="1445">
        <f t="shared" si="308"/>
        <v>0</v>
      </c>
      <c r="AH330" s="1445">
        <f t="shared" si="308"/>
        <v>0</v>
      </c>
      <c r="AI330" s="1423"/>
      <c r="AJ330" s="1448"/>
      <c r="AK330" s="1423"/>
      <c r="AL330" s="1423"/>
      <c r="AM330" s="1423"/>
      <c r="AN330" s="1423"/>
      <c r="AO330" s="1423"/>
      <c r="AP330" s="1449"/>
      <c r="AQ330" s="1423"/>
      <c r="AR330" s="1423"/>
      <c r="AS330" s="1421"/>
      <c r="AT330" s="1421"/>
      <c r="AU330" s="1421"/>
      <c r="AV330" s="1421"/>
      <c r="AW330" s="1421"/>
      <c r="AX330" s="1421"/>
      <c r="AY330" s="1421"/>
    </row>
    <row r="331" spans="1:51" hidden="1" outlineLevel="1">
      <c r="A331" s="1421"/>
      <c r="B331" s="1421"/>
      <c r="C331" s="1421"/>
      <c r="D331" s="1421"/>
      <c r="E331" s="1421"/>
      <c r="F331" s="1421"/>
      <c r="G331" s="1421"/>
      <c r="H331" s="1445"/>
      <c r="I331" s="1445"/>
      <c r="J331" s="1421"/>
      <c r="K331" s="1421"/>
      <c r="L331" s="1421"/>
      <c r="M331" s="1421"/>
      <c r="N331" s="1421"/>
      <c r="O331" s="1421"/>
      <c r="P331" s="1421"/>
      <c r="Q331" s="1421"/>
      <c r="R331" s="1421"/>
      <c r="S331" s="1421"/>
      <c r="T331" s="1421"/>
      <c r="U331" s="1421"/>
      <c r="V331" s="1421"/>
      <c r="W331" s="1421"/>
      <c r="X331" s="1421"/>
      <c r="Y331" s="1421"/>
      <c r="Z331" s="1421"/>
      <c r="AA331" s="1421"/>
      <c r="AB331" s="1421"/>
      <c r="AC331" s="1421"/>
      <c r="AD331" s="1421"/>
      <c r="AE331" s="1421"/>
      <c r="AF331" s="1421"/>
      <c r="AG331" s="1421"/>
      <c r="AH331" s="1421"/>
      <c r="AI331" s="1423"/>
      <c r="AJ331" s="1448"/>
      <c r="AK331" s="1423"/>
      <c r="AL331" s="1423"/>
      <c r="AM331" s="1423"/>
      <c r="AN331" s="1423"/>
      <c r="AO331" s="1423"/>
      <c r="AP331" s="1449"/>
      <c r="AQ331" s="1423"/>
      <c r="AR331" s="1423"/>
      <c r="AS331" s="1421"/>
      <c r="AT331" s="1421"/>
      <c r="AU331" s="1421"/>
      <c r="AV331" s="1421"/>
      <c r="AW331" s="1421"/>
      <c r="AX331" s="1421"/>
      <c r="AY331" s="1421"/>
    </row>
    <row r="332" spans="1:51" hidden="1" outlineLevel="1">
      <c r="A332" s="1450" t="s">
        <v>147</v>
      </c>
      <c r="B332" s="1483"/>
      <c r="C332" s="1483"/>
      <c r="D332" s="1483"/>
      <c r="E332" s="1483"/>
      <c r="F332" s="1483"/>
      <c r="G332" s="1483"/>
      <c r="H332" s="1483"/>
      <c r="I332" s="1483"/>
      <c r="J332" s="1483"/>
      <c r="K332" s="1483"/>
      <c r="L332" s="1483"/>
      <c r="M332" s="1483"/>
      <c r="N332" s="1483"/>
      <c r="O332" s="1483">
        <f t="shared" ref="O332:U332" si="309">(O319)/O329</f>
        <v>0.77651612903225808</v>
      </c>
      <c r="P332" s="1483">
        <f t="shared" si="309"/>
        <v>9.2240317460317467</v>
      </c>
      <c r="Q332" s="1483">
        <f t="shared" si="309"/>
        <v>8.6113432835820909</v>
      </c>
      <c r="R332" s="1483">
        <f t="shared" si="309"/>
        <v>8.4682816901408433</v>
      </c>
      <c r="S332" s="1483">
        <f t="shared" si="309"/>
        <v>8.8685714285714283</v>
      </c>
      <c r="T332" s="1483">
        <f t="shared" si="309"/>
        <v>3.7490294117647061</v>
      </c>
      <c r="U332" s="1483">
        <f t="shared" si="309"/>
        <v>3.4856504444050795</v>
      </c>
      <c r="V332" s="1483">
        <f t="shared" ref="V332:AD332" si="310">(V319)/V329</f>
        <v>1.4988296910941845</v>
      </c>
      <c r="W332" s="1483">
        <f t="shared" si="310"/>
        <v>1.54379458182701</v>
      </c>
      <c r="X332" s="1483">
        <f t="shared" si="310"/>
        <v>1.5901084192818205</v>
      </c>
      <c r="Y332" s="1483">
        <f t="shared" si="310"/>
        <v>1.6378116718602751</v>
      </c>
      <c r="Z332" s="1483">
        <f t="shared" si="310"/>
        <v>1.6869460220160832</v>
      </c>
      <c r="AA332" s="1483">
        <f t="shared" si="310"/>
        <v>1.7375544026765659</v>
      </c>
      <c r="AB332" s="1483">
        <f t="shared" si="310"/>
        <v>1.7896810347568628</v>
      </c>
      <c r="AC332" s="1483">
        <f t="shared" si="310"/>
        <v>1.8433714657995688</v>
      </c>
      <c r="AD332" s="1483">
        <f t="shared" si="310"/>
        <v>1.898672609773556</v>
      </c>
      <c r="AE332" s="1483">
        <f>(AE319)/AE329</f>
        <v>1.9556327880667628</v>
      </c>
      <c r="AF332" s="1483">
        <f>(AF319)/AF329</f>
        <v>2.0143017717087655</v>
      </c>
      <c r="AG332" s="1483">
        <f>(AG319)/AG329</f>
        <v>2.0747308248600285</v>
      </c>
      <c r="AH332" s="1483">
        <f>(AH319)/AH329</f>
        <v>2.1369727496058291</v>
      </c>
      <c r="AI332" s="1423"/>
      <c r="AJ332" s="1448"/>
      <c r="AK332" s="1423"/>
      <c r="AL332" s="1423"/>
      <c r="AM332" s="1423"/>
      <c r="AN332" s="1423"/>
      <c r="AO332" s="1423"/>
      <c r="AP332" s="1449"/>
      <c r="AQ332" s="1423"/>
      <c r="AR332" s="1423"/>
      <c r="AS332" s="1421"/>
      <c r="AT332" s="1421"/>
      <c r="AU332" s="1421"/>
      <c r="AV332" s="1421"/>
      <c r="AW332" s="1421"/>
      <c r="AX332" s="1421"/>
      <c r="AY332" s="1421"/>
    </row>
    <row r="333" spans="1:51" hidden="1" outlineLevel="1">
      <c r="A333" s="1450" t="s">
        <v>191</v>
      </c>
      <c r="B333" s="1484"/>
      <c r="C333" s="1484"/>
      <c r="D333" s="1484"/>
      <c r="E333" s="1484"/>
      <c r="F333" s="1484"/>
      <c r="G333" s="1484"/>
      <c r="H333" s="1484"/>
      <c r="I333" s="1484"/>
      <c r="J333" s="1484"/>
      <c r="K333" s="1484"/>
      <c r="L333" s="1484"/>
      <c r="M333" s="1484"/>
      <c r="N333" s="1484"/>
      <c r="O333" s="1484"/>
      <c r="P333" s="1484">
        <f t="shared" ref="P333:AH333" si="311">P332/O332-1</f>
        <v>10.878738124251585</v>
      </c>
      <c r="Q333" s="1484">
        <f t="shared" si="311"/>
        <v>-6.6423065240776014E-2</v>
      </c>
      <c r="R333" s="1484">
        <f t="shared" si="311"/>
        <v>-1.6613156476295687E-2</v>
      </c>
      <c r="S333" s="1484">
        <f t="shared" si="311"/>
        <v>4.726929890589493E-2</v>
      </c>
      <c r="T333" s="1484">
        <f t="shared" si="311"/>
        <v>-0.57726794648271684</v>
      </c>
      <c r="U333" s="1484">
        <f t="shared" si="311"/>
        <v>-7.0252574315134875E-2</v>
      </c>
      <c r="V333" s="1484">
        <f t="shared" si="311"/>
        <v>-0.56999999999999984</v>
      </c>
      <c r="W333" s="1484">
        <f t="shared" si="311"/>
        <v>3.0000000000000027E-2</v>
      </c>
      <c r="X333" s="1484">
        <f t="shared" si="311"/>
        <v>3.0000000000000027E-2</v>
      </c>
      <c r="Y333" s="1484">
        <f t="shared" si="311"/>
        <v>3.0000000000000027E-2</v>
      </c>
      <c r="Z333" s="1484">
        <f t="shared" si="311"/>
        <v>3.0000000000000027E-2</v>
      </c>
      <c r="AA333" s="1484">
        <f t="shared" si="311"/>
        <v>3.0000000000000027E-2</v>
      </c>
      <c r="AB333" s="1484">
        <f t="shared" si="311"/>
        <v>3.0000000000000027E-2</v>
      </c>
      <c r="AC333" s="1484">
        <f t="shared" si="311"/>
        <v>3.0000000000000027E-2</v>
      </c>
      <c r="AD333" s="1484">
        <f t="shared" si="311"/>
        <v>3.0000000000000027E-2</v>
      </c>
      <c r="AE333" s="1484">
        <f t="shared" si="311"/>
        <v>3.0000000000000027E-2</v>
      </c>
      <c r="AF333" s="1484">
        <f t="shared" si="311"/>
        <v>2.9999999999999805E-2</v>
      </c>
      <c r="AG333" s="1484">
        <f t="shared" si="311"/>
        <v>3.0000000000000027E-2</v>
      </c>
      <c r="AH333" s="1484">
        <f t="shared" si="311"/>
        <v>2.9999999999999805E-2</v>
      </c>
      <c r="AI333" s="1423"/>
      <c r="AJ333" s="1448"/>
      <c r="AK333" s="1423"/>
      <c r="AL333" s="1423"/>
      <c r="AM333" s="1423"/>
      <c r="AN333" s="1423"/>
      <c r="AO333" s="1423"/>
      <c r="AP333" s="1449"/>
      <c r="AQ333" s="1423"/>
      <c r="AR333" s="1423"/>
      <c r="AS333" s="1421"/>
      <c r="AT333" s="1421"/>
      <c r="AU333" s="1421"/>
      <c r="AV333" s="1421"/>
      <c r="AW333" s="1421"/>
      <c r="AX333" s="1421"/>
      <c r="AY333" s="1421"/>
    </row>
    <row r="334" spans="1:51" hidden="1" outlineLevel="1">
      <c r="A334" s="1421"/>
      <c r="B334" s="1421"/>
      <c r="C334" s="1421"/>
      <c r="D334" s="1421"/>
      <c r="E334" s="1421"/>
      <c r="F334" s="1421"/>
      <c r="G334" s="1421"/>
      <c r="H334" s="1421"/>
      <c r="I334" s="1421"/>
      <c r="J334" s="1421"/>
      <c r="K334" s="1421"/>
      <c r="L334" s="1421"/>
      <c r="M334" s="1421"/>
      <c r="N334" s="1421"/>
      <c r="O334" s="1421"/>
      <c r="P334" s="1421"/>
      <c r="Q334" s="1421"/>
      <c r="R334" s="1421"/>
      <c r="S334" s="1421"/>
      <c r="T334" s="1421"/>
      <c r="U334" s="1421"/>
      <c r="V334" s="1421"/>
      <c r="W334" s="1421"/>
      <c r="X334" s="1421"/>
      <c r="Y334" s="1421"/>
      <c r="Z334" s="1421"/>
      <c r="AA334" s="1421"/>
      <c r="AB334" s="1421"/>
      <c r="AC334" s="1421"/>
      <c r="AD334" s="1421"/>
      <c r="AE334" s="1421"/>
      <c r="AF334" s="1421"/>
      <c r="AG334" s="1421"/>
      <c r="AH334" s="1421"/>
      <c r="AI334" s="1423"/>
      <c r="AJ334" s="1448"/>
      <c r="AK334" s="1423"/>
      <c r="AL334" s="1423"/>
      <c r="AM334" s="1423"/>
      <c r="AN334" s="1423"/>
      <c r="AO334" s="1423"/>
      <c r="AP334" s="1449"/>
      <c r="AQ334" s="1423"/>
      <c r="AR334" s="1423"/>
      <c r="AS334" s="1421"/>
      <c r="AT334" s="1421"/>
      <c r="AU334" s="1421"/>
      <c r="AV334" s="1421"/>
      <c r="AW334" s="1421"/>
      <c r="AX334" s="1421"/>
      <c r="AY334" s="1421"/>
    </row>
    <row r="335" spans="1:51" hidden="1" outlineLevel="1">
      <c r="A335" s="1450" t="s">
        <v>199</v>
      </c>
      <c r="B335" s="1535"/>
      <c r="C335" s="1486"/>
      <c r="D335" s="1486"/>
      <c r="E335" s="1486"/>
      <c r="F335" s="1486"/>
      <c r="G335" s="1486"/>
      <c r="H335" s="1486"/>
      <c r="I335" s="1486"/>
      <c r="J335" s="1486"/>
      <c r="K335" s="1486"/>
      <c r="L335" s="1486"/>
      <c r="M335" s="1486"/>
      <c r="N335" s="1486"/>
      <c r="O335" s="1486"/>
      <c r="P335" s="1486">
        <f t="shared" ref="P335:AH335" si="312">+(O338+P338)/2</f>
        <v>1.4435703225806451</v>
      </c>
      <c r="Q335" s="1486">
        <f t="shared" si="312"/>
        <v>1.5270703225806452</v>
      </c>
      <c r="R335" s="1486">
        <f t="shared" si="312"/>
        <v>1.5965</v>
      </c>
      <c r="S335" s="1486">
        <f t="shared" si="312"/>
        <v>1.5740000000000001</v>
      </c>
      <c r="T335" s="1486">
        <f t="shared" si="312"/>
        <v>1.5440999999999998</v>
      </c>
      <c r="U335" s="1486">
        <f t="shared" si="312"/>
        <v>0.7700999999999999</v>
      </c>
      <c r="V335" s="1486">
        <f t="shared" si="312"/>
        <v>0</v>
      </c>
      <c r="W335" s="1486">
        <f t="shared" si="312"/>
        <v>0</v>
      </c>
      <c r="X335" s="1486">
        <f t="shared" si="312"/>
        <v>0</v>
      </c>
      <c r="Y335" s="1486">
        <f t="shared" si="312"/>
        <v>0</v>
      </c>
      <c r="Z335" s="1486">
        <f t="shared" si="312"/>
        <v>0</v>
      </c>
      <c r="AA335" s="1486">
        <f t="shared" si="312"/>
        <v>0</v>
      </c>
      <c r="AB335" s="1486">
        <f t="shared" si="312"/>
        <v>0</v>
      </c>
      <c r="AC335" s="1486">
        <f t="shared" si="312"/>
        <v>0</v>
      </c>
      <c r="AD335" s="1486">
        <f t="shared" si="312"/>
        <v>0</v>
      </c>
      <c r="AE335" s="1486">
        <f t="shared" si="312"/>
        <v>0</v>
      </c>
      <c r="AF335" s="1486">
        <f t="shared" si="312"/>
        <v>0</v>
      </c>
      <c r="AG335" s="1486">
        <f t="shared" si="312"/>
        <v>0</v>
      </c>
      <c r="AH335" s="1486">
        <f t="shared" si="312"/>
        <v>0</v>
      </c>
      <c r="AI335" s="1423"/>
      <c r="AJ335" s="1448"/>
      <c r="AK335" s="1543"/>
      <c r="AL335" s="1454"/>
      <c r="AM335" s="1455"/>
      <c r="AN335" s="1454"/>
      <c r="AO335" s="1455"/>
      <c r="AP335" s="1459"/>
      <c r="AQ335" s="1454"/>
      <c r="AR335" s="1423"/>
      <c r="AS335" s="1421"/>
      <c r="AT335" s="1421"/>
      <c r="AU335" s="1421"/>
      <c r="AV335" s="1421"/>
      <c r="AW335" s="1421"/>
      <c r="AX335" s="1421"/>
      <c r="AY335" s="1421"/>
    </row>
    <row r="336" spans="1:51" hidden="1" outlineLevel="1">
      <c r="A336" s="1450" t="s">
        <v>191</v>
      </c>
      <c r="B336" s="1445"/>
      <c r="C336" s="1445"/>
      <c r="D336" s="1445"/>
      <c r="E336" s="1445"/>
      <c r="F336" s="1445"/>
      <c r="G336" s="1445"/>
      <c r="H336" s="1445"/>
      <c r="I336" s="1445"/>
      <c r="J336" s="1445"/>
      <c r="K336" s="1445"/>
      <c r="L336" s="1445"/>
      <c r="M336" s="1445"/>
      <c r="N336" s="1445"/>
      <c r="O336" s="1445"/>
      <c r="P336" s="1445"/>
      <c r="Q336" s="1445">
        <f t="shared" ref="Q336:V336" si="313">Q335/P335-1</f>
        <v>5.7842696468523025E-2</v>
      </c>
      <c r="R336" s="1445">
        <f t="shared" si="313"/>
        <v>4.5465933292465177E-2</v>
      </c>
      <c r="S336" s="1445">
        <f t="shared" si="313"/>
        <v>-1.4093329157532031E-2</v>
      </c>
      <c r="T336" s="1445">
        <f t="shared" si="313"/>
        <v>-1.8996188055908636E-2</v>
      </c>
      <c r="U336" s="1445">
        <f t="shared" si="313"/>
        <v>-0.50126287157567517</v>
      </c>
      <c r="V336" s="1445">
        <f t="shared" si="313"/>
        <v>-1</v>
      </c>
      <c r="W336" s="1445">
        <v>0</v>
      </c>
      <c r="X336" s="1445"/>
      <c r="Y336" s="1445"/>
      <c r="Z336" s="1445"/>
      <c r="AA336" s="1445"/>
      <c r="AB336" s="1445"/>
      <c r="AC336" s="1445"/>
      <c r="AD336" s="1445"/>
      <c r="AE336" s="1445"/>
      <c r="AF336" s="1445"/>
      <c r="AG336" s="1445"/>
      <c r="AH336" s="1445"/>
      <c r="AI336" s="1423"/>
      <c r="AJ336" s="1448"/>
      <c r="AK336" s="1423"/>
      <c r="AL336" s="1423"/>
      <c r="AM336" s="1423"/>
      <c r="AN336" s="1423"/>
      <c r="AO336" s="1423"/>
      <c r="AP336" s="1449"/>
      <c r="AQ336" s="1423"/>
      <c r="AR336" s="1423"/>
      <c r="AS336" s="1421"/>
      <c r="AT336" s="1421"/>
      <c r="AU336" s="1421"/>
      <c r="AV336" s="1421"/>
      <c r="AW336" s="1421"/>
      <c r="AX336" s="1421"/>
      <c r="AY336" s="1421"/>
    </row>
    <row r="337" spans="1:51" hidden="1" outlineLevel="1">
      <c r="A337" s="1421"/>
      <c r="B337" s="1421"/>
      <c r="C337" s="1421"/>
      <c r="D337" s="1421"/>
      <c r="E337" s="1421"/>
      <c r="F337" s="1421"/>
      <c r="G337" s="1421"/>
      <c r="H337" s="1421"/>
      <c r="I337" s="1421"/>
      <c r="J337" s="1421"/>
      <c r="K337" s="1421"/>
      <c r="L337" s="1421"/>
      <c r="M337" s="1421"/>
      <c r="N337" s="1421"/>
      <c r="O337" s="1421"/>
      <c r="P337" s="1421"/>
      <c r="Q337" s="1421"/>
      <c r="R337" s="1421"/>
      <c r="S337" s="1421"/>
      <c r="T337" s="1421"/>
      <c r="U337" s="1421"/>
      <c r="V337" s="1421"/>
      <c r="W337" s="1421"/>
      <c r="X337" s="1421"/>
      <c r="Y337" s="1421"/>
      <c r="Z337" s="1421"/>
      <c r="AA337" s="1421"/>
      <c r="AB337" s="1421"/>
      <c r="AC337" s="1421"/>
      <c r="AD337" s="1421"/>
      <c r="AE337" s="1421"/>
      <c r="AF337" s="1421"/>
      <c r="AG337" s="1421"/>
      <c r="AH337" s="1421"/>
      <c r="AI337" s="1423"/>
      <c r="AJ337" s="1448"/>
      <c r="AK337" s="1423"/>
      <c r="AL337" s="1423"/>
      <c r="AM337" s="1423"/>
      <c r="AN337" s="1423"/>
      <c r="AO337" s="1423"/>
      <c r="AP337" s="1449"/>
      <c r="AQ337" s="1423"/>
      <c r="AR337" s="1423"/>
      <c r="AS337" s="1421"/>
      <c r="AT337" s="1421"/>
      <c r="AU337" s="1421"/>
      <c r="AV337" s="1421"/>
      <c r="AW337" s="1421"/>
      <c r="AX337" s="1421"/>
      <c r="AY337" s="1421"/>
    </row>
    <row r="338" spans="1:51" hidden="1" outlineLevel="1">
      <c r="A338" s="1450" t="s">
        <v>200</v>
      </c>
      <c r="B338" s="1523"/>
      <c r="C338" s="1522"/>
      <c r="D338" s="1522"/>
      <c r="E338" s="1522"/>
      <c r="F338" s="1522"/>
      <c r="G338" s="1522"/>
      <c r="H338" s="1522"/>
      <c r="I338" s="1522"/>
      <c r="J338" s="1522"/>
      <c r="K338" s="1522"/>
      <c r="L338" s="1522"/>
      <c r="M338" s="1522"/>
      <c r="N338" s="1522"/>
      <c r="O338" s="1522">
        <f>+O328*O341/1000000</f>
        <v>1.4259999999999999</v>
      </c>
      <c r="P338" s="1522">
        <f>Stores!$CF$133</f>
        <v>1.4611406451612905</v>
      </c>
      <c r="Q338" s="1522">
        <f>Stores!$CF$141</f>
        <v>1.593</v>
      </c>
      <c r="R338" s="1522">
        <f>Stores!$CF$149</f>
        <v>1.6</v>
      </c>
      <c r="S338" s="1522">
        <f>Stores!$CF$156</f>
        <v>1.548</v>
      </c>
      <c r="T338" s="1522">
        <f>Stores!$CF$163</f>
        <v>1.5401999999999998</v>
      </c>
      <c r="U338" s="1522">
        <f>Stores!$CF$170</f>
        <v>0</v>
      </c>
      <c r="V338" s="1522">
        <f>Stores!$CF$177</f>
        <v>0</v>
      </c>
      <c r="W338" s="1522">
        <f>Stores!$CF$184</f>
        <v>0</v>
      </c>
      <c r="X338" s="1522">
        <f>Stores!$CF$191</f>
        <v>0</v>
      </c>
      <c r="Y338" s="1522">
        <f>Stores!$CF$191</f>
        <v>0</v>
      </c>
      <c r="Z338" s="1522">
        <f>Stores!$CF$191</f>
        <v>0</v>
      </c>
      <c r="AA338" s="1522">
        <f>Stores!$CF$191</f>
        <v>0</v>
      </c>
      <c r="AB338" s="1522">
        <f>Stores!$CF$191</f>
        <v>0</v>
      </c>
      <c r="AC338" s="1522">
        <f>Stores!$CF$191</f>
        <v>0</v>
      </c>
      <c r="AD338" s="1522">
        <f>Stores!$CF$191</f>
        <v>0</v>
      </c>
      <c r="AE338" s="1522">
        <f>Stores!$CF$191</f>
        <v>0</v>
      </c>
      <c r="AF338" s="1522">
        <f>Stores!$CF$191</f>
        <v>0</v>
      </c>
      <c r="AG338" s="1522">
        <f>Stores!$CF$191</f>
        <v>0</v>
      </c>
      <c r="AH338" s="1522">
        <f>Stores!$CF$191</f>
        <v>0</v>
      </c>
      <c r="AI338" s="1423"/>
      <c r="AJ338" s="1448"/>
      <c r="AK338" s="1453"/>
      <c r="AL338" s="1454"/>
      <c r="AM338" s="1455"/>
      <c r="AN338" s="1454"/>
      <c r="AO338" s="1455"/>
      <c r="AP338" s="1459"/>
      <c r="AQ338" s="1454"/>
      <c r="AR338" s="1423"/>
      <c r="AS338" s="1421"/>
      <c r="AT338" s="1421"/>
      <c r="AU338" s="1421"/>
      <c r="AV338" s="1421"/>
      <c r="AW338" s="1421"/>
      <c r="AX338" s="1421"/>
      <c r="AY338" s="1421"/>
    </row>
    <row r="339" spans="1:51" hidden="1" outlineLevel="1">
      <c r="A339" s="1450" t="s">
        <v>191</v>
      </c>
      <c r="B339" s="1445"/>
      <c r="C339" s="1445"/>
      <c r="D339" s="1445"/>
      <c r="E339" s="1445"/>
      <c r="F339" s="1445"/>
      <c r="G339" s="1445"/>
      <c r="H339" s="1445"/>
      <c r="I339" s="1445"/>
      <c r="J339" s="1445"/>
      <c r="K339" s="1445"/>
      <c r="L339" s="1445"/>
      <c r="M339" s="1445"/>
      <c r="N339" s="1445"/>
      <c r="O339" s="1445"/>
      <c r="P339" s="1445">
        <f t="shared" ref="P339:U339" si="314">P338/O338-1</f>
        <v>2.4642808668506655E-2</v>
      </c>
      <c r="Q339" s="1445">
        <f t="shared" si="314"/>
        <v>9.024412213524724E-2</v>
      </c>
      <c r="R339" s="1445">
        <f t="shared" si="314"/>
        <v>4.3942247332078299E-3</v>
      </c>
      <c r="S339" s="1445">
        <f t="shared" si="314"/>
        <v>-3.2499999999999973E-2</v>
      </c>
      <c r="T339" s="1445">
        <f t="shared" si="314"/>
        <v>-5.0387596899226228E-3</v>
      </c>
      <c r="U339" s="1445">
        <f t="shared" si="314"/>
        <v>-1</v>
      </c>
      <c r="V339" s="1445"/>
      <c r="W339" s="1445"/>
      <c r="X339" s="1445"/>
      <c r="Y339" s="1445"/>
      <c r="Z339" s="1445"/>
      <c r="AA339" s="1445"/>
      <c r="AB339" s="1445"/>
      <c r="AC339" s="1445"/>
      <c r="AD339" s="1445"/>
      <c r="AE339" s="1445"/>
      <c r="AF339" s="1445"/>
      <c r="AG339" s="1445"/>
      <c r="AH339" s="1445"/>
      <c r="AI339" s="1423"/>
      <c r="AJ339" s="1448"/>
      <c r="AK339" s="1423"/>
      <c r="AL339" s="1423"/>
      <c r="AM339" s="1423"/>
      <c r="AN339" s="1423"/>
      <c r="AO339" s="1423"/>
      <c r="AP339" s="1449"/>
      <c r="AQ339" s="1423"/>
      <c r="AR339" s="1423"/>
      <c r="AS339" s="1421"/>
      <c r="AT339" s="1421"/>
      <c r="AU339" s="1421"/>
      <c r="AV339" s="1421"/>
      <c r="AW339" s="1421"/>
      <c r="AX339" s="1421"/>
      <c r="AY339" s="1421"/>
    </row>
    <row r="340" spans="1:51" hidden="1" outlineLevel="1">
      <c r="A340" s="1421"/>
      <c r="B340" s="1421"/>
      <c r="C340" s="1421"/>
      <c r="D340" s="1421"/>
      <c r="E340" s="1421"/>
      <c r="F340" s="1421"/>
      <c r="G340" s="1421"/>
      <c r="H340" s="1421"/>
      <c r="I340" s="1421"/>
      <c r="J340" s="1421"/>
      <c r="K340" s="1421"/>
      <c r="L340" s="1421"/>
      <c r="M340" s="1421"/>
      <c r="N340" s="1421"/>
      <c r="O340" s="1421"/>
      <c r="P340" s="1421"/>
      <c r="Q340" s="1421"/>
      <c r="R340" s="1421"/>
      <c r="S340" s="1421"/>
      <c r="T340" s="1421"/>
      <c r="U340" s="1421"/>
      <c r="V340" s="1421"/>
      <c r="W340" s="1421"/>
      <c r="X340" s="1421"/>
      <c r="Y340" s="1421"/>
      <c r="Z340" s="1421"/>
      <c r="AA340" s="1421"/>
      <c r="AB340" s="1421"/>
      <c r="AC340" s="1421"/>
      <c r="AD340" s="1421"/>
      <c r="AE340" s="1421"/>
      <c r="AF340" s="1421"/>
      <c r="AG340" s="1421"/>
      <c r="AH340" s="1421"/>
      <c r="AI340" s="1423"/>
      <c r="AJ340" s="1448"/>
      <c r="AK340" s="1423"/>
      <c r="AL340" s="1423"/>
      <c r="AM340" s="1423"/>
      <c r="AN340" s="1423"/>
      <c r="AO340" s="1423"/>
      <c r="AP340" s="1449"/>
      <c r="AQ340" s="1423"/>
      <c r="AR340" s="1423"/>
      <c r="AS340" s="1421"/>
      <c r="AT340" s="1421"/>
      <c r="AU340" s="1421"/>
      <c r="AV340" s="1421"/>
      <c r="AW340" s="1421"/>
      <c r="AX340" s="1421"/>
      <c r="AY340" s="1421"/>
    </row>
    <row r="341" spans="1:51" hidden="1" outlineLevel="1">
      <c r="A341" s="1450" t="s">
        <v>201</v>
      </c>
      <c r="B341" s="1482"/>
      <c r="C341" s="1482"/>
      <c r="D341" s="1482"/>
      <c r="E341" s="1482"/>
      <c r="F341" s="1482"/>
      <c r="G341" s="1482"/>
      <c r="H341" s="1482"/>
      <c r="I341" s="1482"/>
      <c r="J341" s="1482"/>
      <c r="K341" s="1482"/>
      <c r="L341" s="1482"/>
      <c r="M341" s="1482"/>
      <c r="N341" s="1482"/>
      <c r="O341" s="1544">
        <v>46000</v>
      </c>
      <c r="P341" s="1482">
        <f t="shared" ref="P341:U341" si="315">+P338/P328*1000000</f>
        <v>45660.645161290326</v>
      </c>
      <c r="Q341" s="1482">
        <f t="shared" si="315"/>
        <v>45514.285714285717</v>
      </c>
      <c r="R341" s="1482">
        <f t="shared" si="315"/>
        <v>44444.444444444445</v>
      </c>
      <c r="S341" s="1482">
        <f t="shared" si="315"/>
        <v>45529.411764705881</v>
      </c>
      <c r="T341" s="1482">
        <f t="shared" si="315"/>
        <v>45299.999999999993</v>
      </c>
      <c r="U341" s="1482">
        <f t="shared" si="315"/>
        <v>0</v>
      </c>
      <c r="V341" s="1482">
        <f t="shared" ref="V341:AD341" si="316">+V338/V328*1000000</f>
        <v>0</v>
      </c>
      <c r="W341" s="1482">
        <f t="shared" si="316"/>
        <v>0</v>
      </c>
      <c r="X341" s="1482">
        <f t="shared" si="316"/>
        <v>0</v>
      </c>
      <c r="Y341" s="1482">
        <f t="shared" si="316"/>
        <v>0</v>
      </c>
      <c r="Z341" s="1482">
        <f t="shared" si="316"/>
        <v>0</v>
      </c>
      <c r="AA341" s="1482">
        <f t="shared" si="316"/>
        <v>0</v>
      </c>
      <c r="AB341" s="1482">
        <f t="shared" si="316"/>
        <v>0</v>
      </c>
      <c r="AC341" s="1482">
        <f t="shared" si="316"/>
        <v>0</v>
      </c>
      <c r="AD341" s="1482">
        <f t="shared" si="316"/>
        <v>0</v>
      </c>
      <c r="AE341" s="1482">
        <f>+AE338/AE328*1000000</f>
        <v>0</v>
      </c>
      <c r="AF341" s="1482">
        <f>+AF338/AF328*1000000</f>
        <v>0</v>
      </c>
      <c r="AG341" s="1482">
        <f>+AG338/AG328*1000000</f>
        <v>0</v>
      </c>
      <c r="AH341" s="1482">
        <f>+AH338/AH328*1000000</f>
        <v>0</v>
      </c>
      <c r="AI341" s="1478"/>
      <c r="AJ341" s="1479"/>
      <c r="AK341" s="1478"/>
      <c r="AL341" s="1478"/>
      <c r="AM341" s="1423"/>
      <c r="AN341" s="1478"/>
      <c r="AO341" s="1423"/>
      <c r="AP341" s="1480"/>
      <c r="AQ341" s="1478"/>
      <c r="AR341" s="1423"/>
      <c r="AS341" s="1421"/>
      <c r="AT341" s="1421"/>
      <c r="AU341" s="1421"/>
      <c r="AV341" s="1421"/>
      <c r="AW341" s="1421"/>
      <c r="AX341" s="1421"/>
      <c r="AY341" s="1421"/>
    </row>
    <row r="342" spans="1:51" hidden="1" outlineLevel="1">
      <c r="A342" s="1450" t="s">
        <v>191</v>
      </c>
      <c r="B342" s="1484"/>
      <c r="C342" s="1484"/>
      <c r="D342" s="1484"/>
      <c r="E342" s="1484"/>
      <c r="F342" s="1484"/>
      <c r="G342" s="1484"/>
      <c r="H342" s="1484"/>
      <c r="I342" s="1484"/>
      <c r="J342" s="1484"/>
      <c r="K342" s="1484"/>
      <c r="L342" s="1484"/>
      <c r="M342" s="1484"/>
      <c r="N342" s="1484"/>
      <c r="O342" s="1484"/>
      <c r="P342" s="1484">
        <f t="shared" ref="P342:U342" si="317">P341/O341-1</f>
        <v>-7.3772791023841711E-3</v>
      </c>
      <c r="Q342" s="1484">
        <f t="shared" si="317"/>
        <v>-3.205374047773768E-3</v>
      </c>
      <c r="R342" s="1484">
        <f t="shared" si="317"/>
        <v>-2.3505614842714739E-2</v>
      </c>
      <c r="S342" s="1484">
        <f t="shared" si="317"/>
        <v>2.4411764705882355E-2</v>
      </c>
      <c r="T342" s="1484">
        <f t="shared" si="317"/>
        <v>-5.0387596899226228E-3</v>
      </c>
      <c r="U342" s="1484">
        <f t="shared" si="317"/>
        <v>-1</v>
      </c>
      <c r="V342" s="1484"/>
      <c r="W342" s="1484"/>
      <c r="X342" s="1484"/>
      <c r="Y342" s="1484"/>
      <c r="Z342" s="1484"/>
      <c r="AA342" s="1484"/>
      <c r="AB342" s="1484"/>
      <c r="AC342" s="1484"/>
      <c r="AD342" s="1484"/>
      <c r="AE342" s="1484"/>
      <c r="AF342" s="1484"/>
      <c r="AG342" s="1484"/>
      <c r="AH342" s="1484"/>
      <c r="AI342" s="1423"/>
      <c r="AJ342" s="1448"/>
      <c r="AK342" s="1423"/>
      <c r="AL342" s="1423"/>
      <c r="AM342" s="1423"/>
      <c r="AN342" s="1423"/>
      <c r="AO342" s="1423"/>
      <c r="AP342" s="1449"/>
      <c r="AQ342" s="1423"/>
      <c r="AR342" s="1423"/>
      <c r="AS342" s="1421"/>
      <c r="AT342" s="1421"/>
      <c r="AU342" s="1421"/>
      <c r="AV342" s="1421"/>
      <c r="AW342" s="1421"/>
      <c r="AX342" s="1421"/>
      <c r="AY342" s="1421"/>
    </row>
    <row r="343" spans="1:51" hidden="1" outlineLevel="1">
      <c r="A343" s="1421"/>
      <c r="B343" s="1421"/>
      <c r="C343" s="1421"/>
      <c r="D343" s="1421"/>
      <c r="E343" s="1421"/>
      <c r="F343" s="1421"/>
      <c r="G343" s="1421"/>
      <c r="H343" s="1421"/>
      <c r="I343" s="1421"/>
      <c r="J343" s="1421"/>
      <c r="K343" s="1421"/>
      <c r="L343" s="1421"/>
      <c r="M343" s="1421"/>
      <c r="N343" s="1421"/>
      <c r="O343" s="1421"/>
      <c r="P343" s="1421"/>
      <c r="Q343" s="1421"/>
      <c r="R343" s="1421"/>
      <c r="S343" s="1421"/>
      <c r="T343" s="1421"/>
      <c r="U343" s="1421"/>
      <c r="V343" s="1421"/>
      <c r="W343" s="1421"/>
      <c r="X343" s="1421"/>
      <c r="Y343" s="1421"/>
      <c r="Z343" s="1421"/>
      <c r="AA343" s="1421"/>
      <c r="AB343" s="1421"/>
      <c r="AC343" s="1421"/>
      <c r="AD343" s="1421"/>
      <c r="AE343" s="1421"/>
      <c r="AF343" s="1421"/>
      <c r="AG343" s="1421"/>
      <c r="AH343" s="1421"/>
      <c r="AI343" s="1423"/>
      <c r="AJ343" s="1448"/>
      <c r="AK343" s="1423"/>
      <c r="AL343" s="1423"/>
      <c r="AM343" s="1423"/>
      <c r="AN343" s="1423"/>
      <c r="AO343" s="1423"/>
      <c r="AP343" s="1449"/>
      <c r="AQ343" s="1423"/>
      <c r="AR343" s="1423"/>
      <c r="AS343" s="1421"/>
      <c r="AT343" s="1421"/>
      <c r="AU343" s="1421"/>
      <c r="AV343" s="1421"/>
      <c r="AW343" s="1421"/>
      <c r="AX343" s="1421"/>
      <c r="AY343" s="1421"/>
    </row>
    <row r="344" spans="1:51" hidden="1" outlineLevel="1">
      <c r="A344" s="1450" t="s">
        <v>148</v>
      </c>
      <c r="B344" s="1451"/>
      <c r="C344" s="1451"/>
      <c r="D344" s="1451"/>
      <c r="E344" s="1451"/>
      <c r="F344" s="1451"/>
      <c r="G344" s="1451"/>
      <c r="H344" s="1451"/>
      <c r="I344" s="1451"/>
      <c r="J344" s="1451"/>
      <c r="K344" s="1451"/>
      <c r="L344" s="1451"/>
      <c r="M344" s="1451"/>
      <c r="N344" s="1451"/>
      <c r="O344" s="1545">
        <v>115</v>
      </c>
      <c r="P344" s="1451">
        <f t="shared" ref="P344:U344" si="318">+P319/P335</f>
        <v>201.27665099167211</v>
      </c>
      <c r="Q344" s="1451">
        <f t="shared" si="318"/>
        <v>188.91075003834032</v>
      </c>
      <c r="R344" s="1451">
        <f t="shared" si="318"/>
        <v>188.30191042906355</v>
      </c>
      <c r="S344" s="1451">
        <f t="shared" si="318"/>
        <v>197.20457433290977</v>
      </c>
      <c r="T344" s="1451">
        <f t="shared" si="318"/>
        <v>82.551000582863821</v>
      </c>
      <c r="U344" s="1451">
        <f t="shared" si="318"/>
        <v>153.89185185011391</v>
      </c>
      <c r="V344" s="1451"/>
      <c r="W344" s="1451"/>
      <c r="X344" s="1451"/>
      <c r="Y344" s="1451"/>
      <c r="Z344" s="1451"/>
      <c r="AA344" s="1451"/>
      <c r="AB344" s="1451"/>
      <c r="AC344" s="1451"/>
      <c r="AD344" s="1451"/>
      <c r="AE344" s="1451"/>
      <c r="AF344" s="1451"/>
      <c r="AG344" s="1451"/>
      <c r="AH344" s="1451"/>
      <c r="AI344" s="1423"/>
      <c r="AJ344" s="1448"/>
      <c r="AK344" s="1453"/>
      <c r="AL344" s="1454"/>
      <c r="AM344" s="1455"/>
      <c r="AN344" s="1454"/>
      <c r="AO344" s="1455"/>
      <c r="AP344" s="1459"/>
      <c r="AQ344" s="1454"/>
      <c r="AR344" s="1423"/>
      <c r="AS344" s="1540"/>
      <c r="AT344" s="1421"/>
      <c r="AU344" s="1421"/>
      <c r="AV344" s="1421"/>
      <c r="AW344" s="1421"/>
      <c r="AX344" s="1421"/>
      <c r="AY344" s="1421"/>
    </row>
    <row r="345" spans="1:51" hidden="1" outlineLevel="1">
      <c r="A345" s="1450" t="s">
        <v>191</v>
      </c>
      <c r="B345" s="1484"/>
      <c r="C345" s="1484"/>
      <c r="D345" s="1484"/>
      <c r="E345" s="1484"/>
      <c r="F345" s="1484"/>
      <c r="G345" s="1484"/>
      <c r="H345" s="1484"/>
      <c r="I345" s="1484"/>
      <c r="J345" s="1484"/>
      <c r="K345" s="1484"/>
      <c r="L345" s="1484"/>
      <c r="M345" s="1484"/>
      <c r="N345" s="1484"/>
      <c r="O345" s="1484"/>
      <c r="P345" s="1484">
        <f t="shared" ref="P345:U345" si="319">P344/O344-1</f>
        <v>0.75023174775367063</v>
      </c>
      <c r="Q345" s="1484">
        <f t="shared" si="319"/>
        <v>-6.1437334595970783E-2</v>
      </c>
      <c r="R345" s="1484">
        <f t="shared" si="319"/>
        <v>-3.2228955162858508E-3</v>
      </c>
      <c r="S345" s="1484">
        <f t="shared" si="319"/>
        <v>4.7278670107810727E-2</v>
      </c>
      <c r="T345" s="1484">
        <f t="shared" si="319"/>
        <v>-0.58139408853921504</v>
      </c>
      <c r="U345" s="1484">
        <f t="shared" si="319"/>
        <v>0.86420335021425809</v>
      </c>
      <c r="V345" s="1484"/>
      <c r="W345" s="1484"/>
      <c r="X345" s="1484"/>
      <c r="Y345" s="1484"/>
      <c r="Z345" s="1484"/>
      <c r="AA345" s="1484"/>
      <c r="AB345" s="1484"/>
      <c r="AC345" s="1484"/>
      <c r="AD345" s="1484"/>
      <c r="AE345" s="1484"/>
      <c r="AF345" s="1484"/>
      <c r="AG345" s="1484"/>
      <c r="AH345" s="1484"/>
      <c r="AI345" s="1423"/>
      <c r="AJ345" s="1448"/>
      <c r="AK345" s="1423"/>
      <c r="AL345" s="1423"/>
      <c r="AM345" s="1423"/>
      <c r="AN345" s="1423"/>
      <c r="AO345" s="1423"/>
      <c r="AP345" s="1449"/>
      <c r="AQ345" s="1423"/>
      <c r="AR345" s="1423"/>
      <c r="AS345" s="1421"/>
      <c r="AT345" s="1421"/>
      <c r="AU345" s="1421"/>
      <c r="AV345" s="1421"/>
      <c r="AW345" s="1421"/>
      <c r="AX345" s="1421"/>
      <c r="AY345" s="1421"/>
    </row>
    <row r="346" spans="1:51" hidden="1" outlineLevel="1">
      <c r="A346" s="1421"/>
      <c r="B346" s="1421"/>
      <c r="C346" s="1421"/>
      <c r="D346" s="1421"/>
      <c r="E346" s="1421"/>
      <c r="F346" s="1421"/>
      <c r="G346" s="1421"/>
      <c r="H346" s="1421"/>
      <c r="I346" s="1421"/>
      <c r="J346" s="1421"/>
      <c r="K346" s="1421"/>
      <c r="L346" s="1421"/>
      <c r="M346" s="1421"/>
      <c r="N346" s="1421"/>
      <c r="O346" s="1421"/>
      <c r="P346" s="1421"/>
      <c r="Q346" s="1421"/>
      <c r="R346" s="1421"/>
      <c r="S346" s="1421"/>
      <c r="T346" s="1421"/>
      <c r="U346" s="1421"/>
      <c r="V346" s="1421"/>
      <c r="W346" s="1421"/>
      <c r="X346" s="1421"/>
      <c r="Y346" s="1421"/>
      <c r="Z346" s="1421"/>
      <c r="AA346" s="1421"/>
      <c r="AB346" s="1421"/>
      <c r="AC346" s="1421"/>
      <c r="AD346" s="1421"/>
      <c r="AE346" s="1421"/>
      <c r="AF346" s="1421"/>
      <c r="AG346" s="1421"/>
      <c r="AH346" s="1421"/>
      <c r="AI346" s="1423"/>
      <c r="AJ346" s="1448"/>
      <c r="AK346" s="1423"/>
      <c r="AL346" s="1423"/>
      <c r="AM346" s="1423"/>
      <c r="AN346" s="1423"/>
      <c r="AO346" s="1423"/>
      <c r="AP346" s="1449"/>
      <c r="AQ346" s="1423"/>
      <c r="AR346" s="1423"/>
      <c r="AS346" s="1421"/>
      <c r="AT346" s="1421"/>
      <c r="AU346" s="1421"/>
      <c r="AV346" s="1421"/>
      <c r="AW346" s="1421"/>
      <c r="AX346" s="1421"/>
      <c r="AY346" s="1421"/>
    </row>
    <row r="347" spans="1:51" hidden="1" outlineLevel="1">
      <c r="A347" s="1450" t="s">
        <v>506</v>
      </c>
      <c r="B347" s="1484"/>
      <c r="C347" s="1484"/>
      <c r="D347" s="1484"/>
      <c r="E347" s="1484"/>
      <c r="F347" s="1484"/>
      <c r="G347" s="1484"/>
      <c r="H347" s="1541"/>
      <c r="I347" s="1541"/>
      <c r="J347" s="1541"/>
      <c r="K347" s="1541"/>
      <c r="L347" s="1525"/>
      <c r="M347" s="1525"/>
      <c r="N347" s="1525"/>
      <c r="O347" s="1525"/>
      <c r="P347" s="1525" t="s">
        <v>642</v>
      </c>
      <c r="Q347" s="1525">
        <f>SegqtrSales!$F$851/100</f>
        <v>0</v>
      </c>
      <c r="R347" s="1525">
        <f>SegqtrSales!$F$858/100</f>
        <v>0</v>
      </c>
      <c r="S347" s="1525">
        <f>SegqtrSales!$F$865/100</f>
        <v>0</v>
      </c>
      <c r="T347" s="1525">
        <f>SegqtrSales!F872*0.01</f>
        <v>0</v>
      </c>
      <c r="U347" s="1541">
        <v>0.03</v>
      </c>
      <c r="V347" s="1541">
        <v>0.03</v>
      </c>
      <c r="W347" s="1541">
        <v>0.03</v>
      </c>
      <c r="X347" s="1541">
        <v>0.03</v>
      </c>
      <c r="Y347" s="1541">
        <v>0.03</v>
      </c>
      <c r="Z347" s="1541">
        <v>0.03</v>
      </c>
      <c r="AA347" s="1541">
        <v>0.03</v>
      </c>
      <c r="AB347" s="1541">
        <v>0.03</v>
      </c>
      <c r="AC347" s="1541">
        <v>0.03</v>
      </c>
      <c r="AD347" s="1541">
        <v>0.03</v>
      </c>
      <c r="AE347" s="1541">
        <v>0.03</v>
      </c>
      <c r="AF347" s="1541">
        <v>0.03</v>
      </c>
      <c r="AG347" s="1541">
        <v>0.03</v>
      </c>
      <c r="AH347" s="1541">
        <v>0.03</v>
      </c>
      <c r="AI347" s="1490"/>
      <c r="AJ347" s="1491"/>
      <c r="AK347" s="1423"/>
      <c r="AL347" s="1423"/>
      <c r="AM347" s="1423"/>
      <c r="AN347" s="1423"/>
      <c r="AO347" s="1423"/>
      <c r="AP347" s="1449"/>
      <c r="AQ347" s="1423"/>
      <c r="AR347" s="1423"/>
      <c r="AS347" s="1421"/>
      <c r="AT347" s="1421"/>
      <c r="AU347" s="1421"/>
      <c r="AV347" s="1421"/>
      <c r="AW347" s="1421"/>
      <c r="AX347" s="1421"/>
      <c r="AY347" s="1421"/>
    </row>
    <row r="348" spans="1:51" hidden="1" outlineLevel="1">
      <c r="A348" s="1450" t="s">
        <v>365</v>
      </c>
      <c r="B348" s="1484"/>
      <c r="C348" s="1484"/>
      <c r="D348" s="1484"/>
      <c r="E348" s="1484"/>
      <c r="F348" s="1484"/>
      <c r="G348" s="1484"/>
      <c r="H348" s="1541"/>
      <c r="I348" s="1541"/>
      <c r="J348" s="1541"/>
      <c r="K348" s="1525"/>
      <c r="L348" s="1525"/>
      <c r="M348" s="1525"/>
      <c r="N348" s="1525"/>
      <c r="O348" s="1525"/>
      <c r="P348" s="1525"/>
      <c r="Q348" s="1525">
        <f>+Q320-Q347</f>
        <v>-7.1483392243174571E-3</v>
      </c>
      <c r="R348" s="1525">
        <f>+R320-R347</f>
        <v>4.2096505823627117E-2</v>
      </c>
      <c r="S348" s="1525">
        <f>+S320-S347</f>
        <v>3.2519027090318842E-2</v>
      </c>
      <c r="T348" s="1525">
        <f>+T320-T347</f>
        <v>-0.58934600515463909</v>
      </c>
      <c r="U348" s="1525">
        <f>+U352*U336</f>
        <v>-0.10025257431513504</v>
      </c>
      <c r="V348" s="1525">
        <f>+V352*V336</f>
        <v>-0.6</v>
      </c>
      <c r="W348" s="1525">
        <f>+W352*W336</f>
        <v>0</v>
      </c>
      <c r="X348" s="1525"/>
      <c r="Y348" s="1525"/>
      <c r="Z348" s="1525"/>
      <c r="AA348" s="1525"/>
      <c r="AB348" s="1525"/>
      <c r="AC348" s="1525"/>
      <c r="AD348" s="1525"/>
      <c r="AE348" s="1525"/>
      <c r="AF348" s="1525"/>
      <c r="AG348" s="1525"/>
      <c r="AH348" s="1525"/>
      <c r="AI348" s="1490"/>
      <c r="AJ348" s="1491"/>
      <c r="AK348" s="1423"/>
      <c r="AL348" s="1423"/>
      <c r="AM348" s="1423"/>
      <c r="AN348" s="1423"/>
      <c r="AO348" s="1423"/>
      <c r="AP348" s="1449"/>
      <c r="AQ348" s="1423"/>
      <c r="AR348" s="1423"/>
      <c r="AS348" s="1421"/>
      <c r="AT348" s="1421"/>
      <c r="AU348" s="1421"/>
      <c r="AV348" s="1421"/>
      <c r="AW348" s="1421"/>
      <c r="AX348" s="1421"/>
      <c r="AY348" s="1421"/>
    </row>
    <row r="349" spans="1:51" hidden="1" outlineLevel="1">
      <c r="A349" s="1421"/>
      <c r="B349" s="1421"/>
      <c r="C349" s="1421"/>
      <c r="D349" s="1421"/>
      <c r="E349" s="1421"/>
      <c r="F349" s="1421"/>
      <c r="G349" s="1421"/>
      <c r="H349" s="1421"/>
      <c r="I349" s="1421"/>
      <c r="J349" s="1421"/>
      <c r="K349" s="1421"/>
      <c r="L349" s="1421"/>
      <c r="M349" s="1421"/>
      <c r="N349" s="1421"/>
      <c r="O349" s="1421"/>
      <c r="P349" s="1421"/>
      <c r="Q349" s="1421"/>
      <c r="R349" s="1421"/>
      <c r="S349" s="1421"/>
      <c r="T349" s="1421"/>
      <c r="U349" s="1421"/>
      <c r="V349" s="1421"/>
      <c r="W349" s="1421"/>
      <c r="X349" s="1421"/>
      <c r="Y349" s="1421"/>
      <c r="Z349" s="1421"/>
      <c r="AA349" s="1421"/>
      <c r="AB349" s="1421"/>
      <c r="AC349" s="1421"/>
      <c r="AD349" s="1421"/>
      <c r="AE349" s="1421"/>
      <c r="AF349" s="1421"/>
      <c r="AG349" s="1421"/>
      <c r="AH349" s="1421"/>
      <c r="AI349" s="1423"/>
      <c r="AJ349" s="1448"/>
      <c r="AK349" s="1423"/>
      <c r="AL349" s="1423"/>
      <c r="AM349" s="1423"/>
      <c r="AN349" s="1423"/>
      <c r="AO349" s="1423"/>
      <c r="AP349" s="1449"/>
      <c r="AQ349" s="1423"/>
      <c r="AR349" s="1423"/>
      <c r="AS349" s="1421"/>
      <c r="AT349" s="1421"/>
      <c r="AU349" s="1421"/>
      <c r="AV349" s="1421"/>
      <c r="AW349" s="1421"/>
      <c r="AX349" s="1421"/>
      <c r="AY349" s="1421"/>
    </row>
    <row r="350" spans="1:51" hidden="1" outlineLevel="1">
      <c r="A350" s="1450" t="s">
        <v>432</v>
      </c>
      <c r="B350" s="1482"/>
      <c r="C350" s="1482"/>
      <c r="D350" s="1482"/>
      <c r="E350" s="1482"/>
      <c r="F350" s="1482"/>
      <c r="G350" s="1482"/>
      <c r="H350" s="1482"/>
      <c r="I350" s="1482"/>
      <c r="J350" s="1482"/>
      <c r="K350" s="1482"/>
      <c r="L350" s="1482"/>
      <c r="M350" s="1482"/>
      <c r="N350" s="1482"/>
      <c r="O350" s="1482"/>
      <c r="P350" s="1482">
        <v>40000</v>
      </c>
      <c r="Q350" s="1482">
        <f>+(Q338-P338)*1000000/(Q328-Q325)</f>
        <v>43953.118279569819</v>
      </c>
      <c r="R350" s="1482">
        <f>+(R338-Q338)*1000000/(R328-R325)</f>
        <v>7000.0000000001173</v>
      </c>
      <c r="S350" s="1482">
        <f>+(S338-R338)*1000000/(S328-S325)</f>
        <v>26000.000000000022</v>
      </c>
      <c r="T350" s="1482">
        <f>S350</f>
        <v>26000.000000000022</v>
      </c>
      <c r="U350" s="1482"/>
      <c r="V350" s="1482"/>
      <c r="W350" s="1482"/>
      <c r="X350" s="1482"/>
      <c r="Y350" s="1482"/>
      <c r="Z350" s="1482"/>
      <c r="AA350" s="1482"/>
      <c r="AB350" s="1482"/>
      <c r="AC350" s="1482"/>
      <c r="AD350" s="1482"/>
      <c r="AE350" s="1482"/>
      <c r="AF350" s="1482"/>
      <c r="AG350" s="1482"/>
      <c r="AH350" s="1482"/>
      <c r="AI350" s="1478"/>
      <c r="AJ350" s="1479"/>
      <c r="AK350" s="1478"/>
      <c r="AL350" s="1478"/>
      <c r="AM350" s="1423"/>
      <c r="AN350" s="1478"/>
      <c r="AO350" s="1423"/>
      <c r="AP350" s="1449"/>
      <c r="AQ350" s="1423"/>
      <c r="AR350" s="1423"/>
      <c r="AS350" s="1421"/>
      <c r="AT350" s="1421"/>
      <c r="AU350" s="1421"/>
      <c r="AV350" s="1421"/>
      <c r="AW350" s="1421"/>
      <c r="AX350" s="1421"/>
      <c r="AY350" s="1421"/>
    </row>
    <row r="351" spans="1:51" hidden="1" outlineLevel="1">
      <c r="A351" s="1421"/>
      <c r="B351" s="1421"/>
      <c r="C351" s="1421"/>
      <c r="D351" s="1421"/>
      <c r="E351" s="1421"/>
      <c r="F351" s="1421"/>
      <c r="G351" s="1421"/>
      <c r="H351" s="1421"/>
      <c r="I351" s="1421"/>
      <c r="J351" s="1421"/>
      <c r="K351" s="1421"/>
      <c r="L351" s="1526"/>
      <c r="M351" s="1421"/>
      <c r="N351" s="1421"/>
      <c r="O351" s="1421"/>
      <c r="P351" s="1421"/>
      <c r="Q351" s="1421"/>
      <c r="R351" s="1421"/>
      <c r="S351" s="1421"/>
      <c r="T351" s="1421"/>
      <c r="U351" s="1421"/>
      <c r="V351" s="1421"/>
      <c r="W351" s="1421"/>
      <c r="X351" s="1421"/>
      <c r="Y351" s="1421"/>
      <c r="Z351" s="1421"/>
      <c r="AA351" s="1421"/>
      <c r="AB351" s="1421"/>
      <c r="AC351" s="1421"/>
      <c r="AD351" s="1421"/>
      <c r="AE351" s="1421"/>
      <c r="AF351" s="1421"/>
      <c r="AG351" s="1421"/>
      <c r="AH351" s="1421"/>
      <c r="AI351" s="1423"/>
      <c r="AJ351" s="1448"/>
      <c r="AK351" s="1423"/>
      <c r="AL351" s="1423"/>
      <c r="AM351" s="1423"/>
      <c r="AN351" s="1423"/>
      <c r="AO351" s="1423"/>
      <c r="AP351" s="1449"/>
      <c r="AQ351" s="1423"/>
      <c r="AR351" s="1423"/>
      <c r="AS351" s="1421"/>
      <c r="AT351" s="1421"/>
      <c r="AU351" s="1421"/>
      <c r="AV351" s="1421"/>
      <c r="AW351" s="1421"/>
      <c r="AX351" s="1421"/>
      <c r="AY351" s="1421"/>
    </row>
    <row r="352" spans="1:51" hidden="1" outlineLevel="1">
      <c r="A352" s="1450" t="s">
        <v>507</v>
      </c>
      <c r="B352" s="1445"/>
      <c r="C352" s="1445"/>
      <c r="D352" s="1445"/>
      <c r="E352" s="1445"/>
      <c r="F352" s="1445"/>
      <c r="G352" s="1445"/>
      <c r="H352" s="1445"/>
      <c r="I352" s="1445"/>
      <c r="J352" s="1481"/>
      <c r="K352" s="1481"/>
      <c r="L352" s="1481"/>
      <c r="M352" s="1481"/>
      <c r="N352" s="1481"/>
      <c r="O352" s="1481"/>
      <c r="P352" s="1541"/>
      <c r="Q352" s="1525">
        <f>+Q348/Q336</f>
        <v>-0.12358239952052473</v>
      </c>
      <c r="R352" s="1525">
        <f>+R348/R336</f>
        <v>0.92589116235305657</v>
      </c>
      <c r="S352" s="1525">
        <f>+S348/S336</f>
        <v>-2.3074056333197461</v>
      </c>
      <c r="T352" s="1525">
        <f>+T348/T336</f>
        <v>31.024435187738995</v>
      </c>
      <c r="U352" s="1541">
        <v>0.2</v>
      </c>
      <c r="V352" s="1541">
        <v>0.6</v>
      </c>
      <c r="W352" s="1541">
        <v>0.6</v>
      </c>
      <c r="X352" s="1541">
        <v>0.6</v>
      </c>
      <c r="Y352" s="1541">
        <v>0.6</v>
      </c>
      <c r="Z352" s="1541">
        <v>0.6</v>
      </c>
      <c r="AA352" s="1541">
        <v>0.6</v>
      </c>
      <c r="AB352" s="1541">
        <v>0.6</v>
      </c>
      <c r="AC352" s="1541">
        <v>0.6</v>
      </c>
      <c r="AD352" s="1541">
        <v>0.6</v>
      </c>
      <c r="AE352" s="1541">
        <v>0.6</v>
      </c>
      <c r="AF352" s="1541">
        <v>0.6</v>
      </c>
      <c r="AG352" s="1541">
        <v>0.6</v>
      </c>
      <c r="AH352" s="1541">
        <v>0.6</v>
      </c>
      <c r="AI352" s="1423"/>
      <c r="AJ352" s="1493"/>
      <c r="AK352" s="1425"/>
      <c r="AL352" s="1425"/>
      <c r="AM352" s="1425"/>
      <c r="AN352" s="1425"/>
      <c r="AO352" s="1425"/>
      <c r="AP352" s="1494"/>
      <c r="AQ352" s="1423"/>
      <c r="AR352" s="1423"/>
      <c r="AS352" s="1421"/>
      <c r="AT352" s="1421"/>
      <c r="AU352" s="1421"/>
      <c r="AV352" s="1421"/>
      <c r="AW352" s="1421"/>
      <c r="AX352" s="1421"/>
      <c r="AY352" s="1421"/>
    </row>
    <row r="353" collapsed="1"/>
  </sheetData>
  <phoneticPr fontId="0" type="noConversion"/>
  <dataValidations count="1">
    <dataValidation type="custom" allowBlank="1" showInputMessage="1" showErrorMessage="1" sqref="AT57:AY59 AN114:AN119 AN160:AN165 AN173:AN177 AN95:AN104 AN111 AN66 AN69:AN91 AK314:AQ318 AK273:AQ277 AK345:AQ352 AK304:AQ311 AK179:AQ186 AK121:AQ131 AK263:AQ270 AK221:AQ228 AK106:AQ109 AK188:AQ193 AK139:AQ155 AK167:AQ168 AK195:AQ203 AK205:AQ210 AK212:AQ213 AK215:AQ219 AK4:AO5 AK237:AQ245 AK247:AQ252 AK254:AQ255 AK257:AQ261 AK60:AQ64 AK279:AQ286 AK288:AQ293 AK295:AQ296 AK298:AQ302 AK133:AQ137 AK320:AQ327 AK329:AQ334 AK336:AQ337 AK339:AQ343 AR57:AR59 AM157:AM165 AM111:AM119 AM93:AM104 AM66:AM91 D185:AI185 A29 AR273:IY311 C247:N255 B205:B228 C214:C228 C205:N213 O203:R223 B247:B270 K224:R225 L214:N223 AJ239:AJ270 G298:J308 F269:G270 H311:J311 G297:N297 C288:N296 B288:B311 C297:E311 A273:A311 AJ281:AJ311 F310:G311 G214:K214 L298:N305 I282:N287 K215:K223 D214:F225 D256:N256 AS53:AY53 B281:H287 G28 I228 F297:F308 D227:H228 A231:A270 L306:P306 K298:K306 D257:E270 A42 E165:L179 AJ133:AJ186 AK114:AL119 AK160:AL165 A188:A228 AJ188:AJ228 B165:C186 D156:N159 E180:J183 D165:D183 K180:N181 M160:N179 AK173:AL177 B48:O48 AK95:AL104 D133:J151 G89:J91 AK111:AL111 AK66:AL66 G86:J87 C87:F87 G82:J83 B82:B83 K7:L7 B7:J8 AJ60:AJ131 D125:O127 A60:A131 G119:O124 D118:F124 H198:N204 K151:N151 B133:C159 B197:G204 E245:J246 G240:J244 B239:D246 E239:F244 O156:R181 K240:K246 O247:R256 G130:H130 B86:B113 G215:J225 B160:L164 C256:C270 B118:B131 C118:C129 G339:J349 H352:J352 G338:N338 C329:N337 B329:B352 C338:E352 A314:A352 AJ322:AJ352 F351:G352 P328:R347 L339:N346 I323:N328 B322:H328 F338:F349 L347:O347 K339:K347 O328:O346 O287:P305 Q287:R306 AK69:AL91 A133:A186 K307:R308 K182:R183 F257:R267 AM170:AM177 K348:R349 L240:N245 AO170:AO177 AO157:AO165 AO111:AO119 AO93:AO104 AO66:AO91 AP69:AQ91 AP66:AQ66 AP111:AQ111 AP95:AQ104 AP173:AQ177 AP160:AQ165 AP114:AQ119 AR231:IY270 AS67:AY75 AR67:AR68 AR314:IY352 AR79:AR131 AR70:AR75 AS80:AY131 AR188:IY228 AR133:IY186 AR53:AR55 AT54:AY55 Z193:AA196 Z64:AA80 Z137:AA148 B60:Y80 Z60:AA62 K133:Y148 Z133:AA135 B188:Y196 Z188:AA191 B231:Y238 Z235:AA238 Z231:AA233 AB41:AH41 S247:AI267 S203:AI225 S156:AI183 AB231:AJ238 AB60:AI80 AB133:AI148 H269:AI269 I227:AI227 B273:AJ280 B314:AJ321 P119:AI127 AB188:AI196 H197:AI197 H310:AI310 I281:AI281 O198:AI201 B114:AI114 K87:AI87 B84:AI84 C92:AI113 C131:AI131 B116:AI116 O240:AI243 O245:AI245 L246:AI246 O282:AI285 D129:AI129 H351:AI351 I322:AI322 S328:AI349 O323:AI326 G239:AI239 D152:AI155 S287:AI308 P352:AI352 K8:AI8 AK231:AQ235">
      <formula1>-1</formula1>
    </dataValidation>
  </dataValidations>
  <printOptions horizontalCentered="1"/>
  <pageMargins left="0.15" right="0.14000000000000001" top="0.3" bottom="0.5" header="0.5" footer="0.5"/>
  <pageSetup scale="77" orientation="landscape" r:id="rId1"/>
  <headerFooter alignWithMargins="0"/>
  <rowBreaks count="1" manualBreakCount="1">
    <brk id="54" max="16383" man="1"/>
  </rowBreak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A1:CD132"/>
  <sheetViews>
    <sheetView zoomScaleNormal="100" workbookViewId="0">
      <selection activeCell="BH12" sqref="BH12"/>
    </sheetView>
  </sheetViews>
  <sheetFormatPr defaultRowHeight="12.75" outlineLevelRow="2" outlineLevelCol="2"/>
  <cols>
    <col min="1" max="1" width="1.85546875" style="451" customWidth="1"/>
    <col min="2" max="2" width="4" style="451" customWidth="1"/>
    <col min="3" max="3" width="27" style="451" customWidth="1"/>
    <col min="4" max="4" width="2.5703125" style="451" hidden="1" customWidth="1" outlineLevel="1"/>
    <col min="5" max="5" width="9.140625" style="451" hidden="1" customWidth="1" outlineLevel="2"/>
    <col min="6" max="6" width="1.5703125" style="451" hidden="1" customWidth="1" outlineLevel="2"/>
    <col min="7" max="7" width="9.140625" style="451" hidden="1" customWidth="1" outlineLevel="2"/>
    <col min="8" max="8" width="1.5703125" style="451" hidden="1" customWidth="1" outlineLevel="2"/>
    <col min="9" max="9" width="9.140625" style="451" hidden="1" customWidth="1" outlineLevel="2"/>
    <col min="10" max="10" width="1.5703125" style="451" hidden="1" customWidth="1" outlineLevel="2"/>
    <col min="11" max="11" width="9.140625" style="451" hidden="1" customWidth="1" outlineLevel="2"/>
    <col min="12" max="12" width="1.5703125" style="451" hidden="1" customWidth="1" outlineLevel="2"/>
    <col min="13" max="14" width="9.140625" style="451" hidden="1" customWidth="1" outlineLevel="2"/>
    <col min="15" max="15" width="1.5703125" style="451" hidden="1" customWidth="1" outlineLevel="2"/>
    <col min="16" max="16" width="9.140625" style="451" hidden="1" customWidth="1" outlineLevel="2"/>
    <col min="17" max="17" width="1.5703125" style="451" hidden="1" customWidth="1" outlineLevel="2"/>
    <col min="18" max="18" width="9.140625" style="451" hidden="1" customWidth="1" outlineLevel="2"/>
    <col min="19" max="19" width="1.5703125" style="451" hidden="1" customWidth="1" outlineLevel="2"/>
    <col min="20" max="20" width="9.140625" style="451" hidden="1" customWidth="1" outlineLevel="2"/>
    <col min="21" max="21" width="2.28515625" style="451" hidden="1" customWidth="1" outlineLevel="2"/>
    <col min="22" max="22" width="9.140625" style="451" hidden="1" customWidth="1" outlineLevel="2"/>
    <col min="23" max="23" width="0.85546875" style="451" hidden="1" customWidth="1" outlineLevel="2"/>
    <col min="24" max="24" width="9.140625" style="451" hidden="1" customWidth="1" outlineLevel="2"/>
    <col min="25" max="25" width="1.140625" style="451" hidden="1" customWidth="1" outlineLevel="2"/>
    <col min="26" max="26" width="9.140625" style="451" hidden="1" customWidth="1" outlineLevel="2" collapsed="1"/>
    <col min="27" max="27" width="1.140625" style="451" hidden="1" customWidth="1" outlineLevel="2"/>
    <col min="28" max="28" width="8.42578125" style="451" hidden="1" customWidth="1" outlineLevel="2" collapsed="1"/>
    <col min="29" max="29" width="1.140625" style="451" hidden="1" customWidth="1" outlineLevel="2"/>
    <col min="30" max="30" width="8.42578125" style="451" hidden="1" customWidth="1" outlineLevel="2" collapsed="1"/>
    <col min="31" max="31" width="0.85546875" style="451" hidden="1" customWidth="1" outlineLevel="2"/>
    <col min="32" max="32" width="8.42578125" style="451" hidden="1" customWidth="1" outlineLevel="2"/>
    <col min="33" max="33" width="1" style="451" hidden="1" customWidth="1" outlineLevel="2"/>
    <col min="34" max="34" width="10.7109375" style="451" hidden="1" customWidth="1" outlineLevel="1" collapsed="1"/>
    <col min="35" max="35" width="1" style="451" hidden="1" customWidth="1" outlineLevel="1"/>
    <col min="36" max="36" width="10.7109375" style="451" hidden="1" customWidth="1" outlineLevel="1"/>
    <col min="37" max="37" width="0.85546875" style="451" hidden="1" customWidth="1" outlineLevel="1"/>
    <col min="38" max="38" width="10.7109375" style="451" hidden="1" customWidth="1" outlineLevel="1"/>
    <col min="39" max="39" width="0.85546875" style="451" hidden="1" customWidth="1" outlineLevel="1"/>
    <col min="40" max="40" width="10.7109375" style="451" hidden="1" customWidth="1" outlineLevel="1"/>
    <col min="41" max="41" width="0.85546875" style="451" hidden="1" customWidth="1" outlineLevel="1"/>
    <col min="42" max="42" width="10.7109375" style="451" hidden="1" customWidth="1" outlineLevel="1"/>
    <col min="43" max="43" width="0.85546875" style="451" customWidth="1" collapsed="1"/>
    <col min="44" max="44" width="9" style="451" customWidth="1" outlineLevel="1"/>
    <col min="45" max="45" width="0.85546875" style="451" customWidth="1" outlineLevel="1"/>
    <col min="46" max="46" width="8.85546875" style="451" customWidth="1" outlineLevel="1"/>
    <col min="47" max="47" width="0.85546875" style="451" customWidth="1" outlineLevel="1"/>
    <col min="48" max="48" width="8.85546875" style="451" customWidth="1" outlineLevel="1"/>
    <col min="49" max="49" width="0.85546875" style="451" customWidth="1" outlineLevel="1"/>
    <col min="50" max="50" width="8.85546875" style="451" customWidth="1" outlineLevel="1"/>
    <col min="51" max="51" width="0.85546875" style="451" customWidth="1" outlineLevel="1"/>
    <col min="52" max="52" width="10.140625" style="451" customWidth="1" outlineLevel="1"/>
    <col min="53" max="53" width="0.85546875" style="451" customWidth="1" outlineLevel="1"/>
    <col min="54" max="54" width="10.42578125" style="451" customWidth="1" outlineLevel="1"/>
    <col min="55" max="55" width="0.85546875" style="451" customWidth="1"/>
    <col min="56" max="56" width="10.7109375" style="451" customWidth="1"/>
    <col min="57" max="57" width="0.85546875" style="451" customWidth="1"/>
    <col min="58" max="58" width="10.7109375" style="451" customWidth="1"/>
    <col min="59" max="59" width="0.85546875" style="451" customWidth="1"/>
    <col min="60" max="60" width="9.42578125" style="451" bestFit="1" customWidth="1"/>
    <col min="61" max="61" width="0.85546875" style="451" customWidth="1"/>
    <col min="62" max="62" width="9.42578125" style="451" bestFit="1" customWidth="1"/>
    <col min="63" max="63" width="0.85546875" style="451" customWidth="1"/>
    <col min="64" max="64" width="10.5703125" style="451" customWidth="1"/>
    <col min="65" max="65" width="1" style="451" customWidth="1"/>
    <col min="66" max="66" width="9.140625" style="451"/>
    <col min="67" max="67" width="1" style="451" customWidth="1"/>
    <col min="68" max="68" width="9.140625" style="451"/>
    <col min="69" max="69" width="1" style="451" customWidth="1"/>
    <col min="70" max="76" width="9.140625" style="451"/>
    <col min="77" max="77" width="18.85546875" customWidth="1"/>
    <col min="83" max="16384" width="9.140625" style="451"/>
  </cols>
  <sheetData>
    <row r="1" spans="1:76">
      <c r="A1" s="1774" t="str">
        <f>sumry!A1</f>
        <v>TJX Companies</v>
      </c>
      <c r="B1" s="1775"/>
      <c r="D1" s="1775"/>
      <c r="E1" s="1776"/>
      <c r="F1" s="1775"/>
      <c r="G1" s="1776"/>
      <c r="H1" s="1775"/>
      <c r="I1" s="1776"/>
      <c r="J1" s="1775"/>
      <c r="K1" s="1776"/>
      <c r="L1" s="1775"/>
      <c r="M1" s="1776"/>
      <c r="N1" s="1776"/>
      <c r="O1" s="1775"/>
      <c r="P1" s="1776"/>
      <c r="Q1" s="1775"/>
      <c r="R1" s="1775"/>
      <c r="S1" s="1775"/>
      <c r="T1" s="1776"/>
      <c r="U1" s="1775"/>
      <c r="V1" s="1775"/>
      <c r="W1" s="1775"/>
      <c r="X1" s="1776"/>
      <c r="Y1" s="1775"/>
      <c r="Z1" s="1776"/>
      <c r="AA1" s="1775"/>
      <c r="AB1" s="1776"/>
      <c r="AC1" s="1775"/>
      <c r="AD1" s="1776"/>
      <c r="AE1" s="1775"/>
      <c r="AF1" s="1776"/>
      <c r="AG1" s="1775"/>
      <c r="AH1" s="1776"/>
      <c r="AI1" s="1775"/>
      <c r="AJ1" s="1776"/>
      <c r="AK1" s="1775"/>
      <c r="AL1" s="1848"/>
      <c r="AM1" s="1775"/>
      <c r="AN1" s="1779"/>
      <c r="AO1" s="1775"/>
      <c r="AP1" s="1779"/>
      <c r="AQ1" s="1775"/>
      <c r="AR1" s="1779"/>
      <c r="AS1" s="1775"/>
      <c r="AT1" s="1779"/>
      <c r="AU1" s="1775"/>
      <c r="AV1" s="1779"/>
      <c r="AW1" s="1775"/>
      <c r="AX1" s="1779"/>
      <c r="AY1" s="1775"/>
      <c r="AZ1" s="1779"/>
      <c r="BA1" s="1775" t="s">
        <v>164</v>
      </c>
      <c r="BB1" s="1779"/>
      <c r="BC1" s="1775"/>
      <c r="BD1" s="1779"/>
      <c r="BE1" s="1775"/>
      <c r="BF1" s="1779"/>
      <c r="BG1" s="1775"/>
      <c r="BH1" s="1779"/>
      <c r="BI1" s="1775"/>
      <c r="BJ1" s="1779"/>
      <c r="BK1" s="1775"/>
      <c r="BL1" s="1779"/>
      <c r="BM1" s="1779"/>
      <c r="BN1" s="1775"/>
      <c r="BO1" s="1779"/>
      <c r="BP1" s="1775"/>
      <c r="BQ1" s="1779"/>
      <c r="BR1" s="1775"/>
      <c r="BS1" s="1775"/>
      <c r="BT1" s="1775"/>
      <c r="BU1" s="1775"/>
      <c r="BV1" s="1775"/>
      <c r="BW1" s="1775"/>
      <c r="BX1" s="1775"/>
    </row>
    <row r="2" spans="1:76">
      <c r="A2" s="1780" t="s">
        <v>535</v>
      </c>
      <c r="B2" s="1780"/>
      <c r="C2" s="1780"/>
      <c r="D2" s="1780"/>
      <c r="E2" s="1781"/>
      <c r="F2" s="1780"/>
      <c r="G2" s="1781"/>
      <c r="H2" s="1780"/>
      <c r="I2" s="1781"/>
      <c r="J2" s="1780"/>
      <c r="K2" s="1781"/>
      <c r="L2" s="1780"/>
      <c r="M2" s="1781"/>
      <c r="N2" s="1781"/>
      <c r="O2" s="1780"/>
      <c r="P2" s="1781"/>
      <c r="Q2" s="1780"/>
      <c r="R2" s="1780"/>
      <c r="S2" s="1780"/>
      <c r="T2" s="1781"/>
      <c r="U2" s="1780"/>
      <c r="V2" s="1780"/>
      <c r="W2" s="1780"/>
      <c r="X2" s="1781"/>
      <c r="Y2" s="1780"/>
      <c r="Z2" s="1781"/>
      <c r="AA2" s="1780"/>
      <c r="AB2" s="1781"/>
      <c r="AC2" s="1780"/>
      <c r="AD2" s="1781"/>
      <c r="AE2" s="1780"/>
      <c r="AF2" s="1781"/>
      <c r="AG2" s="1780"/>
      <c r="AH2" s="1781"/>
      <c r="AI2" s="1780"/>
      <c r="AJ2" s="1781"/>
      <c r="AK2" s="1781"/>
      <c r="AL2" s="1781"/>
      <c r="AM2" s="1781"/>
      <c r="AN2" s="1781"/>
      <c r="AO2" s="1780"/>
      <c r="AP2" s="1849"/>
      <c r="AQ2" s="1780"/>
      <c r="AR2" s="1849"/>
      <c r="AS2" s="1780"/>
      <c r="AT2" s="1849"/>
      <c r="AU2" s="1780"/>
      <c r="AV2" s="1849"/>
      <c r="AW2" s="1849"/>
      <c r="AX2" s="1849"/>
      <c r="AY2" s="1849"/>
      <c r="AZ2" s="1849"/>
      <c r="BA2" s="1780"/>
      <c r="BB2" s="1849"/>
      <c r="BC2" s="1780"/>
      <c r="BD2" s="1781"/>
      <c r="BE2" s="1780"/>
      <c r="BF2" s="1781"/>
      <c r="BG2" s="1780"/>
      <c r="BH2" s="1781"/>
      <c r="BI2" s="1780"/>
      <c r="BJ2" s="1781"/>
      <c r="BK2" s="1780"/>
      <c r="BL2" s="1781"/>
      <c r="BM2" s="1778"/>
      <c r="BN2" s="1775"/>
      <c r="BO2" s="1778"/>
      <c r="BP2" s="1775"/>
      <c r="BQ2" s="1778"/>
      <c r="BR2" s="1775"/>
      <c r="BS2" s="1775"/>
      <c r="BT2" s="1775"/>
      <c r="BU2" s="1775"/>
      <c r="BV2" s="1775"/>
      <c r="BW2" s="1775"/>
      <c r="BX2" s="1775"/>
    </row>
    <row r="3" spans="1:76">
      <c r="A3" s="1850" t="s">
        <v>71</v>
      </c>
      <c r="B3" s="1782"/>
      <c r="C3" s="1783"/>
      <c r="D3" s="1783"/>
      <c r="E3" s="1783"/>
      <c r="F3" s="1783"/>
      <c r="G3" s="1783"/>
      <c r="H3" s="1783"/>
      <c r="I3" s="1783"/>
      <c r="J3" s="1783"/>
      <c r="K3" s="1783"/>
      <c r="L3" s="1783"/>
      <c r="M3" s="1783"/>
      <c r="N3" s="1783"/>
      <c r="O3" s="1783"/>
      <c r="P3" s="1783"/>
      <c r="Q3" s="1783"/>
      <c r="R3" s="1783"/>
      <c r="S3" s="1783"/>
      <c r="T3" s="1783"/>
      <c r="U3" s="1783"/>
      <c r="V3" s="1783"/>
      <c r="W3" s="1783"/>
      <c r="X3" s="1783"/>
      <c r="Y3" s="1783"/>
      <c r="Z3" s="1783"/>
      <c r="AA3" s="1783"/>
      <c r="AB3" s="1783"/>
      <c r="AC3" s="1783"/>
      <c r="AD3" s="1783"/>
      <c r="AE3" s="1783"/>
      <c r="AF3" s="1783"/>
      <c r="AG3" s="1783"/>
      <c r="AH3" s="1783"/>
      <c r="AI3" s="1783"/>
      <c r="AJ3" s="1851"/>
      <c r="AK3" s="1851"/>
      <c r="AL3" s="1851"/>
      <c r="AM3" s="1851"/>
      <c r="AN3" s="1851"/>
      <c r="AO3" s="1783"/>
      <c r="AP3" s="1852"/>
      <c r="AQ3" s="1783"/>
      <c r="AR3" s="1852"/>
      <c r="AS3" s="1783"/>
      <c r="AT3" s="1852"/>
      <c r="AU3" s="1783"/>
      <c r="AV3" s="1852"/>
      <c r="AW3" s="1783"/>
      <c r="AX3" s="1852"/>
      <c r="AY3" s="1783"/>
      <c r="AZ3" s="1852"/>
      <c r="BA3" s="1783"/>
      <c r="BB3" s="1852"/>
      <c r="BC3" s="1783"/>
      <c r="BD3" s="1783"/>
      <c r="BE3" s="1783"/>
      <c r="BF3" s="1783"/>
      <c r="BG3" s="1783"/>
      <c r="BH3" s="1783"/>
      <c r="BI3" s="1783"/>
      <c r="BJ3" s="1783"/>
      <c r="BK3" s="1783"/>
      <c r="BL3" s="1783"/>
      <c r="BM3" s="1783"/>
      <c r="BN3" s="1783"/>
      <c r="BO3" s="1783"/>
      <c r="BP3" s="1783"/>
      <c r="BQ3" s="1783"/>
      <c r="BR3" s="1783"/>
      <c r="BS3" s="1783"/>
      <c r="BT3" s="1783"/>
      <c r="BU3" s="1783"/>
      <c r="BV3" s="1783"/>
      <c r="BW3" s="1783"/>
      <c r="BX3" s="1783"/>
    </row>
    <row r="4" spans="1:76">
      <c r="A4" s="1782" t="s">
        <v>536</v>
      </c>
      <c r="B4" s="1782"/>
      <c r="C4" s="1783"/>
      <c r="D4" s="1783"/>
      <c r="E4" s="1783"/>
      <c r="F4" s="1783"/>
      <c r="G4" s="1783"/>
      <c r="H4" s="1783"/>
      <c r="I4" s="1783"/>
      <c r="J4" s="1783"/>
      <c r="K4" s="1783"/>
      <c r="L4" s="1783"/>
      <c r="M4" s="1783"/>
      <c r="N4" s="1783" t="s">
        <v>107</v>
      </c>
      <c r="O4" s="1783"/>
      <c r="P4" s="627" t="s">
        <v>110</v>
      </c>
      <c r="Q4" s="1783"/>
      <c r="R4" s="1783"/>
      <c r="S4" s="1783"/>
      <c r="T4" s="1783"/>
      <c r="U4" s="1783"/>
      <c r="V4" s="1783"/>
      <c r="W4" s="1783"/>
      <c r="X4" s="1783"/>
      <c r="Y4" s="1783"/>
      <c r="Z4" s="1783"/>
      <c r="AA4" s="1783"/>
      <c r="AB4" s="1783"/>
      <c r="AC4" s="1783"/>
      <c r="AD4" s="1783"/>
      <c r="AE4" s="1783"/>
      <c r="AF4" s="1783"/>
      <c r="AG4" s="1783"/>
      <c r="AH4" s="1783"/>
      <c r="AI4" s="1783"/>
      <c r="AJ4" s="1820"/>
      <c r="AK4" s="1820"/>
      <c r="AL4" s="1820"/>
      <c r="AM4" s="1820"/>
      <c r="AN4" s="1820"/>
      <c r="AO4" s="1783"/>
      <c r="AP4" s="1853"/>
      <c r="AQ4" s="1783"/>
      <c r="AR4" s="1853"/>
      <c r="AS4" s="1783"/>
      <c r="AT4" s="1853"/>
      <c r="AU4" s="1783"/>
      <c r="AV4" s="1853"/>
      <c r="AW4" s="1783"/>
      <c r="AX4" s="1853"/>
      <c r="AY4" s="1783"/>
      <c r="AZ4" s="1853"/>
      <c r="BA4" s="1783"/>
      <c r="BB4" s="1853"/>
      <c r="BC4" s="1783"/>
      <c r="BD4" s="1852"/>
      <c r="BE4" s="1783"/>
      <c r="BF4" s="1852"/>
      <c r="BG4" s="1783"/>
      <c r="BH4" s="1852"/>
      <c r="BI4" s="1783"/>
      <c r="BJ4" s="1852"/>
      <c r="BK4" s="1783"/>
      <c r="BL4" s="1852"/>
      <c r="BM4" s="1852"/>
      <c r="BN4" s="1783"/>
      <c r="BO4" s="1852"/>
      <c r="BP4" s="1783"/>
      <c r="BQ4" s="1852"/>
      <c r="BR4" s="1783"/>
      <c r="BS4" s="1783"/>
      <c r="BT4" s="1783"/>
      <c r="BU4" s="1783"/>
      <c r="BV4" s="1783"/>
      <c r="BW4" s="1783"/>
      <c r="BX4" s="1783"/>
    </row>
    <row r="5" spans="1:76">
      <c r="A5" s="1783"/>
      <c r="B5" s="1783"/>
      <c r="C5" s="1783"/>
      <c r="D5" s="1783"/>
      <c r="E5" s="1783"/>
      <c r="F5" s="1783"/>
      <c r="G5" s="1783"/>
      <c r="H5" s="1783"/>
      <c r="I5" s="1783"/>
      <c r="J5" s="1783"/>
      <c r="K5" s="627" t="s">
        <v>697</v>
      </c>
      <c r="L5" s="1783"/>
      <c r="M5" s="627" t="s">
        <v>697</v>
      </c>
      <c r="N5" s="627" t="s">
        <v>108</v>
      </c>
      <c r="O5" s="1783"/>
      <c r="P5" s="627" t="s">
        <v>111</v>
      </c>
      <c r="Q5" s="1783"/>
      <c r="R5" s="1783"/>
      <c r="S5" s="1783"/>
      <c r="T5" s="1783"/>
      <c r="U5" s="1783"/>
      <c r="V5" s="1783"/>
      <c r="W5" s="1783"/>
      <c r="X5" s="1854"/>
      <c r="Y5" s="1783"/>
      <c r="Z5" s="1854"/>
      <c r="AA5" s="1783"/>
      <c r="AB5" s="1854"/>
      <c r="AC5" s="1783"/>
      <c r="AD5" s="1854"/>
      <c r="AE5" s="1783"/>
      <c r="AF5" s="1854"/>
      <c r="AG5" s="1783"/>
      <c r="AH5" s="1855"/>
      <c r="AI5" s="1783"/>
      <c r="AJ5" s="1854"/>
      <c r="AK5" s="1783"/>
      <c r="AL5" s="1854"/>
      <c r="AM5" s="1783"/>
      <c r="AN5" s="1854"/>
      <c r="AO5" s="1783"/>
      <c r="AP5" s="1856"/>
      <c r="AQ5" s="1783"/>
      <c r="AR5" s="1856"/>
      <c r="AT5" s="1856"/>
      <c r="AV5" s="1856"/>
      <c r="AX5" s="1856"/>
      <c r="AZ5" s="1856"/>
      <c r="BA5" s="1783"/>
      <c r="BB5" s="1856"/>
      <c r="BC5" s="1783"/>
      <c r="BD5" s="1854"/>
      <c r="BE5" s="1783"/>
      <c r="BF5" s="1854"/>
      <c r="BG5" s="1783"/>
      <c r="BH5" s="1854"/>
      <c r="BI5" s="1783"/>
      <c r="BJ5" s="1854"/>
      <c r="BK5" s="1783"/>
      <c r="BL5" s="1854"/>
      <c r="BM5" s="1854"/>
      <c r="BN5" s="1783"/>
      <c r="BO5" s="1854"/>
      <c r="BP5" s="1783"/>
      <c r="BQ5" s="1854"/>
      <c r="BR5" s="1783"/>
      <c r="BS5" s="1783"/>
      <c r="BT5" s="1783"/>
      <c r="BU5" s="1783"/>
      <c r="BV5" s="1783"/>
      <c r="BW5" s="1783"/>
      <c r="BX5" s="1783"/>
    </row>
    <row r="6" spans="1:76">
      <c r="A6" s="1783"/>
      <c r="B6" s="1783"/>
      <c r="C6" s="1783"/>
      <c r="D6" s="1783"/>
      <c r="E6" s="1784">
        <v>1990</v>
      </c>
      <c r="F6" s="1783"/>
      <c r="G6" s="1786">
        <f>E6+1</f>
        <v>1991</v>
      </c>
      <c r="H6" s="1783"/>
      <c r="I6" s="1786">
        <f>G6+1</f>
        <v>1992</v>
      </c>
      <c r="J6" s="1783"/>
      <c r="K6" s="1786">
        <f>I6+1</f>
        <v>1993</v>
      </c>
      <c r="L6" s="1783"/>
      <c r="M6" s="1786">
        <f>K6+1</f>
        <v>1994</v>
      </c>
      <c r="N6" s="1786">
        <f>+M6</f>
        <v>1994</v>
      </c>
      <c r="O6" s="1783"/>
      <c r="P6" s="1786">
        <f>M6+1</f>
        <v>1995</v>
      </c>
      <c r="Q6" s="1785"/>
      <c r="R6" s="1786">
        <f>P6+1</f>
        <v>1996</v>
      </c>
      <c r="S6" s="1785"/>
      <c r="T6" s="1786">
        <f>R6+1</f>
        <v>1997</v>
      </c>
      <c r="U6" s="1785"/>
      <c r="V6" s="1786">
        <f>T6+1</f>
        <v>1998</v>
      </c>
      <c r="W6" s="1785"/>
      <c r="X6" s="1786">
        <f>V6+1</f>
        <v>1999</v>
      </c>
      <c r="Y6" s="1785"/>
      <c r="Z6" s="1786">
        <f>X6+1</f>
        <v>2000</v>
      </c>
      <c r="AA6" s="1785"/>
      <c r="AB6" s="1786">
        <f>Z6+1</f>
        <v>2001</v>
      </c>
      <c r="AC6" s="1785"/>
      <c r="AD6" s="1786">
        <f>+AB6+1</f>
        <v>2002</v>
      </c>
      <c r="AE6" s="1785"/>
      <c r="AF6" s="1786">
        <f>+AD6+1</f>
        <v>2003</v>
      </c>
      <c r="AG6" s="1785"/>
      <c r="AH6" s="1786">
        <f>+AF6+1</f>
        <v>2004</v>
      </c>
      <c r="AI6" s="1785"/>
      <c r="AJ6" s="1788">
        <f>+AH6+1</f>
        <v>2005</v>
      </c>
      <c r="AK6" s="1785"/>
      <c r="AL6" s="1788">
        <f>+AJ6+1</f>
        <v>2006</v>
      </c>
      <c r="AM6" s="1785"/>
      <c r="AN6" s="1788">
        <f>+AL6+1</f>
        <v>2007</v>
      </c>
      <c r="AO6" s="1783"/>
      <c r="AP6" s="1788">
        <f>+AN6+1</f>
        <v>2008</v>
      </c>
      <c r="AQ6" s="1783"/>
      <c r="AR6" s="1788">
        <f>+AP6+1</f>
        <v>2009</v>
      </c>
      <c r="AS6" s="1783"/>
      <c r="AT6" s="1788">
        <f>+AR6+1</f>
        <v>2010</v>
      </c>
      <c r="AU6" s="1783"/>
      <c r="AV6" s="1788">
        <f>+AT6+1</f>
        <v>2011</v>
      </c>
      <c r="AW6" s="1783"/>
      <c r="AX6" s="1788">
        <f>+AV6+1</f>
        <v>2012</v>
      </c>
      <c r="AY6" s="1783"/>
      <c r="AZ6" s="1788">
        <f>+AX6+1</f>
        <v>2013</v>
      </c>
      <c r="BA6" s="1783"/>
      <c r="BB6" s="1788">
        <f>+AZ6+1</f>
        <v>2014</v>
      </c>
      <c r="BC6" s="1783"/>
      <c r="BD6" s="1788">
        <f>+BB6+1</f>
        <v>2015</v>
      </c>
      <c r="BE6" s="1783"/>
      <c r="BF6" s="1788">
        <f>+BD6+1</f>
        <v>2016</v>
      </c>
      <c r="BG6" s="1783"/>
      <c r="BH6" s="1789">
        <f>+BF6+1</f>
        <v>2017</v>
      </c>
      <c r="BI6" s="1783"/>
      <c r="BJ6" s="1789">
        <f>+BH6+1</f>
        <v>2018</v>
      </c>
      <c r="BK6" s="1783"/>
      <c r="BL6" s="1789">
        <f>+BJ6+1</f>
        <v>2019</v>
      </c>
      <c r="BM6" s="1789"/>
      <c r="BN6" s="1789" t="s">
        <v>803</v>
      </c>
      <c r="BO6" s="1789"/>
      <c r="BP6" s="1789" t="s">
        <v>805</v>
      </c>
      <c r="BQ6" s="1789"/>
      <c r="BR6" s="1789" t="s">
        <v>856</v>
      </c>
      <c r="BS6" s="1783"/>
      <c r="BT6" s="1783"/>
      <c r="BU6" s="1783"/>
      <c r="BV6" s="1783"/>
      <c r="BW6" s="1783"/>
      <c r="BX6" s="1783"/>
    </row>
    <row r="7" spans="1:76">
      <c r="A7" s="1783"/>
      <c r="B7" s="1783"/>
      <c r="C7" s="1783"/>
      <c r="D7" s="1783"/>
      <c r="E7" s="1783"/>
      <c r="F7" s="1783"/>
      <c r="G7" s="1783"/>
      <c r="H7" s="1783"/>
      <c r="I7" s="1783"/>
      <c r="J7" s="1783"/>
      <c r="K7" s="1783"/>
      <c r="L7" s="1783"/>
      <c r="M7" s="1783"/>
      <c r="N7" s="1783"/>
      <c r="O7" s="1783"/>
      <c r="P7" s="1783"/>
      <c r="Q7" s="1783"/>
      <c r="R7" s="1854"/>
      <c r="S7" s="1783"/>
      <c r="T7" s="1783"/>
      <c r="U7" s="1783"/>
      <c r="V7" s="1783"/>
      <c r="W7" s="1783"/>
      <c r="X7" s="1783"/>
      <c r="Y7" s="1783"/>
      <c r="Z7" s="1783"/>
      <c r="AA7" s="1783"/>
      <c r="AB7" s="1783"/>
      <c r="AC7" s="1783"/>
      <c r="AD7" s="1783"/>
      <c r="AE7" s="1783"/>
      <c r="AF7" s="1783"/>
      <c r="AG7" s="1783"/>
      <c r="AH7" s="1783"/>
      <c r="AI7" s="1783"/>
      <c r="AJ7" s="1783"/>
      <c r="AK7" s="1783"/>
      <c r="AL7" s="1783"/>
      <c r="AM7" s="1783"/>
      <c r="AN7" s="1783"/>
      <c r="AO7" s="1783"/>
      <c r="AP7" s="1783"/>
      <c r="AQ7" s="1783"/>
      <c r="AR7" s="1783"/>
      <c r="AS7" s="1783"/>
      <c r="AT7" s="1783"/>
      <c r="AU7" s="1783"/>
      <c r="AV7" s="1783"/>
      <c r="AW7" s="1783"/>
      <c r="AX7" s="1783"/>
      <c r="AY7" s="1783"/>
      <c r="AZ7" s="1783"/>
      <c r="BA7" s="1783"/>
      <c r="BB7" s="1783"/>
      <c r="BC7" s="1783"/>
      <c r="BD7" s="1783"/>
      <c r="BE7" s="1783"/>
      <c r="BF7" s="1783"/>
      <c r="BG7" s="1783"/>
      <c r="BH7" s="1783"/>
      <c r="BI7" s="1783"/>
      <c r="BJ7" s="1783"/>
      <c r="BK7" s="1783"/>
      <c r="BL7" s="1783"/>
      <c r="BM7" s="1783"/>
      <c r="BN7" s="1783"/>
      <c r="BO7" s="1783"/>
      <c r="BP7" s="1783"/>
      <c r="BQ7" s="1783"/>
      <c r="BR7" s="1783"/>
      <c r="BS7" s="1783"/>
      <c r="BT7" s="1783"/>
      <c r="BU7" s="1783"/>
      <c r="BV7" s="1783"/>
      <c r="BW7" s="1783"/>
      <c r="BX7" s="1783"/>
    </row>
    <row r="8" spans="1:76">
      <c r="A8" s="1857" t="s">
        <v>150</v>
      </c>
      <c r="B8" s="1858"/>
      <c r="C8" s="1783"/>
      <c r="D8" s="1783"/>
      <c r="E8" s="1783"/>
      <c r="F8" s="1783"/>
      <c r="G8" s="1783"/>
      <c r="H8" s="1783"/>
      <c r="I8" s="1783"/>
      <c r="J8" s="1783"/>
      <c r="K8" s="1783"/>
      <c r="L8" s="1783"/>
      <c r="M8" s="1783"/>
      <c r="N8" s="1783"/>
      <c r="O8" s="1783"/>
      <c r="P8" s="1783"/>
      <c r="Q8" s="1783"/>
      <c r="R8" s="1783"/>
      <c r="S8" s="1783"/>
      <c r="T8" s="1783"/>
      <c r="U8" s="1783"/>
      <c r="V8" s="1783"/>
      <c r="W8" s="1783"/>
      <c r="X8" s="1783"/>
      <c r="Y8" s="1783"/>
      <c r="Z8" s="1783"/>
      <c r="AA8" s="1783"/>
      <c r="AB8" s="1783"/>
      <c r="AC8" s="1783"/>
      <c r="AD8" s="1783"/>
      <c r="AE8" s="1783"/>
      <c r="AF8" s="1783"/>
      <c r="AG8" s="1783"/>
      <c r="AH8" s="1783"/>
      <c r="AI8" s="1783"/>
      <c r="AJ8" s="1783"/>
      <c r="AK8" s="1783"/>
      <c r="AL8" s="1783"/>
      <c r="AM8" s="1783"/>
      <c r="AN8" s="1783"/>
      <c r="AO8" s="1783"/>
      <c r="AP8" s="1783"/>
      <c r="AQ8" s="1783"/>
      <c r="AR8" s="1859"/>
      <c r="AS8" s="1783"/>
      <c r="AT8" s="1783"/>
      <c r="AU8" s="1783"/>
      <c r="AV8" s="1783"/>
      <c r="AW8" s="1783"/>
      <c r="AX8" s="1783"/>
      <c r="AY8" s="1783"/>
      <c r="AZ8" s="1783"/>
      <c r="BA8" s="1783"/>
      <c r="BB8" s="1783"/>
      <c r="BC8" s="1783"/>
      <c r="BD8" s="1783"/>
      <c r="BE8" s="1783"/>
      <c r="BF8" s="1783"/>
      <c r="BG8" s="1783"/>
      <c r="BH8" s="1783"/>
      <c r="BI8" s="1783"/>
      <c r="BJ8" s="1783"/>
      <c r="BK8" s="1783"/>
      <c r="BL8" s="1783"/>
      <c r="BM8" s="1783"/>
      <c r="BN8" s="1783"/>
      <c r="BO8" s="1783"/>
      <c r="BP8" s="1783"/>
      <c r="BQ8" s="1783"/>
      <c r="BR8" s="1783"/>
      <c r="BS8" s="1783"/>
      <c r="BT8" s="1783"/>
      <c r="BU8" s="1783"/>
      <c r="BV8" s="1783"/>
      <c r="BW8" s="1783"/>
      <c r="BX8" s="1783"/>
    </row>
    <row r="9" spans="1:76">
      <c r="A9" s="1860"/>
      <c r="B9" s="1783" t="s">
        <v>151</v>
      </c>
      <c r="C9" s="1783"/>
      <c r="D9" s="1783"/>
      <c r="E9" s="1819">
        <v>83.323999999999998</v>
      </c>
      <c r="F9" s="1783"/>
      <c r="G9" s="1819">
        <v>67.293999999999997</v>
      </c>
      <c r="H9" s="1783"/>
      <c r="I9" s="1819">
        <v>106.691</v>
      </c>
      <c r="J9" s="1783"/>
      <c r="K9" s="1819">
        <v>58.101999999999997</v>
      </c>
      <c r="L9" s="1783"/>
      <c r="M9" s="1819">
        <v>41.569000000000003</v>
      </c>
      <c r="N9" s="1819">
        <v>41.569000000000003</v>
      </c>
      <c r="O9" s="1783"/>
      <c r="P9" s="1819">
        <v>209.226</v>
      </c>
      <c r="Q9" s="1783"/>
      <c r="R9" s="1819">
        <v>474.73200000000003</v>
      </c>
      <c r="S9" s="1783"/>
      <c r="T9" s="1819">
        <v>404.36900000000003</v>
      </c>
      <c r="U9" s="1832"/>
      <c r="V9" s="1819">
        <v>461.24400000000003</v>
      </c>
      <c r="W9" s="1783"/>
      <c r="X9" s="1820">
        <f>flow!V64</f>
        <v>371.75900000000064</v>
      </c>
      <c r="Y9" s="1783"/>
      <c r="Z9" s="1820">
        <f>flow!X64</f>
        <v>132.53500000000039</v>
      </c>
      <c r="AA9" s="1783"/>
      <c r="AB9" s="1820">
        <f>flow!Z64</f>
        <v>492.77599999999961</v>
      </c>
      <c r="AC9" s="1783"/>
      <c r="AD9" s="1820">
        <f>flow!AB64</f>
        <v>492.32999999999981</v>
      </c>
      <c r="AE9" s="1783"/>
      <c r="AF9" s="1820">
        <f>flow!AD64</f>
        <v>246.40300000000059</v>
      </c>
      <c r="AG9" s="1783"/>
      <c r="AH9" s="1820">
        <f>flow!AF64</f>
        <v>307.18700000000109</v>
      </c>
      <c r="AI9" s="1783"/>
      <c r="AJ9" s="1820">
        <f>flow!AH64</f>
        <v>465.64900000000279</v>
      </c>
      <c r="AK9" s="1820"/>
      <c r="AL9" s="1820">
        <f>flow!AJ64</f>
        <v>856.66900000000373</v>
      </c>
      <c r="AM9" s="1820"/>
      <c r="AN9" s="1820">
        <f>flow!AL64</f>
        <v>732.61200000000372</v>
      </c>
      <c r="AO9" s="1861"/>
      <c r="AP9" s="1820">
        <f>flow!AN64</f>
        <v>453.52700000000385</v>
      </c>
      <c r="AQ9" s="1861"/>
      <c r="AR9" s="1820">
        <f>flow!AP64</f>
        <v>1614.6070000000041</v>
      </c>
      <c r="AS9" s="1861"/>
      <c r="AT9" s="1820">
        <f>flow!AR64</f>
        <v>1741.7509500000037</v>
      </c>
      <c r="AU9" s="1861"/>
      <c r="AV9" s="1820">
        <f>flow!AT64</f>
        <v>1507.1120000000037</v>
      </c>
      <c r="AW9" s="1861"/>
      <c r="AX9" s="1820">
        <f>flow!AV64</f>
        <v>1811.957000000004</v>
      </c>
      <c r="AY9" s="1861"/>
      <c r="AZ9" s="1820">
        <f>flow!AX64</f>
        <v>2149.746120000003</v>
      </c>
      <c r="BA9" s="1861"/>
      <c r="BB9" s="1820">
        <f>flow!AZ64</f>
        <v>2493.7710100000013</v>
      </c>
      <c r="BC9" s="1861"/>
      <c r="BD9" s="1820">
        <f>flow!BB64</f>
        <v>2095.4690099999989</v>
      </c>
      <c r="BE9" s="1861"/>
      <c r="BF9" s="1820">
        <f>flow!BD64</f>
        <v>2929.8450100000045</v>
      </c>
      <c r="BG9" s="1861"/>
      <c r="BH9" s="1820">
        <f>flow!BF64</f>
        <v>2758.4930100000083</v>
      </c>
      <c r="BI9" s="1861"/>
      <c r="BJ9" s="1820">
        <f>flow!BH64</f>
        <v>2579.661591194691</v>
      </c>
      <c r="BK9" s="1861"/>
      <c r="BL9" s="1820">
        <f>flow!BJ64</f>
        <v>2289.5380359168603</v>
      </c>
      <c r="BM9" s="1820"/>
      <c r="BN9" s="1820">
        <f>flow!BL64</f>
        <v>2144.7581592447518</v>
      </c>
      <c r="BO9" s="1820"/>
      <c r="BP9" s="1820">
        <f>flow!BN64</f>
        <v>1990.3016377493884</v>
      </c>
      <c r="BQ9" s="1820"/>
      <c r="BR9" s="1820">
        <f>flow!BP64</f>
        <v>1742.9477053245514</v>
      </c>
      <c r="BS9" s="1783"/>
      <c r="BT9" s="1783"/>
      <c r="BU9" s="1783"/>
      <c r="BV9" s="1783"/>
      <c r="BW9" s="1783"/>
      <c r="BX9" s="1783"/>
    </row>
    <row r="10" spans="1:76">
      <c r="A10" s="1860"/>
      <c r="B10" s="1783" t="s">
        <v>276</v>
      </c>
      <c r="C10" s="1783"/>
      <c r="D10" s="1783"/>
      <c r="E10" s="1819"/>
      <c r="F10" s="1783"/>
      <c r="G10" s="1819"/>
      <c r="H10" s="1783"/>
      <c r="I10" s="1819"/>
      <c r="J10" s="1783"/>
      <c r="K10" s="1819"/>
      <c r="L10" s="1783"/>
      <c r="M10" s="1819"/>
      <c r="N10" s="1819"/>
      <c r="O10" s="1783"/>
      <c r="P10" s="1819"/>
      <c r="Q10" s="1783"/>
      <c r="R10" s="1819"/>
      <c r="S10" s="1783"/>
      <c r="T10" s="1819"/>
      <c r="U10" s="1832"/>
      <c r="V10" s="1819"/>
      <c r="W10" s="1783"/>
      <c r="X10" s="1820"/>
      <c r="Y10" s="1783"/>
      <c r="Z10" s="1820"/>
      <c r="AA10" s="1783"/>
      <c r="AB10" s="1820"/>
      <c r="AC10" s="1783"/>
      <c r="AD10" s="1820"/>
      <c r="AE10" s="1783"/>
      <c r="AF10" s="1820"/>
      <c r="AG10" s="1783"/>
      <c r="AH10" s="1800">
        <v>0</v>
      </c>
      <c r="AI10" s="1783"/>
      <c r="AJ10" s="1800">
        <v>0</v>
      </c>
      <c r="AK10" s="1820"/>
      <c r="AL10" s="1800">
        <v>0</v>
      </c>
      <c r="AM10" s="1820"/>
      <c r="AN10" s="1800">
        <v>0</v>
      </c>
      <c r="AO10" s="1861"/>
      <c r="AP10" s="1800">
        <v>0</v>
      </c>
      <c r="AQ10" s="1861"/>
      <c r="AR10" s="1800">
        <v>130.636</v>
      </c>
      <c r="AS10" s="1861"/>
      <c r="AT10" s="1800">
        <v>76.260999999999996</v>
      </c>
      <c r="AU10" s="1861"/>
      <c r="AV10" s="1800">
        <v>94.691000000000003</v>
      </c>
      <c r="AW10" s="1861"/>
      <c r="AX10" s="1800">
        <v>235.85300000000001</v>
      </c>
      <c r="AY10" s="1861"/>
      <c r="AZ10" s="1800">
        <v>294.702</v>
      </c>
      <c r="BA10" s="1861"/>
      <c r="BB10" s="1800">
        <v>282.60000000000002</v>
      </c>
      <c r="BC10" s="1861"/>
      <c r="BD10" s="1800">
        <v>352.31299999999999</v>
      </c>
      <c r="BE10" s="1861"/>
      <c r="BF10" s="1931">
        <v>543.24199999999996</v>
      </c>
      <c r="BG10" s="1861"/>
      <c r="BH10" s="1931">
        <v>506.2</v>
      </c>
      <c r="BI10" s="1861"/>
      <c r="BJ10" s="1799">
        <f>+BH10+flow!BH23</f>
        <v>506.2</v>
      </c>
      <c r="BK10" s="1861"/>
      <c r="BL10" s="1799">
        <f>+BJ10+flow!BJ23</f>
        <v>506.2</v>
      </c>
      <c r="BM10" s="1799"/>
      <c r="BN10" s="1799">
        <f>flow!BL23+BL10</f>
        <v>506.2</v>
      </c>
      <c r="BO10" s="1799"/>
      <c r="BP10" s="1799">
        <f>flow!BN23+BN10</f>
        <v>506.2</v>
      </c>
      <c r="BQ10" s="1799"/>
      <c r="BR10" s="1799">
        <f>flow!BP23+BP10</f>
        <v>506.2</v>
      </c>
      <c r="BS10" s="1783"/>
      <c r="BT10" s="1783"/>
      <c r="BU10" s="1783"/>
      <c r="BV10" s="1783"/>
      <c r="BW10" s="1783"/>
      <c r="BX10" s="1783"/>
    </row>
    <row r="11" spans="1:76">
      <c r="A11" s="1860"/>
      <c r="B11" s="1783" t="s">
        <v>537</v>
      </c>
      <c r="C11" s="1783"/>
      <c r="D11" s="1783"/>
      <c r="E11" s="1800">
        <v>20.873999999999999</v>
      </c>
      <c r="F11" s="1783"/>
      <c r="G11" s="1800">
        <v>21.829000000000001</v>
      </c>
      <c r="H11" s="1783"/>
      <c r="I11" s="1800">
        <v>24.120999999999999</v>
      </c>
      <c r="J11" s="1783"/>
      <c r="K11" s="1800">
        <v>30.638999999999999</v>
      </c>
      <c r="L11" s="1783"/>
      <c r="M11" s="1800">
        <v>43.44</v>
      </c>
      <c r="N11" s="1800">
        <v>41.749000000000002</v>
      </c>
      <c r="O11" s="1783"/>
      <c r="P11" s="1800">
        <v>55.143999999999998</v>
      </c>
      <c r="Q11" s="1783"/>
      <c r="R11" s="1800">
        <v>57.274999999999999</v>
      </c>
      <c r="S11" s="1783"/>
      <c r="T11" s="1800">
        <v>60.734999999999999</v>
      </c>
      <c r="U11" s="1862"/>
      <c r="V11" s="1800">
        <v>67.344999999999999</v>
      </c>
      <c r="W11" s="1783"/>
      <c r="X11" s="1800">
        <v>55.460999999999999</v>
      </c>
      <c r="Y11" s="1783"/>
      <c r="Z11" s="1800">
        <v>61.844999999999999</v>
      </c>
      <c r="AA11" s="1783"/>
      <c r="AB11" s="1800">
        <v>69.209000000000003</v>
      </c>
      <c r="AC11" s="1783"/>
      <c r="AD11" s="1800">
        <v>75.515000000000001</v>
      </c>
      <c r="AE11" s="1783"/>
      <c r="AF11" s="1800">
        <v>90.902000000000001</v>
      </c>
      <c r="AG11" s="1783"/>
      <c r="AH11" s="1800">
        <v>119.611</v>
      </c>
      <c r="AI11" s="1783"/>
      <c r="AJ11" s="1800">
        <v>140.74700000000001</v>
      </c>
      <c r="AK11" s="1783"/>
      <c r="AL11" s="1800">
        <v>115.245</v>
      </c>
      <c r="AM11" s="1783"/>
      <c r="AN11" s="1800">
        <v>143.28899999999999</v>
      </c>
      <c r="AO11" s="1861"/>
      <c r="AP11" s="1800">
        <v>143.5</v>
      </c>
      <c r="AQ11" s="1861"/>
      <c r="AR11" s="1800">
        <f>148.126</f>
        <v>148.126</v>
      </c>
      <c r="AS11" s="1861"/>
      <c r="AT11" s="1800">
        <v>200.14699999999999</v>
      </c>
      <c r="AU11" s="1861"/>
      <c r="AV11" s="1800">
        <v>204.304</v>
      </c>
      <c r="AW11" s="1861"/>
      <c r="AX11" s="1800">
        <v>222.78800000000001</v>
      </c>
      <c r="AY11" s="1861"/>
      <c r="AZ11" s="1800">
        <v>210.09399999999999</v>
      </c>
      <c r="BA11" s="1861"/>
      <c r="BB11" s="1800">
        <f>583.1-BB14</f>
        <v>234.15911600000004</v>
      </c>
      <c r="BC11" s="1861"/>
      <c r="BD11" s="1800">
        <v>238.072</v>
      </c>
      <c r="BE11" s="1861"/>
      <c r="BF11" s="1931">
        <v>258.83100000000002</v>
      </c>
      <c r="BG11" s="1861"/>
      <c r="BH11" s="1931">
        <v>1033.8</v>
      </c>
      <c r="BI11" s="1861"/>
      <c r="BJ11" s="1799">
        <f>BJ74*BJ69</f>
        <v>295.16357882092376</v>
      </c>
      <c r="BK11" s="1861"/>
      <c r="BL11" s="1799">
        <f>BL74*BL69</f>
        <v>314.72696429250738</v>
      </c>
      <c r="BM11" s="1799"/>
      <c r="BN11" s="1799">
        <f>BN74*BN69</f>
        <v>334.74505719688557</v>
      </c>
      <c r="BO11" s="1799"/>
      <c r="BP11" s="1799">
        <f>BP74*BP69</f>
        <v>355.63575464206178</v>
      </c>
      <c r="BQ11" s="1799"/>
      <c r="BR11" s="1799">
        <f>BR74*BR69</f>
        <v>371.96806415332105</v>
      </c>
      <c r="BS11" s="1783"/>
      <c r="BT11" s="1783"/>
      <c r="BU11" s="1783"/>
      <c r="BV11" s="1783"/>
      <c r="BW11" s="1783"/>
      <c r="BX11" s="1783"/>
    </row>
    <row r="12" spans="1:76">
      <c r="A12" s="1860"/>
      <c r="B12" s="1783" t="s">
        <v>152</v>
      </c>
      <c r="C12" s="1783"/>
      <c r="D12" s="1783"/>
      <c r="E12" s="1800">
        <v>513.91300000000001</v>
      </c>
      <c r="F12" s="1783"/>
      <c r="G12" s="1800">
        <v>552.46600000000001</v>
      </c>
      <c r="H12" s="1783"/>
      <c r="I12" s="1800">
        <v>672.35400000000004</v>
      </c>
      <c r="J12" s="1783"/>
      <c r="K12" s="1800">
        <v>772.32399999999996</v>
      </c>
      <c r="L12" s="1783"/>
      <c r="M12" s="1800">
        <v>937.72900000000004</v>
      </c>
      <c r="N12" s="1800">
        <v>890.59299999999996</v>
      </c>
      <c r="O12" s="1783"/>
      <c r="P12" s="1800">
        <v>1258.4880000000001</v>
      </c>
      <c r="Q12" s="1783"/>
      <c r="R12" s="1800">
        <v>1059.5050000000001</v>
      </c>
      <c r="S12" s="1783"/>
      <c r="T12" s="1800">
        <v>1190.17</v>
      </c>
      <c r="U12" s="1862"/>
      <c r="V12" s="1800">
        <v>1186.068</v>
      </c>
      <c r="W12" s="1783"/>
      <c r="X12" s="1800">
        <v>1229.587</v>
      </c>
      <c r="Y12" s="1783"/>
      <c r="Z12" s="1800">
        <v>1452.877</v>
      </c>
      <c r="AA12" s="1783"/>
      <c r="AB12" s="1800">
        <v>1456.9760000000001</v>
      </c>
      <c r="AC12" s="1783"/>
      <c r="AD12" s="1800">
        <v>1563.45</v>
      </c>
      <c r="AE12" s="1783"/>
      <c r="AF12" s="1800">
        <v>1941.6980000000001</v>
      </c>
      <c r="AG12" s="1783"/>
      <c r="AH12" s="1800">
        <v>2352.0320000000002</v>
      </c>
      <c r="AI12" s="1783"/>
      <c r="AJ12" s="1800">
        <v>2365.8609999999999</v>
      </c>
      <c r="AK12" s="1783"/>
      <c r="AL12" s="1800">
        <v>2581.9690000000001</v>
      </c>
      <c r="AM12" s="1783"/>
      <c r="AN12" s="1800">
        <v>2737.3780000000002</v>
      </c>
      <c r="AO12" s="1861"/>
      <c r="AP12" s="1800">
        <v>2619.3359999999998</v>
      </c>
      <c r="AQ12" s="1861"/>
      <c r="AR12" s="1800">
        <v>2532.3180000000002</v>
      </c>
      <c r="AS12" s="1861"/>
      <c r="AT12" s="1800">
        <v>2765.4639999999999</v>
      </c>
      <c r="AU12" s="1861"/>
      <c r="AV12" s="1800">
        <v>2950.5230000000001</v>
      </c>
      <c r="AW12" s="1861"/>
      <c r="AX12" s="1800">
        <v>3014.2139999999999</v>
      </c>
      <c r="AY12" s="1861"/>
      <c r="AZ12" s="1800">
        <v>2966.49</v>
      </c>
      <c r="BA12" s="1861"/>
      <c r="BB12" s="1800">
        <v>3217.9</v>
      </c>
      <c r="BC12" s="1861"/>
      <c r="BD12" s="1800">
        <v>3695.1129999999998</v>
      </c>
      <c r="BE12" s="1861"/>
      <c r="BF12" s="1931">
        <v>3644.9589999999998</v>
      </c>
      <c r="BG12" s="1861"/>
      <c r="BH12" s="1931">
        <v>4187.2</v>
      </c>
      <c r="BI12" s="1861"/>
      <c r="BJ12" s="1799">
        <f>+BJ69*BJ75</f>
        <v>4200.4405298694001</v>
      </c>
      <c r="BK12" s="1861"/>
      <c r="BL12" s="1799">
        <f>+BL69*BL75</f>
        <v>4478.8449236789538</v>
      </c>
      <c r="BM12" s="1799"/>
      <c r="BN12" s="1799">
        <f>+BN69*BN75</f>
        <v>4763.7202091126483</v>
      </c>
      <c r="BO12" s="1799"/>
      <c r="BP12" s="1799">
        <f>+BP69*BP75</f>
        <v>5061.0134340982258</v>
      </c>
      <c r="BQ12" s="1799"/>
      <c r="BR12" s="1799">
        <f>+BR69*BR75</f>
        <v>5293.4367401562085</v>
      </c>
      <c r="BS12" s="1783"/>
      <c r="BT12" s="1783"/>
      <c r="BU12" s="1783"/>
      <c r="BV12" s="1783"/>
      <c r="BW12" s="1783"/>
      <c r="BX12" s="1783"/>
    </row>
    <row r="13" spans="1:76">
      <c r="A13" s="1860"/>
      <c r="B13" s="1783" t="s">
        <v>538</v>
      </c>
      <c r="C13" s="1783"/>
      <c r="D13" s="1783"/>
      <c r="E13" s="1800">
        <v>0</v>
      </c>
      <c r="F13" s="1783"/>
      <c r="G13" s="1800">
        <v>0</v>
      </c>
      <c r="H13" s="1783"/>
      <c r="I13" s="1800">
        <v>0</v>
      </c>
      <c r="J13" s="1783"/>
      <c r="K13" s="1800">
        <v>0</v>
      </c>
      <c r="L13" s="1783"/>
      <c r="M13" s="1800">
        <v>0</v>
      </c>
      <c r="N13" s="1800">
        <v>0</v>
      </c>
      <c r="O13" s="1783"/>
      <c r="P13" s="1800">
        <v>0</v>
      </c>
      <c r="Q13" s="1783"/>
      <c r="R13" s="1800">
        <v>0</v>
      </c>
      <c r="S13" s="1783"/>
      <c r="T13" s="1800">
        <v>0</v>
      </c>
      <c r="U13" s="1862"/>
      <c r="V13" s="1800">
        <v>0</v>
      </c>
      <c r="W13" s="1783"/>
      <c r="X13" s="1800">
        <v>0</v>
      </c>
      <c r="Y13" s="1783"/>
      <c r="Z13" s="1800">
        <v>43.997</v>
      </c>
      <c r="AA13" s="1783"/>
      <c r="AB13" s="1800">
        <v>12.003</v>
      </c>
      <c r="AC13" s="1783"/>
      <c r="AD13" s="1800">
        <v>8.9610000000000003</v>
      </c>
      <c r="AE13" s="1783"/>
      <c r="AF13" s="1800">
        <v>8.9789999999999992</v>
      </c>
      <c r="AG13" s="1783"/>
      <c r="AH13" s="1800">
        <v>0</v>
      </c>
      <c r="AI13" s="1783"/>
      <c r="AJ13" s="1800">
        <v>9.2460000000000004</v>
      </c>
      <c r="AK13" s="1783"/>
      <c r="AL13" s="1800">
        <v>35.825000000000003</v>
      </c>
      <c r="AM13" s="1783"/>
      <c r="AN13" s="1800">
        <v>163.465</v>
      </c>
      <c r="AO13" s="1861"/>
      <c r="AP13" s="1800">
        <v>135.67500000000001</v>
      </c>
      <c r="AQ13" s="1861"/>
      <c r="AR13" s="1800">
        <v>122.462</v>
      </c>
      <c r="AS13" s="1861"/>
      <c r="AT13" s="1800">
        <v>66.072000000000003</v>
      </c>
      <c r="AU13" s="1861"/>
      <c r="AV13" s="1800">
        <v>105.869</v>
      </c>
      <c r="AW13" s="1861"/>
      <c r="AX13" s="1800">
        <v>96.218999999999994</v>
      </c>
      <c r="AY13" s="1861"/>
      <c r="AZ13" s="1800">
        <v>101.639</v>
      </c>
      <c r="BA13" s="1861"/>
      <c r="BB13" s="1800">
        <v>137.6</v>
      </c>
      <c r="BC13" s="1861"/>
      <c r="BD13" s="1800">
        <v>0</v>
      </c>
      <c r="BE13" s="1861"/>
      <c r="BF13" s="1800">
        <f>BD13</f>
        <v>0</v>
      </c>
      <c r="BG13" s="1861"/>
      <c r="BH13" s="1800">
        <f>BF13</f>
        <v>0</v>
      </c>
      <c r="BI13" s="1861"/>
      <c r="BJ13" s="1800">
        <f>BH13</f>
        <v>0</v>
      </c>
      <c r="BK13" s="1861"/>
      <c r="BL13" s="1800">
        <f>BJ13</f>
        <v>0</v>
      </c>
      <c r="BM13" s="1800"/>
      <c r="BN13" s="1800">
        <f>BL13</f>
        <v>0</v>
      </c>
      <c r="BO13" s="1800"/>
      <c r="BP13" s="1800">
        <f>BN13</f>
        <v>0</v>
      </c>
      <c r="BQ13" s="1800"/>
      <c r="BR13" s="1800">
        <f>BP13</f>
        <v>0</v>
      </c>
      <c r="BS13" s="1783"/>
      <c r="BT13" s="1783"/>
      <c r="BU13" s="1783"/>
      <c r="BV13" s="1783"/>
      <c r="BW13" s="1783"/>
      <c r="BX13" s="1783"/>
    </row>
    <row r="14" spans="1:76">
      <c r="A14" s="1860"/>
      <c r="B14" s="1783" t="s">
        <v>633</v>
      </c>
      <c r="C14" s="1783"/>
      <c r="D14" s="1783"/>
      <c r="E14" s="1825">
        <v>13.204000000000001</v>
      </c>
      <c r="F14" s="1783"/>
      <c r="G14" s="1825">
        <v>14.704000000000001</v>
      </c>
      <c r="H14" s="1783"/>
      <c r="I14" s="1825">
        <v>17.893000000000001</v>
      </c>
      <c r="J14" s="1783"/>
      <c r="K14" s="1825">
        <v>20.791</v>
      </c>
      <c r="L14" s="1783"/>
      <c r="M14" s="1825">
        <v>23.459</v>
      </c>
      <c r="N14" s="1825">
        <f>22.881+10.731</f>
        <v>33.612000000000002</v>
      </c>
      <c r="O14" s="1783"/>
      <c r="P14" s="1825">
        <f>16.406+76.287</f>
        <v>92.693000000000012</v>
      </c>
      <c r="Q14" s="1783"/>
      <c r="R14" s="1825">
        <f>16.379+54.451</f>
        <v>70.83</v>
      </c>
      <c r="S14" s="1862"/>
      <c r="T14" s="1825">
        <v>27.356999999999999</v>
      </c>
      <c r="U14" s="1862"/>
      <c r="V14" s="1825">
        <v>28.448</v>
      </c>
      <c r="W14" s="1783"/>
      <c r="X14" s="1825">
        <v>43.758000000000003</v>
      </c>
      <c r="Y14" s="1783"/>
      <c r="Z14" s="1825">
        <v>74.69</v>
      </c>
      <c r="AA14" s="1783"/>
      <c r="AB14" s="1825">
        <v>84.962000000000003</v>
      </c>
      <c r="AC14" s="1783"/>
      <c r="AD14" s="1825">
        <v>100.28400000000001</v>
      </c>
      <c r="AE14" s="1783"/>
      <c r="AF14" s="1825">
        <v>163.76599999999999</v>
      </c>
      <c r="AG14" s="1783"/>
      <c r="AH14" s="1825">
        <v>126.29</v>
      </c>
      <c r="AI14" s="1783"/>
      <c r="AJ14" s="1825">
        <v>158.624</v>
      </c>
      <c r="AK14" s="1783"/>
      <c r="AL14" s="1825">
        <v>159.10499999999999</v>
      </c>
      <c r="AM14" s="1783"/>
      <c r="AN14" s="1825">
        <v>215.55</v>
      </c>
      <c r="AO14" s="1861"/>
      <c r="AP14" s="1825">
        <v>274.09100000000001</v>
      </c>
      <c r="AQ14" s="1861"/>
      <c r="AR14" s="1825">
        <f>255.707</f>
        <v>255.70699999999999</v>
      </c>
      <c r="AS14" s="1861"/>
      <c r="AT14" s="1825">
        <v>249.83199999999999</v>
      </c>
      <c r="AU14" s="1861"/>
      <c r="AV14" s="1825">
        <v>270.13299999999998</v>
      </c>
      <c r="AW14" s="1861"/>
      <c r="AX14" s="1825">
        <v>330.512</v>
      </c>
      <c r="AY14" s="1861"/>
      <c r="AZ14" s="1825">
        <v>345.327</v>
      </c>
      <c r="BA14" s="1861"/>
      <c r="BB14" s="1825">
        <f>29078.407*0.012</f>
        <v>348.94088399999998</v>
      </c>
      <c r="BC14" s="1861"/>
      <c r="BD14" s="1825">
        <v>391.589</v>
      </c>
      <c r="BE14" s="1861"/>
      <c r="BF14" s="1934">
        <v>373.89299999999997</v>
      </c>
      <c r="BG14" s="1861"/>
      <c r="BH14" s="1824">
        <v>0</v>
      </c>
      <c r="BI14" s="1861"/>
      <c r="BJ14" s="1824">
        <f>+BJ76*BJ69</f>
        <v>426.37704129757111</v>
      </c>
      <c r="BK14" s="1861"/>
      <c r="BL14" s="1824">
        <f>+BL76*BL69</f>
        <v>454.63722993079818</v>
      </c>
      <c r="BM14" s="1824"/>
      <c r="BN14" s="1824">
        <f>+BN76*BN69</f>
        <v>483.55426386528313</v>
      </c>
      <c r="BO14" s="1824"/>
      <c r="BP14" s="1824">
        <f>+BP76*BP69</f>
        <v>513.73181423548328</v>
      </c>
      <c r="BQ14" s="1824"/>
      <c r="BR14" s="1824">
        <f>+BR76*BR69</f>
        <v>537.32456858134321</v>
      </c>
      <c r="BS14" s="1783"/>
      <c r="BT14" s="1783"/>
      <c r="BU14" s="1783"/>
      <c r="BV14" s="1783"/>
      <c r="BW14" s="1783"/>
      <c r="BX14" s="1783"/>
    </row>
    <row r="15" spans="1:76">
      <c r="A15" s="1860"/>
      <c r="B15" s="1783"/>
      <c r="C15" s="1783" t="s">
        <v>539</v>
      </c>
      <c r="D15" s="1783"/>
      <c r="E15" s="1790">
        <f>SUM(E9:E14)</f>
        <v>631.31499999999994</v>
      </c>
      <c r="F15" s="1783"/>
      <c r="G15" s="1790">
        <f>SUM(G9:G14)</f>
        <v>656.29299999999989</v>
      </c>
      <c r="H15" s="1783"/>
      <c r="I15" s="1790">
        <f>SUM(I9:I14)</f>
        <v>821.05900000000008</v>
      </c>
      <c r="J15" s="1783"/>
      <c r="K15" s="1790">
        <f>SUM(K9:K14)</f>
        <v>881.85599999999999</v>
      </c>
      <c r="L15" s="1783"/>
      <c r="M15" s="1790">
        <f>SUM(M9:M14)</f>
        <v>1046.1970000000001</v>
      </c>
      <c r="N15" s="1790">
        <f>SUM(N9:N14)</f>
        <v>1007.5229999999999</v>
      </c>
      <c r="O15" s="1783"/>
      <c r="P15" s="1790">
        <f>SUM(P9:P14)</f>
        <v>1615.5510000000002</v>
      </c>
      <c r="Q15" s="1783"/>
      <c r="R15" s="1790">
        <f>SUM(R9:R14)</f>
        <v>1662.3420000000001</v>
      </c>
      <c r="S15" s="1783"/>
      <c r="T15" s="1790">
        <f>SUM(T9:T14)</f>
        <v>1682.6310000000001</v>
      </c>
      <c r="U15" s="1783"/>
      <c r="V15" s="1790">
        <f>SUM(V9:V14)</f>
        <v>1743.1050000000002</v>
      </c>
      <c r="W15" s="1783"/>
      <c r="X15" s="1790">
        <f>SUM(X9:X14)</f>
        <v>1700.5650000000007</v>
      </c>
      <c r="Y15" s="1783"/>
      <c r="Z15" s="1790">
        <f>SUM(Z9:Z14)</f>
        <v>1765.9440000000004</v>
      </c>
      <c r="AA15" s="1783"/>
      <c r="AB15" s="1790">
        <f>SUM(AB9:AB14)</f>
        <v>2115.9259999999999</v>
      </c>
      <c r="AC15" s="1783"/>
      <c r="AD15" s="1790">
        <f>SUM(AD9:AD14)</f>
        <v>2240.54</v>
      </c>
      <c r="AE15" s="1783"/>
      <c r="AF15" s="1790">
        <f>SUM(AF9:AF14)</f>
        <v>2451.7480000000005</v>
      </c>
      <c r="AG15" s="1783"/>
      <c r="AH15" s="1790">
        <f>SUM(AH9:AH14)</f>
        <v>2905.1200000000013</v>
      </c>
      <c r="AI15" s="1783"/>
      <c r="AJ15" s="1790">
        <f>SUM(AJ9:AJ14)</f>
        <v>3140.1270000000027</v>
      </c>
      <c r="AK15" s="1783"/>
      <c r="AL15" s="1790">
        <f>SUM(AL9:AL14)</f>
        <v>3748.8130000000037</v>
      </c>
      <c r="AM15" s="1783"/>
      <c r="AN15" s="1790">
        <f>SUM(AN9:AN14)</f>
        <v>3992.2940000000044</v>
      </c>
      <c r="AO15" s="1861"/>
      <c r="AP15" s="1820">
        <f>SUM(AP9:AP14)</f>
        <v>3626.129000000004</v>
      </c>
      <c r="AQ15" s="1861"/>
      <c r="AR15" s="1790">
        <f>SUM(AR9:AR14)</f>
        <v>4803.8560000000052</v>
      </c>
      <c r="AS15" s="1861"/>
      <c r="AT15" s="1790">
        <f>SUM(AT9:AT14)</f>
        <v>5099.526950000004</v>
      </c>
      <c r="AU15" s="1861"/>
      <c r="AV15" s="1790">
        <f>SUM(AV9:AV14)</f>
        <v>5132.6320000000032</v>
      </c>
      <c r="AW15" s="1861"/>
      <c r="AX15" s="1790">
        <f>SUM(AX9:AX14)</f>
        <v>5711.5430000000033</v>
      </c>
      <c r="AY15" s="1861"/>
      <c r="AZ15" s="1790">
        <f>SUM(AZ9:AZ14)</f>
        <v>6067.9981200000029</v>
      </c>
      <c r="BA15" s="1861"/>
      <c r="BB15" s="1790">
        <f>SUM(BB9:BB14)</f>
        <v>6714.9710100000011</v>
      </c>
      <c r="BC15" s="1861"/>
      <c r="BD15" s="1790">
        <f>SUM(BD9:BD14)</f>
        <v>6772.5560099999984</v>
      </c>
      <c r="BE15" s="1861"/>
      <c r="BF15" s="1790">
        <f>SUM(BF9:BF14)</f>
        <v>7750.7700100000047</v>
      </c>
      <c r="BG15" s="1861"/>
      <c r="BH15" s="1790">
        <f>SUM(BH9:BH14)</f>
        <v>8485.6930100000081</v>
      </c>
      <c r="BI15" s="1861"/>
      <c r="BJ15" s="1790">
        <f>SUM(BJ9:BJ14)</f>
        <v>8007.842741182586</v>
      </c>
      <c r="BK15" s="1861"/>
      <c r="BL15" s="1790">
        <f>SUM(BL9:BL14)</f>
        <v>8043.9471538191192</v>
      </c>
      <c r="BM15" s="1790"/>
      <c r="BN15" s="1790">
        <f>SUM(BN9:BN14)</f>
        <v>8232.9776894195675</v>
      </c>
      <c r="BO15" s="1790"/>
      <c r="BP15" s="1790">
        <f>SUM(BP9:BP14)</f>
        <v>8426.8826407251599</v>
      </c>
      <c r="BQ15" s="1790"/>
      <c r="BR15" s="1790">
        <f>SUM(BR9:BR14)</f>
        <v>8451.8770782154243</v>
      </c>
      <c r="BS15" s="1783"/>
      <c r="BT15" s="1783"/>
      <c r="BU15" s="1783"/>
      <c r="BV15" s="1783"/>
      <c r="BW15" s="1783"/>
      <c r="BX15" s="1783"/>
    </row>
    <row r="16" spans="1:76">
      <c r="A16" s="1863"/>
      <c r="B16" s="1783"/>
      <c r="C16" s="1783"/>
      <c r="D16" s="1783"/>
      <c r="E16" s="1790"/>
      <c r="F16" s="1783"/>
      <c r="G16" s="1790"/>
      <c r="H16" s="1783"/>
      <c r="I16" s="1790"/>
      <c r="J16" s="1783"/>
      <c r="K16" s="1790"/>
      <c r="L16" s="1783"/>
      <c r="M16" s="1790"/>
      <c r="N16" s="1790"/>
      <c r="O16" s="1783"/>
      <c r="P16" s="1790"/>
      <c r="Q16" s="1783"/>
      <c r="R16" s="1790"/>
      <c r="S16" s="1783"/>
      <c r="T16" s="1790"/>
      <c r="U16" s="1783"/>
      <c r="V16" s="1790"/>
      <c r="W16" s="1783"/>
      <c r="X16" s="1790"/>
      <c r="Y16" s="1783"/>
      <c r="Z16" s="1790"/>
      <c r="AA16" s="1783"/>
      <c r="AB16" s="1790"/>
      <c r="AC16" s="1783"/>
      <c r="AD16" s="1790"/>
      <c r="AE16" s="1783"/>
      <c r="AF16" s="1790"/>
      <c r="AG16" s="1783"/>
      <c r="AH16" s="1790"/>
      <c r="AI16" s="1783"/>
      <c r="AJ16" s="1790"/>
      <c r="AK16" s="1783"/>
      <c r="AL16" s="1790"/>
      <c r="AM16" s="1783"/>
      <c r="AN16" s="1790"/>
      <c r="AO16" s="1861"/>
      <c r="AP16" s="1820"/>
      <c r="AQ16" s="1861"/>
      <c r="AR16" s="1790"/>
      <c r="AS16" s="1861"/>
      <c r="AT16" s="1790"/>
      <c r="AU16" s="1861"/>
      <c r="AV16" s="1790"/>
      <c r="AW16" s="1861"/>
      <c r="AX16" s="1790"/>
      <c r="AY16" s="1861"/>
      <c r="AZ16" s="1790"/>
      <c r="BA16" s="1861"/>
      <c r="BB16" s="1790"/>
      <c r="BC16" s="1861"/>
      <c r="BD16" s="1790"/>
      <c r="BE16" s="1861"/>
      <c r="BF16" s="1790"/>
      <c r="BG16" s="1861"/>
      <c r="BH16" s="1790"/>
      <c r="BI16" s="1861"/>
      <c r="BJ16" s="1790"/>
      <c r="BK16" s="1861"/>
      <c r="BL16" s="1790"/>
      <c r="BM16" s="1790"/>
      <c r="BN16" s="1790"/>
      <c r="BO16" s="1790"/>
      <c r="BP16" s="1790"/>
      <c r="BQ16" s="1790"/>
      <c r="BR16" s="1790"/>
      <c r="BS16" s="1783"/>
      <c r="BT16" s="1783"/>
      <c r="BU16" s="1783"/>
      <c r="BV16" s="1783"/>
      <c r="BW16" s="1783"/>
      <c r="BX16" s="1783"/>
    </row>
    <row r="17" spans="1:76" hidden="1" outlineLevel="1">
      <c r="A17" s="1863"/>
      <c r="B17" s="1783" t="s">
        <v>140</v>
      </c>
      <c r="C17" s="1783"/>
      <c r="D17" s="1783"/>
      <c r="E17" s="1790"/>
      <c r="F17" s="1783"/>
      <c r="G17" s="1790"/>
      <c r="H17" s="1783"/>
      <c r="I17" s="1790"/>
      <c r="J17" s="1783"/>
      <c r="K17" s="1790"/>
      <c r="L17" s="1783"/>
      <c r="M17" s="1790"/>
      <c r="N17" s="1790"/>
      <c r="O17" s="1783"/>
      <c r="P17" s="1790"/>
      <c r="Q17" s="1783"/>
      <c r="R17" s="1790"/>
      <c r="S17" s="1783"/>
      <c r="T17" s="1790"/>
      <c r="U17" s="1783"/>
      <c r="V17" s="1790"/>
      <c r="W17" s="1783"/>
      <c r="X17" s="1790"/>
      <c r="Y17" s="1783"/>
      <c r="Z17" s="1790"/>
      <c r="AA17" s="1783"/>
      <c r="AB17" s="1790"/>
      <c r="AC17" s="1783"/>
      <c r="AD17" s="1790"/>
      <c r="AE17" s="1783"/>
      <c r="AF17" s="1790"/>
      <c r="AG17" s="1783"/>
      <c r="AH17" s="1819">
        <v>261.77800000000002</v>
      </c>
      <c r="AI17" s="1819">
        <v>262.77800000000002</v>
      </c>
      <c r="AJ17" s="1819">
        <v>260.55599999999998</v>
      </c>
      <c r="AK17" s="1783"/>
      <c r="AL17" s="1819">
        <v>268.05599999999998</v>
      </c>
      <c r="AM17" s="1783"/>
      <c r="AN17" s="1819">
        <v>277.988</v>
      </c>
      <c r="AO17" s="1861"/>
      <c r="AP17" s="1819">
        <v>280.27800000000002</v>
      </c>
      <c r="AQ17" s="1861"/>
      <c r="AR17" s="1819">
        <v>281.52699999999999</v>
      </c>
      <c r="AS17" s="1861"/>
      <c r="AT17" s="1819">
        <v>320.63299999999998</v>
      </c>
      <c r="AU17" s="1861"/>
      <c r="AV17" s="1819">
        <v>349.77800000000002</v>
      </c>
      <c r="AW17" s="1861"/>
      <c r="AX17" s="1819">
        <v>607.75900000000001</v>
      </c>
      <c r="AY17" s="1861"/>
      <c r="AZ17" s="1820">
        <f>AX17</f>
        <v>607.75900000000001</v>
      </c>
      <c r="BA17" s="1861"/>
      <c r="BB17" s="1820">
        <f>AZ17</f>
        <v>607.75900000000001</v>
      </c>
      <c r="BC17" s="1861"/>
      <c r="BD17" s="1933">
        <v>1013.247</v>
      </c>
      <c r="BE17" s="1861"/>
      <c r="BF17" s="1820">
        <f>BD17</f>
        <v>1013.247</v>
      </c>
      <c r="BG17" s="1861"/>
      <c r="BH17" s="1820">
        <f>BF17</f>
        <v>1013.247</v>
      </c>
      <c r="BI17" s="1861"/>
      <c r="BJ17" s="1820">
        <f>BH17</f>
        <v>1013.247</v>
      </c>
      <c r="BK17" s="1861"/>
      <c r="BL17" s="1820">
        <f>BJ17</f>
        <v>1013.247</v>
      </c>
      <c r="BM17" s="1820"/>
      <c r="BN17" s="1820">
        <f>BL17</f>
        <v>1013.247</v>
      </c>
      <c r="BO17" s="1820"/>
      <c r="BP17" s="1820">
        <f>BN17</f>
        <v>1013.247</v>
      </c>
      <c r="BQ17" s="1820"/>
      <c r="BR17" s="1820">
        <f>BP17</f>
        <v>1013.247</v>
      </c>
      <c r="BS17" s="1783"/>
      <c r="BT17" s="1783"/>
      <c r="BU17" s="1783"/>
      <c r="BV17" s="1783"/>
      <c r="BW17" s="1783"/>
      <c r="BX17" s="1783"/>
    </row>
    <row r="18" spans="1:76" hidden="1" outlineLevel="1">
      <c r="A18" s="1863"/>
      <c r="B18" s="1783" t="s">
        <v>141</v>
      </c>
      <c r="C18" s="1783"/>
      <c r="D18" s="1783"/>
      <c r="E18" s="1790"/>
      <c r="F18" s="1783"/>
      <c r="G18" s="1790"/>
      <c r="H18" s="1783"/>
      <c r="I18" s="1790"/>
      <c r="J18" s="1783"/>
      <c r="K18" s="1790"/>
      <c r="L18" s="1783"/>
      <c r="M18" s="1790"/>
      <c r="N18" s="1790"/>
      <c r="O18" s="1783"/>
      <c r="P18" s="1790"/>
      <c r="Q18" s="1783"/>
      <c r="R18" s="1790"/>
      <c r="S18" s="1783"/>
      <c r="T18" s="1790"/>
      <c r="U18" s="1783"/>
      <c r="V18" s="1790"/>
      <c r="W18" s="1783"/>
      <c r="X18" s="1790"/>
      <c r="Y18" s="1783"/>
      <c r="Z18" s="1790"/>
      <c r="AA18" s="1783"/>
      <c r="AB18" s="1790"/>
      <c r="AC18" s="1783"/>
      <c r="AD18" s="1790"/>
      <c r="AE18" s="1783"/>
      <c r="AF18" s="1790"/>
      <c r="AG18" s="1783"/>
      <c r="AH18" s="1800">
        <v>1332.58</v>
      </c>
      <c r="AI18" s="1800">
        <v>1332.58</v>
      </c>
      <c r="AJ18" s="1800">
        <v>1493.7470000000001</v>
      </c>
      <c r="AK18" s="1783"/>
      <c r="AL18" s="1800">
        <v>1628.867</v>
      </c>
      <c r="AM18" s="1783"/>
      <c r="AN18" s="1800">
        <v>1785.4290000000001</v>
      </c>
      <c r="AO18" s="1861"/>
      <c r="AP18" s="1800">
        <v>1728.3620000000001</v>
      </c>
      <c r="AQ18" s="1861"/>
      <c r="AR18" s="1800">
        <v>1930.9770000000001</v>
      </c>
      <c r="AS18" s="1861"/>
      <c r="AT18" s="1800">
        <v>2112.1509999999998</v>
      </c>
      <c r="AU18" s="1861"/>
      <c r="AV18" s="1800">
        <v>2311.8130000000001</v>
      </c>
      <c r="AW18" s="1861"/>
      <c r="AX18" s="1800">
        <v>2514.998</v>
      </c>
      <c r="AY18" s="1861"/>
      <c r="AZ18" s="1799">
        <f>AX18</f>
        <v>2514.998</v>
      </c>
      <c r="BA18" s="1861"/>
      <c r="BB18" s="1799">
        <f>AZ18</f>
        <v>2514.998</v>
      </c>
      <c r="BC18" s="1861"/>
      <c r="BD18" s="1931">
        <v>2943.1909999999998</v>
      </c>
      <c r="BE18" s="1861"/>
      <c r="BF18" s="1799">
        <f>BD18</f>
        <v>2943.1909999999998</v>
      </c>
      <c r="BG18" s="1861"/>
      <c r="BH18" s="1799">
        <f>BF18</f>
        <v>2943.1909999999998</v>
      </c>
      <c r="BI18" s="1861"/>
      <c r="BJ18" s="1799">
        <f>BH18</f>
        <v>2943.1909999999998</v>
      </c>
      <c r="BK18" s="1861"/>
      <c r="BL18" s="1799">
        <f>BJ18</f>
        <v>2943.1909999999998</v>
      </c>
      <c r="BM18" s="1799"/>
      <c r="BN18" s="1799">
        <f>BL18</f>
        <v>2943.1909999999998</v>
      </c>
      <c r="BO18" s="1799"/>
      <c r="BP18" s="1799">
        <f>BN18</f>
        <v>2943.1909999999998</v>
      </c>
      <c r="BQ18" s="1799"/>
      <c r="BR18" s="1799">
        <f>BP18</f>
        <v>2943.1909999999998</v>
      </c>
      <c r="BS18" s="1783"/>
      <c r="BT18" s="1783"/>
      <c r="BU18" s="1783"/>
      <c r="BV18" s="1783"/>
      <c r="BW18" s="1783"/>
      <c r="BX18" s="1783"/>
    </row>
    <row r="19" spans="1:76" hidden="1" outlineLevel="1">
      <c r="A19" s="1860"/>
      <c r="B19" s="1783" t="s">
        <v>142</v>
      </c>
      <c r="C19" s="1783"/>
      <c r="D19" s="1783"/>
      <c r="E19" s="1819">
        <v>499.67200000000003</v>
      </c>
      <c r="F19" s="1783"/>
      <c r="G19" s="1819">
        <v>583.25800000000004</v>
      </c>
      <c r="H19" s="1783"/>
      <c r="I19" s="1819">
        <v>657.17499999999995</v>
      </c>
      <c r="J19" s="1783"/>
      <c r="K19" s="1819">
        <v>765.82799999999997</v>
      </c>
      <c r="L19" s="1783"/>
      <c r="M19" s="1819">
        <v>865.42</v>
      </c>
      <c r="N19" s="1819">
        <v>746.92899999999997</v>
      </c>
      <c r="O19" s="1783"/>
      <c r="P19" s="1819">
        <v>1073.7919999999999</v>
      </c>
      <c r="Q19" s="1783"/>
      <c r="R19" s="1819">
        <v>1059.6130000000001</v>
      </c>
      <c r="S19" s="1783"/>
      <c r="T19" s="1819">
        <v>1201.163</v>
      </c>
      <c r="U19" s="1783"/>
      <c r="V19" s="1819">
        <v>1373.904</v>
      </c>
      <c r="W19" s="1783"/>
      <c r="X19" s="1819">
        <v>1588.8989999999999</v>
      </c>
      <c r="Y19" s="1783"/>
      <c r="Z19" s="1819">
        <v>1822.5730000000001</v>
      </c>
      <c r="AA19" s="1783"/>
      <c r="AB19" s="1819">
        <v>2236.1149999999998</v>
      </c>
      <c r="AC19" s="1783"/>
      <c r="AD19" s="1819">
        <v>2610.9140000000002</v>
      </c>
      <c r="AE19" s="1783"/>
      <c r="AF19" s="1819">
        <f>256.529+1114.576+1686.447</f>
        <v>3057.5519999999997</v>
      </c>
      <c r="AG19" s="1783"/>
      <c r="AH19" s="1800">
        <v>1940.1780000000001</v>
      </c>
      <c r="AI19" s="1800">
        <v>1940.1780000000001</v>
      </c>
      <c r="AJ19" s="1800">
        <v>2177.614</v>
      </c>
      <c r="AK19" s="1783"/>
      <c r="AL19" s="1800">
        <v>2373.1170000000002</v>
      </c>
      <c r="AM19" s="1783"/>
      <c r="AN19" s="1819">
        <v>2675.009</v>
      </c>
      <c r="AO19" s="1861"/>
      <c r="AP19" s="1819">
        <v>2784.3159999999998</v>
      </c>
      <c r="AQ19" s="1861"/>
      <c r="AR19" s="1819">
        <v>3087.4189999999999</v>
      </c>
      <c r="AS19" s="1861"/>
      <c r="AT19" s="1819">
        <v>3256.4459999999999</v>
      </c>
      <c r="AU19" s="1861"/>
      <c r="AV19" s="1819">
        <v>3426.9659999999999</v>
      </c>
      <c r="AW19" s="1861"/>
      <c r="AX19" s="1819">
        <v>3771.9989999999998</v>
      </c>
      <c r="AY19" s="1861"/>
      <c r="AZ19" s="1820">
        <f>+AX19+flow!AX21+flow!AX23-flow!AX10</f>
        <v>4807.5989999999993</v>
      </c>
      <c r="BA19" s="1861"/>
      <c r="BB19" s="1820">
        <f>BB21-SUM(BB17:BB18,BB20)</f>
        <v>5609.6979999999994</v>
      </c>
      <c r="BC19" s="1861"/>
      <c r="BD19" s="1933">
        <v>5112.2290000000003</v>
      </c>
      <c r="BE19" s="1861"/>
      <c r="BF19" s="1820">
        <f>BD19</f>
        <v>5112.2290000000003</v>
      </c>
      <c r="BG19" s="1861"/>
      <c r="BH19" s="1820">
        <f>+BF19+flow!BF21+flow!BF23-flow!BF10</f>
        <v>6025.6289999999999</v>
      </c>
      <c r="BI19" s="1861"/>
      <c r="BJ19" s="1820">
        <f>+BH19+flow!BH21+flow!BH23-flow!BH10</f>
        <v>7225.6289999999999</v>
      </c>
      <c r="BK19" s="1861"/>
      <c r="BL19" s="1820">
        <f>+BJ19+flow!BJ21+flow!BJ23-flow!BJ10</f>
        <v>8525.6290000000008</v>
      </c>
      <c r="BM19" s="1820"/>
      <c r="BN19" s="1820">
        <f>+BL19+flow!BL21+flow!BL23-flow!BL10</f>
        <v>9825.6290000000008</v>
      </c>
      <c r="BO19" s="1820"/>
      <c r="BP19" s="1820">
        <f>+BN19+flow!BN21+flow!BN23-flow!BN10</f>
        <v>11225.629000000001</v>
      </c>
      <c r="BQ19" s="1820"/>
      <c r="BR19" s="1820">
        <f>+BP19+flow!BP21+flow!BP23-flow!BP10</f>
        <v>12725.629000000001</v>
      </c>
      <c r="BS19" s="1783"/>
      <c r="BT19" s="1783"/>
      <c r="BU19" s="1783"/>
      <c r="BV19" s="1783"/>
      <c r="BW19" s="1783"/>
      <c r="BX19" s="1783"/>
    </row>
    <row r="20" spans="1:76" hidden="1" outlineLevel="1">
      <c r="A20" s="1860"/>
      <c r="B20" s="1783" t="s">
        <v>117</v>
      </c>
      <c r="C20" s="1783"/>
      <c r="D20" s="1783"/>
      <c r="E20" s="1800">
        <v>-196.21299999999999</v>
      </c>
      <c r="F20" s="1783"/>
      <c r="G20" s="1800">
        <v>-245.97499999999999</v>
      </c>
      <c r="H20" s="1783"/>
      <c r="I20" s="1800">
        <v>-277.55</v>
      </c>
      <c r="J20" s="1783"/>
      <c r="K20" s="1800">
        <v>-326.685</v>
      </c>
      <c r="L20" s="1783"/>
      <c r="M20" s="1800">
        <v>-377.59500000000003</v>
      </c>
      <c r="N20" s="1800">
        <v>-297.01900000000001</v>
      </c>
      <c r="O20" s="1783"/>
      <c r="P20" s="1800">
        <v>-340.59899999999999</v>
      </c>
      <c r="Q20" s="1783"/>
      <c r="R20" s="1800">
        <v>-419.12900000000002</v>
      </c>
      <c r="S20" s="1783"/>
      <c r="T20" s="1800">
        <v>-515.02700000000004</v>
      </c>
      <c r="U20" s="1783"/>
      <c r="V20" s="1800">
        <v>-617.30200000000002</v>
      </c>
      <c r="W20" s="1783"/>
      <c r="X20" s="1800">
        <v>-754.31399999999996</v>
      </c>
      <c r="Y20" s="1783"/>
      <c r="Z20" s="1825">
        <v>-914.59</v>
      </c>
      <c r="AA20" s="1783"/>
      <c r="AB20" s="1825">
        <v>-1076.1959999999999</v>
      </c>
      <c r="AC20" s="1783"/>
      <c r="AD20" s="1825">
        <v>-1232.1890000000001</v>
      </c>
      <c r="AE20" s="1783"/>
      <c r="AF20" s="1825">
        <v>-1444.231</v>
      </c>
      <c r="AG20" s="1783"/>
      <c r="AH20" s="1825">
        <v>-1697.7909999999999</v>
      </c>
      <c r="AI20" s="1814">
        <v>-1697.7909999999999</v>
      </c>
      <c r="AJ20" s="1825">
        <v>-1941.02</v>
      </c>
      <c r="AK20" s="1783"/>
      <c r="AL20" s="1825">
        <v>-2251.5790000000002</v>
      </c>
      <c r="AM20" s="1783"/>
      <c r="AN20" s="1825">
        <v>-2520.973</v>
      </c>
      <c r="AO20" s="1861"/>
      <c r="AP20" s="1864">
        <v>-2607.1999999999998</v>
      </c>
      <c r="AQ20" s="1861"/>
      <c r="AR20" s="1864">
        <v>-3026.0410000000002</v>
      </c>
      <c r="AS20" s="1861"/>
      <c r="AT20" s="1825">
        <v>-3239.4290000000001</v>
      </c>
      <c r="AU20" s="1861"/>
      <c r="AV20" s="1825">
        <v>-3382.18</v>
      </c>
      <c r="AW20" s="1861"/>
      <c r="AX20" s="1825">
        <v>-3671.5140000000001</v>
      </c>
      <c r="AY20" s="1861"/>
      <c r="AZ20" s="1824">
        <f>AZ21-SUM(AZ17:AZ19)</f>
        <v>-4335.8549999999996</v>
      </c>
      <c r="BA20" s="1861"/>
      <c r="BB20" s="1824">
        <f>+AZ20-flow!AZ9</f>
        <v>-4924.8549999999996</v>
      </c>
      <c r="BC20" s="1861"/>
      <c r="BD20" s="1934">
        <v>-4931.0919999999996</v>
      </c>
      <c r="BE20" s="1861"/>
      <c r="BF20" s="1824">
        <f>BD20</f>
        <v>-4931.0919999999996</v>
      </c>
      <c r="BG20" s="1861"/>
      <c r="BH20" s="1824">
        <f>+BF20-flow!BF9</f>
        <v>-5657.0919999999996</v>
      </c>
      <c r="BI20" s="1861"/>
      <c r="BJ20" s="1824">
        <f>+BH20-flow!BH9</f>
        <v>-6377.0919999999996</v>
      </c>
      <c r="BK20" s="1861"/>
      <c r="BL20" s="1824">
        <f>+BJ20-flow!BJ9</f>
        <v>-7140.2919999999995</v>
      </c>
      <c r="BM20" s="1824"/>
      <c r="BN20" s="1824">
        <f>+BL20-flow!BL9</f>
        <v>-7949.2839999999997</v>
      </c>
      <c r="BO20" s="1824"/>
      <c r="BP20" s="1824">
        <f>+BN20-flow!BN9</f>
        <v>-8806.8155200000001</v>
      </c>
      <c r="BQ20" s="1824"/>
      <c r="BR20" s="1824">
        <f>+BP20-flow!BP9</f>
        <v>-9715.7989312000009</v>
      </c>
      <c r="BS20" s="1783"/>
      <c r="BT20" s="1783"/>
      <c r="BU20" s="1783"/>
      <c r="BV20" s="1783"/>
      <c r="BW20" s="1783"/>
      <c r="BX20" s="1783"/>
    </row>
    <row r="21" spans="1:76" collapsed="1">
      <c r="A21" s="1860"/>
      <c r="B21" s="1783"/>
      <c r="C21" s="1783" t="s">
        <v>662</v>
      </c>
      <c r="D21" s="1783"/>
      <c r="E21" s="1799">
        <f>+E19+E20</f>
        <v>303.45900000000006</v>
      </c>
      <c r="F21" s="1783"/>
      <c r="G21" s="1799">
        <f>+G19+G20</f>
        <v>337.28300000000002</v>
      </c>
      <c r="H21" s="1783"/>
      <c r="I21" s="1799">
        <f>+I19+I20</f>
        <v>379.62499999999994</v>
      </c>
      <c r="J21" s="1783"/>
      <c r="K21" s="1799">
        <f>+K19+K20</f>
        <v>439.14299999999997</v>
      </c>
      <c r="L21" s="1783"/>
      <c r="M21" s="1799">
        <f>+M19+M20</f>
        <v>487.82499999999993</v>
      </c>
      <c r="N21" s="1799">
        <f>+N19+N20</f>
        <v>449.90999999999997</v>
      </c>
      <c r="O21" s="1783"/>
      <c r="P21" s="1799">
        <f>+P19+P20</f>
        <v>733.19299999999998</v>
      </c>
      <c r="Q21" s="1783"/>
      <c r="R21" s="1799">
        <f>+R19+R20</f>
        <v>640.48400000000004</v>
      </c>
      <c r="S21" s="1783"/>
      <c r="T21" s="1799">
        <f>+T19+T20</f>
        <v>686.13599999999997</v>
      </c>
      <c r="U21" s="1783"/>
      <c r="V21" s="1799">
        <f>+V19+V20</f>
        <v>756.60199999999998</v>
      </c>
      <c r="W21" s="1783"/>
      <c r="X21" s="1799">
        <f>+X19+X20</f>
        <v>834.58499999999992</v>
      </c>
      <c r="Y21" s="1783"/>
      <c r="Z21" s="1790">
        <f>+Z19+Z20</f>
        <v>907.98300000000006</v>
      </c>
      <c r="AA21" s="1790"/>
      <c r="AB21" s="1790">
        <f>+AB19+AB20</f>
        <v>1159.9189999999999</v>
      </c>
      <c r="AC21" s="1790"/>
      <c r="AD21" s="1790">
        <f>+AD19+AD20</f>
        <v>1378.7250000000001</v>
      </c>
      <c r="AE21" s="1790"/>
      <c r="AF21" s="1790">
        <f>+AF19+AF20</f>
        <v>1613.3209999999997</v>
      </c>
      <c r="AG21" s="1790"/>
      <c r="AH21" s="1790">
        <f>+SUM(AH17:AH20)</f>
        <v>1836.7450000000001</v>
      </c>
      <c r="AI21" s="1790">
        <f>+SUM(AI17:AI20)</f>
        <v>1837.7450000000001</v>
      </c>
      <c r="AJ21" s="1790">
        <f>+SUM(AJ17:AJ20)</f>
        <v>1990.8970000000004</v>
      </c>
      <c r="AK21" s="1783"/>
      <c r="AL21" s="1790">
        <f>+SUM(AL17:AL20)</f>
        <v>2018.4609999999998</v>
      </c>
      <c r="AM21" s="1790"/>
      <c r="AN21" s="1790">
        <f>+SUM(AN17:AN20)</f>
        <v>2217.4529999999995</v>
      </c>
      <c r="AO21" s="1790"/>
      <c r="AP21" s="1790">
        <f>+SUM(AP17:AP20)</f>
        <v>2185.7560000000003</v>
      </c>
      <c r="AQ21" s="1790"/>
      <c r="AR21" s="1790">
        <f>+SUM(AR17:AR20)</f>
        <v>2273.8819999999996</v>
      </c>
      <c r="AS21" s="1790"/>
      <c r="AT21" s="1790">
        <f>+SUM(AT17:AT20)</f>
        <v>2449.8009999999995</v>
      </c>
      <c r="AU21" s="1790"/>
      <c r="AV21" s="1790">
        <f>+SUM(AV17:AV20)</f>
        <v>2706.3770000000009</v>
      </c>
      <c r="AW21" s="1790">
        <f>+SUM(AW17:AW20)</f>
        <v>0</v>
      </c>
      <c r="AX21" s="1790">
        <f>+SUM(AX17:AX20)</f>
        <v>3223.2419999999993</v>
      </c>
      <c r="AY21" s="1790"/>
      <c r="AZ21" s="1818">
        <v>3594.5010000000002</v>
      </c>
      <c r="BA21" s="1790"/>
      <c r="BB21" s="1818">
        <v>3807.6</v>
      </c>
      <c r="BC21" s="1790"/>
      <c r="BD21" s="1818">
        <f>SUM(BD17:BD20)</f>
        <v>4137.5749999999998</v>
      </c>
      <c r="BE21" s="1790"/>
      <c r="BF21" s="1932">
        <v>4532.8940000000002</v>
      </c>
      <c r="BG21" s="1790"/>
      <c r="BH21" s="1932">
        <v>5006</v>
      </c>
      <c r="BI21" s="1790"/>
      <c r="BJ21" s="1790">
        <f>BH21+flow!BH21-flow!BH9</f>
        <v>5486</v>
      </c>
      <c r="BK21" s="1790"/>
      <c r="BL21" s="1790">
        <f>BJ21+flow!BJ21-flow!BJ9</f>
        <v>6022.8</v>
      </c>
      <c r="BM21" s="1790"/>
      <c r="BN21" s="1790">
        <f>BL21+flow!BL21-flow!BL9</f>
        <v>6513.808</v>
      </c>
      <c r="BO21" s="1790"/>
      <c r="BP21" s="1790">
        <f>BN21+flow!BN21-flow!BN9</f>
        <v>7056.2764799999995</v>
      </c>
      <c r="BQ21" s="1790"/>
      <c r="BR21" s="1790">
        <f>BP21+flow!BP21-flow!BP9</f>
        <v>7647.2930688000006</v>
      </c>
      <c r="BS21" s="1783"/>
      <c r="BT21" s="1783"/>
      <c r="BU21" s="1783"/>
      <c r="BV21" s="1783"/>
      <c r="BW21" s="1783"/>
      <c r="BX21" s="1783"/>
    </row>
    <row r="22" spans="1:76" ht="12.75" customHeight="1">
      <c r="A22" s="1860"/>
      <c r="B22" s="1783" t="s">
        <v>538</v>
      </c>
      <c r="C22" s="1783"/>
      <c r="D22" s="1783"/>
      <c r="E22" s="1800"/>
      <c r="F22" s="1783"/>
      <c r="G22" s="1800"/>
      <c r="H22" s="1783"/>
      <c r="I22" s="1800"/>
      <c r="J22" s="1783"/>
      <c r="K22" s="1800"/>
      <c r="L22" s="1783"/>
      <c r="M22" s="1800"/>
      <c r="N22" s="1800">
        <v>0</v>
      </c>
      <c r="O22" s="1783"/>
      <c r="P22" s="1800">
        <v>0</v>
      </c>
      <c r="Q22" s="1783"/>
      <c r="R22" s="1800">
        <v>0</v>
      </c>
      <c r="S22" s="1783"/>
      <c r="T22" s="1800">
        <v>0</v>
      </c>
      <c r="U22" s="1783"/>
      <c r="V22" s="1800">
        <v>22.385999999999999</v>
      </c>
      <c r="W22" s="1783"/>
      <c r="X22" s="1800">
        <v>23.143000000000001</v>
      </c>
      <c r="Y22" s="1783"/>
      <c r="Z22" s="1800">
        <v>3.3940000000000001</v>
      </c>
      <c r="AA22" s="1783"/>
      <c r="AB22" s="1800">
        <v>26.574999999999999</v>
      </c>
      <c r="AC22" s="1783"/>
      <c r="AD22" s="1800">
        <v>0</v>
      </c>
      <c r="AE22" s="1783"/>
      <c r="AF22" s="1800">
        <v>0</v>
      </c>
      <c r="AG22" s="1783"/>
      <c r="AH22" s="1800">
        <v>0</v>
      </c>
      <c r="AI22" s="1783"/>
      <c r="AJ22" s="1800">
        <v>6.3949999999999996</v>
      </c>
      <c r="AK22" s="1783"/>
      <c r="AL22" s="1800">
        <v>0</v>
      </c>
      <c r="AM22" s="1783"/>
      <c r="AN22" s="1800">
        <v>0</v>
      </c>
      <c r="AO22" s="1861"/>
      <c r="AP22" s="1800">
        <v>0</v>
      </c>
      <c r="AQ22" s="1861"/>
      <c r="AR22" s="1800">
        <v>0</v>
      </c>
      <c r="AS22" s="1861"/>
      <c r="AT22" s="1800">
        <v>0</v>
      </c>
      <c r="AU22" s="1861"/>
      <c r="AV22" s="1800">
        <v>0</v>
      </c>
      <c r="AW22" s="1861"/>
      <c r="AX22" s="1800">
        <v>0</v>
      </c>
      <c r="AY22" s="1861"/>
      <c r="AZ22" s="1800">
        <v>0</v>
      </c>
      <c r="BA22" s="1861"/>
      <c r="BB22" s="1800">
        <v>0</v>
      </c>
      <c r="BC22" s="1861"/>
      <c r="BD22" s="1800">
        <v>13.831</v>
      </c>
      <c r="BE22" s="1861"/>
      <c r="BF22" s="1800">
        <v>6.1929999999999996</v>
      </c>
      <c r="BG22" s="1861"/>
      <c r="BH22" s="1800">
        <v>0</v>
      </c>
      <c r="BI22" s="1861"/>
      <c r="BJ22" s="1800">
        <v>0</v>
      </c>
      <c r="BK22" s="1861"/>
      <c r="BL22" s="1800">
        <v>0</v>
      </c>
      <c r="BM22" s="1800"/>
      <c r="BN22" s="1800">
        <v>0</v>
      </c>
      <c r="BO22" s="1800"/>
      <c r="BP22" s="1800">
        <v>0</v>
      </c>
      <c r="BQ22" s="1800"/>
      <c r="BR22" s="1800">
        <v>0</v>
      </c>
      <c r="BS22" s="1783"/>
      <c r="BT22" s="1783"/>
      <c r="BU22" s="1783"/>
      <c r="BV22" s="1783"/>
      <c r="BW22" s="1783"/>
      <c r="BX22" s="1783"/>
    </row>
    <row r="23" spans="1:76">
      <c r="A23" s="1860"/>
      <c r="B23" s="1783" t="s">
        <v>653</v>
      </c>
      <c r="C23" s="1783"/>
      <c r="D23" s="1783"/>
      <c r="E23" s="1800">
        <v>100.79300000000001</v>
      </c>
      <c r="F23" s="1783"/>
      <c r="G23" s="1800">
        <v>98.159000000000006</v>
      </c>
      <c r="H23" s="1783"/>
      <c r="I23" s="1800">
        <v>95.341999999999999</v>
      </c>
      <c r="J23" s="1783"/>
      <c r="K23" s="1800">
        <v>92.626999999999995</v>
      </c>
      <c r="L23" s="1783"/>
      <c r="M23" s="1800">
        <v>89.876999999999995</v>
      </c>
      <c r="N23" s="1800">
        <v>89.876999999999995</v>
      </c>
      <c r="O23" s="1783"/>
      <c r="P23" s="1800">
        <v>236.04300000000001</v>
      </c>
      <c r="Q23" s="1783"/>
      <c r="R23" s="1800">
        <v>216.12700000000001</v>
      </c>
      <c r="S23" s="1783"/>
      <c r="T23" s="1800">
        <v>204.22</v>
      </c>
      <c r="U23" s="1783"/>
      <c r="V23" s="1800">
        <v>198.31700000000001</v>
      </c>
      <c r="W23" s="1783"/>
      <c r="X23" s="1800">
        <v>190.84399999999999</v>
      </c>
      <c r="Y23" s="1783"/>
      <c r="Z23" s="1800">
        <v>184.98599999999999</v>
      </c>
      <c r="AA23" s="1783"/>
      <c r="AB23" s="1800">
        <v>179.101</v>
      </c>
      <c r="AC23" s="1783"/>
      <c r="AD23" s="1800">
        <v>179.18299999999999</v>
      </c>
      <c r="AE23" s="1783"/>
      <c r="AF23" s="1800">
        <v>183.827</v>
      </c>
      <c r="AG23" s="1783"/>
      <c r="AH23" s="1800">
        <v>183.76300000000001</v>
      </c>
      <c r="AI23" s="1783"/>
      <c r="AJ23" s="1800">
        <v>183.42500000000001</v>
      </c>
      <c r="AK23" s="1783"/>
      <c r="AL23" s="1800">
        <v>182.898</v>
      </c>
      <c r="AM23" s="1783"/>
      <c r="AN23" s="1800">
        <v>181.524</v>
      </c>
      <c r="AO23" s="1861"/>
      <c r="AP23" s="1800">
        <v>179.52799999999999</v>
      </c>
      <c r="AQ23" s="1861"/>
      <c r="AR23" s="1800">
        <v>179.79400000000001</v>
      </c>
      <c r="AS23" s="1861"/>
      <c r="AT23" s="1800">
        <v>179.93600000000001</v>
      </c>
      <c r="AU23" s="1861"/>
      <c r="AV23" s="1800">
        <v>179.935</v>
      </c>
      <c r="AW23" s="1861"/>
      <c r="AX23" s="1800">
        <v>316.26900000000001</v>
      </c>
      <c r="AY23" s="1861"/>
      <c r="AZ23" s="1800">
        <v>312.68700000000001</v>
      </c>
      <c r="BA23" s="1861"/>
      <c r="BB23" s="1800">
        <v>309.89999999999998</v>
      </c>
      <c r="BC23" s="1861"/>
      <c r="BD23" s="1800">
        <v>193.911</v>
      </c>
      <c r="BE23" s="1861"/>
      <c r="BF23" s="1931">
        <v>195.87100000000001</v>
      </c>
      <c r="BG23" s="1861"/>
      <c r="BH23" s="1931">
        <v>100.1</v>
      </c>
      <c r="BI23" s="1861"/>
      <c r="BJ23" s="1799">
        <f>+BH23</f>
        <v>100.1</v>
      </c>
      <c r="BK23" s="1861"/>
      <c r="BL23" s="1799">
        <f>+BJ23</f>
        <v>100.1</v>
      </c>
      <c r="BM23" s="1799"/>
      <c r="BN23" s="1799">
        <f>+BL23</f>
        <v>100.1</v>
      </c>
      <c r="BO23" s="1799"/>
      <c r="BP23" s="1799">
        <f>+BN23</f>
        <v>100.1</v>
      </c>
      <c r="BQ23" s="1799"/>
      <c r="BR23" s="1799">
        <f>+BP23</f>
        <v>100.1</v>
      </c>
      <c r="BS23" s="1783"/>
      <c r="BT23" s="1783"/>
      <c r="BU23" s="1783"/>
      <c r="BV23" s="1783"/>
      <c r="BW23" s="1783"/>
      <c r="BX23" s="1783"/>
    </row>
    <row r="24" spans="1:76">
      <c r="A24" s="1860"/>
      <c r="B24" s="1783" t="s">
        <v>681</v>
      </c>
      <c r="C24" s="1783"/>
      <c r="D24" s="1783"/>
      <c r="E24" s="1800">
        <v>11.734</v>
      </c>
      <c r="F24" s="1783"/>
      <c r="G24" s="1800">
        <v>13.584</v>
      </c>
      <c r="H24" s="1783"/>
      <c r="I24" s="1800">
        <v>9.07</v>
      </c>
      <c r="J24" s="1783"/>
      <c r="K24" s="1800">
        <v>13.744</v>
      </c>
      <c r="L24" s="1783"/>
      <c r="M24" s="1800">
        <v>14.319000000000001</v>
      </c>
      <c r="N24" s="1800">
        <v>14.244</v>
      </c>
      <c r="O24" s="1783"/>
      <c r="P24" s="1800">
        <f>37.325+52.299</f>
        <v>89.623999999999995</v>
      </c>
      <c r="Q24" s="1783"/>
      <c r="R24" s="1800">
        <v>42.259</v>
      </c>
      <c r="S24" s="1783"/>
      <c r="T24" s="1800">
        <v>36.645000000000003</v>
      </c>
      <c r="U24" s="1862"/>
      <c r="V24" s="1800">
        <v>27.436</v>
      </c>
      <c r="W24" s="1783"/>
      <c r="X24" s="1800">
        <v>55.826000000000001</v>
      </c>
      <c r="Y24" s="1783"/>
      <c r="Z24" s="1800">
        <v>69.975999999999999</v>
      </c>
      <c r="AA24" s="1783"/>
      <c r="AB24" s="1800">
        <f>83.139+31.083</f>
        <v>114.22199999999999</v>
      </c>
      <c r="AC24" s="1783"/>
      <c r="AD24" s="1800">
        <f>28.849+113.192</f>
        <v>142.041</v>
      </c>
      <c r="AE24" s="1783"/>
      <c r="AF24" s="1800">
        <f>121.255+26.616</f>
        <v>147.87099999999998</v>
      </c>
      <c r="AG24" s="1783"/>
      <c r="AH24" s="1800">
        <f>125.463+24.382</f>
        <v>149.845</v>
      </c>
      <c r="AI24" s="1783"/>
      <c r="AJ24" s="1800">
        <f>153.312+22.149</f>
        <v>175.46100000000001</v>
      </c>
      <c r="AK24" s="1783"/>
      <c r="AL24" s="1800">
        <f>115.613+19.915</f>
        <v>135.52799999999999</v>
      </c>
      <c r="AM24" s="1783"/>
      <c r="AN24" s="1800">
        <f>190.981+17.682</f>
        <v>208.66299999999998</v>
      </c>
      <c r="AO24" s="1861"/>
      <c r="AP24" s="1800">
        <f>171.381+15.448</f>
        <v>186.82900000000001</v>
      </c>
      <c r="AQ24" s="1861"/>
      <c r="AR24" s="1800">
        <f>193.23+13.215</f>
        <v>206.44499999999999</v>
      </c>
      <c r="AS24" s="1861"/>
      <c r="AT24" s="1800">
        <f>231.518+10.981</f>
        <v>242.499</v>
      </c>
      <c r="AU24" s="1861"/>
      <c r="AV24" s="1800">
        <f>253.913+8.748</f>
        <v>262.661</v>
      </c>
      <c r="AW24" s="1861"/>
      <c r="AX24" s="1800">
        <v>260.80099999999999</v>
      </c>
      <c r="AY24" s="1861"/>
      <c r="AZ24" s="1800">
        <f>194.328+31.508</f>
        <v>225.83600000000001</v>
      </c>
      <c r="BA24" s="1861"/>
      <c r="BB24" s="1800">
        <v>235.1</v>
      </c>
      <c r="BC24" s="1861"/>
      <c r="BD24" s="1800">
        <v>372.55399999999997</v>
      </c>
      <c r="BE24" s="1861"/>
      <c r="BF24" s="1931">
        <v>398.07600000000002</v>
      </c>
      <c r="BG24" s="1861"/>
      <c r="BH24" s="1931">
        <v>466.2</v>
      </c>
      <c r="BI24" s="1861"/>
      <c r="BJ24" s="1799">
        <f>+BH24</f>
        <v>466.2</v>
      </c>
      <c r="BK24" s="1861"/>
      <c r="BL24" s="1799">
        <f>+BJ24</f>
        <v>466.2</v>
      </c>
      <c r="BM24" s="1799"/>
      <c r="BN24" s="1799">
        <f>+BL24</f>
        <v>466.2</v>
      </c>
      <c r="BO24" s="1799"/>
      <c r="BP24" s="1799">
        <f>+BN24</f>
        <v>466.2</v>
      </c>
      <c r="BQ24" s="1799"/>
      <c r="BR24" s="1799">
        <f>+BP24</f>
        <v>466.2</v>
      </c>
      <c r="BS24" s="1783"/>
      <c r="BT24" s="1783"/>
      <c r="BU24" s="1783"/>
      <c r="BV24" s="1783"/>
      <c r="BW24" s="1783"/>
      <c r="BX24" s="1783"/>
    </row>
    <row r="25" spans="1:76">
      <c r="A25" s="1860"/>
      <c r="B25" s="1783" t="s">
        <v>109</v>
      </c>
      <c r="C25" s="1783"/>
      <c r="D25" s="1783"/>
      <c r="E25" s="1800"/>
      <c r="F25" s="1783"/>
      <c r="G25" s="1800"/>
      <c r="H25" s="1783"/>
      <c r="I25" s="1800"/>
      <c r="J25" s="1783"/>
      <c r="K25" s="1800"/>
      <c r="L25" s="1783"/>
      <c r="M25" s="1800"/>
      <c r="N25" s="1800">
        <v>37.99</v>
      </c>
      <c r="O25" s="1783"/>
      <c r="P25" s="1800"/>
      <c r="Q25" s="1783"/>
      <c r="R25" s="1800"/>
      <c r="S25" s="1783"/>
      <c r="T25" s="1800"/>
      <c r="U25" s="1862"/>
      <c r="V25" s="1800"/>
      <c r="W25" s="1783"/>
      <c r="X25" s="1800"/>
      <c r="Y25" s="1783"/>
      <c r="Z25" s="1800"/>
      <c r="AA25" s="1783"/>
      <c r="AB25" s="1800"/>
      <c r="AC25" s="1783"/>
      <c r="AD25" s="1800"/>
      <c r="AE25" s="1783"/>
      <c r="AF25" s="1800"/>
      <c r="AG25" s="1783"/>
      <c r="AH25" s="1800"/>
      <c r="AI25" s="1783"/>
      <c r="AJ25" s="1800"/>
      <c r="AK25" s="1783"/>
      <c r="AL25" s="1800"/>
      <c r="AM25" s="1783"/>
      <c r="AN25" s="1800"/>
      <c r="AO25" s="1861"/>
      <c r="AP25" s="1819"/>
      <c r="AQ25" s="1861"/>
      <c r="AR25" s="1800"/>
      <c r="AS25" s="1861"/>
      <c r="AT25" s="1800"/>
      <c r="AU25" s="1861"/>
      <c r="AV25" s="1800"/>
      <c r="AW25" s="1861"/>
      <c r="AX25" s="1800"/>
      <c r="AY25" s="1861"/>
      <c r="AZ25" s="1800"/>
      <c r="BA25" s="1861"/>
      <c r="BB25" s="1800"/>
      <c r="BC25" s="1861"/>
      <c r="BD25" s="1800"/>
      <c r="BE25" s="1861"/>
      <c r="BF25" s="1800"/>
      <c r="BG25" s="1861"/>
      <c r="BH25" s="1800"/>
      <c r="BI25" s="1861"/>
      <c r="BJ25" s="1800"/>
      <c r="BK25" s="1861"/>
      <c r="BL25" s="1800"/>
      <c r="BM25" s="1800"/>
      <c r="BN25" s="1800"/>
      <c r="BO25" s="1800"/>
      <c r="BP25" s="1800"/>
      <c r="BQ25" s="1800"/>
      <c r="BR25" s="1800"/>
      <c r="BS25" s="1783"/>
      <c r="BT25" s="1783"/>
      <c r="BU25" s="1783"/>
      <c r="BV25" s="1783"/>
      <c r="BW25" s="1783"/>
      <c r="BX25" s="1783"/>
    </row>
    <row r="26" spans="1:76">
      <c r="A26" s="1860"/>
      <c r="B26" s="1783"/>
      <c r="C26" s="1783"/>
      <c r="D26" s="1783"/>
      <c r="E26" s="1825"/>
      <c r="F26" s="1783"/>
      <c r="G26" s="1825"/>
      <c r="H26" s="1783"/>
      <c r="I26" s="1825"/>
      <c r="J26" s="1783"/>
      <c r="K26" s="1825"/>
      <c r="L26" s="1783"/>
      <c r="M26" s="1825"/>
      <c r="N26" s="1825"/>
      <c r="O26" s="1783"/>
      <c r="P26" s="1825"/>
      <c r="Q26" s="1783"/>
      <c r="R26" s="1825"/>
      <c r="S26" s="1783"/>
      <c r="T26" s="1865"/>
      <c r="U26" s="1862"/>
      <c r="V26" s="1865"/>
      <c r="W26" s="1783"/>
      <c r="X26" s="1865"/>
      <c r="Y26" s="1783"/>
      <c r="Z26" s="1865"/>
      <c r="AA26" s="1783"/>
      <c r="AB26" s="1865"/>
      <c r="AC26" s="1783"/>
      <c r="AD26" s="1800"/>
      <c r="AE26" s="1783"/>
      <c r="AF26" s="1800"/>
      <c r="AG26" s="1783"/>
      <c r="AH26" s="1800"/>
      <c r="AI26" s="1783"/>
      <c r="AJ26" s="1800"/>
      <c r="AK26" s="1783"/>
      <c r="AL26" s="1800"/>
      <c r="AM26" s="1783"/>
      <c r="AN26" s="1800"/>
      <c r="AO26" s="1861"/>
      <c r="AP26" s="1819"/>
      <c r="AQ26" s="1861"/>
      <c r="AR26" s="1800"/>
      <c r="AS26" s="1861"/>
      <c r="AT26" s="1800"/>
      <c r="AU26" s="1861"/>
      <c r="AV26" s="1800"/>
      <c r="AW26" s="1861"/>
      <c r="AX26" s="1800"/>
      <c r="AY26" s="1861"/>
      <c r="AZ26" s="1800"/>
      <c r="BA26" s="1861"/>
      <c r="BB26" s="1800"/>
      <c r="BC26" s="1861"/>
      <c r="BD26" s="1800"/>
      <c r="BE26" s="1861"/>
      <c r="BF26" s="1800"/>
      <c r="BG26" s="1861"/>
      <c r="BH26" s="1800"/>
      <c r="BI26" s="1861"/>
      <c r="BJ26" s="1800"/>
      <c r="BK26" s="1861"/>
      <c r="BL26" s="1800"/>
      <c r="BM26" s="1800"/>
      <c r="BN26" s="1800"/>
      <c r="BO26" s="1800"/>
      <c r="BP26" s="1800"/>
      <c r="BQ26" s="1800"/>
      <c r="BR26" s="1800"/>
      <c r="BS26" s="1783"/>
      <c r="BT26" s="1783"/>
      <c r="BU26" s="1783"/>
      <c r="BV26" s="1783"/>
      <c r="BW26" s="1783"/>
      <c r="BX26" s="1783"/>
    </row>
    <row r="27" spans="1:76">
      <c r="A27" s="1783" t="s">
        <v>510</v>
      </c>
      <c r="B27" s="1783"/>
      <c r="C27" s="1783"/>
      <c r="D27" s="1783"/>
      <c r="E27" s="1866">
        <f>SUM(E15,E21:E25)</f>
        <v>1047.3009999999999</v>
      </c>
      <c r="F27" s="1790"/>
      <c r="G27" s="1866">
        <f>SUM(G15,G21:G25)</f>
        <v>1105.319</v>
      </c>
      <c r="H27" s="1790"/>
      <c r="I27" s="1866">
        <f>SUM(I15,I21:I25)</f>
        <v>1305.096</v>
      </c>
      <c r="J27" s="1790"/>
      <c r="K27" s="1866">
        <f>SUM(K15,K21:K25)</f>
        <v>1427.37</v>
      </c>
      <c r="L27" s="1790"/>
      <c r="M27" s="1866">
        <f>SUM(M15,M21:M25)</f>
        <v>1638.2179999999998</v>
      </c>
      <c r="N27" s="1866">
        <f>SUM(N15,N21:N25)</f>
        <v>1599.5439999999999</v>
      </c>
      <c r="O27" s="1790"/>
      <c r="P27" s="1866">
        <f>SUM(P15,P21:P25)</f>
        <v>2674.4110000000001</v>
      </c>
      <c r="Q27" s="1790"/>
      <c r="R27" s="1866">
        <f>SUM(R15,R21:R25)</f>
        <v>2561.212</v>
      </c>
      <c r="S27" s="1790"/>
      <c r="T27" s="1866">
        <f>SUM(T15,T21:T25)</f>
        <v>2609.6319999999996</v>
      </c>
      <c r="U27" s="1790"/>
      <c r="V27" s="1866">
        <f>SUM(V15,V21:V25)</f>
        <v>2747.8460000000005</v>
      </c>
      <c r="W27" s="1790"/>
      <c r="X27" s="1866">
        <f>SUM(X15,X21:X25)</f>
        <v>2804.9630000000006</v>
      </c>
      <c r="Y27" s="1790"/>
      <c r="Z27" s="1866">
        <f>SUM(Z15,Z21:Z25)</f>
        <v>2932.2830000000004</v>
      </c>
      <c r="AA27" s="1790"/>
      <c r="AB27" s="1866">
        <f>SUM(AB15,AB21:AB25)</f>
        <v>3595.7429999999999</v>
      </c>
      <c r="AC27" s="1790"/>
      <c r="AD27" s="1866">
        <f>SUM(AD15,AD21:AD25)</f>
        <v>3940.4890000000005</v>
      </c>
      <c r="AE27" s="1790"/>
      <c r="AF27" s="1866">
        <f>SUM(AF15,AF21:AF25)</f>
        <v>4396.7670000000007</v>
      </c>
      <c r="AG27" s="1790"/>
      <c r="AH27" s="1866">
        <f>SUM(AH15,AH21:AH25)</f>
        <v>5075.4730000000018</v>
      </c>
      <c r="AI27" s="1790"/>
      <c r="AJ27" s="1866">
        <f>SUM(AJ15,AJ21:AJ25)</f>
        <v>5496.3050000000039</v>
      </c>
      <c r="AK27" s="1790"/>
      <c r="AL27" s="1867">
        <f>SUM(AL15,AL21:AL25)</f>
        <v>6085.7000000000035</v>
      </c>
      <c r="AM27" s="1790"/>
      <c r="AN27" s="1866">
        <f>SUM(AN15,AN21:AN25)</f>
        <v>6599.9340000000038</v>
      </c>
      <c r="AO27" s="1861"/>
      <c r="AP27" s="1868">
        <f>SUM(AP15,AP21:AP25)</f>
        <v>6178.2420000000038</v>
      </c>
      <c r="AQ27" s="1861"/>
      <c r="AR27" s="1866">
        <f>SUM(AR15,AR21:AR25)</f>
        <v>7463.9770000000044</v>
      </c>
      <c r="AS27" s="1861"/>
      <c r="AT27" s="1866">
        <f>SUM(AT15,AT21:AT25)</f>
        <v>7971.762950000003</v>
      </c>
      <c r="AU27" s="1861"/>
      <c r="AV27" s="1866">
        <f>SUM(AV15,AV21:AV25)</f>
        <v>8281.6050000000032</v>
      </c>
      <c r="AW27" s="1861"/>
      <c r="AX27" s="1866">
        <f>SUM(AX15,AX21:AX25)</f>
        <v>9511.8550000000032</v>
      </c>
      <c r="AY27" s="1861"/>
      <c r="AZ27" s="1866">
        <f>SUM(AZ15,AZ21:AZ25)</f>
        <v>10201.022120000003</v>
      </c>
      <c r="BA27" s="1861"/>
      <c r="BB27" s="1866">
        <f>SUM(BB15,BB21:BB24)</f>
        <v>11067.571010000001</v>
      </c>
      <c r="BC27" s="1861"/>
      <c r="BD27" s="1866">
        <f>SUM(BD15,BD21:BD25)</f>
        <v>11490.427009999998</v>
      </c>
      <c r="BE27" s="1861"/>
      <c r="BF27" s="1866">
        <f>SUM(BF15,BF21:BF25)</f>
        <v>12883.804010000003</v>
      </c>
      <c r="BG27" s="1861"/>
      <c r="BH27" s="1866">
        <f>SUM(BH15,BH21:BH25)</f>
        <v>14057.993010000009</v>
      </c>
      <c r="BI27" s="1861"/>
      <c r="BJ27" s="1866">
        <f>SUM(BJ15,BJ21:BJ25)</f>
        <v>14060.142741182588</v>
      </c>
      <c r="BK27" s="1861"/>
      <c r="BL27" s="1866">
        <f>SUM(BL15,BL21:BL25)</f>
        <v>14633.047153819121</v>
      </c>
      <c r="BM27" s="1866"/>
      <c r="BN27" s="1866">
        <f>SUM(BN15,BN21:BN25)</f>
        <v>15313.085689419569</v>
      </c>
      <c r="BO27" s="1866"/>
      <c r="BP27" s="1866">
        <f>SUM(BP15,BP21:BP25)</f>
        <v>16049.45912072516</v>
      </c>
      <c r="BQ27" s="1866"/>
      <c r="BR27" s="1866">
        <f>SUM(BR15,BR21:BR25)</f>
        <v>16665.470147015425</v>
      </c>
      <c r="BS27" s="1783"/>
      <c r="BT27" s="1783"/>
      <c r="BU27" s="1783"/>
      <c r="BV27" s="1783"/>
      <c r="BW27" s="1783"/>
      <c r="BX27" s="1783"/>
    </row>
    <row r="28" spans="1:76" ht="15" customHeight="1">
      <c r="A28" s="1783"/>
      <c r="B28" s="1783"/>
      <c r="C28" s="1783"/>
      <c r="D28" s="1783"/>
      <c r="E28" s="1783"/>
      <c r="F28" s="1783"/>
      <c r="G28" s="1853"/>
      <c r="H28" s="1783"/>
      <c r="I28" s="1853"/>
      <c r="J28" s="1783"/>
      <c r="K28" s="1853"/>
      <c r="L28" s="1783"/>
      <c r="M28" s="1853"/>
      <c r="N28" s="1853"/>
      <c r="O28" s="1783"/>
      <c r="P28" s="1853"/>
      <c r="Q28" s="1783"/>
      <c r="R28" s="1853"/>
      <c r="S28" s="1783"/>
      <c r="T28" s="1853"/>
      <c r="U28" s="1783"/>
      <c r="V28" s="1853"/>
      <c r="W28" s="1783"/>
      <c r="X28" s="1853"/>
      <c r="Y28" s="1783"/>
      <c r="Z28" s="1853"/>
      <c r="AA28" s="1783"/>
      <c r="AB28" s="1853"/>
      <c r="AC28" s="1783"/>
      <c r="AD28" s="1783"/>
      <c r="AE28" s="1783"/>
      <c r="AF28" s="1790"/>
      <c r="AG28" s="1783"/>
      <c r="AH28" s="1783"/>
      <c r="AI28" s="1783"/>
      <c r="AJ28" s="1783"/>
      <c r="AK28" s="1783"/>
      <c r="AL28" s="1783"/>
      <c r="AM28" s="1783"/>
      <c r="AN28" s="1783"/>
      <c r="AO28" s="1861"/>
      <c r="AP28" s="1820"/>
      <c r="AQ28" s="1861"/>
      <c r="AR28" s="1783"/>
      <c r="AS28" s="1861"/>
      <c r="AT28" s="1783"/>
      <c r="AU28" s="1861"/>
      <c r="AV28" s="1783"/>
      <c r="AW28" s="1861"/>
      <c r="AX28" s="1783"/>
      <c r="AY28" s="1861"/>
      <c r="AZ28" s="1783"/>
      <c r="BA28" s="1861"/>
      <c r="BB28" s="1783"/>
      <c r="BC28" s="1861"/>
      <c r="BD28" s="1783"/>
      <c r="BE28" s="1861"/>
      <c r="BF28" s="1783"/>
      <c r="BG28" s="1861"/>
      <c r="BH28" s="1783"/>
      <c r="BI28" s="1861"/>
      <c r="BJ28" s="1783"/>
      <c r="BK28" s="1861"/>
      <c r="BL28" s="1783"/>
      <c r="BM28" s="1783"/>
      <c r="BN28" s="1783"/>
      <c r="BO28" s="1783"/>
      <c r="BP28" s="1783"/>
      <c r="BQ28" s="1783"/>
      <c r="BR28" s="1783"/>
      <c r="BS28" s="1783"/>
      <c r="BT28" s="1783"/>
      <c r="BU28" s="1783"/>
      <c r="BV28" s="1783"/>
      <c r="BW28" s="1783"/>
      <c r="BX28" s="1783"/>
    </row>
    <row r="29" spans="1:76">
      <c r="A29" s="1869" t="s">
        <v>540</v>
      </c>
      <c r="B29" s="1783"/>
      <c r="C29" s="1783"/>
      <c r="D29" s="1783"/>
      <c r="E29" s="1783"/>
      <c r="F29" s="1783"/>
      <c r="G29" s="1783"/>
      <c r="H29" s="1783"/>
      <c r="I29" s="1783"/>
      <c r="J29" s="1783"/>
      <c r="K29" s="1783"/>
      <c r="L29" s="1783"/>
      <c r="M29" s="1783"/>
      <c r="N29" s="1783"/>
      <c r="O29" s="1783"/>
      <c r="P29" s="1783"/>
      <c r="Q29" s="1783"/>
      <c r="R29" s="1783"/>
      <c r="S29" s="1783"/>
      <c r="T29" s="1783"/>
      <c r="U29" s="1783"/>
      <c r="V29" s="1783"/>
      <c r="W29" s="1783"/>
      <c r="X29" s="1783"/>
      <c r="Y29" s="1783"/>
      <c r="Z29" s="1783"/>
      <c r="AA29" s="1783"/>
      <c r="AB29" s="1799"/>
      <c r="AC29" s="1783"/>
      <c r="AD29" s="1783"/>
      <c r="AE29" s="1783"/>
      <c r="AF29" s="1799"/>
      <c r="AG29" s="1783"/>
      <c r="AH29" s="1783"/>
      <c r="AI29" s="1783"/>
      <c r="AJ29" s="1783"/>
      <c r="AK29" s="1783"/>
      <c r="AL29" s="1783"/>
      <c r="AM29" s="1783"/>
      <c r="AN29" s="1783"/>
      <c r="AO29" s="1861"/>
      <c r="AP29" s="1820"/>
      <c r="AQ29" s="1861"/>
      <c r="AR29" s="1783"/>
      <c r="AS29" s="1861"/>
      <c r="AT29" s="1783"/>
      <c r="AU29" s="1861"/>
      <c r="AV29" s="1783"/>
      <c r="AW29" s="1861"/>
      <c r="AX29" s="1783"/>
      <c r="AY29" s="1861"/>
      <c r="AZ29" s="1783"/>
      <c r="BA29" s="1861"/>
      <c r="BB29" s="1783"/>
      <c r="BC29" s="1861"/>
      <c r="BD29" s="1783"/>
      <c r="BE29" s="1861"/>
      <c r="BF29" s="1783"/>
      <c r="BG29" s="1861"/>
      <c r="BH29" s="1783"/>
      <c r="BI29" s="1861"/>
      <c r="BJ29" s="1783"/>
      <c r="BK29" s="1861"/>
      <c r="BL29" s="1783"/>
      <c r="BM29" s="1783"/>
      <c r="BN29" s="1783"/>
      <c r="BO29" s="1783"/>
      <c r="BP29" s="1783"/>
      <c r="BQ29" s="1783"/>
      <c r="BR29" s="1783"/>
      <c r="BS29" s="1783"/>
      <c r="BT29" s="1783"/>
      <c r="BU29" s="1783"/>
      <c r="BV29" s="1783"/>
      <c r="BW29" s="1783"/>
      <c r="BX29" s="1783"/>
    </row>
    <row r="30" spans="1:76">
      <c r="A30" s="1783"/>
      <c r="B30" s="1858" t="s">
        <v>541</v>
      </c>
      <c r="C30" s="1783"/>
      <c r="D30" s="1783"/>
      <c r="E30" s="1783"/>
      <c r="F30" s="1783"/>
      <c r="G30" s="1783"/>
      <c r="H30" s="1783"/>
      <c r="I30" s="1783"/>
      <c r="J30" s="1783"/>
      <c r="K30" s="1783"/>
      <c r="L30" s="1783"/>
      <c r="M30" s="1783"/>
      <c r="N30" s="1783"/>
      <c r="O30" s="1783"/>
      <c r="P30" s="1783"/>
      <c r="Q30" s="1783"/>
      <c r="R30" s="1783"/>
      <c r="S30" s="1783"/>
      <c r="T30" s="1783"/>
      <c r="U30" s="1783"/>
      <c r="V30" s="1783"/>
      <c r="W30" s="1783"/>
      <c r="X30" s="1783"/>
      <c r="Y30" s="1783"/>
      <c r="Z30" s="1783"/>
      <c r="AA30" s="1783"/>
      <c r="AB30" s="1783"/>
      <c r="AC30" s="1783"/>
      <c r="AD30" s="1783"/>
      <c r="AE30" s="1783"/>
      <c r="AF30" s="1783"/>
      <c r="AG30" s="1783"/>
      <c r="AH30" s="1783"/>
      <c r="AI30" s="1783"/>
      <c r="AJ30" s="1783"/>
      <c r="AK30" s="1783"/>
      <c r="AL30" s="1783"/>
      <c r="AM30" s="1783"/>
      <c r="AN30" s="1783"/>
      <c r="AO30" s="1861"/>
      <c r="AP30" s="1820"/>
      <c r="AQ30" s="1861"/>
      <c r="AR30" s="1783"/>
      <c r="AS30" s="1861"/>
      <c r="AT30" s="1783"/>
      <c r="AU30" s="1861"/>
      <c r="AV30" s="1783"/>
      <c r="AW30" s="1861"/>
      <c r="AX30" s="1783"/>
      <c r="AY30" s="1861"/>
      <c r="AZ30" s="1783"/>
      <c r="BA30" s="1861"/>
      <c r="BB30" s="1783"/>
      <c r="BC30" s="1861"/>
      <c r="BD30" s="1783"/>
      <c r="BE30" s="1861"/>
      <c r="BF30" s="1783"/>
      <c r="BG30" s="1861"/>
      <c r="BH30" s="1783"/>
      <c r="BI30" s="1861"/>
      <c r="BJ30" s="1783"/>
      <c r="BK30" s="1861"/>
      <c r="BL30" s="1783"/>
      <c r="BM30" s="1783"/>
      <c r="BN30" s="1783"/>
      <c r="BO30" s="1783"/>
      <c r="BP30" s="1783"/>
      <c r="BQ30" s="1783"/>
      <c r="BR30" s="1783"/>
      <c r="BS30" s="1783"/>
      <c r="BT30" s="1783"/>
      <c r="BU30" s="1783"/>
      <c r="BV30" s="1783"/>
      <c r="BW30" s="1783"/>
      <c r="BX30" s="1783"/>
    </row>
    <row r="31" spans="1:76">
      <c r="A31" s="1783"/>
      <c r="B31" s="1783" t="s">
        <v>542</v>
      </c>
      <c r="C31" s="1783"/>
      <c r="D31" s="1783"/>
      <c r="E31" s="1819">
        <v>234.51499999999999</v>
      </c>
      <c r="F31" s="1783"/>
      <c r="G31" s="1819">
        <v>261.77699999999999</v>
      </c>
      <c r="H31" s="1783"/>
      <c r="I31" s="1819">
        <v>325.77800000000002</v>
      </c>
      <c r="J31" s="1783"/>
      <c r="K31" s="1819">
        <v>340.57799999999997</v>
      </c>
      <c r="L31" s="1783"/>
      <c r="M31" s="1819">
        <v>439.27699999999999</v>
      </c>
      <c r="N31" s="1819">
        <v>415.86099999999999</v>
      </c>
      <c r="O31" s="1783"/>
      <c r="P31" s="1819">
        <v>436.63400000000001</v>
      </c>
      <c r="Q31" s="1783"/>
      <c r="R31" s="1819">
        <v>533.94500000000005</v>
      </c>
      <c r="S31" s="1783"/>
      <c r="T31" s="1819">
        <v>582.79100000000005</v>
      </c>
      <c r="U31" s="1832"/>
      <c r="V31" s="1819">
        <v>617.15899999999999</v>
      </c>
      <c r="W31" s="1870"/>
      <c r="X31" s="1819">
        <v>615.67100000000005</v>
      </c>
      <c r="Y31" s="1870"/>
      <c r="Z31" s="1819">
        <v>645.67200000000003</v>
      </c>
      <c r="AA31" s="1783"/>
      <c r="AB31" s="1819">
        <v>761.54600000000005</v>
      </c>
      <c r="AC31" s="1783"/>
      <c r="AD31" s="1819">
        <v>817.63300000000004</v>
      </c>
      <c r="AE31" s="1783"/>
      <c r="AF31" s="1819">
        <v>960.38199999999995</v>
      </c>
      <c r="AG31" s="1783"/>
      <c r="AH31" s="1819">
        <v>1276.0350000000001</v>
      </c>
      <c r="AI31" s="1783"/>
      <c r="AJ31" s="1819">
        <v>1313.472</v>
      </c>
      <c r="AK31" s="1783"/>
      <c r="AL31" s="1819">
        <v>1372.3520000000001</v>
      </c>
      <c r="AM31" s="1783"/>
      <c r="AN31" s="1819">
        <v>1516.7539999999999</v>
      </c>
      <c r="AO31" s="1861"/>
      <c r="AP31" s="1819">
        <v>1276.098</v>
      </c>
      <c r="AQ31" s="1861"/>
      <c r="AR31" s="1819">
        <v>1507.8920000000001</v>
      </c>
      <c r="AS31" s="1861"/>
      <c r="AT31" s="1819">
        <v>1683.9290000000001</v>
      </c>
      <c r="AU31" s="1861"/>
      <c r="AV31" s="1819">
        <v>1645.3240000000001</v>
      </c>
      <c r="AW31" s="1861"/>
      <c r="AX31" s="1819">
        <v>1930.568</v>
      </c>
      <c r="AY31" s="1861"/>
      <c r="AZ31" s="1819">
        <v>1771.2940000000001</v>
      </c>
      <c r="BA31" s="1861"/>
      <c r="BB31" s="1819">
        <v>2007.5</v>
      </c>
      <c r="BC31" s="1861"/>
      <c r="BD31" s="1819">
        <v>2203.0500000000002</v>
      </c>
      <c r="BE31" s="1861"/>
      <c r="BF31" s="1933">
        <v>2230.904</v>
      </c>
      <c r="BG31" s="1861"/>
      <c r="BH31" s="1933">
        <v>2488.4</v>
      </c>
      <c r="BI31" s="1861"/>
      <c r="BJ31" s="1820">
        <f>+BJ78*BJ12</f>
        <v>2570.8875133705933</v>
      </c>
      <c r="BK31" s="1861"/>
      <c r="BL31" s="1820">
        <f>+BL78*BL12</f>
        <v>2741.2854453548239</v>
      </c>
      <c r="BM31" s="1820"/>
      <c r="BN31" s="1820">
        <f>+BN78*BN12</f>
        <v>2915.6438987078441</v>
      </c>
      <c r="BO31" s="1820"/>
      <c r="BP31" s="1820">
        <f>+BP78*BP12</f>
        <v>3097.6027752804544</v>
      </c>
      <c r="BQ31" s="1820"/>
      <c r="BR31" s="1820">
        <f>+BR78*BR12</f>
        <v>3239.8578961687763</v>
      </c>
      <c r="BS31" s="1783"/>
      <c r="BT31" s="1783"/>
      <c r="BU31" s="1783"/>
      <c r="BV31" s="1783"/>
      <c r="BW31" s="1783"/>
      <c r="BX31" s="1783"/>
    </row>
    <row r="32" spans="1:76" hidden="1" outlineLevel="1">
      <c r="A32" s="1783"/>
      <c r="B32" s="1783" t="s">
        <v>168</v>
      </c>
      <c r="C32" s="1783"/>
      <c r="D32" s="1783"/>
      <c r="E32" s="1814">
        <v>0</v>
      </c>
      <c r="F32" s="1783"/>
      <c r="G32" s="1814">
        <v>0</v>
      </c>
      <c r="H32" s="1783"/>
      <c r="I32" s="1814">
        <v>0</v>
      </c>
      <c r="J32" s="1783"/>
      <c r="K32" s="1814">
        <v>0</v>
      </c>
      <c r="L32" s="1783"/>
      <c r="M32" s="1814">
        <v>20</v>
      </c>
      <c r="N32" s="1814">
        <v>20</v>
      </c>
      <c r="O32" s="1783"/>
      <c r="P32" s="1814">
        <v>0</v>
      </c>
      <c r="Q32" s="1783"/>
      <c r="R32" s="1814">
        <v>0</v>
      </c>
      <c r="S32" s="1783"/>
      <c r="T32" s="1814">
        <v>0</v>
      </c>
      <c r="U32" s="1862"/>
      <c r="V32" s="1814">
        <v>0</v>
      </c>
      <c r="W32" s="1783"/>
      <c r="X32" s="1814">
        <v>0</v>
      </c>
      <c r="Y32" s="1783"/>
      <c r="Z32" s="1814">
        <v>39</v>
      </c>
      <c r="AA32" s="1783"/>
      <c r="AB32" s="1814">
        <v>0</v>
      </c>
      <c r="AC32" s="1783"/>
      <c r="AD32" s="1814">
        <v>0</v>
      </c>
      <c r="AE32" s="1783"/>
      <c r="AF32" s="1814">
        <v>0</v>
      </c>
      <c r="AG32" s="1783"/>
      <c r="AH32" s="1814">
        <v>0</v>
      </c>
      <c r="AI32" s="1783"/>
      <c r="AJ32" s="1814">
        <v>0</v>
      </c>
      <c r="AK32" s="1814"/>
      <c r="AL32" s="1814">
        <v>0</v>
      </c>
      <c r="AM32" s="1814"/>
      <c r="AN32" s="1814">
        <v>0</v>
      </c>
      <c r="AO32" s="1861"/>
      <c r="AP32" s="1814">
        <v>0</v>
      </c>
      <c r="AQ32" s="1861"/>
      <c r="AR32" s="1814">
        <v>0</v>
      </c>
      <c r="AS32" s="1861"/>
      <c r="AT32" s="1814">
        <v>0</v>
      </c>
      <c r="AU32" s="1861"/>
      <c r="AV32" s="1814">
        <v>0</v>
      </c>
      <c r="AW32" s="1861"/>
      <c r="AX32" s="1814">
        <v>0</v>
      </c>
      <c r="AY32" s="1861"/>
      <c r="AZ32" s="1814">
        <v>0</v>
      </c>
      <c r="BA32" s="1861"/>
      <c r="BB32" s="1814">
        <v>0</v>
      </c>
      <c r="BC32" s="1861"/>
      <c r="BD32" s="1814">
        <v>0</v>
      </c>
      <c r="BE32" s="1861"/>
      <c r="BF32" s="1814">
        <v>0</v>
      </c>
      <c r="BG32" s="1861"/>
      <c r="BH32" s="1814">
        <v>0</v>
      </c>
      <c r="BI32" s="1861"/>
      <c r="BJ32" s="1814">
        <v>0</v>
      </c>
      <c r="BK32" s="1861"/>
      <c r="BL32" s="1814">
        <v>0</v>
      </c>
      <c r="BM32" s="1814"/>
      <c r="BN32" s="1814">
        <v>0</v>
      </c>
      <c r="BO32" s="1814"/>
      <c r="BP32" s="1814">
        <v>0</v>
      </c>
      <c r="BQ32" s="1814"/>
      <c r="BR32" s="1814">
        <v>0</v>
      </c>
      <c r="BS32" s="1783"/>
      <c r="BT32" s="1783"/>
      <c r="BU32" s="1783"/>
      <c r="BV32" s="1783"/>
      <c r="BW32" s="1783"/>
      <c r="BX32" s="1783"/>
    </row>
    <row r="33" spans="1:76" hidden="1" outlineLevel="1">
      <c r="A33" s="1783"/>
      <c r="B33" s="1783" t="s">
        <v>663</v>
      </c>
      <c r="C33" s="1783"/>
      <c r="D33" s="1783"/>
      <c r="E33" s="1814">
        <v>0</v>
      </c>
      <c r="F33" s="1783"/>
      <c r="G33" s="1814">
        <v>0</v>
      </c>
      <c r="H33" s="1783"/>
      <c r="I33" s="1814">
        <v>0</v>
      </c>
      <c r="J33" s="1783"/>
      <c r="K33" s="1814">
        <v>0</v>
      </c>
      <c r="L33" s="1783"/>
      <c r="M33" s="1814">
        <v>0</v>
      </c>
      <c r="N33" s="1814">
        <v>0</v>
      </c>
      <c r="O33" s="1783"/>
      <c r="P33" s="1814">
        <v>0</v>
      </c>
      <c r="Q33" s="1783"/>
      <c r="R33" s="1814">
        <v>0</v>
      </c>
      <c r="S33" s="1783"/>
      <c r="T33" s="1814">
        <v>0</v>
      </c>
      <c r="U33" s="1862"/>
      <c r="V33" s="1814">
        <v>0</v>
      </c>
      <c r="W33" s="1783"/>
      <c r="X33" s="1814">
        <v>0</v>
      </c>
      <c r="Y33" s="1783"/>
      <c r="Z33" s="1814">
        <v>0</v>
      </c>
      <c r="AA33" s="1783"/>
      <c r="AB33" s="1814">
        <v>1.244</v>
      </c>
      <c r="AC33" s="1783"/>
      <c r="AD33" s="1814">
        <v>1.3480000000000001</v>
      </c>
      <c r="AE33" s="1783"/>
      <c r="AF33" s="1814">
        <v>1.46</v>
      </c>
      <c r="AG33" s="1783"/>
      <c r="AH33" s="1814">
        <v>1.581</v>
      </c>
      <c r="AI33" s="1783"/>
      <c r="AJ33" s="1814">
        <v>1.712</v>
      </c>
      <c r="AK33" s="1783"/>
      <c r="AL33" s="1814">
        <v>1.8540000000000001</v>
      </c>
      <c r="AM33" s="1783"/>
      <c r="AN33" s="1814">
        <v>2.008</v>
      </c>
      <c r="AO33" s="1861"/>
      <c r="AP33" s="1814">
        <v>2.1749999999999998</v>
      </c>
      <c r="AQ33" s="1861"/>
      <c r="AR33" s="1814">
        <v>2.355</v>
      </c>
      <c r="AS33" s="1861"/>
      <c r="AT33" s="1814">
        <v>2.7269999999999999</v>
      </c>
      <c r="AU33" s="1861"/>
      <c r="AV33" s="1814">
        <v>2.97</v>
      </c>
      <c r="AW33" s="1861"/>
      <c r="AX33" s="1814">
        <v>0</v>
      </c>
      <c r="AY33" s="1861"/>
      <c r="AZ33" s="1814">
        <v>0</v>
      </c>
      <c r="BA33" s="1861"/>
      <c r="BB33" s="1814">
        <f>+AZ33</f>
        <v>0</v>
      </c>
      <c r="BC33" s="1861"/>
      <c r="BD33" s="1861">
        <f>+BB33</f>
        <v>0</v>
      </c>
      <c r="BE33" s="1861"/>
      <c r="BF33" s="1861">
        <f>+BD33</f>
        <v>0</v>
      </c>
      <c r="BG33" s="1861"/>
      <c r="BH33" s="1861">
        <f>+BF33</f>
        <v>0</v>
      </c>
      <c r="BI33" s="1861"/>
      <c r="BJ33" s="1861">
        <f>+BH33</f>
        <v>0</v>
      </c>
      <c r="BK33" s="1861"/>
      <c r="BL33" s="1861">
        <f>+BJ33</f>
        <v>0</v>
      </c>
      <c r="BM33" s="1861"/>
      <c r="BN33" s="1861">
        <f>+BL33</f>
        <v>0</v>
      </c>
      <c r="BO33" s="1861"/>
      <c r="BP33" s="1861">
        <f>+BN33</f>
        <v>0</v>
      </c>
      <c r="BQ33" s="1861"/>
      <c r="BR33" s="1861">
        <f>+BP33</f>
        <v>0</v>
      </c>
      <c r="BS33" s="1783"/>
      <c r="BT33" s="1783"/>
      <c r="BU33" s="1783"/>
      <c r="BV33" s="1783"/>
      <c r="BW33" s="1783"/>
      <c r="BX33" s="1783"/>
    </row>
    <row r="34" spans="1:76" hidden="1" outlineLevel="1">
      <c r="A34" s="1783"/>
      <c r="B34" s="1783" t="s">
        <v>176</v>
      </c>
      <c r="C34" s="1783"/>
      <c r="D34" s="1783"/>
      <c r="E34" s="1814">
        <v>6.6280000000000001</v>
      </c>
      <c r="F34" s="1783"/>
      <c r="G34" s="1814">
        <v>6.7450000000000001</v>
      </c>
      <c r="H34" s="1783"/>
      <c r="I34" s="1814">
        <v>4.2039999999999997</v>
      </c>
      <c r="J34" s="1783"/>
      <c r="K34" s="1814">
        <v>5.9359999999999999</v>
      </c>
      <c r="L34" s="1783"/>
      <c r="M34" s="1814">
        <v>31.306000000000001</v>
      </c>
      <c r="N34" s="1814">
        <v>31.306000000000001</v>
      </c>
      <c r="O34" s="1783"/>
      <c r="P34" s="1814">
        <v>78.67</v>
      </c>
      <c r="Q34" s="1783"/>
      <c r="R34" s="1814">
        <v>27.14</v>
      </c>
      <c r="S34" s="1783"/>
      <c r="T34" s="1814">
        <v>23.36</v>
      </c>
      <c r="U34" s="1862"/>
      <c r="V34" s="1814">
        <v>0.69399999999999995</v>
      </c>
      <c r="W34" s="1783"/>
      <c r="X34" s="1814">
        <v>100.35899999999999</v>
      </c>
      <c r="Y34" s="1783"/>
      <c r="Z34" s="1814">
        <v>7.2999999999999995E-2</v>
      </c>
      <c r="AA34" s="1783"/>
      <c r="AB34" s="1814">
        <v>0</v>
      </c>
      <c r="AC34" s="1783"/>
      <c r="AD34" s="1814">
        <v>15</v>
      </c>
      <c r="AE34" s="1783"/>
      <c r="AF34" s="1814">
        <v>5</v>
      </c>
      <c r="AG34" s="1783"/>
      <c r="AH34" s="1814">
        <v>99.995000000000005</v>
      </c>
      <c r="AI34" s="1783"/>
      <c r="AJ34" s="1814">
        <v>0</v>
      </c>
      <c r="AK34" s="1783"/>
      <c r="AL34" s="1814">
        <v>0</v>
      </c>
      <c r="AM34" s="1783"/>
      <c r="AN34" s="1814">
        <v>0</v>
      </c>
      <c r="AO34" s="1861"/>
      <c r="AP34" s="1814">
        <v>392.85199999999998</v>
      </c>
      <c r="AQ34" s="1861"/>
      <c r="AR34" s="1814">
        <v>0</v>
      </c>
      <c r="AS34" s="1861"/>
      <c r="AT34" s="1814">
        <v>0</v>
      </c>
      <c r="AU34" s="1861"/>
      <c r="AV34" s="1814">
        <v>0</v>
      </c>
      <c r="AW34" s="1861"/>
      <c r="AX34" s="1814">
        <v>0</v>
      </c>
      <c r="AY34" s="1861"/>
      <c r="AZ34" s="1814">
        <v>0</v>
      </c>
      <c r="BA34" s="1861"/>
      <c r="BB34" s="1814">
        <v>0</v>
      </c>
      <c r="BC34" s="1861"/>
      <c r="BD34" s="1814">
        <v>0</v>
      </c>
      <c r="BE34" s="1861"/>
      <c r="BF34" s="1814">
        <v>0</v>
      </c>
      <c r="BG34" s="1861"/>
      <c r="BH34" s="1814">
        <v>0</v>
      </c>
      <c r="BI34" s="1861"/>
      <c r="BJ34" s="1814">
        <v>0</v>
      </c>
      <c r="BK34" s="1861"/>
      <c r="BL34" s="1814">
        <v>0</v>
      </c>
      <c r="BM34" s="1814"/>
      <c r="BN34" s="1814">
        <v>0</v>
      </c>
      <c r="BO34" s="1814"/>
      <c r="BP34" s="1814">
        <v>0</v>
      </c>
      <c r="BQ34" s="1814"/>
      <c r="BR34" s="1814">
        <v>0</v>
      </c>
      <c r="BS34" s="1783"/>
      <c r="BT34" s="1783"/>
      <c r="BU34" s="1783"/>
      <c r="BV34" s="1783"/>
      <c r="BW34" s="1783"/>
      <c r="BX34" s="1783"/>
    </row>
    <row r="35" spans="1:76" hidden="1" outlineLevel="1">
      <c r="A35" s="1783"/>
      <c r="B35" s="1783" t="s">
        <v>429</v>
      </c>
      <c r="C35" s="1783"/>
      <c r="D35" s="1783"/>
      <c r="E35" s="1814">
        <v>0</v>
      </c>
      <c r="F35" s="1783"/>
      <c r="G35" s="1814">
        <v>0</v>
      </c>
      <c r="H35" s="1783"/>
      <c r="I35" s="1814">
        <v>0</v>
      </c>
      <c r="J35" s="1783"/>
      <c r="K35" s="1814">
        <v>0</v>
      </c>
      <c r="L35" s="1783"/>
      <c r="M35" s="1814">
        <v>267.68200000000002</v>
      </c>
      <c r="N35" s="1814">
        <v>0</v>
      </c>
      <c r="O35" s="1783"/>
      <c r="P35" s="1814">
        <v>0</v>
      </c>
      <c r="Q35" s="1783"/>
      <c r="R35" s="1814">
        <v>0</v>
      </c>
      <c r="S35" s="1783"/>
      <c r="T35" s="1814">
        <v>0</v>
      </c>
      <c r="U35" s="1862"/>
      <c r="V35" s="1814">
        <v>0</v>
      </c>
      <c r="W35" s="1783"/>
      <c r="X35" s="1814">
        <v>0</v>
      </c>
      <c r="Y35" s="1783"/>
      <c r="Z35" s="1814">
        <v>0</v>
      </c>
      <c r="AA35" s="1783"/>
      <c r="AB35" s="1814">
        <v>0</v>
      </c>
      <c r="AC35" s="1783"/>
      <c r="AD35" s="1814">
        <v>0</v>
      </c>
      <c r="AE35" s="1783"/>
      <c r="AF35" s="1814">
        <v>0</v>
      </c>
      <c r="AG35" s="1783"/>
      <c r="AH35" s="1814">
        <v>2.3540000000000001</v>
      </c>
      <c r="AI35" s="1783"/>
      <c r="AJ35" s="1814">
        <v>0</v>
      </c>
      <c r="AK35" s="1783"/>
      <c r="AL35" s="1814">
        <v>0</v>
      </c>
      <c r="AM35" s="1783"/>
      <c r="AN35" s="1814">
        <v>0</v>
      </c>
      <c r="AO35" s="1861"/>
      <c r="AP35" s="1814">
        <v>0</v>
      </c>
      <c r="AQ35" s="1861"/>
      <c r="AR35" s="1814">
        <v>0</v>
      </c>
      <c r="AS35" s="1861"/>
      <c r="AT35" s="1814">
        <v>0</v>
      </c>
      <c r="AU35" s="1861"/>
      <c r="AV35" s="1814">
        <v>0</v>
      </c>
      <c r="AW35" s="1861"/>
      <c r="AX35" s="1814">
        <v>0</v>
      </c>
      <c r="AY35" s="1861"/>
      <c r="AZ35" s="1814">
        <v>0</v>
      </c>
      <c r="BA35" s="1861"/>
      <c r="BB35" s="1814">
        <v>0</v>
      </c>
      <c r="BC35" s="1861"/>
      <c r="BD35" s="1814">
        <v>0</v>
      </c>
      <c r="BE35" s="1861"/>
      <c r="BF35" s="1814">
        <v>0</v>
      </c>
      <c r="BG35" s="1861"/>
      <c r="BH35" s="1814">
        <v>0</v>
      </c>
      <c r="BI35" s="1861"/>
      <c r="BJ35" s="1814">
        <v>0</v>
      </c>
      <c r="BK35" s="1861"/>
      <c r="BL35" s="1814">
        <v>0</v>
      </c>
      <c r="BM35" s="1814"/>
      <c r="BN35" s="1814">
        <v>0</v>
      </c>
      <c r="BO35" s="1814"/>
      <c r="BP35" s="1814">
        <v>0</v>
      </c>
      <c r="BQ35" s="1814"/>
      <c r="BR35" s="1814">
        <v>0</v>
      </c>
      <c r="BS35" s="1783"/>
      <c r="BT35" s="1783"/>
      <c r="BU35" s="1783"/>
      <c r="BV35" s="1783"/>
      <c r="BW35" s="1783"/>
      <c r="BX35" s="1783"/>
    </row>
    <row r="36" spans="1:76" collapsed="1">
      <c r="A36" s="1783"/>
      <c r="B36" s="1783" t="s">
        <v>113</v>
      </c>
      <c r="C36" s="1783"/>
      <c r="D36" s="1783"/>
      <c r="E36" s="1825">
        <v>159.72800000000001</v>
      </c>
      <c r="F36" s="1783"/>
      <c r="G36" s="1825">
        <v>216.16</v>
      </c>
      <c r="H36" s="1783"/>
      <c r="I36" s="1825">
        <v>245.76499999999999</v>
      </c>
      <c r="J36" s="1783"/>
      <c r="K36" s="1825">
        <v>245.13900000000001</v>
      </c>
      <c r="L36" s="1783"/>
      <c r="M36" s="1825">
        <v>0</v>
      </c>
      <c r="N36" s="1825">
        <v>252.42400000000001</v>
      </c>
      <c r="O36" s="1783"/>
      <c r="P36" s="1825">
        <v>691.096</v>
      </c>
      <c r="Q36" s="1783"/>
      <c r="R36" s="1825">
        <v>621.21100000000001</v>
      </c>
      <c r="S36" s="1783"/>
      <c r="T36" s="1825">
        <v>611.50599999999997</v>
      </c>
      <c r="U36" s="1862"/>
      <c r="V36" s="1825">
        <v>688.99300000000005</v>
      </c>
      <c r="W36" s="1783"/>
      <c r="X36" s="1825">
        <v>650.33799999999997</v>
      </c>
      <c r="Y36" s="1783"/>
      <c r="Z36" s="1825">
        <v>544.01400000000001</v>
      </c>
      <c r="AA36" s="1783"/>
      <c r="AB36" s="1825">
        <v>552.22</v>
      </c>
      <c r="AC36" s="1783"/>
      <c r="AD36" s="1825">
        <v>675.76400000000001</v>
      </c>
      <c r="AE36" s="1783"/>
      <c r="AF36" s="1825">
        <v>723.678</v>
      </c>
      <c r="AG36" s="1783"/>
      <c r="AH36" s="1825">
        <v>824.14700000000005</v>
      </c>
      <c r="AI36" s="1783"/>
      <c r="AJ36" s="1825">
        <v>936.66700000000003</v>
      </c>
      <c r="AK36" s="1783"/>
      <c r="AL36" s="1825">
        <v>1008.774</v>
      </c>
      <c r="AM36" s="1783"/>
      <c r="AN36" s="1825">
        <f>1213.987+28.244</f>
        <v>1242.231</v>
      </c>
      <c r="AO36" s="1825"/>
      <c r="AP36" s="1825">
        <v>1096.7660000000001</v>
      </c>
      <c r="AQ36" s="1825"/>
      <c r="AR36" s="1825">
        <f>1248.002+136.737</f>
        <v>1384.739</v>
      </c>
      <c r="AS36" s="1861"/>
      <c r="AT36" s="1825">
        <f>1347.951+98.514</f>
        <v>1446.4649999999999</v>
      </c>
      <c r="AU36" s="1861"/>
      <c r="AV36" s="1825">
        <f>1364.705+50.424</f>
        <v>1415.1289999999999</v>
      </c>
      <c r="AW36" s="1861"/>
      <c r="AX36" s="1825">
        <f>1666.216+163.812</f>
        <v>1830.0279999999998</v>
      </c>
      <c r="AY36" s="1861"/>
      <c r="AZ36" s="1825">
        <f>1681.834+64.715</f>
        <v>1746.549</v>
      </c>
      <c r="BA36" s="1861"/>
      <c r="BB36" s="1825">
        <v>1922.1</v>
      </c>
      <c r="BC36" s="1861"/>
      <c r="BD36" s="1825">
        <f>2069.659+129.521</f>
        <v>2199.1800000000003</v>
      </c>
      <c r="BE36" s="1861"/>
      <c r="BF36" s="1934">
        <f>2320.464+206.288</f>
        <v>2526.752</v>
      </c>
      <c r="BG36" s="1861"/>
      <c r="BH36" s="1934">
        <v>2637.1</v>
      </c>
      <c r="BI36" s="1861"/>
      <c r="BJ36" s="1824">
        <f>+BJ79*BJ71</f>
        <v>2958.2483148756164</v>
      </c>
      <c r="BK36" s="1861"/>
      <c r="BL36" s="1824">
        <f>+BL79*BL71</f>
        <v>3146.0473503291314</v>
      </c>
      <c r="BM36" s="1824"/>
      <c r="BN36" s="1824">
        <f>+BN79*BN71</f>
        <v>3344.2706760499004</v>
      </c>
      <c r="BO36" s="1824"/>
      <c r="BP36" s="1824">
        <f>+BP79*BP71</f>
        <v>3548.9848447610357</v>
      </c>
      <c r="BQ36" s="1824"/>
      <c r="BR36" s="1824">
        <f>+BR79*BR71</f>
        <v>3714.0582506461478</v>
      </c>
      <c r="BS36" s="1783"/>
      <c r="BT36" s="1783"/>
      <c r="BU36" s="1783"/>
      <c r="BV36" s="1783"/>
      <c r="BW36" s="1783"/>
      <c r="BX36" s="1783"/>
    </row>
    <row r="37" spans="1:76">
      <c r="A37" s="1783"/>
      <c r="B37" s="1783"/>
      <c r="C37" s="1783" t="s">
        <v>543</v>
      </c>
      <c r="D37" s="1783"/>
      <c r="E37" s="1790">
        <f>SUM(E31:E36)</f>
        <v>400.87099999999998</v>
      </c>
      <c r="F37" s="1783"/>
      <c r="G37" s="1790">
        <f>SUM(G31:G36)</f>
        <v>484.68200000000002</v>
      </c>
      <c r="H37" s="1783"/>
      <c r="I37" s="1790">
        <f>SUM(I31:I36)</f>
        <v>575.74700000000007</v>
      </c>
      <c r="J37" s="1783"/>
      <c r="K37" s="1790">
        <f>SUM(K31:K36)</f>
        <v>591.65300000000002</v>
      </c>
      <c r="L37" s="1783"/>
      <c r="M37" s="1790">
        <f>SUM(M31:M36)</f>
        <v>758.26499999999999</v>
      </c>
      <c r="N37" s="1790">
        <f>SUM(N31:N36)</f>
        <v>719.59100000000001</v>
      </c>
      <c r="O37" s="1783"/>
      <c r="P37" s="1790">
        <f>SUM(P31:P36)</f>
        <v>1206.4000000000001</v>
      </c>
      <c r="Q37" s="1783"/>
      <c r="R37" s="1790">
        <f>SUM(R31:R36)</f>
        <v>1182.296</v>
      </c>
      <c r="S37" s="1783"/>
      <c r="T37" s="1790">
        <f>SUM(T31:T36)</f>
        <v>1217.6570000000002</v>
      </c>
      <c r="U37" s="1783"/>
      <c r="V37" s="1790">
        <f>SUM(V31:V36)</f>
        <v>1306.846</v>
      </c>
      <c r="W37" s="1783"/>
      <c r="X37" s="1790">
        <f>SUM(X31:X36)</f>
        <v>1366.3679999999999</v>
      </c>
      <c r="Y37" s="1783"/>
      <c r="Z37" s="1790">
        <f>SUM(Z31:Z36)</f>
        <v>1228.759</v>
      </c>
      <c r="AA37" s="1783"/>
      <c r="AB37" s="1790">
        <f>SUM(AB31:AB36)</f>
        <v>1315.0100000000002</v>
      </c>
      <c r="AC37" s="1783"/>
      <c r="AD37" s="1790">
        <f>SUM(AD31:AD36)</f>
        <v>1509.7449999999999</v>
      </c>
      <c r="AE37" s="1783"/>
      <c r="AF37" s="1790">
        <f>SUM(AF31:AF36)</f>
        <v>1690.52</v>
      </c>
      <c r="AG37" s="1783"/>
      <c r="AH37" s="1790">
        <f>SUM(AH31:AH36)</f>
        <v>2204.1120000000001</v>
      </c>
      <c r="AI37" s="1783"/>
      <c r="AJ37" s="1790">
        <f>SUM(AJ31:AJ36)</f>
        <v>2251.8510000000001</v>
      </c>
      <c r="AK37" s="1783"/>
      <c r="AL37" s="1790">
        <f>SUM(AL31:AL36)</f>
        <v>2382.98</v>
      </c>
      <c r="AM37" s="1783"/>
      <c r="AN37" s="1790">
        <f>SUM(AN31:AN36)</f>
        <v>2760.9929999999999</v>
      </c>
      <c r="AO37" s="1861"/>
      <c r="AP37" s="1820">
        <f>SUM(AP31:AP36)</f>
        <v>2767.8910000000001</v>
      </c>
      <c r="AQ37" s="1861"/>
      <c r="AR37" s="1790">
        <f>SUM(AR31:AR36)</f>
        <v>2894.9859999999999</v>
      </c>
      <c r="AS37" s="1861"/>
      <c r="AT37" s="1790">
        <f>SUM(AT31:AT36)</f>
        <v>3133.1210000000001</v>
      </c>
      <c r="AU37" s="1861"/>
      <c r="AV37" s="1790">
        <f>SUM(AV31:AV36)</f>
        <v>3063.4229999999998</v>
      </c>
      <c r="AW37" s="1861"/>
      <c r="AX37" s="1790">
        <f>SUM(AX31:AX36)</f>
        <v>3760.5959999999995</v>
      </c>
      <c r="AY37" s="1861"/>
      <c r="AZ37" s="1790">
        <f>SUM(AZ31:AZ36)</f>
        <v>3517.8429999999998</v>
      </c>
      <c r="BA37" s="1861"/>
      <c r="BB37" s="1790">
        <f>SUM(BB31:BB36)</f>
        <v>3929.6</v>
      </c>
      <c r="BC37" s="1861"/>
      <c r="BD37" s="1790">
        <f>SUM(BD31:BD36)</f>
        <v>4402.2300000000005</v>
      </c>
      <c r="BE37" s="1861"/>
      <c r="BF37" s="1790">
        <f>SUM(BF31:BF36)</f>
        <v>4757.6559999999999</v>
      </c>
      <c r="BG37" s="1861"/>
      <c r="BH37" s="1790">
        <f>SUM(BH31:BH36)</f>
        <v>5125.5</v>
      </c>
      <c r="BI37" s="1861"/>
      <c r="BJ37" s="1790">
        <f>SUM(BJ31:BJ36)</f>
        <v>5529.1358282462097</v>
      </c>
      <c r="BK37" s="1861"/>
      <c r="BL37" s="1790">
        <f>SUM(BL31:BL36)</f>
        <v>5887.3327956839548</v>
      </c>
      <c r="BM37" s="1790"/>
      <c r="BN37" s="1790">
        <f>SUM(BN31:BN36)</f>
        <v>6259.914574757744</v>
      </c>
      <c r="BO37" s="1790"/>
      <c r="BP37" s="1790">
        <f>SUM(BP31:BP36)</f>
        <v>6646.5876200414896</v>
      </c>
      <c r="BQ37" s="1790"/>
      <c r="BR37" s="1790">
        <f>SUM(BR31:BR36)</f>
        <v>6953.9161468149241</v>
      </c>
      <c r="BS37" s="1783"/>
      <c r="BT37" s="1783"/>
      <c r="BU37" s="1783"/>
      <c r="BV37" s="1783"/>
      <c r="BW37" s="1783"/>
      <c r="BX37" s="1783"/>
    </row>
    <row r="38" spans="1:76">
      <c r="A38" s="1783"/>
      <c r="B38" s="1783"/>
      <c r="C38" s="1783"/>
      <c r="D38" s="1783"/>
      <c r="E38" s="1783"/>
      <c r="F38" s="1783"/>
      <c r="G38" s="1783"/>
      <c r="H38" s="1783"/>
      <c r="I38" s="1783"/>
      <c r="J38" s="1783"/>
      <c r="K38" s="1783"/>
      <c r="L38" s="1783"/>
      <c r="M38" s="1783"/>
      <c r="N38" s="1783"/>
      <c r="O38" s="1783"/>
      <c r="P38" s="1783"/>
      <c r="Q38" s="1783"/>
      <c r="R38" s="1783"/>
      <c r="S38" s="1783"/>
      <c r="T38" s="1783"/>
      <c r="U38" s="1783"/>
      <c r="V38" s="1783"/>
      <c r="W38" s="1783"/>
      <c r="X38" s="1783"/>
      <c r="Y38" s="1783"/>
      <c r="Z38" s="1783"/>
      <c r="AA38" s="1783"/>
      <c r="AB38" s="1783"/>
      <c r="AC38" s="1783"/>
      <c r="AD38" s="1783"/>
      <c r="AE38" s="1783"/>
      <c r="AF38" s="1783"/>
      <c r="AG38" s="1783"/>
      <c r="AH38" s="1783"/>
      <c r="AI38" s="1783"/>
      <c r="AJ38" s="1783"/>
      <c r="AK38" s="1783"/>
      <c r="AL38" s="1783"/>
      <c r="AM38" s="1783"/>
      <c r="AN38" s="1783"/>
      <c r="AO38" s="1861"/>
      <c r="AP38" s="1820"/>
      <c r="AQ38" s="1861"/>
      <c r="AR38" s="1783"/>
      <c r="AS38" s="1861"/>
      <c r="AT38" s="1783"/>
      <c r="AU38" s="1861"/>
      <c r="AV38" s="1783"/>
      <c r="AW38" s="1861"/>
      <c r="AX38" s="1783"/>
      <c r="AY38" s="1861"/>
      <c r="AZ38" s="1783"/>
      <c r="BA38" s="1861"/>
      <c r="BB38" s="1783"/>
      <c r="BC38" s="1861"/>
      <c r="BD38" s="1783"/>
      <c r="BE38" s="1861"/>
      <c r="BF38" s="1783"/>
      <c r="BG38" s="1861"/>
      <c r="BH38" s="1783"/>
      <c r="BI38" s="1861"/>
      <c r="BJ38" s="1783"/>
      <c r="BK38" s="1861"/>
      <c r="BL38" s="1783"/>
      <c r="BM38" s="1783"/>
      <c r="BN38" s="1783"/>
      <c r="BO38" s="1783"/>
      <c r="BP38" s="1783"/>
      <c r="BQ38" s="1783"/>
      <c r="BR38" s="1783"/>
      <c r="BS38" s="1783"/>
      <c r="BT38" s="1783"/>
      <c r="BU38" s="1783"/>
      <c r="BV38" s="1783"/>
      <c r="BW38" s="1783"/>
      <c r="BX38" s="1783"/>
    </row>
    <row r="39" spans="1:76">
      <c r="A39" s="1783"/>
      <c r="B39" s="1783" t="s">
        <v>550</v>
      </c>
      <c r="C39" s="1783"/>
      <c r="D39" s="1783"/>
      <c r="E39" s="1819">
        <v>308.59300000000002</v>
      </c>
      <c r="F39" s="1813"/>
      <c r="G39" s="1819">
        <v>307.38499999999999</v>
      </c>
      <c r="H39" s="1813"/>
      <c r="I39" s="1819">
        <v>179.78700000000001</v>
      </c>
      <c r="J39" s="1813"/>
      <c r="K39" s="1819">
        <v>210.85400000000001</v>
      </c>
      <c r="L39" s="1813"/>
      <c r="M39" s="1819">
        <f>157.33+4.598+77.55</f>
        <v>239.47800000000001</v>
      </c>
      <c r="N39" s="1819">
        <v>239.47800000000001</v>
      </c>
      <c r="O39" s="1813"/>
      <c r="P39" s="1819">
        <v>690.71299999999997</v>
      </c>
      <c r="Q39" s="1813"/>
      <c r="R39" s="1819">
        <v>244.41</v>
      </c>
      <c r="S39" s="1813"/>
      <c r="T39" s="1819">
        <v>221.024</v>
      </c>
      <c r="U39" s="1871"/>
      <c r="V39" s="1819">
        <v>220.34399999999999</v>
      </c>
      <c r="W39" s="1813"/>
      <c r="X39" s="1819">
        <v>319.36700000000002</v>
      </c>
      <c r="Y39" s="1813"/>
      <c r="Z39" s="1819">
        <v>319.37200000000001</v>
      </c>
      <c r="AA39" s="1813"/>
      <c r="AB39" s="1819">
        <v>672.04300000000001</v>
      </c>
      <c r="AC39" s="1813"/>
      <c r="AD39" s="1819">
        <v>664.77599999999995</v>
      </c>
      <c r="AE39" s="1813"/>
      <c r="AF39" s="1819">
        <v>664.79300000000001</v>
      </c>
      <c r="AG39" s="1813"/>
      <c r="AH39" s="1819">
        <v>572.59299999999996</v>
      </c>
      <c r="AI39" s="1813"/>
      <c r="AJ39" s="1819">
        <v>782.91399999999999</v>
      </c>
      <c r="AK39" s="1813"/>
      <c r="AL39" s="1819">
        <v>785.64499999999998</v>
      </c>
      <c r="AM39" s="1813"/>
      <c r="AN39" s="1819">
        <v>833.08600000000001</v>
      </c>
      <c r="AO39" s="1861"/>
      <c r="AP39" s="1819">
        <v>365.58300000000003</v>
      </c>
      <c r="AQ39" s="1861"/>
      <c r="AR39" s="1819">
        <v>774.32500000000005</v>
      </c>
      <c r="AS39" s="1861"/>
      <c r="AT39" s="1819">
        <v>774.4</v>
      </c>
      <c r="AU39" s="1861"/>
      <c r="AV39" s="1819">
        <v>774.476</v>
      </c>
      <c r="AW39" s="1861"/>
      <c r="AX39" s="1819">
        <v>774.55200000000002</v>
      </c>
      <c r="AY39" s="1861"/>
      <c r="AZ39" s="1819">
        <v>1274.2159999999999</v>
      </c>
      <c r="BA39" s="1861"/>
      <c r="BB39" s="1819">
        <v>1623.9</v>
      </c>
      <c r="BC39" s="1861"/>
      <c r="BD39" s="1819">
        <v>1615.0029999999999</v>
      </c>
      <c r="BE39" s="1861"/>
      <c r="BF39" s="1933">
        <v>2227.5990000000002</v>
      </c>
      <c r="BG39" s="1861"/>
      <c r="BH39" s="1933">
        <v>2230.6</v>
      </c>
      <c r="BI39" s="1861"/>
      <c r="BJ39" s="1820">
        <f>+BH39-BJ34</f>
        <v>2230.6</v>
      </c>
      <c r="BK39" s="1861"/>
      <c r="BL39" s="1820">
        <f>+BJ39-BL34</f>
        <v>2230.6</v>
      </c>
      <c r="BM39" s="1820"/>
      <c r="BN39" s="1820">
        <f>+BL39-BN34</f>
        <v>2230.6</v>
      </c>
      <c r="BO39" s="1820"/>
      <c r="BP39" s="1820">
        <f>+BN39-BP34</f>
        <v>2230.6</v>
      </c>
      <c r="BQ39" s="1820"/>
      <c r="BR39" s="1820">
        <f>+BP39-BR34</f>
        <v>2230.6</v>
      </c>
      <c r="BS39" s="1783"/>
      <c r="BT39" s="1783"/>
      <c r="BU39" s="1783"/>
      <c r="BV39" s="1783"/>
      <c r="BW39" s="1783"/>
      <c r="BX39" s="1783"/>
    </row>
    <row r="40" spans="1:76">
      <c r="A40" s="1783"/>
      <c r="B40" s="1783" t="s">
        <v>664</v>
      </c>
      <c r="C40" s="1783"/>
      <c r="D40" s="1783"/>
      <c r="E40" s="1800">
        <v>0</v>
      </c>
      <c r="F40" s="1813"/>
      <c r="G40" s="1800">
        <v>0</v>
      </c>
      <c r="H40" s="1813"/>
      <c r="I40" s="1800">
        <v>0</v>
      </c>
      <c r="J40" s="1813"/>
      <c r="K40" s="1800">
        <v>0</v>
      </c>
      <c r="L40" s="1813"/>
      <c r="M40" s="1800">
        <v>0</v>
      </c>
      <c r="N40" s="1800">
        <v>0</v>
      </c>
      <c r="O40" s="1813"/>
      <c r="P40" s="1800">
        <v>0</v>
      </c>
      <c r="Q40" s="1813"/>
      <c r="R40" s="1800">
        <v>0</v>
      </c>
      <c r="S40" s="1813"/>
      <c r="T40" s="1800">
        <v>0</v>
      </c>
      <c r="U40" s="1871"/>
      <c r="V40" s="1800">
        <v>0</v>
      </c>
      <c r="W40" s="1813"/>
      <c r="X40" s="1800">
        <v>0</v>
      </c>
      <c r="Y40" s="1813"/>
      <c r="Z40" s="1800">
        <v>165.44</v>
      </c>
      <c r="AA40" s="1813"/>
      <c r="AB40" s="1800">
        <f>30.336+237.656</f>
        <v>267.99200000000002</v>
      </c>
      <c r="AC40" s="1813"/>
      <c r="AD40" s="1800">
        <f>28.988+285.864</f>
        <v>314.85199999999998</v>
      </c>
      <c r="AE40" s="1813"/>
      <c r="AF40" s="1800">
        <f>337.721+27.528</f>
        <v>365.24900000000002</v>
      </c>
      <c r="AG40" s="1813"/>
      <c r="AH40" s="1800">
        <f>466.786+25.947</f>
        <v>492.733</v>
      </c>
      <c r="AI40" s="1813"/>
      <c r="AJ40" s="1800">
        <f>24.236+544.65</f>
        <v>568.88599999999997</v>
      </c>
      <c r="AK40" s="1813"/>
      <c r="AL40" s="1800">
        <f>22.382+583.047</f>
        <v>605.42899999999997</v>
      </c>
      <c r="AM40" s="1813"/>
      <c r="AN40" s="1800">
        <f>811.333+20.374</f>
        <v>831.70699999999999</v>
      </c>
      <c r="AO40" s="1861"/>
      <c r="AP40" s="1800">
        <f>765.004+18.199</f>
        <v>783.20299999999997</v>
      </c>
      <c r="AQ40" s="1800"/>
      <c r="AR40" s="1800">
        <f>15.844+697.099</f>
        <v>712.9430000000001</v>
      </c>
      <c r="AS40" s="1861"/>
      <c r="AT40" s="1800">
        <f>13.117+709.321</f>
        <v>722.43799999999999</v>
      </c>
      <c r="AU40" s="1861"/>
      <c r="AV40" s="1800">
        <f>10.147+861.768</f>
        <v>871.91500000000008</v>
      </c>
      <c r="AW40" s="1861"/>
      <c r="AX40" s="1800">
        <v>961.28399999999999</v>
      </c>
      <c r="AY40" s="1861"/>
      <c r="AZ40" s="1800">
        <v>732.99900000000002</v>
      </c>
      <c r="BA40" s="1861"/>
      <c r="BB40" s="1800">
        <v>827.4</v>
      </c>
      <c r="BC40" s="1861"/>
      <c r="BD40" s="1800">
        <v>881.02099999999996</v>
      </c>
      <c r="BE40" s="1861"/>
      <c r="BF40" s="1931">
        <v>1073.954</v>
      </c>
      <c r="BG40" s="1861"/>
      <c r="BH40" s="1931">
        <v>1320.5</v>
      </c>
      <c r="BI40" s="1861"/>
      <c r="BJ40" s="1799">
        <f>+BH40+50</f>
        <v>1370.5</v>
      </c>
      <c r="BK40" s="1861"/>
      <c r="BL40" s="1799">
        <f>+BJ40+50</f>
        <v>1420.5</v>
      </c>
      <c r="BM40" s="1799"/>
      <c r="BN40" s="1799">
        <f>+BL40+50</f>
        <v>1470.5</v>
      </c>
      <c r="BO40" s="1799"/>
      <c r="BP40" s="1799">
        <f>+BN40+50</f>
        <v>1520.5</v>
      </c>
      <c r="BQ40" s="1799"/>
      <c r="BR40" s="1799">
        <f>+BP40+50</f>
        <v>1570.5</v>
      </c>
      <c r="BS40" s="1783"/>
      <c r="BT40" s="1783"/>
      <c r="BU40" s="1783"/>
      <c r="BV40" s="1783"/>
      <c r="BW40" s="1783"/>
      <c r="BX40" s="1783"/>
    </row>
    <row r="41" spans="1:76">
      <c r="A41" s="1783"/>
      <c r="B41" s="1783" t="s">
        <v>538</v>
      </c>
      <c r="C41" s="1783"/>
      <c r="D41" s="1783"/>
      <c r="E41" s="1825">
        <v>67.33</v>
      </c>
      <c r="F41" s="1813"/>
      <c r="G41" s="1825">
        <v>52.734999999999999</v>
      </c>
      <c r="H41" s="1813"/>
      <c r="I41" s="1825">
        <v>44.378</v>
      </c>
      <c r="J41" s="1813"/>
      <c r="K41" s="1825">
        <v>33.963000000000001</v>
      </c>
      <c r="L41" s="1813"/>
      <c r="M41" s="1825">
        <v>33.523000000000003</v>
      </c>
      <c r="N41" s="1825">
        <v>33.523000000000003</v>
      </c>
      <c r="O41" s="1813"/>
      <c r="P41" s="1825">
        <v>12.664</v>
      </c>
      <c r="Q41" s="1813"/>
      <c r="R41" s="1825">
        <v>7.32</v>
      </c>
      <c r="S41" s="1813"/>
      <c r="T41" s="1825">
        <v>6.859</v>
      </c>
      <c r="U41" s="1871"/>
      <c r="V41" s="1825">
        <v>0</v>
      </c>
      <c r="W41" s="1813"/>
      <c r="X41" s="1825">
        <v>0</v>
      </c>
      <c r="Y41" s="1813"/>
      <c r="Z41" s="1825">
        <v>0</v>
      </c>
      <c r="AA41" s="1813"/>
      <c r="AB41" s="1825">
        <v>0</v>
      </c>
      <c r="AC41" s="1813"/>
      <c r="AD41" s="1825">
        <v>41.969000000000001</v>
      </c>
      <c r="AE41" s="1813"/>
      <c r="AF41" s="1825">
        <v>123.81699999999999</v>
      </c>
      <c r="AG41" s="1813"/>
      <c r="AH41" s="1825">
        <v>59.478999999999999</v>
      </c>
      <c r="AI41" s="1813"/>
      <c r="AJ41" s="1825">
        <v>0</v>
      </c>
      <c r="AK41" s="1872"/>
      <c r="AL41" s="1825">
        <v>21.524999999999999</v>
      </c>
      <c r="AM41" s="1872"/>
      <c r="AN41" s="1825">
        <v>42.902999999999999</v>
      </c>
      <c r="AO41" s="1861"/>
      <c r="AP41" s="1825">
        <v>127.008</v>
      </c>
      <c r="AQ41" s="1825"/>
      <c r="AR41" s="1825">
        <v>192.447</v>
      </c>
      <c r="AS41" s="1861"/>
      <c r="AT41" s="1825">
        <v>241.905</v>
      </c>
      <c r="AU41" s="1861"/>
      <c r="AV41" s="1825">
        <v>362.50099999999998</v>
      </c>
      <c r="AW41" s="1861"/>
      <c r="AX41" s="1825">
        <v>349.48599999999999</v>
      </c>
      <c r="AY41" s="1861"/>
      <c r="AZ41" s="1825">
        <v>446.07100000000003</v>
      </c>
      <c r="BA41" s="1861"/>
      <c r="BB41" s="1825">
        <v>422.5</v>
      </c>
      <c r="BC41" s="1861"/>
      <c r="BD41" s="1825">
        <v>285.10199999999998</v>
      </c>
      <c r="BE41" s="1861"/>
      <c r="BF41" s="1934">
        <v>314</v>
      </c>
      <c r="BG41" s="1861"/>
      <c r="BH41" s="1934">
        <v>233.1</v>
      </c>
      <c r="BI41" s="1861"/>
      <c r="BJ41" s="1824">
        <f>BH41</f>
        <v>233.1</v>
      </c>
      <c r="BK41" s="1861"/>
      <c r="BL41" s="1824">
        <f>BJ41</f>
        <v>233.1</v>
      </c>
      <c r="BM41" s="1824"/>
      <c r="BN41" s="1824">
        <f>BL41</f>
        <v>233.1</v>
      </c>
      <c r="BO41" s="1824"/>
      <c r="BP41" s="1824">
        <f>BN41</f>
        <v>233.1</v>
      </c>
      <c r="BQ41" s="1824"/>
      <c r="BR41" s="1824">
        <f>BP41</f>
        <v>233.1</v>
      </c>
      <c r="BS41" s="1783"/>
      <c r="BT41" s="1783"/>
      <c r="BU41" s="1783"/>
      <c r="BV41" s="1783"/>
      <c r="BW41" s="1783"/>
      <c r="BX41" s="1783"/>
    </row>
    <row r="42" spans="1:76" hidden="1" outlineLevel="1">
      <c r="A42" s="1783"/>
      <c r="B42" s="1783" t="s">
        <v>114</v>
      </c>
      <c r="C42" s="1783"/>
      <c r="D42" s="1783"/>
      <c r="E42" s="1825"/>
      <c r="F42" s="1813"/>
      <c r="G42" s="1825"/>
      <c r="H42" s="1813"/>
      <c r="I42" s="1825">
        <v>0</v>
      </c>
      <c r="J42" s="1813"/>
      <c r="K42" s="1825">
        <v>0</v>
      </c>
      <c r="L42" s="1813"/>
      <c r="M42" s="1825">
        <v>0</v>
      </c>
      <c r="N42" s="1825"/>
      <c r="O42" s="1813"/>
      <c r="P42" s="1825">
        <v>0</v>
      </c>
      <c r="Q42" s="1813"/>
      <c r="R42" s="1825">
        <v>0</v>
      </c>
      <c r="S42" s="1813"/>
      <c r="T42" s="1825">
        <v>0</v>
      </c>
      <c r="U42" s="1871"/>
      <c r="V42" s="1825">
        <v>0</v>
      </c>
      <c r="W42" s="1813"/>
      <c r="X42" s="1825">
        <v>0</v>
      </c>
      <c r="Y42" s="1813"/>
      <c r="Z42" s="1825">
        <v>0</v>
      </c>
      <c r="AA42" s="1813"/>
      <c r="AB42" s="1825">
        <v>0</v>
      </c>
      <c r="AC42" s="1813"/>
      <c r="AD42" s="1864"/>
      <c r="AE42" s="1813"/>
      <c r="AF42" s="1864"/>
      <c r="AG42" s="1813"/>
      <c r="AH42" s="1864"/>
      <c r="AI42" s="1813"/>
      <c r="AJ42" s="1864"/>
      <c r="AK42" s="1813"/>
      <c r="AL42" s="1864"/>
      <c r="AM42" s="1813"/>
      <c r="AN42" s="1864"/>
      <c r="AO42" s="1861"/>
      <c r="AP42" s="1864"/>
      <c r="AQ42" s="1861"/>
      <c r="AR42" s="1864"/>
      <c r="AS42" s="1861"/>
      <c r="AT42" s="1864"/>
      <c r="AU42" s="1861"/>
      <c r="AV42" s="1864"/>
      <c r="AW42" s="1861"/>
      <c r="AX42" s="1864"/>
      <c r="AY42" s="1861"/>
      <c r="AZ42" s="1864"/>
      <c r="BA42" s="1861"/>
      <c r="BB42" s="1864"/>
      <c r="BC42" s="1861"/>
      <c r="BD42" s="1864"/>
      <c r="BE42" s="1861"/>
      <c r="BF42" s="1864"/>
      <c r="BG42" s="1861"/>
      <c r="BH42" s="1864"/>
      <c r="BI42" s="1861"/>
      <c r="BJ42" s="1864"/>
      <c r="BK42" s="1861"/>
      <c r="BL42" s="1864"/>
      <c r="BM42" s="1864"/>
      <c r="BN42" s="1864"/>
      <c r="BO42" s="1864"/>
      <c r="BP42" s="1864"/>
      <c r="BQ42" s="1864"/>
      <c r="BR42" s="1864"/>
      <c r="BS42" s="1783"/>
      <c r="BT42" s="1783"/>
      <c r="BU42" s="1783"/>
      <c r="BV42" s="1783"/>
      <c r="BW42" s="1783"/>
      <c r="BX42" s="1783"/>
    </row>
    <row r="43" spans="1:76" collapsed="1">
      <c r="A43" s="1783"/>
      <c r="B43" s="1783"/>
      <c r="C43" s="1783" t="s">
        <v>548</v>
      </c>
      <c r="D43" s="1783"/>
      <c r="E43" s="1790">
        <f>SUM(E38:E42)</f>
        <v>375.923</v>
      </c>
      <c r="F43" s="1783"/>
      <c r="G43" s="1790">
        <f>SUM(G38:G42)</f>
        <v>360.12</v>
      </c>
      <c r="H43" s="1783"/>
      <c r="I43" s="1790">
        <f>SUM(I38:I42)</f>
        <v>224.16500000000002</v>
      </c>
      <c r="J43" s="1783"/>
      <c r="K43" s="1790">
        <f>SUM(K38:K42)</f>
        <v>244.81700000000001</v>
      </c>
      <c r="L43" s="1783"/>
      <c r="M43" s="1790">
        <f>SUM(M38:M42)</f>
        <v>273.00100000000003</v>
      </c>
      <c r="N43" s="1790">
        <f>SUM(N38:N42)</f>
        <v>273.00100000000003</v>
      </c>
      <c r="O43" s="1783"/>
      <c r="P43" s="1790">
        <f>SUM(P38:P42)</f>
        <v>703.37699999999995</v>
      </c>
      <c r="Q43" s="1783"/>
      <c r="R43" s="1790">
        <f>SUM(R38:R42)</f>
        <v>251.73</v>
      </c>
      <c r="S43" s="1783"/>
      <c r="T43" s="1790">
        <f>SUM(T39:T42)</f>
        <v>227.88300000000001</v>
      </c>
      <c r="U43" s="1783"/>
      <c r="V43" s="1790">
        <f>SUM(V39:V42)</f>
        <v>220.34399999999999</v>
      </c>
      <c r="W43" s="1783"/>
      <c r="X43" s="1790">
        <f>SUM(X39:X42)</f>
        <v>319.36700000000002</v>
      </c>
      <c r="Y43" s="1783"/>
      <c r="Z43" s="1790">
        <f>SUM(Z39:Z42)</f>
        <v>484.81200000000001</v>
      </c>
      <c r="AA43" s="1783"/>
      <c r="AB43" s="1790">
        <f>SUM(AB39:AB42)</f>
        <v>940.03500000000008</v>
      </c>
      <c r="AC43" s="1783"/>
      <c r="AD43" s="1790">
        <f>SUM(AD39:AD42)</f>
        <v>1021.597</v>
      </c>
      <c r="AE43" s="1783"/>
      <c r="AF43" s="1790">
        <f>SUM(AF39:AF42)</f>
        <v>1153.8589999999999</v>
      </c>
      <c r="AG43" s="1783"/>
      <c r="AH43" s="1790">
        <f>SUM(AH39:AH42)</f>
        <v>1124.8050000000001</v>
      </c>
      <c r="AI43" s="1783"/>
      <c r="AJ43" s="1790">
        <f>SUM(AJ39:AJ42)</f>
        <v>1351.8</v>
      </c>
      <c r="AK43" s="1783"/>
      <c r="AL43" s="1790">
        <f>SUM(AL39:AL42)</f>
        <v>1412.5990000000002</v>
      </c>
      <c r="AM43" s="1783"/>
      <c r="AN43" s="1790">
        <f>SUM(AN39:AN42)</f>
        <v>1707.6960000000001</v>
      </c>
      <c r="AO43" s="1861"/>
      <c r="AP43" s="1820">
        <f>SUM(AP39:AP42)</f>
        <v>1275.7940000000001</v>
      </c>
      <c r="AQ43" s="1861"/>
      <c r="AR43" s="1790">
        <f>SUM(AR39:AR42)</f>
        <v>1679.7150000000001</v>
      </c>
      <c r="AS43" s="1861"/>
      <c r="AT43" s="1790">
        <f>SUM(AT39:AT42)</f>
        <v>1738.7429999999999</v>
      </c>
      <c r="AU43" s="1861"/>
      <c r="AV43" s="1790">
        <f>SUM(AV39:AV42)</f>
        <v>2008.8920000000001</v>
      </c>
      <c r="AW43" s="1861"/>
      <c r="AX43" s="1790">
        <f>SUM(AX39:AX42)</f>
        <v>2085.3220000000001</v>
      </c>
      <c r="AY43" s="1861"/>
      <c r="AZ43" s="1790">
        <f>SUM(AZ39:AZ42)</f>
        <v>2453.2860000000001</v>
      </c>
      <c r="BA43" s="1861"/>
      <c r="BB43" s="1790">
        <f>SUM(BB39:BB42)</f>
        <v>2873.8</v>
      </c>
      <c r="BC43" s="1861"/>
      <c r="BD43" s="1790">
        <f>SUM(BD39:BD42)</f>
        <v>2781.1259999999997</v>
      </c>
      <c r="BE43" s="1861"/>
      <c r="BF43" s="1790">
        <f>SUM(BF39:BF42)</f>
        <v>3615.5529999999999</v>
      </c>
      <c r="BG43" s="1861"/>
      <c r="BH43" s="1790">
        <f>SUM(BH39:BH42)</f>
        <v>3784.2</v>
      </c>
      <c r="BI43" s="1861"/>
      <c r="BJ43" s="1790">
        <f>SUM(BJ39:BJ42)</f>
        <v>3834.2</v>
      </c>
      <c r="BK43" s="1861"/>
      <c r="BL43" s="1790">
        <f>SUM(BL39:BL42)</f>
        <v>3884.2</v>
      </c>
      <c r="BM43" s="1790"/>
      <c r="BN43" s="1790">
        <f>SUM(BN39:BN42)</f>
        <v>3934.2</v>
      </c>
      <c r="BO43" s="1790"/>
      <c r="BP43" s="1790">
        <f>SUM(BP39:BP42)</f>
        <v>3984.2</v>
      </c>
      <c r="BQ43" s="1790"/>
      <c r="BR43" s="1790">
        <f>SUM(BR39:BR42)</f>
        <v>4034.2</v>
      </c>
      <c r="BS43" s="1783"/>
      <c r="BT43" s="1783"/>
      <c r="BU43" s="1783"/>
      <c r="BV43" s="1783"/>
      <c r="BW43" s="1783"/>
      <c r="BX43" s="1783"/>
    </row>
    <row r="44" spans="1:76">
      <c r="A44" s="1783"/>
      <c r="B44" s="1783"/>
      <c r="C44" s="1783"/>
      <c r="D44" s="1783"/>
      <c r="E44" s="1783"/>
      <c r="F44" s="1783"/>
      <c r="G44" s="1783"/>
      <c r="H44" s="1783"/>
      <c r="I44" s="1783"/>
      <c r="J44" s="1783"/>
      <c r="K44" s="1783"/>
      <c r="L44" s="1783"/>
      <c r="M44" s="1783"/>
      <c r="N44" s="1783"/>
      <c r="O44" s="1783"/>
      <c r="P44" s="1783"/>
      <c r="Q44" s="1783"/>
      <c r="R44" s="1783"/>
      <c r="S44" s="1783"/>
      <c r="T44" s="1783"/>
      <c r="U44" s="1783"/>
      <c r="V44" s="1783"/>
      <c r="W44" s="1783"/>
      <c r="X44" s="1783"/>
      <c r="Y44" s="1783"/>
      <c r="Z44" s="1783"/>
      <c r="AA44" s="1783"/>
      <c r="AB44" s="1783"/>
      <c r="AC44" s="1783"/>
      <c r="AD44" s="1783"/>
      <c r="AE44" s="1783"/>
      <c r="AF44" s="1783"/>
      <c r="AG44" s="1783"/>
      <c r="AH44" s="1783"/>
      <c r="AI44" s="1783"/>
      <c r="AJ44" s="1783"/>
      <c r="AK44" s="1783"/>
      <c r="AL44" s="1783"/>
      <c r="AM44" s="1783"/>
      <c r="AN44" s="1783"/>
      <c r="AO44" s="1861"/>
      <c r="AP44" s="1820"/>
      <c r="AQ44" s="1861"/>
      <c r="AR44" s="1783"/>
      <c r="AS44" s="1861"/>
      <c r="AT44" s="1783"/>
      <c r="AU44" s="1861"/>
      <c r="AV44" s="1783"/>
      <c r="AW44" s="1861"/>
      <c r="AX44" s="1783"/>
      <c r="AY44" s="1861"/>
      <c r="AZ44" s="1783"/>
      <c r="BA44" s="1861"/>
      <c r="BB44" s="1783"/>
      <c r="BC44" s="1861"/>
      <c r="BD44" s="1783"/>
      <c r="BE44" s="1861"/>
      <c r="BF44" s="1783"/>
      <c r="BG44" s="1861"/>
      <c r="BH44" s="1783"/>
      <c r="BI44" s="1861"/>
      <c r="BJ44" s="1783"/>
      <c r="BK44" s="1861"/>
      <c r="BL44" s="1783"/>
      <c r="BM44" s="1783"/>
      <c r="BN44" s="1783"/>
      <c r="BO44" s="1783"/>
      <c r="BP44" s="1783"/>
      <c r="BQ44" s="1783"/>
      <c r="BR44" s="1783"/>
      <c r="BS44" s="1783"/>
      <c r="BT44" s="1783"/>
      <c r="BU44" s="1783"/>
      <c r="BV44" s="1783"/>
      <c r="BW44" s="1783"/>
      <c r="BX44" s="1783"/>
    </row>
    <row r="45" spans="1:76">
      <c r="A45" s="1783"/>
      <c r="B45" s="1783" t="s">
        <v>153</v>
      </c>
      <c r="C45" s="1783"/>
      <c r="D45" s="1783"/>
      <c r="E45" s="1873">
        <f>+E37+E43</f>
        <v>776.79399999999998</v>
      </c>
      <c r="F45" s="1783"/>
      <c r="G45" s="1873">
        <f>+G37+G43</f>
        <v>844.80200000000002</v>
      </c>
      <c r="H45" s="1783"/>
      <c r="I45" s="1873">
        <f>+I37+I43</f>
        <v>799.91200000000003</v>
      </c>
      <c r="J45" s="1783"/>
      <c r="K45" s="1873">
        <f>+K37+K43</f>
        <v>836.47</v>
      </c>
      <c r="L45" s="1783"/>
      <c r="M45" s="1873">
        <f>+M37+M43</f>
        <v>1031.2660000000001</v>
      </c>
      <c r="N45" s="1873">
        <f>+N37+N43</f>
        <v>992.5920000000001</v>
      </c>
      <c r="O45" s="1783"/>
      <c r="P45" s="1873">
        <f>+P37+P43</f>
        <v>1909.777</v>
      </c>
      <c r="Q45" s="1783"/>
      <c r="R45" s="1873">
        <f>+R37+R43</f>
        <v>1434.0260000000001</v>
      </c>
      <c r="S45" s="1783"/>
      <c r="T45" s="1873">
        <f>+T37+T43</f>
        <v>1445.5400000000002</v>
      </c>
      <c r="U45" s="1783"/>
      <c r="V45" s="1873">
        <f>+V37+V43</f>
        <v>1527.19</v>
      </c>
      <c r="W45" s="1783"/>
      <c r="X45" s="1873">
        <f>+X37+X43</f>
        <v>1685.7349999999999</v>
      </c>
      <c r="Y45" s="1783"/>
      <c r="Z45" s="1873">
        <f>+Z37+Z43</f>
        <v>1713.5709999999999</v>
      </c>
      <c r="AA45" s="1783"/>
      <c r="AB45" s="1873">
        <f>+AB37+AB43</f>
        <v>2255.0450000000001</v>
      </c>
      <c r="AC45" s="1783"/>
      <c r="AD45" s="1873">
        <f>+AD37+AD43</f>
        <v>2531.3419999999996</v>
      </c>
      <c r="AE45" s="1783"/>
      <c r="AF45" s="1873">
        <f>+AF37+AF43</f>
        <v>2844.3789999999999</v>
      </c>
      <c r="AG45" s="1783"/>
      <c r="AH45" s="1873">
        <f>+AH37+AH43</f>
        <v>3328.9170000000004</v>
      </c>
      <c r="AI45" s="1783"/>
      <c r="AJ45" s="1873">
        <f>+AJ37+AJ43</f>
        <v>3603.6509999999998</v>
      </c>
      <c r="AK45" s="1783"/>
      <c r="AL45" s="1873">
        <f>+AL37+AL43</f>
        <v>3795.5790000000002</v>
      </c>
      <c r="AM45" s="1783"/>
      <c r="AN45" s="1873">
        <f>+AN37+AN43</f>
        <v>4468.6890000000003</v>
      </c>
      <c r="AO45" s="1861"/>
      <c r="AP45" s="1874">
        <f>+AP37+AP43</f>
        <v>4043.6850000000004</v>
      </c>
      <c r="AQ45" s="1861"/>
      <c r="AR45" s="1873">
        <f>+AR37+AR43</f>
        <v>4574.701</v>
      </c>
      <c r="AS45" s="1861"/>
      <c r="AT45" s="1873">
        <f>+AT37+AT43</f>
        <v>4871.8639999999996</v>
      </c>
      <c r="AU45" s="1861"/>
      <c r="AV45" s="1873">
        <f>+AV37+AV43</f>
        <v>5072.3149999999996</v>
      </c>
      <c r="AW45" s="1861"/>
      <c r="AX45" s="1873">
        <f>+AX37+AX43</f>
        <v>5845.9179999999997</v>
      </c>
      <c r="AY45" s="1861"/>
      <c r="AZ45" s="1873">
        <f>+AZ37+AZ43</f>
        <v>5971.1289999999999</v>
      </c>
      <c r="BA45" s="1861"/>
      <c r="BB45" s="1873">
        <f>+BB37+BB43</f>
        <v>6803.4</v>
      </c>
      <c r="BC45" s="1861"/>
      <c r="BD45" s="1873">
        <f>+BD37+BD43</f>
        <v>7183.3559999999998</v>
      </c>
      <c r="BE45" s="1861"/>
      <c r="BF45" s="1873">
        <f>+BF37+BF43</f>
        <v>8373.2089999999989</v>
      </c>
      <c r="BG45" s="1861"/>
      <c r="BH45" s="1873">
        <f>+BH37+BH43</f>
        <v>8909.7000000000007</v>
      </c>
      <c r="BI45" s="1861"/>
      <c r="BJ45" s="1873">
        <f>+BJ37+BJ43</f>
        <v>9363.3358282462104</v>
      </c>
      <c r="BK45" s="1861"/>
      <c r="BL45" s="1873">
        <f>+BL37+BL43</f>
        <v>9771.5327956839537</v>
      </c>
      <c r="BM45" s="1873"/>
      <c r="BN45" s="1873">
        <f>+BN37+BN43</f>
        <v>10194.114574757743</v>
      </c>
      <c r="BO45" s="1873"/>
      <c r="BP45" s="1873">
        <f>+BP37+BP43</f>
        <v>10630.78762004149</v>
      </c>
      <c r="BQ45" s="1873"/>
      <c r="BR45" s="1873">
        <f>+BR37+BR43</f>
        <v>10988.116146814924</v>
      </c>
      <c r="BS45" s="1783"/>
      <c r="BT45" s="1783"/>
      <c r="BU45" s="1783"/>
      <c r="BV45" s="1783"/>
      <c r="BW45" s="1783"/>
      <c r="BX45" s="1783"/>
    </row>
    <row r="46" spans="1:76" outlineLevel="1">
      <c r="A46" s="1783"/>
      <c r="B46" s="1783"/>
      <c r="C46" s="1783"/>
      <c r="D46" s="1783"/>
      <c r="E46" s="1829"/>
      <c r="F46" s="1783"/>
      <c r="G46" s="1829"/>
      <c r="H46" s="1783"/>
      <c r="I46" s="1829"/>
      <c r="J46" s="1783"/>
      <c r="K46" s="1829"/>
      <c r="L46" s="1783"/>
      <c r="M46" s="1829"/>
      <c r="N46" s="1829"/>
      <c r="O46" s="1783"/>
      <c r="P46" s="1829"/>
      <c r="Q46" s="1783"/>
      <c r="R46" s="1829"/>
      <c r="S46" s="1783"/>
      <c r="T46" s="1829"/>
      <c r="U46" s="1783"/>
      <c r="V46" s="1829"/>
      <c r="W46" s="1783"/>
      <c r="X46" s="1829"/>
      <c r="Y46" s="1783"/>
      <c r="Z46" s="1829"/>
      <c r="AA46" s="1783"/>
      <c r="AB46" s="1829"/>
      <c r="AC46" s="1783"/>
      <c r="AD46" s="1829"/>
      <c r="AE46" s="1783"/>
      <c r="AF46" s="1829"/>
      <c r="AG46" s="1783"/>
      <c r="AH46" s="1829"/>
      <c r="AI46" s="1783"/>
      <c r="AJ46" s="1829"/>
      <c r="AK46" s="1783"/>
      <c r="AL46" s="1829"/>
      <c r="AM46" s="1783"/>
      <c r="AN46" s="1829"/>
      <c r="AO46" s="1861"/>
      <c r="AP46" s="1834"/>
      <c r="AQ46" s="1861"/>
      <c r="AR46" s="1829"/>
      <c r="AS46" s="1861"/>
      <c r="AT46" s="1829"/>
      <c r="AU46" s="1861"/>
      <c r="AV46" s="1829"/>
      <c r="AW46" s="1861"/>
      <c r="AX46" s="1829"/>
      <c r="AY46" s="1861"/>
      <c r="AZ46" s="1829"/>
      <c r="BA46" s="1861"/>
      <c r="BB46" s="1829"/>
      <c r="BC46" s="1861"/>
      <c r="BD46" s="1829"/>
      <c r="BE46" s="1861"/>
      <c r="BF46" s="1829"/>
      <c r="BG46" s="1861"/>
      <c r="BH46" s="1829"/>
      <c r="BI46" s="1861"/>
      <c r="BJ46" s="1829"/>
      <c r="BK46" s="1861"/>
      <c r="BL46" s="1829"/>
      <c r="BM46" s="1829"/>
      <c r="BN46" s="1829"/>
      <c r="BO46" s="1829"/>
      <c r="BP46" s="1829"/>
      <c r="BQ46" s="1829"/>
      <c r="BR46" s="1829"/>
      <c r="BS46" s="1783"/>
      <c r="BT46" s="1783"/>
      <c r="BU46" s="1783"/>
      <c r="BV46" s="1783"/>
      <c r="BW46" s="1783"/>
      <c r="BX46" s="1783"/>
    </row>
    <row r="47" spans="1:76" outlineLevel="1">
      <c r="A47" s="1858"/>
      <c r="B47" s="1783" t="s">
        <v>654</v>
      </c>
      <c r="C47" s="1783"/>
      <c r="D47" s="1783"/>
      <c r="E47" s="1783">
        <v>0</v>
      </c>
      <c r="F47" s="1783"/>
      <c r="G47" s="1783">
        <v>0</v>
      </c>
      <c r="H47" s="1783"/>
      <c r="I47" s="1783">
        <f>25+82.5</f>
        <v>107.5</v>
      </c>
      <c r="J47" s="1783"/>
      <c r="K47" s="1832">
        <f>25+82.5</f>
        <v>107.5</v>
      </c>
      <c r="L47" s="1783"/>
      <c r="M47" s="1814">
        <f>25+82.5</f>
        <v>107.5</v>
      </c>
      <c r="N47" s="1814">
        <f>25+82.5</f>
        <v>107.5</v>
      </c>
      <c r="O47" s="1783"/>
      <c r="P47" s="1814">
        <f>25+82.5+25+150</f>
        <v>282.5</v>
      </c>
      <c r="Q47" s="1783"/>
      <c r="R47" s="1875">
        <v>150</v>
      </c>
      <c r="S47" s="1783"/>
      <c r="T47" s="1875">
        <v>72.73</v>
      </c>
      <c r="U47" s="1783"/>
      <c r="V47" s="1876">
        <v>0</v>
      </c>
      <c r="W47" s="1832"/>
      <c r="X47" s="1832">
        <v>0</v>
      </c>
      <c r="Y47" s="1832"/>
      <c r="Z47" s="1832">
        <v>0</v>
      </c>
      <c r="AA47" s="1832"/>
      <c r="AB47" s="1832">
        <v>0</v>
      </c>
      <c r="AC47" s="1783"/>
      <c r="AD47" s="1832">
        <v>0</v>
      </c>
      <c r="AE47" s="1783"/>
      <c r="AF47" s="1877">
        <v>0</v>
      </c>
      <c r="AG47" s="1878"/>
      <c r="AH47" s="1877">
        <v>0</v>
      </c>
      <c r="AI47" s="1878"/>
      <c r="AJ47" s="1877">
        <v>0</v>
      </c>
      <c r="AK47" s="1878"/>
      <c r="AL47" s="1877">
        <v>0</v>
      </c>
      <c r="AM47" s="1878"/>
      <c r="AN47" s="1877">
        <v>0</v>
      </c>
      <c r="AO47" s="1861"/>
      <c r="AP47" s="1877">
        <v>0</v>
      </c>
      <c r="AQ47" s="1861"/>
      <c r="AR47" s="1877">
        <v>0</v>
      </c>
      <c r="AS47" s="1861"/>
      <c r="AT47" s="1877">
        <v>0</v>
      </c>
      <c r="AU47" s="1861"/>
      <c r="AV47" s="1877">
        <v>0</v>
      </c>
      <c r="AW47" s="1861"/>
      <c r="AX47" s="1877">
        <v>0</v>
      </c>
      <c r="AY47" s="1861"/>
      <c r="AZ47" s="1877">
        <v>0</v>
      </c>
      <c r="BA47" s="1861"/>
      <c r="BB47" s="1877">
        <v>0</v>
      </c>
      <c r="BC47" s="1861"/>
      <c r="BD47" s="1877">
        <v>0</v>
      </c>
      <c r="BE47" s="1861"/>
      <c r="BF47" s="1877">
        <v>0</v>
      </c>
      <c r="BG47" s="1861"/>
      <c r="BH47" s="1877">
        <v>0</v>
      </c>
      <c r="BI47" s="1861"/>
      <c r="BJ47" s="1877">
        <v>0</v>
      </c>
      <c r="BK47" s="1861"/>
      <c r="BL47" s="1877">
        <v>0</v>
      </c>
      <c r="BM47" s="1877"/>
      <c r="BN47" s="1877">
        <v>0</v>
      </c>
      <c r="BO47" s="1877"/>
      <c r="BP47" s="1877">
        <v>0</v>
      </c>
      <c r="BQ47" s="1877"/>
      <c r="BR47" s="1877">
        <v>0</v>
      </c>
      <c r="BS47" s="1783"/>
      <c r="BT47" s="1783"/>
      <c r="BU47" s="1783"/>
      <c r="BV47" s="1783"/>
      <c r="BW47" s="1783"/>
      <c r="BX47" s="1783"/>
    </row>
    <row r="48" spans="1:76">
      <c r="A48" s="1783"/>
      <c r="B48" s="1783"/>
      <c r="C48" s="1783"/>
      <c r="D48" s="1783"/>
      <c r="E48" s="1783"/>
      <c r="F48" s="1783"/>
      <c r="G48" s="1783"/>
      <c r="H48" s="1783"/>
      <c r="I48" s="1783"/>
      <c r="J48" s="1783"/>
      <c r="K48" s="1783"/>
      <c r="L48" s="1783"/>
      <c r="M48" s="1783"/>
      <c r="N48" s="1783"/>
      <c r="O48" s="1783"/>
      <c r="P48" s="1783"/>
      <c r="Q48" s="1783"/>
      <c r="R48" s="1783"/>
      <c r="S48" s="1783"/>
      <c r="T48" s="1783"/>
      <c r="U48" s="1783"/>
      <c r="V48" s="1783"/>
      <c r="W48" s="1783"/>
      <c r="X48" s="1783"/>
      <c r="Y48" s="1783"/>
      <c r="Z48" s="1783"/>
      <c r="AA48" s="1783"/>
      <c r="AB48" s="1783"/>
      <c r="AC48" s="1783"/>
      <c r="AD48" s="1783"/>
      <c r="AE48" s="1783"/>
      <c r="AF48" s="1783"/>
      <c r="AG48" s="1783"/>
      <c r="AH48" s="1783"/>
      <c r="AI48" s="1783"/>
      <c r="AJ48" s="1783"/>
      <c r="AK48" s="1783"/>
      <c r="AL48" s="1783"/>
      <c r="AM48" s="1783"/>
      <c r="AN48" s="1783"/>
      <c r="AO48" s="1861"/>
      <c r="AP48" s="1820"/>
      <c r="AQ48" s="1861"/>
      <c r="AR48" s="1783"/>
      <c r="AS48" s="1861"/>
      <c r="AT48" s="1783"/>
      <c r="AU48" s="1861"/>
      <c r="AV48" s="1783"/>
      <c r="AW48" s="1861"/>
      <c r="AX48" s="1783"/>
      <c r="AY48" s="1861"/>
      <c r="AZ48" s="1783"/>
      <c r="BA48" s="1861"/>
      <c r="BB48" s="1783"/>
      <c r="BC48" s="1861"/>
      <c r="BD48" s="1783"/>
      <c r="BE48" s="1861"/>
      <c r="BF48" s="1783"/>
      <c r="BG48" s="1861"/>
      <c r="BH48" s="1783"/>
      <c r="BI48" s="1861"/>
      <c r="BJ48" s="1783"/>
      <c r="BK48" s="1861"/>
      <c r="BL48" s="1783"/>
      <c r="BM48" s="1783"/>
      <c r="BN48" s="1783"/>
      <c r="BO48" s="1783"/>
      <c r="BP48" s="1783"/>
      <c r="BQ48" s="1783"/>
      <c r="BR48" s="1783"/>
      <c r="BS48" s="1783"/>
      <c r="BT48" s="1783"/>
      <c r="BU48" s="1783"/>
      <c r="BV48" s="1783"/>
      <c r="BW48" s="1783"/>
      <c r="BX48" s="1783"/>
    </row>
    <row r="49" spans="1:76" outlineLevel="1">
      <c r="A49" s="1858" t="s">
        <v>544</v>
      </c>
      <c r="B49" s="1783"/>
      <c r="C49" s="1783"/>
      <c r="D49" s="1783"/>
      <c r="E49" s="1783"/>
      <c r="F49" s="1783"/>
      <c r="G49" s="1783"/>
      <c r="H49" s="1783"/>
      <c r="I49" s="1783"/>
      <c r="J49" s="1783"/>
      <c r="K49" s="1783"/>
      <c r="L49" s="1783"/>
      <c r="M49" s="1783"/>
      <c r="N49" s="1783"/>
      <c r="O49" s="1783"/>
      <c r="P49" s="1783"/>
      <c r="Q49" s="1783"/>
      <c r="R49" s="1783"/>
      <c r="S49" s="1783"/>
      <c r="T49" s="1783"/>
      <c r="U49" s="1783"/>
      <c r="V49" s="1879"/>
      <c r="W49" s="1783"/>
      <c r="X49" s="1783"/>
      <c r="Y49" s="1783"/>
      <c r="Z49" s="1783"/>
      <c r="AA49" s="1783"/>
      <c r="AB49" s="1783"/>
      <c r="AC49" s="1783"/>
      <c r="AD49" s="1783"/>
      <c r="AE49" s="1783"/>
      <c r="AF49" s="1783"/>
      <c r="AG49" s="1783"/>
      <c r="AH49" s="1783"/>
      <c r="AI49" s="1783"/>
      <c r="AJ49" s="1783"/>
      <c r="AK49" s="1783"/>
      <c r="AL49" s="1783"/>
      <c r="AM49" s="1783"/>
      <c r="AN49" s="1783"/>
      <c r="AO49" s="1861"/>
      <c r="AP49" s="1820"/>
      <c r="AQ49" s="1861"/>
      <c r="AR49" s="1783"/>
      <c r="AS49" s="1861"/>
      <c r="AT49" s="1783"/>
      <c r="AU49" s="1861"/>
      <c r="AV49" s="1783"/>
      <c r="AW49" s="1861"/>
      <c r="AX49" s="1783"/>
      <c r="AY49" s="1861"/>
      <c r="AZ49" s="1783"/>
      <c r="BA49" s="1861"/>
      <c r="BB49" s="1783"/>
      <c r="BC49" s="1861"/>
      <c r="BD49" s="1783"/>
      <c r="BE49" s="1861"/>
      <c r="BF49" s="1783"/>
      <c r="BG49" s="1861"/>
      <c r="BH49" s="1783"/>
      <c r="BI49" s="1861"/>
      <c r="BJ49" s="1783"/>
      <c r="BK49" s="1861"/>
      <c r="BL49" s="1783"/>
      <c r="BM49" s="1783"/>
      <c r="BN49" s="1783"/>
      <c r="BO49" s="1783"/>
      <c r="BP49" s="1783"/>
      <c r="BQ49" s="1783"/>
      <c r="BR49" s="1783"/>
      <c r="BS49" s="1783"/>
      <c r="BT49" s="1783"/>
      <c r="BU49" s="1783"/>
      <c r="BV49" s="1783"/>
      <c r="BW49" s="1783"/>
      <c r="BX49" s="1783"/>
    </row>
    <row r="50" spans="1:76" outlineLevel="1">
      <c r="A50" s="1783"/>
      <c r="B50" s="1783"/>
      <c r="C50" s="1783"/>
      <c r="D50" s="1783"/>
      <c r="E50" s="1783"/>
      <c r="F50" s="1783"/>
      <c r="G50" s="1783"/>
      <c r="H50" s="1783"/>
      <c r="I50" s="1783"/>
      <c r="J50" s="1783"/>
      <c r="K50" s="1783"/>
      <c r="L50" s="1783"/>
      <c r="M50" s="1783"/>
      <c r="N50" s="1783"/>
      <c r="O50" s="1783"/>
      <c r="P50" s="1783"/>
      <c r="Q50" s="1783"/>
      <c r="R50" s="1783"/>
      <c r="S50" s="1783"/>
      <c r="T50" s="1783"/>
      <c r="U50" s="1783"/>
      <c r="V50" s="1783"/>
      <c r="W50" s="1783"/>
      <c r="X50" s="1783"/>
      <c r="Y50" s="1783"/>
      <c r="Z50" s="1783"/>
      <c r="AA50" s="1783"/>
      <c r="AB50" s="1783"/>
      <c r="AC50" s="1783"/>
      <c r="AD50" s="1783"/>
      <c r="AE50" s="1783"/>
      <c r="AF50" s="1783"/>
      <c r="AG50" s="1783"/>
      <c r="AH50" s="1783"/>
      <c r="AI50" s="1783"/>
      <c r="AJ50" s="1783"/>
      <c r="AK50" s="1783"/>
      <c r="AL50" s="1783"/>
      <c r="AM50" s="1783"/>
      <c r="AN50" s="1783"/>
      <c r="AO50" s="1783"/>
      <c r="AP50" s="1783"/>
      <c r="AQ50" s="1783"/>
      <c r="AR50" s="1783"/>
      <c r="AS50" s="1783"/>
      <c r="AT50" s="1783"/>
      <c r="AU50" s="1783"/>
      <c r="AV50" s="1783"/>
      <c r="AW50" s="1783"/>
      <c r="AX50" s="1783"/>
      <c r="AY50" s="1783"/>
      <c r="AZ50" s="1783"/>
      <c r="BA50" s="1783"/>
      <c r="BB50" s="1783"/>
      <c r="BC50" s="1783"/>
      <c r="BD50" s="1783"/>
      <c r="BE50" s="1783"/>
      <c r="BF50" s="1783"/>
      <c r="BG50" s="1783"/>
      <c r="BH50" s="1783"/>
      <c r="BI50" s="1783"/>
      <c r="BJ50" s="1783"/>
      <c r="BK50" s="1783"/>
      <c r="BL50" s="1783"/>
      <c r="BM50" s="1783"/>
      <c r="BN50" s="1783"/>
      <c r="BO50" s="1783"/>
      <c r="BP50" s="1783"/>
      <c r="BQ50" s="1783"/>
      <c r="BR50" s="1783"/>
      <c r="BS50" s="1783"/>
      <c r="BT50" s="1783"/>
      <c r="BU50" s="1783"/>
      <c r="BV50" s="1783"/>
      <c r="BW50" s="1783"/>
      <c r="BX50" s="1783"/>
    </row>
    <row r="51" spans="1:76" outlineLevel="2">
      <c r="A51" s="1783"/>
      <c r="B51" s="1783" t="s">
        <v>545</v>
      </c>
      <c r="C51" s="1783"/>
      <c r="D51" s="1783"/>
      <c r="E51" s="1814">
        <v>69.722999999999999</v>
      </c>
      <c r="F51" s="1813"/>
      <c r="G51" s="1814">
        <v>69.802999999999997</v>
      </c>
      <c r="H51" s="1813"/>
      <c r="I51" s="1814">
        <v>73.221999999999994</v>
      </c>
      <c r="J51" s="1813"/>
      <c r="K51" s="1814">
        <v>73.430999999999997</v>
      </c>
      <c r="L51" s="1813"/>
      <c r="M51" s="1814">
        <v>72.400999999999996</v>
      </c>
      <c r="N51" s="1814">
        <v>72.400999999999996</v>
      </c>
      <c r="O51" s="1813"/>
      <c r="P51" s="1814">
        <v>72.486000000000004</v>
      </c>
      <c r="Q51" s="1813"/>
      <c r="R51" s="1814">
        <v>79.575999999999993</v>
      </c>
      <c r="S51" s="1813"/>
      <c r="T51" s="1814">
        <v>159.90100000000001</v>
      </c>
      <c r="U51" s="1871"/>
      <c r="V51" s="1814">
        <v>322.14100000000002</v>
      </c>
      <c r="W51" s="1871"/>
      <c r="X51" s="1814">
        <v>299.97899999999998</v>
      </c>
      <c r="Y51" s="1813"/>
      <c r="Z51" s="1814">
        <v>280.37900000000002</v>
      </c>
      <c r="AA51" s="1813"/>
      <c r="AB51" s="1814">
        <v>271.53800000000001</v>
      </c>
      <c r="AC51" s="1813"/>
      <c r="AD51" s="1814">
        <v>520.51499999999999</v>
      </c>
      <c r="AE51" s="1813"/>
      <c r="AF51" s="1814">
        <v>499.18200000000002</v>
      </c>
      <c r="AG51" s="1813"/>
      <c r="AH51" s="1814">
        <v>480.69900000000001</v>
      </c>
      <c r="AI51" s="1813"/>
      <c r="AJ51" s="1814">
        <v>460.96699999999998</v>
      </c>
      <c r="AK51" s="1813"/>
      <c r="AL51" s="1814">
        <v>453.65</v>
      </c>
      <c r="AM51" s="1813"/>
      <c r="AN51" s="1814">
        <v>427.95</v>
      </c>
      <c r="AO51" s="1861"/>
      <c r="AP51" s="1880">
        <v>412.822</v>
      </c>
      <c r="AQ51" s="1861"/>
      <c r="AR51" s="1880">
        <v>409.38600000000002</v>
      </c>
      <c r="AS51" s="1861"/>
      <c r="AT51" s="1814">
        <v>389.65699999999998</v>
      </c>
      <c r="AU51" s="1861"/>
      <c r="AV51" s="1814">
        <v>746.702</v>
      </c>
      <c r="AW51" s="1861"/>
      <c r="AX51" s="1814">
        <v>723.90200000000004</v>
      </c>
      <c r="AY51" s="1861"/>
      <c r="AZ51" s="1814">
        <v>705.01700000000005</v>
      </c>
      <c r="BA51" s="1861"/>
      <c r="BB51" s="1814">
        <v>684.73299999999995</v>
      </c>
      <c r="BC51" s="1861"/>
      <c r="BD51" s="1814">
        <v>663.49599999999998</v>
      </c>
      <c r="BE51" s="1861"/>
      <c r="BF51" s="1946">
        <v>646.31899999999996</v>
      </c>
      <c r="BG51" s="1861"/>
      <c r="BH51" s="1861">
        <f>+BF51</f>
        <v>646.31899999999996</v>
      </c>
      <c r="BI51" s="1861"/>
      <c r="BJ51" s="1861">
        <f>+BH51</f>
        <v>646.31899999999996</v>
      </c>
      <c r="BK51" s="1861"/>
      <c r="BL51" s="1861">
        <f>+BJ51</f>
        <v>646.31899999999996</v>
      </c>
      <c r="BM51" s="1861"/>
      <c r="BN51" s="1861">
        <f>BL51</f>
        <v>646.31899999999996</v>
      </c>
      <c r="BO51" s="1861"/>
      <c r="BP51" s="1861">
        <f>BN51</f>
        <v>646.31899999999996</v>
      </c>
      <c r="BQ51" s="1861"/>
      <c r="BR51" s="1861">
        <f>BP51</f>
        <v>646.31899999999996</v>
      </c>
      <c r="BS51" s="1783"/>
      <c r="BT51" s="1783"/>
      <c r="BU51" s="1783"/>
      <c r="BV51" s="1783"/>
      <c r="BW51" s="1783"/>
      <c r="BX51" s="1783"/>
    </row>
    <row r="52" spans="1:76" outlineLevel="2">
      <c r="A52" s="1783"/>
      <c r="B52" s="1783" t="s">
        <v>546</v>
      </c>
      <c r="C52" s="1783"/>
      <c r="D52" s="1783"/>
      <c r="E52" s="1814">
        <v>259.04000000000002</v>
      </c>
      <c r="F52" s="1813"/>
      <c r="G52" s="1814">
        <v>228.85599999999999</v>
      </c>
      <c r="H52" s="1813"/>
      <c r="I52" s="1814">
        <v>279.8</v>
      </c>
      <c r="J52" s="1813"/>
      <c r="K52" s="1814">
        <v>284.74400000000003</v>
      </c>
      <c r="L52" s="1813"/>
      <c r="M52" s="1814">
        <v>267.93700000000001</v>
      </c>
      <c r="N52" s="1814">
        <v>267.93700000000001</v>
      </c>
      <c r="O52" s="1813"/>
      <c r="P52" s="1814">
        <v>269.15899999999999</v>
      </c>
      <c r="Q52" s="1813"/>
      <c r="R52" s="1814">
        <v>429.017</v>
      </c>
      <c r="S52" s="1813"/>
      <c r="T52" s="1814">
        <v>198.73599999999999</v>
      </c>
      <c r="U52" s="1871"/>
      <c r="V52" s="1814">
        <v>0</v>
      </c>
      <c r="W52" s="1871"/>
      <c r="X52" s="1814">
        <v>0</v>
      </c>
      <c r="Y52" s="1813"/>
      <c r="Z52" s="1814">
        <v>0</v>
      </c>
      <c r="AA52" s="1813"/>
      <c r="AB52" s="1814">
        <v>0</v>
      </c>
      <c r="AC52" s="1813"/>
      <c r="AD52" s="1814">
        <v>0</v>
      </c>
      <c r="AE52" s="1813"/>
      <c r="AF52" s="1814">
        <v>0</v>
      </c>
      <c r="AG52" s="1813"/>
      <c r="AH52" s="1814">
        <v>0</v>
      </c>
      <c r="AI52" s="1813"/>
      <c r="AJ52" s="1814">
        <v>0</v>
      </c>
      <c r="AK52" s="1813"/>
      <c r="AL52" s="1814">
        <v>0</v>
      </c>
      <c r="AM52" s="1813"/>
      <c r="AN52" s="1814">
        <v>0</v>
      </c>
      <c r="AO52" s="1861"/>
      <c r="AP52" s="1814">
        <v>0</v>
      </c>
      <c r="AQ52" s="1814"/>
      <c r="AR52" s="1814">
        <v>0</v>
      </c>
      <c r="AS52" s="1861"/>
      <c r="AT52" s="1814">
        <v>0</v>
      </c>
      <c r="AU52" s="1861"/>
      <c r="AV52" s="1814">
        <v>0</v>
      </c>
      <c r="AW52" s="1861"/>
      <c r="AX52" s="1814">
        <v>0</v>
      </c>
      <c r="AY52" s="1861"/>
      <c r="AZ52" s="1814">
        <v>0</v>
      </c>
      <c r="BA52" s="1861"/>
      <c r="BB52" s="1814">
        <v>0</v>
      </c>
      <c r="BC52" s="1861"/>
      <c r="BD52" s="1814">
        <v>0</v>
      </c>
      <c r="BE52" s="1861"/>
      <c r="BF52" s="1814">
        <v>0</v>
      </c>
      <c r="BG52" s="1861"/>
      <c r="BH52" s="1814">
        <v>0</v>
      </c>
      <c r="BI52" s="1861"/>
      <c r="BJ52" s="1814">
        <v>0</v>
      </c>
      <c r="BK52" s="1861"/>
      <c r="BL52" s="1814">
        <v>0</v>
      </c>
      <c r="BM52" s="1814"/>
      <c r="BN52" s="1814">
        <v>0</v>
      </c>
      <c r="BO52" s="1814"/>
      <c r="BP52" s="1814">
        <v>0</v>
      </c>
      <c r="BQ52" s="1814"/>
      <c r="BR52" s="1814">
        <v>0</v>
      </c>
      <c r="BS52" s="1783"/>
      <c r="BT52" s="1783"/>
      <c r="BU52" s="1783"/>
      <c r="BV52" s="1783"/>
      <c r="BW52" s="1783"/>
      <c r="BX52" s="1783"/>
    </row>
    <row r="53" spans="1:76" outlineLevel="2">
      <c r="A53" s="1783"/>
      <c r="B53" s="1783" t="s">
        <v>615</v>
      </c>
      <c r="C53" s="1783"/>
      <c r="D53" s="1783"/>
      <c r="E53" s="1814">
        <v>-58.256</v>
      </c>
      <c r="F53" s="1813"/>
      <c r="G53" s="1814">
        <v>-38.142000000000003</v>
      </c>
      <c r="H53" s="1813"/>
      <c r="I53" s="1814">
        <v>44.661999999999999</v>
      </c>
      <c r="J53" s="1813"/>
      <c r="K53" s="1814">
        <v>125.22499999999999</v>
      </c>
      <c r="L53" s="1813"/>
      <c r="M53" s="1814">
        <v>159.114</v>
      </c>
      <c r="N53" s="1814">
        <v>159.114</v>
      </c>
      <c r="O53" s="1813"/>
      <c r="P53" s="1814">
        <v>140.489</v>
      </c>
      <c r="Q53" s="1813"/>
      <c r="R53" s="1814">
        <v>468.59300000000002</v>
      </c>
      <c r="S53" s="1813"/>
      <c r="T53" s="1814">
        <v>729.40800000000002</v>
      </c>
      <c r="U53" s="1871"/>
      <c r="V53" s="1814">
        <v>900.04399999999998</v>
      </c>
      <c r="W53" s="1871"/>
      <c r="X53" s="1814">
        <v>820.68200000000002</v>
      </c>
      <c r="Y53" s="1813"/>
      <c r="Z53" s="1814">
        <v>941.62099999999998</v>
      </c>
      <c r="AA53" s="1813"/>
      <c r="AB53" s="1814">
        <v>1075.915</v>
      </c>
      <c r="AC53" s="1813"/>
      <c r="AD53" s="1814">
        <f>899.448-7.652</f>
        <v>891.79599999999994</v>
      </c>
      <c r="AE53" s="1813"/>
      <c r="AF53" s="1814">
        <f>1079.1-12.31</f>
        <v>1066.79</v>
      </c>
      <c r="AG53" s="1813"/>
      <c r="AH53" s="1814">
        <v>1292.1020000000001</v>
      </c>
      <c r="AI53" s="1813"/>
      <c r="AJ53" s="1814">
        <v>1475.9829999999999</v>
      </c>
      <c r="AK53" s="1813"/>
      <c r="AL53" s="1814">
        <v>1870.46</v>
      </c>
      <c r="AM53" s="1813"/>
      <c r="AN53" s="1814">
        <v>1731.98</v>
      </c>
      <c r="AO53" s="1861"/>
      <c r="AP53" s="1814">
        <v>1939.5160000000001</v>
      </c>
      <c r="AQ53" s="1814"/>
      <c r="AR53" s="1814">
        <v>2614.0140000000001</v>
      </c>
      <c r="AS53" s="1861"/>
      <c r="AT53" s="1814">
        <v>2801.9969999999998</v>
      </c>
      <c r="AU53" s="1861"/>
      <c r="AV53" s="1814">
        <v>2655.163</v>
      </c>
      <c r="AW53" s="1861"/>
      <c r="AX53" s="1814">
        <v>3155.4270000000001</v>
      </c>
      <c r="AY53" s="1861"/>
      <c r="AZ53" s="1814">
        <v>3724.4079999999999</v>
      </c>
      <c r="BA53" s="1861"/>
      <c r="BB53" s="1814">
        <v>4133.8819999999996</v>
      </c>
      <c r="BC53" s="1861"/>
      <c r="BD53" s="1814">
        <v>4311.0510000000004</v>
      </c>
      <c r="BE53" s="1861"/>
      <c r="BF53" s="1946">
        <v>4558.5060000000003</v>
      </c>
      <c r="BG53" s="1861"/>
      <c r="BH53" s="1861">
        <f>+BF53+flow!BF8+flow!BF12+flow!BF58+flow!BF51</f>
        <v>4859.2540000000026</v>
      </c>
      <c r="BI53" s="1861"/>
      <c r="BJ53" s="1861">
        <f>+BH53+flow!BH8+flow!BH12+flow!BH58+flow!BH51</f>
        <v>4407.7679029363708</v>
      </c>
      <c r="BK53" s="1861"/>
      <c r="BL53" s="1861">
        <f>+BJ53+flow!BJ8+flow!BJ12+flow!BJ58+flow!BJ51</f>
        <v>4572.475348135159</v>
      </c>
      <c r="BM53" s="1861"/>
      <c r="BN53" s="1861">
        <f>+BL53+flow!BL8+flow!BL12+flow!BL58+flow!BL51</f>
        <v>4829.9321046618188</v>
      </c>
      <c r="BO53" s="1861"/>
      <c r="BP53" s="1861">
        <f>+BN53+flow!BN8+flow!BN12+flow!BN58+flow!BN51</f>
        <v>5129.6324906836635</v>
      </c>
      <c r="BQ53" s="1861"/>
      <c r="BR53" s="1861">
        <f>+BP53+flow!BP8+flow!BP12+flow!BP58+flow!BP51</f>
        <v>5388.3149902004943</v>
      </c>
      <c r="BS53" s="1813"/>
      <c r="BT53" s="1813"/>
      <c r="BU53" s="1813"/>
      <c r="BV53" s="1813"/>
      <c r="BW53" s="1813"/>
      <c r="BX53" s="1813"/>
    </row>
    <row r="54" spans="1:76" outlineLevel="2">
      <c r="A54" s="1783"/>
      <c r="B54" s="1783" t="s">
        <v>115</v>
      </c>
      <c r="C54" s="1783"/>
      <c r="D54" s="1783"/>
      <c r="E54" s="1814">
        <v>0</v>
      </c>
      <c r="F54" s="1813"/>
      <c r="G54" s="1814">
        <v>0</v>
      </c>
      <c r="H54" s="1813"/>
      <c r="I54" s="1814">
        <v>0</v>
      </c>
      <c r="J54" s="1813"/>
      <c r="K54" s="1814">
        <v>0</v>
      </c>
      <c r="L54" s="1813"/>
      <c r="M54" s="1814">
        <v>0</v>
      </c>
      <c r="N54" s="1814">
        <v>0</v>
      </c>
      <c r="O54" s="1813"/>
      <c r="P54" s="1814">
        <v>0</v>
      </c>
      <c r="Q54" s="1813"/>
      <c r="R54" s="1814">
        <v>0</v>
      </c>
      <c r="S54" s="1813"/>
      <c r="T54" s="1814">
        <v>3.3170000000000002</v>
      </c>
      <c r="U54" s="1871"/>
      <c r="V54" s="1814">
        <v>-1.5289999999999999</v>
      </c>
      <c r="W54" s="1871"/>
      <c r="X54" s="1814">
        <v>-1.4330000000000001</v>
      </c>
      <c r="Y54" s="1813"/>
      <c r="Z54" s="1814">
        <v>-3.2879999999999998</v>
      </c>
      <c r="AA54" s="1813"/>
      <c r="AB54" s="1814">
        <v>-6.7549999999999999</v>
      </c>
      <c r="AC54" s="1813"/>
      <c r="AD54" s="1814">
        <v>-3.1640000000000001</v>
      </c>
      <c r="AE54" s="1813"/>
      <c r="AF54" s="1814">
        <v>-13.584</v>
      </c>
      <c r="AG54" s="1813"/>
      <c r="AH54" s="1814">
        <v>-26.245000000000001</v>
      </c>
      <c r="AI54" s="1813"/>
      <c r="AJ54" s="1814">
        <v>-44.295999999999999</v>
      </c>
      <c r="AK54" s="1813"/>
      <c r="AL54" s="1814">
        <v>-33.988999999999997</v>
      </c>
      <c r="AM54" s="1813"/>
      <c r="AN54" s="1814">
        <v>-28.684999999999999</v>
      </c>
      <c r="AO54" s="1861"/>
      <c r="AP54" s="1814">
        <v>-217.78100000000001</v>
      </c>
      <c r="AQ54" s="1814"/>
      <c r="AR54" s="1814">
        <v>-134.124</v>
      </c>
      <c r="AS54" s="1861"/>
      <c r="AT54" s="1814">
        <v>-91.754999999999995</v>
      </c>
      <c r="AU54" s="1861"/>
      <c r="AV54" s="1814">
        <v>-192.57499999999999</v>
      </c>
      <c r="AW54" s="1861"/>
      <c r="AX54" s="1814">
        <v>-213.392</v>
      </c>
      <c r="AY54" s="1861"/>
      <c r="AZ54" s="1814">
        <v>-199.53200000000001</v>
      </c>
      <c r="BA54" s="1861"/>
      <c r="BB54" s="1814">
        <v>-554.44398999999999</v>
      </c>
      <c r="BC54" s="1861"/>
      <c r="BD54" s="1814">
        <v>-667.47599000000002</v>
      </c>
      <c r="BE54" s="1861"/>
      <c r="BF54" s="1946">
        <v>-694.226</v>
      </c>
      <c r="BG54" s="1861"/>
      <c r="BH54" s="1861">
        <f>+BF54+flow!BF59+223.85</f>
        <v>-357.27599999999995</v>
      </c>
      <c r="BI54" s="1861"/>
      <c r="BJ54" s="1861">
        <f>+BH54+flow!BH59</f>
        <v>-357.27599999999995</v>
      </c>
      <c r="BK54" s="1861"/>
      <c r="BL54" s="1861">
        <f>+BJ54+flow!BJ59</f>
        <v>-357.27599999999995</v>
      </c>
      <c r="BM54" s="1861"/>
      <c r="BN54" s="1861">
        <f>+BL54+flow!BL59</f>
        <v>-357.27599999999995</v>
      </c>
      <c r="BO54" s="1861"/>
      <c r="BP54" s="1861">
        <f>+BN54+flow!BN59</f>
        <v>-357.27599999999995</v>
      </c>
      <c r="BQ54" s="1861"/>
      <c r="BR54" s="1861">
        <f>+BP54+flow!BP59</f>
        <v>-357.27599999999995</v>
      </c>
      <c r="BS54" s="1813"/>
      <c r="BT54" s="1813"/>
      <c r="BU54" s="1813"/>
      <c r="BV54" s="1813"/>
      <c r="BW54" s="1813"/>
      <c r="BX54" s="1813"/>
    </row>
    <row r="55" spans="1:76" outlineLevel="1">
      <c r="A55" s="1783"/>
      <c r="B55" s="1783"/>
      <c r="C55" s="1813"/>
      <c r="D55" s="1783"/>
      <c r="E55" s="1825"/>
      <c r="F55" s="1813"/>
      <c r="G55" s="1825"/>
      <c r="H55" s="1813"/>
      <c r="I55" s="1825"/>
      <c r="J55" s="1813"/>
      <c r="K55" s="1825"/>
      <c r="L55" s="1813"/>
      <c r="M55" s="1825"/>
      <c r="N55" s="1825"/>
      <c r="O55" s="1813"/>
      <c r="P55" s="1825"/>
      <c r="Q55" s="1813"/>
      <c r="R55" s="1825"/>
      <c r="S55" s="1813"/>
      <c r="T55" s="1825"/>
      <c r="U55" s="1871"/>
      <c r="V55" s="1825"/>
      <c r="W55" s="1871"/>
      <c r="X55" s="1825"/>
      <c r="Y55" s="1825"/>
      <c r="Z55" s="1825"/>
      <c r="AA55" s="1813"/>
      <c r="AB55" s="1825"/>
      <c r="AC55" s="1813"/>
      <c r="AD55" s="1874"/>
      <c r="AE55" s="1813"/>
      <c r="AF55" s="1825"/>
      <c r="AG55" s="1813"/>
      <c r="AH55" s="1874"/>
      <c r="AI55" s="1813"/>
      <c r="AJ55" s="1874"/>
      <c r="AK55" s="1813"/>
      <c r="AL55" s="1874"/>
      <c r="AM55" s="1813"/>
      <c r="AN55" s="1874"/>
      <c r="AO55" s="1813"/>
      <c r="AP55" s="1874"/>
      <c r="AQ55" s="1813"/>
      <c r="AR55" s="1874"/>
      <c r="AS55" s="1813"/>
      <c r="AT55" s="1874"/>
      <c r="AU55" s="1813"/>
      <c r="AV55" s="1874"/>
      <c r="AW55" s="1813"/>
      <c r="AX55" s="1874"/>
      <c r="AY55" s="1813"/>
      <c r="AZ55" s="1874"/>
      <c r="BA55" s="1813"/>
      <c r="BB55" s="1874"/>
      <c r="BC55" s="1813"/>
      <c r="BD55" s="1874"/>
      <c r="BE55" s="1813"/>
      <c r="BF55" s="1874"/>
      <c r="BG55" s="1813"/>
      <c r="BH55" s="1874"/>
      <c r="BI55" s="1813"/>
      <c r="BJ55" s="1874"/>
      <c r="BK55" s="1813"/>
      <c r="BL55" s="1874"/>
      <c r="BM55" s="1874"/>
      <c r="BN55" s="1874"/>
      <c r="BO55" s="1874"/>
      <c r="BP55" s="1874"/>
      <c r="BQ55" s="1874"/>
      <c r="BR55" s="1874"/>
      <c r="BS55" s="1813"/>
      <c r="BT55" s="1813"/>
      <c r="BU55" s="1813"/>
      <c r="BV55" s="1813"/>
      <c r="BW55" s="1813"/>
      <c r="BX55" s="1813"/>
    </row>
    <row r="56" spans="1:76">
      <c r="A56" s="1783"/>
      <c r="B56" s="1783"/>
      <c r="C56" s="1783" t="s">
        <v>547</v>
      </c>
      <c r="D56" s="1783"/>
      <c r="E56" s="1790">
        <f>SUM(E51:E55)+E47</f>
        <v>270.50700000000006</v>
      </c>
      <c r="F56" s="1783"/>
      <c r="G56" s="1790">
        <f>SUM(G51:G55)+G47</f>
        <v>260.517</v>
      </c>
      <c r="H56" s="1783"/>
      <c r="I56" s="1790">
        <f>SUM(I51:I55)+I47</f>
        <v>505.18399999999997</v>
      </c>
      <c r="J56" s="1783"/>
      <c r="K56" s="1790">
        <f>SUM(K51:K55)+K47</f>
        <v>590.9</v>
      </c>
      <c r="L56" s="1790"/>
      <c r="M56" s="1790">
        <f>SUM(M51:M55)+M47</f>
        <v>606.952</v>
      </c>
      <c r="N56" s="1790">
        <f>SUM(N51:N55)+N47</f>
        <v>606.952</v>
      </c>
      <c r="O56" s="1783"/>
      <c r="P56" s="1790">
        <f>SUM(P51:P55)+P47</f>
        <v>764.63400000000001</v>
      </c>
      <c r="Q56" s="1783"/>
      <c r="R56" s="1790">
        <f>SUM(R51:R55)+R47</f>
        <v>1127.1859999999999</v>
      </c>
      <c r="S56" s="1783"/>
      <c r="T56" s="1790">
        <f>SUM(T51:T55)+T47</f>
        <v>1164.0920000000001</v>
      </c>
      <c r="U56" s="1783"/>
      <c r="V56" s="1790">
        <f>SUM(V51:V55)+V47</f>
        <v>1220.6559999999999</v>
      </c>
      <c r="W56" s="1783"/>
      <c r="X56" s="1790">
        <f>SUM(X51:X55)+X47</f>
        <v>1119.2280000000001</v>
      </c>
      <c r="Y56" s="1783"/>
      <c r="Z56" s="1790">
        <f>SUM(Z51:Z55)+Z47</f>
        <v>1218.712</v>
      </c>
      <c r="AA56" s="1783"/>
      <c r="AB56" s="1790">
        <f>SUM(AB51:AB55)+AB47</f>
        <v>1340.6979999999999</v>
      </c>
      <c r="AC56" s="1783"/>
      <c r="AD56" s="1790">
        <f>SUM(AD51:AD55)+AD47</f>
        <v>1409.1469999999999</v>
      </c>
      <c r="AE56" s="1783"/>
      <c r="AF56" s="1790">
        <f>SUM(AF51:AF55)+AF47</f>
        <v>1552.3879999999999</v>
      </c>
      <c r="AG56" s="1783"/>
      <c r="AH56" s="1790">
        <f>SUM(AH51:AH55)+AH47</f>
        <v>1746.5560000000003</v>
      </c>
      <c r="AI56" s="1783"/>
      <c r="AJ56" s="1790">
        <f>SUM(AJ51:AJ55)+AJ47</f>
        <v>1892.6539999999998</v>
      </c>
      <c r="AK56" s="1783"/>
      <c r="AL56" s="1790">
        <f>SUM(AL51:AL55)+AL47</f>
        <v>2290.1210000000001</v>
      </c>
      <c r="AM56" s="1783"/>
      <c r="AN56" s="1790">
        <f>SUM(AN51:AN55)+AN47</f>
        <v>2131.2449999999999</v>
      </c>
      <c r="AO56" s="1783"/>
      <c r="AP56" s="1790">
        <f>SUM(AP51:AP55)+AP47</f>
        <v>2134.5570000000002</v>
      </c>
      <c r="AQ56" s="1783"/>
      <c r="AR56" s="1790">
        <f>SUM(AR51:AR55)+AR47</f>
        <v>2889.2760000000003</v>
      </c>
      <c r="AS56" s="1783"/>
      <c r="AT56" s="1790">
        <f>SUM(AT51:AT55)+AT47</f>
        <v>3099.8989999999999</v>
      </c>
      <c r="AU56" s="1783"/>
      <c r="AV56" s="1790">
        <f>SUM(AV51:AV55)+AV47</f>
        <v>3209.29</v>
      </c>
      <c r="AW56" s="1790">
        <f>SUM(AW51:AW55)+AW47</f>
        <v>0</v>
      </c>
      <c r="AX56" s="1790">
        <f>SUM(AX51:AX55)+AX47</f>
        <v>3665.9370000000004</v>
      </c>
      <c r="AY56" s="1783"/>
      <c r="AZ56" s="1790">
        <f>SUM(AZ51:AZ55)+AZ47</f>
        <v>4229.893</v>
      </c>
      <c r="BA56" s="1783"/>
      <c r="BB56" s="1790">
        <f>SUM(BB51:BB55)+BB47</f>
        <v>4264.17101</v>
      </c>
      <c r="BC56" s="1783"/>
      <c r="BD56" s="1790">
        <f>SUM(BD51:BD55)+BD47</f>
        <v>4307.0710100000006</v>
      </c>
      <c r="BE56" s="1783"/>
      <c r="BF56" s="1790">
        <f>SUM(BF51:BF55)+BF47</f>
        <v>4510.5990000000011</v>
      </c>
      <c r="BG56" s="1783"/>
      <c r="BH56" s="1790">
        <v>5148.3</v>
      </c>
      <c r="BI56" s="1783"/>
      <c r="BJ56" s="1790">
        <f>SUM(BJ51:BJ55)+BJ47</f>
        <v>4696.8109029363713</v>
      </c>
      <c r="BK56" s="1783"/>
      <c r="BL56" s="1790">
        <f>SUM(BL51:BL55)+BL47</f>
        <v>4861.5183481351596</v>
      </c>
      <c r="BM56" s="1790"/>
      <c r="BN56" s="1790">
        <f>SUM(BN51:BN55)+BN47</f>
        <v>5118.9751046618185</v>
      </c>
      <c r="BO56" s="1790"/>
      <c r="BP56" s="1790">
        <f>SUM(BP51:BP55)+BP47</f>
        <v>5418.6754906836632</v>
      </c>
      <c r="BQ56" s="1790"/>
      <c r="BR56" s="1790">
        <f>SUM(BR51:BR55)+BR47</f>
        <v>5677.3579902004949</v>
      </c>
      <c r="BS56" s="1783"/>
      <c r="BT56" s="1783"/>
      <c r="BU56" s="1783"/>
      <c r="BV56" s="1783"/>
      <c r="BW56" s="1783"/>
      <c r="BX56" s="1783"/>
    </row>
    <row r="57" spans="1:76">
      <c r="A57" s="1783"/>
      <c r="B57" s="1783"/>
      <c r="C57" s="1783"/>
      <c r="D57" s="1783"/>
      <c r="E57" s="1783"/>
      <c r="F57" s="1783"/>
      <c r="G57" s="1783"/>
      <c r="H57" s="1783"/>
      <c r="I57" s="1783"/>
      <c r="J57" s="1783"/>
      <c r="K57" s="1783"/>
      <c r="L57" s="1783"/>
      <c r="M57" s="1783"/>
      <c r="N57" s="1783"/>
      <c r="O57" s="1783"/>
      <c r="P57" s="1783"/>
      <c r="Q57" s="1783"/>
      <c r="R57" s="1783"/>
      <c r="S57" s="1783"/>
      <c r="T57" s="1783"/>
      <c r="U57" s="1783"/>
      <c r="V57" s="1783"/>
      <c r="W57" s="1783"/>
      <c r="X57" s="1783"/>
      <c r="Y57" s="1783"/>
      <c r="Z57" s="1783"/>
      <c r="AA57" s="1783"/>
      <c r="AB57" s="1783"/>
      <c r="AC57" s="1783"/>
      <c r="AD57" s="1783"/>
      <c r="AE57" s="1783"/>
      <c r="AF57" s="1783"/>
      <c r="AG57" s="1783"/>
      <c r="AH57" s="1783"/>
      <c r="AI57" s="1783"/>
      <c r="AJ57" s="1783"/>
      <c r="AK57" s="1783"/>
      <c r="AL57" s="1783"/>
      <c r="AM57" s="1783"/>
      <c r="AN57" s="1783"/>
      <c r="AO57" s="1783"/>
      <c r="AP57" s="1820"/>
      <c r="AQ57" s="1783"/>
      <c r="AR57" s="1783"/>
      <c r="AS57" s="1783"/>
      <c r="AT57" s="1783"/>
      <c r="AU57" s="1783"/>
      <c r="AV57" s="1783"/>
      <c r="AW57" s="1783"/>
      <c r="AX57" s="1783"/>
      <c r="AY57" s="1783"/>
      <c r="AZ57" s="1837"/>
      <c r="BA57" s="1783"/>
      <c r="BB57" s="1945"/>
      <c r="BC57" s="1783"/>
      <c r="BD57" s="1783"/>
      <c r="BE57" s="1783"/>
      <c r="BF57" s="1783"/>
      <c r="BG57" s="1783"/>
      <c r="BH57" s="1783"/>
      <c r="BI57" s="1783"/>
      <c r="BJ57" s="1783"/>
      <c r="BK57" s="1783"/>
      <c r="BL57" s="1783"/>
      <c r="BM57" s="1783"/>
      <c r="BN57" s="1783"/>
      <c r="BO57" s="1783"/>
      <c r="BP57" s="1783"/>
      <c r="BQ57" s="1783"/>
      <c r="BR57" s="1783"/>
      <c r="BS57" s="1783"/>
      <c r="BT57" s="1783"/>
      <c r="BU57" s="1783"/>
      <c r="BV57" s="1783"/>
      <c r="BW57" s="1783"/>
      <c r="BX57" s="1783"/>
    </row>
    <row r="58" spans="1:76">
      <c r="A58" s="1783" t="s">
        <v>555</v>
      </c>
      <c r="B58" s="1783"/>
      <c r="C58" s="1783"/>
      <c r="D58" s="1783"/>
      <c r="E58" s="1866">
        <f>E56+E45</f>
        <v>1047.3009999999999</v>
      </c>
      <c r="F58" s="1783"/>
      <c r="G58" s="1866">
        <f>G56+G45</f>
        <v>1105.319</v>
      </c>
      <c r="H58" s="1783"/>
      <c r="I58" s="1866">
        <f>I56+I45</f>
        <v>1305.096</v>
      </c>
      <c r="J58" s="1783"/>
      <c r="K58" s="1866">
        <f>K56+K45</f>
        <v>1427.37</v>
      </c>
      <c r="L58" s="1783"/>
      <c r="M58" s="1866">
        <f>M56+M45</f>
        <v>1638.2180000000001</v>
      </c>
      <c r="N58" s="1866">
        <f>N56+N45</f>
        <v>1599.5440000000001</v>
      </c>
      <c r="O58" s="1783"/>
      <c r="P58" s="1866">
        <f>P56+P45</f>
        <v>2674.4110000000001</v>
      </c>
      <c r="Q58" s="1783"/>
      <c r="R58" s="1866">
        <f>R56+R45</f>
        <v>2561.212</v>
      </c>
      <c r="S58" s="1783"/>
      <c r="T58" s="1866">
        <f>T56+T45</f>
        <v>2609.6320000000005</v>
      </c>
      <c r="U58" s="1783"/>
      <c r="V58" s="1866">
        <f>V56+V45</f>
        <v>2747.846</v>
      </c>
      <c r="W58" s="1783"/>
      <c r="X58" s="1866">
        <f>X56+X45</f>
        <v>2804.9629999999997</v>
      </c>
      <c r="Y58" s="1783"/>
      <c r="Z58" s="1866">
        <f>Z56+Z45</f>
        <v>2932.2829999999999</v>
      </c>
      <c r="AA58" s="1783"/>
      <c r="AB58" s="1866">
        <f>AB56+AB45</f>
        <v>3595.7429999999999</v>
      </c>
      <c r="AC58" s="1783"/>
      <c r="AD58" s="1866">
        <f>AD56+AD45</f>
        <v>3940.4889999999996</v>
      </c>
      <c r="AE58" s="1783"/>
      <c r="AF58" s="1866">
        <f>AF56+AF45</f>
        <v>4396.7669999999998</v>
      </c>
      <c r="AG58" s="1783"/>
      <c r="AH58" s="1866">
        <f>AH56+AH45</f>
        <v>5075.4730000000009</v>
      </c>
      <c r="AI58" s="1783"/>
      <c r="AJ58" s="1866">
        <f>AJ56+AJ45</f>
        <v>5496.3049999999994</v>
      </c>
      <c r="AK58" s="1783"/>
      <c r="AL58" s="1867">
        <f>AL56+AL45</f>
        <v>6085.7000000000007</v>
      </c>
      <c r="AM58" s="1783"/>
      <c r="AN58" s="1866">
        <f>AN56+AN45</f>
        <v>6599.9340000000002</v>
      </c>
      <c r="AO58" s="1783"/>
      <c r="AP58" s="1868">
        <f>AP56+AP45</f>
        <v>6178.2420000000002</v>
      </c>
      <c r="AQ58" s="1783"/>
      <c r="AR58" s="1866">
        <f>AR56+AR45</f>
        <v>7463.9770000000008</v>
      </c>
      <c r="AS58" s="1783"/>
      <c r="AT58" s="1866">
        <f>AT56+AT45</f>
        <v>7971.762999999999</v>
      </c>
      <c r="AU58" s="1783"/>
      <c r="AV58" s="1866">
        <f>AV56+AV45</f>
        <v>8281.6049999999996</v>
      </c>
      <c r="AW58" s="1783"/>
      <c r="AX58" s="1866">
        <f>AX56+AX45</f>
        <v>9511.8549999999996</v>
      </c>
      <c r="AY58" s="1783"/>
      <c r="AZ58" s="1866">
        <f>AZ56+AZ45</f>
        <v>10201.022000000001</v>
      </c>
      <c r="BA58" s="1783"/>
      <c r="BB58" s="1866">
        <f>BB56+BB45</f>
        <v>11067.57101</v>
      </c>
      <c r="BC58" s="1783"/>
      <c r="BD58" s="1866">
        <f>BD56+BD45</f>
        <v>11490.427009999999</v>
      </c>
      <c r="BE58" s="1783"/>
      <c r="BF58" s="1866">
        <f>BF56+BF45</f>
        <v>12883.808000000001</v>
      </c>
      <c r="BG58" s="1783"/>
      <c r="BH58" s="1866">
        <f>BH56+BH45</f>
        <v>14058</v>
      </c>
      <c r="BI58" s="1783"/>
      <c r="BJ58" s="1866">
        <f>BJ56+BJ45</f>
        <v>14060.146731182582</v>
      </c>
      <c r="BK58" s="1783"/>
      <c r="BL58" s="1866">
        <f>BL56+BL45</f>
        <v>14633.051143819113</v>
      </c>
      <c r="BM58" s="1866"/>
      <c r="BN58" s="1866">
        <f>BN56+BN45</f>
        <v>15313.089679419561</v>
      </c>
      <c r="BO58" s="1866"/>
      <c r="BP58" s="1866">
        <f>BP56+BP45</f>
        <v>16049.463110725153</v>
      </c>
      <c r="BQ58" s="1866"/>
      <c r="BR58" s="1866">
        <f>BR56+BR45</f>
        <v>16665.474137015419</v>
      </c>
      <c r="BS58" s="1783"/>
      <c r="BT58" s="1783"/>
      <c r="BU58" s="1783"/>
      <c r="BV58" s="1783"/>
      <c r="BW58" s="1783"/>
      <c r="BX58" s="1783"/>
    </row>
    <row r="59" spans="1:76">
      <c r="A59" s="1783"/>
      <c r="B59" s="1783"/>
      <c r="C59" s="1783"/>
      <c r="D59" s="1783"/>
      <c r="E59" s="1783"/>
      <c r="F59" s="1783"/>
      <c r="G59" s="1783"/>
      <c r="H59" s="1783"/>
      <c r="I59" s="1783"/>
      <c r="J59" s="1783"/>
      <c r="K59" s="1783"/>
      <c r="L59" s="1783"/>
      <c r="M59" s="1783"/>
      <c r="N59" s="1783"/>
      <c r="O59" s="1783"/>
      <c r="P59" s="1783"/>
      <c r="Q59" s="1783"/>
      <c r="R59" s="1783"/>
      <c r="S59" s="1783"/>
      <c r="T59" s="1783"/>
      <c r="U59" s="1783"/>
      <c r="V59" s="1783"/>
      <c r="W59" s="1783"/>
      <c r="X59" s="1783"/>
      <c r="Y59" s="1783"/>
      <c r="Z59" s="1783"/>
      <c r="AA59" s="1783"/>
      <c r="AB59" s="1783"/>
      <c r="AC59" s="1783"/>
      <c r="AD59" s="1783"/>
      <c r="AE59" s="1783"/>
      <c r="AF59" s="1783"/>
      <c r="AG59" s="1783"/>
      <c r="AH59" s="1783"/>
      <c r="AI59" s="1783"/>
      <c r="AJ59" s="1783"/>
      <c r="AK59" s="1783"/>
      <c r="AL59" s="1783"/>
      <c r="AM59" s="1783"/>
      <c r="AN59" s="1783"/>
      <c r="AO59" s="1783"/>
      <c r="AP59" s="1783"/>
      <c r="AQ59" s="1783"/>
      <c r="AR59" s="1783"/>
      <c r="AS59" s="1783"/>
      <c r="AT59" s="1783"/>
      <c r="AU59" s="1783"/>
      <c r="AV59" s="1783"/>
      <c r="AW59" s="1783"/>
      <c r="AX59" s="1783"/>
      <c r="AY59" s="1783"/>
      <c r="AZ59" s="1783"/>
      <c r="BA59" s="1783"/>
      <c r="BB59" s="1783"/>
      <c r="BC59" s="1783"/>
      <c r="BD59" s="1783"/>
      <c r="BE59" s="1783"/>
      <c r="BF59" s="1783"/>
      <c r="BG59" s="1783"/>
      <c r="BH59" s="1783"/>
      <c r="BI59" s="1783"/>
      <c r="BJ59" s="1783"/>
      <c r="BK59" s="1783"/>
      <c r="BL59" s="1783"/>
      <c r="BM59" s="1783"/>
      <c r="BN59" s="1783"/>
      <c r="BO59" s="1783"/>
      <c r="BP59" s="1783"/>
      <c r="BQ59" s="1783"/>
      <c r="BR59" s="1783"/>
      <c r="BS59" s="1783"/>
      <c r="BT59" s="1783"/>
      <c r="BU59" s="1783"/>
      <c r="BV59" s="1783"/>
      <c r="BW59" s="1783"/>
      <c r="BX59" s="1783"/>
    </row>
    <row r="60" spans="1:76">
      <c r="A60" s="1783"/>
      <c r="B60" s="1783"/>
      <c r="C60" s="1783"/>
      <c r="D60" s="1783"/>
      <c r="E60" s="1783"/>
      <c r="F60" s="1783"/>
      <c r="G60" s="1783"/>
      <c r="H60" s="1783"/>
      <c r="I60" s="1783"/>
      <c r="J60" s="1783"/>
      <c r="K60" s="1783"/>
      <c r="L60" s="1783"/>
      <c r="M60" s="1783"/>
      <c r="N60" s="1783"/>
      <c r="O60" s="1783"/>
      <c r="P60" s="1783"/>
      <c r="Q60" s="1783"/>
      <c r="R60" s="1783"/>
      <c r="S60" s="1783"/>
      <c r="T60" s="1783"/>
      <c r="U60" s="1783"/>
      <c r="V60" s="1783"/>
      <c r="W60" s="1783"/>
      <c r="X60" s="1783"/>
      <c r="Y60" s="1783"/>
      <c r="Z60" s="1783"/>
      <c r="AA60" s="1783"/>
      <c r="AB60" s="1783"/>
      <c r="AC60" s="1783"/>
      <c r="AD60" s="1783"/>
      <c r="AE60" s="1783"/>
      <c r="AF60" s="1783"/>
      <c r="AG60" s="1783"/>
      <c r="AH60" s="1783"/>
      <c r="AI60" s="1783"/>
      <c r="AJ60" s="1783"/>
      <c r="AK60" s="1783"/>
      <c r="AL60" s="1783"/>
      <c r="AM60" s="1783"/>
      <c r="AN60" s="1783"/>
      <c r="AO60" s="1783"/>
      <c r="AP60" s="1783"/>
      <c r="AQ60" s="1783"/>
      <c r="AR60" s="1783"/>
      <c r="AS60" s="1783"/>
      <c r="AT60" s="1783"/>
      <c r="AU60" s="1783"/>
      <c r="AV60" s="1783"/>
      <c r="AW60" s="1783"/>
      <c r="AX60" s="1783"/>
      <c r="AY60" s="1783"/>
      <c r="AZ60" s="1783"/>
      <c r="BA60" s="1783"/>
      <c r="BB60" s="1799"/>
      <c r="BC60" s="1783"/>
      <c r="BD60" s="1783"/>
      <c r="BE60" s="1783"/>
      <c r="BF60" s="1790"/>
      <c r="BG60" s="1783"/>
      <c r="BH60" s="1790"/>
      <c r="BI60" s="1783"/>
      <c r="BJ60" s="1790"/>
      <c r="BK60" s="1783"/>
      <c r="BL60" s="1790"/>
      <c r="BM60" s="1790"/>
      <c r="BN60" s="1790"/>
      <c r="BO60" s="1790"/>
      <c r="BP60" s="1790"/>
      <c r="BQ60" s="1790"/>
      <c r="BR60" s="1790"/>
      <c r="BS60" s="1783"/>
      <c r="BT60" s="1783"/>
      <c r="BU60" s="1783"/>
      <c r="BV60" s="1783"/>
      <c r="BW60" s="1783"/>
      <c r="BX60" s="1783"/>
    </row>
    <row r="61" spans="1:76">
      <c r="A61" s="1838" t="s">
        <v>497</v>
      </c>
      <c r="B61" s="1783"/>
      <c r="C61" s="1783"/>
      <c r="D61" s="1783"/>
      <c r="E61" s="1783"/>
      <c r="F61" s="1783"/>
      <c r="G61" s="1783"/>
      <c r="H61" s="1783"/>
      <c r="I61" s="1783"/>
      <c r="J61" s="1783"/>
      <c r="K61" s="1783"/>
      <c r="L61" s="1783"/>
      <c r="M61" s="1783"/>
      <c r="N61" s="1783"/>
      <c r="O61" s="1783"/>
      <c r="P61" s="1783"/>
      <c r="Q61" s="1783"/>
      <c r="R61" s="1783"/>
      <c r="S61" s="1783"/>
      <c r="T61" s="1783"/>
      <c r="U61" s="1783"/>
      <c r="V61" s="1783"/>
      <c r="W61" s="1783"/>
      <c r="X61" s="1783"/>
      <c r="Y61" s="1783"/>
      <c r="Z61" s="1783"/>
      <c r="AA61" s="1783"/>
      <c r="AB61" s="1783"/>
      <c r="AC61" s="1783"/>
      <c r="AD61" s="1783"/>
      <c r="AE61" s="1783"/>
      <c r="AF61" s="1783"/>
      <c r="AG61" s="1783"/>
      <c r="AH61" s="1783"/>
      <c r="AI61" s="1783"/>
      <c r="AJ61" s="1783"/>
      <c r="AK61" s="1783"/>
      <c r="AL61" s="1783"/>
      <c r="AM61" s="1783"/>
      <c r="AN61" s="1783"/>
      <c r="AO61" s="1783"/>
      <c r="AP61" s="1783"/>
      <c r="AQ61" s="1783"/>
      <c r="AR61" s="1783"/>
      <c r="AS61" s="1783"/>
      <c r="AT61" s="1783"/>
      <c r="AU61" s="1783"/>
      <c r="AV61" s="1783"/>
      <c r="AW61" s="1783"/>
      <c r="AX61" s="1783"/>
      <c r="AY61" s="1783"/>
      <c r="AZ61" s="1783"/>
      <c r="BA61" s="1783"/>
      <c r="BB61" s="1783"/>
      <c r="BC61" s="1783"/>
      <c r="BD61" s="1783"/>
      <c r="BE61" s="1783"/>
      <c r="BF61" s="1783"/>
      <c r="BG61" s="1783"/>
      <c r="BH61" s="1783"/>
      <c r="BI61" s="1783"/>
      <c r="BJ61" s="1783"/>
      <c r="BK61" s="1783"/>
      <c r="BL61" s="1783"/>
      <c r="BM61" s="1783"/>
      <c r="BN61" s="1783"/>
      <c r="BO61" s="1783"/>
      <c r="BP61" s="1783"/>
      <c r="BQ61" s="1783"/>
      <c r="BR61" s="1783"/>
      <c r="BS61" s="1783"/>
      <c r="BT61" s="1783"/>
      <c r="BU61" s="1783"/>
      <c r="BV61" s="1783"/>
      <c r="BW61" s="1783"/>
      <c r="BX61" s="1783"/>
    </row>
    <row r="62" spans="1:76">
      <c r="A62" s="1783"/>
      <c r="B62" s="1783"/>
      <c r="C62" s="1783"/>
      <c r="D62" s="1783"/>
      <c r="E62" s="1783"/>
      <c r="F62" s="1783"/>
      <c r="G62" s="1783"/>
      <c r="H62" s="1783"/>
      <c r="I62" s="1783"/>
      <c r="J62" s="1783"/>
      <c r="K62" s="1783"/>
      <c r="L62" s="1783"/>
      <c r="M62" s="1783"/>
      <c r="N62" s="1783"/>
      <c r="O62" s="1783"/>
      <c r="P62" s="1783"/>
      <c r="Q62" s="1783"/>
      <c r="R62" s="1783"/>
      <c r="S62" s="1783"/>
      <c r="T62" s="1783"/>
      <c r="U62" s="1783"/>
      <c r="V62" s="1783"/>
      <c r="W62" s="1783"/>
      <c r="X62" s="1783"/>
      <c r="Y62" s="1783"/>
      <c r="Z62" s="1783"/>
      <c r="AA62" s="1783"/>
      <c r="AB62" s="1783"/>
      <c r="AC62" s="1783"/>
      <c r="AD62" s="1783"/>
      <c r="AE62" s="1783"/>
      <c r="AF62" s="1783"/>
      <c r="AG62" s="1783"/>
      <c r="AH62" s="1783"/>
      <c r="AI62" s="1783"/>
      <c r="AJ62" s="1783"/>
      <c r="AK62" s="1783"/>
      <c r="AL62" s="1783"/>
      <c r="AM62" s="1783"/>
      <c r="AN62" s="1783"/>
      <c r="AO62" s="1783"/>
      <c r="AP62" s="1783"/>
      <c r="AQ62" s="1783"/>
      <c r="AR62" s="1783"/>
      <c r="AS62" s="1783"/>
      <c r="AT62" s="1783"/>
      <c r="AU62" s="1783"/>
      <c r="AV62" s="1783"/>
      <c r="AW62" s="1783"/>
      <c r="AX62" s="1783"/>
      <c r="AY62" s="1783"/>
      <c r="AZ62" s="1783"/>
      <c r="BA62" s="1783"/>
      <c r="BB62" s="1783"/>
      <c r="BC62" s="1783"/>
      <c r="BD62" s="1783"/>
      <c r="BE62" s="1783"/>
      <c r="BF62" s="1783"/>
      <c r="BG62" s="1783"/>
      <c r="BH62" s="1783"/>
      <c r="BI62" s="1783"/>
      <c r="BJ62" s="1783"/>
      <c r="BK62" s="1783"/>
      <c r="BL62" s="1783"/>
      <c r="BM62" s="1783"/>
      <c r="BN62" s="1783"/>
      <c r="BO62" s="1783"/>
      <c r="BP62" s="1783"/>
      <c r="BQ62" s="1783"/>
      <c r="BR62" s="1783"/>
      <c r="BS62" s="1783"/>
      <c r="BT62" s="1783"/>
      <c r="BU62" s="1783"/>
      <c r="BV62" s="1783"/>
      <c r="BW62" s="1783"/>
      <c r="BX62" s="1783"/>
    </row>
    <row r="63" spans="1:76">
      <c r="A63" s="1630"/>
      <c r="B63" s="1881" t="s">
        <v>549</v>
      </c>
      <c r="C63" s="1882" t="s">
        <v>167</v>
      </c>
      <c r="D63" s="1630"/>
      <c r="E63" s="1882" t="str">
        <f>IF(E58=E27,"Yes","No")</f>
        <v>Yes</v>
      </c>
      <c r="F63" s="1630"/>
      <c r="G63" s="1882" t="str">
        <f>IF(G58=G27,"Yes","No")</f>
        <v>Yes</v>
      </c>
      <c r="H63" s="1630"/>
      <c r="I63" s="1882" t="str">
        <f>IF(I58=I27,"Yes","No")</f>
        <v>Yes</v>
      </c>
      <c r="J63" s="1630"/>
      <c r="K63" s="1882" t="str">
        <f>IF(K58=K27,"Yes","No")</f>
        <v>Yes</v>
      </c>
      <c r="L63" s="1630"/>
      <c r="M63" s="1882" t="str">
        <f>IF(M58=M27,"Yes","No")</f>
        <v>Yes</v>
      </c>
      <c r="N63" s="1882" t="str">
        <f>IF(N58=N27,"Yes","No")</f>
        <v>Yes</v>
      </c>
      <c r="O63" s="1630"/>
      <c r="P63" s="1882" t="str">
        <f>IF(P58=P27,"Yes","No")</f>
        <v>Yes</v>
      </c>
      <c r="Q63" s="1630"/>
      <c r="R63" s="1882" t="str">
        <f>IF(R58=R27,"Yes","No")</f>
        <v>Yes</v>
      </c>
      <c r="S63" s="1630"/>
      <c r="T63" s="1882" t="str">
        <f>IF(T58=T27,"Yes","No")</f>
        <v>Yes</v>
      </c>
      <c r="U63" s="1630"/>
      <c r="V63" s="1882" t="str">
        <f>IF(V58=V27,"Yes","No")</f>
        <v>Yes</v>
      </c>
      <c r="W63" s="1630"/>
      <c r="X63" s="1882" t="str">
        <f>IF(X58=X27,"Yes","No")</f>
        <v>Yes</v>
      </c>
      <c r="Y63" s="1630"/>
      <c r="Z63" s="1882" t="str">
        <f>IF(Z58=Z27,"Yes",Z58-Z27)</f>
        <v>Yes</v>
      </c>
      <c r="AA63" s="1630"/>
      <c r="AB63" s="1882" t="str">
        <f>IF(AB58=AB27,"Yes",AB58-AB27)</f>
        <v>Yes</v>
      </c>
      <c r="AC63" s="1630"/>
      <c r="AD63" s="1882" t="str">
        <f>IF(AD58=AD27,"Yes",AD58-AD27)</f>
        <v>Yes</v>
      </c>
      <c r="AE63" s="1630"/>
      <c r="AF63" s="1882" t="str">
        <f>IF(AF58=AF27,"Yes",AF58-AF27)</f>
        <v>Yes</v>
      </c>
      <c r="AG63" s="1630"/>
      <c r="AH63" s="1882" t="str">
        <f>IF(AH58=AH27,"Yes",AH58-AH27)</f>
        <v>Yes</v>
      </c>
      <c r="AI63" s="1630"/>
      <c r="AJ63" s="1882" t="str">
        <f>IF(AJ58=AJ27,"Yes",AJ58-AJ27)</f>
        <v>Yes</v>
      </c>
      <c r="AK63" s="1630"/>
      <c r="AL63" s="1882" t="str">
        <f>IF(ROUND(AL58,4)=ROUND(AL27,4),"Yes",AL58-AL27)</f>
        <v>Yes</v>
      </c>
      <c r="AM63" s="1630"/>
      <c r="AN63" s="1882" t="str">
        <f>IF(ROUND(AN58,4)=ROUND(AN27,4),"Yes",AN58-AN27)</f>
        <v>Yes</v>
      </c>
      <c r="AO63" s="1630"/>
      <c r="AP63" s="1882" t="str">
        <f>IF(ROUND(AP58,4)=ROUND(AP27,4),"Yes",AP58-AP27)</f>
        <v>Yes</v>
      </c>
      <c r="AQ63" s="1630"/>
      <c r="AR63" s="1882" t="str">
        <f>IF(ROUND(AR58,4)=ROUND(AR27,4),"Yes",AR58-AR27)</f>
        <v>Yes</v>
      </c>
      <c r="AS63" s="1630"/>
      <c r="AT63" s="1882" t="str">
        <f>IF(ROUND(AT58,4)=ROUND(AT27,4),"Yes",AT58-AT27)</f>
        <v>Yes</v>
      </c>
      <c r="AU63" s="1630"/>
      <c r="AV63" s="1882" t="str">
        <f>IF(ROUND(AV58,4)=ROUND(AV27,4),"Yes",AV58-AV27)</f>
        <v>Yes</v>
      </c>
      <c r="AW63" s="1630"/>
      <c r="AX63" s="1882" t="str">
        <f>IF(ROUND(AX58,4)=ROUND(AX27,4),"Yes",AX58-AX27)</f>
        <v>Yes</v>
      </c>
      <c r="AY63" s="1630"/>
      <c r="AZ63" s="1882" t="str">
        <f>IF(ROUND(AZ58,3)=ROUND(AZ27,3),"Yes",AZ58-AZ27)</f>
        <v>Yes</v>
      </c>
      <c r="BA63" s="1630"/>
      <c r="BB63" s="1882" t="str">
        <f>IF(ROUND(BB58,3)=ROUND(BB27,3),"Yes",BB58-BB27)</f>
        <v>Yes</v>
      </c>
      <c r="BC63" s="1630"/>
      <c r="BD63" s="1882" t="str">
        <f>IF(ROUND(BD58,3)=ROUND(BD27,3),"Yes",BD58-BD27)</f>
        <v>Yes</v>
      </c>
      <c r="BE63" s="1630"/>
      <c r="BF63" s="1947">
        <f>IF(ROUND(BF58,3)=ROUND(BF27,3),"Yes",BF58-BF27)</f>
        <v>3.9899999974295497E-3</v>
      </c>
      <c r="BG63" s="1948"/>
      <c r="BH63" s="1947">
        <f>IF(ROUND(BH58,3)=ROUND(BH27,3),"Yes",BH58-BH27)</f>
        <v>6.9899999907647725E-3</v>
      </c>
      <c r="BI63" s="1948"/>
      <c r="BJ63" s="1947">
        <f>IF(ROUND(BJ58,3)=ROUND(BJ27,3),"Yes",BJ58-BJ27)</f>
        <v>3.9899999937915709E-3</v>
      </c>
      <c r="BK63" s="1948"/>
      <c r="BL63" s="1947">
        <f>IF(ROUND(BL58,3)=ROUND(BL27,3),"Yes",BL58-BL27)</f>
        <v>3.9899999919725815E-3</v>
      </c>
      <c r="BM63" s="1947"/>
      <c r="BN63" s="1947">
        <f>IF(ROUND(BN58,3)=ROUND(BN27,3),"Yes",BN58-BN27)</f>
        <v>3.9899999919725815E-3</v>
      </c>
      <c r="BO63" s="1947"/>
      <c r="BP63" s="1947">
        <f>IF(ROUND(BP58,3)=ROUND(BP27,3),"Yes",BP58-BP27)</f>
        <v>3.9899999937915709E-3</v>
      </c>
      <c r="BQ63" s="1947"/>
      <c r="BR63" s="1947">
        <f>IF(ROUND(BR58,3)=ROUND(BR27,3),"Yes",BR58-BR27)</f>
        <v>3.9899999937915709E-3</v>
      </c>
      <c r="BS63" s="1783"/>
      <c r="BT63" s="1783"/>
      <c r="BU63" s="1783"/>
      <c r="BV63" s="1783"/>
      <c r="BW63" s="1783"/>
      <c r="BX63" s="1783"/>
    </row>
    <row r="64" spans="1:76">
      <c r="A64" s="1783"/>
      <c r="B64" s="1783"/>
      <c r="C64" s="1783"/>
      <c r="D64" s="1783"/>
      <c r="E64" s="1783"/>
      <c r="F64" s="1783"/>
      <c r="G64" s="1783"/>
      <c r="H64" s="1783"/>
      <c r="I64" s="1783"/>
      <c r="J64" s="1783"/>
      <c r="K64" s="1783"/>
      <c r="L64" s="1783"/>
      <c r="M64" s="1783"/>
      <c r="N64" s="1783"/>
      <c r="O64" s="1783"/>
      <c r="P64" s="1783"/>
      <c r="Q64" s="1783"/>
      <c r="R64" s="1783"/>
      <c r="S64" s="1783"/>
      <c r="T64" s="1783"/>
      <c r="U64" s="1783"/>
      <c r="V64" s="1783"/>
      <c r="W64" s="1783"/>
      <c r="X64" s="1783" t="str">
        <f>IF(X63="no",X58-X27,"")</f>
        <v/>
      </c>
      <c r="Y64" s="1783"/>
      <c r="Z64" s="1783" t="str">
        <f>IF(Z63="no",Z58-Z27,"")</f>
        <v/>
      </c>
      <c r="AA64" s="1783"/>
      <c r="AB64" s="1783" t="str">
        <f>IF(AB63="no",AB58-AB27,"")</f>
        <v/>
      </c>
      <c r="AC64" s="1783"/>
      <c r="AD64" s="1783" t="str">
        <f>IF(AD63="no",AD58-AD27,"")</f>
        <v/>
      </c>
      <c r="AE64" s="1783"/>
      <c r="AF64" s="1783" t="str">
        <f>IF(AF63="no",AF58-AF27,"")</f>
        <v/>
      </c>
      <c r="AG64" s="1783"/>
      <c r="AH64" s="1883" t="str">
        <f>IF(AH63="no",AH58-AH27,"")</f>
        <v/>
      </c>
      <c r="AI64" s="1783"/>
      <c r="AJ64" s="1883" t="str">
        <f>IF(AJ63="no",AJ58-AJ27,"")</f>
        <v/>
      </c>
      <c r="AK64" s="1783"/>
      <c r="AL64" s="1884"/>
      <c r="AM64" s="1783"/>
      <c r="AN64" s="1885"/>
      <c r="AO64" s="1783"/>
      <c r="AP64" s="1885"/>
      <c r="AQ64" s="1783"/>
      <c r="AR64" s="1885"/>
      <c r="AS64" s="1783"/>
      <c r="AT64" s="1885"/>
      <c r="AU64" s="1885"/>
      <c r="AV64" s="1885"/>
      <c r="AW64" s="1783"/>
      <c r="AX64" s="1885"/>
      <c r="AY64" s="1783"/>
      <c r="AZ64" s="1886"/>
      <c r="BA64" s="1783"/>
      <c r="BB64" s="1886"/>
      <c r="BC64" s="1783"/>
      <c r="BD64" s="1886"/>
      <c r="BE64" s="1783"/>
      <c r="BF64" s="1886"/>
      <c r="BG64" s="1783"/>
      <c r="BH64" s="1886"/>
      <c r="BI64" s="1783"/>
      <c r="BJ64" s="1886"/>
      <c r="BK64" s="1783"/>
      <c r="BL64" s="1886"/>
      <c r="BM64" s="1886"/>
      <c r="BN64" s="1886"/>
      <c r="BO64" s="1886"/>
      <c r="BP64" s="1886"/>
      <c r="BQ64" s="1886"/>
      <c r="BR64" s="1886"/>
      <c r="BS64" s="1783"/>
      <c r="BT64" s="1783"/>
      <c r="BU64" s="1783"/>
      <c r="BV64" s="1783"/>
      <c r="BW64" s="1783"/>
      <c r="BX64" s="1783"/>
    </row>
    <row r="65" spans="1:76">
      <c r="A65" s="1783"/>
      <c r="B65" s="1783" t="s">
        <v>118</v>
      </c>
      <c r="C65" s="1783"/>
      <c r="D65" s="1783"/>
      <c r="E65" s="1783"/>
      <c r="F65" s="1783"/>
      <c r="G65" s="1783"/>
      <c r="H65" s="1783"/>
      <c r="I65" s="1783"/>
      <c r="J65" s="1783"/>
      <c r="K65" s="1783"/>
      <c r="L65" s="1783"/>
      <c r="M65" s="1783"/>
      <c r="N65" s="1783"/>
      <c r="O65" s="1783"/>
      <c r="P65" s="1783"/>
      <c r="Q65" s="1783"/>
      <c r="R65" s="1783"/>
      <c r="S65" s="1783"/>
      <c r="T65" s="1783"/>
      <c r="U65" s="1783"/>
      <c r="V65" s="1783"/>
      <c r="W65" s="1783"/>
      <c r="X65" s="1783"/>
      <c r="Y65" s="1783"/>
      <c r="Z65" s="1783"/>
      <c r="AA65" s="1783"/>
      <c r="AB65" s="1783"/>
      <c r="AC65" s="1783"/>
      <c r="AD65" s="1783"/>
      <c r="AE65" s="1783"/>
      <c r="AF65" s="1783"/>
      <c r="AG65" s="1783"/>
      <c r="AH65" s="1783"/>
      <c r="AI65" s="1783"/>
      <c r="AJ65" s="1783"/>
      <c r="AK65" s="1783"/>
      <c r="AL65" s="1783"/>
      <c r="AM65" s="1783"/>
      <c r="AN65" s="1783"/>
      <c r="AO65" s="1783"/>
      <c r="AP65" s="1783"/>
      <c r="AQ65" s="1783"/>
      <c r="AR65" s="1783"/>
      <c r="AS65" s="1783"/>
      <c r="AT65" s="1783"/>
      <c r="AU65" s="1783"/>
      <c r="AV65" s="1783"/>
      <c r="AW65" s="1783"/>
      <c r="AX65" s="1783"/>
      <c r="AY65" s="1783"/>
      <c r="AZ65" s="1783"/>
      <c r="BA65" s="1783"/>
      <c r="BB65" s="1783"/>
      <c r="BC65" s="1783"/>
      <c r="BD65" s="1783"/>
      <c r="BE65" s="1783"/>
      <c r="BF65" s="1783"/>
      <c r="BG65" s="1783"/>
      <c r="BH65" s="1783"/>
      <c r="BI65" s="1783"/>
      <c r="BJ65" s="1783"/>
      <c r="BK65" s="1783"/>
      <c r="BL65" s="1783"/>
      <c r="BM65" s="1783"/>
      <c r="BN65" s="1783"/>
      <c r="BO65" s="1783"/>
      <c r="BP65" s="1783"/>
      <c r="BQ65" s="1783"/>
      <c r="BR65" s="1783"/>
      <c r="BS65" s="1783"/>
      <c r="BT65" s="1783"/>
      <c r="BU65" s="1783"/>
      <c r="BV65" s="1783"/>
      <c r="BW65" s="1783"/>
      <c r="BX65" s="1783"/>
    </row>
    <row r="66" spans="1:76">
      <c r="A66" s="1783"/>
      <c r="B66" s="1783"/>
      <c r="C66" s="1783"/>
      <c r="D66" s="1783"/>
      <c r="E66" s="1783"/>
      <c r="F66" s="1783"/>
      <c r="G66" s="1783"/>
      <c r="H66" s="1783"/>
      <c r="I66" s="1783"/>
      <c r="J66" s="1783"/>
      <c r="K66" s="1783"/>
      <c r="L66" s="1783"/>
      <c r="M66" s="1783"/>
      <c r="N66" s="1783"/>
      <c r="O66" s="1783"/>
      <c r="P66" s="1783"/>
      <c r="Q66" s="1783"/>
      <c r="R66" s="1783"/>
      <c r="S66" s="1783"/>
      <c r="T66" s="1783"/>
      <c r="U66" s="1783"/>
      <c r="V66" s="1783"/>
      <c r="W66" s="1783"/>
      <c r="X66" s="1783"/>
      <c r="Y66" s="1783"/>
      <c r="Z66" s="1783"/>
      <c r="AA66" s="1783"/>
      <c r="AB66" s="1783"/>
      <c r="AC66" s="1783"/>
      <c r="AD66" s="1783"/>
      <c r="AE66" s="1783"/>
      <c r="AF66" s="1783"/>
      <c r="AG66" s="1783"/>
      <c r="AH66" s="1783"/>
      <c r="AI66" s="1783"/>
      <c r="AJ66" s="1783"/>
      <c r="AK66" s="1783"/>
      <c r="AL66" s="1783"/>
      <c r="AM66" s="1783"/>
      <c r="AN66" s="1783"/>
      <c r="AO66" s="1783"/>
      <c r="AP66" s="1791"/>
      <c r="AQ66" s="1783"/>
      <c r="AR66" s="1791"/>
      <c r="AS66" s="1783"/>
      <c r="AT66" s="1791"/>
      <c r="AU66" s="1783"/>
      <c r="AV66" s="1783"/>
      <c r="AW66" s="1783"/>
      <c r="AX66" s="1783"/>
      <c r="AY66" s="1783"/>
      <c r="AZ66" s="1783"/>
      <c r="BA66" s="1783"/>
      <c r="BB66" s="1783"/>
      <c r="BC66" s="1783"/>
      <c r="BD66" s="1783"/>
      <c r="BE66" s="1783"/>
      <c r="BF66" s="1783"/>
      <c r="BG66" s="1783"/>
      <c r="BH66" s="1783"/>
      <c r="BI66" s="1783"/>
      <c r="BJ66" s="1783"/>
      <c r="BK66" s="1783"/>
      <c r="BL66" s="1783"/>
      <c r="BM66" s="1783"/>
      <c r="BN66" s="1783"/>
      <c r="BO66" s="1783"/>
      <c r="BP66" s="1783"/>
      <c r="BQ66" s="1783"/>
      <c r="BR66" s="1783"/>
      <c r="BS66" s="1783"/>
      <c r="BT66" s="1783"/>
      <c r="BU66" s="1783"/>
      <c r="BV66" s="1783"/>
      <c r="BW66" s="1783"/>
      <c r="BX66" s="1783"/>
    </row>
    <row r="67" spans="1:76">
      <c r="A67" s="1783" t="s">
        <v>559</v>
      </c>
      <c r="B67" s="1783"/>
      <c r="C67" s="1783"/>
      <c r="D67" s="1783"/>
      <c r="E67" s="1783"/>
      <c r="F67" s="1783"/>
      <c r="G67" s="1783"/>
      <c r="H67" s="1783"/>
      <c r="I67" s="1783"/>
      <c r="J67" s="1783"/>
      <c r="K67" s="1783"/>
      <c r="L67" s="1783"/>
      <c r="M67" s="1783"/>
      <c r="N67" s="1783"/>
      <c r="O67" s="1783"/>
      <c r="P67" s="1783"/>
      <c r="Q67" s="1783"/>
      <c r="R67" s="1783"/>
      <c r="S67" s="1783"/>
      <c r="T67" s="1783"/>
      <c r="U67" s="1783"/>
      <c r="V67" s="1783"/>
      <c r="W67" s="1783"/>
      <c r="X67" s="1783"/>
      <c r="Y67" s="1783"/>
      <c r="Z67" s="1783"/>
      <c r="AA67" s="1783"/>
      <c r="AB67" s="1783"/>
      <c r="AC67" s="1783"/>
      <c r="AD67" s="1783"/>
      <c r="AE67" s="1783"/>
      <c r="AF67" s="1783"/>
      <c r="AG67" s="1783"/>
      <c r="AH67" s="1783"/>
      <c r="AI67" s="1783"/>
      <c r="AJ67" s="1783"/>
      <c r="AK67" s="1783"/>
      <c r="AL67" s="1783"/>
      <c r="AM67" s="1783"/>
      <c r="AN67" s="1783"/>
      <c r="AO67" s="1783"/>
      <c r="AP67" s="1783"/>
      <c r="AQ67" s="1783"/>
      <c r="AR67" s="1783"/>
      <c r="AS67" s="1783"/>
      <c r="AT67" s="1783"/>
      <c r="AU67" s="1783"/>
      <c r="AV67" s="1783"/>
      <c r="AW67" s="1783"/>
      <c r="AX67" s="1783"/>
      <c r="AY67" s="1783"/>
      <c r="AZ67" s="1783"/>
      <c r="BA67" s="1783"/>
      <c r="BB67" s="1783"/>
      <c r="BC67" s="1783"/>
      <c r="BD67" s="1783"/>
      <c r="BE67" s="1783"/>
      <c r="BF67" s="1783"/>
      <c r="BG67" s="1783"/>
      <c r="BH67" s="1783"/>
      <c r="BI67" s="1783"/>
      <c r="BJ67" s="1783"/>
      <c r="BK67" s="1783"/>
      <c r="BL67" s="1783"/>
      <c r="BM67" s="1783"/>
      <c r="BN67" s="1783"/>
      <c r="BO67" s="1783"/>
      <c r="BP67" s="1783"/>
      <c r="BQ67" s="1783"/>
      <c r="BR67" s="1783"/>
      <c r="BS67" s="1783"/>
      <c r="BT67" s="1783"/>
      <c r="BU67" s="1783"/>
      <c r="BV67" s="1783"/>
      <c r="BW67" s="1783"/>
      <c r="BX67" s="1783"/>
    </row>
    <row r="68" spans="1:76">
      <c r="A68" s="1783"/>
      <c r="B68" s="1783"/>
      <c r="C68" s="1783"/>
      <c r="D68" s="1783"/>
      <c r="E68" s="1783"/>
      <c r="F68" s="1783"/>
      <c r="G68" s="1783"/>
      <c r="H68" s="1783"/>
      <c r="I68" s="1783"/>
      <c r="J68" s="1783"/>
      <c r="K68" s="1783"/>
      <c r="L68" s="1783"/>
      <c r="M68" s="1783"/>
      <c r="N68" s="1783"/>
      <c r="O68" s="1783"/>
      <c r="P68" s="1783"/>
      <c r="Q68" s="1783"/>
      <c r="R68" s="1783"/>
      <c r="S68" s="1783"/>
      <c r="T68" s="1783"/>
      <c r="U68" s="1783"/>
      <c r="V68" s="1783"/>
      <c r="W68" s="1783"/>
      <c r="X68" s="1783"/>
      <c r="Y68" s="1783"/>
      <c r="Z68" s="1783"/>
      <c r="AA68" s="1783"/>
      <c r="AB68" s="1783"/>
      <c r="AC68" s="1783"/>
      <c r="AD68" s="1783"/>
      <c r="AE68" s="1783"/>
      <c r="AF68" s="1783"/>
      <c r="AG68" s="1783"/>
      <c r="AH68" s="1783"/>
      <c r="AI68" s="1783"/>
      <c r="AJ68" s="1783"/>
      <c r="AK68" s="1783"/>
      <c r="AL68" s="1783"/>
      <c r="AM68" s="1783"/>
      <c r="AN68" s="1783"/>
      <c r="AO68" s="1783"/>
      <c r="AP68" s="1783"/>
      <c r="AQ68" s="1783"/>
      <c r="AR68" s="1783"/>
      <c r="AS68" s="1783"/>
      <c r="AT68" s="1822"/>
      <c r="AU68" s="1783"/>
      <c r="AV68" s="1783"/>
      <c r="AW68" s="1783"/>
      <c r="AX68" s="1783"/>
      <c r="AY68" s="1783"/>
      <c r="AZ68" s="1783"/>
      <c r="BA68" s="1783"/>
      <c r="BB68" s="1783"/>
      <c r="BC68" s="1783"/>
      <c r="BD68" s="1783"/>
      <c r="BE68" s="1783"/>
      <c r="BF68" s="1783"/>
      <c r="BG68" s="1783"/>
      <c r="BH68" s="1783"/>
      <c r="BI68" s="1783"/>
      <c r="BJ68" s="1783"/>
      <c r="BK68" s="1783"/>
      <c r="BL68" s="1783"/>
      <c r="BM68" s="1783"/>
      <c r="BN68" s="1783"/>
      <c r="BO68" s="1783"/>
      <c r="BP68" s="1783"/>
      <c r="BQ68" s="1783"/>
      <c r="BR68" s="1783"/>
      <c r="BS68" s="1783"/>
      <c r="BT68" s="1783"/>
      <c r="BU68" s="1783"/>
      <c r="BV68" s="1783"/>
      <c r="BW68" s="1783"/>
      <c r="BX68" s="1783"/>
    </row>
    <row r="69" spans="1:76">
      <c r="A69" s="1783"/>
      <c r="B69" s="1783" t="s">
        <v>556</v>
      </c>
      <c r="C69" s="1783"/>
      <c r="D69" s="1783"/>
      <c r="E69" s="1833"/>
      <c r="F69" s="1783"/>
      <c r="G69" s="1833">
        <f>'qtrP&amp;L'!J14</f>
        <v>2757.7150000000001</v>
      </c>
      <c r="H69" s="1783"/>
      <c r="I69" s="1833">
        <f>'qtrP&amp;L'!N14</f>
        <v>3261.24</v>
      </c>
      <c r="J69" s="1783"/>
      <c r="K69" s="1833">
        <f>'qtrP&amp;L'!R14</f>
        <v>2832.0699999999997</v>
      </c>
      <c r="L69" s="1783"/>
      <c r="M69" s="1833">
        <f>'qtrP&amp;L'!V14</f>
        <v>3055.5730000000003</v>
      </c>
      <c r="N69" s="1833"/>
      <c r="O69" s="1783"/>
      <c r="P69" s="1833">
        <f>'qtrP&amp;L'!Z14</f>
        <v>3975.1149999999998</v>
      </c>
      <c r="Q69" s="1783"/>
      <c r="R69" s="1833">
        <f>'qtrP&amp;L'!AD14</f>
        <v>6689.41</v>
      </c>
      <c r="S69" s="1783"/>
      <c r="T69" s="1833">
        <f>'qtrP&amp;L'!AH14</f>
        <v>7389.0690000000004</v>
      </c>
      <c r="U69" s="1783"/>
      <c r="V69" s="1833">
        <f>'qtrP&amp;L'!AL14</f>
        <v>7948.8710000000001</v>
      </c>
      <c r="W69" s="1783"/>
      <c r="X69" s="1833">
        <f>'qtrP&amp;L'!AP14</f>
        <v>8795.3469999999998</v>
      </c>
      <c r="Y69" s="1783"/>
      <c r="Z69" s="1833">
        <f>'qtrP&amp;L'!AT14</f>
        <v>9579.0059999999994</v>
      </c>
      <c r="AA69" s="1783"/>
      <c r="AB69" s="1833">
        <f>'qtrP&amp;L'!AX14</f>
        <v>10708.998</v>
      </c>
      <c r="AC69" s="1783"/>
      <c r="AD69" s="1833">
        <f>'qtrP&amp;L'!BB14</f>
        <v>11981.206999999999</v>
      </c>
      <c r="AE69" s="1783"/>
      <c r="AF69" s="1833">
        <f>'qtrP&amp;L'!BF14</f>
        <v>13327.938</v>
      </c>
      <c r="AG69" s="1783"/>
      <c r="AH69" s="1833">
        <f>'yrP&amp;L'!P7</f>
        <v>14913.483</v>
      </c>
      <c r="AI69" s="1783"/>
      <c r="AJ69" s="1833">
        <f>'yrP&amp;L'!Q7</f>
        <v>16057.935000000001</v>
      </c>
      <c r="AK69" s="1783"/>
      <c r="AL69" s="1833">
        <f>'yrP&amp;L'!R7</f>
        <v>17404.637000000002</v>
      </c>
      <c r="AM69" s="1783"/>
      <c r="AN69" s="1833">
        <f>'yrP&amp;L'!S7</f>
        <v>18471.973000000002</v>
      </c>
      <c r="AO69" s="1783"/>
      <c r="AP69" s="1833">
        <f>'yrP&amp;L'!T7</f>
        <v>18999.504999999997</v>
      </c>
      <c r="AQ69" s="1783"/>
      <c r="AR69" s="1833">
        <f>'yrP&amp;L'!U7</f>
        <v>20288.444</v>
      </c>
      <c r="AS69" s="1783"/>
      <c r="AT69" s="1833">
        <f>'yrP&amp;L'!V7</f>
        <v>21663.250999999997</v>
      </c>
      <c r="AU69" s="1783"/>
      <c r="AV69" s="1833">
        <f>'yrP&amp;L'!W7</f>
        <v>23182.226000000002</v>
      </c>
      <c r="AW69" s="1783"/>
      <c r="AX69" s="1833">
        <f>'yrP&amp;L'!X7</f>
        <v>25878.372000000003</v>
      </c>
      <c r="AY69" s="1783"/>
      <c r="AZ69" s="1833">
        <f>'yrP&amp;L'!Y7</f>
        <v>27422.696</v>
      </c>
      <c r="BA69" s="1783"/>
      <c r="BB69" s="1833">
        <f>'yrP&amp;L'!Z7</f>
        <v>29078.406999999999</v>
      </c>
      <c r="BC69" s="1783"/>
      <c r="BD69" s="1833">
        <f>'yrP&amp;L'!AA7</f>
        <v>30944.937999999998</v>
      </c>
      <c r="BE69" s="1833"/>
      <c r="BF69" s="1833">
        <f>'yrP&amp;L'!AB7</f>
        <v>33183.744000000006</v>
      </c>
      <c r="BG69" s="1783"/>
      <c r="BH69" s="1833">
        <f>'yrP&amp;L'!AC7</f>
        <v>35864.664000000004</v>
      </c>
      <c r="BI69" s="1783"/>
      <c r="BJ69" s="1833">
        <f>'yrP&amp;L'!AD7</f>
        <v>37841.806575399998</v>
      </c>
      <c r="BK69" s="1783"/>
      <c r="BL69" s="1833">
        <f>'yrP&amp;L'!AE7</f>
        <v>40349.954267377965</v>
      </c>
      <c r="BM69" s="1833"/>
      <c r="BN69" s="1833">
        <f>'yrP&amp;L'!AF7</f>
        <v>42916.398280294125</v>
      </c>
      <c r="BO69" s="1833"/>
      <c r="BP69" s="1833">
        <f>'yrP&amp;L'!AG7</f>
        <v>45594.715622506541</v>
      </c>
      <c r="BQ69" s="1833"/>
      <c r="BR69" s="1833">
        <f>'yrP&amp;L'!AH7</f>
        <v>47688.619280686566</v>
      </c>
      <c r="BS69" s="1783"/>
      <c r="BT69" s="1783"/>
      <c r="BU69" s="1783"/>
      <c r="BV69" s="1783"/>
      <c r="BW69" s="1783"/>
      <c r="BX69" s="1783"/>
    </row>
    <row r="70" spans="1:76">
      <c r="A70" s="1783"/>
      <c r="B70" s="1783" t="s">
        <v>557</v>
      </c>
      <c r="C70" s="1783"/>
      <c r="D70" s="1783"/>
      <c r="E70" s="1822"/>
      <c r="F70" s="1783"/>
      <c r="G70" s="1833">
        <f>'qtrP&amp;L'!J25</f>
        <v>2117.5549999999998</v>
      </c>
      <c r="H70" s="1783"/>
      <c r="I70" s="1833">
        <f>'qtrP&amp;L'!N25</f>
        <v>2467.9349999999999</v>
      </c>
      <c r="J70" s="1783"/>
      <c r="K70" s="1833">
        <f>'qtrP&amp;L'!R25</f>
        <v>2165.27</v>
      </c>
      <c r="L70" s="1783"/>
      <c r="M70" s="1833">
        <f>'qtrP&amp;L'!V25</f>
        <v>2370.7150000000001</v>
      </c>
      <c r="N70" s="1833"/>
      <c r="O70" s="1783"/>
      <c r="P70" s="1833">
        <f>'qtrP&amp;L'!Z25</f>
        <v>3143.2569999999996</v>
      </c>
      <c r="Q70" s="1783"/>
      <c r="R70" s="1833">
        <f>'qtrP&amp;L'!AD25</f>
        <v>5198.7829999999994</v>
      </c>
      <c r="S70" s="1783"/>
      <c r="T70" s="1833">
        <f>'qtrP&amp;L'!AH25</f>
        <v>5676.5410000000002</v>
      </c>
      <c r="U70" s="1783"/>
      <c r="V70" s="1833">
        <f>'qtrP&amp;L'!AL25</f>
        <v>5957.6849999999995</v>
      </c>
      <c r="W70" s="1783"/>
      <c r="X70" s="1833">
        <f>'qtrP&amp;L'!AP25</f>
        <v>6579.4</v>
      </c>
      <c r="Y70" s="1783"/>
      <c r="Z70" s="1833">
        <f>'qtrP&amp;L'!AT25</f>
        <v>7188.1239999999998</v>
      </c>
      <c r="AA70" s="1783"/>
      <c r="AB70" s="1833">
        <f>'qtrP&amp;L'!AX25</f>
        <v>8122.9220000000005</v>
      </c>
      <c r="AC70" s="1783"/>
      <c r="AD70" s="1822">
        <f>'qtrP&amp;L'!BB25</f>
        <v>9079.5789999999997</v>
      </c>
      <c r="AE70" s="1783"/>
      <c r="AF70" s="1822">
        <f>'qtrP&amp;L'!BF25</f>
        <v>10104.39</v>
      </c>
      <c r="AG70" s="1783"/>
      <c r="AH70" s="1822">
        <f>+'yrP&amp;L'!P10</f>
        <v>11401.223666666667</v>
      </c>
      <c r="AI70" s="1783"/>
      <c r="AJ70" s="1822">
        <f>+'yrP&amp;L'!Q10</f>
        <v>12295.016</v>
      </c>
      <c r="AK70" s="1783"/>
      <c r="AL70" s="1822">
        <f>+'yrP&amp;L'!R10</f>
        <v>13213.703000000001</v>
      </c>
      <c r="AM70" s="1783"/>
      <c r="AN70" s="1822">
        <f>+'yrP&amp;L'!S10</f>
        <v>13943.291000000001</v>
      </c>
      <c r="AO70" s="1783"/>
      <c r="AP70" s="1822">
        <f>+'yrP&amp;L'!T10</f>
        <v>14429.185000000001</v>
      </c>
      <c r="AQ70" s="1783"/>
      <c r="AR70" s="1822">
        <f>+'yrP&amp;L'!U10</f>
        <v>14968.429</v>
      </c>
      <c r="AS70" s="1783"/>
      <c r="AT70" s="1822">
        <f>+'yrP&amp;L'!V10</f>
        <v>15797.661</v>
      </c>
      <c r="AU70" s="1783"/>
      <c r="AV70" s="1822">
        <f>+'yrP&amp;L'!W10</f>
        <v>16838.249</v>
      </c>
      <c r="AW70" s="1783"/>
      <c r="AX70" s="1822">
        <f>+'yrP&amp;L'!X10</f>
        <v>18521.400000000001</v>
      </c>
      <c r="AY70" s="1783"/>
      <c r="AZ70" s="1822">
        <f>+'yrP&amp;L'!Y10</f>
        <v>19605.037</v>
      </c>
      <c r="BA70" s="1783"/>
      <c r="BB70" s="1822">
        <f>+'yrP&amp;L'!Z10</f>
        <v>20776.522000000001</v>
      </c>
      <c r="BC70" s="1783"/>
      <c r="BD70" s="1822">
        <f>+'yrP&amp;L'!AA10</f>
        <v>22034.523000000001</v>
      </c>
      <c r="BE70" s="1822"/>
      <c r="BF70" s="1822">
        <f>+'yrP&amp;L'!AB10</f>
        <v>23565.754000000001</v>
      </c>
      <c r="BG70" s="1783"/>
      <c r="BH70" s="1822">
        <f>+'yrP&amp;L'!AC10</f>
        <v>25502.167000000001</v>
      </c>
      <c r="BI70" s="1783"/>
      <c r="BJ70" s="1822">
        <f>+'yrP&amp;L'!AD10</f>
        <v>26977.9798618186</v>
      </c>
      <c r="BK70" s="1783"/>
      <c r="BL70" s="1822">
        <f>+'yrP&amp;L'!AE10</f>
        <v>28708.992461239421</v>
      </c>
      <c r="BM70" s="1822"/>
      <c r="BN70" s="1822">
        <f>+'yrP&amp;L'!AF10</f>
        <v>30453.476219696713</v>
      </c>
      <c r="BO70" s="1822"/>
      <c r="BP70" s="1822">
        <f>+'yrP&amp;L'!AG10</f>
        <v>32322.093904794881</v>
      </c>
      <c r="BQ70" s="1822"/>
      <c r="BR70" s="1822">
        <f>+'yrP&amp;L'!AH10</f>
        <v>33763.54245072609</v>
      </c>
      <c r="BS70" s="1783"/>
      <c r="BT70" s="1783"/>
      <c r="BU70" s="1783"/>
      <c r="BV70" s="1783"/>
      <c r="BW70" s="1783"/>
      <c r="BX70" s="1783"/>
    </row>
    <row r="71" spans="1:76">
      <c r="A71" s="1783"/>
      <c r="B71" s="1783" t="s">
        <v>558</v>
      </c>
      <c r="C71" s="1783"/>
      <c r="D71" s="1783"/>
      <c r="E71" s="1822"/>
      <c r="F71" s="1783"/>
      <c r="G71" s="1833">
        <f>'qtrP&amp;L'!J35</f>
        <v>491.64699999999999</v>
      </c>
      <c r="H71" s="1783"/>
      <c r="I71" s="1833">
        <f>'qtrP&amp;L'!N35</f>
        <v>593.88900000000001</v>
      </c>
      <c r="J71" s="1783"/>
      <c r="K71" s="1833">
        <f>'qtrP&amp;L'!R35</f>
        <v>465.95800000000003</v>
      </c>
      <c r="L71" s="1783"/>
      <c r="M71" s="1833">
        <f>'qtrP&amp;L'!V35</f>
        <v>517.44900000000007</v>
      </c>
      <c r="N71" s="1833"/>
      <c r="O71" s="1783"/>
      <c r="P71" s="1833">
        <f>'qtrP&amp;L'!Z35</f>
        <v>704.87599999999998</v>
      </c>
      <c r="Q71" s="1783"/>
      <c r="R71" s="1833">
        <f>'qtrP&amp;L'!AD35</f>
        <v>1087.1369999999999</v>
      </c>
      <c r="S71" s="1783"/>
      <c r="T71" s="1833">
        <f>'qtrP&amp;L'!AH35</f>
        <v>1185.7550000000001</v>
      </c>
      <c r="U71" s="1783"/>
      <c r="V71" s="1833">
        <f>'qtrP&amp;L'!AL35</f>
        <v>1285.9879999999998</v>
      </c>
      <c r="W71" s="1783"/>
      <c r="X71" s="1833">
        <f>'qtrP&amp;L'!AP35</f>
        <v>1354.665</v>
      </c>
      <c r="Y71" s="1783"/>
      <c r="Z71" s="1833">
        <f>'qtrP&amp;L'!AT35</f>
        <v>1503.0360000000001</v>
      </c>
      <c r="AA71" s="1783"/>
      <c r="AB71" s="1833">
        <f>'qtrP&amp;L'!AX35</f>
        <v>1686.3889999999999</v>
      </c>
      <c r="AC71" s="1783"/>
      <c r="AD71" s="1822">
        <f>'qtrP&amp;L'!BB35</f>
        <v>1938.5310000000002</v>
      </c>
      <c r="AE71" s="1783"/>
      <c r="AF71" s="1822">
        <f>'qtrP&amp;L'!BF35</f>
        <v>2209.558</v>
      </c>
      <c r="AG71" s="1783"/>
      <c r="AH71" s="1822">
        <f>'yrP&amp;L'!P19</f>
        <v>2497.5513333333329</v>
      </c>
      <c r="AI71" s="1783"/>
      <c r="AJ71" s="1822">
        <f>'yrP&amp;L'!Q19</f>
        <v>2723.96</v>
      </c>
      <c r="AK71" s="1783"/>
      <c r="AL71" s="1822">
        <f>'yrP&amp;L'!R19</f>
        <v>2923.5600000000004</v>
      </c>
      <c r="AM71" s="1783"/>
      <c r="AN71" s="1822">
        <f>'yrP&amp;L'!S19</f>
        <v>3073.1710000000003</v>
      </c>
      <c r="AO71" s="1783"/>
      <c r="AP71" s="1822">
        <f>'yrP&amp;L'!T19</f>
        <v>3135.5889999999999</v>
      </c>
      <c r="AQ71" s="1783"/>
      <c r="AR71" s="1822">
        <f>'yrP&amp;L'!U19</f>
        <v>3328.9439999999995</v>
      </c>
      <c r="AS71" s="1783"/>
      <c r="AT71" s="1822">
        <f>'yrP&amp;L'!V19</f>
        <v>3533.0529999999999</v>
      </c>
      <c r="AU71" s="1783"/>
      <c r="AV71" s="1822">
        <f>'yrP&amp;L'!W19</f>
        <v>3828.1439999999998</v>
      </c>
      <c r="AW71" s="1783"/>
      <c r="AX71" s="1822">
        <f>'yrP&amp;L'!X19</f>
        <v>4250.4459999999999</v>
      </c>
      <c r="AY71" s="1783"/>
      <c r="AZ71" s="1822">
        <f>'yrP&amp;L'!Y19</f>
        <v>4467.0889999999999</v>
      </c>
      <c r="BA71" s="1783"/>
      <c r="BB71" s="1822">
        <f>'yrP&amp;L'!Z19</f>
        <v>4695.384</v>
      </c>
      <c r="BC71" s="1783"/>
      <c r="BD71" s="1822">
        <f>'yrP&amp;L'!AA19</f>
        <v>5205.7149999999992</v>
      </c>
      <c r="BE71" s="1822"/>
      <c r="BF71" s="1822">
        <f>'yrP&amp;L'!AB19</f>
        <v>5768.4669999999996</v>
      </c>
      <c r="BG71" s="1783"/>
      <c r="BH71" s="1822">
        <f>'yrP&amp;L'!AC19</f>
        <v>6375.0709999999999</v>
      </c>
      <c r="BI71" s="1783"/>
      <c r="BJ71" s="1822">
        <f>'yrP&amp;L'!AD19</f>
        <v>6753.5546750000003</v>
      </c>
      <c r="BK71" s="1783"/>
      <c r="BL71" s="1822">
        <f>'yrP&amp;L'!AE19</f>
        <v>7182.2918595932779</v>
      </c>
      <c r="BM71" s="1822"/>
      <c r="BN71" s="1822">
        <f>'yrP&amp;L'!AF19</f>
        <v>7634.8272540643247</v>
      </c>
      <c r="BO71" s="1822"/>
      <c r="BP71" s="1822">
        <f>'yrP&amp;L'!AG19</f>
        <v>8102.180966119412</v>
      </c>
      <c r="BQ71" s="1822"/>
      <c r="BR71" s="1822">
        <f>'yrP&amp;L'!AH19</f>
        <v>8479.0365081060718</v>
      </c>
      <c r="BS71" s="1783"/>
      <c r="BT71" s="1783"/>
      <c r="BU71" s="1783"/>
      <c r="BV71" s="1783"/>
      <c r="BW71" s="1783"/>
      <c r="BX71" s="1783"/>
    </row>
    <row r="72" spans="1:76">
      <c r="A72" s="1783"/>
      <c r="B72" s="1783" t="s">
        <v>560</v>
      </c>
      <c r="C72" s="1783"/>
      <c r="D72" s="1783"/>
      <c r="E72" s="1822"/>
      <c r="F72" s="1783"/>
      <c r="G72" s="1833">
        <f>'qtrP&amp;L'!J124</f>
        <v>70.114000000000416</v>
      </c>
      <c r="H72" s="1783"/>
      <c r="I72" s="1833">
        <f>'qtrP&amp;L'!N124</f>
        <v>104.04399999999995</v>
      </c>
      <c r="J72" s="1783"/>
      <c r="K72" s="1833">
        <f>'qtrP&amp;L'!R124</f>
        <v>111.26599999999995</v>
      </c>
      <c r="L72" s="1783"/>
      <c r="M72" s="1833">
        <f>'qtrP&amp;L'!V124</f>
        <v>84.480000000000103</v>
      </c>
      <c r="N72" s="1833"/>
      <c r="O72" s="1783"/>
      <c r="P72" s="1833">
        <f>'qtrP&amp;L'!Z124</f>
        <v>51.589000000000055</v>
      </c>
      <c r="Q72" s="1783"/>
      <c r="R72" s="1833">
        <f>'qtrP&amp;L'!AD124</f>
        <v>213.82600000000019</v>
      </c>
      <c r="S72" s="1783"/>
      <c r="T72" s="1833">
        <f>'qtrP&amp;L'!AH124</f>
        <v>306.59200000000044</v>
      </c>
      <c r="U72" s="1783"/>
      <c r="V72" s="1833">
        <f>'qtrP&amp;L'!AL124</f>
        <v>432.9020000000001</v>
      </c>
      <c r="W72" s="1783"/>
      <c r="X72" s="1833">
        <f>'qtrP&amp;L'!AP124</f>
        <v>526.82200000000057</v>
      </c>
      <c r="Y72" s="1783"/>
      <c r="Z72" s="1833">
        <f>'qtrP&amp;L'!AT124</f>
        <v>538.0659999999998</v>
      </c>
      <c r="AA72" s="1783"/>
      <c r="AB72" s="1833">
        <f>'qtrP&amp;L'!AX124</f>
        <v>540.39699999999925</v>
      </c>
      <c r="AC72" s="1783"/>
      <c r="AD72" s="1822">
        <f>'qtrP&amp;L'!BB124</f>
        <v>578.38800000000015</v>
      </c>
      <c r="AE72" s="1783"/>
      <c r="AF72" s="1822">
        <f>'qtrP&amp;L'!BF124</f>
        <v>609.41199999999969</v>
      </c>
      <c r="AG72" s="1783"/>
      <c r="AH72" s="1822">
        <f>'yrP&amp;L'!P44</f>
        <v>609.69900000000052</v>
      </c>
      <c r="AI72" s="1783"/>
      <c r="AJ72" s="1822">
        <f>'yrP&amp;L'!Q44</f>
        <v>690.42300000000171</v>
      </c>
      <c r="AK72" s="1783"/>
      <c r="AL72" s="1822">
        <f>'yrP&amp;L'!R44</f>
        <v>776.75600000000065</v>
      </c>
      <c r="AM72" s="1783"/>
      <c r="AN72" s="1822">
        <f>'yrP&amp;L'!S44</f>
        <v>901.89935684372654</v>
      </c>
      <c r="AO72" s="1783"/>
      <c r="AP72" s="1822">
        <f>'yrP&amp;L'!T44</f>
        <v>896.2809999999962</v>
      </c>
      <c r="AQ72" s="1783"/>
      <c r="AR72" s="1822">
        <f>'yrP&amp;L'!U44</f>
        <v>1213.5719999999999</v>
      </c>
      <c r="AS72" s="1783"/>
      <c r="AT72" s="1822">
        <f>'yrP&amp;L'!V44</f>
        <v>1420.3539499999965</v>
      </c>
      <c r="AU72" s="1783"/>
      <c r="AV72" s="1822">
        <f>'yrP&amp;L'!W44</f>
        <v>1538.6591230000026</v>
      </c>
      <c r="AW72" s="1783"/>
      <c r="AX72" s="1822">
        <f>'yrP&amp;L'!X44</f>
        <v>1906.6870000000015</v>
      </c>
      <c r="AY72" s="1783"/>
      <c r="AZ72" s="1822">
        <f>'yrP&amp;L'!Y44</f>
        <v>2137.3941199999995</v>
      </c>
      <c r="BA72" s="1783"/>
      <c r="BB72" s="1822">
        <f>'yrP&amp;L'!Z44</f>
        <v>2225.6130899999985</v>
      </c>
      <c r="BC72" s="1783"/>
      <c r="BD72" s="1822">
        <f>'yrP&amp;L'!AA44</f>
        <v>2277.6579999999976</v>
      </c>
      <c r="BE72" s="1822"/>
      <c r="BF72" s="1822">
        <f>'yrP&amp;L'!AB44</f>
        <v>2350.4899800000057</v>
      </c>
      <c r="BG72" s="1783"/>
      <c r="BH72" s="1822">
        <f>'yrP&amp;L'!AC44</f>
        <v>2607.948000000003</v>
      </c>
      <c r="BI72" s="1783"/>
      <c r="BJ72" s="1822">
        <f>'yrP&amp;L'!AD44</f>
        <v>3024.9776417598978</v>
      </c>
      <c r="BK72" s="1783"/>
      <c r="BL72" s="1822">
        <f>'yrP&amp;L'!AE44</f>
        <v>3283.0152729634938</v>
      </c>
      <c r="BM72" s="1822"/>
      <c r="BN72" s="1822">
        <f>'yrP&amp;L'!AF44</f>
        <v>3556.6263182653593</v>
      </c>
      <c r="BO72" s="1822"/>
      <c r="BP72" s="1822">
        <f>'yrP&amp;L'!AG44</f>
        <v>3810.1816201082838</v>
      </c>
      <c r="BQ72" s="1822"/>
      <c r="BR72" s="1822">
        <f>'yrP&amp;L'!AH44</f>
        <v>4014.3018477146757</v>
      </c>
      <c r="BS72" s="1783"/>
      <c r="BT72" s="1783"/>
      <c r="BU72" s="1783"/>
      <c r="BV72" s="1783"/>
      <c r="BW72" s="1783"/>
      <c r="BX72" s="1783"/>
    </row>
    <row r="73" spans="1:76">
      <c r="A73" s="1783"/>
      <c r="B73" s="1783"/>
      <c r="C73" s="1783"/>
      <c r="D73" s="1783"/>
      <c r="E73" s="1783"/>
      <c r="F73" s="1783"/>
      <c r="G73" s="1783"/>
      <c r="H73" s="1783"/>
      <c r="I73" s="1783"/>
      <c r="J73" s="1783"/>
      <c r="K73" s="1783"/>
      <c r="L73" s="1783"/>
      <c r="M73" s="1783"/>
      <c r="N73" s="1783"/>
      <c r="O73" s="1783"/>
      <c r="P73" s="1783"/>
      <c r="Q73" s="1783"/>
      <c r="R73" s="1783"/>
      <c r="S73" s="1783"/>
      <c r="T73" s="1783"/>
      <c r="U73" s="1783"/>
      <c r="V73" s="1783"/>
      <c r="W73" s="1783"/>
      <c r="X73" s="1783"/>
      <c r="Y73" s="1783"/>
      <c r="Z73" s="1783"/>
      <c r="AA73" s="1783"/>
      <c r="AB73" s="1783"/>
      <c r="AC73" s="1783"/>
      <c r="AD73" s="1783"/>
      <c r="AE73" s="1783"/>
      <c r="AF73" s="1783"/>
      <c r="AG73" s="1783"/>
      <c r="AH73" s="1783"/>
      <c r="AI73" s="1783"/>
      <c r="AJ73" s="1783"/>
      <c r="AK73" s="1783"/>
      <c r="AL73" s="1783"/>
      <c r="AM73" s="1783"/>
      <c r="AN73" s="1783"/>
      <c r="AO73" s="1783"/>
      <c r="AP73" s="1783"/>
      <c r="AQ73" s="1783"/>
      <c r="AR73" s="1783"/>
      <c r="AS73" s="1783"/>
      <c r="AT73" s="1783"/>
      <c r="AU73" s="1783"/>
      <c r="AV73" s="1783"/>
      <c r="AW73" s="1783"/>
      <c r="AX73" s="1783"/>
      <c r="AY73" s="1783"/>
      <c r="AZ73" s="1783"/>
      <c r="BA73" s="1783"/>
      <c r="BB73" s="1783"/>
      <c r="BC73" s="1783"/>
      <c r="BD73" s="1783"/>
      <c r="BE73" s="1783"/>
      <c r="BF73" s="1783"/>
      <c r="BG73" s="1783"/>
      <c r="BH73" s="1783"/>
      <c r="BI73" s="1783"/>
      <c r="BJ73" s="1783"/>
      <c r="BK73" s="1783"/>
      <c r="BL73" s="1783"/>
      <c r="BM73" s="1783"/>
      <c r="BN73" s="1783"/>
      <c r="BO73" s="1783"/>
      <c r="BP73" s="1783"/>
      <c r="BQ73" s="1783"/>
      <c r="BR73" s="1783"/>
      <c r="BS73" s="1783"/>
      <c r="BT73" s="1783"/>
      <c r="BU73" s="1783"/>
      <c r="BV73" s="1783"/>
      <c r="BW73" s="1783"/>
      <c r="BX73" s="1783"/>
    </row>
    <row r="74" spans="1:76">
      <c r="A74" s="1783"/>
      <c r="B74" s="1783" t="s">
        <v>568</v>
      </c>
      <c r="C74" s="1783"/>
      <c r="D74" s="1783"/>
      <c r="E74" s="1853"/>
      <c r="F74" s="1783"/>
      <c r="G74" s="1853">
        <f>G11/G69</f>
        <v>7.9156112941330056E-3</v>
      </c>
      <c r="H74" s="1783"/>
      <c r="I74" s="1853">
        <f>I11/I69</f>
        <v>7.3962664507978559E-3</v>
      </c>
      <c r="J74" s="1783"/>
      <c r="K74" s="1853">
        <f>K11/K69</f>
        <v>1.0818588523588754E-2</v>
      </c>
      <c r="L74" s="1783"/>
      <c r="M74" s="1853">
        <f>M11/M69</f>
        <v>1.4216646108602213E-2</v>
      </c>
      <c r="N74" s="1853"/>
      <c r="O74" s="1783"/>
      <c r="P74" s="1853">
        <f>P11/P69</f>
        <v>1.3872303065445906E-2</v>
      </c>
      <c r="Q74" s="1783"/>
      <c r="R74" s="1853">
        <f>R11/R69</f>
        <v>8.5620405984982231E-3</v>
      </c>
      <c r="S74" s="1783"/>
      <c r="T74" s="1853">
        <f>T11/T69</f>
        <v>8.2195740762469535E-3</v>
      </c>
      <c r="U74" s="1783"/>
      <c r="V74" s="1853">
        <f>V11/V69</f>
        <v>8.472272351633333E-3</v>
      </c>
      <c r="W74" s="1783"/>
      <c r="X74" s="1853">
        <f>X11/X69</f>
        <v>6.3057205133578015E-3</v>
      </c>
      <c r="Y74" s="1783"/>
      <c r="Z74" s="1853">
        <f>Z11/Z69</f>
        <v>6.4563066355736703E-3</v>
      </c>
      <c r="AA74" s="1783"/>
      <c r="AB74" s="1853">
        <f>AB11/AB69</f>
        <v>6.4626961364639352E-3</v>
      </c>
      <c r="AC74" s="1783"/>
      <c r="AD74" s="1853">
        <f>AD11/AD69</f>
        <v>6.3027873568998524E-3</v>
      </c>
      <c r="AE74" s="1887"/>
      <c r="AF74" s="1853">
        <f>AF11/AF69</f>
        <v>6.8204098788574793E-3</v>
      </c>
      <c r="AG74" s="1887"/>
      <c r="AH74" s="1853">
        <f>AH11/AH69</f>
        <v>8.0203263047270712E-3</v>
      </c>
      <c r="AI74" s="1887"/>
      <c r="AJ74" s="1853">
        <f>AJ11/AJ69</f>
        <v>8.7649501632681912E-3</v>
      </c>
      <c r="AK74" s="1887"/>
      <c r="AL74" s="1853">
        <f>AL11/AL69</f>
        <v>6.6215112673708729E-3</v>
      </c>
      <c r="AM74" s="1887"/>
      <c r="AN74" s="1853">
        <f>AN11/AN69</f>
        <v>7.7571031529766734E-3</v>
      </c>
      <c r="AO74" s="1783"/>
      <c r="AP74" s="1853">
        <f>AP11/AP69</f>
        <v>7.5528283500017508E-3</v>
      </c>
      <c r="AQ74" s="1783"/>
      <c r="AR74" s="1853">
        <f>AR11/AR69</f>
        <v>7.3010034677868842E-3</v>
      </c>
      <c r="AS74" s="1783"/>
      <c r="AT74" s="1853">
        <f>AT11/AT69</f>
        <v>9.2390103405993879E-3</v>
      </c>
      <c r="AU74" s="1783"/>
      <c r="AV74" s="1853">
        <f>AV11/AV69</f>
        <v>8.8129586865385561E-3</v>
      </c>
      <c r="AW74" s="1783"/>
      <c r="AX74" s="1853">
        <f>AX11/AX69</f>
        <v>8.6090423307926787E-3</v>
      </c>
      <c r="AY74" s="1783"/>
      <c r="AZ74" s="1853">
        <f>AZ11/AZ69</f>
        <v>7.6613182015364207E-3</v>
      </c>
      <c r="BA74" s="1783"/>
      <c r="BB74" s="1853">
        <f>BB11/BB69</f>
        <v>8.0526803273645638E-3</v>
      </c>
      <c r="BC74" s="1783"/>
      <c r="BD74" s="1853">
        <f>BD11/BD69</f>
        <v>7.6934069152117873E-3</v>
      </c>
      <c r="BE74" s="1783"/>
      <c r="BF74" s="1853">
        <f>BF11/BF69</f>
        <v>7.7999336060451761E-3</v>
      </c>
      <c r="BG74" s="1783"/>
      <c r="BH74" s="1888">
        <f>BF74</f>
        <v>7.7999336060451761E-3</v>
      </c>
      <c r="BI74" s="1783"/>
      <c r="BJ74" s="1888">
        <f t="shared" ref="BJ74:BN79" si="0">BH74</f>
        <v>7.7999336060451761E-3</v>
      </c>
      <c r="BK74" s="1783"/>
      <c r="BL74" s="1888">
        <f t="shared" si="0"/>
        <v>7.7999336060451761E-3</v>
      </c>
      <c r="BM74" s="1888"/>
      <c r="BN74" s="1888">
        <f t="shared" si="0"/>
        <v>7.7999336060451761E-3</v>
      </c>
      <c r="BO74" s="1888"/>
      <c r="BP74" s="1888">
        <f>BN74</f>
        <v>7.7999336060451761E-3</v>
      </c>
      <c r="BQ74" s="1888"/>
      <c r="BR74" s="1888">
        <f>BP74</f>
        <v>7.7999336060451761E-3</v>
      </c>
      <c r="BS74" s="1783"/>
      <c r="BT74" s="1783"/>
      <c r="BU74" s="1783"/>
      <c r="BV74" s="1783"/>
      <c r="BW74" s="1783"/>
      <c r="BX74" s="1783"/>
    </row>
    <row r="75" spans="1:76">
      <c r="A75" s="1783"/>
      <c r="B75" s="1783" t="s">
        <v>570</v>
      </c>
      <c r="C75" s="1783"/>
      <c r="D75" s="1783"/>
      <c r="E75" s="1853"/>
      <c r="F75" s="1783"/>
      <c r="G75" s="1853">
        <f>G12/G69</f>
        <v>0.20033469738533533</v>
      </c>
      <c r="H75" s="1783"/>
      <c r="I75" s="1853">
        <f>I12/I69</f>
        <v>0.20616513964013691</v>
      </c>
      <c r="J75" s="1783"/>
      <c r="K75" s="1853">
        <f>K12/K69</f>
        <v>0.27270653620849766</v>
      </c>
      <c r="L75" s="1783"/>
      <c r="M75" s="1853">
        <f>M12/M69</f>
        <v>0.30689137520196702</v>
      </c>
      <c r="N75" s="1853"/>
      <c r="O75" s="1783"/>
      <c r="P75" s="1853">
        <f>P12/P69</f>
        <v>0.31659159546327592</v>
      </c>
      <c r="Q75" s="1783"/>
      <c r="R75" s="1853">
        <f>R12/R69</f>
        <v>0.15838541814599497</v>
      </c>
      <c r="S75" s="1783"/>
      <c r="T75" s="1853">
        <f>T12/T69</f>
        <v>0.16107171282336111</v>
      </c>
      <c r="U75" s="1783"/>
      <c r="V75" s="1853">
        <f>V12/V69</f>
        <v>0.14921213339605083</v>
      </c>
      <c r="W75" s="1783"/>
      <c r="X75" s="1853">
        <f>X12/X69</f>
        <v>0.13979971455361567</v>
      </c>
      <c r="Y75" s="1783"/>
      <c r="Z75" s="1853">
        <f>Z12/Z69</f>
        <v>0.15167304415510335</v>
      </c>
      <c r="AA75" s="1783"/>
      <c r="AB75" s="1853">
        <f>AB12/AB69</f>
        <v>0.13605157083790662</v>
      </c>
      <c r="AC75" s="1783"/>
      <c r="AD75" s="1853">
        <f>AD12/AD69</f>
        <v>0.13049186112884956</v>
      </c>
      <c r="AE75" s="1783"/>
      <c r="AF75" s="1853">
        <f>AF12/AF69</f>
        <v>0.14568630196208895</v>
      </c>
      <c r="AG75" s="1783"/>
      <c r="AH75" s="1853">
        <f>AH12/AH69</f>
        <v>0.15771178335738206</v>
      </c>
      <c r="AI75" s="1783"/>
      <c r="AJ75" s="1853">
        <f>AJ12/AJ69</f>
        <v>0.14733282953256441</v>
      </c>
      <c r="AK75" s="1783"/>
      <c r="AL75" s="1853">
        <f>AL12/AL69</f>
        <v>0.14834948870234982</v>
      </c>
      <c r="AM75" s="1783"/>
      <c r="AN75" s="1853">
        <f>AN12/AN69</f>
        <v>0.14819088356181551</v>
      </c>
      <c r="AO75" s="1783"/>
      <c r="AP75" s="1853">
        <f>AP12/AP69</f>
        <v>0.13786338117756228</v>
      </c>
      <c r="AQ75" s="1783"/>
      <c r="AR75" s="1853">
        <f>AR12/AR69</f>
        <v>0.12481578183127302</v>
      </c>
      <c r="AS75" s="1783"/>
      <c r="AT75" s="1853">
        <f>AT12/AT69</f>
        <v>0.12765692462317868</v>
      </c>
      <c r="AU75" s="1783"/>
      <c r="AV75" s="1853">
        <f>AV12/AV69</f>
        <v>0.12727522369939798</v>
      </c>
      <c r="AW75" s="1783"/>
      <c r="AX75" s="1853">
        <f>AX12/AX69</f>
        <v>0.11647618327768067</v>
      </c>
      <c r="AY75" s="1783"/>
      <c r="AZ75" s="1853">
        <f>AZ12/AZ69</f>
        <v>0.10817645354782038</v>
      </c>
      <c r="BA75" s="1783"/>
      <c r="BB75" s="1853">
        <f>BB12/BB69</f>
        <v>0.11066287090623637</v>
      </c>
      <c r="BC75" s="1783"/>
      <c r="BD75" s="1853">
        <f>BD12/BD69</f>
        <v>0.119409287554559</v>
      </c>
      <c r="BE75" s="1783"/>
      <c r="BF75" s="1853">
        <f>BF12/BF69</f>
        <v>0.10984170442009193</v>
      </c>
      <c r="BG75" s="1783"/>
      <c r="BH75" s="1888">
        <v>0.113</v>
      </c>
      <c r="BI75" s="1783"/>
      <c r="BJ75" s="1888">
        <v>0.111</v>
      </c>
      <c r="BK75" s="1783"/>
      <c r="BL75" s="1888">
        <v>0.111</v>
      </c>
      <c r="BM75" s="1888"/>
      <c r="BN75" s="1888">
        <v>0.111</v>
      </c>
      <c r="BO75" s="1888"/>
      <c r="BP75" s="1888">
        <v>0.111</v>
      </c>
      <c r="BQ75" s="1888"/>
      <c r="BR75" s="1888">
        <v>0.111</v>
      </c>
      <c r="BS75" s="1783"/>
      <c r="BT75" s="1783"/>
      <c r="BU75" s="1783"/>
      <c r="BV75" s="1783"/>
      <c r="BW75" s="1783"/>
      <c r="BX75" s="1783"/>
    </row>
    <row r="76" spans="1:76">
      <c r="A76" s="1783"/>
      <c r="B76" s="1783" t="s">
        <v>360</v>
      </c>
      <c r="C76" s="1783"/>
      <c r="D76" s="1783"/>
      <c r="E76" s="1853"/>
      <c r="F76" s="1783"/>
      <c r="G76" s="1853">
        <f>G14/G69</f>
        <v>5.3319505460136382E-3</v>
      </c>
      <c r="H76" s="1783"/>
      <c r="I76" s="1853">
        <f>I14/I69</f>
        <v>5.4865633930652148E-3</v>
      </c>
      <c r="J76" s="1783"/>
      <c r="K76" s="1853">
        <f>K14/K69</f>
        <v>7.3412733442323116E-3</v>
      </c>
      <c r="L76" s="1783"/>
      <c r="M76" s="1853">
        <f>M14/M69</f>
        <v>7.6774470778475908E-3</v>
      </c>
      <c r="N76" s="1853"/>
      <c r="O76" s="1783"/>
      <c r="P76" s="1853">
        <f>P14/P69</f>
        <v>2.3318319092655186E-2</v>
      </c>
      <c r="Q76" s="1783"/>
      <c r="R76" s="1853">
        <f>R14/R69</f>
        <v>1.0588377749308235E-2</v>
      </c>
      <c r="S76" s="1783"/>
      <c r="T76" s="1853">
        <f>T14/T69</f>
        <v>3.7023608792934532E-3</v>
      </c>
      <c r="U76" s="1783"/>
      <c r="V76" s="1853">
        <f>V14/V69</f>
        <v>3.5788730248610149E-3</v>
      </c>
      <c r="W76" s="1783"/>
      <c r="X76" s="1853">
        <f>X14/X69</f>
        <v>4.975130600304912E-3</v>
      </c>
      <c r="Y76" s="1783"/>
      <c r="Z76" s="1853">
        <f>Z14/Z69</f>
        <v>7.7972599662219652E-3</v>
      </c>
      <c r="AA76" s="1783"/>
      <c r="AB76" s="1853">
        <f>AB14/AB69</f>
        <v>7.9337021073306764E-3</v>
      </c>
      <c r="AC76" s="1783"/>
      <c r="AD76" s="1853">
        <f>AD14/AD69</f>
        <v>8.3701082870866039E-3</v>
      </c>
      <c r="AE76" s="1783"/>
      <c r="AF76" s="1853">
        <f>AF14/AF69</f>
        <v>1.2287422105354931E-2</v>
      </c>
      <c r="AG76" s="1783"/>
      <c r="AH76" s="1853">
        <f>AH14/AH69</f>
        <v>8.4681760793236562E-3</v>
      </c>
      <c r="AI76" s="1783"/>
      <c r="AJ76" s="1853">
        <f>AJ14/AJ69</f>
        <v>9.8782315409795835E-3</v>
      </c>
      <c r="AK76" s="1783"/>
      <c r="AL76" s="1853">
        <f>AL14/AL69</f>
        <v>9.1415293522065389E-3</v>
      </c>
      <c r="AM76" s="1783"/>
      <c r="AN76" s="1853">
        <f>AN14/AN69</f>
        <v>1.166902961584017E-2</v>
      </c>
      <c r="AO76" s="1783"/>
      <c r="AP76" s="1853">
        <f>AP14/AP69</f>
        <v>1.4426217946204391E-2</v>
      </c>
      <c r="AQ76" s="1783"/>
      <c r="AR76" s="1853">
        <f>AR14/AR69</f>
        <v>1.2603578667738147E-2</v>
      </c>
      <c r="AS76" s="1783"/>
      <c r="AT76" s="1853">
        <f>AT14/AT69</f>
        <v>1.1532525750636414E-2</v>
      </c>
      <c r="AU76" s="1783"/>
      <c r="AV76" s="1853">
        <f>AV14/AV69</f>
        <v>1.165259108422116E-2</v>
      </c>
      <c r="AW76" s="1783"/>
      <c r="AX76" s="1853">
        <f>AX14/AX69</f>
        <v>1.2771746228858599E-2</v>
      </c>
      <c r="AY76" s="1783"/>
      <c r="AZ76" s="1853">
        <f>AZ14/AZ69</f>
        <v>1.2592744345778402E-2</v>
      </c>
      <c r="BA76" s="1783"/>
      <c r="BB76" s="1853">
        <f>BB14/BB69</f>
        <v>1.2E-2</v>
      </c>
      <c r="BC76" s="1783"/>
      <c r="BD76" s="1853">
        <f>BD14/BD69</f>
        <v>1.2654379853661366E-2</v>
      </c>
      <c r="BE76" s="1783"/>
      <c r="BF76" s="1853">
        <f>BF14/BF69</f>
        <v>1.1267354280457319E-2</v>
      </c>
      <c r="BG76" s="1783"/>
      <c r="BH76" s="1888">
        <f>BF76</f>
        <v>1.1267354280457319E-2</v>
      </c>
      <c r="BI76" s="1783"/>
      <c r="BJ76" s="1888">
        <f t="shared" si="0"/>
        <v>1.1267354280457319E-2</v>
      </c>
      <c r="BK76" s="1783"/>
      <c r="BL76" s="1888">
        <f t="shared" si="0"/>
        <v>1.1267354280457319E-2</v>
      </c>
      <c r="BM76" s="1888"/>
      <c r="BN76" s="1888">
        <f t="shared" si="0"/>
        <v>1.1267354280457319E-2</v>
      </c>
      <c r="BO76" s="1888"/>
      <c r="BP76" s="1888">
        <f>BN76</f>
        <v>1.1267354280457319E-2</v>
      </c>
      <c r="BQ76" s="1888"/>
      <c r="BR76" s="1888">
        <f>BP76</f>
        <v>1.1267354280457319E-2</v>
      </c>
      <c r="BS76" s="1783"/>
      <c r="BT76" s="1783"/>
      <c r="BU76" s="1783"/>
      <c r="BV76" s="1783"/>
      <c r="BW76" s="1783"/>
      <c r="BX76" s="1783"/>
    </row>
    <row r="77" spans="1:76">
      <c r="A77" s="1783"/>
      <c r="B77" s="1783" t="s">
        <v>361</v>
      </c>
      <c r="C77" s="1783"/>
      <c r="D77" s="1783"/>
      <c r="E77" s="1853"/>
      <c r="F77" s="1783"/>
      <c r="G77" s="1853">
        <f>G24/G69</f>
        <v>4.9258172073618914E-3</v>
      </c>
      <c r="H77" s="1783"/>
      <c r="I77" s="1853">
        <f>I24/I69</f>
        <v>2.7811507279439725E-3</v>
      </c>
      <c r="J77" s="1783"/>
      <c r="K77" s="1853">
        <f>K24/K69</f>
        <v>4.8529873908483906E-3</v>
      </c>
      <c r="L77" s="1783"/>
      <c r="M77" s="1853">
        <f>M24/M69</f>
        <v>4.6861914279253021E-3</v>
      </c>
      <c r="N77" s="1853"/>
      <c r="O77" s="1783"/>
      <c r="P77" s="1853">
        <f>P24/P69</f>
        <v>2.2546265957085518E-2</v>
      </c>
      <c r="Q77" s="1783"/>
      <c r="R77" s="1853">
        <f>R24/R69</f>
        <v>6.3172985360442852E-3</v>
      </c>
      <c r="S77" s="1783"/>
      <c r="T77" s="1853">
        <f>T24/T69</f>
        <v>4.9593527953250942E-3</v>
      </c>
      <c r="U77" s="1783"/>
      <c r="V77" s="1853">
        <f>V24/V69</f>
        <v>3.451559347233085E-3</v>
      </c>
      <c r="W77" s="1783"/>
      <c r="X77" s="1853">
        <f>X24/X69</f>
        <v>6.3472197287952371E-3</v>
      </c>
      <c r="Y77" s="1783"/>
      <c r="Z77" s="1853">
        <f>Z24/Z69</f>
        <v>7.3051420992950632E-3</v>
      </c>
      <c r="AA77" s="1783"/>
      <c r="AB77" s="1853">
        <f>AB24/AB69</f>
        <v>1.0665983876362662E-2</v>
      </c>
      <c r="AC77" s="1783"/>
      <c r="AD77" s="1853">
        <f>AD24/AD69</f>
        <v>1.1855316413446493E-2</v>
      </c>
      <c r="AE77" s="1783"/>
      <c r="AF77" s="1853">
        <f>AF24/AF69</f>
        <v>1.1094814516694178E-2</v>
      </c>
      <c r="AG77" s="1783"/>
      <c r="AH77" s="1853">
        <f>AH24/AH69</f>
        <v>1.0047619325411776E-2</v>
      </c>
      <c r="AI77" s="1783"/>
      <c r="AJ77" s="1853">
        <f>AJ24/AJ69</f>
        <v>1.0926747430475961E-2</v>
      </c>
      <c r="AK77" s="1783"/>
      <c r="AL77" s="1853">
        <f>AL24/AL69</f>
        <v>7.7868903557138233E-3</v>
      </c>
      <c r="AM77" s="1783"/>
      <c r="AN77" s="1853">
        <f>AN24/AN69</f>
        <v>1.1296194510461875E-2</v>
      </c>
      <c r="AO77" s="1783"/>
      <c r="AP77" s="1853">
        <f>AP24/AP69</f>
        <v>9.8333614481008868E-3</v>
      </c>
      <c r="AQ77" s="1783"/>
      <c r="AR77" s="1853">
        <f>AR24/AR69</f>
        <v>1.017549694791774E-2</v>
      </c>
      <c r="AS77" s="1783"/>
      <c r="AT77" s="1853">
        <f>AT24/AT69</f>
        <v>1.1194026233643326E-2</v>
      </c>
      <c r="AU77" s="1783"/>
      <c r="AV77" s="1853">
        <f>AV24/AV69</f>
        <v>1.1330275185825554E-2</v>
      </c>
      <c r="AW77" s="1783"/>
      <c r="AX77" s="1853">
        <f>AX24/AX69</f>
        <v>1.0077952353416976E-2</v>
      </c>
      <c r="AY77" s="1783"/>
      <c r="AZ77" s="1853">
        <f>AZ24/AZ69</f>
        <v>8.2353682511741369E-3</v>
      </c>
      <c r="BA77" s="1783"/>
      <c r="BB77" s="1853">
        <f>BB24/BB69</f>
        <v>8.0850371204997575E-3</v>
      </c>
      <c r="BC77" s="1783"/>
      <c r="BD77" s="1853">
        <f>BD24/BD69</f>
        <v>1.2039255014826658E-2</v>
      </c>
      <c r="BE77" s="1783"/>
      <c r="BF77" s="1853">
        <f>BF24/BF69</f>
        <v>1.1996114724125161E-2</v>
      </c>
      <c r="BG77" s="1783"/>
      <c r="BH77" s="1888">
        <f>BF77</f>
        <v>1.1996114724125161E-2</v>
      </c>
      <c r="BI77" s="1783"/>
      <c r="BJ77" s="1888">
        <f t="shared" si="0"/>
        <v>1.1996114724125161E-2</v>
      </c>
      <c r="BK77" s="1783"/>
      <c r="BL77" s="1888">
        <f t="shared" si="0"/>
        <v>1.1996114724125161E-2</v>
      </c>
      <c r="BM77" s="1888"/>
      <c r="BN77" s="1888">
        <f t="shared" si="0"/>
        <v>1.1996114724125161E-2</v>
      </c>
      <c r="BO77" s="1888"/>
      <c r="BP77" s="1888">
        <f>BN77</f>
        <v>1.1996114724125161E-2</v>
      </c>
      <c r="BQ77" s="1888"/>
      <c r="BR77" s="1888">
        <f>BP77</f>
        <v>1.1996114724125161E-2</v>
      </c>
      <c r="BS77" s="1783"/>
      <c r="BT77" s="1783"/>
      <c r="BU77" s="1783"/>
      <c r="BV77" s="1783"/>
      <c r="BW77" s="1783"/>
      <c r="BX77" s="1783"/>
    </row>
    <row r="78" spans="1:76">
      <c r="A78" s="1783"/>
      <c r="B78" s="1783" t="s">
        <v>569</v>
      </c>
      <c r="C78" s="1783"/>
      <c r="D78" s="1783"/>
      <c r="E78" s="1853"/>
      <c r="F78" s="1783"/>
      <c r="G78" s="1853">
        <f>+G31/G12</f>
        <v>0.47383368388280905</v>
      </c>
      <c r="H78" s="1783"/>
      <c r="I78" s="1853">
        <f>+I31/I12</f>
        <v>0.48453344517917646</v>
      </c>
      <c r="J78" s="1783"/>
      <c r="K78" s="1853">
        <f>+K31/K12</f>
        <v>0.44097813870862484</v>
      </c>
      <c r="L78" s="1853"/>
      <c r="M78" s="1853">
        <f>+M31/M12</f>
        <v>0.4684477071733944</v>
      </c>
      <c r="N78" s="1853"/>
      <c r="O78" s="1783"/>
      <c r="P78" s="1853">
        <f>+P31/P12</f>
        <v>0.34695126214950001</v>
      </c>
      <c r="Q78" s="1783"/>
      <c r="R78" s="1853">
        <f>+R31/R12</f>
        <v>0.50395703654064872</v>
      </c>
      <c r="S78" s="1783"/>
      <c r="T78" s="1853">
        <f>+T31/T12</f>
        <v>0.48967038322256484</v>
      </c>
      <c r="U78" s="1783"/>
      <c r="V78" s="1853">
        <f>+V31/V12</f>
        <v>0.52034031775581169</v>
      </c>
      <c r="W78" s="1783"/>
      <c r="X78" s="1853">
        <f>+X31/X12</f>
        <v>0.50071365425951975</v>
      </c>
      <c r="Y78" s="1783"/>
      <c r="Z78" s="1853">
        <f>+Z31/Z12</f>
        <v>0.44440926520276669</v>
      </c>
      <c r="AA78" s="1783"/>
      <c r="AB78" s="1853">
        <f>+AB31/AB12</f>
        <v>0.52268946091081803</v>
      </c>
      <c r="AC78" s="1889"/>
      <c r="AD78" s="1853">
        <f>+AD31/AD12</f>
        <v>0.52296715596917076</v>
      </c>
      <c r="AE78" s="1783"/>
      <c r="AF78" s="1853">
        <f>+AF31/AF12</f>
        <v>0.49460935737689377</v>
      </c>
      <c r="AG78" s="1783"/>
      <c r="AH78" s="1853">
        <f>+AH31/AH12</f>
        <v>0.54252450646929973</v>
      </c>
      <c r="AI78" s="1783"/>
      <c r="AJ78" s="1853">
        <f>+AJ31/AJ12</f>
        <v>0.55517716383168747</v>
      </c>
      <c r="AK78" s="1783"/>
      <c r="AL78" s="1853">
        <f>+AL31/AL12</f>
        <v>0.53151374009525287</v>
      </c>
      <c r="AM78" s="1783"/>
      <c r="AN78" s="1853">
        <f>+AN31/AN12</f>
        <v>0.5540900818228246</v>
      </c>
      <c r="AO78" s="1783"/>
      <c r="AP78" s="1853">
        <f>+AP31/AP12</f>
        <v>0.48718377481926722</v>
      </c>
      <c r="AQ78" s="1783"/>
      <c r="AR78" s="1853">
        <f>+AR31/AR12</f>
        <v>0.59545918008717702</v>
      </c>
      <c r="AS78" s="1783"/>
      <c r="AT78" s="1853">
        <f>+AT31/AT12</f>
        <v>0.60891373020946937</v>
      </c>
      <c r="AU78" s="1783"/>
      <c r="AV78" s="1853">
        <f>+AV31/AV12</f>
        <v>0.55763808653584468</v>
      </c>
      <c r="AW78" s="1783"/>
      <c r="AX78" s="1853">
        <f>+AX31/AX12</f>
        <v>0.64048803435986956</v>
      </c>
      <c r="AY78" s="1783"/>
      <c r="AZ78" s="1853">
        <f>+AZ31/AZ12</f>
        <v>0.59710095095550642</v>
      </c>
      <c r="BA78" s="1783"/>
      <c r="BB78" s="1853">
        <f>+BB31/BB12</f>
        <v>0.62385406631654183</v>
      </c>
      <c r="BC78" s="1783"/>
      <c r="BD78" s="1853">
        <f>+BD31/BD12</f>
        <v>0.59620639477060655</v>
      </c>
      <c r="BE78" s="1783"/>
      <c r="BF78" s="1853">
        <f>+BF31/BF12</f>
        <v>0.61205187767544167</v>
      </c>
      <c r="BG78" s="1783"/>
      <c r="BH78" s="1888">
        <f>BF78</f>
        <v>0.61205187767544167</v>
      </c>
      <c r="BI78" s="1783"/>
      <c r="BJ78" s="1888">
        <f t="shared" si="0"/>
        <v>0.61205187767544167</v>
      </c>
      <c r="BK78" s="1783"/>
      <c r="BL78" s="1888">
        <f t="shared" si="0"/>
        <v>0.61205187767544167</v>
      </c>
      <c r="BM78" s="1888"/>
      <c r="BN78" s="1888">
        <f t="shared" si="0"/>
        <v>0.61205187767544167</v>
      </c>
      <c r="BO78" s="1888"/>
      <c r="BP78" s="1888">
        <f>BN78</f>
        <v>0.61205187767544167</v>
      </c>
      <c r="BQ78" s="1888"/>
      <c r="BR78" s="1888">
        <f>BP78</f>
        <v>0.61205187767544167</v>
      </c>
      <c r="BS78" s="1783"/>
      <c r="BT78" s="1783"/>
      <c r="BU78" s="1783"/>
      <c r="BV78" s="1783"/>
      <c r="BW78" s="1783"/>
      <c r="BX78" s="1783"/>
    </row>
    <row r="79" spans="1:76">
      <c r="A79" s="1783"/>
      <c r="B79" s="1783" t="s">
        <v>116</v>
      </c>
      <c r="C79" s="1783"/>
      <c r="D79" s="1783"/>
      <c r="E79" s="1783"/>
      <c r="F79" s="1783"/>
      <c r="G79" s="1853">
        <f>G36/G71</f>
        <v>0.4396650442288878</v>
      </c>
      <c r="H79" s="1783"/>
      <c r="I79" s="1853">
        <f>I36/I71</f>
        <v>0.41382312182916331</v>
      </c>
      <c r="J79" s="1783"/>
      <c r="K79" s="1853">
        <f>K36/K71</f>
        <v>0.52609677267049815</v>
      </c>
      <c r="L79" s="1783"/>
      <c r="M79" s="1853">
        <f>M36/M71</f>
        <v>0</v>
      </c>
      <c r="N79" s="1853"/>
      <c r="O79" s="1783"/>
      <c r="P79" s="1853">
        <f>P36/P71</f>
        <v>0.98045046220895593</v>
      </c>
      <c r="Q79" s="1783"/>
      <c r="R79" s="1853">
        <f>R36/R71</f>
        <v>0.57141924154913326</v>
      </c>
      <c r="S79" s="1783"/>
      <c r="T79" s="1853">
        <f>T36/T71</f>
        <v>0.51571024368440355</v>
      </c>
      <c r="U79" s="1783"/>
      <c r="V79" s="1853">
        <f>V36/V71</f>
        <v>0.53576938509535088</v>
      </c>
      <c r="W79" s="1783"/>
      <c r="X79" s="1853">
        <f>X36/X71</f>
        <v>0.4800729331605969</v>
      </c>
      <c r="Y79" s="1783"/>
      <c r="Z79" s="1853">
        <f>Z36/Z71</f>
        <v>0.36194342650475436</v>
      </c>
      <c r="AA79" s="1853"/>
      <c r="AB79" s="1853">
        <f>AB36/AB71</f>
        <v>0.32745706951361758</v>
      </c>
      <c r="AC79" s="1783"/>
      <c r="AD79" s="1853">
        <f>AD36/AD71</f>
        <v>0.34859592134456452</v>
      </c>
      <c r="AE79" s="1783"/>
      <c r="AF79" s="1853">
        <f>AF36/AF71</f>
        <v>0.32752161291986903</v>
      </c>
      <c r="AG79" s="1783"/>
      <c r="AH79" s="1853">
        <f>AH36/AH71</f>
        <v>0.32998200637584502</v>
      </c>
      <c r="AI79" s="1783"/>
      <c r="AJ79" s="1853">
        <f>AJ36/AJ71</f>
        <v>0.34386224467319637</v>
      </c>
      <c r="AK79" s="1783"/>
      <c r="AL79" s="1853">
        <f>AL36/AL71</f>
        <v>0.34504987070557808</v>
      </c>
      <c r="AM79" s="1783"/>
      <c r="AN79" s="1853">
        <f>AN36/AN71</f>
        <v>0.40421798852065177</v>
      </c>
      <c r="AO79" s="1783"/>
      <c r="AP79" s="1853">
        <f>AP36/AP71</f>
        <v>0.34977989781186247</v>
      </c>
      <c r="AQ79" s="1783"/>
      <c r="AR79" s="1853">
        <f>AR36/AR71</f>
        <v>0.41596944856987689</v>
      </c>
      <c r="AS79" s="1783"/>
      <c r="AT79" s="1853">
        <f>AT36/AT71</f>
        <v>0.40940936917730925</v>
      </c>
      <c r="AU79" s="1783"/>
      <c r="AV79" s="1853">
        <f>AV36/AV71</f>
        <v>0.36966451627733959</v>
      </c>
      <c r="AW79" s="1783"/>
      <c r="AX79" s="1853">
        <f>AX36/AX71</f>
        <v>0.43054964114354111</v>
      </c>
      <c r="AY79" s="1783"/>
      <c r="AZ79" s="1853">
        <f>AZ36/AZ71</f>
        <v>0.39098146466300537</v>
      </c>
      <c r="BA79" s="1783"/>
      <c r="BB79" s="1853">
        <f>BB36/BB71</f>
        <v>0.4093594900864338</v>
      </c>
      <c r="BC79" s="1783"/>
      <c r="BD79" s="1853">
        <f>BD36/BD71</f>
        <v>0.42245493654570038</v>
      </c>
      <c r="BE79" s="1783"/>
      <c r="BF79" s="1853">
        <f>BF36/BF71</f>
        <v>0.43802833577794587</v>
      </c>
      <c r="BG79" s="1783"/>
      <c r="BH79" s="1888">
        <f>BF79</f>
        <v>0.43802833577794587</v>
      </c>
      <c r="BI79" s="1783"/>
      <c r="BJ79" s="1888">
        <f t="shared" si="0"/>
        <v>0.43802833577794587</v>
      </c>
      <c r="BK79" s="1783"/>
      <c r="BL79" s="1888">
        <f t="shared" si="0"/>
        <v>0.43802833577794587</v>
      </c>
      <c r="BM79" s="1888"/>
      <c r="BN79" s="1888">
        <f t="shared" si="0"/>
        <v>0.43802833577794587</v>
      </c>
      <c r="BO79" s="1888"/>
      <c r="BP79" s="1888">
        <f>BN79</f>
        <v>0.43802833577794587</v>
      </c>
      <c r="BQ79" s="1888"/>
      <c r="BR79" s="1888">
        <f>BP79</f>
        <v>0.43802833577794587</v>
      </c>
      <c r="BS79" s="1783"/>
      <c r="BT79" s="1783"/>
      <c r="BU79" s="1783"/>
      <c r="BV79" s="1783"/>
      <c r="BW79" s="1783"/>
      <c r="BX79" s="1783"/>
    </row>
    <row r="80" spans="1:76">
      <c r="A80" s="1783"/>
      <c r="B80" s="1783"/>
      <c r="C80" s="1783"/>
      <c r="D80" s="1783"/>
      <c r="E80" s="1783"/>
      <c r="F80" s="1783"/>
      <c r="G80" s="1783"/>
      <c r="H80" s="1783"/>
      <c r="I80" s="1783"/>
      <c r="J80" s="1783"/>
      <c r="K80" s="1783"/>
      <c r="L80" s="1783"/>
      <c r="M80" s="1783"/>
      <c r="N80" s="1783"/>
      <c r="O80" s="1783"/>
      <c r="P80" s="1783"/>
      <c r="Q80" s="1783"/>
      <c r="R80" s="1783"/>
      <c r="S80" s="1783"/>
      <c r="T80" s="1783"/>
      <c r="U80" s="1783"/>
      <c r="V80" s="1783"/>
      <c r="W80" s="1783"/>
      <c r="X80" s="1783"/>
      <c r="Y80" s="1783"/>
      <c r="Z80" s="1783"/>
      <c r="AA80" s="1783"/>
      <c r="AB80" s="1783"/>
      <c r="AC80" s="1783"/>
      <c r="AD80" s="1783"/>
      <c r="AE80" s="1783"/>
      <c r="AF80" s="1783"/>
      <c r="AG80" s="1783"/>
      <c r="AH80" s="1783"/>
      <c r="AI80" s="1783"/>
      <c r="AJ80" s="1783"/>
      <c r="AK80" s="1783"/>
      <c r="AL80" s="1783"/>
      <c r="AM80" s="1783"/>
      <c r="AN80" s="1890"/>
      <c r="AO80" s="1890"/>
      <c r="AP80" s="1890"/>
      <c r="AQ80" s="1890"/>
      <c r="AR80" s="1890"/>
      <c r="AS80" s="1890"/>
      <c r="AT80" s="1890"/>
      <c r="AU80" s="1890"/>
      <c r="AV80" s="1890"/>
      <c r="AW80" s="1890"/>
      <c r="AX80" s="1890"/>
      <c r="AY80" s="1890"/>
      <c r="AZ80" s="1890"/>
      <c r="BA80" s="1890"/>
      <c r="BB80" s="1890"/>
      <c r="BC80" s="1890"/>
      <c r="BD80" s="1890"/>
      <c r="BE80" s="1890"/>
      <c r="BF80" s="1890"/>
      <c r="BG80" s="1890"/>
      <c r="BH80" s="1890"/>
      <c r="BI80" s="1890"/>
      <c r="BJ80" s="1890"/>
      <c r="BK80" s="1890"/>
      <c r="BL80" s="1890"/>
      <c r="BM80" s="1890"/>
      <c r="BN80" s="1890"/>
      <c r="BO80" s="1890"/>
      <c r="BP80" s="1890"/>
      <c r="BQ80" s="1890"/>
      <c r="BR80" s="1890"/>
      <c r="BS80" s="1783"/>
      <c r="BT80" s="1783"/>
      <c r="BU80" s="1783"/>
      <c r="BV80" s="1783"/>
      <c r="BW80" s="1783"/>
      <c r="BX80" s="1783"/>
    </row>
    <row r="81" spans="1:76">
      <c r="A81" s="1783"/>
      <c r="B81" s="1783"/>
      <c r="C81" s="1783"/>
      <c r="D81" s="1783"/>
      <c r="E81" s="1783"/>
      <c r="F81" s="1783"/>
      <c r="G81" s="1783"/>
      <c r="H81" s="1783"/>
      <c r="I81" s="1783"/>
      <c r="J81" s="1783"/>
      <c r="K81" s="1783"/>
      <c r="L81" s="1783"/>
      <c r="M81" s="1783"/>
      <c r="N81" s="1783"/>
      <c r="O81" s="1783"/>
      <c r="P81" s="1783"/>
      <c r="Q81" s="1783"/>
      <c r="R81" s="1783"/>
      <c r="S81" s="1783"/>
      <c r="T81" s="1783"/>
      <c r="U81" s="1783"/>
      <c r="V81" s="1783"/>
      <c r="W81" s="1783"/>
      <c r="X81" s="1783"/>
      <c r="Y81" s="1783"/>
      <c r="Z81" s="1783"/>
      <c r="AA81" s="1783"/>
      <c r="AB81" s="1783"/>
      <c r="AC81" s="1783"/>
      <c r="AD81" s="1783"/>
      <c r="AE81" s="1783"/>
      <c r="AF81" s="1783"/>
      <c r="AG81" s="1783"/>
      <c r="AH81" s="1783"/>
      <c r="AI81" s="1783"/>
      <c r="AJ81" s="1783"/>
      <c r="AK81" s="1783"/>
      <c r="AL81" s="1783"/>
      <c r="AM81" s="1783"/>
      <c r="AN81" s="1783"/>
      <c r="AO81" s="1783"/>
      <c r="AP81" s="1783"/>
      <c r="AQ81" s="1783"/>
      <c r="AR81" s="1783"/>
      <c r="AS81" s="1783"/>
      <c r="AT81" s="1783"/>
      <c r="AU81" s="1783"/>
      <c r="AV81" s="1783"/>
      <c r="AW81" s="1783"/>
      <c r="AX81" s="1783"/>
      <c r="AY81" s="1783"/>
      <c r="AZ81" s="1783"/>
      <c r="BA81" s="1783"/>
      <c r="BB81" s="1783"/>
      <c r="BC81" s="1783"/>
      <c r="BD81" s="1783"/>
      <c r="BE81" s="1783"/>
      <c r="BF81" s="1783"/>
      <c r="BG81" s="1783"/>
      <c r="BH81" s="1783"/>
      <c r="BI81" s="1783"/>
      <c r="BJ81" s="1783"/>
      <c r="BK81" s="1783"/>
      <c r="BL81" s="1783"/>
      <c r="BM81" s="1783"/>
      <c r="BN81" s="1783"/>
      <c r="BO81" s="1783"/>
      <c r="BP81" s="1783"/>
      <c r="BQ81" s="1783"/>
      <c r="BR81" s="1783"/>
      <c r="BS81" s="1783"/>
      <c r="BT81" s="1783"/>
      <c r="BU81" s="1783"/>
      <c r="BV81" s="1783"/>
      <c r="BW81" s="1783"/>
      <c r="BX81" s="1783"/>
    </row>
    <row r="82" spans="1:76">
      <c r="A82" s="1881"/>
      <c r="B82" s="1881" t="s">
        <v>549</v>
      </c>
      <c r="C82" s="1881"/>
      <c r="D82" s="1881"/>
      <c r="E82" s="1881"/>
      <c r="F82" s="1881"/>
      <c r="G82" s="1881"/>
      <c r="H82" s="1881"/>
      <c r="I82" s="1881"/>
      <c r="J82" s="1881"/>
      <c r="K82" s="1881"/>
      <c r="L82" s="1881"/>
      <c r="M82" s="1881" t="str">
        <f>IF(M58=M27," ","Unbalanced")</f>
        <v xml:space="preserve"> </v>
      </c>
      <c r="N82" s="1881"/>
      <c r="O82" s="1881"/>
      <c r="P82" s="1881" t="str">
        <f>IF(P58=P27," ",P58-P27)</f>
        <v xml:space="preserve"> </v>
      </c>
      <c r="Q82" s="1881"/>
      <c r="R82" s="1881" t="str">
        <f>IF(R58=R27," ",R58-R27)</f>
        <v xml:space="preserve"> </v>
      </c>
      <c r="S82" s="1881"/>
      <c r="T82" s="1881" t="str">
        <f>IF(T58=T27," ",T58-T27)</f>
        <v xml:space="preserve"> </v>
      </c>
      <c r="U82" s="1881"/>
      <c r="V82" s="1881" t="str">
        <f>IF(V58=V27," ",V58-V27)</f>
        <v xml:space="preserve"> </v>
      </c>
      <c r="W82" s="1881"/>
      <c r="X82" s="1881" t="str">
        <f>IF(X58=X27," ",X58-X27)</f>
        <v xml:space="preserve"> </v>
      </c>
      <c r="Y82" s="1881"/>
      <c r="Z82" s="1881" t="str">
        <f>IF(Z58=Z27," ",Z58-Z27)</f>
        <v xml:space="preserve"> </v>
      </c>
      <c r="AA82" s="1881"/>
      <c r="AB82" s="1881" t="str">
        <f>IF(AB58=AB27," ",AB58-AB27)</f>
        <v xml:space="preserve"> </v>
      </c>
      <c r="AC82" s="1881"/>
      <c r="AD82" s="1881" t="str">
        <f>IF(AD58=AD27," ",AD58-AD27)</f>
        <v xml:space="preserve"> </v>
      </c>
      <c r="AE82" s="1881"/>
      <c r="AF82" s="1881" t="str">
        <f>IF(AF58=AF27," ",AF58-AF27)</f>
        <v xml:space="preserve"> </v>
      </c>
      <c r="AG82" s="1881"/>
      <c r="AH82" s="1881" t="str">
        <f>IF(AH58=AH27," ",AH58-AH27)</f>
        <v xml:space="preserve"> </v>
      </c>
      <c r="AI82" s="1881"/>
      <c r="AJ82" s="1881" t="str">
        <f>IF(AJ58=AJ27," ",AJ58-AJ27)</f>
        <v xml:space="preserve"> </v>
      </c>
      <c r="AK82" s="1881"/>
      <c r="AL82" s="1881" t="str">
        <f>IF(AL58=AL27," ",AL58-AL27)</f>
        <v xml:space="preserve"> </v>
      </c>
      <c r="AM82" s="1881"/>
      <c r="AN82" s="1881" t="str">
        <f>IF(AN58=AN27," ",AN58-AN27)</f>
        <v xml:space="preserve"> </v>
      </c>
      <c r="AO82" s="1881"/>
      <c r="AP82" s="1881" t="str">
        <f>IF(AP58=AP27," ",AP58-AP27)</f>
        <v xml:space="preserve"> </v>
      </c>
      <c r="AQ82" s="1881"/>
      <c r="AR82" s="1881" t="str">
        <f>IF(AR58=AR27," ",AR58-AR27)</f>
        <v xml:space="preserve"> </v>
      </c>
      <c r="AS82" s="1881"/>
      <c r="AT82" s="1881"/>
      <c r="AU82" s="1881"/>
      <c r="AV82" s="1891" t="str">
        <f>IF(AV58=AV27," ",AV58-AV27)</f>
        <v xml:space="preserve"> </v>
      </c>
      <c r="AW82" s="1881"/>
      <c r="AX82" s="1891"/>
      <c r="AY82" s="1881"/>
      <c r="AZ82" s="1891"/>
      <c r="BA82" s="1881"/>
      <c r="BB82" s="1891" t="str">
        <f>IF(BB58=BB27," ",BB58-BB27)</f>
        <v xml:space="preserve"> </v>
      </c>
      <c r="BC82" s="1881"/>
      <c r="BD82" s="1892" t="str">
        <f>IF(BD58=BD27," ",BD58-BD27)</f>
        <v xml:space="preserve"> </v>
      </c>
      <c r="BE82" s="1881"/>
      <c r="BF82" s="1892">
        <f>IF(BF58=BF27," ",BF58-BF27)</f>
        <v>3.9899999974295497E-3</v>
      </c>
      <c r="BG82" s="1881"/>
      <c r="BH82" s="1892">
        <f>IF(BH58=BH27," ",BH58-BH27)</f>
        <v>6.9899999907647725E-3</v>
      </c>
      <c r="BI82" s="1881"/>
      <c r="BJ82" s="1892">
        <f>IF(BJ58=BJ27," ",BJ58-BJ27)</f>
        <v>3.9899999937915709E-3</v>
      </c>
      <c r="BK82" s="1881"/>
      <c r="BL82" s="1892">
        <f>IF(BL58=BL27," ",BL58-BL27)</f>
        <v>3.9899999919725815E-3</v>
      </c>
      <c r="BM82" s="1892"/>
      <c r="BN82" s="1892">
        <f>IF(BN58=BN27," ",BN58-BN27)</f>
        <v>3.9899999919725815E-3</v>
      </c>
      <c r="BO82" s="1892"/>
      <c r="BP82" s="1892">
        <f>IF(BP58=BP27," ",BP58-BP27)</f>
        <v>3.9899999937915709E-3</v>
      </c>
      <c r="BQ82" s="1892"/>
      <c r="BR82" s="1892">
        <f>IF(BR58=BR27," ",BR58-BR27)</f>
        <v>3.9899999937915709E-3</v>
      </c>
      <c r="BS82" s="1881"/>
      <c r="BT82" s="1881"/>
      <c r="BU82" s="1881"/>
      <c r="BV82" s="1881"/>
      <c r="BW82" s="1881"/>
      <c r="BX82" s="1881"/>
    </row>
    <row r="83" spans="1:76">
      <c r="A83" s="1783"/>
      <c r="B83" s="1783"/>
      <c r="C83" s="1893" t="s">
        <v>349</v>
      </c>
      <c r="D83" s="1783"/>
      <c r="E83" s="1783"/>
      <c r="F83" s="1783"/>
      <c r="G83" s="1783"/>
      <c r="H83" s="1783"/>
      <c r="I83" s="1783"/>
      <c r="J83" s="1783"/>
      <c r="K83" s="1783"/>
      <c r="L83" s="1783"/>
      <c r="M83" s="1783"/>
      <c r="N83" s="1783"/>
      <c r="O83" s="1783"/>
      <c r="P83" s="1783"/>
      <c r="Q83" s="1783"/>
      <c r="R83" s="1783"/>
      <c r="S83" s="1783"/>
      <c r="T83" s="1783"/>
      <c r="U83" s="1783"/>
      <c r="V83" s="1790">
        <f>+V27-V9-V31-V35-V36</f>
        <v>980.45000000000016</v>
      </c>
      <c r="W83" s="1783"/>
      <c r="X83" s="1790">
        <f>+X27-X9-X31-X35-X36</f>
        <v>1167.1950000000002</v>
      </c>
      <c r="Y83" s="1783"/>
      <c r="Z83" s="1790">
        <f>+Z27-Z9-Z31-Z35-Z36</f>
        <v>1610.0619999999999</v>
      </c>
      <c r="AA83" s="1783"/>
      <c r="AB83" s="1790">
        <f>+AB27-AB9-AB31-AB35-AB36</f>
        <v>1789.2010000000002</v>
      </c>
      <c r="AC83" s="1783"/>
      <c r="AD83" s="1790">
        <f>+AD27-AD9-AD31-AD35-AD36</f>
        <v>1954.7620000000006</v>
      </c>
      <c r="AE83" s="1783"/>
      <c r="AF83" s="1790">
        <f>+AF27-AF9-AF31-AF35-AF36</f>
        <v>2466.3040000000005</v>
      </c>
      <c r="AG83" s="1783"/>
      <c r="AH83" s="1790">
        <f>+AH27-AH9-AH31-AH35-AH36</f>
        <v>2665.7500000000014</v>
      </c>
      <c r="AI83" s="1783"/>
      <c r="AJ83" s="1790">
        <f>+AJ27-AJ9-AJ31-AJ35-AJ36</f>
        <v>2780.5170000000012</v>
      </c>
      <c r="AK83" s="1783"/>
      <c r="AL83" s="1790">
        <f>+AL27-AL9-AL31-AL35-AL36</f>
        <v>2847.9050000000002</v>
      </c>
      <c r="AM83" s="1783"/>
      <c r="AN83" s="1790">
        <f>+AN27-AN9-AN31-AN35-AN36</f>
        <v>3108.3370000000004</v>
      </c>
      <c r="AO83" s="1783"/>
      <c r="AP83" s="1790">
        <f>+AP27-AP9-AP31-AP35-AP36</f>
        <v>3351.8510000000001</v>
      </c>
      <c r="AQ83" s="1783"/>
      <c r="AR83" s="1790">
        <f>+AR27-AR9-AR31-AR35-AR36</f>
        <v>2956.7390000000009</v>
      </c>
      <c r="AS83" s="1783"/>
      <c r="AT83" s="1790">
        <f>+AT27-AT9-AT31-AT35-AT36</f>
        <v>3099.6179999999986</v>
      </c>
      <c r="AU83" s="1783"/>
      <c r="AV83" s="1790">
        <f>+AV27-AV9-AV31-AV35-AV36</f>
        <v>3714.04</v>
      </c>
      <c r="AW83" s="1783"/>
      <c r="AX83" s="1790">
        <f>+AX27-AX9-AX31-AX35-AX36</f>
        <v>3939.3019999999992</v>
      </c>
      <c r="AY83" s="1783"/>
      <c r="AZ83" s="1790">
        <f>+AZ27-AZ9-AZ31-AZ35-AZ36</f>
        <v>4533.433</v>
      </c>
      <c r="BA83" s="1783"/>
      <c r="BB83" s="1790">
        <f>+BB27-BB9-BB31-BB35-BB36</f>
        <v>4644.1999999999989</v>
      </c>
      <c r="BC83" s="1783"/>
      <c r="BD83" s="1790">
        <f>+BD27-BD9-BD31-BD35-BD36</f>
        <v>4992.7279999999982</v>
      </c>
      <c r="BE83" s="1783"/>
      <c r="BF83" s="1790">
        <f>+BF27-BF9-BF31-BF35-BF36</f>
        <v>5196.3029999999981</v>
      </c>
      <c r="BG83" s="1783"/>
      <c r="BH83" s="1790">
        <f>+BH27-BH9-BH31-BH35-BH36</f>
        <v>6174</v>
      </c>
      <c r="BI83" s="1783"/>
      <c r="BJ83" s="1790">
        <f>+BJ27-BJ9-BJ31-BJ35-BJ36</f>
        <v>5951.3453217416863</v>
      </c>
      <c r="BK83" s="1783"/>
      <c r="BL83" s="1790">
        <f>+BL27-BL9-BL31-BL35-BL36</f>
        <v>6456.1763222183044</v>
      </c>
      <c r="BM83" s="1790"/>
      <c r="BN83" s="1790">
        <f>+BN27-BN9-BN31-BN35-BN36</f>
        <v>6908.412955417074</v>
      </c>
      <c r="BO83" s="1790"/>
      <c r="BP83" s="1790">
        <f>+BP27-BP9-BP31-BP35-BP36</f>
        <v>7412.5698629342814</v>
      </c>
      <c r="BQ83" s="1790"/>
      <c r="BR83" s="1790">
        <f>+BR27-BR9-BR31-BR35-BR36</f>
        <v>7968.6062948759491</v>
      </c>
      <c r="BS83" s="1783"/>
      <c r="BT83" s="1783"/>
      <c r="BU83" s="1783"/>
      <c r="BV83" s="1783"/>
      <c r="BW83" s="1783"/>
      <c r="BX83" s="1783"/>
    </row>
    <row r="84" spans="1:76">
      <c r="A84" s="1783"/>
      <c r="B84" s="1783"/>
      <c r="C84" s="1893"/>
      <c r="D84" s="1783"/>
      <c r="E84" s="1783"/>
      <c r="F84" s="1783"/>
      <c r="G84" s="1783"/>
      <c r="H84" s="1783"/>
      <c r="I84" s="1783"/>
      <c r="J84" s="1783"/>
      <c r="K84" s="1783"/>
      <c r="L84" s="1783"/>
      <c r="M84" s="1783"/>
      <c r="N84" s="1783"/>
      <c r="O84" s="1783"/>
      <c r="P84" s="1783"/>
      <c r="Q84" s="1783"/>
      <c r="R84" s="1783"/>
      <c r="S84" s="1783"/>
      <c r="T84" s="1783"/>
      <c r="U84" s="1783"/>
      <c r="V84" s="1783"/>
      <c r="W84" s="1783"/>
      <c r="X84" s="1783"/>
      <c r="Y84" s="1783"/>
      <c r="Z84" s="1783"/>
      <c r="AA84" s="1783"/>
      <c r="AB84" s="1783"/>
      <c r="AC84" s="1783"/>
      <c r="AD84" s="1783"/>
      <c r="AE84" s="1783"/>
      <c r="AF84" s="1783"/>
      <c r="AG84" s="1783"/>
      <c r="AH84" s="1783"/>
      <c r="AI84" s="1783"/>
      <c r="AJ84" s="1783"/>
      <c r="AK84" s="1783"/>
      <c r="AL84" s="1783"/>
      <c r="AM84" s="1783"/>
      <c r="AN84" s="1783"/>
      <c r="AO84" s="1783"/>
      <c r="AP84" s="1783"/>
      <c r="AQ84" s="1783"/>
      <c r="AR84" s="1783"/>
      <c r="AS84" s="1783"/>
      <c r="AT84" s="1783"/>
      <c r="AU84" s="1783"/>
      <c r="AV84" s="1783"/>
      <c r="AW84" s="1783"/>
      <c r="AX84" s="1783"/>
      <c r="AY84" s="1783"/>
      <c r="AZ84" s="1783"/>
      <c r="BA84" s="1783"/>
      <c r="BB84" s="1783"/>
      <c r="BC84" s="1783"/>
      <c r="BD84" s="1783"/>
      <c r="BE84" s="1783"/>
      <c r="BF84" s="1783"/>
      <c r="BG84" s="1783"/>
      <c r="BH84" s="1783"/>
      <c r="BI84" s="1783"/>
      <c r="BJ84" s="1783"/>
      <c r="BK84" s="1783"/>
      <c r="BL84" s="1783"/>
      <c r="BM84" s="1783"/>
      <c r="BN84" s="1783"/>
      <c r="BO84" s="1783"/>
      <c r="BP84" s="1783"/>
      <c r="BQ84" s="1783"/>
      <c r="BR84" s="1783"/>
      <c r="BS84" s="1783"/>
      <c r="BT84" s="1783"/>
      <c r="BU84" s="1783"/>
      <c r="BV84" s="1783"/>
      <c r="BW84" s="1783"/>
      <c r="BX84" s="1783"/>
    </row>
    <row r="85" spans="1:76">
      <c r="A85" s="1783"/>
      <c r="B85" s="1783"/>
      <c r="C85" s="1893" t="s">
        <v>347</v>
      </c>
      <c r="D85" s="1783"/>
      <c r="E85" s="1783"/>
      <c r="F85" s="1783"/>
      <c r="G85" s="1783"/>
      <c r="H85" s="1783"/>
      <c r="I85" s="1783"/>
      <c r="J85" s="1783"/>
      <c r="K85" s="1783"/>
      <c r="L85" s="1783"/>
      <c r="M85" s="1783"/>
      <c r="N85" s="1783"/>
      <c r="O85" s="1783"/>
      <c r="P85" s="1783"/>
      <c r="Q85" s="1783"/>
      <c r="R85" s="1783"/>
      <c r="S85" s="1783"/>
      <c r="T85" s="1783"/>
      <c r="U85" s="1783"/>
      <c r="V85" s="1790">
        <f>+'yrP&amp;L'!J44-'yrP&amp;L'!J41*'yrP&amp;L'!J34+'yrP&amp;L'!J34</f>
        <v>433.9394702521073</v>
      </c>
      <c r="W85" s="1783"/>
      <c r="X85" s="1790">
        <f>+'yrP&amp;L'!K44-'yrP&amp;L'!K41*'yrP&amp;L'!K34+'yrP&amp;L'!K34</f>
        <v>531.35337361421296</v>
      </c>
      <c r="Y85" s="1783"/>
      <c r="Z85" s="1790">
        <f>+'yrP&amp;L'!L44-'yrP&amp;L'!L41*'yrP&amp;L'!L34+'yrP&amp;L'!L34</f>
        <v>552.31419660046527</v>
      </c>
      <c r="AA85" s="1783"/>
      <c r="AB85" s="1790">
        <f>+'yrP&amp;L'!M44-'yrP&amp;L'!M41*'yrP&amp;L'!M34+'yrP&amp;L'!M34</f>
        <v>556.25135089194521</v>
      </c>
      <c r="AC85" s="1783"/>
      <c r="AD85" s="1790">
        <f>+'yrP&amp;L'!N44-'yrP&amp;L'!N41*'yrP&amp;L'!N34+'yrP&amp;L'!N34</f>
        <v>594.0380619841219</v>
      </c>
      <c r="AE85" s="1783"/>
      <c r="AF85" s="1790">
        <f>+'yrP&amp;L'!O44-'yrP&amp;L'!O41*'yrP&amp;L'!O34+'yrP&amp;L'!O34</f>
        <v>626.24290731683652</v>
      </c>
      <c r="AG85" s="1783"/>
      <c r="AH85" s="1790">
        <f>+'yrP&amp;L'!P44-'yrP&amp;L'!P41*'yrP&amp;L'!P34+'yrP&amp;L'!P34</f>
        <v>625.57846940040554</v>
      </c>
      <c r="AI85" s="1783"/>
      <c r="AJ85" s="1790">
        <f>+'yrP&amp;L'!Q44-'yrP&amp;L'!Q41*'yrP&amp;L'!Q34+'yrP&amp;L'!Q34</f>
        <v>710.69256014849668</v>
      </c>
      <c r="AK85" s="1783"/>
      <c r="AL85" s="1790">
        <f>+'yrP&amp;L'!R44-'yrP&amp;L'!R41*'yrP&amp;L'!R34+'yrP&amp;L'!R34</f>
        <v>786.45323967636864</v>
      </c>
      <c r="AM85" s="1783"/>
      <c r="AN85" s="1790">
        <f>+'yrP&amp;L'!S44-'yrP&amp;L'!S41*'yrP&amp;L'!S34+'yrP&amp;L'!S34</f>
        <v>900.82519727714646</v>
      </c>
      <c r="AO85" s="1783"/>
      <c r="AP85" s="1790">
        <f>+'yrP&amp;L'!T44-'yrP&amp;L'!T41*'yrP&amp;L'!T34+'yrP&amp;L'!T34</f>
        <v>905.29845358550494</v>
      </c>
      <c r="AQ85" s="1783"/>
      <c r="AR85" s="1790">
        <f>+'yrP&amp;L'!U44-'yrP&amp;L'!U41*'yrP&amp;L'!U34+'yrP&amp;L'!U34</f>
        <v>1238.1405333840278</v>
      </c>
      <c r="AS85" s="1783"/>
      <c r="AT85" s="1790">
        <f>+'yrP&amp;L'!V44-'yrP&amp;L'!V41*'yrP&amp;L'!V34+'yrP&amp;L'!V34</f>
        <v>1444.5923700493336</v>
      </c>
      <c r="AU85" s="1783"/>
      <c r="AV85" s="1790">
        <f>+'yrP&amp;L'!W44-'yrP&amp;L'!W41*'yrP&amp;L'!W34+'yrP&amp;L'!W34</f>
        <v>1560.7744573063967</v>
      </c>
      <c r="AW85" s="1783"/>
      <c r="AX85" s="1790">
        <f>+'yrP&amp;L'!Y44-'yrP&amp;L'!Y41*'yrP&amp;L'!Y34+'yrP&amp;L'!Y34</f>
        <v>2157.4069432519277</v>
      </c>
      <c r="AY85" s="1783"/>
      <c r="AZ85" s="1790">
        <f>+'yrP&amp;L'!Y44-'yrP&amp;L'!Y41*'yrP&amp;L'!Y34+'yrP&amp;L'!Y34</f>
        <v>2157.4069432519277</v>
      </c>
      <c r="BA85" s="1783"/>
      <c r="BB85" s="1790">
        <f>+'yrP&amp;L'!Z44-'yrP&amp;L'!Z41*'yrP&amp;L'!Z34+'yrP&amp;L'!Z34</f>
        <v>2250.4399945434602</v>
      </c>
      <c r="BC85" s="1783"/>
      <c r="BD85" s="1790">
        <f>+'yrP&amp;L'!AA44-'yrP&amp;L'!AA41*'yrP&amp;L'!AA34+'yrP&amp;L'!AA34</f>
        <v>2306.5466453270624</v>
      </c>
      <c r="BE85" s="1783"/>
      <c r="BF85" s="1790">
        <f>+'yrP&amp;L'!AC44-'yrP&amp;L'!AC41*'yrP&amp;L'!AC34+'yrP&amp;L'!AC34</f>
        <v>2629.3088146434134</v>
      </c>
      <c r="BG85" s="1783"/>
      <c r="BH85" s="1790">
        <f>+'yrP&amp;L'!AJ44-'yrP&amp;L'!AJ41*'yrP&amp;L'!AJ34+'yrP&amp;L'!AJ34</f>
        <v>14.649340247617037</v>
      </c>
      <c r="BI85" s="1783"/>
      <c r="BJ85" s="1790">
        <f>+'yrP&amp;L'!AL44-'yrP&amp;L'!AL41*'yrP&amp;L'!AL34+'yrP&amp;L'!AL34</f>
        <v>6.464275848007528</v>
      </c>
      <c r="BK85" s="1783"/>
      <c r="BL85" s="1790">
        <f>+'yrP&amp;L'!AE44-'yrP&amp;L'!AE41*'yrP&amp;L'!AE34+'yrP&amp;L'!AE34</f>
        <v>3302.2719282359167</v>
      </c>
      <c r="BM85" s="1790"/>
      <c r="BN85" s="1790">
        <f>+'yrP&amp;L'!AF44-'yrP&amp;L'!AF41*'yrP&amp;L'!AF34+'yrP&amp;L'!AF34</f>
        <v>3575.8829735377822</v>
      </c>
      <c r="BO85" s="1790"/>
      <c r="BP85" s="1790">
        <f>+'yrP&amp;L'!AI44-'yrP&amp;L'!AI41*'yrP&amp;L'!AI34+'yrP&amp;L'!AI34</f>
        <v>0</v>
      </c>
      <c r="BQ85" s="1790"/>
      <c r="BR85" s="1790">
        <f>+'yrP&amp;L'!AK44-'yrP&amp;L'!AK41*'yrP&amp;L'!AK34+'yrP&amp;L'!AK34</f>
        <v>0</v>
      </c>
      <c r="BS85" s="1783"/>
      <c r="BT85" s="1783"/>
      <c r="BU85" s="1783"/>
      <c r="BV85" s="1783"/>
      <c r="BW85" s="1783"/>
      <c r="BX85" s="1783"/>
    </row>
    <row r="86" spans="1:76">
      <c r="A86" s="1783"/>
      <c r="B86" s="1783"/>
      <c r="C86" s="1893"/>
      <c r="D86" s="1783"/>
      <c r="E86" s="1783"/>
      <c r="F86" s="1783"/>
      <c r="G86" s="1783"/>
      <c r="H86" s="1783"/>
      <c r="I86" s="1783"/>
      <c r="J86" s="1783"/>
      <c r="K86" s="1783"/>
      <c r="L86" s="1783"/>
      <c r="M86" s="1783"/>
      <c r="N86" s="1783"/>
      <c r="O86" s="1783"/>
      <c r="P86" s="1783"/>
      <c r="Q86" s="1783"/>
      <c r="R86" s="1783"/>
      <c r="S86" s="1783"/>
      <c r="T86" s="1783"/>
      <c r="U86" s="1783"/>
      <c r="V86" s="1783"/>
      <c r="W86" s="1783"/>
      <c r="X86" s="1783"/>
      <c r="Y86" s="1783"/>
      <c r="Z86" s="1783"/>
      <c r="AA86" s="1783"/>
      <c r="AB86" s="1783"/>
      <c r="AC86" s="1783"/>
      <c r="AD86" s="1783"/>
      <c r="AE86" s="1783"/>
      <c r="AF86" s="1783"/>
      <c r="AG86" s="1783"/>
      <c r="AH86" s="1783"/>
      <c r="AI86" s="1783"/>
      <c r="AJ86" s="1783"/>
      <c r="AK86" s="1783"/>
      <c r="AL86" s="1783"/>
      <c r="AM86" s="1783"/>
      <c r="AN86" s="1783"/>
      <c r="AO86" s="1783"/>
      <c r="AP86" s="1783"/>
      <c r="AQ86" s="1783"/>
      <c r="AR86" s="1783"/>
      <c r="AS86" s="1783"/>
      <c r="AT86" s="1783"/>
      <c r="AU86" s="1783"/>
      <c r="AV86" s="1783"/>
      <c r="AW86" s="1783"/>
      <c r="AX86" s="1783"/>
      <c r="AY86" s="1783"/>
      <c r="AZ86" s="1783"/>
      <c r="BA86" s="1783"/>
      <c r="BB86" s="1783"/>
      <c r="BC86" s="1783"/>
      <c r="BD86" s="1783"/>
      <c r="BE86" s="1783"/>
      <c r="BF86" s="1783"/>
      <c r="BG86" s="1783"/>
      <c r="BH86" s="1783"/>
      <c r="BI86" s="1783"/>
      <c r="BJ86" s="1783"/>
      <c r="BK86" s="1783"/>
      <c r="BL86" s="1783"/>
      <c r="BM86" s="1783"/>
      <c r="BN86" s="1783"/>
      <c r="BO86" s="1783"/>
      <c r="BP86" s="1783"/>
      <c r="BQ86" s="1783"/>
      <c r="BR86" s="1783"/>
      <c r="BS86" s="1783"/>
      <c r="BT86" s="1783"/>
      <c r="BU86" s="1783"/>
      <c r="BV86" s="1783"/>
      <c r="BW86" s="1783"/>
      <c r="BX86" s="1783"/>
    </row>
    <row r="87" spans="1:76">
      <c r="A87" s="1783"/>
      <c r="B87" s="1783"/>
      <c r="C87" s="1893" t="s">
        <v>348</v>
      </c>
      <c r="D87" s="1783"/>
      <c r="E87" s="1783"/>
      <c r="F87" s="1783"/>
      <c r="G87" s="1783"/>
      <c r="H87" s="1783"/>
      <c r="I87" s="1783"/>
      <c r="J87" s="1783"/>
      <c r="K87" s="1783"/>
      <c r="L87" s="1783"/>
      <c r="M87" s="1783"/>
      <c r="N87" s="1783"/>
      <c r="O87" s="1783"/>
      <c r="P87" s="1783"/>
      <c r="Q87" s="1783"/>
      <c r="R87" s="1783"/>
      <c r="S87" s="1783"/>
      <c r="T87" s="1783"/>
      <c r="U87" s="1783"/>
      <c r="V87" s="1853">
        <f>+V85/V83</f>
        <v>0.44259214672049285</v>
      </c>
      <c r="W87" s="1783"/>
      <c r="X87" s="1853">
        <f>+X85/X83</f>
        <v>0.45523959031199834</v>
      </c>
      <c r="Y87" s="1783"/>
      <c r="Z87" s="1853">
        <f>+Z85/Z83</f>
        <v>0.34303908582431314</v>
      </c>
      <c r="AA87" s="1783"/>
      <c r="AB87" s="1853">
        <f>+AB85/AB83</f>
        <v>0.31089371786174114</v>
      </c>
      <c r="AC87" s="1783"/>
      <c r="AD87" s="1853">
        <f>+AD85/AD83</f>
        <v>0.30389278182414109</v>
      </c>
      <c r="AE87" s="1783"/>
      <c r="AF87" s="1853">
        <f>+AF85/AF83</f>
        <v>0.25391959276587006</v>
      </c>
      <c r="AG87" s="1783"/>
      <c r="AH87" s="1853">
        <f>+AH85/AH83</f>
        <v>0.23467259472959026</v>
      </c>
      <c r="AI87" s="1783"/>
      <c r="AJ87" s="1853">
        <f>+AJ85/AJ83</f>
        <v>0.25559727207152355</v>
      </c>
      <c r="AK87" s="1783"/>
      <c r="AL87" s="1853">
        <f>+AL85/AL83</f>
        <v>0.27615150072645278</v>
      </c>
      <c r="AM87" s="1783"/>
      <c r="AN87" s="1853">
        <f>+AN85/AN83</f>
        <v>0.2898093730754247</v>
      </c>
      <c r="AO87" s="1783"/>
      <c r="AP87" s="1853">
        <f>+AP85/AP83</f>
        <v>0.27008911004263164</v>
      </c>
      <c r="AQ87" s="1783"/>
      <c r="AR87" s="1853">
        <f>+AR85/AR83</f>
        <v>0.41875205535017712</v>
      </c>
      <c r="AS87" s="1783"/>
      <c r="AT87" s="1853">
        <f>+AT85/AT83</f>
        <v>0.4660549687249636</v>
      </c>
      <c r="AU87" s="1783"/>
      <c r="AV87" s="1853">
        <f>+AV85/AV83</f>
        <v>0.42023630798440426</v>
      </c>
      <c r="AW87" s="1783"/>
      <c r="AX87" s="1853">
        <f>+AX85/AX83</f>
        <v>0.54766223641953016</v>
      </c>
      <c r="AY87" s="1783"/>
      <c r="AZ87" s="1853">
        <f>+AZ85/AZ83</f>
        <v>0.47588812788276075</v>
      </c>
      <c r="BA87" s="1783"/>
      <c r="BB87" s="1853">
        <f>+BB85/BB83</f>
        <v>0.48457000011701923</v>
      </c>
      <c r="BC87" s="1783"/>
      <c r="BD87" s="1853">
        <f>+BD85/BD83</f>
        <v>0.46198123457297557</v>
      </c>
      <c r="BE87" s="1783"/>
      <c r="BF87" s="1853">
        <f>+BF85/BF83</f>
        <v>0.50599605424152794</v>
      </c>
      <c r="BG87" s="1783"/>
      <c r="BH87" s="1853">
        <f>+BH85/BH83</f>
        <v>2.3727470436697502E-3</v>
      </c>
      <c r="BI87" s="1783"/>
      <c r="BJ87" s="1853">
        <f>+BJ85/BJ83</f>
        <v>1.0861873237958456E-3</v>
      </c>
      <c r="BK87" s="1783"/>
      <c r="BL87" s="1853">
        <f>+BL85/BL83</f>
        <v>0.51149035643147911</v>
      </c>
      <c r="BM87" s="1853"/>
      <c r="BN87" s="1853">
        <f>+BN85/BN83</f>
        <v>0.51761280001853904</v>
      </c>
      <c r="BO87" s="1853"/>
      <c r="BP87" s="1853">
        <f>+BP85/BP83</f>
        <v>0</v>
      </c>
      <c r="BQ87" s="1853"/>
      <c r="BR87" s="1853">
        <f>+BR85/BR83</f>
        <v>0</v>
      </c>
      <c r="BS87" s="1783"/>
      <c r="BT87" s="1783"/>
      <c r="BU87" s="1783"/>
      <c r="BV87" s="1783"/>
      <c r="BW87" s="1783"/>
      <c r="BX87" s="1783"/>
    </row>
    <row r="88" spans="1:76">
      <c r="A88" s="1783"/>
      <c r="B88" s="1783"/>
      <c r="C88" s="1783"/>
      <c r="D88" s="1783"/>
      <c r="E88" s="1783"/>
      <c r="F88" s="1783"/>
      <c r="G88" s="1783"/>
      <c r="H88" s="1783"/>
      <c r="I88" s="1783"/>
      <c r="J88" s="1783"/>
      <c r="K88" s="1783"/>
      <c r="L88" s="1783"/>
      <c r="M88" s="1783"/>
      <c r="N88" s="1783"/>
      <c r="O88" s="1783"/>
      <c r="P88" s="1783"/>
      <c r="Q88" s="1783"/>
      <c r="R88" s="1783"/>
      <c r="S88" s="1783"/>
      <c r="T88" s="1783"/>
      <c r="U88" s="1783"/>
      <c r="V88" s="1783"/>
      <c r="W88" s="1783"/>
      <c r="X88" s="1852"/>
      <c r="Y88" s="1783"/>
      <c r="Z88" s="1852"/>
      <c r="AA88" s="1783"/>
      <c r="AB88" s="1852"/>
      <c r="AC88" s="1783"/>
      <c r="AD88" s="1852"/>
      <c r="AE88" s="1783"/>
      <c r="AF88" s="1852"/>
      <c r="AG88" s="1783"/>
      <c r="AH88" s="1852"/>
      <c r="AI88" s="1783"/>
      <c r="AJ88" s="1783"/>
      <c r="AK88" s="1783"/>
      <c r="AL88" s="1783"/>
      <c r="AM88" s="1783"/>
      <c r="AN88" s="1783"/>
      <c r="AO88" s="1783"/>
      <c r="AP88" s="1783"/>
      <c r="AQ88" s="1783"/>
      <c r="AR88" s="1783"/>
      <c r="AS88" s="1783"/>
      <c r="AT88" s="1783"/>
      <c r="AU88" s="1783"/>
      <c r="AV88" s="1783"/>
      <c r="AW88" s="1783"/>
      <c r="AX88" s="1783"/>
      <c r="AY88" s="1783"/>
      <c r="AZ88" s="1783"/>
      <c r="BA88" s="1783"/>
      <c r="BB88" s="1783"/>
      <c r="BC88" s="1783"/>
      <c r="BD88" s="1783"/>
      <c r="BE88" s="1783"/>
      <c r="BF88" s="1783"/>
      <c r="BG88" s="1783"/>
      <c r="BH88" s="1783"/>
      <c r="BI88" s="1783"/>
      <c r="BJ88" s="1783"/>
      <c r="BK88" s="1783"/>
      <c r="BL88" s="1783"/>
      <c r="BM88" s="1783"/>
      <c r="BN88" s="1783"/>
      <c r="BO88" s="1783"/>
      <c r="BP88" s="1783"/>
      <c r="BQ88" s="1783"/>
      <c r="BR88" s="1783"/>
      <c r="BS88" s="1783"/>
      <c r="BT88" s="1783"/>
      <c r="BU88" s="1783"/>
      <c r="BV88" s="1783"/>
      <c r="BW88" s="1783"/>
      <c r="BX88" s="1783"/>
    </row>
    <row r="89" spans="1:76">
      <c r="A89" s="1783"/>
      <c r="B89" s="1783"/>
      <c r="C89" s="1783"/>
      <c r="D89" s="1783"/>
      <c r="E89" s="1783"/>
      <c r="F89" s="1783"/>
      <c r="G89" s="1783"/>
      <c r="H89" s="1783"/>
      <c r="I89" s="1783"/>
      <c r="J89" s="1783"/>
      <c r="K89" s="1783"/>
      <c r="L89" s="1783"/>
      <c r="M89" s="1783"/>
      <c r="N89" s="1783"/>
      <c r="O89" s="1783"/>
      <c r="P89" s="1783"/>
      <c r="Q89" s="1783"/>
      <c r="R89" s="1783"/>
      <c r="S89" s="1783"/>
      <c r="T89" s="1783"/>
      <c r="U89" s="1783"/>
      <c r="V89" s="1783"/>
      <c r="W89" s="1783"/>
      <c r="X89" s="1783"/>
      <c r="Y89" s="1783"/>
      <c r="Z89" s="1783"/>
      <c r="AA89" s="1783"/>
      <c r="AB89" s="1783"/>
      <c r="AC89" s="1783"/>
      <c r="AD89" s="1783"/>
      <c r="AE89" s="1783"/>
      <c r="AF89" s="1783"/>
      <c r="AG89" s="1783"/>
      <c r="AH89" s="1783"/>
      <c r="AI89" s="1783"/>
      <c r="AJ89" s="1783"/>
      <c r="AK89" s="1783"/>
      <c r="AL89" s="1783"/>
      <c r="AM89" s="1783"/>
      <c r="AN89" s="1783"/>
      <c r="AO89" s="1783"/>
      <c r="AP89" s="1783"/>
      <c r="AQ89" s="1783"/>
      <c r="AR89" s="1783"/>
      <c r="AS89" s="1783"/>
      <c r="AT89" s="1783"/>
      <c r="AU89" s="1783"/>
      <c r="AV89" s="1783"/>
      <c r="AW89" s="1783"/>
      <c r="AX89" s="1783"/>
      <c r="AY89" s="1783"/>
      <c r="AZ89" s="1783"/>
      <c r="BA89" s="1783"/>
      <c r="BB89" s="1783"/>
      <c r="BC89" s="1783"/>
      <c r="BD89" s="1783"/>
      <c r="BE89" s="1783"/>
      <c r="BF89" s="1783"/>
      <c r="BG89" s="1783"/>
      <c r="BH89" s="1783"/>
      <c r="BI89" s="1783"/>
      <c r="BJ89" s="1783"/>
      <c r="BK89" s="1783"/>
      <c r="BL89" s="1783"/>
      <c r="BM89" s="1783"/>
      <c r="BN89" s="1783"/>
      <c r="BO89" s="1783"/>
      <c r="BP89" s="1783"/>
      <c r="BQ89" s="1783"/>
      <c r="BR89" s="1783"/>
      <c r="BS89" s="1783"/>
      <c r="BT89" s="1783"/>
      <c r="BU89" s="1783"/>
      <c r="BV89" s="1783"/>
      <c r="BW89" s="1783"/>
      <c r="BX89" s="1783"/>
    </row>
    <row r="90" spans="1:76">
      <c r="A90" s="1783"/>
      <c r="B90" s="1783"/>
      <c r="C90" s="1783"/>
      <c r="D90" s="1783"/>
      <c r="E90" s="1783"/>
      <c r="F90" s="1783"/>
      <c r="G90" s="1783"/>
      <c r="H90" s="1783"/>
      <c r="I90" s="1783"/>
      <c r="J90" s="1783"/>
      <c r="K90" s="1783"/>
      <c r="L90" s="1783"/>
      <c r="M90" s="1783"/>
      <c r="N90" s="1783"/>
      <c r="O90" s="1783"/>
      <c r="P90" s="1783"/>
      <c r="Q90" s="1783"/>
      <c r="R90" s="1783"/>
      <c r="S90" s="1783"/>
      <c r="T90" s="1783"/>
      <c r="U90" s="1783"/>
      <c r="V90" s="1783"/>
      <c r="W90" s="1783"/>
      <c r="X90" s="1783"/>
      <c r="Y90" s="1783"/>
      <c r="Z90" s="1783"/>
      <c r="AA90" s="1783"/>
      <c r="AB90" s="1783"/>
      <c r="AC90" s="1783"/>
      <c r="AD90" s="1783"/>
      <c r="AE90" s="1783"/>
      <c r="AF90" s="1783"/>
      <c r="AG90" s="1783"/>
      <c r="AH90" s="1783"/>
      <c r="AI90" s="1783"/>
      <c r="AJ90" s="1783"/>
      <c r="AK90" s="1783"/>
      <c r="AL90" s="1783"/>
      <c r="AM90" s="1783"/>
      <c r="AN90" s="1783"/>
      <c r="AO90" s="1783"/>
      <c r="AP90" s="1783"/>
      <c r="AQ90" s="1783"/>
      <c r="AR90" s="1783"/>
      <c r="AS90" s="1783"/>
      <c r="AT90" s="1783"/>
      <c r="AU90" s="1783"/>
      <c r="AV90" s="1783"/>
      <c r="AW90" s="1783"/>
      <c r="AX90" s="1783"/>
      <c r="AY90" s="1783"/>
      <c r="AZ90" s="1783"/>
      <c r="BA90" s="1783"/>
      <c r="BB90" s="1783"/>
      <c r="BC90" s="1783"/>
      <c r="BD90" s="1783"/>
      <c r="BE90" s="1783"/>
      <c r="BF90" s="1783"/>
      <c r="BG90" s="1783"/>
      <c r="BH90" s="1783"/>
      <c r="BI90" s="1783"/>
      <c r="BJ90" s="1783"/>
      <c r="BK90" s="1783"/>
      <c r="BL90" s="1783"/>
      <c r="BM90" s="1783"/>
      <c r="BN90" s="1783"/>
      <c r="BO90" s="1783"/>
      <c r="BP90" s="1783"/>
      <c r="BQ90" s="1783"/>
      <c r="BR90" s="1783"/>
      <c r="BS90" s="1783"/>
      <c r="BT90" s="1783"/>
      <c r="BU90" s="1783"/>
      <c r="BV90" s="1783"/>
      <c r="BW90" s="1783"/>
      <c r="BX90" s="1783"/>
    </row>
    <row r="91" spans="1:76">
      <c r="A91" s="1783"/>
      <c r="B91" s="1783"/>
      <c r="C91" s="1783"/>
      <c r="D91" s="1783"/>
      <c r="E91" s="1783"/>
      <c r="F91" s="1783"/>
      <c r="G91" s="1783"/>
      <c r="H91" s="1783"/>
      <c r="I91" s="1783"/>
      <c r="J91" s="1783"/>
      <c r="K91" s="1783"/>
      <c r="L91" s="1783"/>
      <c r="M91" s="1783"/>
      <c r="N91" s="1783"/>
      <c r="O91" s="1783"/>
      <c r="P91" s="1783"/>
      <c r="Q91" s="1783"/>
      <c r="R91" s="1783"/>
      <c r="S91" s="1783"/>
      <c r="T91" s="1783"/>
      <c r="U91" s="1783"/>
      <c r="V91" s="1783"/>
      <c r="W91" s="1783"/>
      <c r="X91" s="1783"/>
      <c r="Y91" s="1783"/>
      <c r="Z91" s="1783"/>
      <c r="AA91" s="1783"/>
      <c r="AB91" s="1783"/>
      <c r="AC91" s="1783"/>
      <c r="AD91" s="1783"/>
      <c r="AE91" s="1783"/>
      <c r="AF91" s="1783"/>
      <c r="AG91" s="1783"/>
      <c r="AH91" s="1783"/>
      <c r="AI91" s="1783"/>
      <c r="AJ91" s="1783"/>
      <c r="AK91" s="1783"/>
      <c r="AL91" s="1783"/>
      <c r="AM91" s="1783"/>
      <c r="AN91" s="1783"/>
      <c r="AO91" s="1783"/>
      <c r="AP91" s="1783"/>
      <c r="AQ91" s="1783"/>
      <c r="AR91" s="1783"/>
      <c r="AS91" s="1783"/>
      <c r="AT91" s="1783"/>
      <c r="AU91" s="1783"/>
      <c r="AV91" s="1783"/>
      <c r="AW91" s="1783"/>
      <c r="AX91" s="1783"/>
      <c r="AY91" s="1783"/>
      <c r="AZ91" s="1783"/>
      <c r="BA91" s="1783"/>
      <c r="BB91" s="1783"/>
      <c r="BC91" s="1783"/>
      <c r="BD91" s="1783"/>
      <c r="BE91" s="1783"/>
      <c r="BF91" s="1783"/>
      <c r="BG91" s="1783"/>
      <c r="BH91" s="1783"/>
      <c r="BI91" s="1783"/>
      <c r="BJ91" s="1783"/>
      <c r="BK91" s="1783"/>
      <c r="BL91" s="1783"/>
      <c r="BM91" s="1783"/>
      <c r="BN91" s="1783"/>
      <c r="BO91" s="1783"/>
      <c r="BP91" s="1783"/>
      <c r="BQ91" s="1783"/>
      <c r="BR91" s="1783"/>
      <c r="BS91" s="1783"/>
      <c r="BT91" s="1783"/>
      <c r="BU91" s="1783"/>
      <c r="BV91" s="1783"/>
      <c r="BW91" s="1783"/>
      <c r="BX91" s="1783"/>
    </row>
    <row r="92" spans="1:76" hidden="1" outlineLevel="1">
      <c r="A92" s="1783"/>
      <c r="B92" s="1843" t="s">
        <v>667</v>
      </c>
      <c r="C92" s="1843"/>
      <c r="D92" s="598"/>
      <c r="E92" s="598"/>
      <c r="F92" s="598"/>
      <c r="G92" s="598"/>
      <c r="H92" s="598"/>
      <c r="I92" s="598"/>
      <c r="J92" s="598"/>
      <c r="K92" s="598"/>
      <c r="L92" s="598"/>
      <c r="M92" s="598"/>
      <c r="N92" s="598"/>
      <c r="O92" s="598"/>
      <c r="P92" s="598"/>
      <c r="Q92" s="598"/>
      <c r="R92" s="598"/>
      <c r="S92" s="598"/>
      <c r="T92" s="598"/>
      <c r="U92" s="598"/>
      <c r="V92" s="1894"/>
      <c r="W92" s="1894"/>
      <c r="X92" s="1894">
        <f>+X9/'yrP&amp;L'!J55</f>
        <v>0.27772394840607917</v>
      </c>
      <c r="Y92" s="1894"/>
      <c r="Z92" s="1894">
        <f>+Z9/'yrP&amp;L'!K55</f>
        <v>0.10426278467929324</v>
      </c>
      <c r="AA92" s="1894"/>
      <c r="AB92" s="1894">
        <f>+AB9/'yrP&amp;L'!M55</f>
        <v>0.44293038607289975</v>
      </c>
      <c r="AC92" s="1894"/>
      <c r="AD92" s="1894">
        <f>+AD9/'yrP&amp;L'!N55</f>
        <v>0.4454346409959466</v>
      </c>
      <c r="AE92" s="1894"/>
      <c r="AF92" s="1894">
        <f>+AF9/'yrP&amp;L'!O55</f>
        <v>0.23188644478365425</v>
      </c>
      <c r="AG92" s="1894"/>
      <c r="AH92" s="1894">
        <f>+AH9/'yrP&amp;L'!P55</f>
        <v>0.30136414623837776</v>
      </c>
      <c r="AI92" s="1894"/>
      <c r="AJ92" s="1894">
        <f>+AJ9/'yrP&amp;L'!Q55</f>
        <v>0.47370238487572719</v>
      </c>
      <c r="AK92" s="1894"/>
      <c r="AL92" s="1894">
        <f>+AL9/'yrP&amp;L'!R55</f>
        <v>0.892279890426943</v>
      </c>
      <c r="AM92" s="1894"/>
      <c r="AN92" s="1894">
        <f>+AN9/'yrP&amp;L'!S55</f>
        <v>0.78262820321079951</v>
      </c>
      <c r="AO92" s="1783"/>
      <c r="AP92" s="1894">
        <f>+AP9/'yrP&amp;L'!T55</f>
        <v>0.51274377904150759</v>
      </c>
      <c r="AQ92" s="1783"/>
      <c r="AR92" s="1894">
        <f>+AR9/'yrP&amp;L'!U55</f>
        <v>1.8879037180293718</v>
      </c>
      <c r="AS92" s="1783"/>
      <c r="AT92" s="1894">
        <f>+AT9/'yrP&amp;L'!V55</f>
        <v>2.1428337061068468</v>
      </c>
      <c r="AU92" s="1783"/>
      <c r="AV92" s="1894">
        <f>+AV9/'yrP&amp;L'!W55</f>
        <v>1.9477468815103205</v>
      </c>
      <c r="AW92" s="1783"/>
      <c r="AX92" s="1894">
        <f>+AX9/'yrP&amp;L'!X55</f>
        <v>2.4238443994087446</v>
      </c>
      <c r="AY92" s="1783"/>
      <c r="AZ92" s="1894">
        <f>+AZ9/'yrP&amp;L'!Y55</f>
        <v>2.9595500401995705</v>
      </c>
      <c r="BA92" s="1783"/>
      <c r="BB92" s="1894">
        <f>+BB9/'yrP&amp;L'!Z55</f>
        <v>3.5435026704818964</v>
      </c>
      <c r="BC92" s="1783"/>
      <c r="BD92" s="1894">
        <f>+BD9/'yrP&amp;L'!AA55</f>
        <v>3.0679827147985668</v>
      </c>
      <c r="BE92" s="1783"/>
      <c r="BF92" s="1894">
        <f>+BF9/'yrP&amp;L'!AB55</f>
        <v>4.4095483209719042</v>
      </c>
      <c r="BG92" s="1783"/>
      <c r="BH92" s="1894">
        <f>+BH9/'yrP&amp;L'!AC55</f>
        <v>4.2694190727513455</v>
      </c>
      <c r="BI92" s="1783"/>
      <c r="BJ92" s="1894">
        <f>+BJ9/'yrP&amp;L'!AD55</f>
        <v>4.1212714023689943</v>
      </c>
      <c r="BK92" s="1783"/>
      <c r="BL92" s="1894">
        <f>+BL9/'yrP&amp;L'!AE55</f>
        <v>3.8325898261870597</v>
      </c>
      <c r="BM92" s="1894"/>
      <c r="BN92" s="1894">
        <f>+BN9/'yrP&amp;L'!AF55</f>
        <v>3.7085110910999362</v>
      </c>
      <c r="BO92" s="1894"/>
      <c r="BP92" s="1894">
        <f>+BP9/'yrP&amp;L'!AG55</f>
        <v>3.5519913771674432</v>
      </c>
      <c r="BQ92" s="1894"/>
      <c r="BR92" s="1894" t="e">
        <f>+BR9/'yrP&amp;L'!AI55</f>
        <v>#DIV/0!</v>
      </c>
      <c r="BS92" s="1783"/>
      <c r="BT92" s="1783"/>
      <c r="BU92" s="1783"/>
      <c r="BV92" s="1783"/>
      <c r="BW92" s="1783"/>
      <c r="BX92" s="1783"/>
    </row>
    <row r="93" spans="1:76" hidden="1" outlineLevel="1">
      <c r="A93" s="1783"/>
      <c r="B93" s="1843" t="s">
        <v>727</v>
      </c>
      <c r="C93" s="1843"/>
      <c r="D93" s="598"/>
      <c r="E93" s="598"/>
      <c r="F93" s="598"/>
      <c r="G93" s="598"/>
      <c r="H93" s="598"/>
      <c r="I93" s="598"/>
      <c r="J93" s="598"/>
      <c r="K93" s="598"/>
      <c r="L93" s="598"/>
      <c r="M93" s="598"/>
      <c r="N93" s="598"/>
      <c r="O93" s="598"/>
      <c r="P93" s="598"/>
      <c r="Q93" s="598"/>
      <c r="R93" s="598"/>
      <c r="S93" s="598"/>
      <c r="T93" s="598"/>
      <c r="U93" s="598"/>
      <c r="V93" s="1894"/>
      <c r="W93" s="1894"/>
      <c r="X93" s="1894">
        <f>+X92</f>
        <v>0.27772394840607917</v>
      </c>
      <c r="Y93" s="1894"/>
      <c r="Z93" s="1894">
        <f>+Z92</f>
        <v>0.10426278467929324</v>
      </c>
      <c r="AA93" s="1894"/>
      <c r="AB93" s="1894">
        <f>+AB92</f>
        <v>0.44293038607289975</v>
      </c>
      <c r="AC93" s="1894"/>
      <c r="AD93" s="1894">
        <f>+AD92</f>
        <v>0.4454346409959466</v>
      </c>
      <c r="AE93" s="1894"/>
      <c r="AF93" s="1894">
        <f>+AF92</f>
        <v>0.23188644478365425</v>
      </c>
      <c r="AG93" s="1894"/>
      <c r="AH93" s="1894">
        <f>+AH92</f>
        <v>0.30136414623837776</v>
      </c>
      <c r="AI93" s="1894"/>
      <c r="AJ93" s="1894">
        <f>+AJ92</f>
        <v>0.47370238487572719</v>
      </c>
      <c r="AK93" s="1894"/>
      <c r="AL93" s="1894">
        <f>+AL92</f>
        <v>0.892279890426943</v>
      </c>
      <c r="AM93" s="1894"/>
      <c r="AN93" s="1894">
        <f>+AN92</f>
        <v>0.78262820321079951</v>
      </c>
      <c r="AO93" s="1783"/>
      <c r="AP93" s="1894">
        <f>+AP92</f>
        <v>0.51274377904150759</v>
      </c>
      <c r="AQ93" s="1783"/>
      <c r="AR93" s="1894">
        <f>+AR92</f>
        <v>1.8879037180293718</v>
      </c>
      <c r="AS93" s="1783"/>
      <c r="AT93" s="1894">
        <f>+AT92</f>
        <v>2.1428337061068468</v>
      </c>
      <c r="AU93" s="1783"/>
      <c r="AV93" s="1894">
        <f>+AV92</f>
        <v>1.9477468815103205</v>
      </c>
      <c r="AW93" s="1783"/>
      <c r="AX93" s="1894">
        <f>+AX92</f>
        <v>2.4238443994087446</v>
      </c>
      <c r="AY93" s="1783"/>
      <c r="AZ93" s="1894">
        <f>+AZ92</f>
        <v>2.9595500401995705</v>
      </c>
      <c r="BA93" s="1783"/>
      <c r="BB93" s="1894">
        <f>+BB92</f>
        <v>3.5435026704818964</v>
      </c>
      <c r="BC93" s="1783"/>
      <c r="BD93" s="1894">
        <f>+BD92</f>
        <v>3.0679827147985668</v>
      </c>
      <c r="BE93" s="1783"/>
      <c r="BF93" s="1894">
        <f>+BF92</f>
        <v>4.4095483209719042</v>
      </c>
      <c r="BG93" s="1783"/>
      <c r="BH93" s="1894">
        <f>+BH92</f>
        <v>4.2694190727513455</v>
      </c>
      <c r="BI93" s="1783"/>
      <c r="BJ93" s="1894">
        <f>+BJ92</f>
        <v>4.1212714023689943</v>
      </c>
      <c r="BK93" s="1783"/>
      <c r="BL93" s="1894">
        <f>+BL92</f>
        <v>3.8325898261870597</v>
      </c>
      <c r="BM93" s="1894"/>
      <c r="BN93" s="1894">
        <f>+BN92</f>
        <v>3.7085110910999362</v>
      </c>
      <c r="BO93" s="1894"/>
      <c r="BP93" s="1894">
        <f>+BP92</f>
        <v>3.5519913771674432</v>
      </c>
      <c r="BQ93" s="1894"/>
      <c r="BR93" s="1894" t="e">
        <f>+BR92</f>
        <v>#DIV/0!</v>
      </c>
      <c r="BS93" s="1783"/>
      <c r="BT93" s="1783"/>
      <c r="BU93" s="1783"/>
      <c r="BV93" s="1783"/>
      <c r="BW93" s="1783"/>
      <c r="BX93" s="1783"/>
    </row>
    <row r="94" spans="1:76" hidden="1" outlineLevel="1">
      <c r="A94" s="1783"/>
      <c r="B94" s="1783"/>
      <c r="C94" s="1783"/>
      <c r="D94" s="598"/>
      <c r="E94" s="598"/>
      <c r="F94" s="598"/>
      <c r="G94" s="598"/>
      <c r="H94" s="598"/>
      <c r="I94" s="598"/>
      <c r="J94" s="598"/>
      <c r="K94" s="598"/>
      <c r="L94" s="598"/>
      <c r="M94" s="598"/>
      <c r="N94" s="598"/>
      <c r="O94" s="598"/>
      <c r="P94" s="598"/>
      <c r="Q94" s="598"/>
      <c r="R94" s="598"/>
      <c r="S94" s="598"/>
      <c r="T94" s="598"/>
      <c r="U94" s="598"/>
      <c r="V94" s="1895"/>
      <c r="W94" s="1895"/>
      <c r="X94" s="1895"/>
      <c r="Y94" s="1895"/>
      <c r="Z94" s="1895"/>
      <c r="AA94" s="1895"/>
      <c r="AB94" s="1895"/>
      <c r="AC94" s="1895"/>
      <c r="AD94" s="1895"/>
      <c r="AE94" s="1895"/>
      <c r="AF94" s="1895"/>
      <c r="AG94" s="1895"/>
      <c r="AH94" s="1895"/>
      <c r="AI94" s="1895"/>
      <c r="AJ94" s="1895"/>
      <c r="AK94" s="1895"/>
      <c r="AL94" s="1895"/>
      <c r="AM94" s="1895"/>
      <c r="AN94" s="1895"/>
      <c r="AO94" s="1783"/>
      <c r="AP94" s="1895"/>
      <c r="AQ94" s="1783"/>
      <c r="AR94" s="1895"/>
      <c r="AS94" s="1783"/>
      <c r="AT94" s="1895"/>
      <c r="AU94" s="1783"/>
      <c r="AV94" s="1895"/>
      <c r="AW94" s="1783"/>
      <c r="AX94" s="1895"/>
      <c r="AY94" s="1783"/>
      <c r="AZ94" s="1895"/>
      <c r="BA94" s="1783"/>
      <c r="BB94" s="1895"/>
      <c r="BC94" s="1783"/>
      <c r="BD94" s="1895"/>
      <c r="BE94" s="1783"/>
      <c r="BF94" s="1895"/>
      <c r="BG94" s="1783"/>
      <c r="BH94" s="1895"/>
      <c r="BI94" s="1783"/>
      <c r="BJ94" s="1895"/>
      <c r="BK94" s="1783"/>
      <c r="BL94" s="1895"/>
      <c r="BM94" s="1895"/>
      <c r="BN94" s="1895"/>
      <c r="BO94" s="1895"/>
      <c r="BP94" s="1895"/>
      <c r="BQ94" s="1895"/>
      <c r="BR94" s="1895"/>
      <c r="BS94" s="1783"/>
      <c r="BT94" s="1783"/>
      <c r="BU94" s="1783"/>
      <c r="BV94" s="1783"/>
      <c r="BW94" s="1783"/>
      <c r="BX94" s="1783"/>
    </row>
    <row r="95" spans="1:76" hidden="1" outlineLevel="1">
      <c r="A95" s="1783"/>
      <c r="B95" s="1839"/>
      <c r="C95" s="1839"/>
      <c r="D95" s="1839"/>
      <c r="E95" s="1839"/>
      <c r="F95" s="1839"/>
      <c r="G95" s="1839"/>
      <c r="H95" s="1839"/>
      <c r="I95" s="1839"/>
      <c r="J95" s="1839"/>
      <c r="K95" s="1839"/>
      <c r="L95" s="1839"/>
      <c r="M95" s="1839"/>
      <c r="N95" s="1839"/>
      <c r="O95" s="1839"/>
      <c r="P95" s="1839"/>
      <c r="Q95" s="1839"/>
      <c r="R95" s="1839"/>
      <c r="S95" s="1839"/>
      <c r="T95" s="1839"/>
      <c r="U95" s="1839"/>
      <c r="V95" s="1896"/>
      <c r="W95" s="1896"/>
      <c r="X95" s="1896"/>
      <c r="Y95" s="1896"/>
      <c r="Z95" s="1896"/>
      <c r="AA95" s="1896"/>
      <c r="AB95" s="1896"/>
      <c r="AC95" s="1896"/>
      <c r="AD95" s="1896"/>
      <c r="AE95" s="1896"/>
      <c r="AF95" s="1896"/>
      <c r="AG95" s="1896"/>
      <c r="AH95" s="1896"/>
      <c r="AI95" s="1896"/>
      <c r="AJ95" s="1896"/>
      <c r="AK95" s="1896"/>
      <c r="AL95" s="1896"/>
      <c r="AM95" s="1896"/>
      <c r="AN95" s="1896"/>
      <c r="AO95" s="1783"/>
      <c r="AP95" s="1896"/>
      <c r="AQ95" s="1783"/>
      <c r="AR95" s="1896"/>
      <c r="AS95" s="1783"/>
      <c r="AT95" s="1896"/>
      <c r="AU95" s="1783"/>
      <c r="AV95" s="1896"/>
      <c r="AW95" s="1783"/>
      <c r="AX95" s="1896"/>
      <c r="AY95" s="1783"/>
      <c r="AZ95" s="1896"/>
      <c r="BA95" s="1783"/>
      <c r="BB95" s="1896"/>
      <c r="BC95" s="1783"/>
      <c r="BD95" s="1896"/>
      <c r="BE95" s="1783"/>
      <c r="BF95" s="1896"/>
      <c r="BG95" s="1783"/>
      <c r="BH95" s="1896"/>
      <c r="BI95" s="1783"/>
      <c r="BJ95" s="1896"/>
      <c r="BK95" s="1783"/>
      <c r="BL95" s="1896"/>
      <c r="BM95" s="1896"/>
      <c r="BN95" s="1896"/>
      <c r="BO95" s="1896"/>
      <c r="BP95" s="1896"/>
      <c r="BQ95" s="1896"/>
      <c r="BR95" s="1896"/>
      <c r="BS95" s="1783"/>
      <c r="BT95" s="1783"/>
      <c r="BU95" s="1783"/>
      <c r="BV95" s="1783"/>
      <c r="BW95" s="1783"/>
      <c r="BX95" s="1783"/>
    </row>
    <row r="96" spans="1:76" hidden="1" outlineLevel="1">
      <c r="A96" s="1783"/>
      <c r="B96" s="1843" t="s">
        <v>722</v>
      </c>
      <c r="C96" s="1843"/>
      <c r="D96" s="598"/>
      <c r="E96" s="598"/>
      <c r="F96" s="598"/>
      <c r="G96" s="598"/>
      <c r="H96" s="598"/>
      <c r="I96" s="598"/>
      <c r="J96" s="598"/>
      <c r="K96" s="598"/>
      <c r="L96" s="598"/>
      <c r="M96" s="598"/>
      <c r="N96" s="598"/>
      <c r="O96" s="598"/>
      <c r="P96" s="598"/>
      <c r="Q96" s="598"/>
      <c r="R96" s="598"/>
      <c r="S96" s="598"/>
      <c r="T96" s="598"/>
      <c r="U96" s="598"/>
      <c r="V96" s="1895"/>
      <c r="W96" s="1895"/>
      <c r="X96" s="1895">
        <v>140.191</v>
      </c>
      <c r="Y96" s="1897"/>
      <c r="Z96" s="1895">
        <v>149.94200000000001</v>
      </c>
      <c r="AA96" s="1897"/>
      <c r="AB96" s="1895">
        <v>180.56100000000001</v>
      </c>
      <c r="AC96" s="1897"/>
      <c r="AD96" s="1895">
        <v>216.91900000000001</v>
      </c>
      <c r="AE96" s="1897"/>
      <c r="AF96" s="1895">
        <v>274.17090000000002</v>
      </c>
      <c r="AG96" s="1895"/>
      <c r="AH96" s="1895">
        <v>323.375</v>
      </c>
      <c r="AI96" s="1895"/>
      <c r="AJ96" s="1895">
        <f>+AH96*1.2</f>
        <v>388.05</v>
      </c>
      <c r="AK96" s="1895"/>
      <c r="AL96" s="1895">
        <f>+AJ96*1.2</f>
        <v>465.65999999999997</v>
      </c>
      <c r="AM96" s="1895"/>
      <c r="AN96" s="1895">
        <f>+AL96*1.2</f>
        <v>558.79199999999992</v>
      </c>
      <c r="AO96" s="1783"/>
      <c r="AP96" s="1895">
        <f>+AN96*1.2</f>
        <v>670.55039999999985</v>
      </c>
      <c r="AQ96" s="1783"/>
      <c r="AR96" s="1895">
        <f>+AP96*1.2</f>
        <v>804.66047999999978</v>
      </c>
      <c r="AS96" s="1783"/>
      <c r="AT96" s="1895">
        <f>+AR96*1.2</f>
        <v>965.59257599999967</v>
      </c>
      <c r="AU96" s="1783"/>
      <c r="AV96" s="1895">
        <f>+AT96*1.2</f>
        <v>1158.7110911999996</v>
      </c>
      <c r="AW96" s="1783"/>
      <c r="AX96" s="1895">
        <f>+AV96*1.2</f>
        <v>1390.4533094399994</v>
      </c>
      <c r="AY96" s="1783"/>
      <c r="AZ96" s="1895">
        <f>+AX96*1.2</f>
        <v>1668.5439713279993</v>
      </c>
      <c r="BA96" s="1783"/>
      <c r="BB96" s="1895">
        <f>+AZ96*1.2</f>
        <v>2002.2527655935992</v>
      </c>
      <c r="BC96" s="1783"/>
      <c r="BD96" s="1895">
        <f>+BB96*1.2</f>
        <v>2402.7033187123188</v>
      </c>
      <c r="BE96" s="1783"/>
      <c r="BF96" s="1895">
        <f>+BD96*1.2</f>
        <v>2883.2439824547823</v>
      </c>
      <c r="BG96" s="1783"/>
      <c r="BH96" s="1895">
        <f>+BF96*1.2</f>
        <v>3459.8927789457389</v>
      </c>
      <c r="BI96" s="1783"/>
      <c r="BJ96" s="1895">
        <f>+BH96*1.2</f>
        <v>4151.8713347348867</v>
      </c>
      <c r="BK96" s="1783"/>
      <c r="BL96" s="1895">
        <f>+BJ96*1.2</f>
        <v>4982.2456016818642</v>
      </c>
      <c r="BM96" s="1895"/>
      <c r="BN96" s="1895">
        <f>+BL96*1.2</f>
        <v>5978.6947220182365</v>
      </c>
      <c r="BO96" s="1895"/>
      <c r="BP96" s="1895">
        <f>+BN96*1.2</f>
        <v>7174.4336664218836</v>
      </c>
      <c r="BQ96" s="1895"/>
      <c r="BR96" s="1895">
        <f>+BP96*1.2</f>
        <v>8609.3203997062592</v>
      </c>
      <c r="BS96" s="1783"/>
      <c r="BT96" s="1783"/>
      <c r="BU96" s="1783"/>
      <c r="BV96" s="1783"/>
      <c r="BW96" s="1783"/>
      <c r="BX96" s="1783"/>
    </row>
    <row r="97" spans="1:76" hidden="1" outlineLevel="1">
      <c r="A97" s="1783"/>
      <c r="B97" s="1843" t="s">
        <v>723</v>
      </c>
      <c r="C97" s="1843"/>
      <c r="D97" s="598"/>
      <c r="E97" s="598"/>
      <c r="F97" s="598"/>
      <c r="G97" s="598"/>
      <c r="H97" s="598"/>
      <c r="I97" s="598"/>
      <c r="J97" s="598"/>
      <c r="K97" s="598"/>
      <c r="L97" s="598"/>
      <c r="M97" s="598"/>
      <c r="N97" s="598"/>
      <c r="O97" s="598"/>
      <c r="P97" s="598"/>
      <c r="Q97" s="598"/>
      <c r="R97" s="598"/>
      <c r="S97" s="598"/>
      <c r="T97" s="598"/>
      <c r="U97" s="598"/>
      <c r="V97" s="1895"/>
      <c r="W97" s="1895"/>
      <c r="X97" s="1898">
        <v>140.01</v>
      </c>
      <c r="Y97" s="1895"/>
      <c r="Z97" s="1898">
        <v>177.36099999999999</v>
      </c>
      <c r="AA97" s="1895"/>
      <c r="AB97" s="1898">
        <v>186.21199999999999</v>
      </c>
      <c r="AC97" s="1895"/>
      <c r="AD97" s="1898">
        <v>230.89699999999999</v>
      </c>
      <c r="AE97" s="1895"/>
      <c r="AF97" s="1898">
        <v>288.75799999999998</v>
      </c>
      <c r="AG97" s="1897"/>
      <c r="AH97" s="1898">
        <v>340.11099999999999</v>
      </c>
      <c r="AI97" s="1895"/>
      <c r="AJ97" s="1898">
        <f>+AH97*1.2</f>
        <v>408.13319999999999</v>
      </c>
      <c r="AK97" s="1895"/>
      <c r="AL97" s="1898">
        <f>+AJ97*1.2</f>
        <v>489.75983999999994</v>
      </c>
      <c r="AM97" s="1895"/>
      <c r="AN97" s="1898">
        <f>+AL97*1.2</f>
        <v>587.71180799999991</v>
      </c>
      <c r="AO97" s="1783"/>
      <c r="AP97" s="1898">
        <f>+AN97*1.2</f>
        <v>705.25416959999984</v>
      </c>
      <c r="AQ97" s="1783"/>
      <c r="AR97" s="1898">
        <f>+AP97*1.2</f>
        <v>846.30500351999979</v>
      </c>
      <c r="AS97" s="1783"/>
      <c r="AT97" s="1898">
        <f>+AR97*1.2</f>
        <v>1015.5660042239997</v>
      </c>
      <c r="AU97" s="1783"/>
      <c r="AV97" s="1898">
        <f>+AT97*1.2</f>
        <v>1218.6792050687995</v>
      </c>
      <c r="AW97" s="1783"/>
      <c r="AX97" s="1898">
        <f>+AV97*1.2</f>
        <v>1462.4150460825595</v>
      </c>
      <c r="AY97" s="1783"/>
      <c r="AZ97" s="1898">
        <f>+AX97*1.2</f>
        <v>1754.8980552990713</v>
      </c>
      <c r="BA97" s="1783"/>
      <c r="BB97" s="1898">
        <f>+AZ97*1.2</f>
        <v>2105.8776663588856</v>
      </c>
      <c r="BC97" s="1783"/>
      <c r="BD97" s="1898">
        <f>+BB97*1.2</f>
        <v>2527.0531996306627</v>
      </c>
      <c r="BE97" s="1783"/>
      <c r="BF97" s="1898">
        <f>+BD97*1.2</f>
        <v>3032.4638395567949</v>
      </c>
      <c r="BG97" s="1783"/>
      <c r="BH97" s="1898">
        <f>+BF97*1.2</f>
        <v>3638.9566074681538</v>
      </c>
      <c r="BI97" s="1783"/>
      <c r="BJ97" s="1898">
        <f>+BH97*1.2</f>
        <v>4366.7479289617841</v>
      </c>
      <c r="BK97" s="1783"/>
      <c r="BL97" s="1898">
        <f>+BJ97*1.2</f>
        <v>5240.0975147541403</v>
      </c>
      <c r="BM97" s="1898"/>
      <c r="BN97" s="1898">
        <f>+BL97*1.2</f>
        <v>6288.117017704968</v>
      </c>
      <c r="BO97" s="1898"/>
      <c r="BP97" s="1898">
        <f>+BN97*1.2</f>
        <v>7545.7404212459614</v>
      </c>
      <c r="BQ97" s="1898"/>
      <c r="BR97" s="1898">
        <f>+BP97*1.2</f>
        <v>9054.8885054951534</v>
      </c>
      <c r="BS97" s="1783"/>
      <c r="BT97" s="1783"/>
      <c r="BU97" s="1783"/>
      <c r="BV97" s="1783"/>
      <c r="BW97" s="1783"/>
      <c r="BX97" s="1783"/>
    </row>
    <row r="98" spans="1:76" hidden="1" outlineLevel="1">
      <c r="A98" s="1783"/>
      <c r="B98" s="1843" t="s">
        <v>724</v>
      </c>
      <c r="C98" s="1843"/>
      <c r="D98" s="598"/>
      <c r="E98" s="598"/>
      <c r="F98" s="598"/>
      <c r="G98" s="598"/>
      <c r="H98" s="598"/>
      <c r="I98" s="598"/>
      <c r="J98" s="598"/>
      <c r="K98" s="598"/>
      <c r="L98" s="598"/>
      <c r="M98" s="598"/>
      <c r="N98" s="598"/>
      <c r="O98" s="598"/>
      <c r="P98" s="598"/>
      <c r="Q98" s="598"/>
      <c r="R98" s="598"/>
      <c r="S98" s="598"/>
      <c r="T98" s="598"/>
      <c r="U98" s="598"/>
      <c r="V98" s="1895"/>
      <c r="W98" s="1895"/>
      <c r="X98" s="1899">
        <f>X96-X97</f>
        <v>0.1810000000000116</v>
      </c>
      <c r="Y98" s="1895"/>
      <c r="Z98" s="1899">
        <f>Z96-Z97</f>
        <v>-27.418999999999983</v>
      </c>
      <c r="AA98" s="1895"/>
      <c r="AB98" s="1899">
        <f>AB96-AB97</f>
        <v>-5.650999999999982</v>
      </c>
      <c r="AC98" s="1895"/>
      <c r="AD98" s="1899">
        <f>AD96-AD97</f>
        <v>-13.97799999999998</v>
      </c>
      <c r="AE98" s="1895"/>
      <c r="AF98" s="1899">
        <f>AF96-AF97</f>
        <v>-14.587099999999964</v>
      </c>
      <c r="AG98" s="1895"/>
      <c r="AH98" s="1899">
        <f>AH96-AH97</f>
        <v>-16.73599999999999</v>
      </c>
      <c r="AI98" s="1895"/>
      <c r="AJ98" s="1899">
        <f>AJ96-AJ97</f>
        <v>-20.083199999999977</v>
      </c>
      <c r="AK98" s="1899"/>
      <c r="AL98" s="1899">
        <f>AL96-AL97</f>
        <v>-24.099839999999972</v>
      </c>
      <c r="AM98" s="1895"/>
      <c r="AN98" s="1899">
        <f>AN96-AN97</f>
        <v>-28.919807999999989</v>
      </c>
      <c r="AO98" s="1783"/>
      <c r="AP98" s="1899">
        <f>AP96-AP97</f>
        <v>-34.703769599999987</v>
      </c>
      <c r="AQ98" s="1783"/>
      <c r="AR98" s="1899">
        <f>AR96-AR97</f>
        <v>-41.644523520000007</v>
      </c>
      <c r="AS98" s="1783"/>
      <c r="AT98" s="1899">
        <f>AT96-AT97</f>
        <v>-49.973428224000031</v>
      </c>
      <c r="AU98" s="1783"/>
      <c r="AV98" s="1899">
        <f>AV96-AV97</f>
        <v>-59.968113868799946</v>
      </c>
      <c r="AW98" s="1783"/>
      <c r="AX98" s="1899">
        <f>AX96-AX97</f>
        <v>-71.961736642560027</v>
      </c>
      <c r="AY98" s="1783"/>
      <c r="AZ98" s="1899">
        <f>AZ96-AZ97</f>
        <v>-86.354083971071987</v>
      </c>
      <c r="BA98" s="1783"/>
      <c r="BB98" s="1899">
        <f>BB96-BB97</f>
        <v>-103.62490076528638</v>
      </c>
      <c r="BC98" s="1783"/>
      <c r="BD98" s="1899">
        <f>BD96-BD97</f>
        <v>-124.34988091834384</v>
      </c>
      <c r="BE98" s="1783"/>
      <c r="BF98" s="1899">
        <f>BF96-BF97</f>
        <v>-149.21985710201261</v>
      </c>
      <c r="BG98" s="1783"/>
      <c r="BH98" s="1899">
        <f>BH96-BH97</f>
        <v>-179.06382852241495</v>
      </c>
      <c r="BI98" s="1783"/>
      <c r="BJ98" s="1899">
        <f>BJ96-BJ97</f>
        <v>-214.8765942268974</v>
      </c>
      <c r="BK98" s="1783"/>
      <c r="BL98" s="1899">
        <f>BL96-BL97</f>
        <v>-257.85191307227615</v>
      </c>
      <c r="BM98" s="1899"/>
      <c r="BN98" s="1899">
        <f>BN96-BN97</f>
        <v>-309.42229568673156</v>
      </c>
      <c r="BO98" s="1899"/>
      <c r="BP98" s="1899">
        <f>BP96-BP97</f>
        <v>-371.30675482407787</v>
      </c>
      <c r="BQ98" s="1899"/>
      <c r="BR98" s="1899">
        <f>BR96-BR97</f>
        <v>-445.56810578889417</v>
      </c>
      <c r="BS98" s="1783"/>
      <c r="BT98" s="1783"/>
      <c r="BU98" s="1783"/>
      <c r="BV98" s="1783"/>
      <c r="BW98" s="1783"/>
      <c r="BX98" s="1783"/>
    </row>
    <row r="99" spans="1:76" hidden="1" outlineLevel="1">
      <c r="A99" s="1783"/>
      <c r="B99" s="1843" t="s">
        <v>725</v>
      </c>
      <c r="C99" s="1843"/>
      <c r="D99" s="598"/>
      <c r="E99" s="598"/>
      <c r="F99" s="598"/>
      <c r="G99" s="598"/>
      <c r="H99" s="598"/>
      <c r="I99" s="598"/>
      <c r="J99" s="598"/>
      <c r="K99" s="598"/>
      <c r="L99" s="598"/>
      <c r="M99" s="598"/>
      <c r="N99" s="598"/>
      <c r="O99" s="598"/>
      <c r="P99" s="598"/>
      <c r="Q99" s="598"/>
      <c r="R99" s="598"/>
      <c r="S99" s="598"/>
      <c r="T99" s="598"/>
      <c r="U99" s="598"/>
      <c r="V99" s="1895"/>
      <c r="W99" s="1895"/>
      <c r="X99" s="1895">
        <v>0</v>
      </c>
      <c r="Y99" s="1895"/>
      <c r="Z99" s="1895">
        <v>0</v>
      </c>
      <c r="AA99" s="1895"/>
      <c r="AB99" s="1895">
        <v>109.185</v>
      </c>
      <c r="AC99" s="1895"/>
      <c r="AD99" s="1895">
        <v>108.836</v>
      </c>
      <c r="AE99" s="1895">
        <v>112.42700000000001</v>
      </c>
      <c r="AF99" s="1895">
        <v>112.42700000000001</v>
      </c>
      <c r="AG99" s="1895"/>
      <c r="AH99" s="1895">
        <v>111.96300000000001</v>
      </c>
      <c r="AI99" s="1895"/>
      <c r="AJ99" s="1895">
        <f>+AH99</f>
        <v>111.96300000000001</v>
      </c>
      <c r="AK99" s="1895"/>
      <c r="AL99" s="1895">
        <f>+AJ99</f>
        <v>111.96300000000001</v>
      </c>
      <c r="AM99" s="1895"/>
      <c r="AN99" s="1895">
        <f>+AL99</f>
        <v>111.96300000000001</v>
      </c>
      <c r="AO99" s="1783"/>
      <c r="AP99" s="1895">
        <f>+AN99</f>
        <v>111.96300000000001</v>
      </c>
      <c r="AQ99" s="1783"/>
      <c r="AR99" s="1895">
        <f>+AP99</f>
        <v>111.96300000000001</v>
      </c>
      <c r="AS99" s="1783"/>
      <c r="AT99" s="1895">
        <f>+AR99</f>
        <v>111.96300000000001</v>
      </c>
      <c r="AU99" s="1783"/>
      <c r="AV99" s="1895">
        <f>+AT99</f>
        <v>111.96300000000001</v>
      </c>
      <c r="AW99" s="1783"/>
      <c r="AX99" s="1895">
        <f>+AV99</f>
        <v>111.96300000000001</v>
      </c>
      <c r="AY99" s="1783"/>
      <c r="AZ99" s="1895">
        <f>+AX99</f>
        <v>111.96300000000001</v>
      </c>
      <c r="BA99" s="1783"/>
      <c r="BB99" s="1895">
        <f>+AZ99</f>
        <v>111.96300000000001</v>
      </c>
      <c r="BC99" s="1783"/>
      <c r="BD99" s="1895">
        <f>+BB99</f>
        <v>111.96300000000001</v>
      </c>
      <c r="BE99" s="1783"/>
      <c r="BF99" s="1895">
        <f>+BD99</f>
        <v>111.96300000000001</v>
      </c>
      <c r="BG99" s="1783"/>
      <c r="BH99" s="1895">
        <f>+BF99</f>
        <v>111.96300000000001</v>
      </c>
      <c r="BI99" s="1783"/>
      <c r="BJ99" s="1895">
        <f>+BH99</f>
        <v>111.96300000000001</v>
      </c>
      <c r="BK99" s="1783"/>
      <c r="BL99" s="1895">
        <f>+BJ99</f>
        <v>111.96300000000001</v>
      </c>
      <c r="BM99" s="1895"/>
      <c r="BN99" s="1895">
        <f>+BL99</f>
        <v>111.96300000000001</v>
      </c>
      <c r="BO99" s="1895"/>
      <c r="BP99" s="1895">
        <f>+BN99</f>
        <v>111.96300000000001</v>
      </c>
      <c r="BQ99" s="1895"/>
      <c r="BR99" s="1895">
        <f>+BP99</f>
        <v>111.96300000000001</v>
      </c>
      <c r="BS99" s="1783"/>
      <c r="BT99" s="1783"/>
      <c r="BU99" s="1783"/>
      <c r="BV99" s="1783"/>
      <c r="BW99" s="1783"/>
      <c r="BX99" s="1783"/>
    </row>
    <row r="100" spans="1:76" hidden="1" outlineLevel="1">
      <c r="A100" s="1783"/>
      <c r="B100" s="1843" t="s">
        <v>726</v>
      </c>
      <c r="C100" s="1843"/>
      <c r="D100" s="598"/>
      <c r="E100" s="598"/>
      <c r="F100" s="598"/>
      <c r="G100" s="598"/>
      <c r="H100" s="598"/>
      <c r="I100" s="598"/>
      <c r="J100" s="598"/>
      <c r="K100" s="598"/>
      <c r="L100" s="598"/>
      <c r="M100" s="598"/>
      <c r="N100" s="598"/>
      <c r="O100" s="598"/>
      <c r="P100" s="598"/>
      <c r="Q100" s="598"/>
      <c r="R100" s="598"/>
      <c r="S100" s="598"/>
      <c r="T100" s="598"/>
      <c r="U100" s="598"/>
      <c r="V100" s="1895"/>
      <c r="W100" s="1895"/>
      <c r="X100" s="1895">
        <f>+X24</f>
        <v>55.826000000000001</v>
      </c>
      <c r="Y100" s="1895"/>
      <c r="Z100" s="1895">
        <f>+Z24-Z99</f>
        <v>69.975999999999999</v>
      </c>
      <c r="AA100" s="1895"/>
      <c r="AB100" s="1895">
        <f>+AB24-AB99</f>
        <v>5.0369999999999919</v>
      </c>
      <c r="AC100" s="1895"/>
      <c r="AD100" s="1895">
        <f>+AD24-AD99</f>
        <v>33.204999999999998</v>
      </c>
      <c r="AE100" s="1895"/>
      <c r="AF100" s="1895">
        <f>+AF24-AF99</f>
        <v>35.443999999999974</v>
      </c>
      <c r="AG100" s="1895"/>
      <c r="AH100" s="1895">
        <f>+AH24-AH99</f>
        <v>37.881999999999991</v>
      </c>
      <c r="AI100" s="1895"/>
      <c r="AJ100" s="1895">
        <f>+AJ24-AJ99</f>
        <v>63.498000000000005</v>
      </c>
      <c r="AK100" s="1895"/>
      <c r="AL100" s="1895">
        <f>+AL24-AL99</f>
        <v>23.564999999999984</v>
      </c>
      <c r="AM100" s="1895"/>
      <c r="AN100" s="1895">
        <f>+AN24-AN99</f>
        <v>96.699999999999974</v>
      </c>
      <c r="AO100" s="1783"/>
      <c r="AP100" s="1895">
        <f>+AP24-AP99</f>
        <v>74.866</v>
      </c>
      <c r="AQ100" s="1783"/>
      <c r="AR100" s="1895">
        <f>+AR24-AR99</f>
        <v>94.481999999999985</v>
      </c>
      <c r="AS100" s="1783"/>
      <c r="AT100" s="1895">
        <f>+AT24-AT99</f>
        <v>130.536</v>
      </c>
      <c r="AU100" s="1783"/>
      <c r="AV100" s="1895">
        <f>+AV24-AV99</f>
        <v>150.69799999999998</v>
      </c>
      <c r="AW100" s="1783"/>
      <c r="AX100" s="1895">
        <f>+AX24-AX99</f>
        <v>148.83799999999997</v>
      </c>
      <c r="AY100" s="1783"/>
      <c r="AZ100" s="1895">
        <f>+AZ24-AZ99</f>
        <v>113.873</v>
      </c>
      <c r="BA100" s="1783"/>
      <c r="BB100" s="1895">
        <f>+BB24-BB99</f>
        <v>123.13699999999999</v>
      </c>
      <c r="BC100" s="1783"/>
      <c r="BD100" s="1895">
        <f>+BD24-BD99</f>
        <v>260.59099999999995</v>
      </c>
      <c r="BE100" s="1783"/>
      <c r="BF100" s="1895">
        <f>+BF24-BF99</f>
        <v>286.113</v>
      </c>
      <c r="BG100" s="1783"/>
      <c r="BH100" s="1895">
        <f>+BH24-BH99</f>
        <v>354.23699999999997</v>
      </c>
      <c r="BI100" s="1783"/>
      <c r="BJ100" s="1895">
        <f>+BJ24-BJ99</f>
        <v>354.23699999999997</v>
      </c>
      <c r="BK100" s="1783"/>
      <c r="BL100" s="1895">
        <f>+BL24-BL99</f>
        <v>354.23699999999997</v>
      </c>
      <c r="BM100" s="1895"/>
      <c r="BN100" s="1895">
        <f>+BN24-BN99</f>
        <v>354.23699999999997</v>
      </c>
      <c r="BO100" s="1895"/>
      <c r="BP100" s="1895">
        <f>+BP24-BP99</f>
        <v>354.23699999999997</v>
      </c>
      <c r="BQ100" s="1895"/>
      <c r="BR100" s="1895">
        <f>+BR24-BR99</f>
        <v>354.23699999999997</v>
      </c>
      <c r="BS100" s="1783"/>
      <c r="BT100" s="1783"/>
      <c r="BU100" s="1783"/>
      <c r="BV100" s="1783"/>
      <c r="BW100" s="1783"/>
      <c r="BX100" s="1783"/>
    </row>
    <row r="101" spans="1:76" collapsed="1">
      <c r="A101" s="1783"/>
      <c r="B101" s="1783"/>
      <c r="C101" s="1783"/>
      <c r="D101" s="1783"/>
      <c r="E101" s="1783"/>
      <c r="F101" s="1783"/>
      <c r="G101" s="1783"/>
      <c r="H101" s="1783"/>
      <c r="I101" s="1783"/>
      <c r="J101" s="1783"/>
      <c r="K101" s="1783"/>
      <c r="L101" s="1783"/>
      <c r="M101" s="1783"/>
      <c r="N101" s="1783"/>
      <c r="O101" s="1783"/>
      <c r="P101" s="1783"/>
      <c r="Q101" s="1783"/>
      <c r="R101" s="1783"/>
      <c r="S101" s="1783"/>
      <c r="T101" s="1783"/>
      <c r="U101" s="1783"/>
      <c r="V101" s="1783"/>
      <c r="W101" s="1783"/>
      <c r="X101" s="1783"/>
      <c r="Y101" s="1783"/>
      <c r="Z101" s="1852"/>
      <c r="AA101" s="1783"/>
      <c r="AB101" s="1852"/>
      <c r="AC101" s="1783"/>
      <c r="AD101" s="1852"/>
      <c r="AE101" s="1783"/>
      <c r="AF101" s="1852"/>
      <c r="AG101" s="1783"/>
      <c r="AH101" s="1852"/>
      <c r="AI101" s="1783"/>
      <c r="AJ101" s="1783"/>
      <c r="AK101" s="1783"/>
      <c r="AL101" s="1783"/>
      <c r="AM101" s="1783"/>
      <c r="AN101" s="1783"/>
      <c r="AO101" s="1783"/>
      <c r="AP101" s="1783"/>
      <c r="AQ101" s="1783"/>
      <c r="AR101" s="1783"/>
      <c r="AS101" s="1783"/>
      <c r="AT101" s="1783"/>
      <c r="AU101" s="1783"/>
      <c r="AV101" s="1783"/>
      <c r="AW101" s="1783"/>
      <c r="AX101" s="1783"/>
      <c r="AY101" s="1783"/>
      <c r="AZ101" s="1783"/>
      <c r="BA101" s="1783"/>
      <c r="BB101" s="1783"/>
      <c r="BC101" s="1783"/>
      <c r="BD101" s="1783"/>
      <c r="BE101" s="1783"/>
      <c r="BF101" s="1783"/>
      <c r="BG101" s="1783"/>
      <c r="BH101" s="1783"/>
      <c r="BI101" s="1783"/>
      <c r="BJ101" s="1783"/>
      <c r="BK101" s="1783"/>
      <c r="BL101" s="1783"/>
      <c r="BM101" s="1783"/>
      <c r="BN101" s="1783"/>
      <c r="BO101" s="1783"/>
      <c r="BP101" s="1783"/>
      <c r="BQ101" s="1783"/>
      <c r="BR101" s="1783"/>
      <c r="BS101" s="1783"/>
      <c r="BT101" s="1783"/>
      <c r="BU101" s="1783"/>
      <c r="BV101" s="1783"/>
      <c r="BW101" s="1783"/>
      <c r="BX101" s="1783"/>
    </row>
    <row r="102" spans="1:76">
      <c r="A102" s="1783"/>
      <c r="B102" s="1783"/>
      <c r="C102" s="1783"/>
      <c r="D102" s="1783"/>
      <c r="E102" s="1783"/>
      <c r="F102" s="1783"/>
      <c r="G102" s="1783"/>
      <c r="H102" s="1783"/>
      <c r="I102" s="1783"/>
      <c r="J102" s="1783"/>
      <c r="K102" s="1783"/>
      <c r="L102" s="1783"/>
      <c r="M102" s="1783"/>
      <c r="N102" s="1783"/>
      <c r="O102" s="1783"/>
      <c r="P102" s="1783"/>
      <c r="Q102" s="1783"/>
      <c r="R102" s="1783"/>
      <c r="S102" s="1783"/>
      <c r="T102" s="1783"/>
      <c r="U102" s="1783"/>
      <c r="V102" s="1783"/>
      <c r="W102" s="1783"/>
      <c r="X102" s="1783"/>
      <c r="Y102" s="1783"/>
      <c r="Z102" s="1783"/>
      <c r="AA102" s="1783"/>
      <c r="AB102" s="1783"/>
      <c r="AC102" s="1783"/>
      <c r="AD102" s="1783"/>
      <c r="AE102" s="1783"/>
      <c r="AF102" s="1783"/>
      <c r="AG102" s="1783"/>
      <c r="AH102" s="1783"/>
      <c r="AI102" s="1783"/>
      <c r="AJ102" s="1783"/>
      <c r="AK102" s="1783"/>
      <c r="AL102" s="1783"/>
      <c r="AM102" s="1783"/>
      <c r="AN102" s="1783"/>
      <c r="AO102" s="1783"/>
      <c r="AP102" s="1783"/>
      <c r="AQ102" s="1783"/>
      <c r="AR102" s="1783"/>
      <c r="AS102" s="1783"/>
      <c r="AT102" s="1783"/>
      <c r="AU102" s="1783"/>
      <c r="AV102" s="1783"/>
      <c r="AW102" s="1783"/>
      <c r="AX102" s="1783"/>
      <c r="AY102" s="1783"/>
      <c r="AZ102" s="1783"/>
      <c r="BA102" s="1783"/>
      <c r="BB102" s="1783"/>
      <c r="BC102" s="1783"/>
      <c r="BD102" s="1783"/>
      <c r="BE102" s="1783"/>
      <c r="BF102" s="1783"/>
      <c r="BG102" s="1783"/>
      <c r="BH102" s="1783"/>
      <c r="BI102" s="1783"/>
      <c r="BJ102" s="1783"/>
      <c r="BK102" s="1783"/>
      <c r="BL102" s="1783"/>
      <c r="BM102" s="1783"/>
      <c r="BN102" s="1783"/>
      <c r="BO102" s="1783"/>
      <c r="BP102" s="1783"/>
      <c r="BQ102" s="1783"/>
      <c r="BR102" s="1783"/>
      <c r="BS102" s="1783"/>
      <c r="BT102" s="1783"/>
      <c r="BU102" s="1783"/>
      <c r="BV102" s="1783"/>
      <c r="BW102" s="1783"/>
      <c r="BX102" s="1783"/>
    </row>
    <row r="103" spans="1:76">
      <c r="A103" s="1783"/>
      <c r="B103" s="1783"/>
      <c r="C103" s="1783" t="s">
        <v>122</v>
      </c>
      <c r="D103" s="1783"/>
      <c r="E103" s="1783"/>
      <c r="F103" s="1783"/>
      <c r="G103" s="1783"/>
      <c r="H103" s="1783"/>
      <c r="I103" s="1783"/>
      <c r="J103" s="1783"/>
      <c r="K103" s="1783"/>
      <c r="L103" s="1783"/>
      <c r="M103" s="1783"/>
      <c r="N103" s="1783"/>
      <c r="O103" s="1783"/>
      <c r="P103" s="1783"/>
      <c r="Q103" s="1783"/>
      <c r="R103" s="1783"/>
      <c r="S103" s="1783"/>
      <c r="T103" s="1783"/>
      <c r="U103" s="1783"/>
      <c r="V103" s="1900" t="s">
        <v>271</v>
      </c>
      <c r="W103" s="1900"/>
      <c r="X103" s="1900"/>
      <c r="Y103" s="1900"/>
      <c r="Z103" s="1900"/>
      <c r="AA103" s="1900"/>
      <c r="AB103" s="1900"/>
      <c r="AC103" s="1900"/>
      <c r="AD103" s="1900"/>
      <c r="AE103" s="1783"/>
      <c r="AF103" s="1783"/>
      <c r="AG103" s="1783"/>
      <c r="AH103" s="1783"/>
      <c r="AI103" s="1783"/>
      <c r="AJ103" s="1783"/>
      <c r="AK103" s="1783"/>
      <c r="AL103" s="1783"/>
      <c r="AM103" s="1783"/>
      <c r="AN103" s="1783"/>
      <c r="AO103" s="1783"/>
      <c r="AP103" s="1783"/>
      <c r="AQ103" s="1783"/>
      <c r="AR103" s="1783"/>
      <c r="AS103" s="1783"/>
      <c r="AT103" s="1783"/>
      <c r="AU103" s="1783"/>
      <c r="AV103" s="1783"/>
      <c r="AW103" s="1783"/>
      <c r="AX103" s="1783"/>
      <c r="AY103" s="1783"/>
      <c r="AZ103" s="1783"/>
      <c r="BA103" s="1783"/>
      <c r="BB103" s="1783"/>
      <c r="BC103" s="1783"/>
      <c r="BD103" s="1783"/>
      <c r="BE103" s="1783"/>
      <c r="BF103" s="1783"/>
      <c r="BG103" s="1783"/>
      <c r="BH103" s="1783"/>
      <c r="BI103" s="1783"/>
      <c r="BJ103" s="1783"/>
      <c r="BK103" s="1783"/>
      <c r="BL103" s="1783"/>
      <c r="BM103" s="1783"/>
      <c r="BN103" s="1783"/>
      <c r="BO103" s="1783"/>
      <c r="BP103" s="1783"/>
      <c r="BQ103" s="1783"/>
      <c r="BR103" s="1783"/>
      <c r="BS103" s="1783"/>
      <c r="BT103" s="1783"/>
      <c r="BU103" s="1783"/>
      <c r="BV103" s="1783"/>
      <c r="BW103" s="1783"/>
      <c r="BX103" s="1783"/>
    </row>
    <row r="104" spans="1:76">
      <c r="A104" s="1783"/>
      <c r="B104" s="1783"/>
      <c r="C104" s="1783"/>
      <c r="D104" s="1783"/>
      <c r="E104" s="1783"/>
      <c r="F104" s="1783"/>
      <c r="G104" s="1783"/>
      <c r="H104" s="1783"/>
      <c r="I104" s="1783"/>
      <c r="J104" s="1783"/>
      <c r="K104" s="1783"/>
      <c r="L104" s="1783"/>
      <c r="M104" s="1783"/>
      <c r="N104" s="1783"/>
      <c r="O104" s="1783"/>
      <c r="P104" s="1783"/>
      <c r="Q104" s="1783"/>
      <c r="R104" s="1783"/>
      <c r="S104" s="1783"/>
      <c r="T104" s="1783"/>
      <c r="U104" s="1783"/>
      <c r="V104" s="1854"/>
      <c r="W104" s="1854"/>
      <c r="X104" s="1854" t="s">
        <v>265</v>
      </c>
      <c r="Y104" s="1854"/>
      <c r="Z104" s="1901" t="s">
        <v>267</v>
      </c>
      <c r="AA104" s="1854"/>
      <c r="AB104" s="1902" t="s">
        <v>268</v>
      </c>
      <c r="AC104" s="1854"/>
      <c r="AD104" s="1854" t="s">
        <v>269</v>
      </c>
      <c r="AE104" s="1783"/>
      <c r="AF104" s="1783"/>
      <c r="AG104" s="1783"/>
      <c r="AH104" s="1783"/>
      <c r="AI104" s="1783"/>
      <c r="AJ104" s="1783"/>
      <c r="AK104" s="1783"/>
      <c r="AL104" s="1783"/>
      <c r="AM104" s="1783"/>
      <c r="AN104" s="1783"/>
      <c r="AO104" s="1783"/>
      <c r="AP104" s="1783"/>
      <c r="AQ104" s="1783"/>
      <c r="AR104" s="1783"/>
      <c r="AS104" s="1783"/>
      <c r="AT104" s="1783"/>
      <c r="AU104" s="1783"/>
      <c r="AV104" s="1783"/>
      <c r="AW104" s="1783"/>
      <c r="AX104" s="1783"/>
      <c r="AY104" s="1783"/>
      <c r="AZ104" s="1783"/>
      <c r="BA104" s="1783"/>
      <c r="BB104" s="1783"/>
      <c r="BC104" s="1783"/>
      <c r="BD104" s="1783"/>
      <c r="BE104" s="1783"/>
      <c r="BF104" s="1783"/>
      <c r="BG104" s="1783"/>
      <c r="BH104" s="1783"/>
      <c r="BI104" s="1783"/>
      <c r="BJ104" s="1783"/>
      <c r="BK104" s="1783"/>
      <c r="BL104" s="1783"/>
      <c r="BM104" s="1783"/>
      <c r="BN104" s="1783"/>
      <c r="BO104" s="1783"/>
      <c r="BP104" s="1783"/>
      <c r="BQ104" s="1783"/>
      <c r="BR104" s="1783"/>
      <c r="BS104" s="1783"/>
      <c r="BT104" s="1783"/>
      <c r="BU104" s="1783"/>
      <c r="BV104" s="1783"/>
      <c r="BW104" s="1783"/>
      <c r="BX104" s="1783"/>
    </row>
    <row r="105" spans="1:76">
      <c r="A105" s="1783"/>
      <c r="B105" s="1783"/>
      <c r="C105" s="1809" t="s">
        <v>119</v>
      </c>
      <c r="D105" s="1809"/>
      <c r="E105" s="1809"/>
      <c r="F105" s="1809"/>
      <c r="G105" s="1809"/>
      <c r="H105" s="1809"/>
      <c r="I105" s="1809"/>
      <c r="J105" s="1809"/>
      <c r="K105" s="1809"/>
      <c r="L105" s="1809"/>
      <c r="M105" s="1809"/>
      <c r="N105" s="1809"/>
      <c r="O105" s="1809"/>
      <c r="P105" s="1809"/>
      <c r="Q105" s="1809"/>
      <c r="R105" s="1809"/>
      <c r="S105" s="1809"/>
      <c r="T105" s="1809"/>
      <c r="U105" s="1809"/>
      <c r="V105" s="1903" t="s">
        <v>610</v>
      </c>
      <c r="W105" s="1903"/>
      <c r="X105" s="1903" t="s">
        <v>266</v>
      </c>
      <c r="Y105" s="1903"/>
      <c r="Z105" s="1903" t="s">
        <v>630</v>
      </c>
      <c r="AA105" s="1903"/>
      <c r="AB105" s="1903" t="s">
        <v>630</v>
      </c>
      <c r="AC105" s="1903"/>
      <c r="AD105" s="1903" t="s">
        <v>270</v>
      </c>
      <c r="AE105" s="1783"/>
      <c r="AF105" s="1783"/>
      <c r="AG105" s="1783"/>
      <c r="AH105" s="1783"/>
      <c r="AI105" s="1783"/>
      <c r="AJ105" s="1783"/>
      <c r="AK105" s="1783"/>
      <c r="AL105" s="1783"/>
      <c r="AM105" s="1783"/>
      <c r="AN105" s="1783"/>
      <c r="AO105" s="1783"/>
      <c r="AP105" s="1783"/>
      <c r="AQ105" s="1783"/>
      <c r="AR105" s="1783"/>
      <c r="AS105" s="1783"/>
      <c r="AT105" s="1783"/>
      <c r="AU105" s="1783"/>
      <c r="AV105" s="1783"/>
      <c r="AW105" s="1783"/>
      <c r="AX105" s="1783"/>
      <c r="AY105" s="1783"/>
      <c r="AZ105" s="1783"/>
      <c r="BA105" s="1783"/>
      <c r="BB105" s="1783"/>
      <c r="BC105" s="1783"/>
      <c r="BD105" s="1783"/>
      <c r="BE105" s="1783"/>
      <c r="BF105" s="1783"/>
      <c r="BG105" s="1783"/>
      <c r="BH105" s="1783"/>
      <c r="BI105" s="1783"/>
      <c r="BJ105" s="1783"/>
      <c r="BK105" s="1783"/>
      <c r="BL105" s="1783"/>
      <c r="BM105" s="1783"/>
      <c r="BN105" s="1783"/>
      <c r="BO105" s="1783"/>
      <c r="BP105" s="1783"/>
      <c r="BQ105" s="1783"/>
      <c r="BR105" s="1783"/>
      <c r="BS105" s="1783"/>
      <c r="BT105" s="1783"/>
      <c r="BU105" s="1783"/>
      <c r="BV105" s="1783"/>
      <c r="BW105" s="1783"/>
      <c r="BX105" s="1783"/>
    </row>
    <row r="106" spans="1:76">
      <c r="A106" s="1783"/>
      <c r="B106" s="1783"/>
      <c r="C106" s="1783" t="s">
        <v>272</v>
      </c>
      <c r="D106" s="1783"/>
      <c r="E106" s="1783"/>
      <c r="F106" s="1783"/>
      <c r="G106" s="1783"/>
      <c r="H106" s="1783"/>
      <c r="I106" s="1783"/>
      <c r="J106" s="1783"/>
      <c r="K106" s="1783"/>
      <c r="L106" s="1783"/>
      <c r="M106" s="1783"/>
      <c r="N106" s="1783"/>
      <c r="O106" s="1783"/>
      <c r="P106" s="1783"/>
      <c r="Q106" s="1783"/>
      <c r="R106" s="1783"/>
      <c r="S106" s="1783"/>
      <c r="T106" s="1783"/>
      <c r="U106" s="1783"/>
      <c r="V106" s="1904">
        <f>+X106+Z106+AB106+AD106</f>
        <v>675.43899999999996</v>
      </c>
      <c r="W106" s="1904"/>
      <c r="X106" s="1905">
        <v>99.995000000000005</v>
      </c>
      <c r="Y106" s="1905"/>
      <c r="Z106" s="1905">
        <v>375.755</v>
      </c>
      <c r="AA106" s="1905"/>
      <c r="AB106" s="1905">
        <v>199.68899999999999</v>
      </c>
      <c r="AC106" s="1905"/>
      <c r="AD106" s="1906">
        <v>0</v>
      </c>
      <c r="AE106" s="1783"/>
      <c r="AF106" s="1783"/>
      <c r="AG106" s="1783"/>
      <c r="AH106" s="1783"/>
      <c r="AI106" s="1783"/>
      <c r="AJ106" s="1783"/>
      <c r="AK106" s="1783"/>
      <c r="AL106" s="1783"/>
      <c r="AM106" s="1783"/>
      <c r="AN106" s="1783"/>
      <c r="AO106" s="1783"/>
      <c r="AP106" s="1783"/>
      <c r="AQ106" s="1783"/>
      <c r="AR106" s="1783"/>
      <c r="AS106" s="1783"/>
      <c r="AT106" s="1783"/>
      <c r="AU106" s="1783"/>
      <c r="AV106" s="1783"/>
      <c r="AW106" s="1783"/>
      <c r="AX106" s="1783"/>
      <c r="AY106" s="1783"/>
      <c r="AZ106" s="1783"/>
      <c r="BA106" s="1783"/>
      <c r="BB106" s="1783"/>
      <c r="BC106" s="1783"/>
      <c r="BD106" s="1783"/>
      <c r="BE106" s="1783"/>
      <c r="BF106" s="1783"/>
      <c r="BG106" s="1783"/>
      <c r="BH106" s="1783"/>
      <c r="BI106" s="1783"/>
      <c r="BJ106" s="1783"/>
      <c r="BK106" s="1783"/>
      <c r="BL106" s="1783"/>
      <c r="BM106" s="1783"/>
      <c r="BN106" s="1783"/>
      <c r="BO106" s="1783"/>
      <c r="BP106" s="1783"/>
      <c r="BQ106" s="1783"/>
      <c r="BR106" s="1783"/>
      <c r="BS106" s="1783"/>
      <c r="BT106" s="1783"/>
      <c r="BU106" s="1783"/>
      <c r="BV106" s="1783"/>
      <c r="BW106" s="1783"/>
      <c r="BX106" s="1783"/>
    </row>
    <row r="107" spans="1:76">
      <c r="A107" s="1783"/>
      <c r="B107" s="1783"/>
      <c r="C107" s="1783" t="s">
        <v>273</v>
      </c>
      <c r="D107" s="1783"/>
      <c r="E107" s="1783"/>
      <c r="F107" s="1783"/>
      <c r="G107" s="1783"/>
      <c r="H107" s="1783"/>
      <c r="I107" s="1783"/>
      <c r="J107" s="1783"/>
      <c r="K107" s="1783"/>
      <c r="L107" s="1783"/>
      <c r="M107" s="1783"/>
      <c r="N107" s="1783"/>
      <c r="O107" s="1783"/>
      <c r="P107" s="1783"/>
      <c r="Q107" s="1783"/>
      <c r="R107" s="1783"/>
      <c r="S107" s="1783"/>
      <c r="T107" s="1783"/>
      <c r="U107" s="1783"/>
      <c r="V107" s="1792">
        <f>SUM(X107,Z107,AB107,AD107)</f>
        <v>4840.6399999999994</v>
      </c>
      <c r="W107" s="1792"/>
      <c r="X107" s="1793">
        <v>707.67600000000004</v>
      </c>
      <c r="Y107" s="1793"/>
      <c r="Z107" s="1793">
        <v>1310.903</v>
      </c>
      <c r="AA107" s="1793"/>
      <c r="AB107" s="1793">
        <v>1112.675</v>
      </c>
      <c r="AC107" s="1793"/>
      <c r="AD107" s="1793">
        <v>1709.386</v>
      </c>
      <c r="AE107" s="1783"/>
      <c r="AF107" s="1783"/>
      <c r="AG107" s="1783"/>
      <c r="AH107" s="1783"/>
      <c r="AI107" s="1783"/>
      <c r="AJ107" s="1783"/>
      <c r="AK107" s="1783"/>
      <c r="AL107" s="1783"/>
      <c r="AM107" s="1783"/>
      <c r="AN107" s="1783"/>
      <c r="AO107" s="1783"/>
      <c r="AP107" s="1783"/>
      <c r="AQ107" s="1783"/>
      <c r="AR107" s="1783"/>
      <c r="AS107" s="1783"/>
      <c r="AT107" s="1783"/>
      <c r="AU107" s="1783"/>
      <c r="AV107" s="1783"/>
      <c r="AW107" s="1783"/>
      <c r="AX107" s="1783"/>
      <c r="AY107" s="1783"/>
      <c r="AZ107" s="1783"/>
      <c r="BA107" s="1783"/>
      <c r="BB107" s="1783"/>
      <c r="BC107" s="1783"/>
      <c r="BD107" s="1783"/>
      <c r="BE107" s="1783"/>
      <c r="BF107" s="1783"/>
      <c r="BG107" s="1783"/>
      <c r="BH107" s="1783"/>
      <c r="BI107" s="1783"/>
      <c r="BJ107" s="1783"/>
      <c r="BK107" s="1783"/>
      <c r="BL107" s="1783"/>
      <c r="BM107" s="1783"/>
      <c r="BN107" s="1783"/>
      <c r="BO107" s="1783"/>
      <c r="BP107" s="1783"/>
      <c r="BQ107" s="1783"/>
      <c r="BR107" s="1783"/>
      <c r="BS107" s="1783"/>
      <c r="BT107" s="1783"/>
      <c r="BU107" s="1783"/>
      <c r="BV107" s="1783"/>
      <c r="BW107" s="1783"/>
      <c r="BX107" s="1783"/>
    </row>
    <row r="108" spans="1:76">
      <c r="A108" s="1783"/>
      <c r="B108" s="1783"/>
      <c r="C108" s="1783" t="s">
        <v>274</v>
      </c>
      <c r="D108" s="1783"/>
      <c r="E108" s="1783"/>
      <c r="F108" s="1783"/>
      <c r="G108" s="1783"/>
      <c r="H108" s="1783"/>
      <c r="I108" s="1783"/>
      <c r="J108" s="1783"/>
      <c r="K108" s="1783"/>
      <c r="L108" s="1783"/>
      <c r="M108" s="1783"/>
      <c r="N108" s="1783"/>
      <c r="O108" s="1783"/>
      <c r="P108" s="1783"/>
      <c r="Q108" s="1783"/>
      <c r="R108" s="1783"/>
      <c r="S108" s="1783"/>
      <c r="T108" s="1783"/>
      <c r="U108" s="1783"/>
      <c r="V108" s="1792">
        <f>SUM(X108,Z108,AB108,AD108)</f>
        <v>41.575000000000003</v>
      </c>
      <c r="W108" s="1792"/>
      <c r="X108" s="1793">
        <v>3.726</v>
      </c>
      <c r="Y108" s="1793"/>
      <c r="Z108" s="1793">
        <v>7.452</v>
      </c>
      <c r="AA108" s="1793"/>
      <c r="AB108" s="1793">
        <v>7.452</v>
      </c>
      <c r="AC108" s="1793"/>
      <c r="AD108" s="1793">
        <v>22.945</v>
      </c>
      <c r="AE108" s="1783"/>
      <c r="AF108" s="1783"/>
      <c r="AG108" s="1783"/>
      <c r="AH108" s="1783"/>
      <c r="AI108" s="1783"/>
      <c r="AJ108" s="1783"/>
      <c r="AK108" s="1783"/>
      <c r="AL108" s="1783"/>
      <c r="AM108" s="1783"/>
      <c r="AN108" s="1783"/>
      <c r="AO108" s="1783"/>
      <c r="AP108" s="1783"/>
      <c r="AQ108" s="1783"/>
      <c r="AR108" s="1783"/>
      <c r="AS108" s="1783"/>
      <c r="AT108" s="1783"/>
      <c r="AU108" s="1783"/>
      <c r="AV108" s="1783"/>
      <c r="AW108" s="1783"/>
      <c r="AX108" s="1783"/>
      <c r="AY108" s="1783"/>
      <c r="AZ108" s="1783"/>
      <c r="BA108" s="1783"/>
      <c r="BB108" s="1783"/>
      <c r="BC108" s="1783"/>
      <c r="BD108" s="1783"/>
      <c r="BE108" s="1783"/>
      <c r="BF108" s="1783"/>
      <c r="BG108" s="1783"/>
      <c r="BH108" s="1783"/>
      <c r="BI108" s="1783"/>
      <c r="BJ108" s="1783"/>
      <c r="BK108" s="1783"/>
      <c r="BL108" s="1783"/>
      <c r="BM108" s="1783"/>
      <c r="BN108" s="1783"/>
      <c r="BO108" s="1783"/>
      <c r="BP108" s="1783"/>
      <c r="BQ108" s="1783"/>
      <c r="BR108" s="1783"/>
      <c r="BS108" s="1783"/>
      <c r="BT108" s="1783"/>
      <c r="BU108" s="1783"/>
      <c r="BV108" s="1783"/>
      <c r="BW108" s="1783"/>
      <c r="BX108" s="1783"/>
    </row>
    <row r="109" spans="1:76">
      <c r="A109" s="1783"/>
      <c r="B109" s="1783"/>
      <c r="C109" s="1783" t="s">
        <v>275</v>
      </c>
      <c r="D109" s="1783"/>
      <c r="E109" s="1783"/>
      <c r="F109" s="1783"/>
      <c r="G109" s="1783"/>
      <c r="H109" s="1783"/>
      <c r="I109" s="1783"/>
      <c r="J109" s="1783"/>
      <c r="K109" s="1783"/>
      <c r="L109" s="1783"/>
      <c r="M109" s="1783"/>
      <c r="N109" s="1783"/>
      <c r="O109" s="1783"/>
      <c r="P109" s="1783"/>
      <c r="Q109" s="1783"/>
      <c r="R109" s="1783"/>
      <c r="S109" s="1783"/>
      <c r="T109" s="1783"/>
      <c r="U109" s="1783"/>
      <c r="V109" s="1907">
        <f>SUM(X109,Z109,AB109,AD109)</f>
        <v>1617.1420000000001</v>
      </c>
      <c r="W109" s="1792"/>
      <c r="X109" s="1793">
        <v>1589.953</v>
      </c>
      <c r="Y109" s="1793"/>
      <c r="Z109" s="1793">
        <v>26.741</v>
      </c>
      <c r="AA109" s="1793"/>
      <c r="AB109" s="1793">
        <v>0.44800000000000001</v>
      </c>
      <c r="AC109" s="1793"/>
      <c r="AD109" s="1908" t="s">
        <v>704</v>
      </c>
      <c r="AE109" s="1783"/>
      <c r="AF109" s="1783"/>
      <c r="AG109" s="1783"/>
      <c r="AH109" s="1783"/>
      <c r="AI109" s="1783"/>
      <c r="AJ109" s="1783"/>
      <c r="AK109" s="1783"/>
      <c r="AL109" s="1783"/>
      <c r="AM109" s="1783"/>
      <c r="AN109" s="1783"/>
      <c r="AO109" s="1783"/>
      <c r="AP109" s="1783"/>
      <c r="AQ109" s="1783"/>
      <c r="AR109" s="1783"/>
      <c r="AS109" s="1783"/>
      <c r="AT109" s="1783"/>
      <c r="AU109" s="1783"/>
      <c r="AV109" s="1783"/>
      <c r="AW109" s="1783"/>
      <c r="AX109" s="1783"/>
      <c r="AY109" s="1783"/>
      <c r="AZ109" s="1783"/>
      <c r="BA109" s="1783"/>
      <c r="BB109" s="1783"/>
      <c r="BC109" s="1783"/>
      <c r="BD109" s="1783"/>
      <c r="BE109" s="1783"/>
      <c r="BF109" s="1783"/>
      <c r="BG109" s="1783"/>
      <c r="BH109" s="1783"/>
      <c r="BI109" s="1783"/>
      <c r="BJ109" s="1783"/>
      <c r="BK109" s="1783"/>
      <c r="BL109" s="1783"/>
      <c r="BM109" s="1783"/>
      <c r="BN109" s="1783"/>
      <c r="BO109" s="1783"/>
      <c r="BP109" s="1783"/>
      <c r="BQ109" s="1783"/>
      <c r="BR109" s="1783"/>
      <c r="BS109" s="1783"/>
      <c r="BT109" s="1783"/>
      <c r="BU109" s="1783"/>
      <c r="BV109" s="1783"/>
      <c r="BW109" s="1783"/>
      <c r="BX109" s="1783"/>
    </row>
    <row r="110" spans="1:76">
      <c r="A110" s="1783"/>
      <c r="B110" s="1783"/>
      <c r="C110" s="1783"/>
      <c r="D110" s="1783"/>
      <c r="E110" s="1783"/>
      <c r="F110" s="1783"/>
      <c r="G110" s="1783"/>
      <c r="H110" s="1783"/>
      <c r="I110" s="1783"/>
      <c r="J110" s="1783"/>
      <c r="K110" s="1783"/>
      <c r="L110" s="1783"/>
      <c r="M110" s="1783"/>
      <c r="N110" s="1783"/>
      <c r="O110" s="1783"/>
      <c r="P110" s="1783"/>
      <c r="Q110" s="1783"/>
      <c r="R110" s="1783"/>
      <c r="S110" s="1783"/>
      <c r="T110" s="1783"/>
      <c r="U110" s="1783"/>
      <c r="V110" s="1909">
        <f>SUM(V106:V109)</f>
        <v>7174.7959999999994</v>
      </c>
      <c r="W110" s="1783"/>
      <c r="X110" s="1909">
        <f>SUM(X106:X109)</f>
        <v>2401.35</v>
      </c>
      <c r="Y110" s="1783"/>
      <c r="Z110" s="1909">
        <f>SUM(Z106:Z109)</f>
        <v>1720.8509999999999</v>
      </c>
      <c r="AA110" s="1783"/>
      <c r="AB110" s="1909">
        <f>SUM(AB106:AB109)</f>
        <v>1320.2640000000001</v>
      </c>
      <c r="AC110" s="1783"/>
      <c r="AD110" s="1909">
        <f>SUM(AD106:AD109)</f>
        <v>1732.3309999999999</v>
      </c>
      <c r="AE110" s="1783"/>
      <c r="AF110" s="1783"/>
      <c r="AG110" s="1783"/>
      <c r="AH110" s="1783"/>
      <c r="AI110" s="1783"/>
      <c r="AJ110" s="1783"/>
      <c r="AK110" s="1783"/>
      <c r="AL110" s="1783"/>
      <c r="AM110" s="1783"/>
      <c r="AN110" s="1783"/>
      <c r="AO110" s="1783"/>
      <c r="AP110" s="1783"/>
      <c r="AQ110" s="1783"/>
      <c r="AR110" s="1783"/>
      <c r="AS110" s="1783"/>
      <c r="AT110" s="1783"/>
      <c r="AU110" s="1783"/>
      <c r="AV110" s="1783"/>
      <c r="AW110" s="1783"/>
      <c r="AX110" s="1783"/>
      <c r="AY110" s="1783"/>
      <c r="AZ110" s="1783"/>
      <c r="BA110" s="1783"/>
      <c r="BB110" s="1783"/>
      <c r="BC110" s="1783"/>
      <c r="BD110" s="1783"/>
      <c r="BE110" s="1783"/>
      <c r="BF110" s="1783"/>
      <c r="BG110" s="1783"/>
      <c r="BH110" s="1783"/>
      <c r="BI110" s="1783"/>
      <c r="BJ110" s="1783"/>
      <c r="BK110" s="1783"/>
      <c r="BL110" s="1783"/>
      <c r="BM110" s="1783"/>
      <c r="BN110" s="1783"/>
      <c r="BO110" s="1783"/>
      <c r="BP110" s="1783"/>
      <c r="BQ110" s="1783"/>
      <c r="BR110" s="1783"/>
      <c r="BS110" s="1783"/>
      <c r="BT110" s="1783"/>
      <c r="BU110" s="1783"/>
      <c r="BV110" s="1783"/>
      <c r="BW110" s="1783"/>
      <c r="BX110" s="1783"/>
    </row>
    <row r="111" spans="1:76">
      <c r="A111" s="1783"/>
      <c r="B111" s="1783"/>
      <c r="C111" s="1783"/>
      <c r="D111" s="1783"/>
      <c r="E111" s="1783"/>
      <c r="F111" s="1783"/>
      <c r="G111" s="1783"/>
      <c r="H111" s="1783"/>
      <c r="I111" s="1783"/>
      <c r="J111" s="1783"/>
      <c r="K111" s="1783"/>
      <c r="L111" s="1783"/>
      <c r="M111" s="1783"/>
      <c r="N111" s="1783"/>
      <c r="O111" s="1783"/>
      <c r="P111" s="1783"/>
      <c r="Q111" s="1783"/>
      <c r="R111" s="1783"/>
      <c r="S111" s="1783"/>
      <c r="T111" s="1783"/>
      <c r="U111" s="1783"/>
      <c r="V111" s="1881"/>
      <c r="W111" s="1783"/>
      <c r="X111" s="1783"/>
      <c r="Y111" s="1783"/>
      <c r="Z111" s="1783"/>
      <c r="AA111" s="1783"/>
      <c r="AB111" s="1783"/>
      <c r="AC111" s="1783"/>
      <c r="AD111" s="1783"/>
      <c r="AE111" s="1783"/>
      <c r="AF111" s="1783"/>
      <c r="AG111" s="1783"/>
      <c r="AH111" s="1783"/>
      <c r="AI111" s="1783"/>
      <c r="AJ111" s="1783"/>
      <c r="AK111" s="1783"/>
      <c r="AL111" s="1783"/>
      <c r="AM111" s="1783"/>
      <c r="AN111" s="1783"/>
      <c r="AO111" s="1783"/>
      <c r="AP111" s="1783"/>
      <c r="AQ111" s="1783"/>
      <c r="AR111" s="1783"/>
      <c r="AS111" s="1783"/>
      <c r="AT111" s="1783"/>
      <c r="AU111" s="1783"/>
      <c r="AV111" s="1783"/>
      <c r="AW111" s="1783"/>
      <c r="AX111" s="1783"/>
      <c r="AY111" s="1783"/>
      <c r="AZ111" s="1783"/>
      <c r="BA111" s="1783"/>
      <c r="BB111" s="1783"/>
      <c r="BC111" s="1783"/>
      <c r="BD111" s="1783"/>
      <c r="BE111" s="1783"/>
      <c r="BF111" s="1783"/>
      <c r="BG111" s="1783"/>
      <c r="BH111" s="1783"/>
      <c r="BI111" s="1783"/>
      <c r="BJ111" s="1783"/>
      <c r="BK111" s="1783"/>
      <c r="BL111" s="1783"/>
      <c r="BM111" s="1783"/>
      <c r="BN111" s="1783"/>
      <c r="BO111" s="1783"/>
      <c r="BP111" s="1783"/>
      <c r="BQ111" s="1783"/>
      <c r="BR111" s="1783"/>
      <c r="BS111" s="1783"/>
      <c r="BT111" s="1783"/>
      <c r="BU111" s="1783"/>
      <c r="BV111" s="1783"/>
      <c r="BW111" s="1783"/>
      <c r="BX111" s="1783"/>
    </row>
    <row r="112" spans="1:76">
      <c r="A112" s="1783"/>
      <c r="B112" s="1783"/>
      <c r="C112" s="1783"/>
      <c r="D112" s="1783"/>
      <c r="E112" s="1783"/>
      <c r="F112" s="1783"/>
      <c r="G112" s="1783"/>
      <c r="H112" s="1783"/>
      <c r="I112" s="1783"/>
      <c r="J112" s="1783"/>
      <c r="K112" s="1783"/>
      <c r="L112" s="1783"/>
      <c r="M112" s="1783"/>
      <c r="N112" s="1783"/>
      <c r="O112" s="1783"/>
      <c r="P112" s="1783"/>
      <c r="Q112" s="1783"/>
      <c r="R112" s="1783"/>
      <c r="S112" s="1783"/>
      <c r="T112" s="1783"/>
      <c r="U112" s="1783"/>
      <c r="V112" s="1783"/>
      <c r="W112" s="1783"/>
      <c r="X112" s="1783"/>
      <c r="Y112" s="1783"/>
      <c r="Z112" s="1783"/>
      <c r="AA112" s="1783"/>
      <c r="AB112" s="1783"/>
      <c r="AC112" s="1783"/>
      <c r="AD112" s="1783"/>
      <c r="AE112" s="1783"/>
      <c r="AF112" s="1783"/>
      <c r="AG112" s="1783"/>
      <c r="AH112" s="1783"/>
      <c r="AI112" s="1783"/>
      <c r="AJ112" s="1783"/>
      <c r="AK112" s="1783"/>
      <c r="AL112" s="1783"/>
      <c r="AM112" s="1783"/>
      <c r="AN112" s="1783"/>
      <c r="AO112" s="1783"/>
      <c r="AP112" s="1783"/>
      <c r="AQ112" s="1783"/>
      <c r="AR112" s="1783"/>
      <c r="AS112" s="1783"/>
      <c r="AT112" s="1783"/>
      <c r="AU112" s="1783"/>
      <c r="AV112" s="1783"/>
      <c r="AW112" s="1783"/>
      <c r="AX112" s="1783"/>
      <c r="AY112" s="1783"/>
      <c r="AZ112" s="1783"/>
      <c r="BA112" s="1783"/>
      <c r="BB112" s="1783"/>
      <c r="BC112" s="1783"/>
      <c r="BD112" s="1783"/>
      <c r="BE112" s="1783"/>
      <c r="BF112" s="1783"/>
      <c r="BG112" s="1783"/>
      <c r="BH112" s="1783"/>
      <c r="BI112" s="1783"/>
      <c r="BJ112" s="1783"/>
      <c r="BK112" s="1783"/>
      <c r="BL112" s="1783"/>
      <c r="BM112" s="1783"/>
      <c r="BN112" s="1783"/>
      <c r="BO112" s="1783"/>
      <c r="BP112" s="1783"/>
      <c r="BQ112" s="1783"/>
      <c r="BR112" s="1783"/>
      <c r="BS112" s="1783"/>
      <c r="BT112" s="1783"/>
      <c r="BU112" s="1783"/>
      <c r="BV112" s="1783"/>
      <c r="BW112" s="1783"/>
      <c r="BX112" s="1783"/>
    </row>
    <row r="113" spans="1:76">
      <c r="A113" s="1783"/>
      <c r="B113" s="1783"/>
      <c r="C113" s="1783" t="s">
        <v>94</v>
      </c>
      <c r="D113" s="1783"/>
      <c r="E113" s="1783"/>
      <c r="F113" s="1783"/>
      <c r="G113" s="1783"/>
      <c r="H113" s="1783"/>
      <c r="I113" s="1783"/>
      <c r="J113" s="1783"/>
      <c r="K113" s="1783"/>
      <c r="L113" s="1783"/>
      <c r="M113" s="1783"/>
      <c r="N113" s="1783"/>
      <c r="O113" s="1783"/>
      <c r="P113" s="1783"/>
      <c r="Q113" s="1783"/>
      <c r="R113" s="1783"/>
      <c r="S113" s="1783"/>
      <c r="T113" s="1783"/>
      <c r="U113" s="1783"/>
      <c r="V113" s="1783"/>
      <c r="W113" s="1783"/>
      <c r="X113" s="1783"/>
      <c r="Y113" s="1783"/>
      <c r="Z113" s="1783"/>
      <c r="AA113" s="1783"/>
      <c r="AB113" s="1783"/>
      <c r="AC113" s="1783"/>
      <c r="AD113" s="1783"/>
      <c r="AE113" s="1783"/>
      <c r="AF113" s="1783"/>
      <c r="AG113" s="1783"/>
      <c r="AH113" s="1783"/>
      <c r="AI113" s="1783"/>
      <c r="AJ113" s="1783"/>
      <c r="AK113" s="1783"/>
      <c r="AL113" s="1783"/>
      <c r="AM113" s="1783"/>
      <c r="AN113" s="1783"/>
      <c r="AO113" s="1783"/>
      <c r="AP113" s="1783"/>
      <c r="AQ113" s="1783"/>
      <c r="AR113" s="1783"/>
      <c r="AS113" s="1783"/>
      <c r="AT113" s="1783"/>
      <c r="AU113" s="1783"/>
      <c r="AV113" s="1783"/>
      <c r="AW113" s="1783"/>
      <c r="AX113" s="1783"/>
      <c r="AY113" s="1783"/>
      <c r="AZ113" s="1783"/>
      <c r="BA113" s="1783"/>
      <c r="BB113" s="1783"/>
      <c r="BC113" s="1783"/>
      <c r="BD113" s="1783"/>
      <c r="BE113" s="1783"/>
      <c r="BF113" s="1783"/>
      <c r="BG113" s="1783"/>
      <c r="BH113" s="1783"/>
      <c r="BI113" s="1783"/>
      <c r="BJ113" s="1783"/>
      <c r="BK113" s="1783"/>
      <c r="BL113" s="1783"/>
      <c r="BM113" s="1783"/>
      <c r="BN113" s="1783"/>
      <c r="BO113" s="1783"/>
      <c r="BP113" s="1783"/>
      <c r="BQ113" s="1783"/>
      <c r="BR113" s="1783"/>
      <c r="BS113" s="1783"/>
      <c r="BT113" s="1783"/>
      <c r="BU113" s="1783"/>
      <c r="BV113" s="1783"/>
      <c r="BW113" s="1783"/>
      <c r="BX113" s="1783"/>
    </row>
    <row r="114" spans="1:76">
      <c r="A114" s="1783"/>
      <c r="B114" s="1783"/>
      <c r="C114" s="1783"/>
      <c r="D114" s="1783"/>
      <c r="E114" s="1783"/>
      <c r="F114" s="1783"/>
      <c r="G114" s="1783"/>
      <c r="H114" s="1783"/>
      <c r="I114" s="1783"/>
      <c r="J114" s="1783"/>
      <c r="K114" s="1783"/>
      <c r="L114" s="1783"/>
      <c r="M114" s="1783"/>
      <c r="N114" s="1783"/>
      <c r="O114" s="1783"/>
      <c r="P114" s="1783"/>
      <c r="Q114" s="1783"/>
      <c r="R114" s="1783"/>
      <c r="S114" s="1783"/>
      <c r="T114" s="1783"/>
      <c r="U114" s="1783"/>
      <c r="V114" s="1783"/>
      <c r="W114" s="1783"/>
      <c r="X114" s="1783"/>
      <c r="Y114" s="1783"/>
      <c r="Z114" s="1783"/>
      <c r="AA114" s="1783"/>
      <c r="AB114" s="1783"/>
      <c r="AC114" s="1783"/>
      <c r="AD114" s="1783"/>
      <c r="AE114" s="1783"/>
      <c r="AF114" s="1783"/>
      <c r="AG114" s="1783"/>
      <c r="AH114" s="1783"/>
      <c r="AI114" s="1783"/>
      <c r="AJ114" s="1783"/>
      <c r="AK114" s="1783"/>
      <c r="AL114" s="1783"/>
      <c r="AM114" s="1783"/>
      <c r="AN114" s="1783"/>
      <c r="AO114" s="1783"/>
      <c r="AP114" s="1783"/>
      <c r="AQ114" s="1783"/>
      <c r="AR114" s="1783"/>
      <c r="AS114" s="1783"/>
      <c r="AT114" s="1783"/>
      <c r="AU114" s="1783"/>
      <c r="AV114" s="1783"/>
      <c r="AW114" s="1783"/>
      <c r="AX114" s="1783"/>
      <c r="AY114" s="1783"/>
      <c r="AZ114" s="1783"/>
      <c r="BA114" s="1783"/>
      <c r="BB114" s="1783"/>
      <c r="BC114" s="1783"/>
      <c r="BD114" s="1783"/>
      <c r="BE114" s="1783"/>
      <c r="BF114" s="1783"/>
      <c r="BG114" s="1783"/>
      <c r="BH114" s="1783"/>
      <c r="BI114" s="1783"/>
      <c r="BJ114" s="1783"/>
      <c r="BK114" s="1783"/>
      <c r="BL114" s="1783"/>
      <c r="BM114" s="1783"/>
      <c r="BN114" s="1783"/>
      <c r="BO114" s="1783"/>
      <c r="BP114" s="1783"/>
      <c r="BQ114" s="1783"/>
      <c r="BR114" s="1783"/>
      <c r="BS114" s="1783"/>
      <c r="BT114" s="1783"/>
      <c r="BU114" s="1783"/>
      <c r="BV114" s="1783"/>
      <c r="BW114" s="1783"/>
      <c r="BX114" s="1783"/>
    </row>
    <row r="115" spans="1:76">
      <c r="A115" s="1783"/>
      <c r="B115" s="1783"/>
      <c r="C115" s="1809" t="s">
        <v>95</v>
      </c>
      <c r="D115" s="1809"/>
      <c r="E115" s="1809"/>
      <c r="F115" s="1809"/>
      <c r="G115" s="1809"/>
      <c r="H115" s="1809"/>
      <c r="I115" s="1809"/>
      <c r="J115" s="1809"/>
      <c r="K115" s="1809"/>
      <c r="L115" s="1809"/>
      <c r="M115" s="1809"/>
      <c r="N115" s="1809"/>
      <c r="O115" s="1809"/>
      <c r="P115" s="1809"/>
      <c r="Q115" s="1809"/>
      <c r="R115" s="1809"/>
      <c r="S115" s="1809"/>
      <c r="T115" s="1809"/>
      <c r="U115" s="1809"/>
      <c r="V115" s="1809"/>
      <c r="W115" s="1809"/>
      <c r="X115" s="1809"/>
      <c r="Y115" s="1809"/>
      <c r="Z115" s="1809"/>
      <c r="AA115" s="1809"/>
      <c r="AB115" s="1809"/>
      <c r="AC115" s="1809"/>
      <c r="AD115" s="1903" t="s">
        <v>98</v>
      </c>
      <c r="AE115" s="1783"/>
      <c r="AF115" s="1783"/>
      <c r="AG115" s="1783"/>
      <c r="AH115" s="1783"/>
      <c r="AI115" s="1783"/>
      <c r="AJ115" s="1783"/>
      <c r="AK115" s="1783"/>
      <c r="AL115" s="1783"/>
      <c r="AM115" s="1783"/>
      <c r="AN115" s="1783"/>
      <c r="AO115" s="1783"/>
      <c r="AP115" s="1783"/>
      <c r="AQ115" s="1783"/>
      <c r="AR115" s="1783"/>
      <c r="AS115" s="1783"/>
      <c r="AT115" s="1783"/>
      <c r="AU115" s="1783"/>
      <c r="AV115" s="1783"/>
      <c r="AW115" s="1783"/>
      <c r="AX115" s="1783"/>
      <c r="AY115" s="1783"/>
      <c r="AZ115" s="1783"/>
      <c r="BA115" s="1783"/>
      <c r="BB115" s="1783"/>
      <c r="BC115" s="1783"/>
      <c r="BD115" s="1783"/>
      <c r="BE115" s="1783"/>
      <c r="BF115" s="1783"/>
      <c r="BG115" s="1783"/>
      <c r="BH115" s="1783"/>
      <c r="BI115" s="1783"/>
      <c r="BJ115" s="1783"/>
      <c r="BK115" s="1783"/>
      <c r="BL115" s="1783"/>
      <c r="BM115" s="1783"/>
      <c r="BN115" s="1783"/>
      <c r="BO115" s="1783"/>
      <c r="BP115" s="1783"/>
      <c r="BQ115" s="1783"/>
      <c r="BR115" s="1783"/>
      <c r="BS115" s="1783"/>
      <c r="BT115" s="1783"/>
      <c r="BU115" s="1783"/>
      <c r="BV115" s="1783"/>
      <c r="BW115" s="1783"/>
      <c r="BX115" s="1783"/>
    </row>
    <row r="116" spans="1:76">
      <c r="A116" s="1783"/>
      <c r="B116" s="1783"/>
      <c r="C116" s="1783" t="s">
        <v>96</v>
      </c>
      <c r="D116" s="1783"/>
      <c r="E116" s="1783"/>
      <c r="F116" s="1783"/>
      <c r="G116" s="1783"/>
      <c r="H116" s="1783"/>
      <c r="I116" s="1783"/>
      <c r="J116" s="1783"/>
      <c r="K116" s="1783"/>
      <c r="L116" s="1783"/>
      <c r="M116" s="1783"/>
      <c r="N116" s="1783"/>
      <c r="O116" s="1783"/>
      <c r="P116" s="1783"/>
      <c r="Q116" s="1783"/>
      <c r="R116" s="1783"/>
      <c r="S116" s="1783"/>
      <c r="T116" s="1783"/>
      <c r="U116" s="1783"/>
      <c r="V116" s="1783"/>
      <c r="W116" s="1783"/>
      <c r="X116" s="1783"/>
      <c r="Y116" s="1783"/>
      <c r="Z116" s="1783"/>
      <c r="AA116" s="1783"/>
      <c r="AB116" s="1783"/>
      <c r="AC116" s="1783"/>
      <c r="AD116" s="1783"/>
      <c r="AE116" s="1783"/>
      <c r="AF116" s="1783"/>
      <c r="AG116" s="1783"/>
      <c r="AH116" s="1783"/>
      <c r="AI116" s="1783"/>
      <c r="AJ116" s="1783"/>
      <c r="AK116" s="1783"/>
      <c r="AL116" s="1783"/>
      <c r="AM116" s="1783"/>
      <c r="AN116" s="1783"/>
      <c r="AO116" s="1783"/>
      <c r="AP116" s="1783"/>
      <c r="AQ116" s="1783"/>
      <c r="AR116" s="1783"/>
      <c r="AS116" s="1783"/>
      <c r="AT116" s="1783"/>
      <c r="AU116" s="1783"/>
      <c r="AV116" s="1783"/>
      <c r="AW116" s="1783"/>
      <c r="AX116" s="1783"/>
      <c r="AY116" s="1783"/>
      <c r="AZ116" s="1783"/>
      <c r="BA116" s="1783"/>
      <c r="BB116" s="1783"/>
      <c r="BC116" s="1783"/>
      <c r="BD116" s="1783"/>
      <c r="BE116" s="1783"/>
      <c r="BF116" s="1783"/>
      <c r="BG116" s="1783"/>
      <c r="BH116" s="1783"/>
      <c r="BI116" s="1783"/>
      <c r="BJ116" s="1783"/>
      <c r="BK116" s="1783"/>
      <c r="BL116" s="1783"/>
      <c r="BM116" s="1783"/>
      <c r="BN116" s="1783"/>
      <c r="BO116" s="1783"/>
      <c r="BP116" s="1783"/>
      <c r="BQ116" s="1783"/>
      <c r="BR116" s="1783"/>
      <c r="BS116" s="1783"/>
      <c r="BT116" s="1783"/>
      <c r="BU116" s="1783"/>
      <c r="BV116" s="1783"/>
      <c r="BW116" s="1783"/>
      <c r="BX116" s="1783"/>
    </row>
    <row r="117" spans="1:76">
      <c r="A117" s="1783"/>
      <c r="B117" s="1783"/>
      <c r="C117" s="1783" t="s">
        <v>97</v>
      </c>
      <c r="D117" s="1783"/>
      <c r="E117" s="1783"/>
      <c r="F117" s="1783"/>
      <c r="G117" s="1783"/>
      <c r="H117" s="1783"/>
      <c r="I117" s="1783"/>
      <c r="J117" s="1783"/>
      <c r="K117" s="1783"/>
      <c r="L117" s="1783"/>
      <c r="M117" s="1783"/>
      <c r="N117" s="1783"/>
      <c r="O117" s="1783"/>
      <c r="P117" s="1783"/>
      <c r="Q117" s="1783"/>
      <c r="R117" s="1783"/>
      <c r="S117" s="1783"/>
      <c r="T117" s="1783"/>
      <c r="U117" s="1783"/>
      <c r="V117" s="1783"/>
      <c r="W117" s="1783"/>
      <c r="X117" s="1783"/>
      <c r="Y117" s="1783"/>
      <c r="Z117" s="1783"/>
      <c r="AA117" s="1783"/>
      <c r="AB117" s="1783"/>
      <c r="AC117" s="1783"/>
      <c r="AD117" s="1910">
        <v>0</v>
      </c>
      <c r="AE117" s="1783"/>
      <c r="AF117" s="1783"/>
      <c r="AG117" s="1783"/>
      <c r="AH117" s="1783"/>
      <c r="AI117" s="1783"/>
      <c r="AJ117" s="1783"/>
      <c r="AK117" s="1783"/>
      <c r="AL117" s="1783"/>
      <c r="AM117" s="1783"/>
      <c r="AN117" s="1783"/>
      <c r="AO117" s="1783"/>
      <c r="AP117" s="1783"/>
      <c r="AQ117" s="1783"/>
      <c r="AR117" s="1783"/>
      <c r="AS117" s="1783"/>
      <c r="AT117" s="1783"/>
      <c r="AU117" s="1783"/>
      <c r="AV117" s="1783"/>
      <c r="AW117" s="1783"/>
      <c r="AX117" s="1783"/>
      <c r="AY117" s="1783"/>
      <c r="AZ117" s="1783"/>
      <c r="BA117" s="1783"/>
      <c r="BB117" s="1783"/>
      <c r="BC117" s="1783"/>
      <c r="BD117" s="1783"/>
      <c r="BE117" s="1783"/>
      <c r="BF117" s="1783"/>
      <c r="BG117" s="1783"/>
      <c r="BH117" s="1783"/>
      <c r="BI117" s="1783"/>
      <c r="BJ117" s="1783"/>
      <c r="BK117" s="1783"/>
      <c r="BL117" s="1783"/>
      <c r="BM117" s="1783"/>
      <c r="BN117" s="1783"/>
      <c r="BO117" s="1783"/>
      <c r="BP117" s="1783"/>
      <c r="BQ117" s="1783"/>
      <c r="BR117" s="1783"/>
      <c r="BS117" s="1783"/>
      <c r="BT117" s="1783"/>
      <c r="BU117" s="1783"/>
      <c r="BV117" s="1783"/>
      <c r="BW117" s="1783"/>
      <c r="BX117" s="1783"/>
    </row>
    <row r="118" spans="1:76">
      <c r="A118" s="1783"/>
      <c r="B118" s="1783"/>
      <c r="C118" s="1783" t="s">
        <v>99</v>
      </c>
      <c r="D118" s="1783"/>
      <c r="E118" s="1783"/>
      <c r="F118" s="1783"/>
      <c r="G118" s="1783"/>
      <c r="H118" s="1783"/>
      <c r="I118" s="1783"/>
      <c r="J118" s="1783"/>
      <c r="K118" s="1783"/>
      <c r="L118" s="1783"/>
      <c r="M118" s="1783"/>
      <c r="N118" s="1783"/>
      <c r="O118" s="1783"/>
      <c r="P118" s="1783"/>
      <c r="Q118" s="1783"/>
      <c r="R118" s="1783"/>
      <c r="S118" s="1783"/>
      <c r="T118" s="1783"/>
      <c r="U118" s="1783"/>
      <c r="V118" s="1783"/>
      <c r="W118" s="1783"/>
      <c r="X118" s="1783"/>
      <c r="Y118" s="1783"/>
      <c r="Z118" s="1783"/>
      <c r="AA118" s="1783"/>
      <c r="AB118" s="1783"/>
      <c r="AC118" s="1783"/>
      <c r="AD118" s="1875">
        <v>375.755</v>
      </c>
      <c r="AE118" s="1783"/>
      <c r="AF118" s="1783"/>
      <c r="AG118" s="1783"/>
      <c r="AH118" s="1783"/>
      <c r="AI118" s="1783"/>
      <c r="AJ118" s="1783"/>
      <c r="AK118" s="1783"/>
      <c r="AL118" s="1783"/>
      <c r="AM118" s="1783"/>
      <c r="AN118" s="1783"/>
      <c r="AO118" s="1783"/>
      <c r="AP118" s="1783"/>
      <c r="AQ118" s="1783"/>
      <c r="AR118" s="1783"/>
      <c r="AS118" s="1783"/>
      <c r="AT118" s="1783"/>
      <c r="AU118" s="1783"/>
      <c r="AV118" s="1783"/>
      <c r="AW118" s="1783"/>
      <c r="AX118" s="1783"/>
      <c r="AY118" s="1783"/>
      <c r="AZ118" s="1783"/>
      <c r="BA118" s="1783"/>
      <c r="BB118" s="1783"/>
      <c r="BC118" s="1783"/>
      <c r="BD118" s="1783"/>
      <c r="BE118" s="1783"/>
      <c r="BF118" s="1783"/>
      <c r="BG118" s="1783"/>
      <c r="BH118" s="1783"/>
      <c r="BI118" s="1783"/>
      <c r="BJ118" s="1783"/>
      <c r="BK118" s="1783"/>
      <c r="BL118" s="1783"/>
      <c r="BM118" s="1783"/>
      <c r="BN118" s="1783"/>
      <c r="BO118" s="1783"/>
      <c r="BP118" s="1783"/>
      <c r="BQ118" s="1783"/>
      <c r="BR118" s="1783"/>
      <c r="BS118" s="1783"/>
      <c r="BT118" s="1783"/>
      <c r="BU118" s="1783"/>
      <c r="BV118" s="1783"/>
      <c r="BW118" s="1783"/>
      <c r="BX118" s="1783"/>
    </row>
    <row r="119" spans="1:76">
      <c r="A119" s="1783"/>
      <c r="B119" s="1783"/>
      <c r="C119" s="1783" t="s">
        <v>100</v>
      </c>
      <c r="D119" s="1783"/>
      <c r="E119" s="1783"/>
      <c r="F119" s="1783"/>
      <c r="G119" s="1783"/>
      <c r="H119" s="1783"/>
      <c r="I119" s="1783"/>
      <c r="J119" s="1783"/>
      <c r="K119" s="1783"/>
      <c r="L119" s="1783"/>
      <c r="M119" s="1783"/>
      <c r="N119" s="1783"/>
      <c r="O119" s="1783"/>
      <c r="P119" s="1783"/>
      <c r="Q119" s="1783"/>
      <c r="R119" s="1783"/>
      <c r="S119" s="1783"/>
      <c r="T119" s="1783"/>
      <c r="U119" s="1783"/>
      <c r="V119" s="1783"/>
      <c r="W119" s="1783"/>
      <c r="X119" s="1783"/>
      <c r="Y119" s="1783"/>
      <c r="Z119" s="1783"/>
      <c r="AA119" s="1783"/>
      <c r="AB119" s="1783"/>
      <c r="AC119" s="1783"/>
      <c r="AD119" s="1875">
        <v>0</v>
      </c>
      <c r="AE119" s="1783"/>
      <c r="AF119" s="1783"/>
      <c r="AG119" s="1783"/>
      <c r="AH119" s="1783"/>
      <c r="AI119" s="1783"/>
      <c r="AJ119" s="1783"/>
      <c r="AK119" s="1783"/>
      <c r="AL119" s="1783"/>
      <c r="AM119" s="1783"/>
      <c r="AN119" s="1783"/>
      <c r="AO119" s="1783"/>
      <c r="AP119" s="1783"/>
      <c r="AQ119" s="1783"/>
      <c r="AR119" s="1783"/>
      <c r="AS119" s="1783"/>
      <c r="AT119" s="1783"/>
      <c r="AU119" s="1783"/>
      <c r="AV119" s="1783"/>
      <c r="AW119" s="1783"/>
      <c r="AX119" s="1783"/>
      <c r="AY119" s="1783"/>
      <c r="AZ119" s="1783"/>
      <c r="BA119" s="1783"/>
      <c r="BB119" s="1783"/>
      <c r="BC119" s="1783"/>
      <c r="BD119" s="1783"/>
      <c r="BE119" s="1783"/>
      <c r="BF119" s="1783"/>
      <c r="BG119" s="1783"/>
      <c r="BH119" s="1783"/>
      <c r="BI119" s="1783"/>
      <c r="BJ119" s="1783"/>
      <c r="BK119" s="1783"/>
      <c r="BL119" s="1783"/>
      <c r="BM119" s="1783"/>
      <c r="BN119" s="1783"/>
      <c r="BO119" s="1783"/>
      <c r="BP119" s="1783"/>
      <c r="BQ119" s="1783"/>
      <c r="BR119" s="1783"/>
      <c r="BS119" s="1783"/>
      <c r="BT119" s="1783"/>
      <c r="BU119" s="1783"/>
      <c r="BV119" s="1783"/>
      <c r="BW119" s="1783"/>
      <c r="BX119" s="1783"/>
    </row>
    <row r="120" spans="1:76">
      <c r="A120" s="1783"/>
      <c r="B120" s="1783"/>
      <c r="C120" s="1783" t="s">
        <v>101</v>
      </c>
      <c r="D120" s="1783"/>
      <c r="E120" s="1783"/>
      <c r="F120" s="1783"/>
      <c r="G120" s="1783"/>
      <c r="H120" s="1783"/>
      <c r="I120" s="1783"/>
      <c r="J120" s="1783"/>
      <c r="K120" s="1783"/>
      <c r="L120" s="1783"/>
      <c r="M120" s="1783"/>
      <c r="N120" s="1783"/>
      <c r="O120" s="1783"/>
      <c r="P120" s="1783"/>
      <c r="Q120" s="1783"/>
      <c r="R120" s="1783"/>
      <c r="S120" s="1783"/>
      <c r="T120" s="1783"/>
      <c r="U120" s="1783"/>
      <c r="V120" s="1783"/>
      <c r="W120" s="1783"/>
      <c r="X120" s="1783"/>
      <c r="Y120" s="1783"/>
      <c r="Z120" s="1783"/>
      <c r="AA120" s="1783"/>
      <c r="AB120" s="1783"/>
      <c r="AC120" s="1783"/>
      <c r="AD120" s="1875">
        <v>199.68899999999999</v>
      </c>
      <c r="AE120" s="1783"/>
      <c r="AF120" s="1783"/>
      <c r="AG120" s="1783"/>
      <c r="AH120" s="1783"/>
      <c r="AI120" s="1783"/>
      <c r="AJ120" s="1783"/>
      <c r="AK120" s="1783"/>
      <c r="AL120" s="1783"/>
      <c r="AM120" s="1783"/>
      <c r="AN120" s="1783"/>
      <c r="AO120" s="1783"/>
      <c r="AP120" s="1783"/>
      <c r="AQ120" s="1783"/>
      <c r="AR120" s="1783"/>
      <c r="AS120" s="1783"/>
      <c r="AT120" s="1783"/>
      <c r="AU120" s="1783"/>
      <c r="AV120" s="1783"/>
      <c r="AW120" s="1783"/>
      <c r="AX120" s="1783"/>
      <c r="AY120" s="1783"/>
      <c r="AZ120" s="1783"/>
      <c r="BA120" s="1783"/>
      <c r="BB120" s="1783"/>
      <c r="BC120" s="1783"/>
      <c r="BD120" s="1783"/>
      <c r="BE120" s="1783"/>
      <c r="BF120" s="1783"/>
      <c r="BG120" s="1783"/>
      <c r="BH120" s="1783"/>
      <c r="BI120" s="1783"/>
      <c r="BJ120" s="1783"/>
      <c r="BK120" s="1783"/>
      <c r="BL120" s="1783"/>
      <c r="BM120" s="1783"/>
      <c r="BN120" s="1783"/>
      <c r="BO120" s="1783"/>
      <c r="BP120" s="1783"/>
      <c r="BQ120" s="1783"/>
      <c r="BR120" s="1783"/>
      <c r="BS120" s="1783"/>
      <c r="BT120" s="1783"/>
      <c r="BU120" s="1783"/>
      <c r="BV120" s="1783"/>
      <c r="BW120" s="1783"/>
      <c r="BX120" s="1783"/>
    </row>
    <row r="121" spans="1:76">
      <c r="A121" s="1783"/>
      <c r="B121" s="1783"/>
      <c r="C121" s="1783" t="s">
        <v>102</v>
      </c>
      <c r="D121" s="1783"/>
      <c r="E121" s="1783"/>
      <c r="F121" s="1783"/>
      <c r="G121" s="1783"/>
      <c r="H121" s="1783"/>
      <c r="I121" s="1783"/>
      <c r="J121" s="1783"/>
      <c r="K121" s="1783"/>
      <c r="L121" s="1783"/>
      <c r="M121" s="1783"/>
      <c r="N121" s="1783"/>
      <c r="O121" s="1783"/>
      <c r="P121" s="1783"/>
      <c r="Q121" s="1783"/>
      <c r="R121" s="1783"/>
      <c r="S121" s="1783"/>
      <c r="T121" s="1783"/>
      <c r="U121" s="1783"/>
      <c r="V121" s="1783"/>
      <c r="W121" s="1783"/>
      <c r="X121" s="1783"/>
      <c r="Y121" s="1783"/>
      <c r="Z121" s="1783"/>
      <c r="AA121" s="1783"/>
      <c r="AB121" s="1783"/>
      <c r="AC121" s="1783"/>
      <c r="AD121" s="1875">
        <v>0</v>
      </c>
      <c r="AE121" s="1783"/>
      <c r="AF121" s="1783"/>
      <c r="AG121" s="1783"/>
      <c r="AH121" s="1783"/>
      <c r="AI121" s="1783"/>
      <c r="AJ121" s="1783"/>
      <c r="AK121" s="1783"/>
      <c r="AL121" s="1783"/>
      <c r="AM121" s="1783"/>
      <c r="AN121" s="1783"/>
      <c r="AO121" s="1783"/>
      <c r="AP121" s="1783"/>
      <c r="AQ121" s="1783"/>
      <c r="AR121" s="1783"/>
      <c r="AS121" s="1783"/>
      <c r="AT121" s="1783"/>
      <c r="AU121" s="1783"/>
      <c r="AV121" s="1783"/>
      <c r="AW121" s="1783"/>
      <c r="AX121" s="1783"/>
      <c r="AY121" s="1783"/>
      <c r="AZ121" s="1783"/>
      <c r="BA121" s="1783"/>
      <c r="BB121" s="1783"/>
      <c r="BC121" s="1783"/>
      <c r="BD121" s="1783"/>
      <c r="BE121" s="1783"/>
      <c r="BF121" s="1783"/>
      <c r="BG121" s="1783"/>
      <c r="BH121" s="1783"/>
      <c r="BI121" s="1783"/>
      <c r="BJ121" s="1783"/>
      <c r="BK121" s="1783"/>
      <c r="BL121" s="1783"/>
      <c r="BM121" s="1783"/>
      <c r="BN121" s="1783"/>
      <c r="BO121" s="1783"/>
      <c r="BP121" s="1783"/>
      <c r="BQ121" s="1783"/>
      <c r="BR121" s="1783"/>
      <c r="BS121" s="1783"/>
      <c r="BT121" s="1783"/>
      <c r="BU121" s="1783"/>
      <c r="BV121" s="1783"/>
      <c r="BW121" s="1783"/>
      <c r="BX121" s="1783"/>
    </row>
    <row r="122" spans="1:76">
      <c r="A122" s="1783"/>
      <c r="B122" s="1783"/>
      <c r="C122" s="1783" t="s">
        <v>103</v>
      </c>
      <c r="D122" s="1783"/>
      <c r="E122" s="1783"/>
      <c r="F122" s="1783"/>
      <c r="G122" s="1783"/>
      <c r="H122" s="1783"/>
      <c r="I122" s="1783"/>
      <c r="J122" s="1783"/>
      <c r="K122" s="1783"/>
      <c r="L122" s="1783"/>
      <c r="M122" s="1783"/>
      <c r="N122" s="1783"/>
      <c r="O122" s="1783"/>
      <c r="P122" s="1783"/>
      <c r="Q122" s="1783"/>
      <c r="R122" s="1783"/>
      <c r="S122" s="1783"/>
      <c r="T122" s="1783"/>
      <c r="U122" s="1783"/>
      <c r="V122" s="1783"/>
      <c r="W122" s="1783"/>
      <c r="X122" s="1783"/>
      <c r="Y122" s="1783"/>
      <c r="Z122" s="1783"/>
      <c r="AA122" s="1783"/>
      <c r="AB122" s="1783"/>
      <c r="AC122" s="1783"/>
      <c r="AD122" s="1911">
        <v>-2.851</v>
      </c>
      <c r="AE122" s="1783"/>
      <c r="AF122" s="1783"/>
      <c r="AG122" s="1783"/>
      <c r="AH122" s="1783"/>
      <c r="AI122" s="1783"/>
      <c r="AJ122" s="1783"/>
      <c r="AK122" s="1783"/>
      <c r="AL122" s="1783"/>
      <c r="AM122" s="1783"/>
      <c r="AN122" s="1783"/>
      <c r="AO122" s="1783"/>
      <c r="AP122" s="1783"/>
      <c r="AQ122" s="1783"/>
      <c r="AR122" s="1783"/>
      <c r="AS122" s="1783"/>
      <c r="AT122" s="1783"/>
      <c r="AU122" s="1783"/>
      <c r="AV122" s="1783"/>
      <c r="AW122" s="1783"/>
      <c r="AX122" s="1783"/>
      <c r="AY122" s="1783"/>
      <c r="AZ122" s="1783"/>
      <c r="BA122" s="1783"/>
      <c r="BB122" s="1783"/>
      <c r="BC122" s="1783"/>
      <c r="BD122" s="1783"/>
      <c r="BE122" s="1783"/>
      <c r="BF122" s="1783"/>
      <c r="BG122" s="1783"/>
      <c r="BH122" s="1783"/>
      <c r="BI122" s="1783"/>
      <c r="BJ122" s="1783"/>
      <c r="BK122" s="1783"/>
      <c r="BL122" s="1783"/>
      <c r="BM122" s="1783"/>
      <c r="BN122" s="1783"/>
      <c r="BO122" s="1783"/>
      <c r="BP122" s="1783"/>
      <c r="BQ122" s="1783"/>
      <c r="BR122" s="1783"/>
      <c r="BS122" s="1783"/>
      <c r="BT122" s="1783"/>
      <c r="BU122" s="1783"/>
      <c r="BV122" s="1783"/>
      <c r="BW122" s="1783"/>
      <c r="BX122" s="1783"/>
    </row>
    <row r="123" spans="1:76">
      <c r="A123" s="1783"/>
      <c r="B123" s="1783"/>
      <c r="C123" s="1783"/>
      <c r="D123" s="1783"/>
      <c r="E123" s="1783"/>
      <c r="F123" s="1783"/>
      <c r="G123" s="1783"/>
      <c r="H123" s="1783"/>
      <c r="I123" s="1783"/>
      <c r="J123" s="1783"/>
      <c r="K123" s="1783"/>
      <c r="L123" s="1783"/>
      <c r="M123" s="1783"/>
      <c r="N123" s="1783"/>
      <c r="O123" s="1783"/>
      <c r="P123" s="1783"/>
      <c r="Q123" s="1783"/>
      <c r="R123" s="1783"/>
      <c r="S123" s="1783"/>
      <c r="T123" s="1783"/>
      <c r="U123" s="1783"/>
      <c r="V123" s="1783"/>
      <c r="W123" s="1783"/>
      <c r="X123" s="1783"/>
      <c r="Y123" s="1783"/>
      <c r="Z123" s="1783"/>
      <c r="AA123" s="1783"/>
      <c r="AB123" s="1783"/>
      <c r="AC123" s="1783"/>
      <c r="AD123" s="1912">
        <f>SUM(AD117:AD122)</f>
        <v>572.59299999999996</v>
      </c>
      <c r="AE123" s="1783"/>
      <c r="AF123" s="1783"/>
      <c r="AG123" s="1783"/>
      <c r="AH123" s="1783"/>
      <c r="AI123" s="1783"/>
      <c r="AJ123" s="1783"/>
      <c r="AK123" s="1783"/>
      <c r="AL123" s="1783"/>
      <c r="AM123" s="1783"/>
      <c r="AN123" s="1783"/>
      <c r="AO123" s="1783"/>
      <c r="AP123" s="1783"/>
      <c r="AQ123" s="1783"/>
      <c r="AR123" s="1783"/>
      <c r="AS123" s="1783"/>
      <c r="AT123" s="1783"/>
      <c r="AU123" s="1783"/>
      <c r="AV123" s="1783"/>
      <c r="AW123" s="1783"/>
      <c r="AX123" s="1783"/>
      <c r="AY123" s="1783"/>
      <c r="AZ123" s="1783"/>
      <c r="BA123" s="1783"/>
      <c r="BB123" s="1783"/>
      <c r="BC123" s="1783"/>
      <c r="BD123" s="1783"/>
      <c r="BE123" s="1783"/>
      <c r="BF123" s="1783"/>
      <c r="BG123" s="1783"/>
      <c r="BH123" s="1783"/>
      <c r="BI123" s="1783"/>
      <c r="BJ123" s="1783"/>
      <c r="BK123" s="1783"/>
      <c r="BL123" s="1783"/>
      <c r="BM123" s="1783"/>
      <c r="BN123" s="1783"/>
      <c r="BO123" s="1783"/>
      <c r="BP123" s="1783"/>
      <c r="BQ123" s="1783"/>
      <c r="BR123" s="1783"/>
      <c r="BS123" s="1783"/>
      <c r="BT123" s="1783"/>
      <c r="BU123" s="1783"/>
      <c r="BV123" s="1783"/>
      <c r="BW123" s="1783"/>
      <c r="BX123" s="1783"/>
    </row>
    <row r="124" spans="1:76" outlineLevel="1">
      <c r="A124" s="1783"/>
      <c r="B124" s="1783" t="s">
        <v>760</v>
      </c>
      <c r="C124" s="1783"/>
      <c r="D124" s="1783"/>
      <c r="E124" s="1783"/>
      <c r="F124" s="1783"/>
      <c r="G124" s="1783"/>
      <c r="H124" s="1783"/>
      <c r="I124" s="1783"/>
      <c r="J124" s="1783"/>
      <c r="K124" s="1783"/>
      <c r="L124" s="1783"/>
      <c r="M124" s="1783"/>
      <c r="N124" s="1783"/>
      <c r="O124" s="1783"/>
      <c r="P124" s="1783"/>
      <c r="Q124" s="1783"/>
      <c r="R124" s="1783"/>
      <c r="S124" s="1783"/>
      <c r="T124" s="1783"/>
      <c r="U124" s="1783"/>
      <c r="V124" s="1783"/>
      <c r="W124" s="1783"/>
      <c r="X124" s="1783"/>
      <c r="Y124" s="1783"/>
      <c r="Z124" s="1783"/>
      <c r="AA124" s="1783"/>
      <c r="AB124" s="1783"/>
      <c r="AC124" s="1783"/>
      <c r="AD124" s="1783"/>
      <c r="AE124" s="1783"/>
      <c r="AF124" s="1783"/>
      <c r="AG124" s="1783"/>
      <c r="AH124" s="1783"/>
      <c r="AI124" s="1783"/>
      <c r="AJ124" s="1783"/>
      <c r="AK124" s="1783"/>
      <c r="AL124" s="1783"/>
      <c r="AM124" s="1783"/>
      <c r="AN124" s="1783"/>
      <c r="AO124" s="1783"/>
      <c r="AP124" s="1783"/>
      <c r="AQ124" s="1783"/>
      <c r="AR124" s="1783"/>
      <c r="AS124" s="1783"/>
      <c r="AT124" s="1783"/>
      <c r="AU124" s="1783"/>
      <c r="AV124" s="1783"/>
      <c r="AW124" s="1783"/>
      <c r="AX124" s="1783"/>
      <c r="AY124" s="1783"/>
      <c r="AZ124" s="1783"/>
      <c r="BA124" s="1783"/>
      <c r="BB124" s="1783"/>
      <c r="BC124" s="1783"/>
      <c r="BD124" s="1783"/>
      <c r="BE124" s="1783"/>
      <c r="BF124" s="1783"/>
      <c r="BG124" s="1783"/>
      <c r="BH124" s="1783"/>
      <c r="BI124" s="1783"/>
      <c r="BJ124" s="1783"/>
      <c r="BK124" s="1783"/>
      <c r="BL124" s="1783"/>
      <c r="BM124" s="1783"/>
      <c r="BN124" s="1783"/>
      <c r="BO124" s="1783"/>
      <c r="BP124" s="1783"/>
      <c r="BQ124" s="1783"/>
      <c r="BR124" s="1783"/>
      <c r="BS124" s="1783"/>
      <c r="BT124" s="1783"/>
      <c r="BU124" s="1783"/>
      <c r="BV124" s="1783"/>
      <c r="BW124" s="1783"/>
      <c r="BX124" s="1783"/>
    </row>
    <row r="125" spans="1:76" outlineLevel="1">
      <c r="A125" s="1783"/>
      <c r="B125" s="1783" t="s">
        <v>750</v>
      </c>
      <c r="C125" s="1783"/>
      <c r="D125" s="1783"/>
      <c r="E125" s="1861" t="s">
        <v>751</v>
      </c>
      <c r="F125" s="1813"/>
      <c r="G125" s="1861" t="s">
        <v>751</v>
      </c>
      <c r="H125" s="1813"/>
      <c r="I125" s="1861" t="s">
        <v>751</v>
      </c>
      <c r="J125" s="1813"/>
      <c r="K125" s="1861" t="s">
        <v>751</v>
      </c>
      <c r="L125" s="1813"/>
      <c r="M125" s="1861" t="s">
        <v>751</v>
      </c>
      <c r="N125" s="1861" t="s">
        <v>751</v>
      </c>
      <c r="O125" s="1813"/>
      <c r="P125" s="1861" t="s">
        <v>751</v>
      </c>
      <c r="Q125" s="1813"/>
      <c r="R125" s="1861" t="s">
        <v>751</v>
      </c>
      <c r="S125" s="1813"/>
      <c r="T125" s="1861" t="s">
        <v>751</v>
      </c>
      <c r="U125" s="1913"/>
      <c r="V125" s="1861" t="s">
        <v>751</v>
      </c>
      <c r="W125" s="1913"/>
      <c r="X125" s="1861" t="s">
        <v>751</v>
      </c>
      <c r="Y125" s="1813"/>
      <c r="Z125" s="1861" t="s">
        <v>751</v>
      </c>
      <c r="AA125" s="1813"/>
      <c r="AB125" s="1861" t="s">
        <v>751</v>
      </c>
      <c r="AC125" s="1813"/>
      <c r="AD125" s="1861" t="s">
        <v>751</v>
      </c>
      <c r="AE125" s="1813"/>
      <c r="AF125" s="1861" t="s">
        <v>751</v>
      </c>
      <c r="AG125" s="1813"/>
      <c r="AH125" s="1861" t="s">
        <v>751</v>
      </c>
      <c r="AI125" s="1813"/>
      <c r="AJ125" s="1861" t="s">
        <v>751</v>
      </c>
      <c r="AK125" s="1813"/>
      <c r="AL125" s="1861" t="s">
        <v>751</v>
      </c>
      <c r="AM125" s="1813"/>
      <c r="AN125" s="1861" t="s">
        <v>751</v>
      </c>
      <c r="AO125" s="1861"/>
      <c r="AP125" s="1834" t="s">
        <v>751</v>
      </c>
      <c r="AQ125" s="1861"/>
      <c r="AR125" s="1834" t="s">
        <v>751</v>
      </c>
      <c r="AS125" s="1861"/>
      <c r="AT125" s="1861" t="s">
        <v>751</v>
      </c>
      <c r="AU125" s="1861"/>
      <c r="AV125" s="1861" t="s">
        <v>751</v>
      </c>
      <c r="AW125" s="1861"/>
      <c r="AX125" s="1861" t="s">
        <v>751</v>
      </c>
      <c r="AY125" s="1861"/>
      <c r="AZ125" s="1861" t="s">
        <v>751</v>
      </c>
      <c r="BA125" s="1861"/>
      <c r="BB125" s="1861" t="s">
        <v>751</v>
      </c>
      <c r="BC125" s="1861"/>
      <c r="BD125" s="1861" t="s">
        <v>751</v>
      </c>
      <c r="BE125" s="1861"/>
      <c r="BF125" s="1861" t="s">
        <v>751</v>
      </c>
      <c r="BG125" s="1861"/>
      <c r="BH125" s="1861" t="s">
        <v>751</v>
      </c>
      <c r="BI125" s="1861"/>
      <c r="BJ125" s="1861" t="s">
        <v>751</v>
      </c>
      <c r="BK125" s="1861"/>
      <c r="BL125" s="1861" t="s">
        <v>751</v>
      </c>
      <c r="BM125" s="1861"/>
      <c r="BN125" s="1861" t="s">
        <v>751</v>
      </c>
      <c r="BO125" s="1861"/>
      <c r="BP125" s="1861" t="s">
        <v>751</v>
      </c>
      <c r="BQ125" s="1861"/>
      <c r="BR125" s="1813"/>
      <c r="BS125" s="1813"/>
      <c r="BT125" s="1813"/>
      <c r="BU125" s="1813"/>
      <c r="BV125" s="1813"/>
      <c r="BW125" s="1813"/>
      <c r="BX125" s="1813"/>
    </row>
    <row r="126" spans="1:76" outlineLevel="1">
      <c r="A126" s="1783"/>
      <c r="B126" s="1783" t="s">
        <v>752</v>
      </c>
      <c r="C126" s="1783"/>
      <c r="D126" s="1783"/>
      <c r="E126" s="1861"/>
      <c r="F126" s="1813"/>
      <c r="G126" s="1861"/>
      <c r="H126" s="1813"/>
      <c r="I126" s="1861"/>
      <c r="J126" s="1813"/>
      <c r="K126" s="1861"/>
      <c r="L126" s="1813"/>
      <c r="M126" s="1861"/>
      <c r="N126" s="1861"/>
      <c r="O126" s="1813"/>
      <c r="P126" s="1861"/>
      <c r="Q126" s="1813"/>
      <c r="R126" s="1861"/>
      <c r="S126" s="1813"/>
      <c r="T126" s="1861"/>
      <c r="U126" s="1913"/>
      <c r="V126" s="1861">
        <f>+flow!T50+flow!T51</f>
        <v>-323.80200000000002</v>
      </c>
      <c r="W126" s="1913"/>
      <c r="X126" s="1861">
        <f>+flow!V50+flow!V51</f>
        <v>-595.24799999999993</v>
      </c>
      <c r="Y126" s="1813"/>
      <c r="Z126" s="1861">
        <f>+flow!X50+flow!X51</f>
        <v>-418.00400000000002</v>
      </c>
      <c r="AA126" s="1813"/>
      <c r="AB126" s="1861">
        <f>+flow!Z50+flow!Z51</f>
        <v>-358.96100000000001</v>
      </c>
      <c r="AC126" s="1813"/>
      <c r="AD126" s="1861">
        <f>+flow!AB50+flow!AB51</f>
        <v>-447.81799999999998</v>
      </c>
      <c r="AE126" s="1813"/>
      <c r="AF126" s="1861">
        <f>+flow!AD50+flow!AD51</f>
        <v>-461.58699999999999</v>
      </c>
      <c r="AG126" s="1813"/>
      <c r="AH126" s="1861">
        <f>+flow!AF50+flow!AF51</f>
        <v>-497.71900000000005</v>
      </c>
      <c r="AI126" s="1813"/>
      <c r="AJ126" s="1861">
        <f>+flow!AH50+flow!AH51</f>
        <v>-501.30100000000004</v>
      </c>
      <c r="AK126" s="1813"/>
      <c r="AL126" s="1861">
        <f>+flow!AJ50+flow!AJ51</f>
        <v>-297.03700000000003</v>
      </c>
      <c r="AM126" s="1813"/>
      <c r="AN126" s="1861">
        <f>+flow!AL50+flow!AL51</f>
        <v>-806.09899999999993</v>
      </c>
      <c r="AO126" s="1861"/>
      <c r="AP126" s="1834">
        <f>+flow!AN50+flow!AN51</f>
        <v>-608.94299999999998</v>
      </c>
      <c r="AQ126" s="1861"/>
      <c r="AR126" s="1834">
        <f>+flow!AP50+flow!AP51</f>
        <v>-774.9</v>
      </c>
      <c r="AS126" s="1861"/>
      <c r="AT126" s="1861">
        <f>+flow!AR50+flow!AR51</f>
        <v>-1017.2210000000001</v>
      </c>
      <c r="AU126" s="1861"/>
      <c r="AV126" s="1861">
        <f>+flow!AT50+flow!AT51</f>
        <v>-1101.8129999999999</v>
      </c>
      <c r="AW126" s="1861"/>
      <c r="AX126" s="1861">
        <f>+flow!AV50+flow!AV51</f>
        <v>-1211.3110000000001</v>
      </c>
      <c r="AY126" s="1861"/>
      <c r="AZ126" s="1861">
        <f>+flow!AX50+flow!AX51</f>
        <v>-1324.6</v>
      </c>
      <c r="BA126" s="1861"/>
      <c r="BB126" s="1861">
        <f>+flow!BB50+flow!BB51</f>
        <v>-1631.5840000000001</v>
      </c>
      <c r="BC126" s="1861"/>
      <c r="BD126" s="1861">
        <f>+flow!BD50+flow!BD51</f>
        <v>-1464.809</v>
      </c>
      <c r="BE126" s="1861"/>
      <c r="BF126" s="1861">
        <f>+flow!BF50+flow!BF51</f>
        <v>-1510.8999999999999</v>
      </c>
      <c r="BG126" s="1861"/>
      <c r="BH126" s="1861">
        <f>+flow!BH50+flow!BH51</f>
        <v>-2500</v>
      </c>
      <c r="BI126" s="1861"/>
      <c r="BJ126" s="1861">
        <f>+flow!BJ50+flow!BJ51</f>
        <v>-2000</v>
      </c>
      <c r="BK126" s="1861"/>
      <c r="BL126" s="1861">
        <f>+flow!BL50+flow!BL51</f>
        <v>-2000</v>
      </c>
      <c r="BM126" s="1861"/>
      <c r="BN126" s="1861">
        <f>+flow!BN50+flow!BN51</f>
        <v>-2000</v>
      </c>
      <c r="BO126" s="1861"/>
      <c r="BP126" s="1861">
        <f>+flow!BP50+flow!BP51</f>
        <v>-2000</v>
      </c>
      <c r="BQ126" s="1861"/>
      <c r="BR126" s="1813"/>
      <c r="BS126" s="1813"/>
      <c r="BT126" s="1813"/>
      <c r="BU126" s="1813"/>
      <c r="BV126" s="1813"/>
      <c r="BW126" s="1813"/>
      <c r="BX126" s="1813"/>
    </row>
    <row r="127" spans="1:76" outlineLevel="1">
      <c r="A127" s="1783"/>
      <c r="B127" s="1783" t="s">
        <v>753</v>
      </c>
      <c r="C127" s="1783"/>
      <c r="D127" s="1783"/>
      <c r="E127" s="1861"/>
      <c r="F127" s="1813"/>
      <c r="G127" s="1861"/>
      <c r="H127" s="1813"/>
      <c r="I127" s="1861"/>
      <c r="J127" s="1813"/>
      <c r="K127" s="1861"/>
      <c r="L127" s="1813"/>
      <c r="M127" s="1861"/>
      <c r="N127" s="1861"/>
      <c r="O127" s="1813"/>
      <c r="P127" s="1861"/>
      <c r="Q127" s="1813"/>
      <c r="R127" s="1861"/>
      <c r="S127" s="1813"/>
      <c r="T127" s="1861"/>
      <c r="U127" s="1913"/>
      <c r="V127" s="1861">
        <f>+flow!T58</f>
        <v>-40.411000000000001</v>
      </c>
      <c r="W127" s="1913"/>
      <c r="X127" s="1861">
        <f>+flow!V58</f>
        <v>-42.738999999999997</v>
      </c>
      <c r="Y127" s="1813"/>
      <c r="Z127" s="1861">
        <f>+flow!X58</f>
        <v>-44.692999999999998</v>
      </c>
      <c r="AA127" s="1813"/>
      <c r="AB127" s="1861">
        <f>+flow!Z58</f>
        <v>-48.29</v>
      </c>
      <c r="AC127" s="1813"/>
      <c r="AD127" s="1861">
        <f>+flow!AB58</f>
        <v>-60.024999999999999</v>
      </c>
      <c r="AE127" s="1813"/>
      <c r="AF127" s="1861">
        <f>+flow!AD58</f>
        <v>-68.888999999999996</v>
      </c>
      <c r="AG127" s="1813"/>
      <c r="AH127" s="1861">
        <f>+flow!AF58</f>
        <v>-83.418000000000006</v>
      </c>
      <c r="AI127" s="1813"/>
      <c r="AJ127" s="1861">
        <f>+flow!AH58</f>
        <v>-105.251</v>
      </c>
      <c r="AK127" s="1813"/>
      <c r="AL127" s="1861">
        <f>+flow!AJ58</f>
        <v>-122.92700000000001</v>
      </c>
      <c r="AM127" s="1813"/>
      <c r="AN127" s="1861">
        <f>+flow!AL58</f>
        <v>-151.49199999999999</v>
      </c>
      <c r="AO127" s="1861"/>
      <c r="AP127" s="1834">
        <f>+flow!AN58</f>
        <v>-176.749</v>
      </c>
      <c r="AQ127" s="1861"/>
      <c r="AR127" s="1834">
        <f>+flow!AP58</f>
        <v>-197.66200000000001</v>
      </c>
      <c r="AS127" s="1861"/>
      <c r="AT127" s="1861">
        <f>+flow!AR58</f>
        <v>-229.32900000000001</v>
      </c>
      <c r="AU127" s="1861"/>
      <c r="AV127" s="1861">
        <f>+flow!AT58</f>
        <v>-275.01600000000002</v>
      </c>
      <c r="AW127" s="1861"/>
      <c r="AX127" s="1861">
        <f>+flow!AV58</f>
        <v>-323.92200000000003</v>
      </c>
      <c r="AY127" s="1861"/>
      <c r="AZ127" s="1861">
        <f>+flow!AX58</f>
        <v>-393.8</v>
      </c>
      <c r="BA127" s="1861"/>
      <c r="BB127" s="1861">
        <f>+flow!BB58</f>
        <v>-544.27099999999996</v>
      </c>
      <c r="BC127" s="1861"/>
      <c r="BD127" s="1861">
        <f>+flow!BD58</f>
        <v>-650.98800000000006</v>
      </c>
      <c r="BE127" s="1861"/>
      <c r="BF127" s="1861">
        <f>+flow!BF58</f>
        <v>-764</v>
      </c>
      <c r="BG127" s="1861"/>
      <c r="BH127" s="1861">
        <f>+flow!BH58</f>
        <v>-976.46373882352941</v>
      </c>
      <c r="BI127" s="1861"/>
      <c r="BJ127" s="1861">
        <f>+flow!BJ58</f>
        <v>-1118.3078277647057</v>
      </c>
      <c r="BK127" s="1861"/>
      <c r="BL127" s="1861">
        <f>+flow!BL58</f>
        <v>-1299.1695617386995</v>
      </c>
      <c r="BM127" s="1861"/>
      <c r="BN127" s="1861">
        <f>+flow!BN58</f>
        <v>-1510.4812340864394</v>
      </c>
      <c r="BO127" s="1861"/>
      <c r="BP127" s="1861">
        <f>+flow!BP58</f>
        <v>-1755.6193481978451</v>
      </c>
      <c r="BQ127" s="1861"/>
      <c r="BR127" s="1813"/>
      <c r="BS127" s="1813"/>
      <c r="BT127" s="1813"/>
      <c r="BU127" s="1813"/>
      <c r="BV127" s="1813"/>
      <c r="BW127" s="1813"/>
      <c r="BX127" s="1813"/>
    </row>
    <row r="128" spans="1:76">
      <c r="A128" s="1783"/>
      <c r="B128" s="1783"/>
      <c r="C128" s="1783"/>
      <c r="D128" s="1783"/>
      <c r="E128" s="1783"/>
      <c r="F128" s="1783"/>
      <c r="G128" s="1783"/>
      <c r="H128" s="1783"/>
      <c r="I128" s="1783"/>
      <c r="J128" s="1783"/>
      <c r="K128" s="1783"/>
      <c r="L128" s="1783"/>
      <c r="M128" s="1783"/>
      <c r="N128" s="1783"/>
      <c r="O128" s="1783"/>
      <c r="P128" s="1783"/>
      <c r="Q128" s="1783"/>
      <c r="R128" s="1783"/>
      <c r="S128" s="1783"/>
      <c r="T128" s="1783"/>
      <c r="U128" s="1783"/>
      <c r="V128" s="1783"/>
      <c r="W128" s="1783"/>
      <c r="X128" s="1783"/>
      <c r="Y128" s="1783"/>
      <c r="Z128" s="1783"/>
      <c r="AA128" s="1783"/>
      <c r="AB128" s="1783"/>
      <c r="AC128" s="1783"/>
      <c r="AD128" s="1783"/>
      <c r="AE128" s="1783"/>
      <c r="AF128" s="1783"/>
      <c r="AG128" s="1783"/>
      <c r="AH128" s="1783"/>
      <c r="AI128" s="1783"/>
      <c r="AJ128" s="1783"/>
      <c r="AK128" s="1783"/>
      <c r="AL128" s="1783"/>
      <c r="AM128" s="1783"/>
      <c r="AN128" s="1783"/>
      <c r="AO128" s="1783"/>
      <c r="AP128" s="1783"/>
      <c r="AQ128" s="1783"/>
      <c r="AR128" s="1783"/>
      <c r="AS128" s="1783"/>
      <c r="AT128" s="1783"/>
      <c r="AU128" s="1783"/>
      <c r="AV128" s="1783"/>
      <c r="AW128" s="1783"/>
      <c r="AX128" s="1783"/>
      <c r="AY128" s="1783"/>
      <c r="AZ128" s="1783"/>
      <c r="BA128" s="1783"/>
      <c r="BB128" s="1783"/>
      <c r="BC128" s="1783"/>
      <c r="BD128" s="1783"/>
      <c r="BE128" s="1783"/>
      <c r="BF128" s="1783"/>
      <c r="BG128" s="1783"/>
      <c r="BH128" s="1783"/>
      <c r="BI128" s="1783"/>
      <c r="BJ128" s="1783"/>
      <c r="BK128" s="1783"/>
      <c r="BL128" s="1783"/>
      <c r="BM128" s="1783"/>
      <c r="BN128" s="1783"/>
      <c r="BO128" s="1783"/>
      <c r="BP128" s="1783"/>
      <c r="BQ128" s="1783"/>
      <c r="BR128" s="1783"/>
      <c r="BS128" s="1783"/>
      <c r="BT128" s="1783"/>
      <c r="BU128" s="1783"/>
      <c r="BV128" s="1783"/>
      <c r="BW128" s="1783"/>
      <c r="BX128" s="1783"/>
    </row>
    <row r="129" spans="1:76">
      <c r="A129" s="1783"/>
      <c r="B129" s="1783"/>
      <c r="C129" s="1783"/>
      <c r="D129" s="1783"/>
      <c r="E129" s="1783"/>
      <c r="F129" s="1783"/>
      <c r="G129" s="1783"/>
      <c r="H129" s="1783"/>
      <c r="I129" s="1783"/>
      <c r="J129" s="1783"/>
      <c r="K129" s="1783"/>
      <c r="L129" s="1783"/>
      <c r="M129" s="1783"/>
      <c r="N129" s="1783"/>
      <c r="O129" s="1783"/>
      <c r="P129" s="1783"/>
      <c r="Q129" s="1783"/>
      <c r="R129" s="1783"/>
      <c r="S129" s="1783"/>
      <c r="T129" s="1783"/>
      <c r="U129" s="1783"/>
      <c r="V129" s="1783"/>
      <c r="W129" s="1783"/>
      <c r="X129" s="1783"/>
      <c r="Y129" s="1783"/>
      <c r="Z129" s="1783"/>
      <c r="AA129" s="1783"/>
      <c r="AB129" s="1783"/>
      <c r="AC129" s="1783"/>
      <c r="AD129" s="1783"/>
      <c r="AE129" s="1783"/>
      <c r="AF129" s="1783"/>
      <c r="AG129" s="1783"/>
      <c r="AH129" s="1783"/>
      <c r="AI129" s="1783"/>
      <c r="AJ129" s="1783"/>
      <c r="AK129" s="1783"/>
      <c r="AL129" s="1783"/>
      <c r="AM129" s="1783"/>
      <c r="AN129" s="1783"/>
      <c r="AO129" s="1783"/>
      <c r="AP129" s="1783"/>
      <c r="AQ129" s="1783"/>
      <c r="AR129" s="1783"/>
      <c r="AS129" s="1783"/>
      <c r="AT129" s="1783"/>
      <c r="AU129" s="1783"/>
      <c r="AV129" s="1783"/>
      <c r="AW129" s="1783"/>
      <c r="AX129" s="1783"/>
      <c r="AY129" s="1783"/>
      <c r="AZ129" s="1783"/>
      <c r="BA129" s="1783"/>
      <c r="BB129" s="1783"/>
      <c r="BC129" s="1783"/>
      <c r="BD129" s="1783"/>
      <c r="BE129" s="1783"/>
      <c r="BF129" s="1783"/>
      <c r="BG129" s="1783"/>
      <c r="BH129" s="1783"/>
      <c r="BI129" s="1783"/>
      <c r="BJ129" s="1783"/>
      <c r="BK129" s="1783"/>
      <c r="BL129" s="1783"/>
      <c r="BM129" s="1783"/>
      <c r="BN129" s="1783"/>
      <c r="BO129" s="1783"/>
      <c r="BP129" s="1783"/>
      <c r="BQ129" s="1783"/>
      <c r="BR129" s="1783"/>
      <c r="BS129" s="1783"/>
      <c r="BT129" s="1783"/>
      <c r="BU129" s="1783"/>
      <c r="BV129" s="1783"/>
      <c r="BW129" s="1783"/>
      <c r="BX129" s="1783"/>
    </row>
    <row r="130" spans="1:76">
      <c r="A130" s="1783"/>
      <c r="B130" s="1783"/>
      <c r="C130" s="1783"/>
      <c r="D130" s="1783"/>
      <c r="E130" s="1783"/>
      <c r="F130" s="1783"/>
      <c r="G130" s="1783"/>
      <c r="H130" s="1783"/>
      <c r="I130" s="1783"/>
      <c r="J130" s="1783"/>
      <c r="K130" s="1783"/>
      <c r="L130" s="1783"/>
      <c r="M130" s="1783"/>
      <c r="N130" s="1783"/>
      <c r="O130" s="1783"/>
      <c r="P130" s="1783"/>
      <c r="Q130" s="1783"/>
      <c r="R130" s="1783"/>
      <c r="S130" s="1783"/>
      <c r="T130" s="1783"/>
      <c r="U130" s="1783"/>
      <c r="V130" s="1783"/>
      <c r="W130" s="1783"/>
      <c r="X130" s="1783"/>
      <c r="Y130" s="1783"/>
      <c r="Z130" s="1783"/>
      <c r="AA130" s="1783"/>
      <c r="AB130" s="1783"/>
      <c r="AC130" s="1783"/>
      <c r="AD130" s="1783"/>
      <c r="AE130" s="1783"/>
      <c r="AF130" s="1783"/>
      <c r="AG130" s="1783"/>
      <c r="AH130" s="1783"/>
      <c r="AI130" s="1783"/>
      <c r="AJ130" s="1783"/>
      <c r="AK130" s="1783"/>
      <c r="AL130" s="1783"/>
      <c r="AM130" s="1783"/>
      <c r="AN130" s="1783"/>
      <c r="AO130" s="1783"/>
      <c r="AP130" s="1783"/>
      <c r="AQ130" s="1783"/>
      <c r="AR130" s="1783"/>
      <c r="AS130" s="1783"/>
      <c r="AT130" s="1783"/>
      <c r="AU130" s="1783"/>
      <c r="AV130" s="1783"/>
      <c r="AW130" s="1783"/>
      <c r="AX130" s="1783"/>
      <c r="AY130" s="1783"/>
      <c r="AZ130" s="1783"/>
      <c r="BA130" s="1783"/>
      <c r="BB130" s="1783"/>
      <c r="BC130" s="1783"/>
      <c r="BD130" s="1783"/>
      <c r="BE130" s="1783"/>
      <c r="BF130" s="1783"/>
      <c r="BG130" s="1783"/>
      <c r="BH130" s="1783"/>
      <c r="BI130" s="1783"/>
      <c r="BJ130" s="1783"/>
      <c r="BK130" s="1783"/>
      <c r="BL130" s="1783"/>
      <c r="BM130" s="1783"/>
      <c r="BN130" s="1783"/>
      <c r="BO130" s="1783"/>
      <c r="BP130" s="1783"/>
      <c r="BQ130" s="1783"/>
      <c r="BR130" s="1783"/>
      <c r="BS130" s="1783"/>
      <c r="BT130" s="1783"/>
      <c r="BU130" s="1783"/>
      <c r="BV130" s="1783"/>
      <c r="BW130" s="1783"/>
      <c r="BX130" s="1783"/>
    </row>
    <row r="131" spans="1:76">
      <c r="A131" s="1783"/>
      <c r="B131" s="1783"/>
      <c r="C131" s="1783"/>
      <c r="D131" s="1783"/>
      <c r="E131" s="1783"/>
      <c r="F131" s="1783"/>
      <c r="G131" s="1783"/>
      <c r="H131" s="1783"/>
      <c r="I131" s="1783"/>
      <c r="J131" s="1783"/>
      <c r="K131" s="1783"/>
      <c r="L131" s="1783"/>
      <c r="M131" s="1783"/>
      <c r="N131" s="1783"/>
      <c r="O131" s="1783"/>
      <c r="P131" s="1783"/>
      <c r="Q131" s="1783"/>
      <c r="R131" s="1783"/>
      <c r="S131" s="1783"/>
      <c r="T131" s="1783"/>
      <c r="U131" s="1783"/>
      <c r="V131" s="1783"/>
      <c r="W131" s="1783"/>
      <c r="X131" s="1783"/>
      <c r="Y131" s="1783"/>
      <c r="Z131" s="1783"/>
      <c r="AA131" s="1783"/>
      <c r="AB131" s="1783"/>
      <c r="AC131" s="1783"/>
      <c r="AD131" s="1783"/>
      <c r="AE131" s="1783"/>
      <c r="AF131" s="1783"/>
      <c r="AG131" s="1783"/>
      <c r="AH131" s="1783"/>
      <c r="AI131" s="1783"/>
      <c r="AJ131" s="1783"/>
      <c r="AK131" s="1783"/>
      <c r="AL131" s="1783"/>
      <c r="AM131" s="1783"/>
      <c r="AN131" s="1783"/>
      <c r="AO131" s="1783"/>
      <c r="AP131" s="1783"/>
      <c r="AQ131" s="1783"/>
      <c r="AR131" s="1783"/>
      <c r="AS131" s="1783"/>
      <c r="AT131" s="1783"/>
      <c r="AU131" s="1783"/>
      <c r="AV131" s="1783"/>
      <c r="AW131" s="1783"/>
      <c r="AX131" s="1783"/>
      <c r="AY131" s="1783"/>
      <c r="AZ131" s="1783"/>
      <c r="BA131" s="1783"/>
      <c r="BB131" s="1783"/>
      <c r="BC131" s="1783"/>
      <c r="BD131" s="1783"/>
      <c r="BE131" s="1783"/>
      <c r="BF131" s="1783"/>
      <c r="BG131" s="1783"/>
      <c r="BH131" s="1783"/>
      <c r="BI131" s="1783"/>
      <c r="BJ131" s="1783"/>
      <c r="BK131" s="1783"/>
      <c r="BL131" s="1783"/>
      <c r="BM131" s="1783"/>
      <c r="BN131" s="1783"/>
      <c r="BO131" s="1783"/>
      <c r="BP131" s="1783"/>
      <c r="BQ131" s="1783"/>
      <c r="BR131" s="1783"/>
      <c r="BS131" s="1783"/>
      <c r="BT131" s="1783"/>
      <c r="BU131" s="1783"/>
      <c r="BV131" s="1783"/>
      <c r="BW131" s="1783"/>
      <c r="BX131" s="1783"/>
    </row>
    <row r="132" spans="1:76" customFormat="1"/>
  </sheetData>
  <phoneticPr fontId="0" type="noConversion"/>
  <dataValidations count="1">
    <dataValidation type="custom" allowBlank="1" showInputMessage="1" showErrorMessage="1" sqref="AN125 BG126:BG127 AP95:BK95 BE126:BE127 AP98:BK98 BC126:BC127 BA126:BA127 B95:B100 C95:AN95 AR125 A125:AL125 AE126:AE127 AC126:AC127 AA126:AA127 Y126:Y127 B126:U127 AU126:AU127 AW126:AW127 AY126:AY127 BI126:BI127 BQ126:BX127 BM126:BM127 BO126:BO127 AG126:AG127 W126:W127 B92:B93 X98:AN98 AT125:BX125 AP125 AO125:AO127 AM126:AM127 AK126:AK127 AI126:AI127 CE125:JA127">
      <formula1>-1</formula1>
    </dataValidation>
  </dataValidations>
  <printOptions horizontalCentered="1"/>
  <pageMargins left="0" right="0" top="0" bottom="0" header="0" footer="0"/>
  <pageSetup paperSize="5" scale="81" orientation="landscape" r:id="rId1"/>
  <headerFooter alignWithMargins="0">
    <oddFooter>&amp;R&amp;8&amp;D/&amp;T
&amp;F/&amp;A</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A1:BZ91"/>
  <sheetViews>
    <sheetView topLeftCell="AU1" zoomScaleNormal="100" workbookViewId="0">
      <selection activeCell="BF51" sqref="BF51"/>
    </sheetView>
  </sheetViews>
  <sheetFormatPr defaultRowHeight="12.75" outlineLevelRow="1" outlineLevelCol="2"/>
  <cols>
    <col min="1" max="1" width="2.7109375" style="451" customWidth="1"/>
    <col min="2" max="2" width="4.28515625" style="451" customWidth="1"/>
    <col min="3" max="3" width="32.140625" style="451" customWidth="1"/>
    <col min="4" max="4" width="8.85546875" style="451" hidden="1" customWidth="1" outlineLevel="1"/>
    <col min="5" max="5" width="1.7109375" style="451" hidden="1" customWidth="1" outlineLevel="1"/>
    <col min="6" max="6" width="8.85546875" style="451" hidden="1" customWidth="1" outlineLevel="1"/>
    <col min="7" max="7" width="1.7109375" style="451" hidden="1" customWidth="1" outlineLevel="1"/>
    <col min="8" max="8" width="10" style="451" hidden="1" customWidth="1" outlineLevel="1"/>
    <col min="9" max="9" width="1.7109375" style="451" hidden="1" customWidth="1" outlineLevel="1"/>
    <col min="10" max="10" width="9.7109375" style="451" hidden="1" customWidth="1" outlineLevel="1"/>
    <col min="11" max="11" width="1.7109375" style="451" hidden="1" customWidth="1" outlineLevel="1"/>
    <col min="12" max="12" width="8.85546875" style="451" hidden="1" customWidth="1" outlineLevel="1"/>
    <col min="13" max="13" width="2.28515625" style="451" hidden="1" customWidth="1" outlineLevel="1"/>
    <col min="14" max="14" width="8.85546875" style="451" hidden="1" customWidth="1" outlineLevel="1"/>
    <col min="15" max="15" width="1.7109375" style="451" hidden="1" customWidth="1" outlineLevel="1" collapsed="1"/>
    <col min="16" max="16" width="9.28515625" style="451" hidden="1" customWidth="1" outlineLevel="2"/>
    <col min="17" max="17" width="1.7109375" style="451" hidden="1" customWidth="1" outlineLevel="2"/>
    <col min="18" max="18" width="9.5703125" style="451" hidden="1" customWidth="1" outlineLevel="2"/>
    <col min="19" max="19" width="1.7109375" style="451" hidden="1" customWidth="1" outlineLevel="2"/>
    <col min="20" max="20" width="8.7109375" style="451" hidden="1" customWidth="1" outlineLevel="2"/>
    <col min="21" max="21" width="1.42578125" style="451" hidden="1" customWidth="1" outlineLevel="2"/>
    <col min="22" max="22" width="8.7109375" style="451" hidden="1" customWidth="1" outlineLevel="2"/>
    <col min="23" max="23" width="1.42578125" style="451" hidden="1" customWidth="1" outlineLevel="2" collapsed="1"/>
    <col min="24" max="24" width="8.7109375" style="451" hidden="1" customWidth="1" outlineLevel="2"/>
    <col min="25" max="25" width="1.42578125" style="451" hidden="1" customWidth="1" outlineLevel="2"/>
    <col min="26" max="26" width="8.7109375" style="451" hidden="1" customWidth="1" outlineLevel="2"/>
    <col min="27" max="27" width="1.42578125" style="451" hidden="1" customWidth="1" outlineLevel="2"/>
    <col min="28" max="28" width="8.5703125" style="451" hidden="1" customWidth="1" outlineLevel="2"/>
    <col min="29" max="29" width="1.42578125" style="451" hidden="1" customWidth="1" outlineLevel="2"/>
    <col min="30" max="30" width="10.28515625" style="451" hidden="1" customWidth="1" outlineLevel="2"/>
    <col min="31" max="31" width="1.42578125" style="451" hidden="1" customWidth="1" outlineLevel="2"/>
    <col min="32" max="32" width="10.7109375" style="451" hidden="1" customWidth="1" outlineLevel="1" collapsed="1"/>
    <col min="33" max="33" width="1.42578125" style="451" hidden="1" customWidth="1" outlineLevel="1"/>
    <col min="34" max="34" width="10.7109375" style="451" hidden="1" customWidth="1" outlineLevel="1"/>
    <col min="35" max="35" width="1.42578125" style="451" hidden="1" customWidth="1" outlineLevel="1"/>
    <col min="36" max="36" width="10.7109375" style="451" hidden="1" customWidth="1" outlineLevel="1"/>
    <col min="37" max="37" width="1.42578125" style="451" hidden="1" customWidth="1" outlineLevel="1"/>
    <col min="38" max="38" width="10.7109375" style="451" hidden="1" customWidth="1" outlineLevel="1"/>
    <col min="39" max="39" width="1.42578125" style="451" hidden="1" customWidth="1" outlineLevel="1"/>
    <col min="40" max="40" width="10.28515625" style="451" hidden="1" customWidth="1" outlineLevel="1"/>
    <col min="41" max="41" width="1.42578125" style="451" customWidth="1" collapsed="1"/>
    <col min="42" max="42" width="9.42578125" style="451" customWidth="1"/>
    <col min="43" max="43" width="1.42578125" style="451" customWidth="1"/>
    <col min="44" max="44" width="10.42578125" style="451" bestFit="1" customWidth="1"/>
    <col min="45" max="45" width="1.42578125" style="451" customWidth="1"/>
    <col min="46" max="46" width="9.42578125" style="451" customWidth="1"/>
    <col min="47" max="47" width="1.42578125" style="451" customWidth="1"/>
    <col min="48" max="48" width="9.42578125" style="451" customWidth="1"/>
    <col min="49" max="49" width="1.42578125" style="451" customWidth="1"/>
    <col min="50" max="50" width="9.42578125" style="451" customWidth="1"/>
    <col min="51" max="51" width="1.42578125" style="451" customWidth="1"/>
    <col min="52" max="52" width="9.42578125" style="451" customWidth="1"/>
    <col min="53" max="53" width="1.42578125" style="451" customWidth="1"/>
    <col min="54" max="54" width="9.42578125" style="451" customWidth="1"/>
    <col min="55" max="55" width="1.42578125" style="451" customWidth="1"/>
    <col min="56" max="56" width="9.5703125" style="451" customWidth="1"/>
    <col min="57" max="57" width="1.42578125" style="451" customWidth="1"/>
    <col min="58" max="58" width="9.42578125" style="451" customWidth="1"/>
    <col min="59" max="59" width="1.42578125" style="451" customWidth="1"/>
    <col min="60" max="60" width="9.42578125" style="451" customWidth="1"/>
    <col min="61" max="61" width="1.42578125" style="451" customWidth="1"/>
    <col min="62" max="62" width="9.42578125" style="451" customWidth="1"/>
    <col min="63" max="63" width="2" style="451" customWidth="1"/>
    <col min="64" max="64" width="9.140625" style="451"/>
    <col min="65" max="65" width="2" style="451" customWidth="1"/>
    <col min="66" max="66" width="9.140625" style="451"/>
    <col min="67" max="67" width="2" style="451" customWidth="1"/>
    <col min="68" max="71" width="9.140625" style="451"/>
    <col min="72" max="72" width="22.85546875" hidden="1" customWidth="1" outlineLevel="1"/>
    <col min="73" max="77" width="9.140625" hidden="1" customWidth="1" outlineLevel="1"/>
    <col min="78" max="78" width="9.140625" style="451" collapsed="1"/>
    <col min="79" max="16384" width="9.140625" style="451"/>
  </cols>
  <sheetData>
    <row r="1" spans="1:71">
      <c r="A1" s="1774" t="str">
        <f>sumry!A1</f>
        <v>TJX Companies</v>
      </c>
      <c r="B1" s="1775"/>
      <c r="D1" s="1775"/>
      <c r="E1" s="1776"/>
      <c r="F1" s="1775"/>
      <c r="G1" s="1775"/>
      <c r="H1" s="1775"/>
      <c r="I1" s="1776"/>
      <c r="J1" s="1777"/>
      <c r="K1" s="1777"/>
      <c r="L1" s="1777"/>
      <c r="M1" s="1778"/>
      <c r="N1" s="1775"/>
      <c r="O1" s="1776"/>
      <c r="P1" s="1775"/>
      <c r="Q1" s="1775"/>
      <c r="R1" s="1775"/>
      <c r="S1" s="1776"/>
      <c r="T1" s="1777"/>
      <c r="U1" s="1777"/>
      <c r="V1" s="1777"/>
      <c r="W1" s="1778"/>
      <c r="X1" s="1777"/>
      <c r="Y1" s="1777"/>
      <c r="Z1" s="1777"/>
      <c r="AA1" s="1777"/>
      <c r="AB1" s="1777"/>
      <c r="AC1" s="1777"/>
      <c r="AD1" s="1777"/>
      <c r="AE1" s="1777"/>
      <c r="AF1" s="1777"/>
      <c r="AG1" s="1777"/>
      <c r="AH1" s="1777"/>
      <c r="AI1" s="1777"/>
      <c r="AJ1" s="1779"/>
      <c r="AK1" s="1775"/>
      <c r="AL1" s="1779"/>
      <c r="AM1" s="1775"/>
      <c r="AN1" s="1779"/>
      <c r="AO1" s="1775"/>
      <c r="AP1" s="1779"/>
      <c r="AQ1" s="1775"/>
      <c r="AR1" s="1779"/>
      <c r="AS1" s="1775"/>
      <c r="AT1" s="1779"/>
      <c r="AU1" s="1775"/>
      <c r="AV1" s="1779"/>
      <c r="AW1" s="1775"/>
      <c r="AX1" s="1779"/>
      <c r="AY1" s="1775"/>
      <c r="AZ1" s="1779"/>
      <c r="BA1" s="1775"/>
      <c r="BB1" s="1779"/>
      <c r="BC1" s="1775"/>
      <c r="BD1" s="1779"/>
      <c r="BE1" s="1775"/>
      <c r="BF1" s="1779"/>
      <c r="BG1" s="1775"/>
      <c r="BH1" s="1779"/>
      <c r="BI1" s="1775"/>
      <c r="BJ1" s="1779"/>
      <c r="BK1" s="1779"/>
      <c r="BL1" s="1775"/>
      <c r="BM1" s="1779"/>
      <c r="BN1" s="1775"/>
      <c r="BO1" s="1779"/>
      <c r="BP1" s="1775"/>
      <c r="BQ1" s="1775"/>
      <c r="BR1" s="1775"/>
      <c r="BS1" s="1775"/>
    </row>
    <row r="2" spans="1:71">
      <c r="A2" s="1780" t="s">
        <v>571</v>
      </c>
      <c r="B2" s="1780"/>
      <c r="C2" s="1780"/>
      <c r="D2" s="1780"/>
      <c r="E2" s="1781"/>
      <c r="F2" s="1780"/>
      <c r="G2" s="1780"/>
      <c r="H2" s="1780"/>
      <c r="I2" s="1781"/>
      <c r="J2" s="1780"/>
      <c r="K2" s="1780"/>
      <c r="L2" s="1780"/>
      <c r="M2" s="1781"/>
      <c r="N2" s="1780"/>
      <c r="O2" s="1781"/>
      <c r="P2" s="1780"/>
      <c r="Q2" s="1780"/>
      <c r="R2" s="1780"/>
      <c r="S2" s="1781"/>
      <c r="T2" s="1780"/>
      <c r="U2" s="1780"/>
      <c r="V2" s="1780"/>
      <c r="W2" s="1781"/>
      <c r="X2" s="1780"/>
      <c r="Y2" s="1780"/>
      <c r="Z2" s="1780"/>
      <c r="AA2" s="1780"/>
      <c r="AB2" s="1780"/>
      <c r="AC2" s="1780"/>
      <c r="AD2" s="1780"/>
      <c r="AE2" s="1780"/>
      <c r="AF2" s="1780"/>
      <c r="AG2" s="1780"/>
      <c r="AH2" s="1780"/>
      <c r="AI2" s="1780"/>
      <c r="AJ2" s="1780"/>
      <c r="AK2" s="1780"/>
      <c r="AL2" s="1780"/>
      <c r="AM2" s="1780"/>
      <c r="AN2" s="1780"/>
      <c r="AO2" s="1780"/>
      <c r="AP2" s="1780"/>
      <c r="AQ2" s="1780"/>
      <c r="AR2" s="1780"/>
      <c r="AS2" s="1780"/>
      <c r="AT2" s="1780"/>
      <c r="AU2" s="1780"/>
      <c r="AV2" s="1780"/>
      <c r="AW2" s="1780"/>
      <c r="AX2" s="1780"/>
      <c r="AY2" s="1780"/>
      <c r="AZ2" s="1780"/>
      <c r="BA2" s="1780"/>
      <c r="BB2" s="1780"/>
      <c r="BC2" s="1780"/>
      <c r="BD2" s="1780"/>
      <c r="BE2" s="1780"/>
      <c r="BF2" s="1780"/>
      <c r="BG2" s="1780"/>
      <c r="BH2" s="1780"/>
      <c r="BI2" s="1780"/>
      <c r="BJ2" s="1780"/>
      <c r="BK2" s="1780"/>
      <c r="BL2" s="1780"/>
      <c r="BM2" s="1780"/>
      <c r="BN2" s="1780"/>
      <c r="BO2" s="1780"/>
      <c r="BP2" s="1780"/>
      <c r="BQ2" s="1780"/>
      <c r="BR2" s="1780"/>
      <c r="BS2" s="1780"/>
    </row>
    <row r="3" spans="1:71">
      <c r="A3" s="1782" t="str">
        <f>+'qtrP&amp;L'!A3</f>
        <v>For the fiscal year ending January 31 of the following year</v>
      </c>
      <c r="B3" s="1782"/>
      <c r="C3" s="1783"/>
      <c r="D3" s="1783"/>
      <c r="E3" s="1783"/>
      <c r="F3" s="1783"/>
      <c r="G3" s="1783"/>
      <c r="H3" s="1783"/>
      <c r="I3" s="1783"/>
      <c r="J3" s="1783"/>
      <c r="K3" s="1783"/>
      <c r="L3" s="1783"/>
      <c r="M3" s="1783"/>
      <c r="N3" s="1783"/>
      <c r="O3" s="1783"/>
      <c r="P3" s="1783"/>
      <c r="Q3" s="1783"/>
      <c r="R3" s="1783"/>
      <c r="S3" s="1783"/>
      <c r="T3" s="1783"/>
      <c r="U3" s="1783"/>
      <c r="V3" s="1783"/>
      <c r="W3" s="1783"/>
      <c r="X3" s="1783"/>
      <c r="Y3" s="1783"/>
      <c r="Z3" s="1783"/>
      <c r="AA3" s="1783"/>
      <c r="AB3" s="1783"/>
      <c r="AC3" s="1783"/>
      <c r="AD3" s="1783"/>
      <c r="AE3" s="1783"/>
      <c r="AF3" s="1783"/>
      <c r="AG3" s="1783"/>
      <c r="AH3" s="1783"/>
      <c r="AI3" s="1783"/>
      <c r="AJ3" s="1783"/>
      <c r="AK3" s="1783"/>
      <c r="AL3" s="1783"/>
      <c r="AM3" s="1783"/>
      <c r="AN3" s="1783"/>
      <c r="AO3" s="1783"/>
      <c r="AP3" s="1783"/>
      <c r="AQ3" s="1783"/>
      <c r="AR3" s="1783"/>
      <c r="AS3" s="1783"/>
      <c r="AT3" s="1783"/>
      <c r="AU3" s="1783"/>
      <c r="AV3" s="1783"/>
      <c r="AW3" s="1783"/>
      <c r="AX3" s="1783"/>
      <c r="AY3" s="1783"/>
      <c r="AZ3" s="1783"/>
      <c r="BA3" s="1783"/>
      <c r="BB3" s="1783"/>
      <c r="BC3" s="1783"/>
      <c r="BD3" s="1783"/>
      <c r="BE3" s="1783"/>
      <c r="BF3" s="1783"/>
      <c r="BG3" s="1783"/>
      <c r="BH3" s="1783"/>
      <c r="BI3" s="1783"/>
      <c r="BJ3" s="1783"/>
      <c r="BK3" s="1783"/>
      <c r="BL3" s="1783"/>
      <c r="BM3" s="1783"/>
      <c r="BN3" s="1783"/>
      <c r="BO3" s="1783"/>
      <c r="BP3" s="1783"/>
      <c r="BQ3" s="1783"/>
      <c r="BR3" s="1783"/>
      <c r="BS3" s="1783"/>
    </row>
    <row r="4" spans="1:71">
      <c r="A4" s="1782" t="s">
        <v>536</v>
      </c>
      <c r="B4" s="1782"/>
      <c r="C4" s="1783"/>
      <c r="D4" s="1783" t="s">
        <v>281</v>
      </c>
      <c r="E4" s="1783"/>
      <c r="F4" s="1783" t="s">
        <v>281</v>
      </c>
      <c r="G4" s="1783"/>
      <c r="H4" s="1783" t="s">
        <v>281</v>
      </c>
      <c r="I4" s="1783"/>
      <c r="J4" s="1783" t="s">
        <v>281</v>
      </c>
      <c r="K4" s="1783"/>
      <c r="L4" s="1783"/>
      <c r="M4" s="1783"/>
      <c r="N4" s="1783"/>
      <c r="O4" s="1783"/>
      <c r="P4" s="1783"/>
      <c r="Q4" s="1783"/>
      <c r="R4" s="1783"/>
      <c r="S4" s="1783"/>
      <c r="T4" s="1783"/>
      <c r="U4" s="1783"/>
      <c r="V4" s="1783"/>
      <c r="W4" s="1783"/>
      <c r="X4" s="1783"/>
      <c r="Y4" s="1783"/>
      <c r="Z4" s="1783"/>
      <c r="AA4" s="1783"/>
      <c r="AB4" s="1783"/>
      <c r="AC4" s="1783"/>
      <c r="AD4" s="1783"/>
      <c r="AE4" s="1783"/>
      <c r="AF4" s="1783"/>
      <c r="AG4" s="1783"/>
      <c r="AH4" s="1783"/>
      <c r="AI4" s="1783"/>
      <c r="AJ4" s="1783"/>
      <c r="AK4" s="1783"/>
      <c r="AL4" s="1783"/>
      <c r="AM4" s="1783"/>
      <c r="AN4" s="1783"/>
      <c r="AO4" s="1783"/>
      <c r="AP4" s="1783"/>
      <c r="AQ4" s="1783"/>
      <c r="AR4" s="1783"/>
      <c r="AS4" s="1783"/>
      <c r="AT4" s="1783"/>
      <c r="AU4" s="1783"/>
      <c r="AV4" s="1783"/>
      <c r="AW4" s="1783"/>
      <c r="AX4" s="1783"/>
      <c r="AY4" s="1783"/>
      <c r="AZ4" s="1783"/>
      <c r="BA4" s="1783"/>
      <c r="BB4" s="1783"/>
      <c r="BC4" s="1783"/>
      <c r="BD4" s="1783"/>
      <c r="BE4" s="1783"/>
      <c r="BF4" s="1783"/>
      <c r="BG4" s="1783"/>
      <c r="BH4" s="1783"/>
      <c r="BI4" s="1783"/>
      <c r="BJ4" s="1783"/>
      <c r="BK4" s="1783"/>
      <c r="BL4" s="1783"/>
      <c r="BM4" s="1783"/>
      <c r="BN4" s="1783"/>
      <c r="BO4" s="1783"/>
      <c r="BP4" s="1783"/>
      <c r="BQ4" s="1783"/>
      <c r="BR4" s="1783"/>
      <c r="BS4" s="1783"/>
    </row>
    <row r="5" spans="1:71">
      <c r="A5" s="1783"/>
      <c r="B5" s="1783"/>
      <c r="C5" s="1783"/>
      <c r="D5" s="1783"/>
      <c r="E5" s="1783"/>
      <c r="F5" s="1783"/>
      <c r="G5" s="1783"/>
      <c r="H5" s="1783"/>
      <c r="I5" s="1783"/>
      <c r="J5" s="1783"/>
      <c r="K5" s="1783"/>
      <c r="L5" s="1783"/>
      <c r="M5" s="1783"/>
      <c r="N5" s="1783"/>
      <c r="O5" s="1783"/>
      <c r="P5" s="1783"/>
      <c r="Q5" s="1783"/>
      <c r="R5" s="1783"/>
      <c r="S5" s="1783"/>
      <c r="T5" s="1783"/>
      <c r="U5" s="1783"/>
      <c r="V5" s="1783"/>
      <c r="W5" s="1783"/>
      <c r="X5" s="1783"/>
      <c r="Y5" s="1783"/>
      <c r="Z5" s="1783"/>
      <c r="AA5" s="1783"/>
      <c r="AB5" s="1783"/>
      <c r="AC5" s="1783"/>
      <c r="AD5" s="1783"/>
      <c r="AE5" s="1783"/>
      <c r="AF5" s="1783"/>
      <c r="AG5" s="1783"/>
      <c r="AH5" s="1783"/>
      <c r="AI5" s="1783"/>
      <c r="AJ5" s="1783"/>
      <c r="AK5" s="1783"/>
      <c r="AL5" s="1783"/>
      <c r="AM5" s="1783"/>
      <c r="AN5" s="1783"/>
      <c r="AO5" s="1783"/>
      <c r="AP5" s="1783"/>
      <c r="AQ5" s="1783"/>
      <c r="AR5" s="1783"/>
      <c r="AS5" s="1783"/>
      <c r="AT5" s="1783"/>
      <c r="AU5" s="1783"/>
      <c r="AV5" s="1783"/>
      <c r="AW5" s="1783"/>
      <c r="AY5" s="1783"/>
      <c r="BA5" s="1783"/>
      <c r="BB5" s="1783"/>
      <c r="BC5" s="1783"/>
      <c r="BD5" s="1783"/>
      <c r="BE5" s="1783"/>
      <c r="BF5" s="1783"/>
      <c r="BG5" s="1783"/>
      <c r="BH5" s="1783"/>
      <c r="BI5" s="1783"/>
      <c r="BJ5" s="1783"/>
      <c r="BK5" s="1783"/>
      <c r="BL5" s="1783"/>
      <c r="BM5" s="1783"/>
      <c r="BN5" s="1783"/>
      <c r="BO5" s="1783"/>
      <c r="BP5" s="1783"/>
      <c r="BQ5" s="1783"/>
      <c r="BR5" s="1783"/>
      <c r="BS5" s="1783"/>
    </row>
    <row r="6" spans="1:71">
      <c r="A6" s="1783"/>
      <c r="B6" s="1783"/>
      <c r="C6" s="1783"/>
      <c r="D6" s="1784">
        <v>1990</v>
      </c>
      <c r="E6" s="1785"/>
      <c r="F6" s="1786">
        <f>D6+1</f>
        <v>1991</v>
      </c>
      <c r="G6" s="1785"/>
      <c r="H6" s="1786">
        <f>F6+1</f>
        <v>1992</v>
      </c>
      <c r="I6" s="1785"/>
      <c r="J6" s="1786">
        <f>H6+1</f>
        <v>1993</v>
      </c>
      <c r="K6" s="1785"/>
      <c r="L6" s="1786">
        <f>J6+1</f>
        <v>1994</v>
      </c>
      <c r="M6" s="1783"/>
      <c r="N6" s="1787">
        <f>L6+1</f>
        <v>1995</v>
      </c>
      <c r="O6" s="1785"/>
      <c r="P6" s="1786">
        <f>N6+1</f>
        <v>1996</v>
      </c>
      <c r="Q6" s="1785"/>
      <c r="R6" s="1786">
        <f>P6+1</f>
        <v>1997</v>
      </c>
      <c r="S6" s="1785"/>
      <c r="T6" s="1786">
        <f>R6+1</f>
        <v>1998</v>
      </c>
      <c r="U6" s="1785"/>
      <c r="V6" s="1786">
        <f>T6+1</f>
        <v>1999</v>
      </c>
      <c r="W6" s="1783"/>
      <c r="X6" s="1786">
        <f>V6+1</f>
        <v>2000</v>
      </c>
      <c r="Y6" s="1785"/>
      <c r="Z6" s="1786">
        <f>X6+1</f>
        <v>2001</v>
      </c>
      <c r="AA6" s="1785"/>
      <c r="AB6" s="1786">
        <f>+Z6+1</f>
        <v>2002</v>
      </c>
      <c r="AC6" s="1785"/>
      <c r="AD6" s="1786">
        <f>+AB6+1</f>
        <v>2003</v>
      </c>
      <c r="AE6" s="1785"/>
      <c r="AF6" s="1786">
        <f>+AD6+1</f>
        <v>2004</v>
      </c>
      <c r="AG6" s="1785"/>
      <c r="AH6" s="1788">
        <f>+AF6+1</f>
        <v>2005</v>
      </c>
      <c r="AI6" s="1785"/>
      <c r="AJ6" s="1788">
        <f>+AH6+1</f>
        <v>2006</v>
      </c>
      <c r="AK6" s="1785"/>
      <c r="AL6" s="1788">
        <f>+AJ6+1</f>
        <v>2007</v>
      </c>
      <c r="AM6" s="1783"/>
      <c r="AN6" s="1788">
        <f>+AL6+1</f>
        <v>2008</v>
      </c>
      <c r="AO6" s="1783"/>
      <c r="AP6" s="1788">
        <f>+AN6+1</f>
        <v>2009</v>
      </c>
      <c r="AQ6" s="1783"/>
      <c r="AR6" s="1788">
        <f>+AP6+1</f>
        <v>2010</v>
      </c>
      <c r="AS6" s="1783"/>
      <c r="AT6" s="1788">
        <f>+AR6+1</f>
        <v>2011</v>
      </c>
      <c r="AU6" s="1783"/>
      <c r="AV6" s="1788">
        <f>+AT6+1</f>
        <v>2012</v>
      </c>
      <c r="AW6" s="1783"/>
      <c r="AX6" s="1788">
        <f>+AV6+1</f>
        <v>2013</v>
      </c>
      <c r="AY6" s="1783"/>
      <c r="AZ6" s="1788">
        <f>+AX6+1</f>
        <v>2014</v>
      </c>
      <c r="BA6" s="1783"/>
      <c r="BB6" s="1788">
        <f>+AZ6+1</f>
        <v>2015</v>
      </c>
      <c r="BC6" s="1783"/>
      <c r="BD6" s="1788">
        <f>+BB6+1</f>
        <v>2016</v>
      </c>
      <c r="BE6" s="1783"/>
      <c r="BF6" s="1789">
        <f>+BD6+1</f>
        <v>2017</v>
      </c>
      <c r="BG6" s="1783"/>
      <c r="BH6" s="1789">
        <f>+BF6+1</f>
        <v>2018</v>
      </c>
      <c r="BI6" s="1783"/>
      <c r="BJ6" s="1789">
        <f>+BH6+1</f>
        <v>2019</v>
      </c>
      <c r="BK6" s="1789"/>
      <c r="BL6" s="1789" t="s">
        <v>803</v>
      </c>
      <c r="BM6" s="1789"/>
      <c r="BN6" s="1789" t="s">
        <v>805</v>
      </c>
      <c r="BO6" s="1789"/>
      <c r="BP6" s="1789" t="s">
        <v>856</v>
      </c>
      <c r="BQ6" s="1783"/>
      <c r="BR6" s="1783"/>
      <c r="BS6" s="1783"/>
    </row>
    <row r="7" spans="1:71">
      <c r="A7" s="1783"/>
      <c r="B7" s="1783"/>
      <c r="C7" s="1783"/>
      <c r="D7" s="1783"/>
      <c r="E7" s="1783"/>
      <c r="F7" s="1783"/>
      <c r="G7" s="1783"/>
      <c r="H7" s="1783"/>
      <c r="I7" s="1783"/>
      <c r="J7" s="1783"/>
      <c r="K7" s="1783"/>
      <c r="L7" s="1783"/>
      <c r="M7" s="1783"/>
      <c r="N7" s="1783"/>
      <c r="O7" s="1783"/>
      <c r="P7" s="1783"/>
      <c r="Q7" s="1783"/>
      <c r="R7" s="1783"/>
      <c r="S7" s="1783"/>
      <c r="T7" s="1783"/>
      <c r="U7" s="1783"/>
      <c r="V7" s="1783"/>
      <c r="W7" s="1783"/>
      <c r="X7" s="1783"/>
      <c r="Y7" s="1783"/>
      <c r="Z7" s="1783"/>
      <c r="AA7" s="1783"/>
      <c r="AB7" s="1783"/>
      <c r="AC7" s="1783"/>
      <c r="AD7" s="1783"/>
      <c r="AE7" s="1783"/>
      <c r="AF7" s="1783"/>
      <c r="AG7" s="1783"/>
      <c r="AH7" s="1783"/>
      <c r="AI7" s="1783"/>
      <c r="AJ7" s="1783"/>
      <c r="AK7" s="1783"/>
      <c r="AL7" s="1783"/>
      <c r="AM7" s="1783"/>
      <c r="AN7" s="1783"/>
      <c r="AO7" s="1783"/>
      <c r="AP7" s="1783"/>
      <c r="AQ7" s="1783"/>
      <c r="AR7" s="1783"/>
      <c r="AS7" s="1783"/>
      <c r="AT7" s="1783"/>
      <c r="AU7" s="1783"/>
      <c r="AV7" s="1783"/>
      <c r="AW7" s="1783"/>
      <c r="AX7" s="1783"/>
      <c r="AY7" s="1783"/>
      <c r="AZ7" s="1790"/>
      <c r="BA7" s="1783"/>
      <c r="BB7" s="1783"/>
      <c r="BC7" s="1783"/>
      <c r="BD7" s="1783"/>
      <c r="BE7" s="1783"/>
      <c r="BF7" s="1783"/>
      <c r="BG7" s="1783"/>
      <c r="BH7" s="1783"/>
      <c r="BI7" s="1783"/>
      <c r="BJ7" s="1783"/>
      <c r="BK7" s="1783"/>
      <c r="BL7" s="1783"/>
      <c r="BM7" s="1783"/>
      <c r="BN7" s="1783"/>
      <c r="BO7" s="1783"/>
      <c r="BP7" s="1783"/>
      <c r="BQ7" s="1783"/>
      <c r="BR7" s="1783"/>
      <c r="BS7" s="1783"/>
    </row>
    <row r="8" spans="1:71">
      <c r="A8" s="1783" t="s">
        <v>51</v>
      </c>
      <c r="B8" s="1783"/>
      <c r="C8" s="1783"/>
      <c r="D8" s="1790">
        <f>'qtrP&amp;L'!F151</f>
        <v>74.127999999999957</v>
      </c>
      <c r="E8" s="1783" t="s">
        <v>70</v>
      </c>
      <c r="F8" s="1790">
        <f>'qtrP&amp;L'!J151</f>
        <v>20.114000000000416</v>
      </c>
      <c r="G8" s="1790"/>
      <c r="H8" s="1790">
        <f>'qtrP&amp;L'!N151</f>
        <v>102.84599999999995</v>
      </c>
      <c r="I8" s="1790"/>
      <c r="J8" s="1791">
        <f>'qtrP&amp;L'!R151</f>
        <v>124.37899999999996</v>
      </c>
      <c r="K8" s="1790"/>
      <c r="L8" s="1790">
        <f>'qtrP&amp;L'!V151</f>
        <v>82.619000000000099</v>
      </c>
      <c r="M8" s="1790"/>
      <c r="N8" s="1790">
        <f>'qtrP&amp;L'!Z151</f>
        <v>26.261000000000056</v>
      </c>
      <c r="O8" s="1783" t="s">
        <v>70</v>
      </c>
      <c r="P8" s="1790">
        <f>'qtrP&amp;L'!AD151</f>
        <v>363.12300000000016</v>
      </c>
      <c r="Q8" s="1790"/>
      <c r="R8" s="1790">
        <f>'qtrP&amp;L'!AH151</f>
        <v>304.81500000000045</v>
      </c>
      <c r="S8" s="1790"/>
      <c r="T8" s="1790">
        <f>'qtrP&amp;L'!AL151</f>
        <v>423.8540000000001</v>
      </c>
      <c r="U8" s="1790"/>
      <c r="V8" s="1790">
        <f>'qtrP&amp;L'!AP151</f>
        <v>521.66800000000057</v>
      </c>
      <c r="W8" s="1790"/>
      <c r="X8" s="1790">
        <f>'qtrP&amp;L'!AT151</f>
        <v>538.0659999999998</v>
      </c>
      <c r="Y8" s="1790"/>
      <c r="Z8" s="1790">
        <f>+'qtrP&amp;L'!AX151</f>
        <v>500.39699999999931</v>
      </c>
      <c r="AA8" s="1790"/>
      <c r="AB8" s="1790">
        <f>'qtrP&amp;L'!BB151</f>
        <v>578.38800000000015</v>
      </c>
      <c r="AC8" s="1790"/>
      <c r="AD8" s="1790">
        <f>'yrP&amp;L'!$O$44</f>
        <v>609.41200000000072</v>
      </c>
      <c r="AE8" s="1790"/>
      <c r="AF8" s="1790">
        <f>'yrP&amp;L'!$P$44</f>
        <v>609.69900000000052</v>
      </c>
      <c r="AG8" s="1790"/>
      <c r="AH8" s="1790">
        <f>+'yrP&amp;L'!Q44</f>
        <v>690.42300000000171</v>
      </c>
      <c r="AI8" s="1790"/>
      <c r="AJ8" s="1790">
        <f>'qtrP&amp;L'!BR133-38.11-0.607</f>
        <v>738.03900000000067</v>
      </c>
      <c r="AK8" s="1790"/>
      <c r="AL8" s="1790">
        <f>ROUND('qtrP&amp;L'!BV133,3)-10.682</f>
        <v>771.75</v>
      </c>
      <c r="AM8" s="1783"/>
      <c r="AN8" s="1790">
        <f>ROUND('qtrP&amp;L'!BZ133,3)-42.013</f>
        <v>880.61699999999996</v>
      </c>
      <c r="AO8" s="1783"/>
      <c r="AP8" s="1790">
        <f>+'yrP&amp;L'!U44</f>
        <v>1213.5719999999999</v>
      </c>
      <c r="AQ8" s="1783"/>
      <c r="AR8" s="1790">
        <f>+'qtrP&amp;L'!CH133</f>
        <v>1343.1409499999995</v>
      </c>
      <c r="AS8" s="1783"/>
      <c r="AT8" s="1790">
        <f>+'qtrP&amp;L'!CL133+0.000176</f>
        <v>1496.0900499999998</v>
      </c>
      <c r="AU8" s="1783"/>
      <c r="AV8" s="1790">
        <f>ROUND(+'yrP&amp;L'!X44,4)</f>
        <v>1906.6869999999999</v>
      </c>
      <c r="AW8" s="1783"/>
      <c r="AX8" s="1790">
        <f>+'yrP&amp;L'!Y44</f>
        <v>2137.3941199999995</v>
      </c>
      <c r="AY8" s="1783"/>
      <c r="AZ8" s="1790">
        <f>'yrP&amp;L'!Z47</f>
        <v>2215.1130899999985</v>
      </c>
      <c r="BA8" s="1783"/>
      <c r="BB8" s="1790">
        <f>+'yrP&amp;L'!AA44</f>
        <v>2277.6579999999976</v>
      </c>
      <c r="BC8" s="1783"/>
      <c r="BD8" s="1790">
        <f>+'yrP&amp;L'!AB44-(51.773+31.173)*(1-0.37)</f>
        <v>2298.2340000000058</v>
      </c>
      <c r="BE8" s="1783"/>
      <c r="BF8" s="1790">
        <f>+'yrP&amp;L'!AC44</f>
        <v>2607.948000000003</v>
      </c>
      <c r="BG8" s="1783"/>
      <c r="BH8" s="1790">
        <f>+'yrP&amp;L'!AD44</f>
        <v>3024.9776417598978</v>
      </c>
      <c r="BI8" s="1783"/>
      <c r="BJ8" s="1790">
        <f>+'yrP&amp;L'!AE44</f>
        <v>3283.0152729634938</v>
      </c>
      <c r="BK8" s="1790"/>
      <c r="BL8" s="1790">
        <f>'yrP&amp;L'!AF44</f>
        <v>3556.6263182653593</v>
      </c>
      <c r="BM8" s="1790"/>
      <c r="BN8" s="1790">
        <f>'yrP&amp;L'!AG44</f>
        <v>3810.1816201082838</v>
      </c>
      <c r="BO8" s="1790"/>
      <c r="BP8" s="1790">
        <f>'yrP&amp;L'!AH44</f>
        <v>4014.3018477146757</v>
      </c>
      <c r="BQ8" s="1783"/>
      <c r="BR8" s="1783"/>
      <c r="BS8" s="1783"/>
    </row>
    <row r="9" spans="1:71">
      <c r="A9" s="1783"/>
      <c r="B9" s="1783" t="s">
        <v>52</v>
      </c>
      <c r="C9" s="1783"/>
      <c r="D9" s="1792">
        <v>48.463999999999999</v>
      </c>
      <c r="E9" s="1792" t="s">
        <v>70</v>
      </c>
      <c r="F9" s="1793">
        <v>56.781999999999996</v>
      </c>
      <c r="G9" s="1792"/>
      <c r="H9" s="1793">
        <v>62.933</v>
      </c>
      <c r="I9" s="1792"/>
      <c r="J9" s="1793">
        <v>57.152999999999999</v>
      </c>
      <c r="K9" s="1792"/>
      <c r="L9" s="1793">
        <v>60.582000000000001</v>
      </c>
      <c r="M9" s="1792"/>
      <c r="N9" s="1793">
        <v>79.231999999999999</v>
      </c>
      <c r="O9" s="1792" t="s">
        <v>70</v>
      </c>
      <c r="P9" s="1793">
        <v>126.83</v>
      </c>
      <c r="Q9" s="1792"/>
      <c r="R9" s="1793">
        <v>124.89100000000001</v>
      </c>
      <c r="S9" s="1792"/>
      <c r="T9" s="1793">
        <v>136.46899999999999</v>
      </c>
      <c r="U9" s="1792"/>
      <c r="V9" s="1793">
        <v>160.46600000000001</v>
      </c>
      <c r="W9" s="1793"/>
      <c r="X9" s="1792">
        <f>'qtrP&amp;L'!AT55</f>
        <v>175.78100000000001</v>
      </c>
      <c r="Y9" s="1792"/>
      <c r="Z9" s="1792">
        <f>'qtrP&amp;L'!AX55</f>
        <v>204.08099999999999</v>
      </c>
      <c r="AA9" s="1794"/>
      <c r="AB9" s="1792">
        <f>'qtrP&amp;L'!BB55</f>
        <v>207.876</v>
      </c>
      <c r="AC9" s="1795"/>
      <c r="AD9" s="1792">
        <f>'qtrP&amp;L'!BF55</f>
        <v>238.38499999999999</v>
      </c>
      <c r="AE9" s="1794"/>
      <c r="AF9" s="1796">
        <f>'qtrP&amp;L'!BJ55</f>
        <v>279.05900000000003</v>
      </c>
      <c r="AG9" s="1797"/>
      <c r="AH9" s="1796">
        <f>'qtrP&amp;L'!BN55</f>
        <v>314.28500000000003</v>
      </c>
      <c r="AI9" s="1797"/>
      <c r="AJ9" s="1796">
        <f>'qtrP&amp;L'!BR55</f>
        <v>353.11</v>
      </c>
      <c r="AK9" s="1797"/>
      <c r="AL9" s="1796">
        <f>'qtrP&amp;L'!BV55</f>
        <v>369.39600000000002</v>
      </c>
      <c r="AM9" s="1796"/>
      <c r="AN9" s="1797">
        <v>401.70699999999999</v>
      </c>
      <c r="AO9" s="1796"/>
      <c r="AP9" s="1797">
        <v>435.21800000000002</v>
      </c>
      <c r="AQ9" s="1796"/>
      <c r="AR9" s="1797">
        <v>458.05200000000002</v>
      </c>
      <c r="AS9" s="1796"/>
      <c r="AT9" s="1797">
        <v>485.70100000000002</v>
      </c>
      <c r="AU9" s="1796"/>
      <c r="AV9" s="1797">
        <v>508.92899999999997</v>
      </c>
      <c r="AW9" s="1783"/>
      <c r="AX9" s="1797">
        <v>548.79999999999995</v>
      </c>
      <c r="AY9" s="1783"/>
      <c r="AZ9" s="1797">
        <v>589</v>
      </c>
      <c r="BA9" s="1783"/>
      <c r="BB9" s="1797">
        <v>616.69600000000003</v>
      </c>
      <c r="BC9" s="1783"/>
      <c r="BD9" s="1930">
        <v>658.79600000000005</v>
      </c>
      <c r="BE9" s="1783"/>
      <c r="BF9" s="1930">
        <v>726</v>
      </c>
      <c r="BG9" s="1783"/>
      <c r="BH9" s="1792">
        <f>'yrP&amp;L'!AD73</f>
        <v>720</v>
      </c>
      <c r="BI9" s="1783"/>
      <c r="BJ9" s="1792">
        <f>'yrP&amp;L'!AE73</f>
        <v>763.2</v>
      </c>
      <c r="BK9" s="1792"/>
      <c r="BL9" s="1792">
        <f>'yrP&amp;L'!AF73</f>
        <v>808.99200000000008</v>
      </c>
      <c r="BM9" s="1792"/>
      <c r="BN9" s="1792">
        <f>'yrP&amp;L'!AG73</f>
        <v>857.53152000000011</v>
      </c>
      <c r="BO9" s="1792"/>
      <c r="BP9" s="1792">
        <f>'yrP&amp;L'!AH73</f>
        <v>908.98341120000021</v>
      </c>
      <c r="BQ9" s="1783"/>
      <c r="BR9" s="1783"/>
      <c r="BS9" s="1783"/>
    </row>
    <row r="10" spans="1:71">
      <c r="A10" s="1783"/>
      <c r="B10" s="1783" t="s">
        <v>665</v>
      </c>
      <c r="C10" s="1783"/>
      <c r="D10" s="1792">
        <v>1.913</v>
      </c>
      <c r="E10" s="1792"/>
      <c r="F10" s="1793">
        <v>1.7929999999999999</v>
      </c>
      <c r="G10" s="1792"/>
      <c r="H10" s="1793">
        <v>9.5269999999999992</v>
      </c>
      <c r="I10" s="1792"/>
      <c r="J10" s="1793">
        <v>0.88300000000000001</v>
      </c>
      <c r="K10" s="1792"/>
      <c r="L10" s="1792">
        <v>5.157</v>
      </c>
      <c r="M10" s="1792"/>
      <c r="N10" s="1792">
        <v>3.4889999999999999</v>
      </c>
      <c r="O10" s="1792"/>
      <c r="P10" s="1793">
        <v>25.399000000000001</v>
      </c>
      <c r="Q10" s="1792"/>
      <c r="R10" s="1793">
        <v>18.777999999999999</v>
      </c>
      <c r="S10" s="1792"/>
      <c r="T10" s="1793">
        <v>6.0369999999999999</v>
      </c>
      <c r="U10" s="1792"/>
      <c r="V10" s="1793">
        <v>4.6239999999999997</v>
      </c>
      <c r="W10" s="1792"/>
      <c r="X10" s="1793">
        <v>4.5590000000000002</v>
      </c>
      <c r="Y10" s="1792"/>
      <c r="Z10" s="1793">
        <v>6.8319999999999999</v>
      </c>
      <c r="AA10" s="1792"/>
      <c r="AB10" s="1793">
        <v>8.6989999999999998</v>
      </c>
      <c r="AC10" s="1792"/>
      <c r="AD10" s="1793">
        <v>5.6790000000000003</v>
      </c>
      <c r="AE10" s="1792"/>
      <c r="AF10" s="1797">
        <v>4.9080000000000004</v>
      </c>
      <c r="AG10" s="1796"/>
      <c r="AH10" s="1797">
        <v>10.6</v>
      </c>
      <c r="AI10" s="1796"/>
      <c r="AJ10" s="1797">
        <v>32.743000000000002</v>
      </c>
      <c r="AK10" s="1796"/>
      <c r="AL10" s="1797">
        <f>18.318+7.626</f>
        <v>25.944000000000003</v>
      </c>
      <c r="AM10" s="1796"/>
      <c r="AN10" s="1797">
        <v>23.902999999999999</v>
      </c>
      <c r="AO10" s="1796"/>
      <c r="AP10" s="1797">
        <v>10.27</v>
      </c>
      <c r="AQ10" s="1796"/>
      <c r="AR10" s="1797">
        <v>96.072999999999993</v>
      </c>
      <c r="AS10" s="1796"/>
      <c r="AT10" s="1797">
        <v>13.558999999999999</v>
      </c>
      <c r="AU10" s="1796"/>
      <c r="AV10" s="1797">
        <v>11.875999999999999</v>
      </c>
      <c r="AW10" s="1783"/>
      <c r="AX10" s="1797">
        <v>0</v>
      </c>
      <c r="AY10" s="1783"/>
      <c r="AZ10" s="1797">
        <v>0</v>
      </c>
      <c r="BA10" s="1783"/>
      <c r="BB10" s="1793">
        <v>3.383</v>
      </c>
      <c r="BC10" s="1783"/>
      <c r="BD10" s="1793">
        <v>5.2069999999999999</v>
      </c>
      <c r="BE10" s="1783"/>
      <c r="BF10" s="1793">
        <v>99.3</v>
      </c>
      <c r="BG10" s="1783"/>
      <c r="BH10" s="1793">
        <v>0</v>
      </c>
      <c r="BI10" s="1783"/>
      <c r="BJ10" s="1793">
        <v>0</v>
      </c>
      <c r="BK10" s="1793"/>
      <c r="BL10" s="1793">
        <v>0</v>
      </c>
      <c r="BM10" s="1793"/>
      <c r="BN10" s="1793">
        <v>0</v>
      </c>
      <c r="BO10" s="1793"/>
      <c r="BP10" s="1793">
        <v>0</v>
      </c>
      <c r="BQ10" s="1793"/>
      <c r="BR10" s="1793"/>
      <c r="BS10" s="1793"/>
    </row>
    <row r="11" spans="1:71">
      <c r="A11" s="1783"/>
      <c r="B11" s="1783" t="s">
        <v>538</v>
      </c>
      <c r="C11" s="1783"/>
      <c r="D11" s="1798" t="s">
        <v>642</v>
      </c>
      <c r="E11" s="1792"/>
      <c r="F11" s="1798" t="s">
        <v>642</v>
      </c>
      <c r="G11" s="1798"/>
      <c r="H11" s="1798" t="s">
        <v>642</v>
      </c>
      <c r="I11" s="1799"/>
      <c r="J11" s="1798" t="s">
        <v>642</v>
      </c>
      <c r="K11" s="1799"/>
      <c r="L11" s="1798" t="s">
        <v>642</v>
      </c>
      <c r="M11" s="1799"/>
      <c r="N11" s="1798" t="s">
        <v>642</v>
      </c>
      <c r="O11" s="1799"/>
      <c r="P11" s="1798" t="s">
        <v>642</v>
      </c>
      <c r="Q11" s="1799"/>
      <c r="R11" s="1798" t="s">
        <v>642</v>
      </c>
      <c r="S11" s="1799"/>
      <c r="T11" s="1800">
        <v>-19.902000000000001</v>
      </c>
      <c r="U11" s="1799"/>
      <c r="V11" s="1799">
        <v>1.79</v>
      </c>
      <c r="W11" s="1799"/>
      <c r="X11" s="1799">
        <v>-24.234999999999999</v>
      </c>
      <c r="Y11" s="1799"/>
      <c r="Z11" s="1799">
        <v>35.229999999999997</v>
      </c>
      <c r="AA11" s="1792"/>
      <c r="AB11" s="1793">
        <v>72.138000000000005</v>
      </c>
      <c r="AC11" s="1792"/>
      <c r="AD11" s="1800">
        <v>62.747</v>
      </c>
      <c r="AE11" s="1792"/>
      <c r="AF11" s="1797">
        <v>22.757999999999999</v>
      </c>
      <c r="AG11" s="1801"/>
      <c r="AH11" s="1797">
        <v>-88.245000000000005</v>
      </c>
      <c r="AI11" s="1801"/>
      <c r="AJ11" s="1797">
        <v>6.2859999999999996</v>
      </c>
      <c r="AK11" s="1801"/>
      <c r="AL11" s="1797">
        <v>-101.79900000000001</v>
      </c>
      <c r="AM11" s="1796"/>
      <c r="AN11" s="1797">
        <v>132.47999999999999</v>
      </c>
      <c r="AO11" s="1796"/>
      <c r="AP11" s="1797">
        <v>53.155000000000001</v>
      </c>
      <c r="AQ11" s="1796"/>
      <c r="AR11" s="1797">
        <v>50.640999999999998</v>
      </c>
      <c r="AS11" s="1796"/>
      <c r="AT11" s="1797">
        <v>144.762</v>
      </c>
      <c r="AU11" s="1796"/>
      <c r="AV11" s="1797">
        <v>13.265000000000001</v>
      </c>
      <c r="AW11" s="1783"/>
      <c r="AX11" s="1797">
        <v>52.2</v>
      </c>
      <c r="AY11" s="1783"/>
      <c r="AZ11" s="1797">
        <v>91</v>
      </c>
      <c r="BA11" s="1783"/>
      <c r="BB11" s="1797">
        <v>31.204000000000001</v>
      </c>
      <c r="BC11" s="1783"/>
      <c r="BD11" s="1931">
        <v>-5.5030000000000001</v>
      </c>
      <c r="BE11" s="1783"/>
      <c r="BF11" s="1931">
        <v>-137.4</v>
      </c>
      <c r="BG11" s="1783"/>
      <c r="BH11" s="1802">
        <f>bal!BJ41-bal!BH41+bal!BJ35-bal!BH35+bal!BH13-bal!BJ13+bal!BH22-bal!BJ22</f>
        <v>0</v>
      </c>
      <c r="BI11" s="1783"/>
      <c r="BJ11" s="1802">
        <f>bal!BL41-bal!BJ41+bal!BL35-bal!BJ35+bal!BJ13-bal!BL13+bal!BJ22-bal!BL22</f>
        <v>0</v>
      </c>
      <c r="BK11" s="1802"/>
      <c r="BL11" s="1802">
        <f>bal!BN41-bal!BL41+bal!BN35-bal!BL35+bal!BL13-bal!BN13+bal!BL22-bal!BN22</f>
        <v>0</v>
      </c>
      <c r="BM11" s="1802"/>
      <c r="BN11" s="1802">
        <f>bal!BP41-bal!BN41+bal!BP35-bal!BN35+bal!BN13-bal!BP13+bal!BN22-bal!BP22</f>
        <v>0</v>
      </c>
      <c r="BO11" s="1802"/>
      <c r="BP11" s="1802">
        <f>bal!BR41-bal!BP41+bal!BR35-bal!BP35+bal!BP13-bal!BR13+bal!BP22-bal!BR22</f>
        <v>0</v>
      </c>
      <c r="BQ11" s="1783"/>
      <c r="BR11" s="1783"/>
      <c r="BS11" s="1783"/>
    </row>
    <row r="12" spans="1:71">
      <c r="A12" s="1783"/>
      <c r="B12" s="1783" t="s">
        <v>179</v>
      </c>
      <c r="C12" s="1783"/>
      <c r="D12" s="1803" t="s">
        <v>642</v>
      </c>
      <c r="E12" s="1792"/>
      <c r="F12" s="1803" t="s">
        <v>642</v>
      </c>
      <c r="G12" s="1803"/>
      <c r="H12" s="1803" t="s">
        <v>642</v>
      </c>
      <c r="I12" s="1792"/>
      <c r="J12" s="1803" t="s">
        <v>642</v>
      </c>
      <c r="K12" s="1793"/>
      <c r="L12" s="1803" t="s">
        <v>642</v>
      </c>
      <c r="M12" s="1792"/>
      <c r="N12" s="1803" t="s">
        <v>642</v>
      </c>
      <c r="O12" s="1793"/>
      <c r="P12" s="1803" t="s">
        <v>642</v>
      </c>
      <c r="Q12" s="1792"/>
      <c r="R12" s="1803" t="s">
        <v>642</v>
      </c>
      <c r="S12" s="1793"/>
      <c r="T12" s="1793">
        <v>13.821</v>
      </c>
      <c r="U12" s="1792"/>
      <c r="V12" s="1793">
        <v>11.736000000000001</v>
      </c>
      <c r="W12" s="1793"/>
      <c r="X12" s="1793">
        <v>15.941000000000001</v>
      </c>
      <c r="Y12" s="1792"/>
      <c r="Z12" s="1793">
        <v>30.643999999999998</v>
      </c>
      <c r="AA12" s="1793"/>
      <c r="AB12" s="1793">
        <v>11.766999999999999</v>
      </c>
      <c r="AC12" s="1793"/>
      <c r="AD12" s="1793">
        <f>-2.552+2.552</f>
        <v>0</v>
      </c>
      <c r="AE12" s="1793"/>
      <c r="AF12" s="1797">
        <f>-3.022+3.022</f>
        <v>0</v>
      </c>
      <c r="AG12" s="1797"/>
      <c r="AH12" s="1797">
        <v>0</v>
      </c>
      <c r="AI12" s="1797"/>
      <c r="AJ12" s="1797">
        <f>-3.632+3.632</f>
        <v>0</v>
      </c>
      <c r="AK12" s="1797"/>
      <c r="AL12" s="1797">
        <f>-6756+6756</f>
        <v>0</v>
      </c>
      <c r="AM12" s="1796"/>
      <c r="AN12" s="1797">
        <f>-18.879+18.879</f>
        <v>0</v>
      </c>
      <c r="AO12" s="1796"/>
      <c r="AP12" s="1797">
        <f>17.494-17.494</f>
        <v>0</v>
      </c>
      <c r="AQ12" s="1796"/>
      <c r="AR12" s="1797">
        <f>28.095-28.095</f>
        <v>0</v>
      </c>
      <c r="AS12" s="1796"/>
      <c r="AT12" s="1797">
        <f>-46.143+46.143</f>
        <v>0</v>
      </c>
      <c r="AU12" s="1796"/>
      <c r="AV12" s="1797">
        <f>-62.472+62.472</f>
        <v>0</v>
      </c>
      <c r="AW12" s="1783"/>
      <c r="AX12" s="1797">
        <f>-62.472+62.472</f>
        <v>0</v>
      </c>
      <c r="AY12" s="1783"/>
      <c r="AZ12" s="1797">
        <v>0</v>
      </c>
      <c r="BA12" s="1783"/>
      <c r="BB12" s="1793">
        <v>94.106999999999999</v>
      </c>
      <c r="BC12" s="1783"/>
      <c r="BD12" s="1793">
        <v>102.251</v>
      </c>
      <c r="BE12" s="1783"/>
      <c r="BF12" s="1793">
        <v>101.4</v>
      </c>
      <c r="BG12" s="1783"/>
      <c r="BH12" s="1793">
        <v>0</v>
      </c>
      <c r="BI12" s="1783"/>
      <c r="BJ12" s="1793">
        <v>0</v>
      </c>
      <c r="BK12" s="1793"/>
      <c r="BL12" s="1793">
        <v>0</v>
      </c>
      <c r="BM12" s="1793"/>
      <c r="BN12" s="1793">
        <v>0</v>
      </c>
      <c r="BO12" s="1793"/>
      <c r="BP12" s="1793">
        <v>0</v>
      </c>
      <c r="BQ12" s="1783"/>
      <c r="BR12" s="1783"/>
      <c r="BS12" s="1783"/>
    </row>
    <row r="13" spans="1:71">
      <c r="A13" s="1783"/>
      <c r="B13" s="1783" t="s">
        <v>53</v>
      </c>
      <c r="C13" s="1783"/>
      <c r="D13" s="1804">
        <v>0.17100000000000001</v>
      </c>
      <c r="E13" s="1783"/>
      <c r="F13" s="1804">
        <v>-1.2130000000000001</v>
      </c>
      <c r="G13" s="1783"/>
      <c r="H13" s="1804">
        <f>1.198+5.518</f>
        <v>6.7159999999999993</v>
      </c>
      <c r="I13" s="1783"/>
      <c r="J13" s="1804">
        <f>2.667+0.259-2.429</f>
        <v>0.49699999999999989</v>
      </c>
      <c r="K13" s="1783"/>
      <c r="L13" s="1804">
        <f>1.861+0.912</f>
        <v>2.7730000000000001</v>
      </c>
      <c r="M13" s="1783"/>
      <c r="N13" s="1804">
        <f>-9.71+31.7+3.338-0.382</f>
        <v>24.945999999999998</v>
      </c>
      <c r="O13" s="1783"/>
      <c r="P13" s="1804">
        <f>-29.361-125.556+5.62-0.732</f>
        <v>-150.029</v>
      </c>
      <c r="Q13" s="1783"/>
      <c r="R13" s="1804">
        <f>1.777-3.928</f>
        <v>-2.1509999999999998</v>
      </c>
      <c r="S13" s="1783"/>
      <c r="T13" s="1804">
        <v>9.048</v>
      </c>
      <c r="U13" s="1783"/>
      <c r="V13" s="1804">
        <v>5.1539999999999999</v>
      </c>
      <c r="W13" s="1783"/>
      <c r="X13" s="1804">
        <v>0</v>
      </c>
      <c r="Y13" s="1783"/>
      <c r="Z13" s="1804">
        <f>40</f>
        <v>40</v>
      </c>
      <c r="AA13" s="1783"/>
      <c r="AB13" s="1804">
        <v>3.1970000000000001</v>
      </c>
      <c r="AC13" s="1783"/>
      <c r="AD13" s="1804">
        <v>91.796999999999997</v>
      </c>
      <c r="AE13" s="1783"/>
      <c r="AF13" s="1805">
        <v>100.121</v>
      </c>
      <c r="AG13" s="1796"/>
      <c r="AH13" s="1805">
        <v>91.19</v>
      </c>
      <c r="AI13" s="1796"/>
      <c r="AJ13" s="1805">
        <v>69.804000000000002</v>
      </c>
      <c r="AK13" s="1796"/>
      <c r="AL13" s="1805">
        <v>57.37</v>
      </c>
      <c r="AM13" s="1796"/>
      <c r="AN13" s="1805">
        <f>51.229+31.328</f>
        <v>82.557000000000002</v>
      </c>
      <c r="AO13" s="1796"/>
      <c r="AP13" s="1805">
        <v>55.145000000000003</v>
      </c>
      <c r="AQ13" s="1796"/>
      <c r="AR13" s="1805">
        <v>58.804000000000002</v>
      </c>
      <c r="AS13" s="1796"/>
      <c r="AT13" s="1805">
        <v>64.174999999999997</v>
      </c>
      <c r="AU13" s="1796"/>
      <c r="AV13" s="1805">
        <v>64.415999999999997</v>
      </c>
      <c r="AW13" s="1783"/>
      <c r="AX13" s="1805">
        <f>76.1-97.1</f>
        <v>-21</v>
      </c>
      <c r="AY13" s="1783"/>
      <c r="AZ13" s="1805">
        <f>88+16.8</f>
        <v>104.8</v>
      </c>
      <c r="BA13" s="1783"/>
      <c r="BB13" s="1804">
        <v>-64.680000000000007</v>
      </c>
      <c r="BC13" s="1783"/>
      <c r="BD13" s="1804">
        <f>51.773+31.173-70.999</f>
        <v>11.947000000000003</v>
      </c>
      <c r="BE13" s="1783"/>
      <c r="BF13" s="1804">
        <v>0</v>
      </c>
      <c r="BG13" s="1783"/>
      <c r="BH13" s="1804">
        <v>0</v>
      </c>
      <c r="BI13" s="1783"/>
      <c r="BJ13" s="1804">
        <v>0</v>
      </c>
      <c r="BK13" s="1804"/>
      <c r="BL13" s="1804">
        <v>0</v>
      </c>
      <c r="BM13" s="1804"/>
      <c r="BN13" s="1804">
        <v>0</v>
      </c>
      <c r="BO13" s="1804"/>
      <c r="BP13" s="1804">
        <v>0</v>
      </c>
      <c r="BQ13" s="1783"/>
      <c r="BR13" s="1783"/>
      <c r="BS13" s="1783"/>
    </row>
    <row r="14" spans="1:71">
      <c r="A14" s="1783"/>
      <c r="B14" s="1783"/>
      <c r="C14" s="1783"/>
      <c r="D14" s="1806"/>
      <c r="E14" s="1783"/>
      <c r="F14" s="1806"/>
      <c r="G14" s="1783"/>
      <c r="H14" s="1806"/>
      <c r="I14" s="1783"/>
      <c r="J14" s="1806"/>
      <c r="K14" s="1783"/>
      <c r="L14" s="1806"/>
      <c r="M14" s="1783"/>
      <c r="N14" s="1806"/>
      <c r="O14" s="1783"/>
      <c r="P14" s="1806"/>
      <c r="Q14" s="1783"/>
      <c r="R14" s="1806"/>
      <c r="S14" s="1783"/>
      <c r="T14" s="1806"/>
      <c r="U14" s="1783"/>
      <c r="V14" s="1806"/>
      <c r="W14" s="1783"/>
      <c r="X14" s="1806"/>
      <c r="Y14" s="1783"/>
      <c r="Z14" s="1806"/>
      <c r="AA14" s="1783"/>
      <c r="AB14" s="1806"/>
      <c r="AC14" s="1783"/>
      <c r="AD14" s="1806"/>
      <c r="AE14" s="1783"/>
      <c r="AF14" s="1806"/>
      <c r="AG14" s="1783"/>
      <c r="AH14" s="1806"/>
      <c r="AI14" s="1783"/>
      <c r="AJ14" s="1806"/>
      <c r="AK14" s="1783"/>
      <c r="AL14" s="1806"/>
      <c r="AM14" s="1783"/>
      <c r="AN14" s="1806"/>
      <c r="AO14" s="1783"/>
      <c r="AP14" s="1806"/>
      <c r="AQ14" s="1783"/>
      <c r="AR14" s="1806"/>
      <c r="AS14" s="1783"/>
      <c r="AT14" s="1806"/>
      <c r="AU14" s="1783"/>
      <c r="AV14" s="1806"/>
      <c r="AW14" s="1783"/>
      <c r="AX14" s="1806"/>
      <c r="AY14" s="1783"/>
      <c r="AZ14" s="1806"/>
      <c r="BA14" s="1783"/>
      <c r="BB14" s="1806"/>
      <c r="BC14" s="1783"/>
      <c r="BD14" s="1806"/>
      <c r="BE14" s="1783"/>
      <c r="BF14" s="1806"/>
      <c r="BG14" s="1783"/>
      <c r="BH14" s="1806"/>
      <c r="BI14" s="1783"/>
      <c r="BJ14" s="1806"/>
      <c r="BK14" s="1806"/>
      <c r="BL14" s="1806"/>
      <c r="BM14" s="1806"/>
      <c r="BN14" s="1806"/>
      <c r="BO14" s="1806"/>
      <c r="BP14" s="1806"/>
      <c r="BQ14" s="1783"/>
      <c r="BR14" s="1783"/>
      <c r="BS14" s="1783"/>
    </row>
    <row r="15" spans="1:71">
      <c r="A15" s="1775" t="s">
        <v>54</v>
      </c>
      <c r="B15" s="1775"/>
      <c r="C15" s="1775"/>
      <c r="D15" s="1807">
        <f>SUM(D8:D13)</f>
        <v>124.67599999999996</v>
      </c>
      <c r="E15" s="1775"/>
      <c r="F15" s="1807">
        <f>SUM(F8:F13)</f>
        <v>77.476000000000425</v>
      </c>
      <c r="G15" s="1807"/>
      <c r="H15" s="1807">
        <f>SUM(H8:H13)</f>
        <v>182.02199999999993</v>
      </c>
      <c r="I15" s="1807"/>
      <c r="J15" s="1807">
        <f>SUM(J8:J13)</f>
        <v>182.91199999999998</v>
      </c>
      <c r="K15" s="1807"/>
      <c r="L15" s="1807">
        <f>SUM(L8:L13)</f>
        <v>151.13100000000011</v>
      </c>
      <c r="M15" s="1807"/>
      <c r="N15" s="1807">
        <f>SUM(N8:N13)</f>
        <v>133.92800000000005</v>
      </c>
      <c r="O15" s="1775"/>
      <c r="P15" s="1807">
        <f>SUM(P8:P13)</f>
        <v>365.32300000000009</v>
      </c>
      <c r="Q15" s="1807"/>
      <c r="R15" s="1807">
        <f>SUM(R8:R13)</f>
        <v>446.33300000000048</v>
      </c>
      <c r="S15" s="1807"/>
      <c r="T15" s="1807">
        <f>SUM(T8:T13)</f>
        <v>569.32700000000011</v>
      </c>
      <c r="U15" s="1807"/>
      <c r="V15" s="1807">
        <f>SUM(V8:V13)</f>
        <v>705.43800000000056</v>
      </c>
      <c r="W15" s="1807"/>
      <c r="X15" s="1807">
        <f>SUM(X8:X13)</f>
        <v>710.11199999999974</v>
      </c>
      <c r="Y15" s="1807"/>
      <c r="Z15" s="1807">
        <f>SUM(Z8:Z13)</f>
        <v>817.18399999999929</v>
      </c>
      <c r="AA15" s="1807"/>
      <c r="AB15" s="1807">
        <f>SUM(AB8:AB13)</f>
        <v>882.06500000000017</v>
      </c>
      <c r="AC15" s="1807"/>
      <c r="AD15" s="1807">
        <f>SUM(AD8:AD13)</f>
        <v>1008.0200000000007</v>
      </c>
      <c r="AE15" s="1807"/>
      <c r="AF15" s="1807">
        <f>SUM(AF8:AF13)</f>
        <v>1016.5450000000005</v>
      </c>
      <c r="AG15" s="1807"/>
      <c r="AH15" s="1807">
        <f>SUM(AH8:AH13)</f>
        <v>1018.2530000000017</v>
      </c>
      <c r="AI15" s="1807"/>
      <c r="AJ15" s="1807">
        <f>SUM(AJ8:AJ13)</f>
        <v>1199.9820000000009</v>
      </c>
      <c r="AK15" s="1807"/>
      <c r="AL15" s="1807">
        <f>SUM(AL8:AL13)</f>
        <v>1122.6609999999998</v>
      </c>
      <c r="AM15" s="1783"/>
      <c r="AN15" s="1807">
        <f>SUM(AN8:AN13)</f>
        <v>1521.2640000000001</v>
      </c>
      <c r="AO15" s="1783"/>
      <c r="AP15" s="1807">
        <f>SUM(AP8:AP13)</f>
        <v>1767.36</v>
      </c>
      <c r="AQ15" s="1783"/>
      <c r="AR15" s="1807">
        <f>SUM(AR8:AR13)</f>
        <v>2006.7109499999999</v>
      </c>
      <c r="AS15" s="1783"/>
      <c r="AT15" s="1807">
        <f>SUM(AT8:AT13)</f>
        <v>2204.2870499999999</v>
      </c>
      <c r="AU15" s="1783"/>
      <c r="AV15" s="1807">
        <f>SUM(AV8:AV13)</f>
        <v>2505.1730000000002</v>
      </c>
      <c r="AW15" s="1783"/>
      <c r="AX15" s="1807">
        <f>SUM(AX8:AX13)</f>
        <v>2717.394119999999</v>
      </c>
      <c r="AY15" s="1783"/>
      <c r="AZ15" s="1807">
        <f>SUM(AZ8:AZ13)</f>
        <v>2999.9130899999986</v>
      </c>
      <c r="BA15" s="1783"/>
      <c r="BB15" s="1807">
        <f>SUM(BB8:BB13)</f>
        <v>2958.3679999999977</v>
      </c>
      <c r="BC15" s="1783"/>
      <c r="BD15" s="1807">
        <f>SUM(BD8:BD13)</f>
        <v>3070.9320000000062</v>
      </c>
      <c r="BE15" s="1783"/>
      <c r="BF15" s="1807">
        <f>SUM(BF8:BF13)</f>
        <v>3397.2480000000032</v>
      </c>
      <c r="BG15" s="1783"/>
      <c r="BH15" s="1807">
        <f>SUM(BH8:BH13)</f>
        <v>3744.9776417598978</v>
      </c>
      <c r="BI15" s="1783"/>
      <c r="BJ15" s="1807">
        <f>SUM(BJ8:BJ13)</f>
        <v>4046.2152729634936</v>
      </c>
      <c r="BK15" s="1807"/>
      <c r="BL15" s="1807">
        <f>SUM(BL8:BL13)</f>
        <v>4365.6183182653594</v>
      </c>
      <c r="BM15" s="1807"/>
      <c r="BN15" s="1807">
        <f>SUM(BN8:BN13)</f>
        <v>4667.7131401082843</v>
      </c>
      <c r="BO15" s="1807"/>
      <c r="BP15" s="1807">
        <f>SUM(BP8:BP13)</f>
        <v>4923.285258914676</v>
      </c>
      <c r="BQ15" s="1783"/>
      <c r="BR15" s="1783"/>
      <c r="BS15" s="1783"/>
    </row>
    <row r="16" spans="1:71" hidden="1" outlineLevel="1">
      <c r="A16" s="1783"/>
      <c r="B16" s="1783"/>
      <c r="C16" s="1783"/>
      <c r="D16" s="1790"/>
      <c r="E16" s="1783"/>
      <c r="F16" s="1790"/>
      <c r="G16" s="1790"/>
      <c r="H16" s="1790"/>
      <c r="I16" s="1790"/>
      <c r="J16" s="1791">
        <f>+J15-J34</f>
        <v>75.002999999999972</v>
      </c>
      <c r="K16" s="1790"/>
      <c r="L16" s="1790">
        <f>+L15-L34</f>
        <v>83.808000000000135</v>
      </c>
      <c r="M16" s="1790"/>
      <c r="N16" s="1790">
        <f>+N15-N34</f>
        <v>254.55400000000006</v>
      </c>
      <c r="O16" s="1783"/>
      <c r="P16" s="1790">
        <f>+P15-P34</f>
        <v>664.46300000000008</v>
      </c>
      <c r="Q16" s="1790"/>
      <c r="R16" s="1790">
        <f>+R15-R34</f>
        <v>383.49400000000048</v>
      </c>
      <c r="S16" s="1790"/>
      <c r="T16" s="1790">
        <f>+T15-T34</f>
        <v>642.14900000000011</v>
      </c>
      <c r="U16" s="1790"/>
      <c r="V16" s="1790">
        <f>+V15-V34</f>
        <v>595.22400000000061</v>
      </c>
      <c r="W16" s="1790"/>
      <c r="X16" s="1790">
        <f>+X15-X34</f>
        <v>556.76299999999969</v>
      </c>
      <c r="Y16" s="1790"/>
      <c r="Z16" s="1791">
        <f>+Z15-Z34</f>
        <v>912.44599999999923</v>
      </c>
      <c r="AA16" s="1790"/>
      <c r="AB16" s="1808">
        <f>+AB15-AB34</f>
        <v>908.56000000000017</v>
      </c>
      <c r="AC16" s="1790"/>
      <c r="AD16" s="1790"/>
      <c r="AE16" s="1790"/>
      <c r="AF16" s="1790"/>
      <c r="AG16" s="1790"/>
      <c r="AH16" s="1790"/>
      <c r="AI16" s="1790"/>
      <c r="AJ16" s="1790"/>
      <c r="AK16" s="1790"/>
      <c r="AL16" s="1790"/>
      <c r="AM16" s="1783"/>
      <c r="AN16" s="1790"/>
      <c r="AO16" s="1783"/>
      <c r="AP16" s="1790"/>
      <c r="AQ16" s="1783"/>
      <c r="AR16" s="1790"/>
      <c r="AS16" s="1783"/>
      <c r="AT16" s="1790"/>
      <c r="AU16" s="1783"/>
      <c r="AV16" s="1790"/>
      <c r="AW16" s="1783"/>
      <c r="AX16" s="1790"/>
      <c r="AY16" s="1783"/>
      <c r="AZ16" s="1790"/>
      <c r="BA16" s="1783"/>
      <c r="BB16" s="1790"/>
      <c r="BC16" s="1783"/>
      <c r="BD16" s="1790"/>
      <c r="BE16" s="1783"/>
      <c r="BF16" s="1790"/>
      <c r="BG16" s="1783"/>
      <c r="BH16" s="1790"/>
      <c r="BI16" s="1783"/>
      <c r="BJ16" s="1790"/>
      <c r="BK16" s="1790"/>
      <c r="BL16" s="1790"/>
      <c r="BM16" s="1790"/>
      <c r="BN16" s="1790"/>
      <c r="BO16" s="1790"/>
      <c r="BP16" s="1790"/>
      <c r="BQ16" s="1783"/>
      <c r="BR16" s="1783"/>
      <c r="BS16" s="1783"/>
    </row>
    <row r="17" spans="1:71" hidden="1" outlineLevel="1" collapsed="1">
      <c r="A17" s="1783"/>
      <c r="B17" s="1783"/>
      <c r="C17" s="1783"/>
      <c r="D17" s="1790"/>
      <c r="E17" s="1783"/>
      <c r="F17" s="1790"/>
      <c r="G17" s="1790"/>
      <c r="H17" s="1790"/>
      <c r="I17" s="1790"/>
      <c r="J17" s="1791"/>
      <c r="K17" s="1790"/>
      <c r="L17" s="1790"/>
      <c r="M17" s="1790"/>
      <c r="N17" s="1790"/>
      <c r="O17" s="1783"/>
      <c r="P17" s="1790"/>
      <c r="Q17" s="1790"/>
      <c r="R17" s="1790"/>
      <c r="S17" s="1790"/>
      <c r="T17" s="1790"/>
      <c r="U17" s="1790"/>
      <c r="V17" s="1790"/>
      <c r="W17" s="1790"/>
      <c r="X17" s="1790"/>
      <c r="Y17" s="1790"/>
      <c r="Z17" s="1790"/>
      <c r="AA17" s="1790"/>
      <c r="AB17" s="1790"/>
      <c r="AC17" s="1790"/>
      <c r="AD17" s="1790"/>
      <c r="AE17" s="1790"/>
      <c r="AF17" s="1790"/>
      <c r="AG17" s="1790"/>
      <c r="AH17" s="1790"/>
      <c r="AI17" s="1790"/>
      <c r="AJ17" s="1790"/>
      <c r="AK17" s="1790"/>
      <c r="AL17" s="1790"/>
      <c r="AM17" s="1783"/>
      <c r="AN17" s="1790"/>
      <c r="AO17" s="1783"/>
      <c r="AP17" s="1790"/>
      <c r="AQ17" s="1783"/>
      <c r="AR17" s="1790"/>
      <c r="AS17" s="1783"/>
      <c r="AT17" s="1790"/>
      <c r="AU17" s="1783"/>
      <c r="AV17" s="1790"/>
      <c r="AW17" s="1783"/>
      <c r="AX17" s="1790"/>
      <c r="AY17" s="1783"/>
      <c r="AZ17" s="1790"/>
      <c r="BA17" s="1783"/>
      <c r="BB17" s="1790"/>
      <c r="BC17" s="1783"/>
      <c r="BD17" s="1790"/>
      <c r="BE17" s="1783"/>
      <c r="BF17" s="1790"/>
      <c r="BG17" s="1783"/>
      <c r="BH17" s="1790"/>
      <c r="BI17" s="1783"/>
      <c r="BJ17" s="1790"/>
      <c r="BK17" s="1790"/>
      <c r="BL17" s="1790"/>
      <c r="BM17" s="1790"/>
      <c r="BN17" s="1790"/>
      <c r="BO17" s="1790"/>
      <c r="BP17" s="1790"/>
      <c r="BQ17" s="1783"/>
      <c r="BR17" s="1783"/>
      <c r="BS17" s="1783"/>
    </row>
    <row r="18" spans="1:71" hidden="1" outlineLevel="1">
      <c r="A18" s="1783"/>
      <c r="B18" s="1783"/>
      <c r="C18" s="1783"/>
      <c r="D18" s="1783"/>
      <c r="E18" s="1783"/>
      <c r="F18" s="1783"/>
      <c r="G18" s="1783"/>
      <c r="H18" s="1783"/>
      <c r="I18" s="1783"/>
      <c r="J18" s="1783"/>
      <c r="K18" s="1783"/>
      <c r="L18" s="1783"/>
      <c r="M18" s="1783"/>
      <c r="N18" s="1790"/>
      <c r="O18" s="1783"/>
      <c r="P18" s="1783"/>
      <c r="Q18" s="1783"/>
      <c r="R18" s="1783"/>
      <c r="S18" s="1783"/>
      <c r="T18" s="1783"/>
      <c r="U18" s="1783"/>
      <c r="V18" s="1783"/>
      <c r="W18" s="1783"/>
      <c r="X18" s="1783"/>
      <c r="Y18" s="1783"/>
      <c r="Z18" s="1783"/>
      <c r="AA18" s="1783"/>
      <c r="AB18" s="1783"/>
      <c r="AC18" s="1783"/>
      <c r="AD18" s="1783"/>
      <c r="AE18" s="1783"/>
      <c r="AF18" s="1783"/>
      <c r="AG18" s="1783"/>
      <c r="AH18" s="1783"/>
      <c r="AI18" s="1783"/>
      <c r="AJ18" s="1783"/>
      <c r="AK18" s="1783"/>
      <c r="AL18" s="1783"/>
      <c r="AM18" s="1783"/>
      <c r="AN18" s="1783"/>
      <c r="AO18" s="1783"/>
      <c r="AP18" s="1783"/>
      <c r="AQ18" s="1783"/>
      <c r="AR18" s="1783"/>
      <c r="AS18" s="1783"/>
      <c r="AT18" s="1783"/>
      <c r="AU18" s="1783"/>
      <c r="AV18" s="1783"/>
      <c r="AW18" s="1783"/>
      <c r="AX18" s="1783"/>
      <c r="AY18" s="1783"/>
      <c r="AZ18" s="1783"/>
      <c r="BA18" s="1783"/>
      <c r="BB18" s="1783"/>
      <c r="BC18" s="1783"/>
      <c r="BD18" s="1783"/>
      <c r="BE18" s="1783"/>
      <c r="BF18" s="1783"/>
      <c r="BG18" s="1783"/>
      <c r="BH18" s="1783"/>
      <c r="BI18" s="1783"/>
      <c r="BJ18" s="1783"/>
      <c r="BK18" s="1783"/>
      <c r="BL18" s="1783"/>
      <c r="BM18" s="1783"/>
      <c r="BN18" s="1783"/>
      <c r="BO18" s="1783"/>
      <c r="BP18" s="1783"/>
      <c r="BQ18" s="1783"/>
      <c r="BR18" s="1783"/>
      <c r="BS18" s="1783"/>
    </row>
    <row r="19" spans="1:71" hidden="1" outlineLevel="1">
      <c r="A19" s="1783"/>
      <c r="B19" s="1783"/>
      <c r="C19" s="1783"/>
      <c r="D19" s="1809"/>
      <c r="E19" s="1809"/>
      <c r="F19" s="1810"/>
      <c r="G19" s="1809"/>
      <c r="H19" s="1811"/>
      <c r="I19" s="1811" t="s">
        <v>55</v>
      </c>
      <c r="J19" s="1809"/>
      <c r="K19" s="1809"/>
      <c r="L19" s="1809"/>
      <c r="M19" s="1809"/>
      <c r="N19" s="1812"/>
      <c r="O19" s="1809"/>
      <c r="P19" s="1810"/>
      <c r="Q19" s="1809"/>
      <c r="R19" s="1811"/>
      <c r="S19" s="1811" t="s">
        <v>55</v>
      </c>
      <c r="T19" s="1809"/>
      <c r="U19" s="1809"/>
      <c r="V19" s="1809"/>
      <c r="W19" s="1809"/>
      <c r="X19" s="1809"/>
      <c r="Y19" s="1809"/>
      <c r="Z19" s="1809"/>
      <c r="AA19" s="1809"/>
      <c r="AB19" s="1809"/>
      <c r="AC19" s="1809"/>
      <c r="AD19" s="1809"/>
      <c r="AE19" s="1809"/>
      <c r="AF19" s="1809"/>
      <c r="AG19" s="1809"/>
      <c r="AH19" s="1809"/>
      <c r="AI19" s="1809"/>
      <c r="AJ19" s="1809"/>
      <c r="AK19" s="1809"/>
      <c r="AL19" s="1809"/>
      <c r="AM19" s="1809"/>
      <c r="AN19" s="1809"/>
      <c r="AO19" s="1809"/>
      <c r="AP19" s="1809"/>
      <c r="AQ19" s="1809"/>
      <c r="AR19" s="1809"/>
      <c r="AS19" s="1809"/>
      <c r="AT19" s="1809"/>
      <c r="AU19" s="1809"/>
      <c r="AV19" s="1809"/>
      <c r="AW19" s="1809"/>
      <c r="AX19" s="1809"/>
      <c r="AY19" s="1809"/>
      <c r="AZ19" s="1809"/>
      <c r="BA19" s="1809"/>
      <c r="BB19" s="1809"/>
      <c r="BC19" s="1809"/>
      <c r="BD19" s="1809"/>
      <c r="BE19" s="1809"/>
      <c r="BF19" s="1809"/>
      <c r="BG19" s="1809"/>
      <c r="BH19" s="1809"/>
      <c r="BI19" s="1809"/>
      <c r="BJ19" s="1809"/>
      <c r="BK19" s="1809"/>
      <c r="BL19" s="1809"/>
      <c r="BM19" s="1809"/>
      <c r="BN19" s="1809"/>
      <c r="BO19" s="1809"/>
      <c r="BP19" s="1809"/>
      <c r="BQ19" s="1783"/>
      <c r="BR19" s="1783"/>
      <c r="BS19" s="1783"/>
    </row>
    <row r="20" spans="1:71" collapsed="1">
      <c r="A20" s="1783"/>
      <c r="B20" s="1783"/>
      <c r="C20" s="1783"/>
      <c r="D20" s="1783"/>
      <c r="E20" s="1783"/>
      <c r="F20" s="1783"/>
      <c r="G20" s="1783"/>
      <c r="H20" s="1783"/>
      <c r="I20" s="1783"/>
      <c r="J20" s="1783"/>
      <c r="K20" s="1783"/>
      <c r="L20" s="1783"/>
      <c r="M20" s="1783"/>
      <c r="N20" s="1783"/>
      <c r="O20" s="1783"/>
      <c r="P20" s="1783"/>
      <c r="Q20" s="1783"/>
      <c r="R20" s="1783"/>
      <c r="S20" s="1783"/>
      <c r="T20" s="1783"/>
      <c r="U20" s="1783"/>
      <c r="V20" s="1783"/>
      <c r="W20" s="1783"/>
      <c r="X20" s="1783"/>
      <c r="Y20" s="1783"/>
      <c r="Z20" s="1783"/>
      <c r="AA20" s="1783"/>
      <c r="AB20" s="1783"/>
      <c r="AC20" s="1783"/>
      <c r="AD20" s="1783"/>
      <c r="AE20" s="1783"/>
      <c r="AF20" s="1783"/>
      <c r="AG20" s="1783"/>
      <c r="AH20" s="1783"/>
      <c r="AI20" s="1783"/>
      <c r="AJ20" s="1783"/>
      <c r="AK20" s="1783"/>
      <c r="AL20" s="1783"/>
      <c r="AM20" s="1783"/>
      <c r="AN20" s="1783"/>
      <c r="AO20" s="1783"/>
      <c r="AP20" s="1783"/>
      <c r="AQ20" s="1783"/>
      <c r="AR20" s="1783"/>
      <c r="AS20" s="1783"/>
      <c r="AT20" s="1783"/>
      <c r="AU20" s="1783"/>
      <c r="AV20" s="1783"/>
      <c r="AW20" s="1783"/>
      <c r="AX20" s="1783"/>
      <c r="AY20" s="1783"/>
      <c r="AZ20" s="1783"/>
      <c r="BA20" s="1783"/>
      <c r="BB20" s="1783"/>
      <c r="BC20" s="1783"/>
      <c r="BD20" s="1783"/>
      <c r="BE20" s="1783"/>
      <c r="BF20" s="1783"/>
      <c r="BG20" s="1783"/>
      <c r="BH20" s="1783"/>
      <c r="BI20" s="1783"/>
      <c r="BJ20" s="1783"/>
      <c r="BK20" s="1783"/>
      <c r="BL20" s="1783"/>
      <c r="BM20" s="1783"/>
      <c r="BN20" s="1783"/>
      <c r="BO20" s="1783"/>
      <c r="BP20" s="1783"/>
      <c r="BQ20" s="1783"/>
      <c r="BR20" s="1783"/>
      <c r="BS20" s="1783"/>
    </row>
    <row r="21" spans="1:71">
      <c r="A21" s="1783" t="s">
        <v>689</v>
      </c>
      <c r="B21" s="1783"/>
      <c r="C21" s="1783"/>
      <c r="D21" s="1793">
        <v>79.019000000000005</v>
      </c>
      <c r="E21" s="1793"/>
      <c r="F21" s="1793">
        <v>89.531999999999996</v>
      </c>
      <c r="G21" s="1793"/>
      <c r="H21" s="1793">
        <v>107.881</v>
      </c>
      <c r="I21" s="1793"/>
      <c r="J21" s="1793">
        <v>118.482</v>
      </c>
      <c r="K21" s="1793"/>
      <c r="L21" s="1793">
        <v>109.43600000000001</v>
      </c>
      <c r="M21" s="1793"/>
      <c r="N21" s="1793">
        <f>105.864+378.733-3</f>
        <v>481.59699999999998</v>
      </c>
      <c r="O21" s="1793"/>
      <c r="P21" s="1793">
        <f>119.153+49.237-222.8</f>
        <v>-54.41</v>
      </c>
      <c r="Q21" s="1793"/>
      <c r="R21" s="1793">
        <f>192.382-15.697+33.19</f>
        <v>209.875</v>
      </c>
      <c r="S21" s="1793"/>
      <c r="T21" s="1793">
        <f>207.742-9.421</f>
        <v>198.321</v>
      </c>
      <c r="U21" s="1793"/>
      <c r="V21" s="1793">
        <v>238.56899999999999</v>
      </c>
      <c r="W21" s="1793"/>
      <c r="X21" s="1793">
        <f>257.005-9.183</f>
        <v>247.822</v>
      </c>
      <c r="Y21" s="1793"/>
      <c r="Z21" s="1793">
        <v>449.44400000000002</v>
      </c>
      <c r="AA21" s="1793"/>
      <c r="AB21" s="1793">
        <f>396.724</f>
        <v>396.72399999999999</v>
      </c>
      <c r="AC21" s="1793"/>
      <c r="AD21" s="1793">
        <f>409.037+57.138</f>
        <v>466.17499999999995</v>
      </c>
      <c r="AE21" s="1793"/>
      <c r="AF21" s="1793">
        <v>429.13299999999998</v>
      </c>
      <c r="AG21" s="1793"/>
      <c r="AH21" s="1793">
        <f>495.948-9.688</f>
        <v>486.26</v>
      </c>
      <c r="AI21" s="1793"/>
      <c r="AJ21" s="1793">
        <f>96.017+83.349+82.204+116.43+0.011</f>
        <v>378.01100000000002</v>
      </c>
      <c r="AK21" s="1793"/>
      <c r="AL21" s="1793">
        <v>526.98699999999997</v>
      </c>
      <c r="AM21" s="1783"/>
      <c r="AN21" s="1793">
        <v>582.93200000000002</v>
      </c>
      <c r="AO21" s="1783"/>
      <c r="AP21" s="1793">
        <v>429.28199999999998</v>
      </c>
      <c r="AQ21" s="1783"/>
      <c r="AR21" s="1793">
        <v>707.13400000000001</v>
      </c>
      <c r="AS21" s="1783"/>
      <c r="AT21" s="1793">
        <v>803.33</v>
      </c>
      <c r="AU21" s="1783"/>
      <c r="AV21" s="1793">
        <f>978.228+190.374</f>
        <v>1168.6019999999999</v>
      </c>
      <c r="AW21" s="1783"/>
      <c r="AX21" s="1793">
        <f>946.7</f>
        <v>946.7</v>
      </c>
      <c r="AY21" s="1783"/>
      <c r="AZ21" s="1793">
        <v>911.5</v>
      </c>
      <c r="BA21" s="1783"/>
      <c r="BB21" s="1793">
        <f>889.38+57.104</f>
        <v>946.48400000000004</v>
      </c>
      <c r="BC21" s="1783"/>
      <c r="BD21" s="1793">
        <f>1024.747+2.324</f>
        <v>1027.0710000000001</v>
      </c>
      <c r="BE21" s="1783"/>
      <c r="BF21" s="1793">
        <v>1057.5999999999999</v>
      </c>
      <c r="BG21" s="1783"/>
      <c r="BH21" s="1793">
        <v>1200</v>
      </c>
      <c r="BI21" s="1783"/>
      <c r="BJ21" s="1793">
        <v>1300</v>
      </c>
      <c r="BK21" s="1793"/>
      <c r="BL21" s="1793">
        <v>1300</v>
      </c>
      <c r="BM21" s="1793"/>
      <c r="BN21" s="1793">
        <v>1400</v>
      </c>
      <c r="BO21" s="1793"/>
      <c r="BP21" s="1793">
        <v>1500</v>
      </c>
      <c r="BQ21" s="1783"/>
      <c r="BR21" s="1783"/>
      <c r="BS21" s="1783"/>
    </row>
    <row r="22" spans="1:71" hidden="1">
      <c r="A22" s="1783" t="s">
        <v>651</v>
      </c>
      <c r="B22" s="1783"/>
      <c r="C22" s="1783"/>
      <c r="D22" s="1793"/>
      <c r="E22" s="1793"/>
      <c r="F22" s="1793"/>
      <c r="G22" s="1793"/>
      <c r="H22" s="1793"/>
      <c r="I22" s="1793"/>
      <c r="J22" s="1793"/>
      <c r="K22" s="1793"/>
      <c r="L22" s="1793"/>
      <c r="M22" s="1793"/>
      <c r="N22" s="1793"/>
      <c r="O22" s="1793"/>
      <c r="P22" s="1793"/>
      <c r="Q22" s="1793"/>
      <c r="R22" s="1793"/>
      <c r="S22" s="1793"/>
      <c r="T22" s="1793"/>
      <c r="U22" s="1793"/>
      <c r="V22" s="1793"/>
      <c r="W22" s="1793"/>
      <c r="X22" s="1793"/>
      <c r="Y22" s="1793"/>
      <c r="Z22" s="1793"/>
      <c r="AA22" s="1793"/>
      <c r="AB22" s="1793"/>
      <c r="AC22" s="1793"/>
      <c r="AD22" s="1793"/>
      <c r="AE22" s="1793"/>
      <c r="AF22" s="1793">
        <v>0</v>
      </c>
      <c r="AG22" s="1793"/>
      <c r="AH22" s="1793">
        <v>0</v>
      </c>
      <c r="AI22" s="1793"/>
      <c r="AJ22" s="1793">
        <v>0</v>
      </c>
      <c r="AK22" s="1793"/>
      <c r="AL22" s="1793">
        <v>0</v>
      </c>
      <c r="AM22" s="1783"/>
      <c r="AN22" s="1793">
        <v>0</v>
      </c>
      <c r="AO22" s="1783"/>
      <c r="AP22" s="1793">
        <v>0</v>
      </c>
      <c r="AQ22" s="1783"/>
      <c r="AR22" s="1793">
        <v>0</v>
      </c>
      <c r="AS22" s="1783"/>
      <c r="AT22" s="1793">
        <v>0</v>
      </c>
      <c r="AU22" s="1783"/>
      <c r="AV22" s="1793"/>
      <c r="AW22" s="1783"/>
      <c r="AX22" s="1793"/>
      <c r="AY22" s="1813"/>
      <c r="AZ22" s="1793">
        <v>0</v>
      </c>
      <c r="BA22" s="1813"/>
      <c r="BB22" s="1814">
        <v>0</v>
      </c>
      <c r="BC22" s="1813"/>
      <c r="BD22" s="1814">
        <v>0</v>
      </c>
      <c r="BE22" s="1813"/>
      <c r="BF22" s="1814">
        <v>0</v>
      </c>
      <c r="BG22" s="1813"/>
      <c r="BH22" s="1814">
        <v>0</v>
      </c>
      <c r="BI22" s="1813"/>
      <c r="BJ22" s="1814">
        <v>0</v>
      </c>
      <c r="BK22" s="1814"/>
      <c r="BL22" s="1814"/>
      <c r="BM22" s="1814"/>
      <c r="BN22" s="1814"/>
      <c r="BO22" s="1814"/>
      <c r="BP22" s="1814"/>
      <c r="BQ22" s="1783"/>
      <c r="BR22" s="1783"/>
      <c r="BS22" s="1783"/>
    </row>
    <row r="23" spans="1:71">
      <c r="A23" s="1813" t="s">
        <v>702</v>
      </c>
      <c r="B23" s="1813"/>
      <c r="C23" s="1813"/>
      <c r="D23" s="1813"/>
      <c r="E23" s="1813"/>
      <c r="F23" s="1813"/>
      <c r="G23" s="1813"/>
      <c r="H23" s="1813"/>
      <c r="I23" s="1813"/>
      <c r="J23" s="1813"/>
      <c r="K23" s="1813"/>
      <c r="L23" s="1813"/>
      <c r="M23" s="1813"/>
      <c r="N23" s="1813"/>
      <c r="O23" s="1813"/>
      <c r="P23" s="1813"/>
      <c r="Q23" s="1813"/>
      <c r="R23" s="1813"/>
      <c r="S23" s="1813"/>
      <c r="T23" s="1813"/>
      <c r="U23" s="1813"/>
      <c r="V23" s="1813"/>
      <c r="W23" s="1813"/>
      <c r="X23" s="1813"/>
      <c r="Y23" s="1813"/>
      <c r="Z23" s="1813"/>
      <c r="AA23" s="1813"/>
      <c r="AB23" s="1813"/>
      <c r="AC23" s="1813"/>
      <c r="AD23" s="1813"/>
      <c r="AE23" s="1813"/>
      <c r="AF23" s="1813"/>
      <c r="AG23" s="1813"/>
      <c r="AH23" s="1813"/>
      <c r="AI23" s="1813"/>
      <c r="AJ23" s="1815"/>
      <c r="AK23" s="1813"/>
      <c r="AL23" s="1816"/>
      <c r="AM23" s="1813"/>
      <c r="AN23" s="1814">
        <v>3.4000000000000002E-2</v>
      </c>
      <c r="AO23" s="1813"/>
      <c r="AP23" s="1814">
        <f>278.692-153.275+5.578</f>
        <v>130.995</v>
      </c>
      <c r="AQ23" s="1813"/>
      <c r="AR23" s="1814">
        <f>119.53-180.116+1.065</f>
        <v>-59.521000000000015</v>
      </c>
      <c r="AS23" s="1813"/>
      <c r="AT23" s="1814">
        <f>152.042-132.679-11.652</f>
        <v>7.7110000000000003</v>
      </c>
      <c r="AU23" s="1813"/>
      <c r="AV23" s="1814">
        <f>355.736-213-34.49</f>
        <v>108.24599999999998</v>
      </c>
      <c r="AW23" s="1813"/>
      <c r="AX23" s="1814">
        <f>478.1-386.5-2.7</f>
        <v>88.90000000000002</v>
      </c>
      <c r="AY23" s="1813"/>
      <c r="AZ23" s="1814">
        <f>431.2-388</f>
        <v>43.199999999999989</v>
      </c>
      <c r="BA23" s="1813"/>
      <c r="BB23" s="1814">
        <f>798.008-681.377</f>
        <v>116.63100000000009</v>
      </c>
      <c r="BC23" s="1813"/>
      <c r="BD23" s="1814">
        <f>716.953-529.146</f>
        <v>187.80700000000002</v>
      </c>
      <c r="BE23" s="1813"/>
      <c r="BF23" s="1814">
        <f>861.2-906.1</f>
        <v>-44.899999999999977</v>
      </c>
      <c r="BG23" s="1813"/>
      <c r="BH23" s="1814">
        <v>0</v>
      </c>
      <c r="BI23" s="1813"/>
      <c r="BJ23" s="1814">
        <v>0</v>
      </c>
      <c r="BK23" s="1814"/>
      <c r="BL23" s="1814">
        <v>0</v>
      </c>
      <c r="BM23" s="1814"/>
      <c r="BN23" s="1814">
        <v>0</v>
      </c>
      <c r="BO23" s="1814"/>
      <c r="BP23" s="1814">
        <v>0</v>
      </c>
      <c r="BQ23" s="1813"/>
      <c r="BR23" s="1813"/>
      <c r="BS23" s="1813"/>
    </row>
    <row r="24" spans="1:71">
      <c r="A24" s="1783"/>
      <c r="B24" s="1783"/>
      <c r="C24" s="1783"/>
      <c r="D24" s="1783"/>
      <c r="E24" s="1783"/>
      <c r="F24" s="1783"/>
      <c r="G24" s="1783"/>
      <c r="H24" s="1783"/>
      <c r="I24" s="1783"/>
      <c r="J24" s="1783"/>
      <c r="K24" s="1783"/>
      <c r="L24" s="1783"/>
      <c r="M24" s="1783"/>
      <c r="N24" s="1783"/>
      <c r="O24" s="1783"/>
      <c r="P24" s="1783"/>
      <c r="Q24" s="1783"/>
      <c r="R24" s="1783"/>
      <c r="S24" s="1783"/>
      <c r="T24" s="1783"/>
      <c r="U24" s="1783"/>
      <c r="V24" s="1783"/>
      <c r="W24" s="1783"/>
      <c r="X24" s="1783"/>
      <c r="Y24" s="1783"/>
      <c r="Z24" s="1783"/>
      <c r="AA24" s="1783"/>
      <c r="AB24" s="1783"/>
      <c r="AC24" s="1783"/>
      <c r="AD24" s="1783"/>
      <c r="AE24" s="1783"/>
      <c r="AF24" s="1783"/>
      <c r="AG24" s="1783"/>
      <c r="AH24" s="1783"/>
      <c r="AI24" s="1783"/>
      <c r="AJ24" s="1795"/>
      <c r="AK24" s="1783"/>
      <c r="AL24" s="1817"/>
      <c r="AM24" s="1783"/>
      <c r="AN24" s="1783"/>
      <c r="AO24" s="1783"/>
      <c r="AP24" s="1783"/>
      <c r="AQ24" s="1783"/>
      <c r="AR24" s="1783"/>
      <c r="AS24" s="1783"/>
      <c r="AT24" s="1783"/>
      <c r="AU24" s="1783"/>
      <c r="AV24" s="1783"/>
      <c r="AW24" s="1783"/>
      <c r="AX24" s="1783"/>
      <c r="AY24" s="1783"/>
      <c r="AZ24" s="1783"/>
      <c r="BA24" s="1783"/>
      <c r="BB24" s="1783"/>
      <c r="BC24" s="1783"/>
      <c r="BD24" s="1783"/>
      <c r="BE24" s="1783"/>
      <c r="BF24" s="1783"/>
      <c r="BG24" s="1783"/>
      <c r="BH24" s="1783"/>
      <c r="BI24" s="1783"/>
      <c r="BJ24" s="1783"/>
      <c r="BK24" s="1783"/>
      <c r="BL24" s="1783"/>
      <c r="BM24" s="1783"/>
      <c r="BN24" s="1783"/>
      <c r="BO24" s="1783"/>
      <c r="BP24" s="1783"/>
      <c r="BQ24" s="1783"/>
      <c r="BR24" s="1783"/>
      <c r="BS24" s="1783"/>
    </row>
    <row r="25" spans="1:71">
      <c r="A25" s="1783" t="s">
        <v>56</v>
      </c>
      <c r="B25" s="1783"/>
      <c r="C25" s="1783"/>
      <c r="D25" s="1783"/>
      <c r="E25" s="1783"/>
      <c r="F25" s="1783"/>
      <c r="G25" s="1783"/>
      <c r="H25" s="1783"/>
      <c r="I25" s="1783"/>
      <c r="J25" s="1783"/>
      <c r="K25" s="1783"/>
      <c r="L25" s="1783"/>
      <c r="M25" s="1783"/>
      <c r="N25" s="1783"/>
      <c r="O25" s="1783"/>
      <c r="P25" s="1783"/>
      <c r="Q25" s="1783"/>
      <c r="R25" s="1783"/>
      <c r="S25" s="1783"/>
      <c r="T25" s="1783"/>
      <c r="U25" s="1783"/>
      <c r="V25" s="1783"/>
      <c r="W25" s="1783"/>
      <c r="X25" s="1783"/>
      <c r="Y25" s="1783"/>
      <c r="Z25" s="1783"/>
      <c r="AA25" s="1783"/>
      <c r="AB25" s="1783"/>
      <c r="AC25" s="1783"/>
      <c r="AD25" s="1783"/>
      <c r="AE25" s="1783"/>
      <c r="AF25" s="1783"/>
      <c r="AG25" s="1783"/>
      <c r="AH25" s="1783"/>
      <c r="AI25" s="1783"/>
      <c r="AJ25" s="1783"/>
      <c r="AK25" s="1783"/>
      <c r="AL25" s="1795"/>
      <c r="AM25" s="1783"/>
      <c r="AN25" s="1783"/>
      <c r="AO25" s="1783"/>
      <c r="AP25" s="1783"/>
      <c r="AQ25" s="1783"/>
      <c r="AR25" s="1783"/>
      <c r="AS25" s="1783"/>
      <c r="AT25" s="1783"/>
      <c r="AU25" s="1783"/>
      <c r="AV25" s="1783"/>
      <c r="AW25" s="1783"/>
      <c r="AX25" s="1783"/>
      <c r="AY25" s="1783"/>
      <c r="AZ25" s="1783"/>
      <c r="BA25" s="1783"/>
      <c r="BB25" s="1783"/>
      <c r="BC25" s="1783"/>
      <c r="BD25" s="1783"/>
      <c r="BE25" s="1783"/>
      <c r="BF25" s="1783"/>
      <c r="BG25" s="1783"/>
      <c r="BH25" s="1783"/>
      <c r="BI25" s="1783"/>
      <c r="BJ25" s="1783"/>
      <c r="BK25" s="1783"/>
      <c r="BL25" s="1783"/>
      <c r="BM25" s="1783"/>
      <c r="BN25" s="1783"/>
      <c r="BO25" s="1783"/>
      <c r="BP25" s="1783"/>
      <c r="BQ25" s="1783"/>
      <c r="BR25" s="1783"/>
      <c r="BS25" s="1783"/>
    </row>
    <row r="26" spans="1:71">
      <c r="A26" s="1783"/>
      <c r="B26" s="1783" t="s">
        <v>57</v>
      </c>
      <c r="C26" s="1783"/>
      <c r="D26" s="1790">
        <v>46.072000000000003</v>
      </c>
      <c r="E26" s="1783"/>
      <c r="F26" s="1790">
        <f>bal!G12-bal!E12</f>
        <v>38.552999999999997</v>
      </c>
      <c r="G26" s="1790"/>
      <c r="H26" s="1790">
        <f>bal!I12-bal!G12</f>
        <v>119.88800000000003</v>
      </c>
      <c r="I26" s="1790"/>
      <c r="J26" s="1818">
        <v>93.647000000000006</v>
      </c>
      <c r="K26" s="1790"/>
      <c r="L26" s="1818">
        <v>163.898</v>
      </c>
      <c r="M26" s="1790"/>
      <c r="N26" s="1818">
        <v>-211.16800000000001</v>
      </c>
      <c r="O26" s="1783"/>
      <c r="P26" s="1818">
        <v>-198.983</v>
      </c>
      <c r="Q26" s="1790"/>
      <c r="R26" s="1790">
        <f>bal!T12-bal!R12</f>
        <v>130.66499999999996</v>
      </c>
      <c r="S26" s="1790"/>
      <c r="T26" s="1818">
        <v>-2.34</v>
      </c>
      <c r="U26" s="1790"/>
      <c r="V26" s="1818">
        <v>26.856000000000002</v>
      </c>
      <c r="W26" s="1790"/>
      <c r="X26" s="1818">
        <v>232.03100000000001</v>
      </c>
      <c r="Y26" s="1790"/>
      <c r="Z26" s="1818">
        <v>13.292</v>
      </c>
      <c r="AA26" s="1790"/>
      <c r="AB26" s="1818">
        <v>85.644000000000005</v>
      </c>
      <c r="AC26" s="1790"/>
      <c r="AD26" s="1818">
        <v>310.673</v>
      </c>
      <c r="AE26" s="1790"/>
      <c r="AF26" s="1819">
        <v>390.65499999999997</v>
      </c>
      <c r="AG26" s="1820"/>
      <c r="AH26" s="1819">
        <v>8.7720000000000002</v>
      </c>
      <c r="AI26" s="1820"/>
      <c r="AJ26" s="1819">
        <v>201.41300000000001</v>
      </c>
      <c r="AK26" s="1820"/>
      <c r="AL26" s="1819">
        <v>112.411</v>
      </c>
      <c r="AM26" s="1820"/>
      <c r="AN26" s="1819">
        <v>68.489000000000004</v>
      </c>
      <c r="AO26" s="1820"/>
      <c r="AP26" s="1819">
        <v>-147.80500000000001</v>
      </c>
      <c r="AQ26" s="1820"/>
      <c r="AR26" s="1819">
        <v>211.82300000000001</v>
      </c>
      <c r="AS26" s="1820"/>
      <c r="AT26" s="1819">
        <v>187.15700000000001</v>
      </c>
      <c r="AU26" s="1820"/>
      <c r="AV26" s="1819">
        <v>-27.186</v>
      </c>
      <c r="AW26" s="1783"/>
      <c r="AX26" s="1819">
        <v>-35.200000000000003</v>
      </c>
      <c r="AY26" s="1783"/>
      <c r="AZ26" s="1819">
        <v>332.3</v>
      </c>
      <c r="BA26" s="1783"/>
      <c r="BB26" s="1819">
        <v>506.63299999999998</v>
      </c>
      <c r="BC26" s="1783"/>
      <c r="BD26" s="1790">
        <v>-11.862</v>
      </c>
      <c r="BE26" s="1783"/>
      <c r="BF26" s="1932">
        <v>450.4</v>
      </c>
      <c r="BG26" s="1783"/>
      <c r="BH26" s="1790">
        <f>bal!BJ12-bal!BH12</f>
        <v>13.240529869400234</v>
      </c>
      <c r="BI26" s="1783"/>
      <c r="BJ26" s="1790">
        <f>bal!BL12-bal!BJ12</f>
        <v>278.40439380955377</v>
      </c>
      <c r="BK26" s="1790"/>
      <c r="BL26" s="1790">
        <f>bal!BN12-bal!BL12</f>
        <v>284.87528543369444</v>
      </c>
      <c r="BM26" s="1790"/>
      <c r="BN26" s="1790">
        <f>bal!BP12-bal!BN12</f>
        <v>297.29322498557758</v>
      </c>
      <c r="BO26" s="1790"/>
      <c r="BP26" s="1790">
        <f>bal!BR12-bal!BP12</f>
        <v>232.4233060579827</v>
      </c>
      <c r="BQ26" s="1783"/>
      <c r="BR26" s="1783"/>
      <c r="BS26" s="1783"/>
    </row>
    <row r="27" spans="1:71">
      <c r="A27" s="1783"/>
      <c r="B27" s="1783" t="s">
        <v>537</v>
      </c>
      <c r="C27" s="1783"/>
      <c r="D27" s="1792">
        <v>-11.337</v>
      </c>
      <c r="E27" s="1792"/>
      <c r="F27" s="1792">
        <f>bal!G11-bal!E11</f>
        <v>0.95500000000000185</v>
      </c>
      <c r="G27" s="1792"/>
      <c r="H27" s="1792">
        <f>bal!I11-bal!G11</f>
        <v>2.291999999999998</v>
      </c>
      <c r="I27" s="1792"/>
      <c r="J27" s="1793">
        <v>5.819</v>
      </c>
      <c r="K27" s="1792"/>
      <c r="L27" s="1793">
        <v>8.3019999999999996</v>
      </c>
      <c r="M27" s="1792"/>
      <c r="N27" s="1792">
        <v>0.23300000000000001</v>
      </c>
      <c r="O27" s="1792"/>
      <c r="P27" s="1792">
        <f>bal!R11-bal!P11</f>
        <v>2.1310000000000002</v>
      </c>
      <c r="Q27" s="1792"/>
      <c r="R27" s="1792">
        <f>bal!T11-bal!R11</f>
        <v>3.4600000000000009</v>
      </c>
      <c r="S27" s="1792"/>
      <c r="T27" s="1793">
        <v>6.6390000000000002</v>
      </c>
      <c r="U27" s="1792"/>
      <c r="V27" s="1793">
        <v>8.1370000000000005</v>
      </c>
      <c r="W27" s="1793"/>
      <c r="X27" s="1793">
        <v>6.5010000000000003</v>
      </c>
      <c r="Y27" s="1793"/>
      <c r="Z27" s="1793">
        <v>7.6150000000000002</v>
      </c>
      <c r="AA27" s="1792"/>
      <c r="AB27" s="1793">
        <v>5.9829999999999997</v>
      </c>
      <c r="AC27" s="1792"/>
      <c r="AD27" s="1793">
        <v>11.818</v>
      </c>
      <c r="AE27" s="1792"/>
      <c r="AF27" s="1797">
        <v>27.731000000000002</v>
      </c>
      <c r="AG27" s="1796"/>
      <c r="AH27" s="1797">
        <v>20.997</v>
      </c>
      <c r="AI27" s="1796"/>
      <c r="AJ27" s="1797">
        <v>-26.396999999999998</v>
      </c>
      <c r="AK27" s="1796"/>
      <c r="AL27" s="1797">
        <v>25.515999999999998</v>
      </c>
      <c r="AM27" s="1796"/>
      <c r="AN27" s="1797">
        <v>8.2449999999999992</v>
      </c>
      <c r="AO27" s="1796"/>
      <c r="AP27" s="1797">
        <v>1.8620000000000001</v>
      </c>
      <c r="AQ27" s="1796"/>
      <c r="AR27" s="1797">
        <v>23.587</v>
      </c>
      <c r="AS27" s="1796"/>
      <c r="AT27" s="1797">
        <v>4.41</v>
      </c>
      <c r="AU27" s="1796"/>
      <c r="AV27" s="1797">
        <v>18.417999999999999</v>
      </c>
      <c r="AW27" s="1783"/>
      <c r="AX27" s="1797">
        <v>-8.6</v>
      </c>
      <c r="AY27" s="1783"/>
      <c r="AZ27" s="1797">
        <v>17.8</v>
      </c>
      <c r="BA27" s="1783"/>
      <c r="BB27" s="1797">
        <v>27.356999999999999</v>
      </c>
      <c r="BC27" s="1783"/>
      <c r="BD27" s="1930">
        <v>23.234999999999999</v>
      </c>
      <c r="BE27" s="1783"/>
      <c r="BF27" s="1930">
        <v>380.2</v>
      </c>
      <c r="BG27" s="1783"/>
      <c r="BH27" s="1792">
        <f>bal!BJ11-bal!BH11</f>
        <v>-738.63642117907625</v>
      </c>
      <c r="BI27" s="1783"/>
      <c r="BJ27" s="1792">
        <f>bal!BL11-bal!BJ11</f>
        <v>19.563385471583615</v>
      </c>
      <c r="BK27" s="1792"/>
      <c r="BL27" s="1792">
        <f>bal!BN11-bal!BL11</f>
        <v>20.018092904378193</v>
      </c>
      <c r="BM27" s="1792"/>
      <c r="BN27" s="1792">
        <f>bal!BP11-bal!BN11</f>
        <v>20.890697445176215</v>
      </c>
      <c r="BO27" s="1792"/>
      <c r="BP27" s="1792">
        <f>bal!BR11-bal!BP11</f>
        <v>16.332309511259268</v>
      </c>
      <c r="BQ27" s="1783"/>
      <c r="BR27" s="1783"/>
      <c r="BS27" s="1783"/>
    </row>
    <row r="28" spans="1:71">
      <c r="A28" s="1783"/>
      <c r="B28" s="1783" t="s">
        <v>688</v>
      </c>
      <c r="C28" s="1783"/>
      <c r="D28" s="1792">
        <v>3.1789999999999998</v>
      </c>
      <c r="E28" s="1792"/>
      <c r="F28" s="1792">
        <f>bal!G14-bal!E14</f>
        <v>1.5</v>
      </c>
      <c r="G28" s="1792"/>
      <c r="H28" s="1792">
        <f>bal!I14-bal!G14</f>
        <v>3.1890000000000001</v>
      </c>
      <c r="I28" s="1792"/>
      <c r="J28" s="1793">
        <v>5.6580000000000004</v>
      </c>
      <c r="K28" s="1792"/>
      <c r="L28" s="1793">
        <v>1.76</v>
      </c>
      <c r="M28" s="1792"/>
      <c r="N28" s="1793">
        <v>-6.8719999999999999</v>
      </c>
      <c r="O28" s="1792"/>
      <c r="P28" s="1793">
        <v>-2.7E-2</v>
      </c>
      <c r="Q28" s="1792"/>
      <c r="R28" s="1793">
        <v>10.978</v>
      </c>
      <c r="S28" s="1792"/>
      <c r="T28" s="1793">
        <v>1.1299999999999999</v>
      </c>
      <c r="U28" s="1792"/>
      <c r="V28" s="1793">
        <v>15.519</v>
      </c>
      <c r="W28" s="1792"/>
      <c r="X28" s="1793">
        <v>12.083</v>
      </c>
      <c r="Y28" s="1792"/>
      <c r="Z28" s="1793">
        <v>1.2729999999999999</v>
      </c>
      <c r="AA28" s="1792"/>
      <c r="AB28" s="1793">
        <v>22.207999999999998</v>
      </c>
      <c r="AC28" s="1792"/>
      <c r="AD28" s="1793">
        <v>51.412999999999997</v>
      </c>
      <c r="AE28" s="1792"/>
      <c r="AF28" s="1797">
        <v>-35.911999999999999</v>
      </c>
      <c r="AG28" s="1796"/>
      <c r="AH28" s="1797">
        <v>35.197000000000003</v>
      </c>
      <c r="AI28" s="1796"/>
      <c r="AJ28" s="1797">
        <v>4.8730000000000002</v>
      </c>
      <c r="AK28" s="1796"/>
      <c r="AL28" s="1797">
        <v>-2.1440000000000001</v>
      </c>
      <c r="AM28" s="1796"/>
      <c r="AN28" s="1797">
        <v>118.83</v>
      </c>
      <c r="AO28" s="1796"/>
      <c r="AP28" s="1797">
        <v>-21.219000000000001</v>
      </c>
      <c r="AQ28" s="1796"/>
      <c r="AR28" s="1797">
        <v>-0.495</v>
      </c>
      <c r="AS28" s="1796"/>
      <c r="AT28" s="1797">
        <v>20.709</v>
      </c>
      <c r="AU28" s="1796"/>
      <c r="AV28" s="1797">
        <v>53.704999999999998</v>
      </c>
      <c r="AW28" s="1783"/>
      <c r="AX28" s="1797">
        <v>0</v>
      </c>
      <c r="AY28" s="1783"/>
      <c r="AZ28" s="1797">
        <v>0</v>
      </c>
      <c r="BA28" s="1783"/>
      <c r="BB28" s="1797">
        <v>40.103000000000002</v>
      </c>
      <c r="BC28" s="1783"/>
      <c r="BD28" s="1930">
        <v>9.6</v>
      </c>
      <c r="BE28" s="1783"/>
      <c r="BF28" s="1792">
        <v>0</v>
      </c>
      <c r="BG28" s="1783"/>
      <c r="BH28" s="1792">
        <f>bal!BJ14-bal!BH14+bal!BJ24-bal!BH24</f>
        <v>426.37704129757111</v>
      </c>
      <c r="BI28" s="1783"/>
      <c r="BJ28" s="1792">
        <f>bal!BL14-bal!BJ14+bal!BL24-bal!BJ24</f>
        <v>28.260188633227074</v>
      </c>
      <c r="BK28" s="1792"/>
      <c r="BL28" s="1792">
        <f>bal!BN14-bal!BL14+bal!BN24-bal!BL24</f>
        <v>28.917033934484948</v>
      </c>
      <c r="BM28" s="1792"/>
      <c r="BN28" s="1792">
        <f>bal!BP14-bal!BN14+bal!BP24-bal!BN24</f>
        <v>30.177550370200152</v>
      </c>
      <c r="BO28" s="1792"/>
      <c r="BP28" s="1792">
        <f>bal!BR14-bal!BP14+bal!BR24-bal!BP24</f>
        <v>23.59275434585993</v>
      </c>
      <c r="BQ28" s="1783"/>
      <c r="BR28" s="1783"/>
      <c r="BS28" s="1783"/>
    </row>
    <row r="29" spans="1:71">
      <c r="A29" s="1783" t="s">
        <v>58</v>
      </c>
      <c r="B29" s="1783"/>
      <c r="C29" s="1783"/>
      <c r="D29" s="1821"/>
      <c r="E29" s="1821"/>
      <c r="F29" s="1822"/>
      <c r="G29" s="1783"/>
      <c r="H29" s="1792"/>
      <c r="I29" s="1783"/>
      <c r="J29" s="1821"/>
      <c r="K29" s="1821"/>
      <c r="L29" s="1823"/>
      <c r="M29" s="1821"/>
      <c r="N29" s="1821"/>
      <c r="O29" s="1821"/>
      <c r="P29" s="1822"/>
      <c r="Q29" s="1783"/>
      <c r="R29" s="1821"/>
      <c r="S29" s="1783"/>
      <c r="T29" s="1821"/>
      <c r="U29" s="1821"/>
      <c r="V29" s="1823"/>
      <c r="W29" s="1821"/>
      <c r="X29" s="1821"/>
      <c r="Y29" s="1821"/>
      <c r="Z29" s="1823"/>
      <c r="AA29" s="1821"/>
      <c r="AB29" s="1823"/>
      <c r="AC29" s="1821"/>
      <c r="AD29" s="1823"/>
      <c r="AE29" s="1821"/>
      <c r="AF29" s="1796"/>
      <c r="AG29" s="1796"/>
      <c r="AH29" s="1796"/>
      <c r="AI29" s="1796"/>
      <c r="AJ29" s="1796"/>
      <c r="AK29" s="1796"/>
      <c r="AL29" s="1796"/>
      <c r="AM29" s="1796"/>
      <c r="AN29" s="1796"/>
      <c r="AO29" s="1796"/>
      <c r="AP29" s="1796"/>
      <c r="AQ29" s="1796"/>
      <c r="AR29" s="1796"/>
      <c r="AS29" s="1796"/>
      <c r="AT29" s="1797"/>
      <c r="AU29" s="1796"/>
      <c r="AV29" s="1796"/>
      <c r="AW29" s="1783"/>
      <c r="AX29" s="1796"/>
      <c r="AY29" s="1783"/>
      <c r="AZ29" s="1796"/>
      <c r="BA29" s="1783"/>
      <c r="BB29" s="1823"/>
      <c r="BC29" s="1783"/>
      <c r="BD29" s="1823"/>
      <c r="BE29" s="1783"/>
      <c r="BF29" s="1823"/>
      <c r="BG29" s="1783"/>
      <c r="BH29" s="1823"/>
      <c r="BI29" s="1783"/>
      <c r="BJ29" s="1823"/>
      <c r="BK29" s="1823"/>
      <c r="BL29" s="1823"/>
      <c r="BM29" s="1823"/>
      <c r="BN29" s="1823"/>
      <c r="BO29" s="1823"/>
      <c r="BP29" s="1823"/>
      <c r="BQ29" s="1783"/>
      <c r="BR29" s="1783"/>
      <c r="BS29" s="1783"/>
    </row>
    <row r="30" spans="1:71">
      <c r="A30" s="1783"/>
      <c r="B30" s="1783" t="s">
        <v>542</v>
      </c>
      <c r="C30" s="1783"/>
      <c r="D30" s="1792">
        <v>-26.895</v>
      </c>
      <c r="E30" s="1799"/>
      <c r="F30" s="1792">
        <f>bal!E31-bal!G31</f>
        <v>-27.262</v>
      </c>
      <c r="G30" s="1799"/>
      <c r="H30" s="1792">
        <f>bal!G31-bal!I31</f>
        <v>-64.001000000000033</v>
      </c>
      <c r="I30" s="1799"/>
      <c r="J30" s="1800">
        <v>-12.481999999999999</v>
      </c>
      <c r="K30" s="1799"/>
      <c r="L30" s="1800">
        <v>-93.692999999999998</v>
      </c>
      <c r="M30" s="1799"/>
      <c r="N30" s="1800">
        <v>147.01300000000001</v>
      </c>
      <c r="O30" s="1799"/>
      <c r="P30" s="1800">
        <v>-95.677000000000007</v>
      </c>
      <c r="Q30" s="1799"/>
      <c r="R30" s="1800">
        <v>-48.845999999999997</v>
      </c>
      <c r="S30" s="1799"/>
      <c r="T30" s="1800">
        <v>-35.527999999999999</v>
      </c>
      <c r="U30" s="1799"/>
      <c r="V30" s="1800">
        <v>2.7469999999999999</v>
      </c>
      <c r="W30" s="1799"/>
      <c r="X30" s="1800">
        <v>-34.158000000000001</v>
      </c>
      <c r="Y30" s="1799"/>
      <c r="Z30" s="1800">
        <v>-120.77</v>
      </c>
      <c r="AA30" s="1793"/>
      <c r="AB30" s="1800">
        <v>-45.558999999999997</v>
      </c>
      <c r="AC30" s="1793"/>
      <c r="AD30" s="1800">
        <v>-118.83199999999999</v>
      </c>
      <c r="AE30" s="1793"/>
      <c r="AF30" s="1797">
        <v>-305.34399999999999</v>
      </c>
      <c r="AG30" s="1797"/>
      <c r="AH30" s="1797">
        <v>-35.01</v>
      </c>
      <c r="AI30" s="1797"/>
      <c r="AJ30" s="1797">
        <v>-50.164999999999999</v>
      </c>
      <c r="AK30" s="1797"/>
      <c r="AL30" s="1797">
        <v>-117.304</v>
      </c>
      <c r="AM30" s="1796"/>
      <c r="AN30" s="1797">
        <v>141.58000000000001</v>
      </c>
      <c r="AO30" s="1796"/>
      <c r="AP30" s="1797">
        <v>-197.49600000000001</v>
      </c>
      <c r="AQ30" s="1796"/>
      <c r="AR30" s="1797">
        <v>-163.82300000000001</v>
      </c>
      <c r="AS30" s="1796"/>
      <c r="AT30" s="1797">
        <v>36.552999999999997</v>
      </c>
      <c r="AU30" s="1796"/>
      <c r="AV30" s="1797">
        <v>-211.68899999999999</v>
      </c>
      <c r="AW30" s="1783"/>
      <c r="AX30" s="1797">
        <v>152.30000000000001</v>
      </c>
      <c r="AY30" s="1783"/>
      <c r="AZ30" s="1797">
        <v>-285.2</v>
      </c>
      <c r="BA30" s="1783"/>
      <c r="BB30" s="1797">
        <v>-216.26499999999999</v>
      </c>
      <c r="BC30" s="1783"/>
      <c r="BD30" s="1931">
        <v>-48.253</v>
      </c>
      <c r="BE30" s="1783"/>
      <c r="BF30" s="1931">
        <v>-205.1</v>
      </c>
      <c r="BG30" s="1783"/>
      <c r="BH30" s="1799">
        <f>bal!BH31-bal!BJ31</f>
        <v>-82.487513370593206</v>
      </c>
      <c r="BI30" s="1783"/>
      <c r="BJ30" s="1799">
        <f>bal!BJ31-bal!BL31</f>
        <v>-170.39793198423058</v>
      </c>
      <c r="BK30" s="1799"/>
      <c r="BL30" s="1799">
        <f>bal!BL31-bal!BN31</f>
        <v>-174.3584533530202</v>
      </c>
      <c r="BM30" s="1799"/>
      <c r="BN30" s="1799">
        <f>bal!BN31-bal!BP31</f>
        <v>-181.95887657261028</v>
      </c>
      <c r="BO30" s="1799"/>
      <c r="BP30" s="1799">
        <f>bal!BP31-bal!BR31</f>
        <v>-142.25512088832193</v>
      </c>
      <c r="BQ30" s="1783"/>
      <c r="BR30" s="1783"/>
      <c r="BS30" s="1783"/>
    </row>
    <row r="31" spans="1:71">
      <c r="A31" s="1783"/>
      <c r="B31" s="1783" t="s">
        <v>69</v>
      </c>
      <c r="C31" s="1783"/>
      <c r="D31" s="1799">
        <v>0.27900000000000003</v>
      </c>
      <c r="E31" s="1799"/>
      <c r="F31" s="1792">
        <v>-56.430999999999997</v>
      </c>
      <c r="G31" s="1799"/>
      <c r="H31" s="1800">
        <v>-25.536000000000001</v>
      </c>
      <c r="I31" s="1799"/>
      <c r="J31" s="1800">
        <v>12.266999999999999</v>
      </c>
      <c r="K31" s="1799"/>
      <c r="L31" s="1800">
        <v>-13.384</v>
      </c>
      <c r="M31" s="1799"/>
      <c r="N31" s="1800">
        <v>-63.975000000000001</v>
      </c>
      <c r="O31" s="1799"/>
      <c r="P31" s="1800">
        <v>-11.928000000000001</v>
      </c>
      <c r="Q31" s="1799"/>
      <c r="R31" s="1800">
        <v>-37.210999999999999</v>
      </c>
      <c r="S31" s="1799"/>
      <c r="T31" s="1800">
        <v>-49.173999999999999</v>
      </c>
      <c r="U31" s="1799"/>
      <c r="V31" s="1800">
        <v>35.673000000000002</v>
      </c>
      <c r="W31" s="1799"/>
      <c r="X31" s="1800">
        <v>-69.134</v>
      </c>
      <c r="Y31" s="1799"/>
      <c r="Z31" s="1800">
        <v>-16.053999999999998</v>
      </c>
      <c r="AA31" s="1792"/>
      <c r="AB31" s="1800">
        <v>-133.11500000000001</v>
      </c>
      <c r="AC31" s="1792"/>
      <c r="AD31" s="1800">
        <v>11.663</v>
      </c>
      <c r="AE31" s="1792"/>
      <c r="AF31" s="1797">
        <v>-154.28200000000001</v>
      </c>
      <c r="AG31" s="1796"/>
      <c r="AH31" s="1797">
        <v>-163.36199999999999</v>
      </c>
      <c r="AI31" s="1796"/>
      <c r="AJ31" s="1797">
        <v>-170.59200000000001</v>
      </c>
      <c r="AK31" s="1796"/>
      <c r="AL31" s="1797">
        <v>-202.893</v>
      </c>
      <c r="AM31" s="1796"/>
      <c r="AN31" s="1797">
        <v>34.524999999999999</v>
      </c>
      <c r="AO31" s="1796"/>
      <c r="AP31" s="1797">
        <v>-31.045999999999999</v>
      </c>
      <c r="AQ31" s="1796"/>
      <c r="AR31" s="1797">
        <v>-77.846000000000004</v>
      </c>
      <c r="AS31" s="1796"/>
      <c r="AT31" s="1797">
        <v>-13.747</v>
      </c>
      <c r="AU31" s="1796"/>
      <c r="AV31" s="1797">
        <v>-268.90100000000001</v>
      </c>
      <c r="AW31" s="1783"/>
      <c r="AX31" s="1797">
        <v>18.600000000000001</v>
      </c>
      <c r="AY31" s="1783"/>
      <c r="AZ31" s="1797">
        <v>-176.9</v>
      </c>
      <c r="BA31" s="1783"/>
      <c r="BB31" s="1797">
        <v>-284.92899999999997</v>
      </c>
      <c r="BC31" s="1783"/>
      <c r="BD31" s="1931">
        <v>-389.399</v>
      </c>
      <c r="BE31" s="1783"/>
      <c r="BF31" s="1931">
        <v>-240</v>
      </c>
      <c r="BG31" s="1783"/>
      <c r="BH31" s="1799">
        <f>bal!BH36-bal!BJ36</f>
        <v>-321.14831487561651</v>
      </c>
      <c r="BI31" s="1783"/>
      <c r="BJ31" s="1799">
        <f>bal!BJ36-bal!BL36</f>
        <v>-187.79903545351499</v>
      </c>
      <c r="BK31" s="1799"/>
      <c r="BL31" s="1799">
        <f>bal!BL36-bal!BN36</f>
        <v>-198.22332572076903</v>
      </c>
      <c r="BM31" s="1799"/>
      <c r="BN31" s="1799">
        <f>bal!BN36-bal!BP36</f>
        <v>-204.71416871113524</v>
      </c>
      <c r="BO31" s="1799"/>
      <c r="BP31" s="1799">
        <f>bal!BP36-bal!BR36</f>
        <v>-165.07340588511215</v>
      </c>
      <c r="BQ31" s="1783"/>
      <c r="BR31" s="1783"/>
      <c r="BS31" s="1783"/>
    </row>
    <row r="32" spans="1:71">
      <c r="A32" s="1783"/>
      <c r="B32" s="1783" t="s">
        <v>670</v>
      </c>
      <c r="C32" s="1783"/>
      <c r="D32" s="1792">
        <v>-11.555</v>
      </c>
      <c r="E32" s="1799"/>
      <c r="F32" s="1792">
        <f>(bal!E33-bal!G33)+(bal!E41-bal!G41)</f>
        <v>14.594999999999999</v>
      </c>
      <c r="G32" s="1799"/>
      <c r="H32" s="1800">
        <v>7.5590000000000002</v>
      </c>
      <c r="I32" s="1799"/>
      <c r="J32" s="1800">
        <v>3</v>
      </c>
      <c r="K32" s="1799"/>
      <c r="L32" s="1800">
        <v>0.44</v>
      </c>
      <c r="M32" s="1799"/>
      <c r="N32" s="1800">
        <v>14.143000000000001</v>
      </c>
      <c r="O32" s="1799"/>
      <c r="P32" s="1800">
        <v>5.3440000000000003</v>
      </c>
      <c r="Q32" s="1799"/>
      <c r="R32" s="1800">
        <v>3.7930000000000001</v>
      </c>
      <c r="S32" s="1799"/>
      <c r="T32" s="1800">
        <v>0</v>
      </c>
      <c r="U32" s="1799"/>
      <c r="V32" s="1800">
        <v>0</v>
      </c>
      <c r="W32" s="1799"/>
      <c r="X32" s="1800">
        <v>0</v>
      </c>
      <c r="Y32" s="1799"/>
      <c r="Z32" s="1800">
        <v>0</v>
      </c>
      <c r="AA32" s="1793"/>
      <c r="AB32" s="1800"/>
      <c r="AC32" s="1793"/>
      <c r="AD32" s="1800">
        <v>-34.298000000000002</v>
      </c>
      <c r="AE32" s="1793"/>
      <c r="AF32" s="1797">
        <v>-3.3140000000000001</v>
      </c>
      <c r="AG32" s="1797"/>
      <c r="AH32" s="1797">
        <v>-7.9029999999999996</v>
      </c>
      <c r="AI32" s="1797"/>
      <c r="AJ32" s="1797">
        <f>42.558+18.306</f>
        <v>60.864000000000004</v>
      </c>
      <c r="AK32" s="1797"/>
      <c r="AL32" s="1797">
        <v>-37.908999999999999</v>
      </c>
      <c r="AM32" s="1796"/>
      <c r="AN32" s="1797">
        <v>10.488</v>
      </c>
      <c r="AO32" s="1796"/>
      <c r="AP32" s="1797">
        <v>-152.851</v>
      </c>
      <c r="AQ32" s="1796"/>
      <c r="AR32" s="1797">
        <v>11.801</v>
      </c>
      <c r="AS32" s="1796"/>
      <c r="AT32" s="1797">
        <v>3.097</v>
      </c>
      <c r="AU32" s="1797"/>
      <c r="AV32" s="1797">
        <v>-176.07599999999999</v>
      </c>
      <c r="AW32" s="1783"/>
      <c r="AX32" s="1797">
        <v>0</v>
      </c>
      <c r="AY32" s="1783"/>
      <c r="AZ32" s="1797">
        <v>0</v>
      </c>
      <c r="BA32" s="1783"/>
      <c r="BB32" s="1931">
        <v>-68.013999999999996</v>
      </c>
      <c r="BC32" s="1949"/>
      <c r="BD32" s="1931">
        <v>-146.76599999999999</v>
      </c>
      <c r="BE32" s="1783"/>
      <c r="BF32" s="1799"/>
      <c r="BG32" s="1783"/>
      <c r="BH32" s="1799"/>
      <c r="BI32" s="1783"/>
      <c r="BJ32" s="1799"/>
      <c r="BK32" s="1799"/>
      <c r="BL32" s="1799"/>
      <c r="BM32" s="1799"/>
      <c r="BN32" s="1799"/>
      <c r="BO32" s="1799"/>
      <c r="BP32" s="1799"/>
      <c r="BQ32" s="1783"/>
      <c r="BR32" s="1783"/>
      <c r="BS32" s="1783"/>
    </row>
    <row r="33" spans="1:71">
      <c r="A33" s="1783"/>
      <c r="B33" s="1783" t="s">
        <v>666</v>
      </c>
      <c r="C33" s="1783"/>
      <c r="D33" s="1824">
        <f>bal!C40-bal!E40</f>
        <v>0</v>
      </c>
      <c r="E33" s="1799"/>
      <c r="F33" s="1824">
        <f>bal!E40-bal!G40</f>
        <v>0</v>
      </c>
      <c r="G33" s="1799"/>
      <c r="H33" s="1824">
        <v>0</v>
      </c>
      <c r="I33" s="1799"/>
      <c r="J33" s="1825">
        <v>0</v>
      </c>
      <c r="K33" s="1799"/>
      <c r="L33" s="1825">
        <v>0</v>
      </c>
      <c r="M33" s="1799"/>
      <c r="N33" s="1825">
        <v>0</v>
      </c>
      <c r="O33" s="1799"/>
      <c r="P33" s="1825">
        <v>0</v>
      </c>
      <c r="Q33" s="1799"/>
      <c r="R33" s="1825">
        <v>0</v>
      </c>
      <c r="S33" s="1799"/>
      <c r="T33" s="1825">
        <v>6.4509999999999996</v>
      </c>
      <c r="U33" s="1799"/>
      <c r="V33" s="1825">
        <v>21.282</v>
      </c>
      <c r="W33" s="1799"/>
      <c r="X33" s="1825">
        <v>6.0259999999999998</v>
      </c>
      <c r="Y33" s="1799"/>
      <c r="Z33" s="1825">
        <v>19.382000000000001</v>
      </c>
      <c r="AA33" s="1783"/>
      <c r="AB33" s="1825">
        <v>38.344000000000001</v>
      </c>
      <c r="AC33" s="1783"/>
      <c r="AD33" s="1825">
        <v>5.0830000000000002</v>
      </c>
      <c r="AE33" s="1783"/>
      <c r="AF33" s="1805">
        <v>17.18</v>
      </c>
      <c r="AG33" s="1796"/>
      <c r="AH33" s="1805">
        <v>1.5429999999999999</v>
      </c>
      <c r="AI33" s="1796"/>
      <c r="AJ33" s="1805">
        <v>-18.678999999999998</v>
      </c>
      <c r="AK33" s="1796"/>
      <c r="AL33" s="1805">
        <v>-22.879000000000001</v>
      </c>
      <c r="AM33" s="1796"/>
      <c r="AN33" s="1805">
        <v>-34.344000000000001</v>
      </c>
      <c r="AO33" s="1796"/>
      <c r="AP33" s="1805">
        <v>26.495000000000001</v>
      </c>
      <c r="AQ33" s="1796"/>
      <c r="AR33" s="1805">
        <v>-2.9119999999999999</v>
      </c>
      <c r="AS33" s="1796"/>
      <c r="AT33" s="1805">
        <v>3.931</v>
      </c>
      <c r="AU33" s="1796"/>
      <c r="AV33" s="1805">
        <v>8.8160000000000007</v>
      </c>
      <c r="AW33" s="1783"/>
      <c r="AX33" s="1805">
        <v>0</v>
      </c>
      <c r="AY33" s="1783"/>
      <c r="AZ33" s="1805">
        <f>103.5</f>
        <v>103.5</v>
      </c>
      <c r="BA33" s="1783"/>
      <c r="BB33" s="1825">
        <v>16.14</v>
      </c>
      <c r="BC33" s="1783"/>
      <c r="BD33" s="1825">
        <v>32.482999999999997</v>
      </c>
      <c r="BE33" s="1783"/>
      <c r="BF33" s="1825">
        <v>-13.9</v>
      </c>
      <c r="BG33" s="1783"/>
      <c r="BH33" s="1825">
        <v>0</v>
      </c>
      <c r="BI33" s="1783"/>
      <c r="BJ33" s="1825">
        <v>0</v>
      </c>
      <c r="BK33" s="1825"/>
      <c r="BL33" s="1825">
        <v>0</v>
      </c>
      <c r="BM33" s="1825"/>
      <c r="BN33" s="1825">
        <v>0</v>
      </c>
      <c r="BO33" s="1825"/>
      <c r="BP33" s="1825">
        <v>0</v>
      </c>
      <c r="BQ33" s="1783"/>
      <c r="BR33" s="1783"/>
      <c r="BS33" s="1783"/>
    </row>
    <row r="34" spans="1:71">
      <c r="A34" s="1783" t="s">
        <v>59</v>
      </c>
      <c r="B34" s="1783"/>
      <c r="C34" s="1783"/>
      <c r="D34" s="1790">
        <f>SUM(D26:D33)</f>
        <v>-0.2569999999999979</v>
      </c>
      <c r="E34" s="1783"/>
      <c r="F34" s="1790">
        <f>SUM(F26:F33)</f>
        <v>-28.090000000000003</v>
      </c>
      <c r="G34" s="1790"/>
      <c r="H34" s="1790">
        <f>SUM(H26:H33)</f>
        <v>43.390999999999991</v>
      </c>
      <c r="I34" s="1790"/>
      <c r="J34" s="1790">
        <f>SUM(J26:J33)</f>
        <v>107.90900000000001</v>
      </c>
      <c r="K34" s="1790"/>
      <c r="L34" s="1790">
        <f>SUM(L26:L33)</f>
        <v>67.322999999999979</v>
      </c>
      <c r="M34" s="1790"/>
      <c r="N34" s="1790">
        <f>SUM(N26:N33)</f>
        <v>-120.626</v>
      </c>
      <c r="O34" s="1783"/>
      <c r="P34" s="1790">
        <f>SUM(P26:P33)</f>
        <v>-299.14</v>
      </c>
      <c r="Q34" s="1790"/>
      <c r="R34" s="1790">
        <f>SUM(R26:R33)</f>
        <v>62.838999999999977</v>
      </c>
      <c r="S34" s="1790"/>
      <c r="T34" s="1790">
        <f>SUM(T26:T33)</f>
        <v>-72.822000000000003</v>
      </c>
      <c r="U34" s="1790"/>
      <c r="V34" s="1790">
        <f>SUM(V26:V33)</f>
        <v>110.214</v>
      </c>
      <c r="W34" s="1790"/>
      <c r="X34" s="1790">
        <f>SUM(X26:X33)</f>
        <v>153.34899999999999</v>
      </c>
      <c r="Y34" s="1790"/>
      <c r="Z34" s="1790">
        <f>SUM(Z26:Z33)</f>
        <v>-95.262</v>
      </c>
      <c r="AA34" s="1790"/>
      <c r="AB34" s="1790">
        <f>SUM(AB26:AB33)</f>
        <v>-26.494999999999997</v>
      </c>
      <c r="AC34" s="1790"/>
      <c r="AD34" s="1790">
        <f>SUM(AD26:AD33)</f>
        <v>237.52</v>
      </c>
      <c r="AE34" s="1790"/>
      <c r="AF34" s="1820">
        <f>SUM(AF26:AF33)</f>
        <v>-63.286000000000008</v>
      </c>
      <c r="AG34" s="1820"/>
      <c r="AH34" s="1820">
        <f>SUM(AH26:AH33)</f>
        <v>-139.76599999999996</v>
      </c>
      <c r="AI34" s="1820"/>
      <c r="AJ34" s="1820">
        <f>SUM(AJ26:AJ33)</f>
        <v>1.3170000000000108</v>
      </c>
      <c r="AK34" s="1820"/>
      <c r="AL34" s="1820">
        <f>SUM(AL26:AL33)</f>
        <v>-245.202</v>
      </c>
      <c r="AM34" s="1820"/>
      <c r="AN34" s="1820">
        <f>SUM(AN26:AN33)</f>
        <v>347.81299999999999</v>
      </c>
      <c r="AO34" s="1820"/>
      <c r="AP34" s="1820">
        <f>SUM(AP26:AP33)</f>
        <v>-522.06000000000006</v>
      </c>
      <c r="AQ34" s="1820"/>
      <c r="AR34" s="1820">
        <f>SUM(AR26:AR33)</f>
        <v>2.1349999999999811</v>
      </c>
      <c r="AS34" s="1820"/>
      <c r="AT34" s="1820">
        <f>SUM(AT26:AT33)</f>
        <v>242.11</v>
      </c>
      <c r="AU34" s="1820"/>
      <c r="AV34" s="1820">
        <f>SUM(AV26:AV33)</f>
        <v>-602.91300000000001</v>
      </c>
      <c r="AW34" s="1783"/>
      <c r="AX34" s="1790">
        <f>SUM(AX26:AX33)</f>
        <v>127.1</v>
      </c>
      <c r="AY34" s="1783"/>
      <c r="AZ34" s="1790">
        <f>SUM(AZ26:AZ33)</f>
        <v>-8.4999999999999716</v>
      </c>
      <c r="BA34" s="1783"/>
      <c r="BB34" s="1790">
        <f>SUM(BB26:BB33)</f>
        <v>21.025000000000006</v>
      </c>
      <c r="BC34" s="1783"/>
      <c r="BD34" s="1790">
        <f>SUM(BD26:BD33)</f>
        <v>-530.96199999999999</v>
      </c>
      <c r="BE34" s="1783"/>
      <c r="BF34" s="1790">
        <f>SUM(BF26:BF33)</f>
        <v>371.59999999999991</v>
      </c>
      <c r="BG34" s="1783"/>
      <c r="BH34" s="1790">
        <f>SUM(BH26:BH33)</f>
        <v>-702.65467825831456</v>
      </c>
      <c r="BI34" s="1783"/>
      <c r="BJ34" s="1790">
        <f>SUM(BJ26:BJ33)</f>
        <v>-31.968999523381115</v>
      </c>
      <c r="BK34" s="1790"/>
      <c r="BL34" s="1790">
        <f>SUM(BL26:BL33)</f>
        <v>-38.771366801231636</v>
      </c>
      <c r="BM34" s="1790"/>
      <c r="BN34" s="1790">
        <f>SUM(BN26:BN33)</f>
        <v>-38.311572482791576</v>
      </c>
      <c r="BO34" s="1790"/>
      <c r="BP34" s="1790">
        <f>SUM(BP26:BP33)</f>
        <v>-34.98015685833218</v>
      </c>
      <c r="BQ34" s="1783"/>
      <c r="BR34" s="1783"/>
      <c r="BS34" s="1783"/>
    </row>
    <row r="35" spans="1:71">
      <c r="A35" s="1783"/>
      <c r="B35" s="1783"/>
      <c r="C35" s="1783"/>
      <c r="D35" s="1783"/>
      <c r="E35" s="1783"/>
      <c r="F35" s="1783"/>
      <c r="G35" s="1783"/>
      <c r="H35" s="1783"/>
      <c r="I35" s="1783"/>
      <c r="J35" s="1783"/>
      <c r="K35" s="1783"/>
      <c r="L35" s="1783"/>
      <c r="M35" s="1783"/>
      <c r="N35" s="1783"/>
      <c r="O35" s="1783"/>
      <c r="P35" s="1783"/>
      <c r="Q35" s="1783"/>
      <c r="R35" s="1783"/>
      <c r="S35" s="1783"/>
      <c r="T35" s="1783"/>
      <c r="U35" s="1783"/>
      <c r="V35" s="1783"/>
      <c r="W35" s="1783"/>
      <c r="X35" s="1783"/>
      <c r="Y35" s="1783"/>
      <c r="Z35" s="1783"/>
      <c r="AA35" s="1783"/>
      <c r="AB35" s="1783"/>
      <c r="AC35" s="1783"/>
      <c r="AD35" s="1783"/>
      <c r="AE35" s="1783"/>
      <c r="AF35" s="1783"/>
      <c r="AG35" s="1783"/>
      <c r="AH35" s="1783"/>
      <c r="AI35" s="1783"/>
      <c r="AJ35" s="1783"/>
      <c r="AK35" s="1783"/>
      <c r="AL35" s="1783"/>
      <c r="AM35" s="1783"/>
      <c r="AN35" s="1783"/>
      <c r="AO35" s="1783"/>
      <c r="AP35" s="1783"/>
      <c r="AQ35" s="1783"/>
      <c r="AR35" s="1783"/>
      <c r="AS35" s="1783"/>
      <c r="AT35" s="1783"/>
      <c r="AU35" s="1783"/>
      <c r="AV35" s="1783"/>
      <c r="AW35" s="1783"/>
      <c r="AX35" s="1783"/>
      <c r="AY35" s="1783"/>
      <c r="AZ35" s="1783"/>
      <c r="BA35" s="1783"/>
      <c r="BB35" s="1783"/>
      <c r="BC35" s="1783"/>
      <c r="BD35" s="1783"/>
      <c r="BE35" s="1783"/>
      <c r="BF35" s="1783"/>
      <c r="BG35" s="1783"/>
      <c r="BH35" s="1783"/>
      <c r="BI35" s="1783"/>
      <c r="BJ35" s="1783"/>
      <c r="BK35" s="1783"/>
      <c r="BL35" s="1783"/>
      <c r="BM35" s="1783"/>
      <c r="BN35" s="1783"/>
      <c r="BO35" s="1783"/>
      <c r="BP35" s="1783"/>
      <c r="BQ35" s="1783"/>
      <c r="BR35" s="1783"/>
      <c r="BS35" s="1783"/>
    </row>
    <row r="36" spans="1:71">
      <c r="A36" s="1775" t="s">
        <v>61</v>
      </c>
      <c r="B36" s="1775"/>
      <c r="C36" s="1775"/>
      <c r="D36" s="1807">
        <f>D34+D21</f>
        <v>78.762</v>
      </c>
      <c r="E36" s="1775"/>
      <c r="F36" s="1807">
        <f>F34+F21</f>
        <v>61.441999999999993</v>
      </c>
      <c r="G36" s="1807"/>
      <c r="H36" s="1807">
        <f>H34+H21</f>
        <v>151.27199999999999</v>
      </c>
      <c r="I36" s="1807"/>
      <c r="J36" s="1807">
        <f>J34+J21</f>
        <v>226.39100000000002</v>
      </c>
      <c r="K36" s="1807"/>
      <c r="L36" s="1807">
        <f>L34+L21</f>
        <v>176.75899999999999</v>
      </c>
      <c r="M36" s="1807"/>
      <c r="N36" s="1807">
        <f>N34+N21</f>
        <v>360.971</v>
      </c>
      <c r="O36" s="1775"/>
      <c r="P36" s="1807">
        <f>P34+P21</f>
        <v>-353.54999999999995</v>
      </c>
      <c r="Q36" s="1807"/>
      <c r="R36" s="1807">
        <f>R34+R21</f>
        <v>272.714</v>
      </c>
      <c r="S36" s="1807"/>
      <c r="T36" s="1807">
        <f>T34+T21</f>
        <v>125.499</v>
      </c>
      <c r="U36" s="1807"/>
      <c r="V36" s="1807">
        <f>V34+V21</f>
        <v>348.78300000000002</v>
      </c>
      <c r="W36" s="1807"/>
      <c r="X36" s="1807">
        <f>X34+X21</f>
        <v>401.17099999999999</v>
      </c>
      <c r="Y36" s="1807"/>
      <c r="Z36" s="1807">
        <f>Z34+Z21</f>
        <v>354.18200000000002</v>
      </c>
      <c r="AA36" s="1807"/>
      <c r="AB36" s="1807">
        <f>AB34+AB21</f>
        <v>370.22899999999998</v>
      </c>
      <c r="AC36" s="1807"/>
      <c r="AD36" s="1807">
        <f>AD34+AD21</f>
        <v>703.69499999999994</v>
      </c>
      <c r="AE36" s="1807"/>
      <c r="AF36" s="1826">
        <f>AF34+AF21</f>
        <v>365.84699999999998</v>
      </c>
      <c r="AG36" s="1826"/>
      <c r="AH36" s="1826">
        <f>AH34+AH21</f>
        <v>346.49400000000003</v>
      </c>
      <c r="AI36" s="1826"/>
      <c r="AJ36" s="1826">
        <f>AJ34+AJ21</f>
        <v>379.32800000000003</v>
      </c>
      <c r="AK36" s="1826"/>
      <c r="AL36" s="1826">
        <f>AL34+AL21</f>
        <v>281.78499999999997</v>
      </c>
      <c r="AM36" s="1820"/>
      <c r="AN36" s="1826">
        <f>AN34+AN21+AN23</f>
        <v>930.779</v>
      </c>
      <c r="AO36" s="1820"/>
      <c r="AP36" s="1826">
        <f>AP34+AP21+AP23</f>
        <v>38.216999999999928</v>
      </c>
      <c r="AQ36" s="1820"/>
      <c r="AR36" s="1826">
        <f>AR34+AR21+AR23</f>
        <v>649.74800000000005</v>
      </c>
      <c r="AS36" s="1820"/>
      <c r="AT36" s="1826">
        <f>AT34+AT21+AT23</f>
        <v>1053.1510000000001</v>
      </c>
      <c r="AU36" s="1820"/>
      <c r="AV36" s="1826">
        <f>AV34+AV21+AV23+AV22</f>
        <v>673.93499999999983</v>
      </c>
      <c r="AW36" s="1820"/>
      <c r="AX36" s="1826">
        <f>AX34+AX21+AX23+AX22</f>
        <v>1162.7</v>
      </c>
      <c r="AY36" s="1820"/>
      <c r="AZ36" s="1826">
        <f>AZ34+AZ21+AZ23+AZ22</f>
        <v>946.2</v>
      </c>
      <c r="BA36" s="1820"/>
      <c r="BB36" s="1826">
        <f>BB34+BB21+BB23+BB22</f>
        <v>1084.1400000000001</v>
      </c>
      <c r="BC36" s="1820"/>
      <c r="BD36" s="1826">
        <f>BD34+BD21+BD23+BD22</f>
        <v>683.91600000000017</v>
      </c>
      <c r="BE36" s="1820"/>
      <c r="BF36" s="1826">
        <f>BF34+BF21+BF23+BF22</f>
        <v>1384.2999999999997</v>
      </c>
      <c r="BG36" s="1820"/>
      <c r="BH36" s="1826">
        <f>BH34+BH21+BH23+BH22</f>
        <v>497.34532174168544</v>
      </c>
      <c r="BI36" s="1820"/>
      <c r="BJ36" s="1826">
        <f>BJ34+BJ21+BJ23+BJ22</f>
        <v>1268.0310004766188</v>
      </c>
      <c r="BK36" s="1826"/>
      <c r="BL36" s="1826">
        <f>BL34+BL21+BL23+BL22</f>
        <v>1261.2286331987684</v>
      </c>
      <c r="BM36" s="1826"/>
      <c r="BN36" s="1826">
        <f>BN34+BN21+BN23+BN22</f>
        <v>1361.6884275172083</v>
      </c>
      <c r="BO36" s="1826"/>
      <c r="BP36" s="1826">
        <f>BP34+BP21+BP23+BP22</f>
        <v>1465.0198431416679</v>
      </c>
      <c r="BQ36" s="1783"/>
      <c r="BR36" s="1783"/>
      <c r="BS36" s="1783"/>
    </row>
    <row r="37" spans="1:71">
      <c r="A37" s="1783"/>
      <c r="B37" s="1783"/>
      <c r="C37" s="1783"/>
      <c r="D37" s="1783"/>
      <c r="E37" s="1783"/>
      <c r="F37" s="1783"/>
      <c r="G37" s="1783"/>
      <c r="H37" s="1783"/>
      <c r="I37" s="1783"/>
      <c r="J37" s="1783"/>
      <c r="K37" s="1783"/>
      <c r="L37" s="1783"/>
      <c r="M37" s="1783"/>
      <c r="N37" s="1783"/>
      <c r="O37" s="1783"/>
      <c r="P37" s="1783"/>
      <c r="Q37" s="1783"/>
      <c r="R37" s="1783"/>
      <c r="S37" s="1783"/>
      <c r="T37" s="1783"/>
      <c r="U37" s="1783"/>
      <c r="V37" s="1783"/>
      <c r="W37" s="1783"/>
      <c r="X37" s="1783"/>
      <c r="Y37" s="1783"/>
      <c r="Z37" s="1783"/>
      <c r="AA37" s="1783"/>
      <c r="AB37" s="1783"/>
      <c r="AC37" s="1783"/>
      <c r="AD37" s="1783"/>
      <c r="AE37" s="1783"/>
      <c r="AF37" s="1790"/>
      <c r="AG37" s="1783"/>
      <c r="AH37" s="1783"/>
      <c r="AI37" s="1783"/>
      <c r="AJ37" s="1783"/>
      <c r="AK37" s="1783"/>
      <c r="AL37" s="1783"/>
      <c r="AM37" s="1783"/>
      <c r="AN37" s="1783"/>
      <c r="AO37" s="1783"/>
      <c r="AP37" s="1783"/>
      <c r="AQ37" s="1783"/>
      <c r="AR37" s="1783"/>
      <c r="AS37" s="1783"/>
      <c r="AT37" s="1783"/>
      <c r="AU37" s="1783"/>
      <c r="AV37" s="1783"/>
      <c r="AW37" s="1783"/>
      <c r="AX37" s="1783"/>
      <c r="AY37" s="1783"/>
      <c r="AZ37" s="1783"/>
      <c r="BA37" s="1783"/>
      <c r="BB37" s="1783"/>
      <c r="BC37" s="1783"/>
      <c r="BD37" s="1783"/>
      <c r="BE37" s="1783"/>
      <c r="BF37" s="1783"/>
      <c r="BG37" s="1783"/>
      <c r="BH37" s="1783"/>
      <c r="BI37" s="1783"/>
      <c r="BJ37" s="1783"/>
      <c r="BK37" s="1783"/>
      <c r="BL37" s="1783"/>
      <c r="BM37" s="1783"/>
      <c r="BN37" s="1783"/>
      <c r="BO37" s="1783"/>
      <c r="BP37" s="1783"/>
      <c r="BQ37" s="1783"/>
      <c r="BR37" s="1783"/>
      <c r="BS37" s="1783"/>
    </row>
    <row r="38" spans="1:71">
      <c r="A38" s="1827" t="s">
        <v>60</v>
      </c>
      <c r="B38" s="1827"/>
      <c r="C38" s="1827"/>
      <c r="D38" s="1828">
        <f>D15-D36</f>
        <v>45.913999999999959</v>
      </c>
      <c r="E38" s="1827"/>
      <c r="F38" s="1828">
        <f>F15-F36</f>
        <v>16.034000000000432</v>
      </c>
      <c r="G38" s="1828"/>
      <c r="H38" s="1828">
        <f>H15-H36</f>
        <v>30.749999999999943</v>
      </c>
      <c r="I38" s="1828"/>
      <c r="J38" s="1828">
        <f>J15-J36</f>
        <v>-43.479000000000042</v>
      </c>
      <c r="K38" s="1828"/>
      <c r="L38" s="1828">
        <f>L15-L36</f>
        <v>-25.627999999999872</v>
      </c>
      <c r="M38" s="1828"/>
      <c r="N38" s="1828">
        <f>N15-N36</f>
        <v>-227.04299999999995</v>
      </c>
      <c r="O38" s="1827"/>
      <c r="P38" s="1828">
        <f>P15-P36</f>
        <v>718.87300000000005</v>
      </c>
      <c r="Q38" s="1828"/>
      <c r="R38" s="1828">
        <f>R15-R36</f>
        <v>173.61900000000048</v>
      </c>
      <c r="S38" s="1828"/>
      <c r="T38" s="1828">
        <f>T15-T36</f>
        <v>443.82800000000009</v>
      </c>
      <c r="U38" s="1828"/>
      <c r="V38" s="1828">
        <f>V15-V36</f>
        <v>356.65500000000054</v>
      </c>
      <c r="W38" s="1828"/>
      <c r="X38" s="1828">
        <f>X15-X36</f>
        <v>308.94099999999975</v>
      </c>
      <c r="Y38" s="1828"/>
      <c r="Z38" s="1828">
        <f>Z15-Z36</f>
        <v>463.00199999999927</v>
      </c>
      <c r="AA38" s="1828"/>
      <c r="AB38" s="1828">
        <f>AB15-AB36</f>
        <v>511.83600000000018</v>
      </c>
      <c r="AC38" s="1828"/>
      <c r="AD38" s="1828">
        <f>AD15-AD36</f>
        <v>304.32500000000073</v>
      </c>
      <c r="AE38" s="1828"/>
      <c r="AF38" s="1828">
        <f>AF15-AF36</f>
        <v>650.69800000000055</v>
      </c>
      <c r="AG38" s="1828"/>
      <c r="AH38" s="1828">
        <f>AH15-AH36</f>
        <v>671.75900000000172</v>
      </c>
      <c r="AI38" s="1828"/>
      <c r="AJ38" s="1828">
        <f>AJ15-AJ36</f>
        <v>820.65400000000091</v>
      </c>
      <c r="AK38" s="1828"/>
      <c r="AL38" s="1828">
        <f>AL15-AL36</f>
        <v>840.87599999999986</v>
      </c>
      <c r="AM38" s="1827"/>
      <c r="AN38" s="1828">
        <f>AN15-AN36</f>
        <v>590.48500000000013</v>
      </c>
      <c r="AO38" s="1827"/>
      <c r="AP38" s="1828">
        <f>AP15-AP36</f>
        <v>1729.143</v>
      </c>
      <c r="AQ38" s="1827"/>
      <c r="AR38" s="1828">
        <f>AR15-AR36</f>
        <v>1356.9629499999999</v>
      </c>
      <c r="AS38" s="1827"/>
      <c r="AT38" s="1828">
        <f>AT15-AT36</f>
        <v>1151.1360499999998</v>
      </c>
      <c r="AU38" s="1827"/>
      <c r="AV38" s="1828">
        <f>AV15-AV36</f>
        <v>1831.2380000000003</v>
      </c>
      <c r="AW38" s="1827"/>
      <c r="AX38" s="1828">
        <f>AX15-AX36</f>
        <v>1554.694119999999</v>
      </c>
      <c r="AY38" s="1827"/>
      <c r="AZ38" s="1828">
        <f>AZ15-AZ36</f>
        <v>2053.7130899999984</v>
      </c>
      <c r="BA38" s="1827"/>
      <c r="BB38" s="1828">
        <f>BB15-BB36</f>
        <v>1874.2279999999976</v>
      </c>
      <c r="BC38" s="1827"/>
      <c r="BD38" s="1828">
        <f>BD15-BD36</f>
        <v>2387.016000000006</v>
      </c>
      <c r="BE38" s="1827"/>
      <c r="BF38" s="1828">
        <f>BF15-BF36</f>
        <v>2012.9480000000035</v>
      </c>
      <c r="BG38" s="1827"/>
      <c r="BH38" s="1828">
        <f>BH15-BH36</f>
        <v>3247.6323200182123</v>
      </c>
      <c r="BI38" s="1827"/>
      <c r="BJ38" s="1828">
        <f>BJ15-BJ36</f>
        <v>2778.1842724868748</v>
      </c>
      <c r="BK38" s="1828"/>
      <c r="BL38" s="1828">
        <f>BL15-BL36</f>
        <v>3104.389685066591</v>
      </c>
      <c r="BM38" s="1828"/>
      <c r="BN38" s="1828">
        <f>BN15-BN36</f>
        <v>3306.024712591076</v>
      </c>
      <c r="BO38" s="1828"/>
      <c r="BP38" s="1828">
        <f>BP15-BP36</f>
        <v>3458.265415773008</v>
      </c>
      <c r="BQ38" s="1775"/>
      <c r="BR38" s="1775"/>
      <c r="BS38" s="1775"/>
    </row>
    <row r="39" spans="1:71" hidden="1" outlineLevel="1">
      <c r="A39" s="1813"/>
      <c r="B39" s="1813"/>
      <c r="C39" s="1813"/>
      <c r="D39" s="1829"/>
      <c r="E39" s="1813"/>
      <c r="F39" s="1829"/>
      <c r="G39" s="1829"/>
      <c r="H39" s="1829"/>
      <c r="I39" s="1829"/>
      <c r="J39" s="1829"/>
      <c r="K39" s="1829"/>
      <c r="L39" s="1829"/>
      <c r="M39" s="1829"/>
      <c r="N39" s="1829"/>
      <c r="O39" s="1813"/>
      <c r="P39" s="1829"/>
      <c r="Q39" s="1829"/>
      <c r="R39" s="1829"/>
      <c r="S39" s="1829"/>
      <c r="T39" s="1829"/>
      <c r="U39" s="1829"/>
      <c r="V39" s="1829"/>
      <c r="W39" s="1829"/>
      <c r="X39" s="1829"/>
      <c r="Y39" s="1829"/>
      <c r="Z39" s="1829"/>
      <c r="AA39" s="1829"/>
      <c r="AB39" s="1829"/>
      <c r="AC39" s="1829"/>
      <c r="AD39" s="1829"/>
      <c r="AE39" s="1829"/>
      <c r="AF39" s="1829"/>
      <c r="AG39" s="1829"/>
      <c r="AH39" s="1829"/>
      <c r="AI39" s="1829"/>
      <c r="AJ39" s="1829"/>
      <c r="AK39" s="1829"/>
      <c r="AL39" s="1829"/>
      <c r="AM39" s="1783"/>
      <c r="AN39" s="1830"/>
      <c r="AO39" s="1783"/>
      <c r="AP39" s="1829"/>
      <c r="AQ39" s="1783"/>
      <c r="AR39" s="1829"/>
      <c r="AS39" s="1783"/>
      <c r="AT39" s="1829"/>
      <c r="AU39" s="1783"/>
      <c r="AV39" s="1829"/>
      <c r="AW39" s="1783"/>
      <c r="AX39" s="1829"/>
      <c r="AY39" s="1783"/>
      <c r="AZ39" s="1829"/>
      <c r="BA39" s="1783"/>
      <c r="BB39" s="1829"/>
      <c r="BC39" s="1783"/>
      <c r="BD39" s="1829"/>
      <c r="BE39" s="1783"/>
      <c r="BF39" s="1829"/>
      <c r="BG39" s="1783"/>
      <c r="BH39" s="1829"/>
      <c r="BI39" s="1783"/>
      <c r="BJ39" s="1829"/>
      <c r="BK39" s="1829"/>
      <c r="BL39" s="1829"/>
      <c r="BM39" s="1829"/>
      <c r="BN39" s="1829"/>
      <c r="BO39" s="1829"/>
      <c r="BP39" s="1829"/>
      <c r="BQ39" s="1783"/>
      <c r="BR39" s="1783"/>
      <c r="BS39" s="1783"/>
    </row>
    <row r="40" spans="1:71" hidden="1" outlineLevel="1">
      <c r="A40" s="1783"/>
      <c r="B40" s="1783"/>
      <c r="C40" s="1783"/>
      <c r="D40" s="1783"/>
      <c r="E40" s="1783"/>
      <c r="F40" s="1783"/>
      <c r="G40" s="1783"/>
      <c r="H40" s="1783"/>
      <c r="I40" s="1783"/>
      <c r="J40" s="1783"/>
      <c r="K40" s="1783"/>
      <c r="L40" s="1783"/>
      <c r="M40" s="1783"/>
      <c r="N40" s="1783"/>
      <c r="O40" s="1783"/>
      <c r="P40" s="1783"/>
      <c r="Q40" s="1783"/>
      <c r="R40" s="1783"/>
      <c r="S40" s="1783"/>
      <c r="T40" s="1783"/>
      <c r="U40" s="1783"/>
      <c r="V40" s="1783"/>
      <c r="W40" s="1783"/>
      <c r="X40" s="1783"/>
      <c r="Y40" s="1783"/>
      <c r="Z40" s="1783"/>
      <c r="AA40" s="1783"/>
      <c r="AB40" s="1783"/>
      <c r="AC40" s="1783"/>
      <c r="AD40" s="1783"/>
      <c r="AE40" s="1783"/>
      <c r="AF40" s="1790"/>
      <c r="AG40" s="1783"/>
      <c r="AH40" s="1783"/>
      <c r="AI40" s="1783"/>
      <c r="AJ40" s="1783"/>
      <c r="AK40" s="1783"/>
      <c r="AL40" s="1783"/>
      <c r="AM40" s="1783"/>
      <c r="AN40" s="1783"/>
      <c r="AO40" s="1783"/>
      <c r="AP40" s="1783"/>
      <c r="AQ40" s="1783"/>
      <c r="AR40" s="1783"/>
      <c r="AS40" s="1783"/>
      <c r="AT40" s="1783"/>
      <c r="AU40" s="1783"/>
      <c r="AV40" s="1783"/>
      <c r="AW40" s="1783"/>
      <c r="AX40" s="1783"/>
      <c r="AY40" s="1783"/>
      <c r="AZ40" s="1783"/>
      <c r="BA40" s="1783"/>
      <c r="BB40" s="1783"/>
      <c r="BC40" s="1783"/>
      <c r="BD40" s="1783"/>
      <c r="BE40" s="1783"/>
      <c r="BF40" s="1783"/>
      <c r="BG40" s="1783"/>
      <c r="BH40" s="1783"/>
      <c r="BI40" s="1783"/>
      <c r="BJ40" s="1783"/>
      <c r="BK40" s="1783"/>
      <c r="BL40" s="1783"/>
      <c r="BM40" s="1783"/>
      <c r="BN40" s="1783"/>
      <c r="BO40" s="1783"/>
      <c r="BP40" s="1783"/>
      <c r="BQ40" s="1783"/>
      <c r="BR40" s="1783"/>
      <c r="BS40" s="1783"/>
    </row>
    <row r="41" spans="1:71" hidden="1" outlineLevel="1">
      <c r="A41" s="1783"/>
      <c r="B41" s="1783"/>
      <c r="C41" s="1783"/>
      <c r="D41" s="1831"/>
      <c r="E41" s="1831"/>
      <c r="F41" s="1810"/>
      <c r="G41" s="1831"/>
      <c r="H41" s="1811"/>
      <c r="I41" s="1811" t="s">
        <v>62</v>
      </c>
      <c r="J41" s="1831"/>
      <c r="K41" s="1831"/>
      <c r="L41" s="1831"/>
      <c r="M41" s="1809"/>
      <c r="N41" s="1831"/>
      <c r="O41" s="1831"/>
      <c r="P41" s="1810"/>
      <c r="Q41" s="1831"/>
      <c r="R41" s="1810"/>
      <c r="S41" s="1811" t="s">
        <v>62</v>
      </c>
      <c r="T41" s="1810"/>
      <c r="U41" s="1831"/>
      <c r="V41" s="1810"/>
      <c r="W41" s="1809"/>
      <c r="X41" s="1810"/>
      <c r="Y41" s="1831"/>
      <c r="Z41" s="1810"/>
      <c r="AA41" s="1831"/>
      <c r="AB41" s="1831"/>
      <c r="AC41" s="1831"/>
      <c r="AD41" s="1831"/>
      <c r="AE41" s="1831"/>
      <c r="AF41" s="1831"/>
      <c r="AG41" s="1831"/>
      <c r="AH41" s="1831"/>
      <c r="AI41" s="1831"/>
      <c r="AJ41" s="1831"/>
      <c r="AK41" s="1831"/>
      <c r="AL41" s="1831"/>
      <c r="AM41" s="1809"/>
      <c r="AN41" s="1831"/>
      <c r="AO41" s="1809"/>
      <c r="AP41" s="1831"/>
      <c r="AQ41" s="1809"/>
      <c r="AR41" s="1831"/>
      <c r="AS41" s="1809"/>
      <c r="AT41" s="1831"/>
      <c r="AU41" s="1809"/>
      <c r="AV41" s="1831"/>
      <c r="AW41" s="1809"/>
      <c r="AX41" s="1831"/>
      <c r="AY41" s="1809"/>
      <c r="AZ41" s="1831"/>
      <c r="BA41" s="1809"/>
      <c r="BB41" s="1831"/>
      <c r="BC41" s="1809"/>
      <c r="BD41" s="1831"/>
      <c r="BE41" s="1809"/>
      <c r="BF41" s="1831"/>
      <c r="BG41" s="1809"/>
      <c r="BH41" s="1831"/>
      <c r="BI41" s="1809"/>
      <c r="BJ41" s="1831"/>
      <c r="BK41" s="1831"/>
      <c r="BL41" s="1831"/>
      <c r="BM41" s="1831"/>
      <c r="BN41" s="1831"/>
      <c r="BO41" s="1831"/>
      <c r="BP41" s="1831"/>
      <c r="BQ41" s="1783"/>
      <c r="BR41" s="1783"/>
      <c r="BS41" s="1783"/>
    </row>
    <row r="42" spans="1:71" collapsed="1">
      <c r="A42" s="1783"/>
      <c r="B42" s="1783"/>
      <c r="C42" s="1783"/>
      <c r="D42" s="1783"/>
      <c r="E42" s="1783"/>
      <c r="F42" s="1783"/>
      <c r="G42" s="1783"/>
      <c r="H42" s="1783"/>
      <c r="I42" s="1783"/>
      <c r="J42" s="1783"/>
      <c r="K42" s="1783"/>
      <c r="L42" s="1783"/>
      <c r="M42" s="1783"/>
      <c r="N42" s="1783"/>
      <c r="O42" s="1783"/>
      <c r="P42" s="1783"/>
      <c r="Q42" s="1783"/>
      <c r="R42" s="1783"/>
      <c r="S42" s="1783"/>
      <c r="T42" s="1783"/>
      <c r="U42" s="1783"/>
      <c r="V42" s="1783"/>
      <c r="W42" s="1783"/>
      <c r="X42" s="1783"/>
      <c r="Y42" s="1783"/>
      <c r="Z42" s="1783"/>
      <c r="AA42" s="1783"/>
      <c r="AB42" s="1783"/>
      <c r="AC42" s="1783"/>
      <c r="AD42" s="1783"/>
      <c r="AE42" s="1783"/>
      <c r="AF42" s="1783"/>
      <c r="AG42" s="1783"/>
      <c r="AH42" s="1783"/>
      <c r="AI42" s="1783"/>
      <c r="AJ42" s="1783"/>
      <c r="AK42" s="1783"/>
      <c r="AL42" s="1783"/>
      <c r="AM42" s="1783"/>
      <c r="AN42" s="1783"/>
      <c r="AO42" s="1783"/>
      <c r="AP42" s="1783"/>
      <c r="AQ42" s="1783"/>
      <c r="AR42" s="1783"/>
      <c r="AS42" s="1783"/>
      <c r="AT42" s="1783"/>
      <c r="AU42" s="1783"/>
      <c r="AV42" s="1783"/>
      <c r="AW42" s="1783"/>
      <c r="AX42" s="1783"/>
      <c r="AY42" s="1783"/>
      <c r="AZ42" s="1783"/>
      <c r="BA42" s="1783"/>
      <c r="BB42" s="1783"/>
      <c r="BC42" s="1783"/>
      <c r="BD42" s="1783"/>
      <c r="BE42" s="1783"/>
      <c r="BF42" s="1783"/>
      <c r="BG42" s="1783"/>
      <c r="BH42" s="1783"/>
      <c r="BI42" s="1783"/>
      <c r="BJ42" s="1783"/>
      <c r="BK42" s="1783"/>
      <c r="BL42" s="1783"/>
      <c r="BM42" s="1783"/>
      <c r="BN42" s="1783"/>
      <c r="BO42" s="1783"/>
      <c r="BP42" s="1783"/>
      <c r="BQ42" s="1783"/>
      <c r="BR42" s="1783"/>
      <c r="BS42" s="1783"/>
    </row>
    <row r="43" spans="1:71">
      <c r="A43" s="1783" t="s">
        <v>617</v>
      </c>
      <c r="B43" s="1783"/>
      <c r="C43" s="1783"/>
      <c r="D43" s="1792">
        <f>bal!E32-bal!C32</f>
        <v>0</v>
      </c>
      <c r="E43" s="1783"/>
      <c r="F43" s="1792">
        <v>0</v>
      </c>
      <c r="G43" s="1783"/>
      <c r="H43" s="1792">
        <v>0</v>
      </c>
      <c r="I43" s="1783"/>
      <c r="J43" s="1792">
        <v>0</v>
      </c>
      <c r="K43" s="1783"/>
      <c r="L43" s="1792">
        <v>20</v>
      </c>
      <c r="M43" s="1783"/>
      <c r="N43" s="1793">
        <v>-20</v>
      </c>
      <c r="O43" s="1783"/>
      <c r="P43" s="1793">
        <v>0</v>
      </c>
      <c r="Q43" s="1783"/>
      <c r="R43" s="1793">
        <v>0</v>
      </c>
      <c r="S43" s="1783"/>
      <c r="T43" s="1793">
        <v>0</v>
      </c>
      <c r="U43" s="1783"/>
      <c r="V43" s="1793">
        <f>+bal!X32-bal!V32</f>
        <v>0</v>
      </c>
      <c r="W43" s="1783"/>
      <c r="X43" s="1793">
        <f>+bal!Z32-bal!X32</f>
        <v>39</v>
      </c>
      <c r="Y43" s="1783"/>
      <c r="Z43" s="1793">
        <f>+bal!AB32-bal!Z32</f>
        <v>-39</v>
      </c>
      <c r="AA43" s="1783"/>
      <c r="AB43" s="1792">
        <f>bal!AD32-bal!AB32</f>
        <v>0</v>
      </c>
      <c r="AC43" s="1783"/>
      <c r="AD43" s="1792">
        <f>bal!AF32-bal!AD32</f>
        <v>0</v>
      </c>
      <c r="AE43" s="1783"/>
      <c r="AF43" s="1799">
        <f>bal!AH32-bal!AF32</f>
        <v>0</v>
      </c>
      <c r="AG43" s="1799"/>
      <c r="AH43" s="1799">
        <f>bal!AJ32-bal!AH32</f>
        <v>0</v>
      </c>
      <c r="AI43" s="1799"/>
      <c r="AJ43" s="1799">
        <f>bal!AL32-bal!AJ32</f>
        <v>0</v>
      </c>
      <c r="AK43" s="1799"/>
      <c r="AL43" s="1799">
        <f>bal!AN32-bal!AL32</f>
        <v>0</v>
      </c>
      <c r="AM43" s="1799"/>
      <c r="AN43" s="1800">
        <v>0</v>
      </c>
      <c r="AO43" s="1799"/>
      <c r="AP43" s="1800">
        <v>0</v>
      </c>
      <c r="AQ43" s="1799"/>
      <c r="AR43" s="1800">
        <v>0</v>
      </c>
      <c r="AS43" s="1799"/>
      <c r="AT43" s="1800">
        <v>0</v>
      </c>
      <c r="AU43" s="1799"/>
      <c r="AV43" s="1800">
        <v>0</v>
      </c>
      <c r="AW43" s="1783"/>
      <c r="AX43" s="1800">
        <v>0</v>
      </c>
      <c r="AY43" s="1783"/>
      <c r="AZ43" s="1800">
        <v>0</v>
      </c>
      <c r="BA43" s="1783"/>
      <c r="BB43" s="1792">
        <f>bal!BD32-bal!BB32</f>
        <v>0</v>
      </c>
      <c r="BC43" s="1783"/>
      <c r="BD43" s="1792">
        <f>bal!BF32-bal!BD32</f>
        <v>0</v>
      </c>
      <c r="BE43" s="1783"/>
      <c r="BF43" s="1792">
        <f>bal!BH32-bal!BF32</f>
        <v>0</v>
      </c>
      <c r="BG43" s="1783"/>
      <c r="BH43" s="1792">
        <f>bal!BJ32-bal!BH32</f>
        <v>0</v>
      </c>
      <c r="BI43" s="1783"/>
      <c r="BJ43" s="1792">
        <f>bal!BL32-bal!BJ32</f>
        <v>0</v>
      </c>
      <c r="BK43" s="1792"/>
      <c r="BL43" s="1792">
        <f>bal!BN32-bal!BL32</f>
        <v>0</v>
      </c>
      <c r="BM43" s="1792"/>
      <c r="BN43" s="1792">
        <f>bal!BP32-bal!BN32</f>
        <v>0</v>
      </c>
      <c r="BO43" s="1792"/>
      <c r="BP43" s="1792">
        <f>bal!BR32-bal!BP32</f>
        <v>0</v>
      </c>
      <c r="BQ43" s="1783"/>
      <c r="BR43" s="1783"/>
      <c r="BS43" s="1783"/>
    </row>
    <row r="44" spans="1:71">
      <c r="A44" s="1783" t="s">
        <v>668</v>
      </c>
      <c r="B44" s="1783"/>
      <c r="C44" s="1783"/>
      <c r="D44" s="1792">
        <v>-0.92200000000000004</v>
      </c>
      <c r="E44" s="1783"/>
      <c r="F44" s="1792">
        <v>0</v>
      </c>
      <c r="G44" s="1783"/>
      <c r="H44" s="1793">
        <v>0</v>
      </c>
      <c r="I44" s="1783"/>
      <c r="J44" s="1792">
        <v>0</v>
      </c>
      <c r="K44" s="1783"/>
      <c r="L44" s="1792">
        <v>0</v>
      </c>
      <c r="M44" s="1783"/>
      <c r="N44" s="1793">
        <v>0</v>
      </c>
      <c r="O44" s="1783"/>
      <c r="P44" s="1793">
        <v>0</v>
      </c>
      <c r="Q44" s="1783"/>
      <c r="R44" s="1793">
        <v>0</v>
      </c>
      <c r="S44" s="1783"/>
      <c r="T44" s="1793">
        <v>0</v>
      </c>
      <c r="U44" s="1783"/>
      <c r="V44" s="1793">
        <v>-5.8479999999999999</v>
      </c>
      <c r="W44" s="1783"/>
      <c r="X44" s="1793">
        <v>-23.1</v>
      </c>
      <c r="Y44" s="1783"/>
      <c r="Z44" s="1793">
        <v>-5.4020000000000001</v>
      </c>
      <c r="AA44" s="1783"/>
      <c r="AB44" s="1793">
        <v>0.56399999999999995</v>
      </c>
      <c r="AC44" s="1783"/>
      <c r="AD44" s="1793">
        <v>0.60599999999999998</v>
      </c>
      <c r="AE44" s="1783"/>
      <c r="AF44" s="1800">
        <v>0.65200000000000002</v>
      </c>
      <c r="AG44" s="1799"/>
      <c r="AH44" s="1800">
        <v>0.65200000000000002</v>
      </c>
      <c r="AI44" s="1799"/>
      <c r="AJ44" s="1800">
        <v>0.7</v>
      </c>
      <c r="AK44" s="1799"/>
      <c r="AL44" s="1800">
        <v>0.753</v>
      </c>
      <c r="AM44" s="1799"/>
      <c r="AN44" s="1800">
        <v>0</v>
      </c>
      <c r="AO44" s="1799"/>
      <c r="AP44" s="1800">
        <v>0</v>
      </c>
      <c r="AQ44" s="1799"/>
      <c r="AR44" s="1800">
        <v>0</v>
      </c>
      <c r="AS44" s="1799"/>
      <c r="AT44" s="1800">
        <v>0</v>
      </c>
      <c r="AU44" s="1799"/>
      <c r="AV44" s="1800">
        <v>0</v>
      </c>
      <c r="AW44" s="1783"/>
      <c r="AX44" s="1800">
        <v>0</v>
      </c>
      <c r="AY44" s="1783"/>
      <c r="AZ44" s="1800">
        <v>0</v>
      </c>
      <c r="BA44" s="1783"/>
      <c r="BB44" s="1793">
        <v>0</v>
      </c>
      <c r="BC44" s="1783"/>
      <c r="BD44" s="1793">
        <v>0</v>
      </c>
      <c r="BE44" s="1783"/>
      <c r="BF44" s="1793">
        <v>0</v>
      </c>
      <c r="BG44" s="1783"/>
      <c r="BH44" s="1793">
        <v>0</v>
      </c>
      <c r="BI44" s="1783"/>
      <c r="BJ44" s="1793">
        <v>0</v>
      </c>
      <c r="BK44" s="1793"/>
      <c r="BL44" s="1793">
        <v>0</v>
      </c>
      <c r="BM44" s="1793"/>
      <c r="BN44" s="1793">
        <v>0</v>
      </c>
      <c r="BO44" s="1793"/>
      <c r="BP44" s="1793">
        <v>0</v>
      </c>
      <c r="BQ44" s="1783"/>
      <c r="BR44" s="1783"/>
      <c r="BS44" s="1783"/>
    </row>
    <row r="45" spans="1:71">
      <c r="A45" s="1783" t="s">
        <v>63</v>
      </c>
      <c r="B45" s="1783"/>
      <c r="C45" s="1783"/>
      <c r="D45" s="1792">
        <f>25-9.967</f>
        <v>15.032999999999999</v>
      </c>
      <c r="E45" s="1792"/>
      <c r="F45" s="1793">
        <f>5.5-6.628</f>
        <v>-1.1280000000000001</v>
      </c>
      <c r="G45" s="1792"/>
      <c r="H45" s="1793">
        <f>-10.392-51.897</f>
        <v>-62.289000000000001</v>
      </c>
      <c r="I45" s="1792"/>
      <c r="J45" s="1793">
        <f>37-4.201-0.496</f>
        <v>32.302999999999997</v>
      </c>
      <c r="K45" s="1792"/>
      <c r="L45" s="1792">
        <f>20.5-6.025</f>
        <v>14.475</v>
      </c>
      <c r="M45" s="1792"/>
      <c r="N45" s="1793">
        <f>574.861-31.271-14.776</f>
        <v>528.81400000000008</v>
      </c>
      <c r="O45" s="1792"/>
      <c r="P45" s="1792">
        <f>-46.506-455.56</f>
        <v>-502.06600000000003</v>
      </c>
      <c r="Q45" s="1792"/>
      <c r="R45" s="1793">
        <v>-27.178999999999998</v>
      </c>
      <c r="S45" s="1792"/>
      <c r="T45" s="1793">
        <f>-23.36</f>
        <v>-23.36</v>
      </c>
      <c r="U45" s="1792"/>
      <c r="V45" s="1793">
        <f>198.06-0.695</f>
        <v>197.36500000000001</v>
      </c>
      <c r="W45" s="1792"/>
      <c r="X45" s="1793">
        <f>0-100.203</f>
        <v>-100.203</v>
      </c>
      <c r="Y45" s="1792"/>
      <c r="Z45" s="1792">
        <f>347.579-0.073</f>
        <v>347.50600000000003</v>
      </c>
      <c r="AA45" s="1792"/>
      <c r="AB45" s="1792">
        <v>0</v>
      </c>
      <c r="AC45" s="1792"/>
      <c r="AD45" s="1792">
        <v>-15</v>
      </c>
      <c r="AE45" s="1792"/>
      <c r="AF45" s="1799">
        <v>-5.0019999999999998</v>
      </c>
      <c r="AG45" s="1799"/>
      <c r="AH45" s="1800">
        <f>-100+204.427</f>
        <v>104.42699999999999</v>
      </c>
      <c r="AI45" s="1799"/>
      <c r="AJ45" s="1800">
        <v>0</v>
      </c>
      <c r="AK45" s="1799"/>
      <c r="AL45" s="1800">
        <v>0</v>
      </c>
      <c r="AM45" s="1799"/>
      <c r="AN45" s="1800">
        <v>0</v>
      </c>
      <c r="AO45" s="1799"/>
      <c r="AP45" s="1800">
        <f>774.263-393.573</f>
        <v>380.69000000000005</v>
      </c>
      <c r="AQ45" s="1799"/>
      <c r="AR45" s="1800">
        <v>0</v>
      </c>
      <c r="AS45" s="1799"/>
      <c r="AT45" s="1800">
        <v>0</v>
      </c>
      <c r="AU45" s="1799"/>
      <c r="AV45" s="1800">
        <v>0</v>
      </c>
      <c r="AW45" s="1783"/>
      <c r="AX45" s="1800">
        <v>499.6</v>
      </c>
      <c r="AY45" s="1783"/>
      <c r="AZ45" s="1800">
        <f>749.5-416.4</f>
        <v>333.1</v>
      </c>
      <c r="BA45" s="1783"/>
      <c r="BB45" s="1800">
        <v>0</v>
      </c>
      <c r="BC45" s="1783"/>
      <c r="BD45" s="1930">
        <f>992.54-425.584-9.921-3.15</f>
        <v>553.88499999999988</v>
      </c>
      <c r="BE45" s="1783"/>
      <c r="BF45" s="1930">
        <v>0</v>
      </c>
      <c r="BG45" s="1783"/>
      <c r="BH45" s="1792">
        <f>bal!BJ39-bal!BH39+(bal!BJ34-bal!BH34)</f>
        <v>0</v>
      </c>
      <c r="BI45" s="1783"/>
      <c r="BJ45" s="1792">
        <f>bal!BL39-bal!BJ39+(bal!BL34-bal!BJ34)</f>
        <v>0</v>
      </c>
      <c r="BK45" s="1792"/>
      <c r="BL45" s="1792">
        <f>bal!BN39-bal!BL39+(bal!BN34-bal!BL34)</f>
        <v>0</v>
      </c>
      <c r="BM45" s="1792"/>
      <c r="BN45" s="1792">
        <f>bal!BP39-bal!BN39+(bal!BP34-bal!BN34)</f>
        <v>0</v>
      </c>
      <c r="BO45" s="1792"/>
      <c r="BP45" s="1792">
        <f>bal!BR39-bal!BP39+(bal!BR34-bal!BP34)</f>
        <v>0</v>
      </c>
      <c r="BQ45" s="1783"/>
      <c r="BR45" s="1783"/>
      <c r="BS45" s="1783"/>
    </row>
    <row r="46" spans="1:71">
      <c r="A46" s="1783" t="s">
        <v>585</v>
      </c>
      <c r="B46" s="1783"/>
      <c r="C46" s="1783"/>
      <c r="D46" s="1792"/>
      <c r="E46" s="1792"/>
      <c r="F46" s="1793"/>
      <c r="G46" s="1792"/>
      <c r="H46" s="1793"/>
      <c r="I46" s="1792"/>
      <c r="J46" s="1793"/>
      <c r="K46" s="1792"/>
      <c r="L46" s="1792"/>
      <c r="M46" s="1792"/>
      <c r="N46" s="1793"/>
      <c r="O46" s="1792"/>
      <c r="P46" s="1792"/>
      <c r="Q46" s="1792"/>
      <c r="R46" s="1793"/>
      <c r="S46" s="1792"/>
      <c r="T46" s="1793"/>
      <c r="U46" s="1792"/>
      <c r="V46" s="1793"/>
      <c r="W46" s="1792"/>
      <c r="X46" s="1793"/>
      <c r="Y46" s="1792"/>
      <c r="Z46" s="1792"/>
      <c r="AA46" s="1792"/>
      <c r="AB46" s="1792"/>
      <c r="AC46" s="1792"/>
      <c r="AD46" s="1792"/>
      <c r="AE46" s="1792"/>
      <c r="AF46" s="1799"/>
      <c r="AG46" s="1799"/>
      <c r="AH46" s="1800"/>
      <c r="AI46" s="1799"/>
      <c r="AJ46" s="1800"/>
      <c r="AK46" s="1799"/>
      <c r="AL46" s="1800"/>
      <c r="AM46" s="1799"/>
      <c r="AN46" s="1800">
        <v>0</v>
      </c>
      <c r="AO46" s="1799"/>
      <c r="AP46" s="1799"/>
      <c r="AQ46" s="1799"/>
      <c r="AR46" s="1799"/>
      <c r="AS46" s="1799"/>
      <c r="AT46" s="1800"/>
      <c r="AU46" s="1799"/>
      <c r="AV46" s="1799"/>
      <c r="AW46" s="1783"/>
      <c r="AX46" s="1792"/>
      <c r="AY46" s="1783"/>
      <c r="AZ46" s="1792"/>
      <c r="BA46" s="1783"/>
      <c r="BB46" s="1792"/>
      <c r="BC46" s="1783"/>
      <c r="BD46" s="1792"/>
      <c r="BE46" s="1783"/>
      <c r="BF46" s="1792"/>
      <c r="BG46" s="1783"/>
      <c r="BH46" s="1792"/>
      <c r="BI46" s="1783"/>
      <c r="BJ46" s="1792"/>
      <c r="BK46" s="1792"/>
      <c r="BL46" s="1792"/>
      <c r="BM46" s="1792"/>
      <c r="BN46" s="1792"/>
      <c r="BO46" s="1792"/>
      <c r="BP46" s="1792"/>
      <c r="BQ46" s="1783"/>
      <c r="BR46" s="1783"/>
      <c r="BS46" s="1783"/>
    </row>
    <row r="47" spans="1:71" hidden="1" outlineLevel="1">
      <c r="A47" s="1783"/>
      <c r="B47" s="1783"/>
      <c r="C47" s="1783"/>
      <c r="D47" s="1792"/>
      <c r="E47" s="1792"/>
      <c r="F47" s="1793"/>
      <c r="G47" s="1792"/>
      <c r="H47" s="1793"/>
      <c r="I47" s="1792"/>
      <c r="J47" s="1793"/>
      <c r="K47" s="1792"/>
      <c r="L47" s="1792"/>
      <c r="M47" s="1792"/>
      <c r="N47" s="1793"/>
      <c r="O47" s="1792"/>
      <c r="P47" s="1792"/>
      <c r="Q47" s="1792"/>
      <c r="R47" s="1793"/>
      <c r="S47" s="1792"/>
      <c r="T47" s="1793"/>
      <c r="U47" s="1792"/>
      <c r="V47" s="1793"/>
      <c r="W47" s="1792"/>
      <c r="X47" s="1793"/>
      <c r="Y47" s="1792"/>
      <c r="Z47" s="1793"/>
      <c r="AA47" s="1792"/>
      <c r="AB47" s="1793"/>
      <c r="AC47" s="1792"/>
      <c r="AD47" s="1793"/>
      <c r="AE47" s="1792"/>
      <c r="AF47" s="1800"/>
      <c r="AG47" s="1799"/>
      <c r="AH47" s="1800"/>
      <c r="AI47" s="1799"/>
      <c r="AJ47" s="1800"/>
      <c r="AK47" s="1799"/>
      <c r="AL47" s="1800"/>
      <c r="AM47" s="1799"/>
      <c r="AN47" s="1800"/>
      <c r="AO47" s="1799"/>
      <c r="AP47" s="1800"/>
      <c r="AQ47" s="1799"/>
      <c r="AR47" s="1800"/>
      <c r="AS47" s="1799"/>
      <c r="AT47" s="1800"/>
      <c r="AU47" s="1799"/>
      <c r="AV47" s="1800"/>
      <c r="AW47" s="1783"/>
      <c r="AX47" s="1793"/>
      <c r="AY47" s="1783"/>
      <c r="AZ47" s="1793"/>
      <c r="BA47" s="1783"/>
      <c r="BB47" s="1793"/>
      <c r="BC47" s="1783"/>
      <c r="BD47" s="1793"/>
      <c r="BE47" s="1783"/>
      <c r="BF47" s="1793"/>
      <c r="BG47" s="1783"/>
      <c r="BH47" s="1793"/>
      <c r="BI47" s="1783"/>
      <c r="BJ47" s="1793"/>
      <c r="BK47" s="1793"/>
      <c r="BL47" s="1793"/>
      <c r="BM47" s="1793"/>
      <c r="BN47" s="1793"/>
      <c r="BO47" s="1793"/>
      <c r="BP47" s="1793"/>
      <c r="BQ47" s="1783"/>
      <c r="BR47" s="1783"/>
      <c r="BS47" s="1783"/>
    </row>
    <row r="48" spans="1:71" collapsed="1">
      <c r="A48" s="1783"/>
      <c r="B48" s="1783"/>
      <c r="C48" s="1783"/>
      <c r="D48" s="1792"/>
      <c r="E48" s="1792"/>
      <c r="F48" s="1793"/>
      <c r="G48" s="1792"/>
      <c r="H48" s="1793"/>
      <c r="I48" s="1792"/>
      <c r="J48" s="1793"/>
      <c r="K48" s="1792"/>
      <c r="L48" s="1792"/>
      <c r="M48" s="1792"/>
      <c r="N48" s="1793"/>
      <c r="O48" s="1792"/>
      <c r="P48" s="1792"/>
      <c r="Q48" s="1792"/>
      <c r="R48" s="1793"/>
      <c r="S48" s="1792"/>
      <c r="T48" s="1793"/>
      <c r="U48" s="1792"/>
      <c r="V48" s="1793"/>
      <c r="W48" s="1792"/>
      <c r="X48" s="1793"/>
      <c r="Y48" s="1792"/>
      <c r="Z48" s="1793"/>
      <c r="AA48" s="1792"/>
      <c r="AB48" s="1793"/>
      <c r="AC48" s="1792"/>
      <c r="AD48" s="1793"/>
      <c r="AE48" s="1792"/>
      <c r="AF48" s="1800"/>
      <c r="AG48" s="1799"/>
      <c r="AH48" s="1800"/>
      <c r="AI48" s="1799"/>
      <c r="AJ48" s="1800"/>
      <c r="AK48" s="1799"/>
      <c r="AL48" s="1800"/>
      <c r="AM48" s="1799"/>
      <c r="AN48" s="1800"/>
      <c r="AO48" s="1799"/>
      <c r="AP48" s="1800"/>
      <c r="AQ48" s="1799"/>
      <c r="AR48" s="1800"/>
      <c r="AS48" s="1799"/>
      <c r="AT48" s="1800"/>
      <c r="AU48" s="1799"/>
      <c r="AV48" s="1800"/>
      <c r="AW48" s="1783"/>
      <c r="AX48" s="1793"/>
      <c r="AY48" s="1783"/>
      <c r="AZ48" s="1793"/>
      <c r="BA48" s="1783"/>
      <c r="BB48" s="1793"/>
      <c r="BC48" s="1783"/>
      <c r="BD48" s="1793"/>
      <c r="BE48" s="1783"/>
      <c r="BF48" s="1793"/>
      <c r="BG48" s="1783"/>
      <c r="BH48" s="1793"/>
      <c r="BI48" s="1783"/>
      <c r="BJ48" s="1793"/>
      <c r="BK48" s="1793"/>
      <c r="BL48" s="1793"/>
      <c r="BM48" s="1793"/>
      <c r="BN48" s="1793"/>
      <c r="BO48" s="1793"/>
      <c r="BP48" s="1793"/>
      <c r="BQ48" s="1783"/>
      <c r="BR48" s="1783"/>
      <c r="BS48" s="1783"/>
    </row>
    <row r="49" spans="1:71">
      <c r="A49" s="1783" t="s">
        <v>669</v>
      </c>
      <c r="B49" s="1783"/>
      <c r="C49" s="1783"/>
      <c r="D49" s="1792">
        <v>0</v>
      </c>
      <c r="E49" s="1792"/>
      <c r="F49" s="1792">
        <v>0</v>
      </c>
      <c r="G49" s="1792"/>
      <c r="H49" s="1793">
        <v>0</v>
      </c>
      <c r="I49" s="1792"/>
      <c r="J49" s="1793">
        <v>0</v>
      </c>
      <c r="K49" s="1792"/>
      <c r="L49" s="1792">
        <v>0</v>
      </c>
      <c r="M49" s="1792"/>
      <c r="N49" s="1792">
        <v>0</v>
      </c>
      <c r="O49" s="1792"/>
      <c r="P49" s="1792">
        <v>0</v>
      </c>
      <c r="Q49" s="1792"/>
      <c r="R49" s="1793">
        <v>0</v>
      </c>
      <c r="S49" s="1792"/>
      <c r="T49" s="1793">
        <v>0</v>
      </c>
      <c r="U49" s="1792"/>
      <c r="V49" s="1793">
        <v>0</v>
      </c>
      <c r="W49" s="1792"/>
      <c r="X49" s="1793">
        <v>0</v>
      </c>
      <c r="Y49" s="1792"/>
      <c r="Z49" s="1792">
        <v>-0.99199999999999999</v>
      </c>
      <c r="AA49" s="1792"/>
      <c r="AB49" s="1792">
        <v>-1.244</v>
      </c>
      <c r="AC49" s="1792"/>
      <c r="AD49" s="1792">
        <v>-1.3480000000000001</v>
      </c>
      <c r="AE49" s="1792"/>
      <c r="AF49" s="1799">
        <v>-1.46</v>
      </c>
      <c r="AG49" s="1799"/>
      <c r="AH49" s="1800">
        <v>-1.58</v>
      </c>
      <c r="AI49" s="1799"/>
      <c r="AJ49" s="1799">
        <v>-1.712</v>
      </c>
      <c r="AK49" s="1799"/>
      <c r="AL49" s="1800">
        <v>-1.8540000000000001</v>
      </c>
      <c r="AM49" s="1799"/>
      <c r="AN49" s="1800">
        <v>-2.008</v>
      </c>
      <c r="AO49" s="1799"/>
      <c r="AP49" s="1800">
        <v>-2.1739999999999999</v>
      </c>
      <c r="AQ49" s="1799"/>
      <c r="AR49" s="1800">
        <v>-2.355</v>
      </c>
      <c r="AS49" s="1799"/>
      <c r="AT49" s="1800">
        <v>-2.7269999999999999</v>
      </c>
      <c r="AU49" s="1799"/>
      <c r="AV49" s="1800">
        <v>-1.456</v>
      </c>
      <c r="AW49" s="1783"/>
      <c r="AX49" s="1800">
        <v>0</v>
      </c>
      <c r="AY49" s="1783"/>
      <c r="AZ49" s="1800">
        <v>0</v>
      </c>
      <c r="BA49" s="1783"/>
      <c r="BB49" s="1800">
        <v>0</v>
      </c>
      <c r="BC49" s="1783"/>
      <c r="BD49" s="1930">
        <v>0</v>
      </c>
      <c r="BE49" s="1783"/>
      <c r="BF49" s="1930">
        <v>0</v>
      </c>
      <c r="BG49" s="1783"/>
      <c r="BH49" s="1792">
        <f>bal!BJ40-bal!BH40+(bal!BJ33-bal!BH33)</f>
        <v>50</v>
      </c>
      <c r="BI49" s="1783"/>
      <c r="BJ49" s="1792">
        <f>bal!BL40-bal!BJ40+(bal!BL33-bal!BJ33)</f>
        <v>50</v>
      </c>
      <c r="BK49" s="1792"/>
      <c r="BL49" s="1792">
        <f>bal!BN40-bal!BL40+(bal!BN33-bal!BL33)</f>
        <v>50</v>
      </c>
      <c r="BM49" s="1792"/>
      <c r="BN49" s="1792">
        <f>bal!BP40-bal!BN40+(bal!BP33-bal!BN33)</f>
        <v>50</v>
      </c>
      <c r="BO49" s="1792"/>
      <c r="BP49" s="1792">
        <f>bal!BR40-bal!BP40+(bal!BR33-bal!BP33)</f>
        <v>50</v>
      </c>
      <c r="BQ49" s="1783"/>
      <c r="BR49" s="1783"/>
      <c r="BS49" s="1783"/>
    </row>
    <row r="50" spans="1:71">
      <c r="A50" s="1783" t="s">
        <v>64</v>
      </c>
      <c r="B50" s="1783"/>
      <c r="C50" s="1783"/>
      <c r="D50" s="1793">
        <v>6.9000000000000006E-2</v>
      </c>
      <c r="E50" s="1793"/>
      <c r="F50" s="1793">
        <v>1.155</v>
      </c>
      <c r="G50" s="1793"/>
      <c r="H50" s="1793">
        <f>104.429+3.081</f>
        <v>107.51</v>
      </c>
      <c r="I50" s="1793"/>
      <c r="J50" s="1793">
        <v>3.8279999999999998</v>
      </c>
      <c r="K50" s="1793"/>
      <c r="L50" s="1793">
        <v>0.74099999999999999</v>
      </c>
      <c r="M50" s="1793"/>
      <c r="N50" s="1793">
        <v>1.04</v>
      </c>
      <c r="O50" s="1793"/>
      <c r="P50" s="1793">
        <v>34.395000000000003</v>
      </c>
      <c r="Q50" s="1793"/>
      <c r="R50" s="1793">
        <v>15.471</v>
      </c>
      <c r="S50" s="1793"/>
      <c r="T50" s="1793">
        <v>13.942</v>
      </c>
      <c r="U50" s="1793"/>
      <c r="V50" s="1793">
        <v>9.3119999999999994</v>
      </c>
      <c r="W50" s="1792"/>
      <c r="X50" s="1793">
        <v>26.100999999999999</v>
      </c>
      <c r="Y50" s="1792"/>
      <c r="Z50" s="1793">
        <v>65.201999999999998</v>
      </c>
      <c r="AA50" s="1792"/>
      <c r="AB50" s="1793">
        <v>33.915999999999997</v>
      </c>
      <c r="AC50" s="1792"/>
      <c r="AD50" s="1793">
        <v>59.158999999999999</v>
      </c>
      <c r="AE50" s="1792"/>
      <c r="AF50" s="1800">
        <v>96.861000000000004</v>
      </c>
      <c r="AG50" s="1799"/>
      <c r="AH50" s="1800">
        <v>102.438</v>
      </c>
      <c r="AI50" s="1799"/>
      <c r="AJ50" s="1800">
        <v>260.197</v>
      </c>
      <c r="AK50" s="1799"/>
      <c r="AL50" s="1800">
        <v>134.10900000000001</v>
      </c>
      <c r="AM50" s="1799"/>
      <c r="AN50" s="1800">
        <v>142.154</v>
      </c>
      <c r="AO50" s="1799"/>
      <c r="AP50" s="1800">
        <v>169.86199999999999</v>
      </c>
      <c r="AQ50" s="1799"/>
      <c r="AR50" s="1800">
        <v>176.15899999999999</v>
      </c>
      <c r="AS50" s="1799"/>
      <c r="AT50" s="1800">
        <v>218.999</v>
      </c>
      <c r="AU50" s="1799"/>
      <c r="AV50" s="1800">
        <v>133.77099999999999</v>
      </c>
      <c r="AW50" s="1783"/>
      <c r="AX50" s="1800">
        <v>146.5</v>
      </c>
      <c r="AY50" s="1783"/>
      <c r="AZ50" s="1800">
        <v>143</v>
      </c>
      <c r="BA50" s="1783"/>
      <c r="BB50" s="1800">
        <f>132.033+64.68</f>
        <v>196.71299999999999</v>
      </c>
      <c r="BC50" s="1783"/>
      <c r="BD50" s="1930">
        <f>164.19+70.999</f>
        <v>235.18899999999999</v>
      </c>
      <c r="BE50" s="1783"/>
      <c r="BF50" s="1930">
        <v>133.69999999999999</v>
      </c>
      <c r="BG50" s="1783"/>
      <c r="BH50" s="1792">
        <f>(+bal!BJ52-bal!BH52)+(bal!BJ51-bal!BH51)</f>
        <v>0</v>
      </c>
      <c r="BI50" s="1783"/>
      <c r="BJ50" s="1792">
        <f>(+bal!BL52-bal!BJ52)+(bal!BL51-bal!BJ51)</f>
        <v>0</v>
      </c>
      <c r="BK50" s="1792"/>
      <c r="BL50" s="1792">
        <f>(+bal!BN52-bal!BL52)+(bal!BN51-bal!BL51)</f>
        <v>0</v>
      </c>
      <c r="BM50" s="1792"/>
      <c r="BN50" s="1792">
        <f>(+bal!BP52-bal!BN52)+(bal!BP51-bal!BN51)</f>
        <v>0</v>
      </c>
      <c r="BO50" s="1792"/>
      <c r="BP50" s="1792">
        <f>(+bal!BR52-bal!BP52)+(bal!BR51-bal!BP51)</f>
        <v>0</v>
      </c>
      <c r="BQ50" s="1783"/>
      <c r="BR50" s="1783"/>
      <c r="BS50" s="1783"/>
    </row>
    <row r="51" spans="1:71">
      <c r="A51" s="1783" t="s">
        <v>65</v>
      </c>
      <c r="B51" s="1783"/>
      <c r="C51" s="1783"/>
      <c r="D51" s="1792">
        <v>0</v>
      </c>
      <c r="E51" s="1783"/>
      <c r="F51" s="1792">
        <f>bal!E55-bal!G55</f>
        <v>0</v>
      </c>
      <c r="G51" s="1783"/>
      <c r="H51" s="1793">
        <v>0</v>
      </c>
      <c r="I51" s="1832"/>
      <c r="J51" s="1793">
        <v>0</v>
      </c>
      <c r="K51" s="1832"/>
      <c r="L51" s="1795">
        <v>-19.260999999999999</v>
      </c>
      <c r="M51" s="1832"/>
      <c r="N51" s="1793">
        <v>0</v>
      </c>
      <c r="O51" s="1783"/>
      <c r="P51" s="1793">
        <v>0</v>
      </c>
      <c r="Q51" s="1783"/>
      <c r="R51" s="1793">
        <v>-245.19800000000001</v>
      </c>
      <c r="S51" s="1832"/>
      <c r="T51" s="1792">
        <v>-337.74400000000003</v>
      </c>
      <c r="U51" s="1832"/>
      <c r="V51" s="1792">
        <v>-604.55999999999995</v>
      </c>
      <c r="W51" s="1832"/>
      <c r="X51" s="1792">
        <v>-444.10500000000002</v>
      </c>
      <c r="Y51" s="1832"/>
      <c r="Z51" s="1792">
        <v>-424.16300000000001</v>
      </c>
      <c r="AA51" s="1832"/>
      <c r="AB51" s="1792">
        <v>-481.73399999999998</v>
      </c>
      <c r="AC51" s="1832"/>
      <c r="AD51" s="1792">
        <v>-520.74599999999998</v>
      </c>
      <c r="AE51" s="1832"/>
      <c r="AF51" s="1799">
        <v>-594.58000000000004</v>
      </c>
      <c r="AG51" s="1800"/>
      <c r="AH51" s="1800">
        <v>-603.73900000000003</v>
      </c>
      <c r="AI51" s="1800"/>
      <c r="AJ51" s="1799">
        <f>-557.234</f>
        <v>-557.23400000000004</v>
      </c>
      <c r="AK51" s="1800"/>
      <c r="AL51" s="1799">
        <v>-940.20799999999997</v>
      </c>
      <c r="AM51" s="1799"/>
      <c r="AN51" s="1800">
        <v>-751.09699999999998</v>
      </c>
      <c r="AO51" s="1799"/>
      <c r="AP51" s="1800">
        <v>-944.76199999999994</v>
      </c>
      <c r="AQ51" s="1799"/>
      <c r="AR51" s="1800">
        <v>-1193.3800000000001</v>
      </c>
      <c r="AS51" s="1799"/>
      <c r="AT51" s="1800">
        <v>-1320.8119999999999</v>
      </c>
      <c r="AU51" s="1799"/>
      <c r="AV51" s="1800">
        <v>-1345.0820000000001</v>
      </c>
      <c r="AW51" s="1783"/>
      <c r="AX51" s="1800">
        <v>-1471.1</v>
      </c>
      <c r="AY51" s="1800"/>
      <c r="AZ51" s="1800">
        <v>-1650.7</v>
      </c>
      <c r="BA51" s="1799"/>
      <c r="BB51" s="1800">
        <v>-1828.297</v>
      </c>
      <c r="BC51" s="1799"/>
      <c r="BD51" s="1800">
        <v>-1699.998</v>
      </c>
      <c r="BE51" s="1799"/>
      <c r="BF51" s="1800">
        <v>-1644.6</v>
      </c>
      <c r="BG51" s="1799"/>
      <c r="BH51" s="1800">
        <v>-2500</v>
      </c>
      <c r="BI51" s="1799"/>
      <c r="BJ51" s="1800">
        <v>-2000</v>
      </c>
      <c r="BK51" s="1800"/>
      <c r="BL51" s="1800">
        <f>BJ51</f>
        <v>-2000</v>
      </c>
      <c r="BM51" s="1800"/>
      <c r="BN51" s="1800">
        <f>BL51</f>
        <v>-2000</v>
      </c>
      <c r="BO51" s="1800"/>
      <c r="BP51" s="1800">
        <f>BN51</f>
        <v>-2000</v>
      </c>
      <c r="BQ51" s="1783"/>
      <c r="BR51" s="1783"/>
      <c r="BS51" s="1783"/>
    </row>
    <row r="52" spans="1:71" hidden="1" outlineLevel="1">
      <c r="A52" s="1783"/>
      <c r="B52" s="1783"/>
      <c r="C52" s="1783"/>
      <c r="D52" s="1792"/>
      <c r="E52" s="1783"/>
      <c r="F52" s="1792"/>
      <c r="G52" s="1783"/>
      <c r="H52" s="1793"/>
      <c r="I52" s="1832"/>
      <c r="J52" s="1793"/>
      <c r="K52" s="1832"/>
      <c r="L52" s="1795"/>
      <c r="M52" s="1832"/>
      <c r="N52" s="1793"/>
      <c r="O52" s="1783"/>
      <c r="P52" s="1793"/>
      <c r="Q52" s="1783"/>
      <c r="R52" s="1793"/>
      <c r="S52" s="1832"/>
      <c r="T52" s="1792"/>
      <c r="U52" s="1832"/>
      <c r="V52" s="1792"/>
      <c r="W52" s="1832"/>
      <c r="X52" s="1792"/>
      <c r="Y52" s="1832"/>
      <c r="Z52" s="1792"/>
      <c r="AA52" s="1832"/>
      <c r="AB52" s="1792"/>
      <c r="AC52" s="1792"/>
      <c r="AD52" s="1792"/>
      <c r="AE52" s="1792"/>
      <c r="AF52" s="1799"/>
      <c r="AG52" s="1799"/>
      <c r="AH52" s="1799"/>
      <c r="AI52" s="1799"/>
      <c r="AJ52" s="1799"/>
      <c r="AK52" s="1799"/>
      <c r="AL52" s="1799"/>
      <c r="AM52" s="1799"/>
      <c r="AN52" s="1799"/>
      <c r="AO52" s="1799"/>
      <c r="AP52" s="1799"/>
      <c r="AQ52" s="1799"/>
      <c r="AR52" s="1799"/>
      <c r="AS52" s="1799"/>
      <c r="AT52" s="1799"/>
      <c r="AU52" s="1799"/>
      <c r="AV52" s="1799"/>
      <c r="AW52" s="1792"/>
      <c r="AX52" s="1792"/>
      <c r="AY52" s="1792"/>
      <c r="AZ52" s="1792"/>
      <c r="BA52" s="1792"/>
      <c r="BB52" s="1792"/>
      <c r="BC52" s="1792"/>
      <c r="BD52" s="1792"/>
      <c r="BE52" s="1792"/>
      <c r="BF52" s="1792"/>
      <c r="BG52" s="1792"/>
      <c r="BH52" s="1792"/>
      <c r="BI52" s="1792"/>
      <c r="BJ52" s="1792"/>
      <c r="BK52" s="1792"/>
      <c r="BL52" s="1792"/>
      <c r="BM52" s="1792"/>
      <c r="BN52" s="1792"/>
      <c r="BO52" s="1792"/>
      <c r="BP52" s="1792"/>
      <c r="BQ52" s="1783"/>
      <c r="BR52" s="1783"/>
      <c r="BS52" s="1783"/>
    </row>
    <row r="53" spans="1:71" collapsed="1">
      <c r="A53" s="1783"/>
      <c r="B53" s="1783"/>
      <c r="C53" s="1783"/>
      <c r="D53" s="1792"/>
      <c r="E53" s="1783"/>
      <c r="F53" s="1792"/>
      <c r="G53" s="1783"/>
      <c r="H53" s="1793"/>
      <c r="I53" s="1832"/>
      <c r="J53" s="1793"/>
      <c r="K53" s="1832"/>
      <c r="L53" s="1795"/>
      <c r="M53" s="1832"/>
      <c r="N53" s="1793"/>
      <c r="O53" s="1783"/>
      <c r="P53" s="1793"/>
      <c r="Q53" s="1783"/>
      <c r="R53" s="1793"/>
      <c r="S53" s="1832"/>
      <c r="T53" s="1792"/>
      <c r="U53" s="1832"/>
      <c r="V53" s="1792"/>
      <c r="W53" s="1832"/>
      <c r="X53" s="1792"/>
      <c r="Y53" s="1832"/>
      <c r="Z53" s="1792"/>
      <c r="AA53" s="1832"/>
      <c r="AB53" s="1792"/>
      <c r="AC53" s="1832"/>
      <c r="AD53" s="1792"/>
      <c r="AE53" s="1832"/>
      <c r="AF53" s="1799"/>
      <c r="AG53" s="1800"/>
      <c r="AH53" s="1799"/>
      <c r="AI53" s="1800"/>
      <c r="AJ53" s="1799"/>
      <c r="AK53" s="1800"/>
      <c r="AL53" s="1799"/>
      <c r="AM53" s="1799"/>
      <c r="AN53" s="1799"/>
      <c r="AO53" s="1799"/>
      <c r="AP53" s="1799"/>
      <c r="AQ53" s="1799"/>
      <c r="AR53" s="1799"/>
      <c r="AS53" s="1799"/>
      <c r="AT53" s="1792"/>
      <c r="AU53" s="1799"/>
      <c r="AV53" s="1792"/>
      <c r="AW53" s="1783"/>
      <c r="AX53" s="1792"/>
      <c r="AY53" s="1783"/>
      <c r="AZ53" s="1792"/>
      <c r="BA53" s="1783"/>
      <c r="BB53" s="1792"/>
      <c r="BC53" s="1783"/>
      <c r="BD53" s="1792"/>
      <c r="BE53" s="1783"/>
      <c r="BF53" s="1792"/>
      <c r="BG53" s="1783"/>
      <c r="BH53" s="1792"/>
      <c r="BI53" s="1783"/>
      <c r="BJ53" s="1792"/>
      <c r="BK53" s="1792"/>
      <c r="BL53" s="1792"/>
      <c r="BM53" s="1792"/>
      <c r="BN53" s="1792"/>
      <c r="BO53" s="1792"/>
      <c r="BP53" s="1792"/>
      <c r="BQ53" s="1783"/>
      <c r="BR53" s="1783"/>
      <c r="BS53" s="1783"/>
    </row>
    <row r="54" spans="1:71">
      <c r="A54" s="1783" t="s">
        <v>666</v>
      </c>
      <c r="B54" s="1783"/>
      <c r="C54" s="1783"/>
      <c r="D54" s="1793">
        <v>0</v>
      </c>
      <c r="E54" s="1793"/>
      <c r="F54" s="1793">
        <v>0</v>
      </c>
      <c r="G54" s="1793"/>
      <c r="H54" s="1793">
        <v>-0.46200000000000002</v>
      </c>
      <c r="I54" s="1793"/>
      <c r="J54" s="1793">
        <v>0</v>
      </c>
      <c r="K54" s="1793"/>
      <c r="L54" s="1793">
        <v>0</v>
      </c>
      <c r="M54" s="1793"/>
      <c r="N54" s="1793">
        <v>0</v>
      </c>
      <c r="O54" s="1793"/>
      <c r="P54" s="1793">
        <v>0</v>
      </c>
      <c r="Q54" s="1793"/>
      <c r="R54" s="1793">
        <v>0</v>
      </c>
      <c r="S54" s="1793"/>
      <c r="T54" s="1793">
        <v>0</v>
      </c>
      <c r="U54" s="1793"/>
      <c r="V54" s="1793">
        <v>0</v>
      </c>
      <c r="W54" s="1792"/>
      <c r="X54" s="1793">
        <v>0</v>
      </c>
      <c r="Y54" s="1792"/>
      <c r="Z54" s="1793">
        <v>0</v>
      </c>
      <c r="AA54" s="1792"/>
      <c r="AB54" s="1793">
        <v>0</v>
      </c>
      <c r="AC54" s="1792"/>
      <c r="AD54" s="1793">
        <v>0</v>
      </c>
      <c r="AE54" s="1792"/>
      <c r="AF54" s="1800">
        <v>0</v>
      </c>
      <c r="AG54" s="1799"/>
      <c r="AH54" s="1800">
        <v>0</v>
      </c>
      <c r="AI54" s="1799"/>
      <c r="AJ54" s="1800">
        <v>0</v>
      </c>
      <c r="AK54" s="1799"/>
      <c r="AL54" s="1800">
        <v>0</v>
      </c>
      <c r="AM54" s="1799"/>
      <c r="AN54" s="1800">
        <v>14.379</v>
      </c>
      <c r="AO54" s="1799"/>
      <c r="AP54" s="1800">
        <v>-7.202</v>
      </c>
      <c r="AQ54" s="1799"/>
      <c r="AR54" s="1800">
        <v>-3.1179999999999999</v>
      </c>
      <c r="AS54" s="1799"/>
      <c r="AT54" s="1800">
        <v>-2.2989999999999999</v>
      </c>
      <c r="AU54" s="1799"/>
      <c r="AV54" s="1800">
        <v>-1.37</v>
      </c>
      <c r="AW54" s="1783"/>
      <c r="AX54" s="1793">
        <v>75</v>
      </c>
      <c r="AY54" s="1783"/>
      <c r="AZ54" s="1793">
        <v>81</v>
      </c>
      <c r="BA54" s="1783"/>
      <c r="BB54" s="1793">
        <v>0</v>
      </c>
      <c r="BC54" s="1783"/>
      <c r="BD54" s="1793">
        <v>0</v>
      </c>
      <c r="BE54" s="1783"/>
      <c r="BF54" s="1793">
        <f>-3.1-19.3</f>
        <v>-22.400000000000002</v>
      </c>
      <c r="BG54" s="1783"/>
      <c r="BH54" s="1793">
        <v>0</v>
      </c>
      <c r="BI54" s="1783"/>
      <c r="BJ54" s="1793">
        <v>0</v>
      </c>
      <c r="BK54" s="1793"/>
      <c r="BL54" s="1793">
        <v>0</v>
      </c>
      <c r="BM54" s="1793"/>
      <c r="BN54" s="1793">
        <v>0</v>
      </c>
      <c r="BO54" s="1793"/>
      <c r="BP54" s="1793">
        <v>0</v>
      </c>
      <c r="BQ54" s="1783"/>
      <c r="BR54" s="1783"/>
      <c r="BS54" s="1783"/>
    </row>
    <row r="55" spans="1:71" ht="7.9" customHeight="1">
      <c r="A55" s="1783"/>
      <c r="B55" s="1783"/>
      <c r="C55" s="1783"/>
      <c r="D55" s="1783"/>
      <c r="E55" s="1783"/>
      <c r="F55" s="1783"/>
      <c r="G55" s="1783"/>
      <c r="H55" s="1783"/>
      <c r="I55" s="1783"/>
      <c r="J55" s="1783"/>
      <c r="K55" s="1783"/>
      <c r="L55" s="1783"/>
      <c r="M55" s="1783"/>
      <c r="N55" s="1783"/>
      <c r="O55" s="1783"/>
      <c r="P55" s="1783"/>
      <c r="Q55" s="1783"/>
      <c r="R55" s="1783"/>
      <c r="S55" s="1783"/>
      <c r="T55" s="1783"/>
      <c r="U55" s="1783"/>
      <c r="V55" s="1783"/>
      <c r="W55" s="1783"/>
      <c r="X55" s="1783"/>
      <c r="Y55" s="1783"/>
      <c r="Z55" s="1783"/>
      <c r="AA55" s="1783"/>
      <c r="AB55" s="1783"/>
      <c r="AC55" s="1783"/>
      <c r="AD55" s="1783"/>
      <c r="AE55" s="1783"/>
      <c r="AF55" s="1783"/>
      <c r="AG55" s="1783"/>
      <c r="AH55" s="1783"/>
      <c r="AI55" s="1783"/>
      <c r="AJ55" s="1783"/>
      <c r="AK55" s="1783"/>
      <c r="AL55" s="1783"/>
      <c r="AM55" s="1783"/>
      <c r="AN55" s="1783"/>
      <c r="AO55" s="1783"/>
      <c r="AP55" s="1783"/>
      <c r="AQ55" s="1783"/>
      <c r="AR55" s="1783"/>
      <c r="AS55" s="1783"/>
      <c r="AT55" s="1783"/>
      <c r="AU55" s="1783"/>
      <c r="AV55" s="1783"/>
      <c r="AW55" s="1783"/>
      <c r="AX55" s="1783"/>
      <c r="AY55" s="1783"/>
      <c r="AZ55" s="1783"/>
      <c r="BA55" s="1783"/>
      <c r="BB55" s="1783"/>
      <c r="BC55" s="1783"/>
      <c r="BD55" s="1783"/>
      <c r="BE55" s="1783"/>
      <c r="BF55" s="1783"/>
      <c r="BG55" s="1783"/>
      <c r="BH55" s="1783"/>
      <c r="BI55" s="1783"/>
      <c r="BJ55" s="1783"/>
      <c r="BK55" s="1783"/>
      <c r="BL55" s="1783"/>
      <c r="BM55" s="1783"/>
      <c r="BN55" s="1783"/>
      <c r="BO55" s="1783"/>
      <c r="BP55" s="1783"/>
      <c r="BQ55" s="1783"/>
      <c r="BR55" s="1783"/>
      <c r="BS55" s="1783"/>
    </row>
    <row r="56" spans="1:71">
      <c r="A56" s="1783" t="s">
        <v>424</v>
      </c>
      <c r="B56" s="1783"/>
      <c r="C56" s="1783"/>
      <c r="D56" s="1829">
        <f>SUM(D43:D54)</f>
        <v>14.18</v>
      </c>
      <c r="E56" s="1833"/>
      <c r="F56" s="1829">
        <f>SUM(F43:F54)</f>
        <v>2.6999999999999913E-2</v>
      </c>
      <c r="G56" s="1829"/>
      <c r="H56" s="1829">
        <f>SUM(H43:H54)</f>
        <v>44.759</v>
      </c>
      <c r="I56" s="1829"/>
      <c r="J56" s="1829">
        <f>SUM(J43:J54)</f>
        <v>36.131</v>
      </c>
      <c r="K56" s="1829"/>
      <c r="L56" s="1829">
        <f>SUM(L43:L54)</f>
        <v>15.955000000000002</v>
      </c>
      <c r="M56" s="1829"/>
      <c r="N56" s="1829">
        <f>SUM(N43:N54)</f>
        <v>509.8540000000001</v>
      </c>
      <c r="O56" s="1833"/>
      <c r="P56" s="1829">
        <f>SUM(P43:P54)</f>
        <v>-467.67100000000005</v>
      </c>
      <c r="Q56" s="1829"/>
      <c r="R56" s="1829">
        <f>SUM(R43:R54)</f>
        <v>-256.90600000000001</v>
      </c>
      <c r="S56" s="1829"/>
      <c r="T56" s="1829">
        <f>SUM(T43:T45)+T49+T50+T51+T54</f>
        <v>-347.16200000000003</v>
      </c>
      <c r="U56" s="1829"/>
      <c r="V56" s="1829">
        <f>SUM(V43:V45)+V49+V50+V51+V54</f>
        <v>-403.73099999999994</v>
      </c>
      <c r="W56" s="1829"/>
      <c r="X56" s="1829">
        <f>SUM(X43:X45)+X49+X50+X51+X54</f>
        <v>-502.30700000000002</v>
      </c>
      <c r="Y56" s="1829"/>
      <c r="Z56" s="1829">
        <f>SUM(Z43:Z45)+Z49+Z50+Z51+Z54</f>
        <v>-56.84899999999999</v>
      </c>
      <c r="AA56" s="1829"/>
      <c r="AB56" s="1829">
        <f>SUM(AB43:AB45)+AB49+AB50+AB51+AB54</f>
        <v>-448.49799999999999</v>
      </c>
      <c r="AC56" s="1829"/>
      <c r="AD56" s="1829">
        <f>SUM(AD43:AD45)+AD49+AD50+AD51+AD54</f>
        <v>-477.32899999999995</v>
      </c>
      <c r="AE56" s="1829"/>
      <c r="AF56" s="1834">
        <f>SUM(AF43:AF45)+AF49+AF50+AF51+AF54</f>
        <v>-503.52900000000005</v>
      </c>
      <c r="AG56" s="1834"/>
      <c r="AH56" s="1834">
        <f>SUM(AH43:AH45)+AH49+AH50+AH51+AH54</f>
        <v>-397.80200000000002</v>
      </c>
      <c r="AI56" s="1834"/>
      <c r="AJ56" s="1834">
        <f>SUM(AJ43:AJ45)+AJ49+AJ50+AJ51+AJ54</f>
        <v>-298.04900000000004</v>
      </c>
      <c r="AK56" s="1834"/>
      <c r="AL56" s="1834">
        <f>SUM(AL43:AL45)+AL49+AL50+AL51+AL54</f>
        <v>-807.19999999999993</v>
      </c>
      <c r="AM56" s="1820"/>
      <c r="AN56" s="1834">
        <f>SUM(AN43:AN46)+AN49+AN50+AN51+AN54</f>
        <v>-596.572</v>
      </c>
      <c r="AO56" s="1820"/>
      <c r="AP56" s="1834">
        <f>SUM(AP43:AP45)+AP49+AP50+AP51+AP54</f>
        <v>-403.5859999999999</v>
      </c>
      <c r="AQ56" s="1820"/>
      <c r="AR56" s="1834">
        <f>SUM(AR43:AR45)+AR49+AR50+AR51+AR54</f>
        <v>-1022.6940000000002</v>
      </c>
      <c r="AS56" s="1820"/>
      <c r="AT56" s="1834">
        <f>SUM(AT43:AT45)+AT49+AT50+AT51+AT54</f>
        <v>-1106.8389999999999</v>
      </c>
      <c r="AU56" s="1820"/>
      <c r="AV56" s="1834">
        <f>SUM(AV43:AV45)+AV49+AV50+AV51+AV54</f>
        <v>-1214.1369999999999</v>
      </c>
      <c r="AW56" s="1783"/>
      <c r="AX56" s="1834">
        <f>SUM(AX43:AX45)+AX49+AX50+AX51+AX54</f>
        <v>-749.99999999999989</v>
      </c>
      <c r="AY56" s="1834"/>
      <c r="AZ56" s="1834">
        <f>SUM(AZ43:AZ45)+AZ49+AZ50+AZ51+AZ54</f>
        <v>-1093.5999999999999</v>
      </c>
      <c r="BA56" s="1834"/>
      <c r="BB56" s="1834">
        <f>SUM(BB43:BB45)+BB49+BB50+BB51+BB54</f>
        <v>-1631.5840000000001</v>
      </c>
      <c r="BC56" s="1834"/>
      <c r="BD56" s="1834">
        <f>SUM(BD43:BD45)+BD49+BD50+BD51+BD54</f>
        <v>-910.92400000000021</v>
      </c>
      <c r="BE56" s="1834"/>
      <c r="BF56" s="1834">
        <f>SUM(BF43:BF45)+BF49+BF50+BF51+BF54</f>
        <v>-1533.3</v>
      </c>
      <c r="BG56" s="1834"/>
      <c r="BH56" s="1834">
        <f>SUM(BH43:BH45)+BH49+BH50+BH51+BH54</f>
        <v>-2450</v>
      </c>
      <c r="BI56" s="1834"/>
      <c r="BJ56" s="1834">
        <f>SUM(BJ43:BJ45)+BJ49+BJ50+BJ51+BJ54</f>
        <v>-1950</v>
      </c>
      <c r="BK56" s="1834"/>
      <c r="BL56" s="1834">
        <f>SUM(BL43:BL45)+BL49+BL50+BL51+BL54</f>
        <v>-1950</v>
      </c>
      <c r="BM56" s="1834"/>
      <c r="BN56" s="1834">
        <f>SUM(BN43:BN45)+BN49+BN50+BN51+BN54</f>
        <v>-1950</v>
      </c>
      <c r="BO56" s="1834"/>
      <c r="BP56" s="1834">
        <f>SUM(BP43:BP45)+BP49+BP50+BP51+BP54</f>
        <v>-1950</v>
      </c>
      <c r="BQ56" s="1783"/>
      <c r="BR56" s="1783"/>
      <c r="BS56" s="1783"/>
    </row>
    <row r="57" spans="1:71">
      <c r="A57" s="1783"/>
      <c r="B57" s="1783"/>
      <c r="C57" s="1783"/>
      <c r="D57" s="1783"/>
      <c r="E57" s="1783"/>
      <c r="F57" s="1783"/>
      <c r="G57" s="1783"/>
      <c r="H57" s="1783"/>
      <c r="I57" s="1783"/>
      <c r="J57" s="1783"/>
      <c r="K57" s="1783"/>
      <c r="L57" s="1783"/>
      <c r="M57" s="1783"/>
      <c r="N57" s="1783"/>
      <c r="O57" s="1783"/>
      <c r="P57" s="1783"/>
      <c r="Q57" s="1783"/>
      <c r="R57" s="1783"/>
      <c r="S57" s="1783"/>
      <c r="T57" s="1783"/>
      <c r="U57" s="1783"/>
      <c r="V57" s="1783"/>
      <c r="W57" s="1783"/>
      <c r="X57" s="1783"/>
      <c r="Y57" s="1783"/>
      <c r="Z57" s="1791"/>
      <c r="AA57" s="1783"/>
      <c r="AB57" s="1783"/>
      <c r="AC57" s="1783"/>
      <c r="AD57" s="1783"/>
      <c r="AE57" s="1783"/>
      <c r="AF57" s="1790"/>
      <c r="AG57" s="1783"/>
      <c r="AH57" s="1799"/>
      <c r="AI57" s="1783"/>
      <c r="AJ57" s="1783"/>
      <c r="AK57" s="1783"/>
      <c r="AL57" s="1783"/>
      <c r="AM57" s="1783"/>
      <c r="AN57" s="1783"/>
      <c r="AO57" s="1783"/>
      <c r="AP57" s="1783"/>
      <c r="AQ57" s="1783"/>
      <c r="AR57" s="1783"/>
      <c r="AS57" s="1783"/>
      <c r="AT57" s="1783"/>
      <c r="AU57" s="1783"/>
      <c r="AV57" s="1783"/>
      <c r="AW57" s="1783"/>
      <c r="AX57" s="1783"/>
      <c r="AY57" s="1783"/>
      <c r="AZ57" s="1783"/>
      <c r="BA57" s="1783"/>
      <c r="BB57" s="1783"/>
      <c r="BC57" s="1783"/>
      <c r="BD57" s="1783"/>
      <c r="BE57" s="1783"/>
      <c r="BF57" s="1783"/>
      <c r="BG57" s="1783"/>
      <c r="BH57" s="1783"/>
      <c r="BI57" s="1783"/>
      <c r="BJ57" s="1783"/>
      <c r="BK57" s="1783"/>
      <c r="BL57" s="1783"/>
      <c r="BM57" s="1783"/>
      <c r="BN57" s="1783"/>
      <c r="BO57" s="1783"/>
      <c r="BP57" s="1783"/>
      <c r="BQ57" s="1783"/>
      <c r="BR57" s="1783"/>
      <c r="BS57" s="1783"/>
    </row>
    <row r="58" spans="1:71">
      <c r="A58" s="1783" t="s">
        <v>363</v>
      </c>
      <c r="B58" s="1783"/>
      <c r="C58" s="1783"/>
      <c r="D58" s="1800">
        <v>-31.047999999999998</v>
      </c>
      <c r="E58" s="1783"/>
      <c r="F58" s="1800">
        <v>-32.091000000000001</v>
      </c>
      <c r="G58" s="1783"/>
      <c r="H58" s="1800">
        <v>-36.112000000000002</v>
      </c>
      <c r="I58" s="1783"/>
      <c r="J58" s="1800">
        <v>-43.816000000000003</v>
      </c>
      <c r="K58" s="1783"/>
      <c r="L58" s="1800">
        <v>-48.73</v>
      </c>
      <c r="M58" s="1800"/>
      <c r="N58" s="1800">
        <v>-44.886000000000003</v>
      </c>
      <c r="O58" s="1800"/>
      <c r="P58" s="1800">
        <v>-35.018999999999998</v>
      </c>
      <c r="Q58" s="1800"/>
      <c r="R58" s="1800">
        <v>-41.527000000000001</v>
      </c>
      <c r="S58" s="1800"/>
      <c r="T58" s="1800">
        <v>-40.411000000000001</v>
      </c>
      <c r="U58" s="1800"/>
      <c r="V58" s="1800">
        <v>-42.738999999999997</v>
      </c>
      <c r="W58" s="1800"/>
      <c r="X58" s="1800">
        <v>-44.692999999999998</v>
      </c>
      <c r="Y58" s="1800"/>
      <c r="Z58" s="1800">
        <v>-48.29</v>
      </c>
      <c r="AA58" s="1800"/>
      <c r="AB58" s="1800">
        <v>-60.024999999999999</v>
      </c>
      <c r="AC58" s="1800"/>
      <c r="AD58" s="1800">
        <v>-68.888999999999996</v>
      </c>
      <c r="AE58" s="1800"/>
      <c r="AF58" s="1800">
        <v>-83.418000000000006</v>
      </c>
      <c r="AG58" s="1800"/>
      <c r="AH58" s="1800">
        <v>-105.251</v>
      </c>
      <c r="AI58" s="1800"/>
      <c r="AJ58" s="1800">
        <v>-122.92700000000001</v>
      </c>
      <c r="AK58" s="1800"/>
      <c r="AL58" s="1800">
        <v>-151.49199999999999</v>
      </c>
      <c r="AM58" s="1799"/>
      <c r="AN58" s="1800">
        <v>-176.749</v>
      </c>
      <c r="AO58" s="1799"/>
      <c r="AP58" s="1800">
        <v>-197.66200000000001</v>
      </c>
      <c r="AQ58" s="1799"/>
      <c r="AR58" s="1800">
        <v>-229.32900000000001</v>
      </c>
      <c r="AS58" s="1799"/>
      <c r="AT58" s="1800">
        <v>-275.01600000000002</v>
      </c>
      <c r="AU58" s="1799"/>
      <c r="AV58" s="1800">
        <v>-323.92200000000003</v>
      </c>
      <c r="AW58" s="1783"/>
      <c r="AX58" s="1800">
        <v>-393.8</v>
      </c>
      <c r="AY58" s="1783"/>
      <c r="AZ58" s="1800">
        <v>-465.9</v>
      </c>
      <c r="BA58" s="1783"/>
      <c r="BB58" s="1800">
        <v>-544.27099999999996</v>
      </c>
      <c r="BC58" s="1783"/>
      <c r="BD58" s="1931">
        <v>-650.98800000000006</v>
      </c>
      <c r="BE58" s="1783"/>
      <c r="BF58" s="1931">
        <v>-764</v>
      </c>
      <c r="BG58" s="1783"/>
      <c r="BH58" s="1799">
        <f>-'yrP&amp;L'!AD55*'yrP&amp;L'!AD70</f>
        <v>-976.46373882352941</v>
      </c>
      <c r="BI58" s="1783"/>
      <c r="BJ58" s="1799">
        <f>-'yrP&amp;L'!AE55*'yrP&amp;L'!AE70</f>
        <v>-1118.3078277647057</v>
      </c>
      <c r="BK58" s="1799"/>
      <c r="BL58" s="1799">
        <f>-'yrP&amp;L'!AF55*'yrP&amp;L'!AF70</f>
        <v>-1299.1695617386995</v>
      </c>
      <c r="BM58" s="1799"/>
      <c r="BN58" s="1799">
        <f>-'yrP&amp;L'!AG55*'yrP&amp;L'!AG70</f>
        <v>-1510.4812340864394</v>
      </c>
      <c r="BO58" s="1799"/>
      <c r="BP58" s="1799">
        <f>-'yrP&amp;L'!AH55*'yrP&amp;L'!AH70</f>
        <v>-1755.6193481978451</v>
      </c>
      <c r="BQ58" s="1783"/>
      <c r="BR58" s="1783"/>
      <c r="BS58" s="1783"/>
    </row>
    <row r="59" spans="1:71">
      <c r="A59" s="1783" t="s">
        <v>364</v>
      </c>
      <c r="B59" s="1783"/>
      <c r="C59" s="1783"/>
      <c r="D59" s="1800">
        <v>0</v>
      </c>
      <c r="E59" s="1783"/>
      <c r="F59" s="1800">
        <v>0</v>
      </c>
      <c r="G59" s="1783"/>
      <c r="H59" s="1800">
        <v>0</v>
      </c>
      <c r="I59" s="1832"/>
      <c r="J59" s="1800">
        <v>0</v>
      </c>
      <c r="K59" s="1783"/>
      <c r="L59" s="1800">
        <v>0</v>
      </c>
      <c r="M59" s="1800"/>
      <c r="N59" s="1800">
        <v>0</v>
      </c>
      <c r="O59" s="1800"/>
      <c r="P59" s="1800">
        <v>0</v>
      </c>
      <c r="Q59" s="1800"/>
      <c r="R59" s="1800">
        <v>0</v>
      </c>
      <c r="S59" s="1800"/>
      <c r="T59" s="1800">
        <v>0.32</v>
      </c>
      <c r="U59" s="1800"/>
      <c r="V59" s="1800">
        <v>0.33</v>
      </c>
      <c r="W59" s="1800"/>
      <c r="X59" s="1800">
        <v>-1.165</v>
      </c>
      <c r="Y59" s="1800"/>
      <c r="Z59" s="1800">
        <v>2.3780000000000001</v>
      </c>
      <c r="AA59" s="1800"/>
      <c r="AB59" s="1800">
        <v>-3.7589999999999999</v>
      </c>
      <c r="AC59" s="1800"/>
      <c r="AD59" s="1800">
        <v>-4.0339999999999998</v>
      </c>
      <c r="AE59" s="1800"/>
      <c r="AF59" s="1800">
        <v>-2.9670000000000001</v>
      </c>
      <c r="AG59" s="1800"/>
      <c r="AH59" s="1800">
        <v>-10.244</v>
      </c>
      <c r="AI59" s="1800"/>
      <c r="AJ59" s="1800">
        <v>-8.6579999999999995</v>
      </c>
      <c r="AK59" s="1800"/>
      <c r="AL59" s="1800">
        <v>-6.2409999999999997</v>
      </c>
      <c r="AM59" s="1799"/>
      <c r="AN59" s="1800">
        <v>-96.248999999999995</v>
      </c>
      <c r="AO59" s="1799"/>
      <c r="AP59" s="1800">
        <v>33.185000000000002</v>
      </c>
      <c r="AQ59" s="1799"/>
      <c r="AR59" s="1800">
        <v>22.204000000000001</v>
      </c>
      <c r="AS59" s="1799"/>
      <c r="AT59" s="1800">
        <v>-3.92</v>
      </c>
      <c r="AU59" s="1799"/>
      <c r="AV59" s="1800">
        <v>11.666</v>
      </c>
      <c r="AW59" s="1783"/>
      <c r="AX59" s="1800">
        <f>-73.2+0.095</f>
        <v>-73.105000000000004</v>
      </c>
      <c r="AY59" s="1783"/>
      <c r="AZ59" s="1800">
        <f>+-150.1-0.0882</f>
        <v>-150.18819999999999</v>
      </c>
      <c r="BA59" s="1783"/>
      <c r="BB59" s="1800">
        <v>-96.674999999999997</v>
      </c>
      <c r="BC59" s="1783"/>
      <c r="BD59" s="1800">
        <v>9.2720000000000002</v>
      </c>
      <c r="BE59" s="1783"/>
      <c r="BF59" s="1800">
        <v>113.1</v>
      </c>
      <c r="BG59" s="1783"/>
      <c r="BH59" s="1800">
        <v>0</v>
      </c>
      <c r="BI59" s="1783"/>
      <c r="BJ59" s="1800">
        <v>0</v>
      </c>
      <c r="BK59" s="1800"/>
      <c r="BL59" s="1800">
        <v>0</v>
      </c>
      <c r="BM59" s="1800"/>
      <c r="BN59" s="1800">
        <v>0</v>
      </c>
      <c r="BO59" s="1800"/>
      <c r="BP59" s="1800">
        <v>0</v>
      </c>
      <c r="BQ59" s="1783"/>
      <c r="BR59" s="1783"/>
      <c r="BS59" s="1783"/>
    </row>
    <row r="60" spans="1:71">
      <c r="A60" s="1783" t="s">
        <v>680</v>
      </c>
      <c r="B60" s="1783"/>
      <c r="C60" s="1783"/>
      <c r="D60" s="1800">
        <v>0</v>
      </c>
      <c r="E60" s="1783"/>
      <c r="F60" s="1800">
        <v>0</v>
      </c>
      <c r="G60" s="1783"/>
      <c r="H60" s="1800">
        <v>0</v>
      </c>
      <c r="I60" s="1783"/>
      <c r="J60" s="1800">
        <v>2.5750000000000002</v>
      </c>
      <c r="K60" s="1783"/>
      <c r="L60" s="1800">
        <v>41.87</v>
      </c>
      <c r="M60" s="1800"/>
      <c r="N60" s="1800">
        <v>-70.268000000000001</v>
      </c>
      <c r="O60" s="1800"/>
      <c r="P60" s="1800">
        <v>49.412999999999997</v>
      </c>
      <c r="Q60" s="1800"/>
      <c r="R60" s="1800">
        <v>54.451000000000001</v>
      </c>
      <c r="S60" s="1800"/>
      <c r="T60" s="1800">
        <v>0</v>
      </c>
      <c r="U60" s="1800"/>
      <c r="V60" s="1800">
        <v>0</v>
      </c>
      <c r="W60" s="1800"/>
      <c r="X60" s="1800">
        <v>0</v>
      </c>
      <c r="Y60" s="1800"/>
      <c r="Z60" s="1800">
        <v>0</v>
      </c>
      <c r="AA60" s="1800"/>
      <c r="AB60" s="1800">
        <v>0</v>
      </c>
      <c r="AC60" s="1800"/>
      <c r="AD60" s="1800">
        <v>0</v>
      </c>
      <c r="AE60" s="1800"/>
      <c r="AF60" s="1800">
        <v>0</v>
      </c>
      <c r="AG60" s="1800"/>
      <c r="AH60" s="1800">
        <v>0</v>
      </c>
      <c r="AI60" s="1800"/>
      <c r="AJ60" s="1800">
        <v>0</v>
      </c>
      <c r="AK60" s="1800"/>
      <c r="AL60" s="1800">
        <v>0</v>
      </c>
      <c r="AM60" s="1799"/>
      <c r="AN60" s="1800">
        <v>0</v>
      </c>
      <c r="AO60" s="1799"/>
      <c r="AP60" s="1800">
        <v>0</v>
      </c>
      <c r="AQ60" s="1799"/>
      <c r="AR60" s="1800">
        <v>0</v>
      </c>
      <c r="AS60" s="1799"/>
      <c r="AT60" s="1800">
        <v>0</v>
      </c>
      <c r="AU60" s="1799"/>
      <c r="AV60" s="1800">
        <v>0</v>
      </c>
      <c r="AW60" s="1783"/>
      <c r="AX60" s="1800">
        <v>0</v>
      </c>
      <c r="AY60" s="1783"/>
      <c r="AZ60" s="1800">
        <v>0</v>
      </c>
      <c r="BA60" s="1783"/>
      <c r="BB60" s="1800">
        <v>0</v>
      </c>
      <c r="BC60" s="1783"/>
      <c r="BD60" s="1800">
        <v>0</v>
      </c>
      <c r="BE60" s="1783"/>
      <c r="BF60" s="1800">
        <v>0</v>
      </c>
      <c r="BG60" s="1783"/>
      <c r="BH60" s="1800">
        <v>0</v>
      </c>
      <c r="BI60" s="1783"/>
      <c r="BJ60" s="1800">
        <v>0</v>
      </c>
      <c r="BK60" s="1800"/>
      <c r="BL60" s="1800">
        <v>0</v>
      </c>
      <c r="BM60" s="1800"/>
      <c r="BN60" s="1800">
        <v>0</v>
      </c>
      <c r="BO60" s="1800"/>
      <c r="BP60" s="1800">
        <v>0</v>
      </c>
      <c r="BQ60" s="1783"/>
      <c r="BR60" s="1783"/>
      <c r="BS60" s="1783"/>
    </row>
    <row r="61" spans="1:71">
      <c r="A61" s="1783"/>
      <c r="B61" s="1783"/>
      <c r="C61" s="1783"/>
      <c r="D61" s="1783"/>
      <c r="E61" s="1783"/>
      <c r="F61" s="1783"/>
      <c r="G61" s="1783"/>
      <c r="H61" s="1783"/>
      <c r="I61" s="1783"/>
      <c r="J61" s="1783"/>
      <c r="K61" s="1783"/>
      <c r="L61" s="1783"/>
      <c r="M61" s="1783"/>
      <c r="N61" s="1783"/>
      <c r="O61" s="1783"/>
      <c r="P61" s="1783"/>
      <c r="Q61" s="1783"/>
      <c r="R61" s="1783"/>
      <c r="S61" s="1783"/>
      <c r="T61" s="1783"/>
      <c r="U61" s="1783"/>
      <c r="V61" s="1783"/>
      <c r="W61" s="1783"/>
      <c r="X61" s="1783"/>
      <c r="Y61" s="1783"/>
      <c r="Z61" s="1783"/>
      <c r="AA61" s="1783"/>
      <c r="AB61" s="1783"/>
      <c r="AC61" s="1783"/>
      <c r="AD61" s="1783"/>
      <c r="AE61" s="1783"/>
      <c r="AF61" s="1799"/>
      <c r="AG61" s="1799"/>
      <c r="AH61" s="1799"/>
      <c r="AI61" s="1799"/>
      <c r="AJ61" s="1799"/>
      <c r="AK61" s="1799"/>
      <c r="AL61" s="1799"/>
      <c r="AM61" s="1799"/>
      <c r="AN61" s="1799"/>
      <c r="AO61" s="1799"/>
      <c r="AP61" s="1799"/>
      <c r="AQ61" s="1799"/>
      <c r="AR61" s="1799"/>
      <c r="AS61" s="1799"/>
      <c r="AT61" s="1799"/>
      <c r="AU61" s="1799"/>
      <c r="AV61" s="1799"/>
      <c r="AW61" s="1783"/>
      <c r="AX61" s="1783"/>
      <c r="AY61" s="1783"/>
      <c r="AZ61" s="1783"/>
      <c r="BA61" s="1783"/>
      <c r="BB61" s="1783"/>
      <c r="BC61" s="1783"/>
      <c r="BD61" s="1783"/>
      <c r="BE61" s="1783"/>
      <c r="BF61" s="1783"/>
      <c r="BG61" s="1783"/>
      <c r="BH61" s="1783"/>
      <c r="BI61" s="1783"/>
      <c r="BJ61" s="1783"/>
      <c r="BK61" s="1783"/>
      <c r="BL61" s="1783"/>
      <c r="BM61" s="1783"/>
      <c r="BN61" s="1783"/>
      <c r="BO61" s="1783"/>
      <c r="BP61" s="1783"/>
      <c r="BQ61" s="1783"/>
      <c r="BR61" s="1783"/>
      <c r="BS61" s="1783"/>
    </row>
    <row r="62" spans="1:71">
      <c r="A62" s="1783" t="s">
        <v>66</v>
      </c>
      <c r="B62" s="1783"/>
      <c r="C62" s="1783"/>
      <c r="D62" s="1792">
        <v>54.277999999999999</v>
      </c>
      <c r="E62" s="1792"/>
      <c r="F62" s="1792">
        <f>+bal!E9</f>
        <v>83.323999999999998</v>
      </c>
      <c r="G62" s="1792"/>
      <c r="H62" s="1792">
        <f>+bal!G9</f>
        <v>67.293999999999997</v>
      </c>
      <c r="I62" s="1792"/>
      <c r="J62" s="1792">
        <f>bal!I9</f>
        <v>106.691</v>
      </c>
      <c r="K62" s="1792"/>
      <c r="L62" s="1792">
        <f>bal!K9</f>
        <v>58.101999999999997</v>
      </c>
      <c r="M62" s="1792"/>
      <c r="N62" s="1792">
        <f>bal!M9</f>
        <v>41.569000000000003</v>
      </c>
      <c r="O62" s="1792"/>
      <c r="P62" s="1792">
        <f>bal!P9</f>
        <v>209.226</v>
      </c>
      <c r="Q62" s="1792"/>
      <c r="R62" s="1792">
        <f>bal!R9</f>
        <v>474.73200000000003</v>
      </c>
      <c r="S62" s="1792"/>
      <c r="T62" s="1792">
        <f>bal!T9</f>
        <v>404.36900000000003</v>
      </c>
      <c r="U62" s="1792"/>
      <c r="V62" s="1795">
        <f>bal!V9</f>
        <v>461.24400000000003</v>
      </c>
      <c r="W62" s="1792"/>
      <c r="X62" s="1792">
        <f>+V64</f>
        <v>371.75900000000064</v>
      </c>
      <c r="Y62" s="1792"/>
      <c r="Z62" s="1792">
        <f>+X64</f>
        <v>132.53500000000039</v>
      </c>
      <c r="AA62" s="1792"/>
      <c r="AB62" s="1792">
        <f>Z64</f>
        <v>492.77599999999961</v>
      </c>
      <c r="AC62" s="1792"/>
      <c r="AD62" s="1792">
        <f>AB64</f>
        <v>492.32999999999981</v>
      </c>
      <c r="AE62" s="1792"/>
      <c r="AF62" s="1799">
        <f>AD64</f>
        <v>246.40300000000059</v>
      </c>
      <c r="AG62" s="1799"/>
      <c r="AH62" s="1799">
        <f>AF64</f>
        <v>307.18700000000109</v>
      </c>
      <c r="AI62" s="1799"/>
      <c r="AJ62" s="1799">
        <f>AH64</f>
        <v>465.64900000000279</v>
      </c>
      <c r="AK62" s="1799"/>
      <c r="AL62" s="1799">
        <f>AJ64</f>
        <v>856.66900000000373</v>
      </c>
      <c r="AM62" s="1799"/>
      <c r="AN62" s="1799">
        <f>AL64</f>
        <v>732.61200000000372</v>
      </c>
      <c r="AO62" s="1799"/>
      <c r="AP62" s="1799">
        <f>AN64</f>
        <v>453.52700000000385</v>
      </c>
      <c r="AQ62" s="1799"/>
      <c r="AR62" s="1799">
        <f>AP64</f>
        <v>1614.6070000000041</v>
      </c>
      <c r="AS62" s="1799"/>
      <c r="AT62" s="1799">
        <f>AR64</f>
        <v>1741.7509500000037</v>
      </c>
      <c r="AU62" s="1799"/>
      <c r="AV62" s="1799">
        <f>AT64</f>
        <v>1507.1120000000037</v>
      </c>
      <c r="AW62" s="1783"/>
      <c r="AX62" s="1792">
        <f>AV64</f>
        <v>1811.957000000004</v>
      </c>
      <c r="AY62" s="1783"/>
      <c r="AZ62" s="1792">
        <f>AX64</f>
        <v>2149.746120000003</v>
      </c>
      <c r="BA62" s="1783"/>
      <c r="BB62" s="1792">
        <f>AZ64</f>
        <v>2493.7710100000013</v>
      </c>
      <c r="BC62" s="1783"/>
      <c r="BD62" s="1792">
        <f>BB64</f>
        <v>2095.4690099999989</v>
      </c>
      <c r="BE62" s="1783"/>
      <c r="BF62" s="1792">
        <f>BD64</f>
        <v>2929.8450100000045</v>
      </c>
      <c r="BG62" s="1783"/>
      <c r="BH62" s="1792">
        <f>BF64</f>
        <v>2758.4930100000083</v>
      </c>
      <c r="BI62" s="1783"/>
      <c r="BJ62" s="1792">
        <f>BH64</f>
        <v>2579.661591194691</v>
      </c>
      <c r="BK62" s="1792"/>
      <c r="BL62" s="1792">
        <f>BJ64</f>
        <v>2289.5380359168603</v>
      </c>
      <c r="BM62" s="1792"/>
      <c r="BN62" s="1792">
        <f>BL64</f>
        <v>2144.7581592447518</v>
      </c>
      <c r="BO62" s="1792"/>
      <c r="BP62" s="1792">
        <f>BN64</f>
        <v>1990.3016377493884</v>
      </c>
      <c r="BQ62" s="1783"/>
      <c r="BR62" s="1783"/>
      <c r="BS62" s="1783"/>
    </row>
    <row r="63" spans="1:71">
      <c r="A63" s="1783"/>
      <c r="B63" s="1783" t="s">
        <v>68</v>
      </c>
      <c r="C63" s="1783"/>
      <c r="D63" s="1792">
        <f>D56+D38+D58+D59+D60</f>
        <v>29.04599999999996</v>
      </c>
      <c r="E63" s="1792"/>
      <c r="F63" s="1792">
        <f>F56+F38+F58+F59+F60</f>
        <v>-16.029999999999568</v>
      </c>
      <c r="G63" s="1792"/>
      <c r="H63" s="1792">
        <f>H56+H38+H58+H59+H60</f>
        <v>39.396999999999942</v>
      </c>
      <c r="I63" s="1792"/>
      <c r="J63" s="1792">
        <f>J56+J38+J58+J59+J60</f>
        <v>-48.589000000000041</v>
      </c>
      <c r="K63" s="1792"/>
      <c r="L63" s="1792">
        <f>L56+L38+L58+L59+L60</f>
        <v>-16.532999999999866</v>
      </c>
      <c r="M63" s="1792"/>
      <c r="N63" s="1792">
        <f>N56+N38+N58+N59+N60</f>
        <v>167.65700000000015</v>
      </c>
      <c r="O63" s="1792"/>
      <c r="P63" s="1792">
        <f>P56+P38+P58+P59+P60</f>
        <v>265.596</v>
      </c>
      <c r="Q63" s="1792"/>
      <c r="R63" s="1792">
        <f>R56+R38+R58+R59+R60</f>
        <v>-70.362999999999516</v>
      </c>
      <c r="S63" s="1792"/>
      <c r="T63" s="1792">
        <f>T56+T38+T58+T59+T60</f>
        <v>56.575000000000053</v>
      </c>
      <c r="U63" s="1792"/>
      <c r="V63" s="1792">
        <f>V56+V38+V58+V59+V60</f>
        <v>-89.484999999999403</v>
      </c>
      <c r="W63" s="1792"/>
      <c r="X63" s="1792">
        <f>X56+X38+X58+X59+X60</f>
        <v>-239.22400000000025</v>
      </c>
      <c r="Y63" s="1792"/>
      <c r="Z63" s="1792">
        <f>Z56+Z38+Z58+Z59+Z60</f>
        <v>360.24099999999925</v>
      </c>
      <c r="AA63" s="1792"/>
      <c r="AB63" s="1795">
        <f>AB56+AB38+AB58+AB59+AB60</f>
        <v>-0.44599999999980566</v>
      </c>
      <c r="AC63" s="1792"/>
      <c r="AD63" s="1792">
        <f>AD56+AD38+AD58+AD59+AD60</f>
        <v>-245.92699999999923</v>
      </c>
      <c r="AE63" s="1792"/>
      <c r="AF63" s="1799">
        <f>AF56+AF38+AF58+AF59+AF60</f>
        <v>60.784000000000489</v>
      </c>
      <c r="AG63" s="1799"/>
      <c r="AH63" s="1799">
        <f>AH56+AH38+AH58+AH59+AH60</f>
        <v>158.46200000000169</v>
      </c>
      <c r="AI63" s="1799"/>
      <c r="AJ63" s="1799">
        <f>AJ56+AJ38+AJ58+AJ59+AJ60</f>
        <v>391.02000000000089</v>
      </c>
      <c r="AK63" s="1799"/>
      <c r="AL63" s="1799">
        <f>AL56+AL38+AL58+AL59+AL60</f>
        <v>-124.05700000000006</v>
      </c>
      <c r="AM63" s="1799"/>
      <c r="AN63" s="1799">
        <f>AN56+AN38+AN58+AN59+AN60</f>
        <v>-279.08499999999987</v>
      </c>
      <c r="AO63" s="1799"/>
      <c r="AP63" s="1799">
        <f>AP56+AP38+AP58+AP59+AP60</f>
        <v>1161.0800000000002</v>
      </c>
      <c r="AQ63" s="1799"/>
      <c r="AR63" s="1799">
        <f>AR56+AR38+AR58+AR59+AR60</f>
        <v>127.14394999999968</v>
      </c>
      <c r="AS63" s="1799"/>
      <c r="AT63" s="1799">
        <f>AT56+AT38+AT58+AT59+AT60</f>
        <v>-234.63895000000011</v>
      </c>
      <c r="AU63" s="1799"/>
      <c r="AV63" s="1799">
        <f>AV56+AV38+AV58+AV59+AV60</f>
        <v>304.84500000000031</v>
      </c>
      <c r="AW63" s="1783"/>
      <c r="AX63" s="1792">
        <f>AX56+AX38+AX58+AX59+AX60</f>
        <v>337.78911999999906</v>
      </c>
      <c r="AY63" s="1783"/>
      <c r="AZ63" s="1792">
        <f>AZ56+AZ38+AZ58+AZ59+AZ60</f>
        <v>344.02488999999849</v>
      </c>
      <c r="BA63" s="1783"/>
      <c r="BB63" s="1792">
        <f>BB56+BB38+BB58+BB59+BB60</f>
        <v>-398.30200000000247</v>
      </c>
      <c r="BC63" s="1783"/>
      <c r="BD63" s="1792">
        <f>BD56+BD38+BD58+BD59+BD60</f>
        <v>834.37600000000577</v>
      </c>
      <c r="BE63" s="1783"/>
      <c r="BF63" s="1792">
        <f>BF56+BF38+BF58+BF59+BF60</f>
        <v>-171.25199999999646</v>
      </c>
      <c r="BG63" s="1783"/>
      <c r="BH63" s="1792">
        <f>BH56+BH38+BH58+BH59+BH60</f>
        <v>-178.83141880531707</v>
      </c>
      <c r="BI63" s="1783"/>
      <c r="BJ63" s="1792">
        <f>BJ56+BJ38+BJ58+BJ59+BJ60</f>
        <v>-290.12355527783097</v>
      </c>
      <c r="BK63" s="1792"/>
      <c r="BL63" s="1792">
        <f>BL56+BL38+BL58+BL59+BL60</f>
        <v>-144.77987667210846</v>
      </c>
      <c r="BM63" s="1792"/>
      <c r="BN63" s="1792">
        <f>BN56+BN38+BN58+BN59+BN60</f>
        <v>-154.4565214953634</v>
      </c>
      <c r="BO63" s="1792"/>
      <c r="BP63" s="1792">
        <f>BP56+BP38+BP58+BP59+BP60</f>
        <v>-247.35393242483701</v>
      </c>
      <c r="BQ63" s="1783"/>
      <c r="BR63" s="1783"/>
      <c r="BS63" s="1783"/>
    </row>
    <row r="64" spans="1:71">
      <c r="A64" s="1783" t="s">
        <v>67</v>
      </c>
      <c r="B64" s="1783"/>
      <c r="C64" s="1783"/>
      <c r="D64" s="1792">
        <f>D62+D63</f>
        <v>83.323999999999955</v>
      </c>
      <c r="E64" s="1792"/>
      <c r="F64" s="1792">
        <f>F62+F63</f>
        <v>67.294000000000437</v>
      </c>
      <c r="G64" s="1792"/>
      <c r="H64" s="1792">
        <f>H62+H63</f>
        <v>106.69099999999995</v>
      </c>
      <c r="I64" s="1792"/>
      <c r="J64" s="1795">
        <f>J62+J63</f>
        <v>58.101999999999961</v>
      </c>
      <c r="K64" s="1792"/>
      <c r="L64" s="1792">
        <f>L62+L63</f>
        <v>41.569000000000131</v>
      </c>
      <c r="M64" s="1792"/>
      <c r="N64" s="1792">
        <f>N62+N63</f>
        <v>209.22600000000017</v>
      </c>
      <c r="O64" s="1792"/>
      <c r="P64" s="1792">
        <f>P62+P63</f>
        <v>474.822</v>
      </c>
      <c r="Q64" s="1792"/>
      <c r="R64" s="1792">
        <f>R62+R63</f>
        <v>404.36900000000048</v>
      </c>
      <c r="S64" s="1792"/>
      <c r="T64" s="1792">
        <f>T62+T63</f>
        <v>460.94400000000007</v>
      </c>
      <c r="U64" s="1792"/>
      <c r="V64" s="1792">
        <f>V62+V63</f>
        <v>371.75900000000064</v>
      </c>
      <c r="W64" s="1792"/>
      <c r="X64" s="1792">
        <f>X62+X63</f>
        <v>132.53500000000039</v>
      </c>
      <c r="Y64" s="1792"/>
      <c r="Z64" s="1792">
        <f>Z62+Z63</f>
        <v>492.77599999999961</v>
      </c>
      <c r="AA64" s="1792"/>
      <c r="AB64" s="1792">
        <f>AB62+AB63</f>
        <v>492.32999999999981</v>
      </c>
      <c r="AC64" s="1792"/>
      <c r="AD64" s="1792">
        <f>AD62+AD63</f>
        <v>246.40300000000059</v>
      </c>
      <c r="AE64" s="1792"/>
      <c r="AF64" s="1792">
        <f>AF62+AF63</f>
        <v>307.18700000000109</v>
      </c>
      <c r="AG64" s="1792"/>
      <c r="AH64" s="1792">
        <f>AH62+AH63</f>
        <v>465.64900000000279</v>
      </c>
      <c r="AI64" s="1792"/>
      <c r="AJ64" s="1792">
        <f>AJ62+AJ63</f>
        <v>856.66900000000373</v>
      </c>
      <c r="AK64" s="1792"/>
      <c r="AL64" s="1792">
        <f>AL62+AL63</f>
        <v>732.61200000000372</v>
      </c>
      <c r="AM64" s="1783"/>
      <c r="AN64" s="1792">
        <f>AN62+AN63</f>
        <v>453.52700000000385</v>
      </c>
      <c r="AO64" s="1783"/>
      <c r="AP64" s="1792">
        <f>AP62+AP63</f>
        <v>1614.6070000000041</v>
      </c>
      <c r="AQ64" s="1783"/>
      <c r="AR64" s="1799">
        <f>AR62+AR63</f>
        <v>1741.7509500000037</v>
      </c>
      <c r="AS64" s="1783"/>
      <c r="AT64" s="1792">
        <f>AT62+AT63</f>
        <v>1507.1120000000037</v>
      </c>
      <c r="AU64" s="1783"/>
      <c r="AV64" s="1792">
        <f>AV62+AV63</f>
        <v>1811.957000000004</v>
      </c>
      <c r="AW64" s="1783"/>
      <c r="AX64" s="1792">
        <f>AX62+AX63</f>
        <v>2149.746120000003</v>
      </c>
      <c r="AY64" s="1783"/>
      <c r="AZ64" s="1792">
        <f>AZ62+AZ63</f>
        <v>2493.7710100000013</v>
      </c>
      <c r="BA64" s="1783"/>
      <c r="BB64" s="1792">
        <f>BB62+BB63</f>
        <v>2095.4690099999989</v>
      </c>
      <c r="BC64" s="1783"/>
      <c r="BD64" s="1792">
        <f>BD62+BD63</f>
        <v>2929.8450100000045</v>
      </c>
      <c r="BE64" s="1783"/>
      <c r="BF64" s="1792">
        <f>BF62+BF63-0.1</f>
        <v>2758.4930100000083</v>
      </c>
      <c r="BG64" s="1783"/>
      <c r="BH64" s="1792">
        <f>BH62+BH63</f>
        <v>2579.661591194691</v>
      </c>
      <c r="BI64" s="1783"/>
      <c r="BJ64" s="1792">
        <f>BJ62+BJ63</f>
        <v>2289.5380359168603</v>
      </c>
      <c r="BK64" s="1792"/>
      <c r="BL64" s="1792">
        <f>BL62+BL63</f>
        <v>2144.7581592447518</v>
      </c>
      <c r="BM64" s="1792"/>
      <c r="BN64" s="1792">
        <f>BN62+BN63</f>
        <v>1990.3016377493884</v>
      </c>
      <c r="BO64" s="1792"/>
      <c r="BP64" s="1792">
        <f>BP62+BP63</f>
        <v>1742.9477053245514</v>
      </c>
      <c r="BQ64" s="1783"/>
      <c r="BR64" s="1783"/>
      <c r="BS64" s="1783"/>
    </row>
    <row r="65" spans="1:71">
      <c r="A65" s="1783"/>
      <c r="B65" s="1783"/>
      <c r="C65" s="1783"/>
      <c r="D65" s="1783"/>
      <c r="E65" s="1783"/>
      <c r="F65" s="1783"/>
      <c r="G65" s="1783"/>
      <c r="H65" s="1783"/>
      <c r="I65" s="1783"/>
      <c r="J65" s="1783"/>
      <c r="K65" s="1783"/>
      <c r="L65" s="1783"/>
      <c r="M65" s="1835"/>
      <c r="N65" s="1783"/>
      <c r="O65" s="1783"/>
      <c r="P65" s="1783"/>
      <c r="Q65" s="1783"/>
      <c r="R65" s="1783"/>
      <c r="S65" s="1783"/>
      <c r="T65" s="1783"/>
      <c r="U65" s="1783"/>
      <c r="V65" s="1783"/>
      <c r="W65" s="1835"/>
      <c r="X65" s="1783"/>
      <c r="Y65" s="1783"/>
      <c r="Z65" s="1783"/>
      <c r="AA65" s="1783"/>
      <c r="AB65" s="1783"/>
      <c r="AC65" s="1783"/>
      <c r="AD65" s="1783"/>
      <c r="AE65" s="1783"/>
      <c r="AF65" s="1783"/>
      <c r="AG65" s="1783"/>
      <c r="AH65" s="1783"/>
      <c r="AI65" s="1783"/>
      <c r="AJ65" s="1783"/>
      <c r="AK65" s="1783"/>
      <c r="AL65" s="1783"/>
      <c r="AM65" s="1783"/>
      <c r="AN65" s="1783"/>
      <c r="AO65" s="1783"/>
      <c r="AP65" s="1783"/>
      <c r="AQ65" s="1783"/>
      <c r="AR65" s="1783"/>
      <c r="AS65" s="1783"/>
      <c r="AT65" s="1783"/>
      <c r="AU65" s="1783"/>
      <c r="AV65" s="1783"/>
      <c r="AW65" s="1783"/>
      <c r="AX65" s="1783"/>
      <c r="AY65" s="1783"/>
      <c r="AZ65" s="1783"/>
      <c r="BA65" s="1783"/>
      <c r="BB65" s="1783"/>
      <c r="BC65" s="1783"/>
      <c r="BD65" s="1783"/>
      <c r="BE65" s="1783"/>
      <c r="BF65" s="1783"/>
      <c r="BG65" s="1783"/>
      <c r="BH65" s="1783"/>
      <c r="BI65" s="1783"/>
      <c r="BJ65" s="1783"/>
      <c r="BK65" s="1783"/>
      <c r="BL65" s="1783"/>
      <c r="BM65" s="1783"/>
      <c r="BN65" s="1783"/>
      <c r="BO65" s="1783"/>
      <c r="BP65" s="1783"/>
      <c r="BQ65" s="1783"/>
      <c r="BR65" s="1783"/>
      <c r="BS65" s="1783"/>
    </row>
    <row r="66" spans="1:71">
      <c r="A66" s="1783" t="s">
        <v>425</v>
      </c>
      <c r="B66" s="1783"/>
      <c r="C66" s="1783"/>
      <c r="D66" s="1790">
        <f>-D56+D63</f>
        <v>14.865999999999961</v>
      </c>
      <c r="E66" s="1783"/>
      <c r="F66" s="1790">
        <f>-F56+F63</f>
        <v>-16.056999999999569</v>
      </c>
      <c r="G66" s="1783"/>
      <c r="H66" s="1790">
        <f>-H56+H63</f>
        <v>-5.3620000000000587</v>
      </c>
      <c r="I66" s="1783"/>
      <c r="J66" s="1790">
        <f>-J56+J63</f>
        <v>-84.720000000000041</v>
      </c>
      <c r="K66" s="1783"/>
      <c r="L66" s="1790">
        <f>-L56+L63</f>
        <v>-32.487999999999872</v>
      </c>
      <c r="M66" s="1783"/>
      <c r="N66" s="1790">
        <f>-N56+N63</f>
        <v>-342.19699999999995</v>
      </c>
      <c r="O66" s="1783"/>
      <c r="P66" s="1790">
        <f>-P56+P63</f>
        <v>733.26700000000005</v>
      </c>
      <c r="Q66" s="1783"/>
      <c r="R66" s="1790">
        <f>-R56+R63</f>
        <v>186.54300000000049</v>
      </c>
      <c r="S66" s="1783"/>
      <c r="T66" s="1790">
        <f>-T56+T63</f>
        <v>403.73700000000008</v>
      </c>
      <c r="U66" s="1783"/>
      <c r="V66" s="1790">
        <f>-V56+V63</f>
        <v>314.24600000000055</v>
      </c>
      <c r="W66" s="1783"/>
      <c r="X66" s="1790">
        <f>-X56+X63</f>
        <v>263.08299999999974</v>
      </c>
      <c r="Y66" s="1783"/>
      <c r="Z66" s="1790">
        <f>-Z56+Z63</f>
        <v>417.08999999999924</v>
      </c>
      <c r="AA66" s="1783"/>
      <c r="AB66" s="1790">
        <f>-AB56+AB63</f>
        <v>448.05200000000019</v>
      </c>
      <c r="AC66" s="1783"/>
      <c r="AD66" s="1790">
        <f>-AD56+AD63</f>
        <v>231.40200000000073</v>
      </c>
      <c r="AE66" s="1783"/>
      <c r="AF66" s="1790">
        <f>-AF56+AF63</f>
        <v>564.31300000000056</v>
      </c>
      <c r="AG66" s="1783"/>
      <c r="AH66" s="1790">
        <f>-AH56+AH63</f>
        <v>556.26400000000172</v>
      </c>
      <c r="AI66" s="1783"/>
      <c r="AJ66" s="1790">
        <f>-AJ56+AJ63</f>
        <v>689.06900000000087</v>
      </c>
      <c r="AK66" s="1783"/>
      <c r="AL66" s="1790">
        <f>-AL56+AL63</f>
        <v>683.14299999999992</v>
      </c>
      <c r="AM66" s="1783"/>
      <c r="AN66" s="1790">
        <f>-AN56+AN63</f>
        <v>317.48700000000014</v>
      </c>
      <c r="AO66" s="1783"/>
      <c r="AP66" s="1790">
        <f>-AP56+AP63</f>
        <v>1564.6660000000002</v>
      </c>
      <c r="AQ66" s="1783"/>
      <c r="AR66" s="1790">
        <f>-AR56+AR63</f>
        <v>1149.8379499999999</v>
      </c>
      <c r="AS66" s="1783"/>
      <c r="AT66" s="1790">
        <f>-AT56+AT63</f>
        <v>872.20004999999981</v>
      </c>
      <c r="AU66" s="1783"/>
      <c r="AV66" s="1790">
        <f>-AV56+AV63</f>
        <v>1518.9820000000002</v>
      </c>
      <c r="AW66" s="1783"/>
      <c r="AX66" s="1790">
        <f>-AX56+AX63</f>
        <v>1087.789119999999</v>
      </c>
      <c r="AY66" s="1783"/>
      <c r="AZ66" s="1790">
        <f>-AZ56+AZ63</f>
        <v>1437.6248899999985</v>
      </c>
      <c r="BA66" s="1783"/>
      <c r="BB66" s="1790">
        <f>-BB56+BB63</f>
        <v>1233.2819999999977</v>
      </c>
      <c r="BC66" s="1783"/>
      <c r="BD66" s="1790">
        <f>-BD56+BD63</f>
        <v>1745.3000000000061</v>
      </c>
      <c r="BE66" s="1783"/>
      <c r="BF66" s="1790">
        <f>-BF56+BF63</f>
        <v>1362.0480000000034</v>
      </c>
      <c r="BG66" s="1783"/>
      <c r="BH66" s="1790">
        <f>-BH56+BH63</f>
        <v>2271.1685811946827</v>
      </c>
      <c r="BI66" s="1783"/>
      <c r="BJ66" s="1790">
        <f>-BJ56+BJ63</f>
        <v>1659.876444722169</v>
      </c>
      <c r="BK66" s="1790"/>
      <c r="BL66" s="1790">
        <f>-BL56+BL63</f>
        <v>1805.2201233278915</v>
      </c>
      <c r="BM66" s="1790"/>
      <c r="BN66" s="1790">
        <f>-BN56+BN63</f>
        <v>1795.5434785046366</v>
      </c>
      <c r="BO66" s="1790"/>
      <c r="BP66" s="1790">
        <f>-BP56+BP63</f>
        <v>1702.646067575163</v>
      </c>
      <c r="BQ66" s="1783"/>
      <c r="BR66" s="1783"/>
      <c r="BS66" s="1783"/>
    </row>
    <row r="67" spans="1:71">
      <c r="A67" s="1783"/>
      <c r="B67" s="1783"/>
      <c r="C67" s="1783"/>
      <c r="D67" s="1783"/>
      <c r="E67" s="1783"/>
      <c r="F67" s="1823"/>
      <c r="G67" s="1783"/>
      <c r="H67" s="1783"/>
      <c r="I67" s="1783"/>
      <c r="J67" s="1783"/>
      <c r="K67" s="1783"/>
      <c r="L67" s="1783"/>
      <c r="M67" s="1783"/>
      <c r="N67" s="1783"/>
      <c r="O67" s="1783"/>
      <c r="P67" s="1823"/>
      <c r="Q67" s="1783"/>
      <c r="R67" s="1783"/>
      <c r="S67" s="1783"/>
      <c r="T67" s="1783"/>
      <c r="U67" s="1783"/>
      <c r="V67" s="1783"/>
      <c r="W67" s="1783"/>
      <c r="X67" s="1783"/>
      <c r="Y67" s="1783"/>
      <c r="Z67" s="1783"/>
      <c r="AA67" s="1783"/>
      <c r="AB67" s="1783"/>
      <c r="AC67" s="1783"/>
      <c r="AD67" s="1783"/>
      <c r="AE67" s="1783"/>
      <c r="AF67" s="1783"/>
      <c r="AG67" s="1783"/>
      <c r="AH67" s="1783"/>
      <c r="AI67" s="1783"/>
      <c r="AJ67" s="1783"/>
      <c r="AK67" s="1783"/>
      <c r="AL67" s="1783"/>
      <c r="AM67" s="1783"/>
      <c r="AN67" s="1783"/>
      <c r="AO67" s="1783"/>
      <c r="AP67" s="1783"/>
      <c r="AQ67" s="1783"/>
      <c r="AR67" s="1783"/>
      <c r="AS67" s="1783"/>
      <c r="AT67" s="1783"/>
      <c r="AU67" s="1783"/>
      <c r="AV67" s="1792"/>
      <c r="AW67" s="1783"/>
      <c r="AX67" s="1783"/>
      <c r="AY67" s="1783"/>
      <c r="AZ67" s="1783"/>
      <c r="BA67" s="1783"/>
      <c r="BB67" s="1950"/>
      <c r="BC67" s="1783"/>
      <c r="BD67" s="1783"/>
      <c r="BE67" s="1783"/>
      <c r="BF67" s="1783"/>
      <c r="BG67" s="1783"/>
      <c r="BH67" s="1783"/>
      <c r="BI67" s="1783"/>
      <c r="BJ67" s="1783"/>
      <c r="BK67" s="1783"/>
      <c r="BL67" s="1783"/>
      <c r="BM67" s="1783"/>
      <c r="BN67" s="1783"/>
      <c r="BO67" s="1783"/>
      <c r="BP67" s="1783"/>
      <c r="BQ67" s="1783"/>
      <c r="BR67" s="1783"/>
      <c r="BS67" s="1783"/>
    </row>
    <row r="68" spans="1:71">
      <c r="A68" s="1783" t="s">
        <v>707</v>
      </c>
      <c r="B68" s="1783"/>
      <c r="C68" s="1783"/>
      <c r="D68" s="1783"/>
      <c r="E68" s="1783"/>
      <c r="F68" s="1836"/>
      <c r="G68" s="1783"/>
      <c r="H68" s="1783"/>
      <c r="I68" s="1783"/>
      <c r="J68" s="1783"/>
      <c r="K68" s="1783"/>
      <c r="L68" s="1783"/>
      <c r="M68" s="1783"/>
      <c r="N68" s="1783"/>
      <c r="O68" s="1783"/>
      <c r="P68" s="1836"/>
      <c r="Q68" s="1783"/>
      <c r="R68" s="1783"/>
      <c r="S68" s="1783"/>
      <c r="T68" s="1783"/>
      <c r="U68" s="1783"/>
      <c r="V68" s="1783"/>
      <c r="W68" s="1783"/>
      <c r="X68" s="1783"/>
      <c r="Y68" s="1783"/>
      <c r="Z68" s="1783"/>
      <c r="AA68" s="1783"/>
      <c r="AB68" s="1783"/>
      <c r="AC68" s="1783"/>
      <c r="AD68" s="1783"/>
      <c r="AE68" s="1783"/>
      <c r="AF68" s="1783"/>
      <c r="AG68" s="1783"/>
      <c r="AH68" s="1783"/>
      <c r="AI68" s="1783"/>
      <c r="AJ68" s="1783"/>
      <c r="AK68" s="1783"/>
      <c r="AL68" s="1783"/>
      <c r="AM68" s="1783"/>
      <c r="AN68" s="1783"/>
      <c r="AO68" s="1783"/>
      <c r="AP68" s="1783"/>
      <c r="AQ68" s="1783"/>
      <c r="AR68" s="1837"/>
      <c r="AS68" s="1783"/>
      <c r="AT68" s="1783"/>
      <c r="AU68" s="1783"/>
      <c r="AV68" s="1783"/>
      <c r="AW68" s="1783"/>
      <c r="AX68" s="1783"/>
      <c r="AY68" s="1783"/>
      <c r="AZ68" s="1783"/>
      <c r="BA68" s="1783"/>
      <c r="BB68" s="1783"/>
      <c r="BC68" s="1783"/>
      <c r="BD68" s="1783"/>
      <c r="BE68" s="1783"/>
      <c r="BF68" s="1783"/>
      <c r="BG68" s="1783"/>
      <c r="BH68" s="1783"/>
      <c r="BI68" s="1783"/>
      <c r="BJ68" s="1783"/>
      <c r="BK68" s="1783"/>
      <c r="BL68" s="1783"/>
      <c r="BM68" s="1783"/>
      <c r="BN68" s="1783"/>
      <c r="BO68" s="1783"/>
      <c r="BP68" s="1783"/>
      <c r="BQ68" s="1783"/>
      <c r="BR68" s="1783"/>
      <c r="BS68" s="1783"/>
    </row>
    <row r="69" spans="1:71">
      <c r="A69" s="1838" t="s">
        <v>497</v>
      </c>
      <c r="B69" s="1783"/>
      <c r="C69" s="1783"/>
      <c r="D69" s="1783"/>
      <c r="E69" s="1783"/>
      <c r="F69" s="1783"/>
      <c r="G69" s="1783"/>
      <c r="H69" s="1783"/>
      <c r="I69" s="1783"/>
      <c r="J69" s="1783"/>
      <c r="K69" s="1783"/>
      <c r="L69" s="1783"/>
      <c r="M69" s="1783"/>
      <c r="N69" s="1783"/>
      <c r="O69" s="1783"/>
      <c r="P69" s="1783"/>
      <c r="Q69" s="1783"/>
      <c r="R69" s="1783"/>
      <c r="S69" s="1783"/>
      <c r="T69" s="1783"/>
      <c r="U69" s="1783"/>
      <c r="V69" s="1783"/>
      <c r="W69" s="1783"/>
      <c r="X69" s="1783"/>
      <c r="Y69" s="1783"/>
      <c r="Z69" s="1783"/>
      <c r="AA69" s="1783"/>
      <c r="AB69" s="1783"/>
      <c r="AC69" s="1783"/>
      <c r="AD69" s="1783"/>
      <c r="AE69" s="1783"/>
      <c r="AF69" s="1783"/>
      <c r="AG69" s="1783"/>
      <c r="AH69" s="1783"/>
      <c r="AI69" s="1783"/>
      <c r="AJ69" s="1783"/>
      <c r="AK69" s="1783"/>
      <c r="AL69" s="1783"/>
      <c r="AM69" s="1783"/>
      <c r="AN69" s="1783"/>
      <c r="AO69" s="1783"/>
      <c r="AP69" s="1783"/>
      <c r="AQ69" s="1783"/>
      <c r="AR69" s="1783"/>
      <c r="AS69" s="1783"/>
      <c r="AT69" s="1783"/>
      <c r="AU69" s="1783"/>
      <c r="AV69" s="1783"/>
      <c r="AW69" s="1783"/>
      <c r="AX69" s="1783"/>
      <c r="AY69" s="1783"/>
      <c r="AZ69" s="1783"/>
      <c r="BA69" s="1783"/>
      <c r="BB69" s="1783"/>
      <c r="BC69" s="1783"/>
      <c r="BD69" s="1783"/>
      <c r="BE69" s="1783"/>
      <c r="BF69" s="1783"/>
      <c r="BG69" s="1783"/>
      <c r="BH69" s="1783"/>
      <c r="BI69" s="1783"/>
      <c r="BJ69" s="1783"/>
      <c r="BK69" s="1783"/>
      <c r="BL69" s="1783"/>
      <c r="BM69" s="1783"/>
      <c r="BN69" s="1783"/>
      <c r="BO69" s="1783"/>
      <c r="BP69" s="1783"/>
      <c r="BQ69" s="1783"/>
      <c r="BR69" s="1783"/>
      <c r="BS69" s="1783"/>
    </row>
    <row r="70" spans="1:71">
      <c r="A70" s="1783"/>
      <c r="B70" s="1783"/>
      <c r="C70" s="1783"/>
      <c r="D70" s="1783"/>
      <c r="E70" s="1783"/>
      <c r="F70" s="1783"/>
      <c r="G70" s="1783"/>
      <c r="H70" s="1783"/>
      <c r="I70" s="1783"/>
      <c r="J70" s="1783"/>
      <c r="K70" s="1783"/>
      <c r="L70" s="1783"/>
      <c r="M70" s="1783"/>
      <c r="N70" s="1783"/>
      <c r="O70" s="1783"/>
      <c r="P70" s="1783"/>
      <c r="Q70" s="1783"/>
      <c r="R70" s="1783"/>
      <c r="S70" s="1783"/>
      <c r="T70" s="1783"/>
      <c r="U70" s="1783"/>
      <c r="V70" s="1783"/>
      <c r="W70" s="1783"/>
      <c r="X70" s="1783"/>
      <c r="Y70" s="1783"/>
      <c r="Z70" s="1783"/>
      <c r="AA70" s="1783"/>
      <c r="AB70" s="1783"/>
      <c r="AC70" s="1783"/>
      <c r="AD70" s="1783"/>
      <c r="AE70" s="1783"/>
      <c r="AF70" s="1783"/>
      <c r="AG70" s="1783"/>
      <c r="AH70" s="1783"/>
      <c r="AI70" s="1783"/>
      <c r="AJ70" s="1783"/>
      <c r="AK70" s="1783"/>
      <c r="AL70" s="1783"/>
      <c r="AM70" s="1783"/>
      <c r="AN70" s="1783"/>
      <c r="AO70" s="1783"/>
      <c r="AP70" s="1783"/>
      <c r="AQ70" s="1783"/>
      <c r="AR70" s="1783"/>
      <c r="AS70" s="1783"/>
      <c r="AT70" s="1783"/>
      <c r="AU70" s="1783"/>
      <c r="AV70" s="1783"/>
      <c r="AW70" s="1783"/>
      <c r="AX70" s="1783"/>
      <c r="AY70" s="1783"/>
      <c r="AZ70" s="1783"/>
      <c r="BA70" s="1783"/>
      <c r="BB70" s="1783"/>
      <c r="BC70" s="1783"/>
      <c r="BD70" s="1783"/>
      <c r="BE70" s="1783"/>
      <c r="BF70" s="1783"/>
      <c r="BG70" s="1783"/>
      <c r="BH70" s="1783"/>
      <c r="BI70" s="1783"/>
      <c r="BJ70" s="1783"/>
      <c r="BK70" s="1783"/>
      <c r="BL70" s="1783"/>
      <c r="BM70" s="1783"/>
      <c r="BN70" s="1783"/>
      <c r="BO70" s="1783"/>
      <c r="BP70" s="1783"/>
      <c r="BQ70" s="1783"/>
      <c r="BR70" s="1783"/>
      <c r="BS70" s="1783"/>
    </row>
    <row r="71" spans="1:71">
      <c r="A71" s="1783"/>
      <c r="B71" s="1783"/>
      <c r="C71" s="1777"/>
      <c r="D71" s="1813"/>
      <c r="E71" s="1813"/>
      <c r="F71" s="1813"/>
      <c r="G71" s="1813"/>
      <c r="H71" s="1813"/>
      <c r="I71" s="1813"/>
      <c r="J71" s="1813"/>
      <c r="K71" s="1813"/>
      <c r="L71" s="1813"/>
      <c r="M71" s="1813"/>
      <c r="N71" s="1813"/>
      <c r="O71" s="1813"/>
      <c r="P71" s="1813"/>
      <c r="Q71" s="1813"/>
      <c r="R71" s="1813"/>
      <c r="S71" s="1813"/>
      <c r="T71" s="1813"/>
      <c r="U71" s="1813"/>
      <c r="V71" s="1813"/>
      <c r="W71" s="1813"/>
      <c r="X71" s="1813"/>
      <c r="Y71" s="1813"/>
      <c r="Z71" s="1813"/>
      <c r="AA71" s="1813"/>
      <c r="AB71" s="1813"/>
      <c r="AC71" s="1813"/>
      <c r="AD71" s="1813"/>
      <c r="AE71" s="1813"/>
      <c r="AF71" s="1813"/>
      <c r="AG71" s="1813"/>
      <c r="AH71" s="1813"/>
      <c r="AI71" s="1813"/>
      <c r="AJ71" s="1813"/>
      <c r="AK71" s="1813"/>
      <c r="AL71" s="1813"/>
      <c r="AM71" s="1783"/>
      <c r="AN71" s="1813"/>
      <c r="AO71" s="1783"/>
      <c r="AP71" s="1813"/>
      <c r="AQ71" s="1783"/>
      <c r="AR71" s="1813"/>
      <c r="AS71" s="1783"/>
      <c r="AT71" s="1958">
        <f>-AT58/'yrP&amp;L'!W44</f>
        <v>0.17873744475890618</v>
      </c>
      <c r="AU71" s="1783"/>
      <c r="AV71" s="1958">
        <f>AV58/'yrP&amp;L'!X44</f>
        <v>-0.16988734910344475</v>
      </c>
      <c r="AW71" s="1783"/>
      <c r="AX71" s="1958">
        <f>AX58/'yrP&amp;L'!Y44</f>
        <v>-0.18424304451628234</v>
      </c>
      <c r="AY71" s="1783"/>
      <c r="AZ71" s="1958">
        <f>AZ58/'yrP&amp;L'!Z44</f>
        <v>-0.20933557683200016</v>
      </c>
      <c r="BA71" s="1783"/>
      <c r="BB71" s="1958">
        <f>BB58/'yrP&amp;L'!AA44</f>
        <v>-0.23896080974404432</v>
      </c>
      <c r="BC71" s="1783"/>
      <c r="BD71" s="1958">
        <f>BD58/'yrP&amp;L'!AB44</f>
        <v>-0.27695842379213143</v>
      </c>
      <c r="BE71" s="1783"/>
      <c r="BF71" s="1813"/>
      <c r="BG71" s="1783"/>
      <c r="BH71" s="1813"/>
      <c r="BI71" s="1783"/>
      <c r="BJ71" s="1813"/>
      <c r="BK71" s="1813"/>
      <c r="BL71" s="1783"/>
      <c r="BM71" s="1813"/>
      <c r="BN71" s="1783"/>
      <c r="BO71" s="1813"/>
      <c r="BP71" s="1783"/>
      <c r="BQ71" s="1783"/>
      <c r="BR71" s="1783"/>
      <c r="BS71" s="1783"/>
    </row>
    <row r="72" spans="1:71" hidden="1" outlineLevel="1">
      <c r="A72" s="1839" t="s">
        <v>554</v>
      </c>
      <c r="B72" s="1839"/>
      <c r="C72" s="1839"/>
      <c r="D72" s="1839"/>
      <c r="E72" s="1839"/>
      <c r="F72" s="1839"/>
      <c r="G72" s="1839"/>
      <c r="H72" s="1839"/>
      <c r="I72" s="1839"/>
      <c r="J72" s="1839"/>
      <c r="K72" s="1839"/>
      <c r="L72" s="1839"/>
      <c r="M72" s="1839"/>
      <c r="N72" s="1839"/>
      <c r="O72" s="1839"/>
      <c r="P72" s="1839"/>
      <c r="Q72" s="1839"/>
      <c r="R72" s="1839"/>
      <c r="S72" s="1839"/>
      <c r="T72" s="1839"/>
      <c r="U72" s="1839"/>
      <c r="V72" s="1840" t="s">
        <v>733</v>
      </c>
      <c r="W72" s="1840"/>
      <c r="X72" s="1840" t="s">
        <v>734</v>
      </c>
      <c r="Y72" s="1839"/>
      <c r="Z72" s="1840" t="s">
        <v>496</v>
      </c>
      <c r="AA72" s="1839"/>
      <c r="AB72" s="1840" t="s">
        <v>501</v>
      </c>
      <c r="AC72" s="1839"/>
      <c r="AD72" s="1840" t="s">
        <v>741</v>
      </c>
      <c r="AE72" s="1839"/>
      <c r="AF72" s="1840" t="s">
        <v>264</v>
      </c>
      <c r="AG72" s="1839"/>
      <c r="AH72" s="1840" t="s">
        <v>756</v>
      </c>
      <c r="AI72" s="1839"/>
      <c r="AJ72" s="1840" t="s">
        <v>319</v>
      </c>
      <c r="AK72" s="1839"/>
      <c r="AL72" s="1840" t="s">
        <v>757</v>
      </c>
      <c r="AM72" s="1783"/>
      <c r="AN72" s="1840" t="s">
        <v>758</v>
      </c>
      <c r="AO72" s="1783"/>
      <c r="AP72" s="1840" t="s">
        <v>759</v>
      </c>
      <c r="AQ72" s="1783"/>
      <c r="AR72" s="1840" t="s">
        <v>318</v>
      </c>
      <c r="AS72" s="1783"/>
      <c r="AT72" s="1840"/>
      <c r="AU72" s="1783"/>
      <c r="AV72" s="1840"/>
      <c r="AW72" s="1783"/>
      <c r="AX72" s="1840"/>
      <c r="AY72" s="1783"/>
      <c r="AZ72" s="1840"/>
      <c r="BA72" s="1783"/>
      <c r="BB72" s="1840"/>
      <c r="BC72" s="1783"/>
      <c r="BD72" s="1840"/>
      <c r="BE72" s="1783"/>
      <c r="BF72" s="1840"/>
      <c r="BG72" s="1783"/>
      <c r="BH72" s="1840"/>
      <c r="BI72" s="1783"/>
      <c r="BJ72" s="1840"/>
      <c r="BK72" s="1841"/>
      <c r="BL72" s="1783"/>
      <c r="BM72" s="1841"/>
      <c r="BN72" s="1783"/>
      <c r="BO72" s="1841"/>
      <c r="BP72" s="1783"/>
      <c r="BQ72" s="1783"/>
      <c r="BR72" s="1783"/>
      <c r="BS72" s="1783"/>
    </row>
    <row r="73" spans="1:71" hidden="1" outlineLevel="1">
      <c r="A73" s="1842" t="s">
        <v>82</v>
      </c>
      <c r="B73" s="1843"/>
      <c r="C73" s="1843"/>
      <c r="D73" s="1813"/>
      <c r="E73" s="1813"/>
      <c r="F73" s="1813"/>
      <c r="G73" s="1813"/>
      <c r="H73" s="1813"/>
      <c r="I73" s="1813"/>
      <c r="J73" s="1813"/>
      <c r="K73" s="1813"/>
      <c r="L73" s="1813"/>
      <c r="M73" s="1813"/>
      <c r="N73" s="1813"/>
      <c r="O73" s="1813"/>
      <c r="P73" s="1813"/>
      <c r="Q73" s="1813"/>
      <c r="R73" s="1813"/>
      <c r="S73" s="1813"/>
      <c r="T73" s="1842"/>
      <c r="U73" s="1842"/>
      <c r="V73" s="1842"/>
      <c r="W73" s="1842"/>
      <c r="X73" s="1842">
        <v>169.1</v>
      </c>
      <c r="Y73" s="1842"/>
      <c r="Z73" s="1842">
        <v>183.1</v>
      </c>
      <c r="AA73" s="1842"/>
      <c r="AB73" s="1842">
        <v>196.4</v>
      </c>
      <c r="AC73" s="1842"/>
      <c r="AD73" s="1842">
        <v>227.3</v>
      </c>
      <c r="AE73" s="1842"/>
      <c r="AF73" s="1844">
        <v>268</v>
      </c>
      <c r="AG73" s="1842"/>
      <c r="AH73" s="1845">
        <f>+AH9-AH74</f>
        <v>303.226</v>
      </c>
      <c r="AI73" s="1842"/>
      <c r="AJ73" s="1845">
        <f>+AJ9-AJ74</f>
        <v>342.05099999999999</v>
      </c>
      <c r="AK73" s="1842"/>
      <c r="AL73" s="1845">
        <f>+AL9-AL74</f>
        <v>358.33699999999999</v>
      </c>
      <c r="AM73" s="1783"/>
      <c r="AN73" s="1845">
        <f>+AN9-AN74</f>
        <v>390.64799999999997</v>
      </c>
      <c r="AO73" s="1783"/>
      <c r="AP73" s="1845">
        <f>+AP9-AP74</f>
        <v>424.15899999999999</v>
      </c>
      <c r="AQ73" s="1783"/>
      <c r="AR73" s="1845">
        <f>+AR9-AR74</f>
        <v>446.99299999999999</v>
      </c>
      <c r="AS73" s="1783"/>
      <c r="AT73" s="1845"/>
      <c r="AU73" s="1783"/>
      <c r="AV73" s="1845"/>
      <c r="AW73" s="1783"/>
      <c r="AX73" s="1845"/>
      <c r="AY73" s="1783"/>
      <c r="AZ73" s="1845"/>
      <c r="BA73" s="1783"/>
      <c r="BB73" s="1845"/>
      <c r="BC73" s="1783"/>
      <c r="BD73" s="1845"/>
      <c r="BE73" s="1783"/>
      <c r="BF73" s="1845"/>
      <c r="BG73" s="1783"/>
      <c r="BH73" s="1845"/>
      <c r="BI73" s="1783"/>
      <c r="BJ73" s="1845"/>
      <c r="BK73" s="1845"/>
      <c r="BL73" s="1783"/>
      <c r="BM73" s="1845"/>
      <c r="BN73" s="1783"/>
      <c r="BO73" s="1845"/>
      <c r="BP73" s="1783"/>
      <c r="BQ73" s="1783"/>
      <c r="BR73" s="1783"/>
      <c r="BS73" s="1783"/>
    </row>
    <row r="74" spans="1:71" hidden="1" outlineLevel="1">
      <c r="A74" s="1842" t="s">
        <v>728</v>
      </c>
      <c r="B74" s="1843"/>
      <c r="C74" s="1843"/>
      <c r="D74" s="1813"/>
      <c r="E74" s="1813"/>
      <c r="F74" s="1813"/>
      <c r="G74" s="1813"/>
      <c r="H74" s="1813"/>
      <c r="I74" s="1813"/>
      <c r="J74" s="1813"/>
      <c r="K74" s="1813"/>
      <c r="L74" s="1813"/>
      <c r="M74" s="1813"/>
      <c r="N74" s="1813"/>
      <c r="O74" s="1813"/>
      <c r="P74" s="1813"/>
      <c r="Q74" s="1813"/>
      <c r="R74" s="1813"/>
      <c r="S74" s="1813"/>
      <c r="T74" s="1842"/>
      <c r="U74" s="1842"/>
      <c r="V74" s="1842"/>
      <c r="W74" s="1842"/>
      <c r="X74" s="1845">
        <f>+X75-X73</f>
        <v>6.6810000000000116</v>
      </c>
      <c r="Y74" s="1842"/>
      <c r="Z74" s="1845">
        <f>+Z75-Z73</f>
        <v>20.980999999999995</v>
      </c>
      <c r="AA74" s="1842"/>
      <c r="AB74" s="1845">
        <f>+AB75-AB73</f>
        <v>11.475999999999999</v>
      </c>
      <c r="AC74" s="1842"/>
      <c r="AD74" s="1845">
        <f>+AD75-AD73</f>
        <v>11.08499999999998</v>
      </c>
      <c r="AE74" s="1842"/>
      <c r="AF74" s="1845">
        <f>+AF75-AF73</f>
        <v>11.059000000000026</v>
      </c>
      <c r="AG74" s="1842"/>
      <c r="AH74" s="1845">
        <f>+AF74</f>
        <v>11.059000000000026</v>
      </c>
      <c r="AI74" s="1842"/>
      <c r="AJ74" s="1845">
        <f>+AH74</f>
        <v>11.059000000000026</v>
      </c>
      <c r="AK74" s="1842"/>
      <c r="AL74" s="1845">
        <f>+AJ74</f>
        <v>11.059000000000026</v>
      </c>
      <c r="AM74" s="1783"/>
      <c r="AN74" s="1845">
        <f>+AL74</f>
        <v>11.059000000000026</v>
      </c>
      <c r="AO74" s="1783"/>
      <c r="AP74" s="1845">
        <f>+AN74</f>
        <v>11.059000000000026</v>
      </c>
      <c r="AQ74" s="1783"/>
      <c r="AR74" s="1845">
        <f>+AP74</f>
        <v>11.059000000000026</v>
      </c>
      <c r="AS74" s="1783"/>
      <c r="AT74" s="1845"/>
      <c r="AU74" s="1783"/>
      <c r="AV74" s="1845"/>
      <c r="AW74" s="1783"/>
      <c r="AX74" s="1845"/>
      <c r="AY74" s="1783"/>
      <c r="AZ74" s="1845"/>
      <c r="BA74" s="1783"/>
      <c r="BB74" s="1845"/>
      <c r="BC74" s="1783"/>
      <c r="BD74" s="1845"/>
      <c r="BE74" s="1783"/>
      <c r="BF74" s="1845"/>
      <c r="BG74" s="1783"/>
      <c r="BH74" s="1845"/>
      <c r="BI74" s="1783"/>
      <c r="BJ74" s="1845"/>
      <c r="BK74" s="1845"/>
      <c r="BL74" s="1783"/>
      <c r="BM74" s="1845"/>
      <c r="BN74" s="1783"/>
      <c r="BO74" s="1845"/>
      <c r="BP74" s="1783"/>
      <c r="BQ74" s="1783"/>
      <c r="BR74" s="1783"/>
      <c r="BS74" s="1783"/>
    </row>
    <row r="75" spans="1:71" hidden="1" outlineLevel="1">
      <c r="A75" s="1842" t="s">
        <v>729</v>
      </c>
      <c r="B75" s="1843"/>
      <c r="C75" s="1843"/>
      <c r="D75" s="1813"/>
      <c r="E75" s="1813"/>
      <c r="F75" s="1813"/>
      <c r="G75" s="1813"/>
      <c r="H75" s="1813"/>
      <c r="I75" s="1813"/>
      <c r="J75" s="1813"/>
      <c r="K75" s="1813"/>
      <c r="L75" s="1813"/>
      <c r="M75" s="1813"/>
      <c r="N75" s="1813"/>
      <c r="O75" s="1813"/>
      <c r="P75" s="1813"/>
      <c r="Q75" s="1813"/>
      <c r="R75" s="1813"/>
      <c r="S75" s="1813"/>
      <c r="T75" s="1842"/>
      <c r="U75" s="1842"/>
      <c r="V75" s="1845">
        <f>+V9</f>
        <v>160.46600000000001</v>
      </c>
      <c r="W75" s="1842"/>
      <c r="X75" s="1845">
        <f>+X9</f>
        <v>175.78100000000001</v>
      </c>
      <c r="Y75" s="1842"/>
      <c r="Z75" s="1845">
        <f>+Z9</f>
        <v>204.08099999999999</v>
      </c>
      <c r="AA75" s="1842"/>
      <c r="AB75" s="1845">
        <f>+AB9</f>
        <v>207.876</v>
      </c>
      <c r="AC75" s="1842"/>
      <c r="AD75" s="1845">
        <f>+AD9</f>
        <v>238.38499999999999</v>
      </c>
      <c r="AE75" s="1842"/>
      <c r="AF75" s="1845">
        <f>+AF9</f>
        <v>279.05900000000003</v>
      </c>
      <c r="AG75" s="1842"/>
      <c r="AH75" s="1845">
        <f>+AH9</f>
        <v>314.28500000000003</v>
      </c>
      <c r="AI75" s="1842"/>
      <c r="AJ75" s="1845">
        <f>+AJ9</f>
        <v>353.11</v>
      </c>
      <c r="AK75" s="1842"/>
      <c r="AL75" s="1845">
        <f>+AL9</f>
        <v>369.39600000000002</v>
      </c>
      <c r="AM75" s="1783"/>
      <c r="AN75" s="1845">
        <f>+AN9</f>
        <v>401.70699999999999</v>
      </c>
      <c r="AO75" s="1783"/>
      <c r="AP75" s="1845">
        <f>+AP9</f>
        <v>435.21800000000002</v>
      </c>
      <c r="AQ75" s="1783"/>
      <c r="AR75" s="1845">
        <f>+AR9</f>
        <v>458.05200000000002</v>
      </c>
      <c r="AS75" s="1783"/>
      <c r="AT75" s="1845"/>
      <c r="AU75" s="1783"/>
      <c r="AV75" s="1845"/>
      <c r="AW75" s="1783"/>
      <c r="AX75" s="1845"/>
      <c r="AY75" s="1783"/>
      <c r="AZ75" s="1845"/>
      <c r="BA75" s="1783"/>
      <c r="BB75" s="1845"/>
      <c r="BC75" s="1783"/>
      <c r="BD75" s="1845"/>
      <c r="BE75" s="1783"/>
      <c r="BF75" s="1845"/>
      <c r="BG75" s="1783"/>
      <c r="BH75" s="1845"/>
      <c r="BI75" s="1783"/>
      <c r="BJ75" s="1845"/>
      <c r="BK75" s="1845"/>
      <c r="BL75" s="1783"/>
      <c r="BM75" s="1845"/>
      <c r="BN75" s="1783"/>
      <c r="BO75" s="1845"/>
      <c r="BP75" s="1783"/>
      <c r="BQ75" s="1783"/>
      <c r="BR75" s="1783"/>
      <c r="BS75" s="1783"/>
    </row>
    <row r="76" spans="1:71" hidden="1" outlineLevel="1">
      <c r="A76" s="1842" t="s">
        <v>730</v>
      </c>
      <c r="B76" s="1843"/>
      <c r="C76" s="1843"/>
      <c r="D76" s="1813"/>
      <c r="E76" s="1813"/>
      <c r="F76" s="1813"/>
      <c r="G76" s="1813"/>
      <c r="H76" s="1813"/>
      <c r="I76" s="1813"/>
      <c r="J76" s="1813"/>
      <c r="K76" s="1813"/>
      <c r="L76" s="1813"/>
      <c r="M76" s="1813"/>
      <c r="N76" s="1813"/>
      <c r="O76" s="1813"/>
      <c r="P76" s="1813"/>
      <c r="Q76" s="1813"/>
      <c r="R76" s="1813"/>
      <c r="S76" s="1813"/>
      <c r="T76" s="1842"/>
      <c r="U76" s="1842"/>
      <c r="V76" s="1846">
        <f>+V73/V75</f>
        <v>0</v>
      </c>
      <c r="W76" s="1846"/>
      <c r="X76" s="1846">
        <f t="shared" ref="X76:AP76" si="0">+X73/X75</f>
        <v>0.96199247927819265</v>
      </c>
      <c r="Y76" s="1846"/>
      <c r="Z76" s="1846">
        <f t="shared" si="0"/>
        <v>0.89719278129762203</v>
      </c>
      <c r="AA76" s="1846"/>
      <c r="AB76" s="1846">
        <f t="shared" si="0"/>
        <v>0.94479401181473577</v>
      </c>
      <c r="AC76" s="1846"/>
      <c r="AD76" s="1846">
        <f t="shared" si="0"/>
        <v>0.95349959099775583</v>
      </c>
      <c r="AE76" s="1846"/>
      <c r="AF76" s="1846">
        <f t="shared" si="0"/>
        <v>0.96037038762412241</v>
      </c>
      <c r="AG76" s="1846"/>
      <c r="AH76" s="1846">
        <f t="shared" si="0"/>
        <v>0.96481219275498342</v>
      </c>
      <c r="AI76" s="1846"/>
      <c r="AJ76" s="1846">
        <f t="shared" si="0"/>
        <v>0.96868114751777057</v>
      </c>
      <c r="AK76" s="1846"/>
      <c r="AL76" s="1846">
        <f t="shared" si="0"/>
        <v>0.97006193894898696</v>
      </c>
      <c r="AM76" s="1783"/>
      <c r="AN76" s="1846">
        <f t="shared" si="0"/>
        <v>0.97246998434182119</v>
      </c>
      <c r="AO76" s="1783"/>
      <c r="AP76" s="1846">
        <f t="shared" si="0"/>
        <v>0.97458974582852731</v>
      </c>
      <c r="AQ76" s="1783"/>
      <c r="AR76" s="1846">
        <f>+AR73/AR75</f>
        <v>0.9758564529791377</v>
      </c>
      <c r="AS76" s="1783"/>
      <c r="AT76" s="1846"/>
      <c r="AU76" s="1783"/>
      <c r="AV76" s="1846"/>
      <c r="AW76" s="1783"/>
      <c r="AX76" s="1846"/>
      <c r="AY76" s="1783"/>
      <c r="AZ76" s="1846"/>
      <c r="BA76" s="1783"/>
      <c r="BB76" s="1846"/>
      <c r="BC76" s="1783"/>
      <c r="BD76" s="1846"/>
      <c r="BE76" s="1783"/>
      <c r="BF76" s="1846"/>
      <c r="BG76" s="1783"/>
      <c r="BH76" s="1846"/>
      <c r="BI76" s="1783"/>
      <c r="BJ76" s="1846"/>
      <c r="BK76" s="1846"/>
      <c r="BL76" s="1783"/>
      <c r="BM76" s="1846"/>
      <c r="BN76" s="1783"/>
      <c r="BO76" s="1846"/>
      <c r="BP76" s="1783"/>
      <c r="BQ76" s="1783"/>
      <c r="BR76" s="1783"/>
      <c r="BS76" s="1783"/>
    </row>
    <row r="77" spans="1:71" hidden="1" outlineLevel="1">
      <c r="A77" s="1842"/>
      <c r="B77" s="1843"/>
      <c r="C77" s="1843"/>
      <c r="D77" s="1813"/>
      <c r="E77" s="1813"/>
      <c r="F77" s="1813"/>
      <c r="G77" s="1813"/>
      <c r="H77" s="1813"/>
      <c r="I77" s="1813"/>
      <c r="J77" s="1813"/>
      <c r="K77" s="1813"/>
      <c r="L77" s="1813"/>
      <c r="M77" s="1813"/>
      <c r="N77" s="1813"/>
      <c r="O77" s="1813"/>
      <c r="P77" s="1813"/>
      <c r="Q77" s="1813"/>
      <c r="R77" s="1813"/>
      <c r="S77" s="1813"/>
      <c r="T77" s="1842"/>
      <c r="U77" s="1842"/>
      <c r="V77" s="1842"/>
      <c r="W77" s="1842"/>
      <c r="X77" s="1842"/>
      <c r="Y77" s="1842"/>
      <c r="Z77" s="1842"/>
      <c r="AA77" s="1842"/>
      <c r="AB77" s="1842"/>
      <c r="AC77" s="1842"/>
      <c r="AD77" s="1842"/>
      <c r="AE77" s="1842"/>
      <c r="AF77" s="1842"/>
      <c r="AG77" s="1842"/>
      <c r="AH77" s="1842"/>
      <c r="AI77" s="1842"/>
      <c r="AJ77" s="1842"/>
      <c r="AK77" s="1842"/>
      <c r="AL77" s="1842"/>
      <c r="AM77" s="1783"/>
      <c r="AN77" s="1842"/>
      <c r="AO77" s="1783"/>
      <c r="AP77" s="1842"/>
      <c r="AQ77" s="1783"/>
      <c r="AR77" s="1842"/>
      <c r="AS77" s="1783"/>
      <c r="AT77" s="1842"/>
      <c r="AU77" s="1783"/>
      <c r="AV77" s="1842"/>
      <c r="AW77" s="1783"/>
      <c r="AX77" s="1842"/>
      <c r="AY77" s="1783"/>
      <c r="AZ77" s="1842"/>
      <c r="BA77" s="1783"/>
      <c r="BB77" s="1842"/>
      <c r="BC77" s="1783"/>
      <c r="BD77" s="1842"/>
      <c r="BE77" s="1783"/>
      <c r="BF77" s="1842"/>
      <c r="BG77" s="1783"/>
      <c r="BH77" s="1842"/>
      <c r="BI77" s="1783"/>
      <c r="BJ77" s="1842"/>
      <c r="BK77" s="1842"/>
      <c r="BL77" s="1783"/>
      <c r="BM77" s="1842"/>
      <c r="BN77" s="1783"/>
      <c r="BO77" s="1842"/>
      <c r="BP77" s="1783"/>
      <c r="BQ77" s="1783"/>
      <c r="BR77" s="1783"/>
      <c r="BS77" s="1783"/>
    </row>
    <row r="78" spans="1:71" hidden="1" outlineLevel="1">
      <c r="A78" s="1847" t="s">
        <v>731</v>
      </c>
      <c r="B78" s="1843"/>
      <c r="C78" s="1843"/>
      <c r="D78" s="1813"/>
      <c r="E78" s="1813"/>
      <c r="F78" s="1813"/>
      <c r="G78" s="1813"/>
      <c r="H78" s="1813"/>
      <c r="I78" s="1813"/>
      <c r="J78" s="1813"/>
      <c r="K78" s="1813"/>
      <c r="L78" s="1813"/>
      <c r="M78" s="1813"/>
      <c r="N78" s="1813"/>
      <c r="O78" s="1813"/>
      <c r="P78" s="1813"/>
      <c r="Q78" s="1813"/>
      <c r="R78" s="1813"/>
      <c r="S78" s="1813"/>
      <c r="T78" s="1842"/>
      <c r="U78" s="1842"/>
      <c r="V78" s="1844">
        <f>+V21*0.9</f>
        <v>214.71209999999999</v>
      </c>
      <c r="W78" s="1842"/>
      <c r="X78" s="1844">
        <f>+X21*0.9</f>
        <v>223.03980000000001</v>
      </c>
      <c r="Y78" s="1842"/>
      <c r="Z78" s="1844">
        <f>+Z21*0.9</f>
        <v>404.49960000000004</v>
      </c>
      <c r="AA78" s="1842"/>
      <c r="AB78" s="1844">
        <f>+AB21*0.9</f>
        <v>357.05160000000001</v>
      </c>
      <c r="AC78" s="1842"/>
      <c r="AD78" s="1844">
        <f>+AD21*0.9</f>
        <v>419.55749999999995</v>
      </c>
      <c r="AE78" s="1842"/>
      <c r="AF78" s="1844">
        <f>+AF21*0.9</f>
        <v>386.21969999999999</v>
      </c>
      <c r="AG78" s="1842"/>
      <c r="AH78" s="1844">
        <f>+AH21*0.9</f>
        <v>437.63400000000001</v>
      </c>
      <c r="AI78" s="1842"/>
      <c r="AJ78" s="1844">
        <f>+AJ21*0.9</f>
        <v>340.2099</v>
      </c>
      <c r="AK78" s="1842"/>
      <c r="AL78" s="1844">
        <f>+AL21*0.9</f>
        <v>474.28829999999999</v>
      </c>
      <c r="AM78" s="1783"/>
      <c r="AN78" s="1844">
        <f>+AN21*0.9</f>
        <v>524.63880000000006</v>
      </c>
      <c r="AO78" s="1783"/>
      <c r="AP78" s="1844">
        <f>+AP21*0.9</f>
        <v>386.35379999999998</v>
      </c>
      <c r="AQ78" s="1783"/>
      <c r="AR78" s="1844">
        <f>+AR21*0.9</f>
        <v>636.42060000000004</v>
      </c>
      <c r="AS78" s="1783"/>
      <c r="AT78" s="1844"/>
      <c r="AU78" s="1783"/>
      <c r="AV78" s="1844"/>
      <c r="AW78" s="1783"/>
      <c r="AX78" s="1844"/>
      <c r="AY78" s="1783"/>
      <c r="AZ78" s="1844"/>
      <c r="BA78" s="1783"/>
      <c r="BB78" s="1844"/>
      <c r="BC78" s="1783"/>
      <c r="BD78" s="1844"/>
      <c r="BE78" s="1783"/>
      <c r="BF78" s="1844"/>
      <c r="BG78" s="1783"/>
      <c r="BH78" s="1844"/>
      <c r="BI78" s="1783"/>
      <c r="BJ78" s="1844"/>
      <c r="BK78" s="1844"/>
      <c r="BL78" s="1783"/>
      <c r="BM78" s="1844"/>
      <c r="BN78" s="1783"/>
      <c r="BO78" s="1844"/>
      <c r="BP78" s="1783"/>
      <c r="BQ78" s="1783"/>
      <c r="BR78" s="1783"/>
      <c r="BS78" s="1783"/>
    </row>
    <row r="79" spans="1:71" hidden="1" outlineLevel="1">
      <c r="A79" s="1847" t="s">
        <v>732</v>
      </c>
      <c r="B79" s="1843"/>
      <c r="C79" s="1843"/>
      <c r="D79" s="1813"/>
      <c r="E79" s="1813"/>
      <c r="F79" s="1813"/>
      <c r="G79" s="1813"/>
      <c r="H79" s="1813"/>
      <c r="I79" s="1813"/>
      <c r="J79" s="1813"/>
      <c r="K79" s="1813"/>
      <c r="L79" s="1813"/>
      <c r="M79" s="1813"/>
      <c r="N79" s="1813"/>
      <c r="O79" s="1813"/>
      <c r="P79" s="1813"/>
      <c r="Q79" s="1813"/>
      <c r="R79" s="1813"/>
      <c r="S79" s="1813"/>
      <c r="T79" s="1842"/>
      <c r="U79" s="1842"/>
      <c r="V79" s="1844">
        <f>+V21*0.1</f>
        <v>23.8569</v>
      </c>
      <c r="W79" s="1842"/>
      <c r="X79" s="1844">
        <f>+X21*0.1</f>
        <v>24.782200000000003</v>
      </c>
      <c r="Y79" s="1842"/>
      <c r="Z79" s="1844">
        <f>+Z21*0.1</f>
        <v>44.944400000000002</v>
      </c>
      <c r="AA79" s="1842"/>
      <c r="AB79" s="1844">
        <f>+AB21*0.1</f>
        <v>39.672400000000003</v>
      </c>
      <c r="AC79" s="1842"/>
      <c r="AD79" s="1844">
        <f>+AD21*0.1</f>
        <v>46.6175</v>
      </c>
      <c r="AE79" s="1842"/>
      <c r="AF79" s="1844">
        <f>+AF21*0.1</f>
        <v>42.9133</v>
      </c>
      <c r="AG79" s="1842"/>
      <c r="AH79" s="1844">
        <f>+AH21*0.1</f>
        <v>48.626000000000005</v>
      </c>
      <c r="AI79" s="1842"/>
      <c r="AJ79" s="1844">
        <f>+AJ21*0.1</f>
        <v>37.801100000000005</v>
      </c>
      <c r="AK79" s="1842"/>
      <c r="AL79" s="1844">
        <f>+AL21*0.1</f>
        <v>52.698700000000002</v>
      </c>
      <c r="AM79" s="1783"/>
      <c r="AN79" s="1844">
        <f>+AN21*0.1</f>
        <v>58.293200000000006</v>
      </c>
      <c r="AO79" s="1783"/>
      <c r="AP79" s="1844">
        <f>+AP21*0.1</f>
        <v>42.928200000000004</v>
      </c>
      <c r="AQ79" s="1783"/>
      <c r="AR79" s="1844">
        <f>+AR21*0.1</f>
        <v>70.713400000000007</v>
      </c>
      <c r="AS79" s="1783"/>
      <c r="AT79" s="1844"/>
      <c r="AU79" s="1783"/>
      <c r="AV79" s="1844"/>
      <c r="AW79" s="1783"/>
      <c r="AX79" s="1844"/>
      <c r="AY79" s="1783"/>
      <c r="AZ79" s="1844"/>
      <c r="BA79" s="1783"/>
      <c r="BB79" s="1844"/>
      <c r="BC79" s="1783"/>
      <c r="BD79" s="1844"/>
      <c r="BE79" s="1783"/>
      <c r="BF79" s="1844"/>
      <c r="BG79" s="1783"/>
      <c r="BH79" s="1844"/>
      <c r="BI79" s="1783"/>
      <c r="BJ79" s="1844"/>
      <c r="BK79" s="1844"/>
      <c r="BL79" s="1783"/>
      <c r="BM79" s="1844"/>
      <c r="BN79" s="1783"/>
      <c r="BO79" s="1844"/>
      <c r="BP79" s="1783"/>
      <c r="BQ79" s="1783"/>
      <c r="BR79" s="1783"/>
      <c r="BS79" s="1783"/>
    </row>
    <row r="80" spans="1:71" hidden="1" outlineLevel="1">
      <c r="A80" s="1847" t="s">
        <v>323</v>
      </c>
      <c r="B80" s="1843"/>
      <c r="C80" s="1843"/>
      <c r="D80" s="1813"/>
      <c r="E80" s="1813"/>
      <c r="F80" s="1813"/>
      <c r="G80" s="1813"/>
      <c r="H80" s="1813"/>
      <c r="I80" s="1813"/>
      <c r="J80" s="1813"/>
      <c r="K80" s="1813"/>
      <c r="L80" s="1813"/>
      <c r="M80" s="1813"/>
      <c r="N80" s="1813"/>
      <c r="O80" s="1813"/>
      <c r="P80" s="1813"/>
      <c r="Q80" s="1813"/>
      <c r="R80" s="1813"/>
      <c r="S80" s="1813"/>
      <c r="T80" s="1842"/>
      <c r="U80" s="1842"/>
      <c r="V80" s="1844"/>
      <c r="W80" s="1842"/>
      <c r="X80" s="1844"/>
      <c r="Y80" s="1842"/>
      <c r="Z80" s="1844"/>
      <c r="AA80" s="1842"/>
      <c r="AB80" s="1844"/>
      <c r="AC80" s="1842"/>
      <c r="AD80" s="1844"/>
      <c r="AE80" s="1842"/>
      <c r="AF80" s="1844">
        <f>AF15-AF34</f>
        <v>1079.8310000000006</v>
      </c>
      <c r="AG80" s="1842"/>
      <c r="AH80" s="1844">
        <f>AH15-AH34</f>
        <v>1158.0190000000016</v>
      </c>
      <c r="AI80" s="1842"/>
      <c r="AJ80" s="1844">
        <f>AJ15-AJ34</f>
        <v>1198.6650000000009</v>
      </c>
      <c r="AK80" s="1842"/>
      <c r="AL80" s="1844">
        <f>AL15-AL34</f>
        <v>1367.8629999999998</v>
      </c>
      <c r="AM80" s="1783"/>
      <c r="AN80" s="1844">
        <f>AN15-AN34</f>
        <v>1173.451</v>
      </c>
      <c r="AO80" s="1783"/>
      <c r="AP80" s="1844">
        <f>AP15-AP34</f>
        <v>2289.42</v>
      </c>
      <c r="AQ80" s="1783"/>
      <c r="AR80" s="1844">
        <f>AR15-AR34</f>
        <v>2004.5759499999999</v>
      </c>
      <c r="AS80" s="1783"/>
      <c r="AT80" s="1844"/>
      <c r="AU80" s="1783"/>
      <c r="AV80" s="1844"/>
      <c r="AW80" s="1783"/>
      <c r="AX80" s="1844"/>
      <c r="AY80" s="1783"/>
      <c r="AZ80" s="1844"/>
      <c r="BA80" s="1783"/>
      <c r="BB80" s="1844"/>
      <c r="BC80" s="1783"/>
      <c r="BD80" s="1844"/>
      <c r="BE80" s="1783"/>
      <c r="BF80" s="1844"/>
      <c r="BG80" s="1783"/>
      <c r="BH80" s="1844"/>
      <c r="BI80" s="1783"/>
      <c r="BJ80" s="1844"/>
      <c r="BK80" s="1844"/>
      <c r="BL80" s="1783"/>
      <c r="BM80" s="1844"/>
      <c r="BN80" s="1783"/>
      <c r="BO80" s="1844"/>
      <c r="BP80" s="1783"/>
      <c r="BQ80" s="1783"/>
      <c r="BR80" s="1783"/>
      <c r="BS80" s="1783"/>
    </row>
    <row r="81" spans="1:71" hidden="1" outlineLevel="1">
      <c r="A81" s="1847" t="s">
        <v>324</v>
      </c>
      <c r="B81" s="1843"/>
      <c r="C81" s="1843"/>
      <c r="D81" s="1813"/>
      <c r="E81" s="1813"/>
      <c r="F81" s="1813"/>
      <c r="G81" s="1813"/>
      <c r="H81" s="1813"/>
      <c r="I81" s="1813"/>
      <c r="J81" s="1813"/>
      <c r="K81" s="1813"/>
      <c r="L81" s="1813"/>
      <c r="M81" s="1813"/>
      <c r="N81" s="1813"/>
      <c r="O81" s="1813"/>
      <c r="P81" s="1813"/>
      <c r="Q81" s="1813"/>
      <c r="R81" s="1813"/>
      <c r="S81" s="1813"/>
      <c r="T81" s="1842"/>
      <c r="U81" s="1842"/>
      <c r="V81" s="1844"/>
      <c r="W81" s="1842"/>
      <c r="X81" s="1844"/>
      <c r="Y81" s="1842"/>
      <c r="Z81" s="1844"/>
      <c r="AA81" s="1842"/>
      <c r="AB81" s="1844"/>
      <c r="AC81" s="1842"/>
      <c r="AD81" s="1844"/>
      <c r="AE81" s="1842"/>
      <c r="AF81" s="1844">
        <f>AF56+AF58</f>
        <v>-586.94700000000012</v>
      </c>
      <c r="AG81" s="1844">
        <f t="shared" ref="AG81:AP81" si="1">AG56+AG58</f>
        <v>0</v>
      </c>
      <c r="AH81" s="1844">
        <f t="shared" si="1"/>
        <v>-503.053</v>
      </c>
      <c r="AI81" s="1844">
        <f t="shared" si="1"/>
        <v>0</v>
      </c>
      <c r="AJ81" s="1844">
        <f t="shared" si="1"/>
        <v>-420.97600000000006</v>
      </c>
      <c r="AK81" s="1844">
        <f t="shared" si="1"/>
        <v>0</v>
      </c>
      <c r="AL81" s="1844">
        <f t="shared" si="1"/>
        <v>-958.69199999999989</v>
      </c>
      <c r="AM81" s="1844">
        <f t="shared" si="1"/>
        <v>0</v>
      </c>
      <c r="AN81" s="1844">
        <f t="shared" si="1"/>
        <v>-773.32100000000003</v>
      </c>
      <c r="AO81" s="1844">
        <f t="shared" si="1"/>
        <v>0</v>
      </c>
      <c r="AP81" s="1844">
        <f t="shared" si="1"/>
        <v>-601.24799999999993</v>
      </c>
      <c r="AQ81" s="1844">
        <f>AQ56+AQ58</f>
        <v>0</v>
      </c>
      <c r="AR81" s="1844">
        <f>AR56+AR58</f>
        <v>-1252.0230000000001</v>
      </c>
      <c r="AS81" s="1844">
        <f>AS56+AS58</f>
        <v>0</v>
      </c>
      <c r="AT81" s="1844"/>
      <c r="AU81" s="1844">
        <f>AU56+AU58</f>
        <v>0</v>
      </c>
      <c r="AV81" s="1844"/>
      <c r="AW81" s="1844"/>
      <c r="AX81" s="1844"/>
      <c r="AY81" s="1844"/>
      <c r="AZ81" s="1844"/>
      <c r="BA81" s="1844"/>
      <c r="BB81" s="1844"/>
      <c r="BC81" s="1844"/>
      <c r="BD81" s="1844"/>
      <c r="BE81" s="1844"/>
      <c r="BF81" s="1844"/>
      <c r="BG81" s="1844"/>
      <c r="BH81" s="1844"/>
      <c r="BI81" s="1844"/>
      <c r="BJ81" s="1844"/>
      <c r="BK81" s="1844"/>
      <c r="BL81" s="1783"/>
      <c r="BM81" s="1844"/>
      <c r="BN81" s="1783"/>
      <c r="BO81" s="1844"/>
      <c r="BP81" s="1783"/>
      <c r="BQ81" s="1783"/>
      <c r="BR81" s="1783"/>
      <c r="BS81" s="1783"/>
    </row>
    <row r="82" spans="1:71" collapsed="1">
      <c r="A82" s="1783"/>
      <c r="B82" s="1783"/>
      <c r="C82" s="1813"/>
      <c r="D82" s="1813"/>
      <c r="E82" s="1813"/>
      <c r="F82" s="1813"/>
      <c r="G82" s="1813"/>
      <c r="H82" s="1813"/>
      <c r="I82" s="1813"/>
      <c r="J82" s="1813"/>
      <c r="K82" s="1813"/>
      <c r="L82" s="1813"/>
      <c r="M82" s="1813"/>
      <c r="N82" s="1813"/>
      <c r="O82" s="1813"/>
      <c r="P82" s="1813"/>
      <c r="Q82" s="1813"/>
      <c r="R82" s="1813"/>
      <c r="S82" s="1813"/>
      <c r="T82" s="1842"/>
      <c r="U82" s="1842"/>
      <c r="V82" s="1842"/>
      <c r="W82" s="1842"/>
      <c r="X82" s="1842"/>
      <c r="Y82" s="1842"/>
      <c r="Z82" s="1842"/>
      <c r="AA82" s="1842"/>
      <c r="AB82" s="1842"/>
      <c r="AC82" s="1842"/>
      <c r="AD82" s="1842"/>
      <c r="AE82" s="1842"/>
      <c r="AF82" s="1842"/>
      <c r="AG82" s="1842"/>
      <c r="AH82" s="1842"/>
      <c r="AI82" s="1842"/>
      <c r="AJ82" s="1842"/>
      <c r="AK82" s="1842"/>
      <c r="AL82" s="1842"/>
      <c r="AM82" s="1783"/>
      <c r="AN82" s="1842"/>
      <c r="AO82" s="1783"/>
      <c r="AP82" s="1842"/>
      <c r="AQ82" s="1783"/>
      <c r="AR82" s="1842"/>
      <c r="AS82" s="1783"/>
      <c r="AT82" s="1957"/>
      <c r="AU82" s="1783"/>
      <c r="AV82" s="1957"/>
      <c r="AW82" s="1783"/>
      <c r="AX82" s="1957"/>
      <c r="AY82" s="1783"/>
      <c r="AZ82" s="1957"/>
      <c r="BA82" s="1783"/>
      <c r="BB82" s="1842"/>
      <c r="BC82" s="1783"/>
      <c r="BD82" s="1842"/>
      <c r="BE82" s="1783"/>
      <c r="BF82" s="1842"/>
      <c r="BG82" s="1783"/>
      <c r="BH82" s="1842"/>
      <c r="BI82" s="1783"/>
      <c r="BJ82" s="1842"/>
      <c r="BK82" s="1842"/>
      <c r="BL82" s="1783"/>
      <c r="BM82" s="1842"/>
      <c r="BN82" s="1783"/>
      <c r="BO82" s="1842"/>
      <c r="BP82" s="1783"/>
      <c r="BQ82" s="1783"/>
      <c r="BR82" s="1783"/>
      <c r="BS82" s="1783"/>
    </row>
    <row r="83" spans="1:71">
      <c r="A83" s="1783"/>
      <c r="B83" s="1783"/>
      <c r="C83" s="1813"/>
      <c r="D83" s="1813"/>
      <c r="E83" s="1813"/>
      <c r="F83" s="1813"/>
      <c r="G83" s="1813"/>
      <c r="H83" s="1813"/>
      <c r="I83" s="1813"/>
      <c r="J83" s="1813"/>
      <c r="K83" s="1813"/>
      <c r="L83" s="1813"/>
      <c r="M83" s="1813"/>
      <c r="N83" s="1813"/>
      <c r="O83" s="1813"/>
      <c r="P83" s="1813"/>
      <c r="Q83" s="1813"/>
      <c r="R83" s="1813"/>
      <c r="S83" s="1813"/>
      <c r="T83" s="1813"/>
      <c r="U83" s="1813"/>
      <c r="V83" s="1813"/>
      <c r="W83" s="1813"/>
      <c r="X83" s="1813"/>
      <c r="Y83" s="1813"/>
      <c r="Z83" s="1813"/>
      <c r="AA83" s="1813"/>
      <c r="AB83" s="1813"/>
      <c r="AC83" s="1813"/>
      <c r="AD83" s="1813"/>
      <c r="AE83" s="1813"/>
      <c r="AF83" s="1813"/>
      <c r="AG83" s="1813"/>
      <c r="AH83" s="1813"/>
      <c r="AI83" s="1813"/>
      <c r="AJ83" s="1813"/>
      <c r="AK83" s="1813"/>
      <c r="AL83" s="1813"/>
      <c r="AM83" s="1783"/>
      <c r="AN83" s="1813"/>
      <c r="AO83" s="1783"/>
      <c r="AP83" s="1813"/>
      <c r="AQ83" s="1783"/>
      <c r="AR83" s="1813"/>
      <c r="AS83" s="1783"/>
      <c r="AT83" s="1813"/>
      <c r="AU83" s="1783"/>
      <c r="AV83" s="1813"/>
      <c r="AW83" s="1783"/>
      <c r="AX83" s="1813"/>
      <c r="AY83" s="1783"/>
      <c r="AZ83" s="1813"/>
      <c r="BA83" s="1783"/>
      <c r="BB83" s="1813"/>
      <c r="BC83" s="1783"/>
      <c r="BD83" s="1813"/>
      <c r="BE83" s="1783"/>
      <c r="BF83" s="1813"/>
      <c r="BG83" s="1783"/>
      <c r="BH83" s="1813"/>
      <c r="BI83" s="1783"/>
      <c r="BJ83" s="1813"/>
      <c r="BK83" s="1813"/>
      <c r="BL83" s="1783"/>
      <c r="BM83" s="1813"/>
      <c r="BN83" s="1783"/>
      <c r="BO83" s="1813"/>
      <c r="BP83" s="1783"/>
      <c r="BQ83" s="1783"/>
      <c r="BR83" s="1783"/>
      <c r="BS83" s="1783"/>
    </row>
    <row r="84" spans="1:71">
      <c r="A84" s="1783"/>
      <c r="B84" s="1783"/>
      <c r="C84" s="1813"/>
      <c r="D84" s="1813"/>
      <c r="E84" s="1813"/>
      <c r="F84" s="1813"/>
      <c r="G84" s="1813"/>
      <c r="H84" s="1813"/>
      <c r="I84" s="1813"/>
      <c r="J84" s="1813"/>
      <c r="K84" s="1813"/>
      <c r="L84" s="1813"/>
      <c r="M84" s="1813"/>
      <c r="N84" s="1813"/>
      <c r="O84" s="1813"/>
      <c r="P84" s="1813"/>
      <c r="Q84" s="1813"/>
      <c r="R84" s="1813"/>
      <c r="S84" s="1813"/>
      <c r="T84" s="1813"/>
      <c r="U84" s="1813"/>
      <c r="V84" s="1813"/>
      <c r="W84" s="1813"/>
      <c r="X84" s="1813"/>
      <c r="Y84" s="1813"/>
      <c r="Z84" s="1813"/>
      <c r="AA84" s="1813"/>
      <c r="AB84" s="1813"/>
      <c r="AC84" s="1813"/>
      <c r="AD84" s="1813"/>
      <c r="AE84" s="1813"/>
      <c r="AF84" s="1813"/>
      <c r="AG84" s="1813"/>
      <c r="AH84" s="1813"/>
      <c r="AI84" s="1813"/>
      <c r="AJ84" s="1813"/>
      <c r="AK84" s="1813"/>
      <c r="AL84" s="1813"/>
      <c r="AM84" s="1783"/>
      <c r="AN84" s="1813"/>
      <c r="AO84" s="1783"/>
      <c r="AP84" s="1813"/>
      <c r="AQ84" s="1783"/>
      <c r="AR84" s="1813"/>
      <c r="AS84" s="1783"/>
      <c r="AT84" s="1813"/>
      <c r="AU84" s="1783"/>
      <c r="AV84" s="1813"/>
      <c r="AW84" s="1783"/>
      <c r="AX84" s="1813"/>
      <c r="AY84" s="1783"/>
      <c r="AZ84" s="1813"/>
      <c r="BA84" s="1783"/>
      <c r="BB84" s="1813"/>
      <c r="BC84" s="1783"/>
      <c r="BD84" s="1813"/>
      <c r="BE84" s="1783"/>
      <c r="BF84" s="1813"/>
      <c r="BG84" s="1783"/>
      <c r="BH84" s="1813"/>
      <c r="BI84" s="1783"/>
      <c r="BJ84" s="1813"/>
      <c r="BK84" s="1813"/>
      <c r="BL84" s="1783"/>
      <c r="BM84" s="1813"/>
      <c r="BN84" s="1783"/>
      <c r="BO84" s="1813"/>
      <c r="BP84" s="1783"/>
      <c r="BQ84" s="1783"/>
      <c r="BR84" s="1783"/>
      <c r="BS84" s="1783"/>
    </row>
    <row r="85" spans="1:71">
      <c r="A85" s="1783"/>
      <c r="B85" s="1783"/>
      <c r="C85" s="1813"/>
      <c r="D85" s="1813"/>
      <c r="E85" s="1813"/>
      <c r="F85" s="1813"/>
      <c r="G85" s="1813"/>
      <c r="H85" s="1813"/>
      <c r="I85" s="1813"/>
      <c r="J85" s="1813"/>
      <c r="K85" s="1813"/>
      <c r="L85" s="1813"/>
      <c r="M85" s="1813"/>
      <c r="N85" s="1813"/>
      <c r="O85" s="1813"/>
      <c r="P85" s="1813"/>
      <c r="Q85" s="1813"/>
      <c r="R85" s="1813"/>
      <c r="S85" s="1813"/>
      <c r="T85" s="1813"/>
      <c r="U85" s="1813"/>
      <c r="V85" s="1813"/>
      <c r="W85" s="1813"/>
      <c r="X85" s="1813"/>
      <c r="Y85" s="1813"/>
      <c r="Z85" s="1813"/>
      <c r="AA85" s="1813"/>
      <c r="AB85" s="1813"/>
      <c r="AC85" s="1813"/>
      <c r="AD85" s="1813"/>
      <c r="AE85" s="1813"/>
      <c r="AF85" s="1813"/>
      <c r="AG85" s="1813"/>
      <c r="AH85" s="1813"/>
      <c r="AI85" s="1813"/>
      <c r="AJ85" s="1813"/>
      <c r="AK85" s="1813"/>
      <c r="AL85" s="1813"/>
      <c r="AM85" s="1783"/>
      <c r="AN85" s="1813"/>
      <c r="AO85" s="1783"/>
      <c r="AP85" s="1813"/>
      <c r="AQ85" s="1783"/>
      <c r="AR85" s="1813"/>
      <c r="AS85" s="1783"/>
      <c r="AT85" s="1813"/>
      <c r="AU85" s="1783"/>
      <c r="AV85" s="1813"/>
      <c r="AW85" s="1783"/>
      <c r="AX85" s="1813"/>
      <c r="AY85" s="1783"/>
      <c r="AZ85" s="1813"/>
      <c r="BA85" s="1783"/>
      <c r="BB85" s="1813"/>
      <c r="BC85" s="1783"/>
      <c r="BD85" s="1813"/>
      <c r="BE85" s="1783"/>
      <c r="BF85" s="1813"/>
      <c r="BG85" s="1783"/>
      <c r="BH85" s="1813"/>
      <c r="BI85" s="1783"/>
      <c r="BJ85" s="1813"/>
      <c r="BK85" s="1813"/>
      <c r="BL85" s="1783"/>
      <c r="BM85" s="1813"/>
      <c r="BN85" s="1783"/>
      <c r="BO85" s="1813"/>
      <c r="BP85" s="1783"/>
      <c r="BQ85" s="1783"/>
      <c r="BR85" s="1783"/>
      <c r="BS85" s="1783"/>
    </row>
    <row r="86" spans="1:71">
      <c r="A86" s="1783"/>
      <c r="B86" s="1783"/>
      <c r="C86" s="1783"/>
      <c r="D86" s="1783"/>
      <c r="E86" s="1783"/>
      <c r="F86" s="1783"/>
      <c r="G86" s="1783"/>
      <c r="H86" s="1783"/>
      <c r="I86" s="1783"/>
      <c r="J86" s="1783"/>
      <c r="K86" s="1783"/>
      <c r="L86" s="1783"/>
      <c r="M86" s="1783"/>
      <c r="N86" s="1783"/>
      <c r="O86" s="1783"/>
      <c r="P86" s="1783"/>
      <c r="Q86" s="1783"/>
      <c r="R86" s="1783"/>
      <c r="S86" s="1783"/>
      <c r="T86" s="1783"/>
      <c r="U86" s="1783"/>
      <c r="V86" s="1783"/>
      <c r="W86" s="1783"/>
      <c r="X86" s="1783"/>
      <c r="Y86" s="1783"/>
      <c r="Z86" s="1783"/>
      <c r="AA86" s="1783"/>
      <c r="AB86" s="1783"/>
      <c r="AC86" s="1783"/>
      <c r="AD86" s="1783"/>
      <c r="AE86" s="1783"/>
      <c r="AF86" s="1783"/>
      <c r="AG86" s="1783"/>
      <c r="AH86" s="1783"/>
      <c r="AI86" s="1783"/>
      <c r="AJ86" s="1783"/>
      <c r="AK86" s="1783"/>
      <c r="AL86" s="1783"/>
      <c r="AM86" s="1783"/>
      <c r="AN86" s="1783"/>
      <c r="AO86" s="1783"/>
      <c r="AP86" s="1783"/>
      <c r="AQ86" s="1783"/>
      <c r="AR86" s="1783"/>
      <c r="AS86" s="1783"/>
      <c r="AT86" s="1783"/>
      <c r="AU86" s="1783"/>
      <c r="AV86" s="1783"/>
      <c r="AW86" s="1783"/>
      <c r="AX86" s="1783"/>
      <c r="AY86" s="1783"/>
      <c r="AZ86" s="1783"/>
      <c r="BA86" s="1783"/>
      <c r="BB86" s="1783"/>
      <c r="BC86" s="1783"/>
      <c r="BD86" s="1783"/>
      <c r="BE86" s="1783"/>
      <c r="BF86" s="1783"/>
      <c r="BG86" s="1783"/>
      <c r="BH86" s="1783"/>
      <c r="BI86" s="1783"/>
      <c r="BJ86" s="1783"/>
      <c r="BK86" s="1783"/>
      <c r="BL86" s="1783"/>
      <c r="BM86" s="1783"/>
      <c r="BN86" s="1783"/>
      <c r="BO86" s="1783"/>
      <c r="BP86" s="1783"/>
      <c r="BQ86" s="1783"/>
      <c r="BR86" s="1783"/>
      <c r="BS86" s="1783"/>
    </row>
    <row r="87" spans="1:71">
      <c r="A87" s="1783"/>
      <c r="B87" s="1783"/>
      <c r="C87" s="1783"/>
      <c r="D87" s="1783"/>
      <c r="E87" s="1783"/>
      <c r="F87" s="1783"/>
      <c r="G87" s="1783"/>
      <c r="H87" s="1783"/>
      <c r="I87" s="1783"/>
      <c r="J87" s="1783"/>
      <c r="K87" s="1783"/>
      <c r="L87" s="1783"/>
      <c r="M87" s="1783"/>
      <c r="N87" s="1783"/>
      <c r="O87" s="1783"/>
      <c r="P87" s="1783"/>
      <c r="Q87" s="1783"/>
      <c r="R87" s="1783"/>
      <c r="S87" s="1783"/>
      <c r="T87" s="1783"/>
      <c r="U87" s="1783"/>
      <c r="V87" s="1783"/>
      <c r="W87" s="1783"/>
      <c r="X87" s="1783"/>
      <c r="Y87" s="1783"/>
      <c r="Z87" s="1783"/>
      <c r="AA87" s="1783"/>
      <c r="AB87" s="1783"/>
      <c r="AC87" s="1783"/>
      <c r="AD87" s="1783"/>
      <c r="AE87" s="1783"/>
      <c r="AF87" s="1783"/>
      <c r="AG87" s="1783"/>
      <c r="AH87" s="1783"/>
      <c r="AI87" s="1783"/>
      <c r="AJ87" s="1783"/>
      <c r="AK87" s="1783"/>
      <c r="AL87" s="1783"/>
      <c r="AM87" s="1783"/>
      <c r="AN87" s="1783"/>
      <c r="AO87" s="1783"/>
      <c r="AP87" s="1783"/>
      <c r="AQ87" s="1783"/>
      <c r="AR87" s="1783"/>
      <c r="AS87" s="1783"/>
      <c r="AT87" s="1783"/>
      <c r="AU87" s="1783"/>
      <c r="AV87" s="1783"/>
      <c r="AW87" s="1783"/>
      <c r="AX87" s="1783"/>
      <c r="AY87" s="1783"/>
      <c r="AZ87" s="1783"/>
      <c r="BA87" s="1783"/>
      <c r="BB87" s="1783"/>
      <c r="BC87" s="1783"/>
      <c r="BD87" s="1783"/>
      <c r="BE87" s="1783"/>
      <c r="BF87" s="1783"/>
      <c r="BG87" s="1783"/>
      <c r="BH87" s="1783"/>
      <c r="BI87" s="1783"/>
      <c r="BJ87" s="1783"/>
      <c r="BK87" s="1783"/>
      <c r="BL87" s="1783"/>
      <c r="BM87" s="1783"/>
      <c r="BN87" s="1783"/>
      <c r="BO87" s="1783"/>
      <c r="BP87" s="1783"/>
      <c r="BQ87" s="1783"/>
      <c r="BR87" s="1783"/>
      <c r="BS87" s="1783"/>
    </row>
    <row r="88" spans="1:71">
      <c r="A88" s="1783"/>
      <c r="B88" s="1783"/>
      <c r="C88" s="1783"/>
      <c r="D88" s="1783"/>
      <c r="E88" s="1783"/>
      <c r="F88" s="1783"/>
      <c r="G88" s="1783"/>
      <c r="H88" s="1783"/>
      <c r="I88" s="1783"/>
      <c r="J88" s="1783"/>
      <c r="K88" s="1783"/>
      <c r="L88" s="1783"/>
      <c r="M88" s="1783"/>
      <c r="N88" s="1783"/>
      <c r="O88" s="1783"/>
      <c r="P88" s="1783"/>
      <c r="Q88" s="1783"/>
      <c r="R88" s="1783"/>
      <c r="S88" s="1783"/>
      <c r="T88" s="1783"/>
      <c r="U88" s="1783"/>
      <c r="V88" s="1783"/>
      <c r="W88" s="1783"/>
      <c r="X88" s="1783"/>
      <c r="Y88" s="1783"/>
      <c r="Z88" s="1783"/>
      <c r="AA88" s="1783"/>
      <c r="AB88" s="1783"/>
      <c r="AC88" s="1783"/>
      <c r="AD88" s="1783"/>
      <c r="AE88" s="1783"/>
      <c r="AF88" s="1783"/>
      <c r="AG88" s="1783"/>
      <c r="AH88" s="1783"/>
      <c r="AI88" s="1783"/>
      <c r="AJ88" s="1783"/>
      <c r="AK88" s="1783"/>
      <c r="AL88" s="1783"/>
      <c r="AM88" s="1783"/>
      <c r="AN88" s="1783"/>
      <c r="AO88" s="1783"/>
      <c r="AP88" s="1783"/>
      <c r="AQ88" s="1783"/>
      <c r="AR88" s="1783"/>
      <c r="AS88" s="1783"/>
      <c r="AT88" s="1783"/>
      <c r="AU88" s="1783"/>
      <c r="AV88" s="1783"/>
      <c r="AW88" s="1783"/>
      <c r="AX88" s="1783"/>
      <c r="AY88" s="1783"/>
      <c r="AZ88" s="1783"/>
      <c r="BA88" s="1783"/>
      <c r="BB88" s="1783"/>
      <c r="BC88" s="1783"/>
      <c r="BD88" s="1783"/>
      <c r="BE88" s="1783"/>
      <c r="BF88" s="1783"/>
      <c r="BG88" s="1783"/>
      <c r="BH88" s="1783"/>
      <c r="BI88" s="1783"/>
      <c r="BJ88" s="1783"/>
      <c r="BK88" s="1783"/>
      <c r="BL88" s="1783"/>
      <c r="BM88" s="1783"/>
      <c r="BN88" s="1783"/>
      <c r="BO88" s="1783"/>
      <c r="BP88" s="1783"/>
      <c r="BQ88" s="1783"/>
      <c r="BR88" s="1783"/>
      <c r="BS88" s="1783"/>
    </row>
    <row r="89" spans="1:71">
      <c r="A89" s="1783"/>
      <c r="B89" s="1783"/>
      <c r="C89" s="1783"/>
      <c r="D89" s="1783"/>
      <c r="E89" s="1783"/>
      <c r="F89" s="1783"/>
      <c r="G89" s="1783"/>
      <c r="H89" s="1783"/>
      <c r="I89" s="1783"/>
      <c r="J89" s="1783"/>
      <c r="K89" s="1783"/>
      <c r="L89" s="1783"/>
      <c r="M89" s="1783"/>
      <c r="N89" s="1783"/>
      <c r="O89" s="1783"/>
      <c r="P89" s="1783"/>
      <c r="Q89" s="1783"/>
      <c r="R89" s="1783"/>
      <c r="S89" s="1783"/>
      <c r="T89" s="1783"/>
      <c r="U89" s="1783"/>
      <c r="V89" s="1783"/>
      <c r="W89" s="1783"/>
      <c r="X89" s="1783"/>
      <c r="Y89" s="1783"/>
      <c r="Z89" s="1783"/>
      <c r="AA89" s="1783"/>
      <c r="AB89" s="1783"/>
      <c r="AC89" s="1783"/>
      <c r="AD89" s="1783"/>
      <c r="AE89" s="1783"/>
      <c r="AF89" s="1783"/>
      <c r="AG89" s="1783"/>
      <c r="AH89" s="1783"/>
      <c r="AI89" s="1783"/>
      <c r="AJ89" s="1783"/>
      <c r="AK89" s="1783"/>
      <c r="AL89" s="1783"/>
      <c r="AM89" s="1783"/>
      <c r="AN89" s="1783"/>
      <c r="AO89" s="1783"/>
      <c r="AP89" s="1783"/>
      <c r="AQ89" s="1783"/>
      <c r="AR89" s="1783"/>
      <c r="AS89" s="1783"/>
      <c r="AT89" s="1783"/>
      <c r="AU89" s="1783"/>
      <c r="AV89" s="1783"/>
      <c r="AW89" s="1783"/>
      <c r="AX89" s="1783"/>
      <c r="AY89" s="1783"/>
      <c r="AZ89" s="1783"/>
      <c r="BA89" s="1783"/>
      <c r="BB89" s="1783"/>
      <c r="BC89" s="1783"/>
      <c r="BD89" s="1783"/>
      <c r="BE89" s="1783"/>
      <c r="BF89" s="1783"/>
      <c r="BG89" s="1783"/>
      <c r="BH89" s="1783"/>
      <c r="BI89" s="1783"/>
      <c r="BJ89" s="1783"/>
      <c r="BK89" s="1783"/>
      <c r="BL89" s="1783"/>
      <c r="BM89" s="1783"/>
      <c r="BN89" s="1783"/>
      <c r="BO89" s="1783"/>
      <c r="BP89" s="1783"/>
      <c r="BQ89" s="1783"/>
      <c r="BR89" s="1783"/>
      <c r="BS89" s="1783"/>
    </row>
    <row r="90" spans="1:71">
      <c r="A90" s="1783"/>
      <c r="B90" s="1783"/>
      <c r="C90" s="1783"/>
      <c r="D90" s="1783"/>
      <c r="E90" s="1783"/>
      <c r="F90" s="1783"/>
      <c r="G90" s="1783"/>
      <c r="H90" s="1783"/>
      <c r="I90" s="1783"/>
      <c r="J90" s="1783"/>
      <c r="K90" s="1783"/>
      <c r="L90" s="1783"/>
      <c r="M90" s="1783"/>
      <c r="N90" s="1783"/>
      <c r="O90" s="1783"/>
      <c r="P90" s="1783"/>
      <c r="Q90" s="1783"/>
      <c r="R90" s="1783"/>
      <c r="S90" s="1783"/>
      <c r="T90" s="1783"/>
      <c r="U90" s="1783"/>
      <c r="V90" s="1783"/>
      <c r="W90" s="1783"/>
      <c r="X90" s="1783"/>
      <c r="Y90" s="1783"/>
      <c r="Z90" s="1783"/>
      <c r="AA90" s="1783"/>
      <c r="AB90" s="1783"/>
      <c r="AC90" s="1783"/>
      <c r="AD90" s="1783"/>
      <c r="AE90" s="1783"/>
      <c r="AF90" s="1783"/>
      <c r="AG90" s="1783"/>
      <c r="AH90" s="1783"/>
      <c r="AI90" s="1783"/>
      <c r="AJ90" s="1783"/>
      <c r="AK90" s="1783"/>
      <c r="AL90" s="1783"/>
      <c r="AM90" s="1783"/>
      <c r="AN90" s="1783"/>
      <c r="AO90" s="1783"/>
      <c r="AP90" s="1783"/>
      <c r="AQ90" s="1783"/>
      <c r="AR90" s="1783"/>
      <c r="AS90" s="1783"/>
      <c r="AT90" s="1783"/>
      <c r="AU90" s="1783"/>
      <c r="AV90" s="1783"/>
      <c r="AW90" s="1783"/>
      <c r="AX90" s="1783"/>
      <c r="AY90" s="1783"/>
      <c r="AZ90" s="1783"/>
      <c r="BA90" s="1783"/>
      <c r="BB90" s="1783"/>
      <c r="BC90" s="1783"/>
      <c r="BD90" s="1783"/>
      <c r="BE90" s="1783"/>
      <c r="BF90" s="1783"/>
      <c r="BG90" s="1783"/>
      <c r="BH90" s="1783"/>
      <c r="BI90" s="1783"/>
      <c r="BJ90" s="1783"/>
      <c r="BK90" s="1783"/>
      <c r="BL90" s="1783"/>
      <c r="BM90" s="1783"/>
      <c r="BN90" s="1783"/>
      <c r="BO90" s="1783"/>
      <c r="BP90" s="1783"/>
      <c r="BQ90" s="1783"/>
      <c r="BR90" s="1783"/>
      <c r="BS90" s="1783"/>
    </row>
    <row r="91" spans="1:71" customFormat="1"/>
  </sheetData>
  <phoneticPr fontId="0" type="noConversion"/>
  <dataValidations disablePrompts="1" count="1">
    <dataValidation type="custom" allowBlank="1" showInputMessage="1" showErrorMessage="1" sqref="A72:A81 AN72:BI72 B72:AL72">
      <formula1>-1</formula1>
    </dataValidation>
  </dataValidations>
  <printOptions horizontalCentered="1"/>
  <pageMargins left="0" right="0" top="0" bottom="0" header="0" footer="0"/>
  <pageSetup paperSize="5" scale="78" orientation="landscape"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dimension ref="A1:B1"/>
  <sheetViews>
    <sheetView workbookViewId="0"/>
  </sheetViews>
  <sheetFormatPr defaultRowHeight="12.75"/>
  <sheetData>
    <row r="1" spans="1:2">
      <c r="B1" t="s">
        <v>700</v>
      </c>
    </row>
  </sheetData>
  <phoneticPr fontId="56" type="noConversion"/>
  <pageMargins left="0.75" right="0.75" top="1" bottom="1" header="0.5" footer="0.5"/>
  <pageSetup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BH68"/>
  <sheetViews>
    <sheetView workbookViewId="0">
      <selection activeCell="BF70" sqref="BF70"/>
    </sheetView>
  </sheetViews>
  <sheetFormatPr defaultRowHeight="12.75" outlineLevelCol="1"/>
  <cols>
    <col min="1" max="1" width="4.28515625" customWidth="1"/>
    <col min="2" max="2" width="7" customWidth="1"/>
    <col min="3" max="3" width="1.7109375" customWidth="1"/>
    <col min="4" max="4" width="11.85546875" hidden="1" customWidth="1" outlineLevel="1"/>
    <col min="5" max="5" width="1.7109375" hidden="1" customWidth="1" outlineLevel="1"/>
    <col min="6" max="6" width="11.85546875" hidden="1" customWidth="1" outlineLevel="1"/>
    <col min="7" max="7" width="1.7109375" hidden="1" customWidth="1" outlineLevel="1"/>
    <col min="8" max="8" width="11.85546875" hidden="1" customWidth="1" outlineLevel="1"/>
    <col min="9" max="9" width="1.7109375" hidden="1" customWidth="1" outlineLevel="1"/>
    <col min="10" max="10" width="11.85546875" hidden="1" customWidth="1" outlineLevel="1"/>
    <col min="11" max="11" width="1.7109375" hidden="1" customWidth="1" outlineLevel="1"/>
    <col min="12" max="12" width="11.85546875" hidden="1" customWidth="1" outlineLevel="1"/>
    <col min="13" max="13" width="1.7109375" hidden="1" customWidth="1" outlineLevel="1"/>
    <col min="14" max="14" width="11.85546875" hidden="1" customWidth="1" outlineLevel="1"/>
    <col min="15" max="15" width="1.7109375" hidden="1" customWidth="1" outlineLevel="1"/>
    <col min="16" max="16" width="11.85546875" hidden="1" customWidth="1" outlineLevel="1"/>
    <col min="17" max="17" width="1.7109375" hidden="1" customWidth="1" outlineLevel="1"/>
    <col min="18" max="18" width="11.85546875" hidden="1" customWidth="1" outlineLevel="1"/>
    <col min="19" max="19" width="1.7109375" hidden="1" customWidth="1" outlineLevel="1"/>
    <col min="20" max="20" width="11.85546875" hidden="1" customWidth="1" outlineLevel="1"/>
    <col min="21" max="21" width="1.7109375" hidden="1" customWidth="1" outlineLevel="1"/>
    <col min="22" max="22" width="10.42578125" hidden="1" customWidth="1" outlineLevel="1" collapsed="1"/>
    <col min="23" max="23" width="1.7109375" hidden="1" customWidth="1" outlineLevel="1"/>
    <col min="24" max="24" width="10.42578125" hidden="1" customWidth="1" outlineLevel="1"/>
    <col min="25" max="25" width="1.7109375" hidden="1" customWidth="1" outlineLevel="1"/>
    <col min="26" max="26" width="10.42578125" hidden="1" customWidth="1" outlineLevel="1"/>
    <col min="27" max="27" width="1.7109375" hidden="1" customWidth="1" outlineLevel="1"/>
    <col min="28" max="28" width="10.42578125" hidden="1" customWidth="1" outlineLevel="1"/>
    <col min="29" max="29" width="1.7109375" hidden="1" customWidth="1" outlineLevel="1"/>
    <col min="30" max="30" width="10.42578125" hidden="1" customWidth="1" outlineLevel="1"/>
    <col min="31" max="31" width="1.7109375" hidden="1" customWidth="1" outlineLevel="1"/>
    <col min="32" max="32" width="10.42578125" hidden="1" customWidth="1" outlineLevel="1" collapsed="1"/>
    <col min="33" max="33" width="1.7109375" hidden="1" customWidth="1" outlineLevel="1"/>
    <col min="34" max="34" width="10.42578125" customWidth="1" collapsed="1"/>
    <col min="35" max="35" width="1.7109375" customWidth="1"/>
    <col min="36" max="36" width="10.42578125" customWidth="1"/>
    <col min="37" max="37" width="0.7109375" customWidth="1"/>
    <col min="38" max="38" width="10.42578125" customWidth="1"/>
    <col min="39" max="39" width="0.7109375" customWidth="1"/>
    <col min="40" max="40" width="10.42578125" customWidth="1"/>
    <col min="41" max="41" width="0.7109375" customWidth="1"/>
    <col min="42" max="42" width="10.42578125" customWidth="1"/>
    <col min="43" max="43" width="0.7109375" customWidth="1"/>
    <col min="44" max="44" width="10.42578125" customWidth="1"/>
    <col min="45" max="45" width="0.7109375" customWidth="1"/>
    <col min="46" max="46" width="10.42578125" customWidth="1"/>
    <col min="47" max="47" width="0.7109375" customWidth="1"/>
    <col min="48" max="48" width="10.42578125" customWidth="1"/>
    <col min="49" max="49" width="0.7109375" customWidth="1"/>
    <col min="50" max="50" width="10.42578125" customWidth="1"/>
    <col min="51" max="51" width="0.7109375" customWidth="1"/>
    <col min="52" max="52" width="10.42578125" customWidth="1"/>
    <col min="53" max="53" width="0.7109375" customWidth="1"/>
    <col min="54" max="54" width="10.42578125" customWidth="1"/>
    <col min="55" max="55" width="0.7109375" customWidth="1"/>
    <col min="56" max="56" width="10.42578125" customWidth="1"/>
    <col min="57" max="57" width="0.7109375" customWidth="1"/>
    <col min="58" max="58" width="10.42578125" customWidth="1"/>
    <col min="59" max="59" width="0.7109375" customWidth="1"/>
    <col min="60" max="60" width="10.42578125" customWidth="1"/>
  </cols>
  <sheetData>
    <row r="1" spans="1:60">
      <c r="A1" s="353" t="str">
        <f>sumry!A1</f>
        <v>TJX Companies</v>
      </c>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H1" s="5"/>
    </row>
    <row r="2" spans="1:60">
      <c r="A2" s="91" t="s">
        <v>316</v>
      </c>
      <c r="B2" s="67"/>
      <c r="C2" s="67"/>
      <c r="D2" s="67"/>
      <c r="E2" s="67"/>
      <c r="F2" s="67"/>
      <c r="G2" s="67"/>
      <c r="H2" s="67"/>
      <c r="I2" s="67"/>
      <c r="J2" s="67"/>
      <c r="K2" s="67"/>
      <c r="L2" s="67"/>
      <c r="M2" s="67"/>
      <c r="N2" s="67"/>
      <c r="O2" s="67"/>
      <c r="P2" s="67"/>
      <c r="Q2" s="67"/>
      <c r="R2" s="67"/>
      <c r="S2" s="67"/>
      <c r="T2" s="67"/>
      <c r="U2" s="67"/>
      <c r="V2" s="67"/>
      <c r="W2" s="67"/>
      <c r="X2" s="67"/>
      <c r="Y2" s="67"/>
      <c r="Z2" s="67"/>
      <c r="AA2" s="67"/>
      <c r="AB2" s="67"/>
      <c r="AC2" s="67"/>
      <c r="AD2" s="67"/>
      <c r="AE2" s="67"/>
      <c r="AF2" s="67"/>
      <c r="AG2" s="67"/>
      <c r="AH2" s="67"/>
      <c r="AI2" s="67"/>
      <c r="AJ2" s="67"/>
      <c r="AK2" s="67"/>
      <c r="AL2" s="67"/>
      <c r="AM2" s="67"/>
      <c r="AN2" s="67"/>
      <c r="AO2" s="67"/>
      <c r="AP2" s="67"/>
      <c r="AQ2" s="67"/>
      <c r="AR2" s="67"/>
      <c r="AS2" s="67"/>
      <c r="AT2" s="67"/>
      <c r="AU2" s="67"/>
      <c r="AV2" s="67"/>
      <c r="AW2" s="67"/>
      <c r="AX2" s="67"/>
      <c r="AY2" s="67"/>
      <c r="AZ2" s="67"/>
      <c r="BA2" s="67"/>
      <c r="BB2" s="67"/>
      <c r="BC2" s="67"/>
      <c r="BD2" s="67"/>
      <c r="BE2" s="67"/>
      <c r="BF2" s="67"/>
      <c r="BH2" s="67"/>
    </row>
    <row r="3" spans="1:60">
      <c r="A3" s="49" t="str">
        <f>bal!A3</f>
        <v>At January 31 of the following year</v>
      </c>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H3" s="6"/>
    </row>
    <row r="4" spans="1:60">
      <c r="A4" s="50" t="s">
        <v>573</v>
      </c>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6"/>
      <c r="AX4" s="6"/>
      <c r="AY4" s="6"/>
      <c r="AZ4" s="6"/>
      <c r="BA4" s="6"/>
      <c r="BB4" s="6"/>
      <c r="BC4" s="6"/>
      <c r="BD4" s="6"/>
      <c r="BE4" s="6"/>
      <c r="BF4" s="6"/>
      <c r="BH4" s="6"/>
    </row>
    <row r="5" spans="1:60">
      <c r="A5" s="6"/>
      <c r="B5" s="6"/>
      <c r="C5" s="6"/>
      <c r="D5" s="6"/>
      <c r="E5" s="6"/>
      <c r="F5" s="6"/>
      <c r="G5" s="6"/>
      <c r="H5" s="6"/>
      <c r="I5" s="6"/>
      <c r="J5" s="6"/>
      <c r="K5" s="6"/>
      <c r="L5" s="6"/>
      <c r="M5" s="6"/>
      <c r="N5" s="6"/>
      <c r="O5" s="6"/>
      <c r="P5" s="6"/>
      <c r="Q5" s="6"/>
      <c r="R5" s="6"/>
      <c r="S5" s="6"/>
      <c r="T5" s="117"/>
      <c r="U5" s="6"/>
      <c r="V5" s="6"/>
      <c r="W5" s="6"/>
      <c r="X5" s="6"/>
      <c r="Y5" s="6"/>
      <c r="Z5" s="6"/>
      <c r="AA5" s="6"/>
      <c r="AB5" s="6"/>
      <c r="AC5" s="6"/>
      <c r="AD5" s="6"/>
      <c r="AE5" s="6"/>
      <c r="AF5" s="6"/>
      <c r="AG5" s="6"/>
      <c r="AH5" s="6"/>
      <c r="AI5" s="6"/>
      <c r="AJ5" s="6"/>
      <c r="AK5" s="6"/>
      <c r="AL5" s="6"/>
      <c r="AM5" s="6"/>
      <c r="AN5" s="6"/>
      <c r="AO5" s="6"/>
      <c r="AP5" s="6"/>
      <c r="AQ5" s="6"/>
      <c r="AR5" s="6"/>
      <c r="AS5" s="6"/>
      <c r="AT5" s="6"/>
      <c r="AU5" s="6"/>
      <c r="AV5" s="6"/>
      <c r="AW5" s="6"/>
      <c r="AX5" s="6"/>
      <c r="AY5" s="6"/>
      <c r="AZ5" s="6"/>
      <c r="BA5" s="6"/>
      <c r="BB5" s="6"/>
      <c r="BC5" s="6"/>
      <c r="BD5" s="6"/>
      <c r="BE5" s="6"/>
      <c r="BF5" s="6"/>
      <c r="BH5" s="6"/>
    </row>
    <row r="6" spans="1:60">
      <c r="A6" s="6"/>
      <c r="B6" s="6"/>
      <c r="C6" s="6"/>
      <c r="D6" s="3">
        <v>1990</v>
      </c>
      <c r="E6" s="6"/>
      <c r="F6" s="3">
        <v>1991</v>
      </c>
      <c r="G6" s="6"/>
      <c r="H6" s="3">
        <v>1992</v>
      </c>
      <c r="I6" s="6"/>
      <c r="J6" s="3">
        <v>1993</v>
      </c>
      <c r="K6" s="6"/>
      <c r="L6" s="3">
        <v>1994</v>
      </c>
      <c r="M6" s="6"/>
      <c r="N6" s="3">
        <f>work!V7</f>
        <v>1995</v>
      </c>
      <c r="O6" s="6"/>
      <c r="P6" s="114">
        <f>work!Z7</f>
        <v>1996</v>
      </c>
      <c r="Q6" s="6"/>
      <c r="R6" s="3">
        <f>work!AD7</f>
        <v>1997</v>
      </c>
      <c r="S6" s="6"/>
      <c r="T6" s="3">
        <f>work!AH7</f>
        <v>1998</v>
      </c>
      <c r="U6" s="6"/>
      <c r="V6" s="3">
        <f>work!AL7</f>
        <v>1999</v>
      </c>
      <c r="W6" s="6"/>
      <c r="X6" s="3">
        <f>work!AP7</f>
        <v>2000</v>
      </c>
      <c r="Y6" s="6"/>
      <c r="Z6" s="3">
        <f>work!AT7</f>
        <v>2001</v>
      </c>
      <c r="AA6" s="6"/>
      <c r="AB6" s="3">
        <f>work!AX7</f>
        <v>2002</v>
      </c>
      <c r="AC6" s="6"/>
      <c r="AD6" s="3">
        <f>work!BB7</f>
        <v>2003</v>
      </c>
      <c r="AE6" s="6"/>
      <c r="AF6" s="3">
        <f>work!BF7</f>
        <v>2004</v>
      </c>
      <c r="AG6" s="6"/>
      <c r="AH6" s="3">
        <f>work!BJ7</f>
        <v>2005</v>
      </c>
      <c r="AI6" s="6"/>
      <c r="AJ6" s="3">
        <f>work!BN7</f>
        <v>2006</v>
      </c>
      <c r="AK6" s="6"/>
      <c r="AL6" s="3">
        <v>2007</v>
      </c>
      <c r="AM6" s="6"/>
      <c r="AN6" s="3">
        <v>2008</v>
      </c>
      <c r="AO6" s="6"/>
      <c r="AP6" s="3">
        <v>2009</v>
      </c>
      <c r="AQ6" s="6"/>
      <c r="AR6" s="3">
        <v>2010</v>
      </c>
      <c r="AS6" s="6"/>
      <c r="AT6" s="3">
        <v>2011</v>
      </c>
      <c r="AU6" s="6"/>
      <c r="AV6" s="3">
        <v>2012</v>
      </c>
      <c r="AW6" s="6"/>
      <c r="AX6" s="3">
        <v>2013</v>
      </c>
      <c r="AY6" s="6"/>
      <c r="AZ6" s="3">
        <v>2014</v>
      </c>
      <c r="BA6" s="6"/>
      <c r="BB6" s="3">
        <v>2015</v>
      </c>
      <c r="BC6" s="6"/>
      <c r="BD6" s="449">
        <v>2016</v>
      </c>
      <c r="BE6" s="6"/>
      <c r="BF6" s="1944">
        <v>2017</v>
      </c>
      <c r="BH6" s="2055">
        <v>2018</v>
      </c>
    </row>
    <row r="7" spans="1:60">
      <c r="A7" s="66"/>
      <c r="B7" s="6"/>
      <c r="C7" s="6"/>
      <c r="D7" s="81"/>
      <c r="E7" s="6"/>
      <c r="F7" s="81"/>
      <c r="G7" s="6"/>
      <c r="H7" s="81"/>
      <c r="I7" s="6"/>
      <c r="J7" s="81"/>
      <c r="K7" s="6"/>
      <c r="L7" s="81"/>
      <c r="M7" s="6"/>
      <c r="N7" s="81"/>
      <c r="O7" s="6"/>
      <c r="P7" s="81"/>
      <c r="Q7" s="6"/>
      <c r="R7" s="6"/>
      <c r="S7" s="77"/>
      <c r="T7" s="77"/>
      <c r="U7" s="78"/>
      <c r="V7" s="77" t="s">
        <v>320</v>
      </c>
      <c r="W7" s="77"/>
      <c r="X7" s="78"/>
      <c r="Y7" s="77"/>
      <c r="Z7" s="78"/>
      <c r="AA7" s="77"/>
      <c r="AB7" s="78"/>
      <c r="AC7" s="77"/>
      <c r="AD7" s="78"/>
      <c r="AE7" s="77"/>
      <c r="AF7" s="77" t="s">
        <v>320</v>
      </c>
      <c r="AG7" s="78"/>
      <c r="AH7" s="78"/>
      <c r="AI7" s="78"/>
      <c r="AJ7" s="78"/>
      <c r="AK7" s="78"/>
      <c r="AL7" s="77" t="s">
        <v>320</v>
      </c>
      <c r="AM7" s="78"/>
      <c r="AN7" s="78"/>
      <c r="AO7" s="78"/>
      <c r="AP7" s="78"/>
      <c r="AQ7" s="78"/>
      <c r="AR7" s="164"/>
      <c r="AS7" s="78"/>
      <c r="AT7" s="164"/>
      <c r="AU7" s="78"/>
      <c r="AV7" s="164"/>
      <c r="AW7" s="78"/>
      <c r="AX7" s="164"/>
      <c r="AY7" s="78"/>
      <c r="AZ7" s="164"/>
      <c r="BA7" s="78"/>
      <c r="BB7" s="164"/>
      <c r="BC7" s="78"/>
      <c r="BD7" s="164"/>
      <c r="BE7" s="78"/>
      <c r="BF7" s="164"/>
      <c r="BH7" s="164"/>
    </row>
    <row r="8" spans="1:60">
      <c r="A8" s="6" t="str">
        <f>work!A10</f>
        <v>1Q</v>
      </c>
      <c r="B8" s="6" t="str">
        <f>work!B10</f>
        <v>Apr</v>
      </c>
      <c r="C8" s="6"/>
      <c r="D8" s="69">
        <v>44.307000000000002</v>
      </c>
      <c r="E8" s="6"/>
      <c r="F8" s="69">
        <v>60.423999999999999</v>
      </c>
      <c r="G8" s="6"/>
      <c r="H8" s="69">
        <v>20.446999999999999</v>
      </c>
      <c r="I8" s="6"/>
      <c r="J8" s="69">
        <v>46.948999999999998</v>
      </c>
      <c r="K8" s="6"/>
      <c r="L8" s="69">
        <v>30.286999999999999</v>
      </c>
      <c r="M8" s="6"/>
      <c r="N8" s="69">
        <v>21.158999999999999</v>
      </c>
      <c r="O8" s="6"/>
      <c r="P8" s="69">
        <v>191.41300000000001</v>
      </c>
      <c r="Q8" s="6"/>
      <c r="R8" s="69">
        <v>397.12700000000001</v>
      </c>
      <c r="S8" s="6"/>
      <c r="T8" s="69">
        <v>327.39100000000002</v>
      </c>
      <c r="U8" s="6"/>
      <c r="V8" s="69">
        <v>309.36200000000002</v>
      </c>
      <c r="W8" s="6"/>
      <c r="X8" s="69">
        <v>236.00899999999999</v>
      </c>
      <c r="Y8" s="6"/>
      <c r="Z8" s="69">
        <v>304.68700000000001</v>
      </c>
      <c r="AA8" s="6"/>
      <c r="AB8" s="69">
        <v>516.85900000000004</v>
      </c>
      <c r="AC8" s="6"/>
      <c r="AD8" s="85">
        <v>171.452</v>
      </c>
      <c r="AE8" s="6"/>
      <c r="AF8" s="85">
        <v>241.51</v>
      </c>
      <c r="AG8" s="6"/>
      <c r="AH8" s="85">
        <v>177.8</v>
      </c>
      <c r="AI8" s="6"/>
      <c r="AJ8" s="85">
        <v>279.89999999999998</v>
      </c>
      <c r="AK8" s="61"/>
      <c r="AL8" s="85">
        <v>781.2</v>
      </c>
      <c r="AM8" s="61"/>
      <c r="AN8" s="85">
        <v>698.1</v>
      </c>
      <c r="AO8" s="61"/>
      <c r="AP8" s="85">
        <f>1012.5+56.7</f>
        <v>1069.2</v>
      </c>
      <c r="AQ8" s="61"/>
      <c r="AR8" s="163">
        <f>1833.3+126.1</f>
        <v>1959.3999999999999</v>
      </c>
      <c r="AS8" s="61"/>
      <c r="AT8" s="163">
        <f>1377.1+85.4</f>
        <v>1462.5</v>
      </c>
      <c r="AU8" s="61"/>
      <c r="AV8" s="163">
        <f>1563.7+174.9</f>
        <v>1738.6000000000001</v>
      </c>
      <c r="AW8" s="61"/>
      <c r="AX8" s="163">
        <f>1989.8+238</f>
        <v>2227.8000000000002</v>
      </c>
      <c r="AY8" s="61"/>
      <c r="AZ8" s="163">
        <f>2059.3+259.9</f>
        <v>2319.2000000000003</v>
      </c>
      <c r="BA8" s="61"/>
      <c r="BB8" s="163">
        <f>2260+328.8</f>
        <v>2588.8000000000002</v>
      </c>
      <c r="BC8" s="61"/>
      <c r="BD8" s="163">
        <f>1944.2+403.7</f>
        <v>2347.9</v>
      </c>
      <c r="BE8" s="61"/>
      <c r="BF8" s="163">
        <f>2669.5+1944.2</f>
        <v>4613.7</v>
      </c>
      <c r="BH8" s="163"/>
    </row>
    <row r="9" spans="1:60">
      <c r="A9" s="6" t="str">
        <f>work!A11</f>
        <v>2Q</v>
      </c>
      <c r="B9" s="6" t="str">
        <f>work!B11</f>
        <v>Jul</v>
      </c>
      <c r="C9" s="6"/>
      <c r="D9" s="83">
        <v>27.001999999999999</v>
      </c>
      <c r="E9" s="6"/>
      <c r="F9" s="83">
        <v>27.215</v>
      </c>
      <c r="G9" s="6"/>
      <c r="H9" s="83">
        <v>22.073</v>
      </c>
      <c r="I9" s="6"/>
      <c r="J9" s="83">
        <v>17.792000000000002</v>
      </c>
      <c r="K9" s="6"/>
      <c r="L9" s="83">
        <v>20.605</v>
      </c>
      <c r="M9" s="6"/>
      <c r="N9" s="83">
        <v>19.751999999999999</v>
      </c>
      <c r="O9" s="6"/>
      <c r="P9" s="83">
        <v>245.34200000000001</v>
      </c>
      <c r="Q9" s="6"/>
      <c r="R9" s="83">
        <v>138.21199999999999</v>
      </c>
      <c r="S9" s="6"/>
      <c r="T9" s="83">
        <v>58.017000000000003</v>
      </c>
      <c r="U9" s="6"/>
      <c r="V9" s="83">
        <v>47.186999999999998</v>
      </c>
      <c r="W9" s="6"/>
      <c r="X9" s="83">
        <v>39.4</v>
      </c>
      <c r="Y9" s="6"/>
      <c r="Z9" s="83">
        <v>138.61699999999999</v>
      </c>
      <c r="AA9" s="6"/>
      <c r="AB9" s="83">
        <v>292.64400000000001</v>
      </c>
      <c r="AC9" s="6"/>
      <c r="AD9" s="82">
        <v>44.008000000000003</v>
      </c>
      <c r="AE9" s="6"/>
      <c r="AF9" s="82">
        <v>135.6</v>
      </c>
      <c r="AG9" s="6"/>
      <c r="AH9" s="82">
        <v>181.68899999999999</v>
      </c>
      <c r="AI9" s="6"/>
      <c r="AJ9" s="82">
        <v>272.71699999999998</v>
      </c>
      <c r="AK9" s="6"/>
      <c r="AL9" s="82">
        <v>533.79999999999995</v>
      </c>
      <c r="AM9" s="6"/>
      <c r="AN9" s="82">
        <v>517.5</v>
      </c>
      <c r="AO9" s="6"/>
      <c r="AP9" s="82">
        <v>1426.9</v>
      </c>
      <c r="AQ9" s="6"/>
      <c r="AR9" s="130">
        <v>1380.2</v>
      </c>
      <c r="AS9" s="6"/>
      <c r="AT9" s="130">
        <v>977.8</v>
      </c>
      <c r="AU9" s="6"/>
      <c r="AV9" s="130">
        <v>1620.4</v>
      </c>
      <c r="AW9" s="6"/>
      <c r="AX9" s="130">
        <v>1858.8</v>
      </c>
      <c r="AY9" s="6"/>
      <c r="AZ9" s="130">
        <f>2183.3+285</f>
        <v>2468.3000000000002</v>
      </c>
      <c r="BA9" s="6"/>
      <c r="BB9" s="130">
        <f>1910.8+327.5</f>
        <v>2238.3000000000002</v>
      </c>
      <c r="BC9" s="6"/>
      <c r="BD9" s="130">
        <f>1803.6+421.2</f>
        <v>2224.7999999999997</v>
      </c>
      <c r="BE9" s="6"/>
      <c r="BF9" s="130">
        <f>2449.3+502.8</f>
        <v>2952.1000000000004</v>
      </c>
      <c r="BH9" s="130"/>
    </row>
    <row r="10" spans="1:60">
      <c r="A10" s="6" t="str">
        <f>work!A12</f>
        <v>3Q</v>
      </c>
      <c r="B10" s="6" t="str">
        <f>work!B12</f>
        <v>Oct</v>
      </c>
      <c r="C10" s="6"/>
      <c r="D10" s="83">
        <v>43.4</v>
      </c>
      <c r="E10" s="6"/>
      <c r="F10" s="83">
        <v>31.786999999999999</v>
      </c>
      <c r="G10" s="6"/>
      <c r="H10" s="83">
        <v>25.54</v>
      </c>
      <c r="I10" s="6"/>
      <c r="J10" s="83">
        <v>47.183999999999997</v>
      </c>
      <c r="K10" s="6"/>
      <c r="L10" s="83">
        <v>26.247</v>
      </c>
      <c r="M10" s="6"/>
      <c r="N10" s="83">
        <v>26.902000000000001</v>
      </c>
      <c r="O10" s="6"/>
      <c r="P10" s="83">
        <v>236.035</v>
      </c>
      <c r="Q10" s="6"/>
      <c r="R10" s="83">
        <v>143.602</v>
      </c>
      <c r="S10" s="6"/>
      <c r="T10" s="83">
        <v>155.691</v>
      </c>
      <c r="U10" s="6"/>
      <c r="V10" s="83">
        <v>24.561</v>
      </c>
      <c r="W10" s="6"/>
      <c r="X10" s="83">
        <v>55.481000000000002</v>
      </c>
      <c r="Y10" s="6"/>
      <c r="Z10" s="83">
        <v>76.087999999999994</v>
      </c>
      <c r="AA10" s="6"/>
      <c r="AB10" s="83">
        <v>151.93899999999999</v>
      </c>
      <c r="AC10" s="26"/>
      <c r="AD10" s="82">
        <v>87.6</v>
      </c>
      <c r="AE10" s="26"/>
      <c r="AF10" s="82">
        <v>143.4</v>
      </c>
      <c r="AG10" s="61"/>
      <c r="AH10" s="82">
        <v>201</v>
      </c>
      <c r="AI10" s="61"/>
      <c r="AJ10" s="82">
        <v>341.6</v>
      </c>
      <c r="AK10" s="6"/>
      <c r="AL10" s="82">
        <v>388.1</v>
      </c>
      <c r="AM10" s="6"/>
      <c r="AN10" s="82">
        <v>387.4</v>
      </c>
      <c r="AO10" s="6"/>
      <c r="AP10" s="82">
        <v>1445.6</v>
      </c>
      <c r="AQ10" s="6"/>
      <c r="AR10" s="82">
        <v>1339.1</v>
      </c>
      <c r="AS10" s="6"/>
      <c r="AT10" s="82">
        <v>956.9</v>
      </c>
      <c r="AU10" s="6"/>
      <c r="AV10" s="82">
        <v>1641.9</v>
      </c>
      <c r="AW10" s="6"/>
      <c r="AX10" s="82">
        <v>2010.8</v>
      </c>
      <c r="AY10" s="6"/>
      <c r="AZ10" s="82">
        <v>2153.6</v>
      </c>
      <c r="BA10" s="6"/>
      <c r="BB10" s="82">
        <f>1723.3+399.7</f>
        <v>2123</v>
      </c>
      <c r="BC10" s="6"/>
      <c r="BD10" s="82">
        <f>2375.5+450.8</f>
        <v>2826.3</v>
      </c>
      <c r="BE10" s="6"/>
      <c r="BF10" s="82">
        <f>2364.2+511.6</f>
        <v>2875.7999999999997</v>
      </c>
      <c r="BH10" s="82"/>
    </row>
    <row r="11" spans="1:60">
      <c r="A11" s="6" t="str">
        <f>work!A13</f>
        <v>4Q</v>
      </c>
      <c r="B11" s="6" t="str">
        <f>work!B13</f>
        <v>Jan</v>
      </c>
      <c r="C11" s="6"/>
      <c r="D11" s="83">
        <v>83.323999999999998</v>
      </c>
      <c r="E11" s="6"/>
      <c r="F11" s="83">
        <v>67.293999999999997</v>
      </c>
      <c r="G11" s="6"/>
      <c r="H11" s="83">
        <v>106.691</v>
      </c>
      <c r="I11" s="6"/>
      <c r="J11" s="83">
        <v>58.101999999999997</v>
      </c>
      <c r="K11" s="6"/>
      <c r="L11" s="83">
        <v>41.569000000000003</v>
      </c>
      <c r="M11" s="6"/>
      <c r="N11" s="83">
        <v>209.226</v>
      </c>
      <c r="O11" s="6"/>
      <c r="P11" s="83">
        <v>474.73200000000003</v>
      </c>
      <c r="Q11" s="6"/>
      <c r="R11" s="83">
        <v>404.36900000000003</v>
      </c>
      <c r="S11" s="6"/>
      <c r="T11" s="83">
        <v>461.24400000000003</v>
      </c>
      <c r="U11" s="6"/>
      <c r="V11" s="83">
        <v>371.75900000000001</v>
      </c>
      <c r="W11" s="6"/>
      <c r="X11" s="83">
        <v>132.535</v>
      </c>
      <c r="Y11" s="6"/>
      <c r="Z11" s="83">
        <v>492.77600000000001</v>
      </c>
      <c r="AA11" s="6"/>
      <c r="AB11" s="83">
        <v>492.33</v>
      </c>
      <c r="AC11" s="6"/>
      <c r="AD11" s="82">
        <v>246.4</v>
      </c>
      <c r="AE11" s="6"/>
      <c r="AF11" s="82">
        <v>307.2</v>
      </c>
      <c r="AG11" s="6"/>
      <c r="AH11" s="82">
        <v>465.649</v>
      </c>
      <c r="AI11" s="6"/>
      <c r="AJ11" s="82">
        <v>856.7</v>
      </c>
      <c r="AK11" s="6"/>
      <c r="AL11" s="82">
        <v>732.6</v>
      </c>
      <c r="AM11" s="6"/>
      <c r="AN11" s="82">
        <v>453.5</v>
      </c>
      <c r="AO11" s="6"/>
      <c r="AP11" s="157">
        <v>1614.6</v>
      </c>
      <c r="AQ11" s="6"/>
      <c r="AR11" s="82">
        <f>1741.8+76.3</f>
        <v>1818.1</v>
      </c>
      <c r="AS11" s="6"/>
      <c r="AT11" s="82">
        <f>1507.1+94.7</f>
        <v>1601.8</v>
      </c>
      <c r="AU11" s="6"/>
      <c r="AV11" s="82">
        <f>1812+235.8</f>
        <v>2047.8</v>
      </c>
      <c r="AW11" s="6"/>
      <c r="AX11" s="157">
        <f>2149.7+294.7</f>
        <v>2444.3999999999996</v>
      </c>
      <c r="AY11" s="6"/>
      <c r="AZ11" s="83">
        <f>flow!AZ64</f>
        <v>2493.7710100000013</v>
      </c>
      <c r="BA11" s="6"/>
      <c r="BB11" s="82">
        <f>2095.5+352.3</f>
        <v>2447.8000000000002</v>
      </c>
      <c r="BC11" s="6"/>
      <c r="BD11" s="82">
        <f>2929.8+543.2</f>
        <v>3473</v>
      </c>
      <c r="BE11" s="6"/>
      <c r="BF11" s="82">
        <f>2785.5+506.2</f>
        <v>3291.7</v>
      </c>
      <c r="BH11" s="82"/>
    </row>
    <row r="12" spans="1:60">
      <c r="A12" s="6"/>
      <c r="B12" s="6"/>
      <c r="C12" s="6"/>
      <c r="D12" s="6"/>
      <c r="E12" s="6"/>
      <c r="F12" s="6"/>
      <c r="G12" s="6"/>
      <c r="H12" s="6"/>
      <c r="I12" s="6"/>
      <c r="J12" s="6"/>
      <c r="K12" s="6"/>
      <c r="L12" s="6"/>
      <c r="M12" s="6"/>
      <c r="N12" s="6"/>
      <c r="O12" s="6"/>
      <c r="P12" s="6"/>
      <c r="Q12" s="6"/>
      <c r="R12" s="6"/>
      <c r="S12" s="6"/>
      <c r="T12" s="6"/>
      <c r="U12" s="6"/>
      <c r="V12" s="6"/>
      <c r="W12" s="6"/>
      <c r="X12" s="84"/>
      <c r="Y12" s="6"/>
      <c r="Z12" s="84"/>
      <c r="AA12" s="6"/>
      <c r="AB12" s="84"/>
      <c r="AC12" s="6"/>
      <c r="AD12" s="84"/>
      <c r="AE12" s="6"/>
      <c r="AF12" s="84"/>
      <c r="AG12" s="6"/>
      <c r="AH12" s="84"/>
      <c r="AI12" s="6"/>
      <c r="AJ12" s="84"/>
      <c r="AK12" s="6"/>
      <c r="AL12" s="84"/>
      <c r="AM12" s="6"/>
      <c r="AN12" s="84"/>
      <c r="AO12" s="6"/>
      <c r="AP12" s="84"/>
      <c r="AQ12" s="6"/>
      <c r="AR12" s="84"/>
      <c r="AS12" s="6"/>
      <c r="AT12" s="84"/>
      <c r="AU12" s="6"/>
      <c r="AV12" s="84"/>
      <c r="AW12" s="6"/>
      <c r="AX12" s="84"/>
      <c r="AY12" s="6"/>
      <c r="AZ12" s="84"/>
      <c r="BA12" s="6"/>
      <c r="BB12" s="84"/>
      <c r="BC12" s="6"/>
      <c r="BD12" s="84"/>
      <c r="BE12" s="6"/>
      <c r="BF12" s="84"/>
      <c r="BH12" s="84"/>
    </row>
    <row r="13" spans="1:60">
      <c r="A13" s="6"/>
      <c r="B13" s="6"/>
      <c r="C13" s="6"/>
      <c r="D13" s="81"/>
      <c r="E13" s="6"/>
      <c r="F13" s="81"/>
      <c r="G13" s="6"/>
      <c r="H13" s="81"/>
      <c r="I13" s="6"/>
      <c r="J13" s="81"/>
      <c r="K13" s="6"/>
      <c r="L13" s="81"/>
      <c r="M13" s="6"/>
      <c r="N13" s="81"/>
      <c r="O13" s="6"/>
      <c r="P13" s="81"/>
      <c r="Q13" s="6"/>
      <c r="R13" s="6"/>
      <c r="S13" s="77"/>
      <c r="T13" s="77"/>
      <c r="U13" s="78"/>
      <c r="V13" s="77" t="s">
        <v>677</v>
      </c>
      <c r="W13" s="77"/>
      <c r="X13" s="78"/>
      <c r="Y13" s="77"/>
      <c r="Z13" s="78"/>
      <c r="AA13" s="77"/>
      <c r="AB13" s="78"/>
      <c r="AC13" s="77"/>
      <c r="AD13" s="78"/>
      <c r="AE13" s="77"/>
      <c r="AF13" s="77" t="s">
        <v>677</v>
      </c>
      <c r="AG13" s="78"/>
      <c r="AH13" s="78"/>
      <c r="AI13" s="78"/>
      <c r="AJ13" s="78"/>
      <c r="AK13" s="78"/>
      <c r="AL13" s="77" t="s">
        <v>677</v>
      </c>
      <c r="AM13" s="78"/>
      <c r="AN13" s="78"/>
      <c r="AO13" s="78"/>
      <c r="AP13" s="78"/>
      <c r="AQ13" s="78"/>
      <c r="AR13" s="78"/>
      <c r="AS13" s="78"/>
      <c r="AT13" s="78"/>
      <c r="AU13" s="78"/>
      <c r="AV13" s="78"/>
      <c r="AW13" s="78"/>
      <c r="AX13" s="78"/>
      <c r="AY13" s="78"/>
      <c r="AZ13" s="78"/>
      <c r="BA13" s="78"/>
      <c r="BB13" s="78"/>
      <c r="BC13" s="78"/>
      <c r="BD13" s="78"/>
      <c r="BE13" s="78"/>
      <c r="BF13" s="78"/>
      <c r="BH13" s="78"/>
    </row>
    <row r="14" spans="1:60">
      <c r="A14" s="6" t="str">
        <f t="shared" ref="A14:B17" si="0">A8</f>
        <v>1Q</v>
      </c>
      <c r="B14" s="6" t="str">
        <f t="shared" si="0"/>
        <v>Apr</v>
      </c>
      <c r="C14" s="6"/>
      <c r="D14" s="69">
        <v>6.6280000000000001</v>
      </c>
      <c r="E14" s="6"/>
      <c r="F14" s="69">
        <v>6.6319999999999997</v>
      </c>
      <c r="G14" s="6"/>
      <c r="H14" s="69">
        <f>10+6.797</f>
        <v>16.797000000000001</v>
      </c>
      <c r="I14" s="6"/>
      <c r="J14" s="69">
        <v>5.4119999999999999</v>
      </c>
      <c r="K14" s="6"/>
      <c r="L14" s="69">
        <f>10+5.995</f>
        <v>15.995000000000001</v>
      </c>
      <c r="M14" s="6"/>
      <c r="N14" s="69">
        <f>168.365+31.364</f>
        <v>199.72900000000001</v>
      </c>
      <c r="O14" s="6"/>
      <c r="P14" s="69">
        <f>2.195+88.728</f>
        <v>90.922999999999988</v>
      </c>
      <c r="Q14" s="6"/>
      <c r="R14" s="69">
        <f>26.234+2.632</f>
        <v>28.866000000000003</v>
      </c>
      <c r="S14" s="6"/>
      <c r="T14" s="69">
        <f>22.779+6.972</f>
        <v>29.751000000000001</v>
      </c>
      <c r="U14" s="6"/>
      <c r="V14" s="69">
        <f>10.628+0.673</f>
        <v>11.301</v>
      </c>
      <c r="W14" s="6"/>
      <c r="X14" s="69">
        <f>100.332+10.241</f>
        <v>110.57299999999999</v>
      </c>
      <c r="Y14" s="6"/>
      <c r="Z14" s="69">
        <v>13.682</v>
      </c>
      <c r="AA14" s="6"/>
      <c r="AB14" s="69">
        <v>0</v>
      </c>
      <c r="AC14" s="6"/>
      <c r="AD14" s="85">
        <v>15</v>
      </c>
      <c r="AE14" s="6"/>
      <c r="AF14" s="85">
        <v>5</v>
      </c>
      <c r="AG14" s="6"/>
      <c r="AH14" s="85">
        <v>135</v>
      </c>
      <c r="AI14" s="6"/>
      <c r="AJ14" s="85">
        <v>0</v>
      </c>
      <c r="AK14" s="6"/>
      <c r="AL14" s="85">
        <v>0</v>
      </c>
      <c r="AM14" s="6"/>
      <c r="AN14" s="85">
        <v>0</v>
      </c>
      <c r="AO14" s="6"/>
      <c r="AP14" s="85">
        <v>742.2</v>
      </c>
      <c r="AQ14" s="6"/>
      <c r="AR14" s="163">
        <v>0</v>
      </c>
      <c r="AS14" s="6"/>
      <c r="AT14" s="163">
        <v>0</v>
      </c>
      <c r="AU14" s="6"/>
      <c r="AV14" s="163">
        <v>0</v>
      </c>
      <c r="AW14" s="6"/>
      <c r="AX14" s="163">
        <v>0</v>
      </c>
      <c r="AY14" s="6"/>
      <c r="AZ14" s="163">
        <v>0</v>
      </c>
      <c r="BA14" s="6"/>
      <c r="BB14" s="163">
        <v>0</v>
      </c>
      <c r="BC14" s="6"/>
      <c r="BD14" s="163">
        <v>0</v>
      </c>
      <c r="BE14" s="6"/>
      <c r="BF14" s="163">
        <v>0</v>
      </c>
      <c r="BH14" s="163"/>
    </row>
    <row r="15" spans="1:60">
      <c r="A15" s="6" t="str">
        <f t="shared" si="0"/>
        <v>2Q</v>
      </c>
      <c r="B15" s="6" t="str">
        <f t="shared" si="0"/>
        <v>Jul</v>
      </c>
      <c r="C15" s="6"/>
      <c r="D15" s="83">
        <f>48+6.583</f>
        <v>54.582999999999998</v>
      </c>
      <c r="E15" s="6"/>
      <c r="F15" s="83">
        <v>6.65</v>
      </c>
      <c r="G15" s="6"/>
      <c r="H15" s="83">
        <f>83.285+6.925</f>
        <v>90.21</v>
      </c>
      <c r="I15" s="6"/>
      <c r="J15" s="83">
        <f>97+5.403</f>
        <v>102.40300000000001</v>
      </c>
      <c r="K15" s="6"/>
      <c r="L15" s="83">
        <f>94+6.119</f>
        <v>100.119</v>
      </c>
      <c r="M15" s="6"/>
      <c r="N15" s="83">
        <f>65.749+33.987</f>
        <v>99.73599999999999</v>
      </c>
      <c r="O15" s="6"/>
      <c r="P15" s="83">
        <f>103.211+0.403</f>
        <v>103.614</v>
      </c>
      <c r="Q15" s="6"/>
      <c r="R15" s="83">
        <f>7.966+17.716</f>
        <v>25.682000000000002</v>
      </c>
      <c r="S15" s="6"/>
      <c r="T15" s="83">
        <f>22.669+6.613</f>
        <v>29.282</v>
      </c>
      <c r="U15" s="6"/>
      <c r="V15" s="83">
        <f>59.563+100.535</f>
        <v>160.09800000000001</v>
      </c>
      <c r="W15" s="6"/>
      <c r="X15" s="83">
        <f>297.384+0.185</f>
        <v>297.56900000000002</v>
      </c>
      <c r="Y15" s="6"/>
      <c r="Z15" s="83">
        <v>2.9</v>
      </c>
      <c r="AA15" s="6"/>
      <c r="AB15" s="83">
        <v>0</v>
      </c>
      <c r="AC15" s="6"/>
      <c r="AD15" s="82">
        <v>15</v>
      </c>
      <c r="AE15" s="6"/>
      <c r="AF15" s="82">
        <v>105</v>
      </c>
      <c r="AG15" s="6"/>
      <c r="AH15" s="82">
        <v>414.49799999999999</v>
      </c>
      <c r="AI15" s="6"/>
      <c r="AJ15" s="82">
        <v>140.87100000000001</v>
      </c>
      <c r="AK15" s="6"/>
      <c r="AL15" s="82">
        <v>0</v>
      </c>
      <c r="AM15" s="6"/>
      <c r="AN15" s="82">
        <v>0</v>
      </c>
      <c r="AO15" s="6"/>
      <c r="AP15" s="82">
        <v>418.9</v>
      </c>
      <c r="AQ15" s="6"/>
      <c r="AR15" s="130">
        <v>0</v>
      </c>
      <c r="AS15" s="6"/>
      <c r="AT15" s="130">
        <v>0</v>
      </c>
      <c r="AU15" s="6"/>
      <c r="AV15" s="130">
        <v>0</v>
      </c>
      <c r="AW15" s="6"/>
      <c r="AX15" s="130">
        <v>0</v>
      </c>
      <c r="AY15" s="6"/>
      <c r="AZ15" s="130">
        <v>0</v>
      </c>
      <c r="BA15" s="6"/>
      <c r="BB15" s="130">
        <v>0</v>
      </c>
      <c r="BC15" s="6"/>
      <c r="BD15" s="130">
        <v>0</v>
      </c>
      <c r="BE15" s="6"/>
      <c r="BF15" s="130">
        <v>0</v>
      </c>
      <c r="BH15" s="130"/>
    </row>
    <row r="16" spans="1:60">
      <c r="A16" s="6" t="str">
        <f t="shared" si="0"/>
        <v>3Q</v>
      </c>
      <c r="B16" s="6" t="str">
        <f t="shared" si="0"/>
        <v>Oct</v>
      </c>
      <c r="C16" s="6"/>
      <c r="D16" s="83">
        <v>36.700000000000003</v>
      </c>
      <c r="E16" s="6"/>
      <c r="F16" s="83">
        <v>6.6509999999999998</v>
      </c>
      <c r="G16" s="6"/>
      <c r="H16" s="83">
        <v>7.04</v>
      </c>
      <c r="I16" s="6"/>
      <c r="J16" s="83">
        <f>105+5.458</f>
        <v>110.458</v>
      </c>
      <c r="K16" s="6"/>
      <c r="L16" s="83">
        <f>118.97+6.175</f>
        <v>125.145</v>
      </c>
      <c r="M16" s="6"/>
      <c r="N16" s="83">
        <f>97.699+56.048</f>
        <v>153.74700000000001</v>
      </c>
      <c r="O16" s="6"/>
      <c r="P16" s="83">
        <v>94.707999999999998</v>
      </c>
      <c r="Q16" s="6"/>
      <c r="R16" s="83">
        <v>2.1989999999999998</v>
      </c>
      <c r="S16" s="6"/>
      <c r="T16" s="83">
        <v>22.617999999999999</v>
      </c>
      <c r="U16" s="6"/>
      <c r="V16" s="83">
        <v>208.51</v>
      </c>
      <c r="W16" s="6"/>
      <c r="X16" s="83">
        <f>311+0.155</f>
        <v>311.15499999999997</v>
      </c>
      <c r="Y16" s="6"/>
      <c r="Z16" s="83">
        <v>351.28500000000003</v>
      </c>
      <c r="AA16" s="6"/>
      <c r="AB16" s="83">
        <v>0</v>
      </c>
      <c r="AC16" s="6"/>
      <c r="AD16" s="82">
        <v>5</v>
      </c>
      <c r="AE16" s="6"/>
      <c r="AF16" s="82">
        <v>100</v>
      </c>
      <c r="AG16" s="6"/>
      <c r="AH16" s="82">
        <v>449.7</v>
      </c>
      <c r="AI16" s="6"/>
      <c r="AJ16" s="82">
        <v>0</v>
      </c>
      <c r="AK16" s="6"/>
      <c r="AL16" s="82">
        <v>0</v>
      </c>
      <c r="AM16" s="6"/>
      <c r="AN16" s="82">
        <v>0</v>
      </c>
      <c r="AO16" s="6"/>
      <c r="AP16" s="82">
        <v>200.4</v>
      </c>
      <c r="AQ16" s="6"/>
      <c r="AR16" s="82">
        <v>0</v>
      </c>
      <c r="AS16" s="6"/>
      <c r="AT16" s="82">
        <v>0</v>
      </c>
      <c r="AU16" s="6"/>
      <c r="AV16" s="130">
        <v>0</v>
      </c>
      <c r="AW16" s="6"/>
      <c r="AX16" s="130">
        <v>0</v>
      </c>
      <c r="AY16" s="6"/>
      <c r="AZ16" s="130">
        <v>0</v>
      </c>
      <c r="BA16" s="6"/>
      <c r="BB16" s="130">
        <v>0</v>
      </c>
      <c r="BC16" s="6"/>
      <c r="BD16" s="130">
        <v>0</v>
      </c>
      <c r="BE16" s="6"/>
      <c r="BF16" s="130">
        <v>0</v>
      </c>
      <c r="BH16" s="130"/>
    </row>
    <row r="17" spans="1:60">
      <c r="A17" s="6" t="str">
        <f t="shared" si="0"/>
        <v>4Q</v>
      </c>
      <c r="B17" s="6" t="str">
        <f t="shared" si="0"/>
        <v>Jan</v>
      </c>
      <c r="C17" s="6"/>
      <c r="D17" s="83">
        <v>6.7759999999999998</v>
      </c>
      <c r="E17" s="6"/>
      <c r="F17" s="83">
        <v>6.7450000000000001</v>
      </c>
      <c r="G17" s="6"/>
      <c r="H17" s="83">
        <v>4.2039999999999997</v>
      </c>
      <c r="I17" s="6"/>
      <c r="J17" s="83">
        <v>5.9359999999999999</v>
      </c>
      <c r="K17" s="6"/>
      <c r="L17" s="83">
        <f>20+31.306</f>
        <v>51.305999999999997</v>
      </c>
      <c r="M17" s="6"/>
      <c r="N17" s="83">
        <v>78.67</v>
      </c>
      <c r="O17" s="6"/>
      <c r="P17" s="83">
        <v>27.14</v>
      </c>
      <c r="Q17" s="6"/>
      <c r="R17" s="83">
        <f>6.972+22.779</f>
        <v>29.751000000000001</v>
      </c>
      <c r="S17" s="6"/>
      <c r="T17" s="83">
        <v>0.69399999999999995</v>
      </c>
      <c r="U17" s="6"/>
      <c r="V17" s="83">
        <v>100.35899999999999</v>
      </c>
      <c r="W17" s="6"/>
      <c r="X17" s="83">
        <v>39.073</v>
      </c>
      <c r="Y17" s="6"/>
      <c r="Z17" s="83">
        <v>0</v>
      </c>
      <c r="AA17" s="6"/>
      <c r="AB17" s="83">
        <v>15</v>
      </c>
      <c r="AC17" s="6"/>
      <c r="AD17" s="82">
        <v>5</v>
      </c>
      <c r="AE17" s="6"/>
      <c r="AF17" s="82">
        <v>100</v>
      </c>
      <c r="AG17" s="6"/>
      <c r="AH17" s="82">
        <v>0</v>
      </c>
      <c r="AI17" s="6"/>
      <c r="AJ17" s="82">
        <v>0</v>
      </c>
      <c r="AK17" s="6"/>
      <c r="AL17" s="82">
        <v>0</v>
      </c>
      <c r="AM17" s="6"/>
      <c r="AN17" s="82">
        <v>392.9</v>
      </c>
      <c r="AO17" s="6"/>
      <c r="AP17" s="82">
        <v>0</v>
      </c>
      <c r="AQ17" s="6"/>
      <c r="AR17" s="82">
        <v>0</v>
      </c>
      <c r="AS17" s="6"/>
      <c r="AT17" s="82">
        <v>0</v>
      </c>
      <c r="AU17" s="6"/>
      <c r="AV17" s="130">
        <v>0</v>
      </c>
      <c r="AW17" s="6"/>
      <c r="AX17" s="130">
        <v>0</v>
      </c>
      <c r="AY17" s="6"/>
      <c r="AZ17" s="83">
        <f>AX17</f>
        <v>0</v>
      </c>
      <c r="BA17" s="6"/>
      <c r="BB17" s="83">
        <f>AZ17</f>
        <v>0</v>
      </c>
      <c r="BC17" s="6"/>
      <c r="BD17" s="83">
        <v>0</v>
      </c>
      <c r="BE17" s="6"/>
      <c r="BF17" s="83">
        <v>0</v>
      </c>
      <c r="BH17" s="83"/>
    </row>
    <row r="18" spans="1:60">
      <c r="A18" s="6"/>
      <c r="B18" s="6"/>
      <c r="C18" s="6"/>
      <c r="D18" s="83"/>
      <c r="E18" s="6"/>
      <c r="F18" s="83"/>
      <c r="G18" s="6"/>
      <c r="H18" s="83"/>
      <c r="I18" s="6"/>
      <c r="J18" s="83"/>
      <c r="K18" s="6"/>
      <c r="L18" s="83"/>
      <c r="M18" s="6"/>
      <c r="N18" s="83"/>
      <c r="O18" s="6"/>
      <c r="P18" s="83"/>
      <c r="Q18" s="6"/>
      <c r="R18" s="83"/>
      <c r="S18" s="6"/>
      <c r="T18" s="83"/>
      <c r="U18" s="6"/>
      <c r="V18" s="83"/>
      <c r="W18" s="6"/>
      <c r="X18" s="84"/>
      <c r="Y18" s="6"/>
      <c r="Z18" s="84"/>
      <c r="AA18" s="6"/>
      <c r="AB18" s="84"/>
      <c r="AC18" s="6"/>
      <c r="AD18" s="84"/>
      <c r="AE18" s="6"/>
      <c r="AF18" s="84"/>
      <c r="AG18" s="6"/>
      <c r="AH18" s="84"/>
      <c r="AI18" s="6"/>
      <c r="AJ18" s="84"/>
      <c r="AK18" s="6"/>
      <c r="AL18" s="84"/>
      <c r="AM18" s="6"/>
      <c r="AN18" s="84"/>
      <c r="AO18" s="6"/>
      <c r="AP18" s="84"/>
      <c r="AQ18" s="6"/>
      <c r="AR18" s="84"/>
      <c r="AS18" s="6"/>
      <c r="AT18" s="84"/>
      <c r="AU18" s="6"/>
      <c r="AV18" s="84"/>
      <c r="AW18" s="6"/>
      <c r="AX18" s="84"/>
      <c r="AY18" s="6"/>
      <c r="AZ18" s="84"/>
      <c r="BA18" s="6"/>
      <c r="BB18" s="84"/>
      <c r="BC18" s="6"/>
      <c r="BD18" s="84"/>
      <c r="BE18" s="6"/>
      <c r="BF18" s="84"/>
      <c r="BH18" s="84"/>
    </row>
    <row r="19" spans="1:60">
      <c r="A19" s="6"/>
      <c r="B19" s="6"/>
      <c r="C19" s="6"/>
      <c r="D19" s="81"/>
      <c r="E19" s="6"/>
      <c r="F19" s="81"/>
      <c r="G19" s="6"/>
      <c r="H19" s="81"/>
      <c r="I19" s="6"/>
      <c r="J19" s="81"/>
      <c r="K19" s="6"/>
      <c r="L19" s="81"/>
      <c r="M19" s="6"/>
      <c r="N19" s="81"/>
      <c r="O19" s="6"/>
      <c r="P19" s="81"/>
      <c r="Q19" s="6"/>
      <c r="R19" s="6"/>
      <c r="S19" s="77"/>
      <c r="T19" s="77"/>
      <c r="U19" s="78"/>
      <c r="V19" s="77" t="s">
        <v>321</v>
      </c>
      <c r="W19" s="77"/>
      <c r="X19" s="78"/>
      <c r="Y19" s="77"/>
      <c r="Z19" s="78"/>
      <c r="AA19" s="77"/>
      <c r="AB19" s="78"/>
      <c r="AC19" s="77"/>
      <c r="AD19" s="78"/>
      <c r="AE19" s="77"/>
      <c r="AF19" s="77" t="s">
        <v>321</v>
      </c>
      <c r="AG19" s="78"/>
      <c r="AH19" s="78"/>
      <c r="AI19" s="78"/>
      <c r="AJ19" s="78"/>
      <c r="AK19" s="78"/>
      <c r="AL19" s="77" t="s">
        <v>321</v>
      </c>
      <c r="AM19" s="78"/>
      <c r="AN19" s="78"/>
      <c r="AO19" s="78"/>
      <c r="AP19" s="78"/>
      <c r="AQ19" s="78"/>
      <c r="AR19" s="78"/>
      <c r="AS19" s="78"/>
      <c r="AT19" s="78"/>
      <c r="AU19" s="78"/>
      <c r="AV19" s="78"/>
      <c r="AW19" s="78"/>
      <c r="AX19" s="78"/>
      <c r="AY19" s="78"/>
      <c r="AZ19" s="78"/>
      <c r="BA19" s="78"/>
      <c r="BB19" s="78"/>
      <c r="BC19" s="78"/>
      <c r="BD19" s="78"/>
      <c r="BE19" s="78"/>
      <c r="BF19" s="78"/>
      <c r="BH19" s="78"/>
    </row>
    <row r="20" spans="1:60">
      <c r="A20" s="6" t="str">
        <f t="shared" ref="A20:B23" si="1">A14</f>
        <v>1Q</v>
      </c>
      <c r="B20" s="6" t="str">
        <f t="shared" si="1"/>
        <v>Apr</v>
      </c>
      <c r="C20" s="6"/>
      <c r="D20" s="69">
        <f>56.741+12.359+149.887+75</f>
        <v>293.98699999999997</v>
      </c>
      <c r="E20" s="6"/>
      <c r="F20" s="69">
        <f>51.956+10.557+174.925+69.794</f>
        <v>307.23200000000003</v>
      </c>
      <c r="G20" s="6"/>
      <c r="H20" s="69">
        <f>52.225+8.944+125+69.794</f>
        <v>255.96300000000002</v>
      </c>
      <c r="I20" s="6"/>
      <c r="J20" s="69">
        <f>45.097+7.399+125</f>
        <v>177.49600000000001</v>
      </c>
      <c r="K20" s="6"/>
      <c r="L20" s="69">
        <f>161.915+5.9+42.021</f>
        <v>209.83600000000001</v>
      </c>
      <c r="M20" s="6"/>
      <c r="N20" s="69">
        <f>157.33+4.475+76.692</f>
        <v>238.49700000000001</v>
      </c>
      <c r="O20" s="6"/>
      <c r="P20" s="69">
        <f>650.203+3.159+26.314</f>
        <v>679.67599999999993</v>
      </c>
      <c r="Q20" s="6"/>
      <c r="R20" s="69">
        <f>219.887+1.985+22.391</f>
        <v>244.26300000000001</v>
      </c>
      <c r="S20" s="6"/>
      <c r="T20" s="69">
        <f>219.901+1.045</f>
        <v>220.946</v>
      </c>
      <c r="U20" s="6"/>
      <c r="V20" s="69">
        <f>219.915+0.372</f>
        <v>220.28700000000001</v>
      </c>
      <c r="W20" s="6"/>
      <c r="X20" s="69">
        <f>319.313+0.4</f>
        <v>319.71299999999997</v>
      </c>
      <c r="Y20" s="6"/>
      <c r="Z20" s="69">
        <v>668.05499999999995</v>
      </c>
      <c r="AA20" s="6"/>
      <c r="AB20" s="69">
        <v>673.80600000000004</v>
      </c>
      <c r="AC20" s="6"/>
      <c r="AD20" s="85">
        <f>666.79</f>
        <v>666.79</v>
      </c>
      <c r="AE20" s="6"/>
      <c r="AF20" s="85">
        <v>664.41</v>
      </c>
      <c r="AG20" s="6"/>
      <c r="AH20" s="85">
        <v>573.70000000000005</v>
      </c>
      <c r="AI20" s="6"/>
      <c r="AJ20" s="85">
        <v>789.6</v>
      </c>
      <c r="AK20" s="61"/>
      <c r="AL20" s="85">
        <v>800</v>
      </c>
      <c r="AM20" s="61"/>
      <c r="AN20" s="85">
        <v>832.6</v>
      </c>
      <c r="AO20" s="61"/>
      <c r="AP20" s="85">
        <v>374.3</v>
      </c>
      <c r="AQ20" s="61"/>
      <c r="AR20" s="163">
        <v>774.3</v>
      </c>
      <c r="AS20" s="61"/>
      <c r="AT20" s="163">
        <v>774.4</v>
      </c>
      <c r="AU20" s="61"/>
      <c r="AV20" s="163">
        <v>774.5</v>
      </c>
      <c r="AW20" s="61"/>
      <c r="AX20" s="163">
        <v>1274.0999999999999</v>
      </c>
      <c r="AY20" s="61"/>
      <c r="AZ20" s="163">
        <v>1274.2</v>
      </c>
      <c r="BA20" s="61"/>
      <c r="BB20" s="163">
        <v>1623.9</v>
      </c>
      <c r="BC20" s="61"/>
      <c r="BD20" s="163">
        <v>1615.5</v>
      </c>
      <c r="BE20" s="61"/>
      <c r="BF20" s="163">
        <v>2228.4</v>
      </c>
      <c r="BH20" s="163"/>
    </row>
    <row r="21" spans="1:60">
      <c r="A21" s="6" t="str">
        <f t="shared" si="1"/>
        <v>2Q</v>
      </c>
      <c r="B21" s="6" t="str">
        <f t="shared" si="1"/>
        <v>Jul</v>
      </c>
      <c r="C21" s="6"/>
      <c r="D21" s="83">
        <f>55.581+11.61+149.897+75</f>
        <v>292.08799999999997</v>
      </c>
      <c r="E21" s="6"/>
      <c r="F21" s="83">
        <f>50.677+9.912+174.934+69.794</f>
        <v>305.31700000000001</v>
      </c>
      <c r="G21" s="6"/>
      <c r="H21" s="83">
        <f>50.812+8.305+125+69.794</f>
        <v>253.911</v>
      </c>
      <c r="I21" s="6"/>
      <c r="J21" s="83">
        <f>45.089+6.776+125</f>
        <v>176.86500000000001</v>
      </c>
      <c r="K21" s="6"/>
      <c r="L21" s="83">
        <f>161.83+5.303+40.446</f>
        <v>207.57900000000001</v>
      </c>
      <c r="M21" s="6"/>
      <c r="N21" s="83">
        <f>357.193+3.897+72.462</f>
        <v>433.55199999999996</v>
      </c>
      <c r="O21" s="6"/>
      <c r="P21" s="83">
        <f>635.807+2.662+24.402</f>
        <v>662.87100000000009</v>
      </c>
      <c r="Q21" s="6"/>
      <c r="R21" s="83">
        <f>219.891+1.544+21.827</f>
        <v>243.262</v>
      </c>
      <c r="S21" s="6"/>
      <c r="T21" s="83">
        <f>219.904+0.738</f>
        <v>220.642</v>
      </c>
      <c r="U21" s="6"/>
      <c r="V21" s="83">
        <f>119.918+0.203</f>
        <v>120.12100000000001</v>
      </c>
      <c r="W21" s="6"/>
      <c r="X21" s="83">
        <f>319.333+0.019</f>
        <v>319.35200000000003</v>
      </c>
      <c r="Y21" s="6"/>
      <c r="Z21" s="83">
        <v>669.37900000000002</v>
      </c>
      <c r="AA21" s="6"/>
      <c r="AB21" s="83">
        <v>675.78399999999999</v>
      </c>
      <c r="AC21" s="6"/>
      <c r="AD21" s="82">
        <v>664.928</v>
      </c>
      <c r="AE21" s="6"/>
      <c r="AF21" s="82">
        <v>566.79999999999995</v>
      </c>
      <c r="AG21" s="6"/>
      <c r="AH21" s="82">
        <v>575.11199999999997</v>
      </c>
      <c r="AI21" s="6"/>
      <c r="AJ21" s="82">
        <v>789.09</v>
      </c>
      <c r="AK21" s="6"/>
      <c r="AL21" s="82">
        <v>812.3</v>
      </c>
      <c r="AM21" s="6"/>
      <c r="AN21" s="82">
        <v>832.8</v>
      </c>
      <c r="AO21" s="6"/>
      <c r="AP21" s="82">
        <v>774.3</v>
      </c>
      <c r="AQ21" s="6"/>
      <c r="AR21" s="130">
        <v>774.4</v>
      </c>
      <c r="AS21" s="6"/>
      <c r="AT21" s="130">
        <v>774.4</v>
      </c>
      <c r="AU21" s="6"/>
      <c r="AV21" s="130">
        <v>774.5</v>
      </c>
      <c r="AW21" s="6"/>
      <c r="AX21" s="130">
        <v>1274.2</v>
      </c>
      <c r="AY21" s="6"/>
      <c r="AZ21" s="130">
        <v>1623.8</v>
      </c>
      <c r="BA21" s="6"/>
      <c r="BB21" s="130">
        <v>1624</v>
      </c>
      <c r="BC21" s="6"/>
      <c r="BD21" s="130">
        <v>1615.9</v>
      </c>
      <c r="BE21" s="6"/>
      <c r="BF21" s="130">
        <v>2229.1</v>
      </c>
      <c r="BH21" s="130"/>
    </row>
    <row r="22" spans="1:60">
      <c r="A22" s="6" t="str">
        <f t="shared" si="1"/>
        <v>3Q</v>
      </c>
      <c r="B22" s="6" t="str">
        <f t="shared" si="1"/>
        <v>Oct</v>
      </c>
      <c r="C22" s="6"/>
      <c r="D22" s="83">
        <v>287.7</v>
      </c>
      <c r="E22" s="6"/>
      <c r="F22" s="83">
        <f>49.398+9.772+174.944+69.794</f>
        <v>303.90799999999996</v>
      </c>
      <c r="G22" s="6"/>
      <c r="H22" s="83">
        <f>49.416+8.167+125+69.794</f>
        <v>252.37700000000001</v>
      </c>
      <c r="I22" s="6"/>
      <c r="J22" s="83">
        <f>44.32+6.642+162</f>
        <v>212.96199999999999</v>
      </c>
      <c r="K22" s="6"/>
      <c r="L22" s="83">
        <f>182.33+5.244+39.614</f>
        <v>227.18800000000002</v>
      </c>
      <c r="M22" s="6"/>
      <c r="N22" s="83">
        <f>335.196+3.801+71.569</f>
        <v>410.56600000000003</v>
      </c>
      <c r="O22" s="6"/>
      <c r="P22" s="83">
        <v>540.29999999999995</v>
      </c>
      <c r="Q22" s="6"/>
      <c r="R22" s="83">
        <f>219.894+1.456+21.827</f>
        <v>243.17699999999999</v>
      </c>
      <c r="S22" s="6"/>
      <c r="T22" s="83">
        <f>119.922+0.159</f>
        <v>120.081</v>
      </c>
      <c r="U22" s="6"/>
      <c r="V22" s="83">
        <v>120.081</v>
      </c>
      <c r="W22" s="6"/>
      <c r="X22" s="83">
        <v>319.35700000000003</v>
      </c>
      <c r="Y22" s="6"/>
      <c r="Z22" s="83">
        <v>319.43</v>
      </c>
      <c r="AA22" s="6"/>
      <c r="AB22" s="83">
        <v>677.77599999999995</v>
      </c>
      <c r="AC22" s="6"/>
      <c r="AD22" s="82">
        <v>662</v>
      </c>
      <c r="AE22" s="6"/>
      <c r="AF22" s="82">
        <v>571.70000000000005</v>
      </c>
      <c r="AG22" s="61"/>
      <c r="AH22" s="82">
        <v>576</v>
      </c>
      <c r="AI22" s="61"/>
      <c r="AJ22" s="82">
        <v>794.7</v>
      </c>
      <c r="AK22" s="6"/>
      <c r="AL22" s="82">
        <v>839.3</v>
      </c>
      <c r="AM22" s="6"/>
      <c r="AN22" s="82">
        <v>748.6</v>
      </c>
      <c r="AO22" s="6"/>
      <c r="AP22" s="82">
        <v>774.3</v>
      </c>
      <c r="AQ22" s="6"/>
      <c r="AR22" s="82">
        <v>774.4</v>
      </c>
      <c r="AS22" s="6"/>
      <c r="AT22" s="82">
        <v>774.5</v>
      </c>
      <c r="AU22" s="6"/>
      <c r="AV22" s="82">
        <v>774.5</v>
      </c>
      <c r="AW22" s="6"/>
      <c r="AX22" s="82">
        <v>1274.2</v>
      </c>
      <c r="AY22" s="6"/>
      <c r="AZ22" s="82">
        <v>1623.8</v>
      </c>
      <c r="BA22" s="6"/>
      <c r="BB22" s="82">
        <v>1624</v>
      </c>
      <c r="BC22" s="6"/>
      <c r="BD22" s="82">
        <v>2226.9</v>
      </c>
      <c r="BE22" s="6"/>
      <c r="BF22" s="82">
        <v>2229.8000000000002</v>
      </c>
      <c r="BH22" s="82"/>
    </row>
    <row r="23" spans="1:60">
      <c r="A23" s="6" t="str">
        <f t="shared" si="1"/>
        <v>4Q</v>
      </c>
      <c r="B23" s="6" t="str">
        <f t="shared" si="1"/>
        <v>Jan</v>
      </c>
      <c r="C23" s="6"/>
      <c r="D23" s="83">
        <f>53.184+10.699+174.916+69.794</f>
        <v>308.59299999999996</v>
      </c>
      <c r="E23" s="6"/>
      <c r="F23" s="83">
        <f>53.555+9.083+174.953+69.794</f>
        <v>307.38499999999999</v>
      </c>
      <c r="G23" s="6"/>
      <c r="H23" s="83">
        <f>47.252+7.535+125</f>
        <v>179.78700000000001</v>
      </c>
      <c r="I23" s="6"/>
      <c r="J23" s="83">
        <f>42.823+6.031+162</f>
        <v>210.85399999999998</v>
      </c>
      <c r="K23" s="6"/>
      <c r="L23" s="83">
        <f>157.33+4.598+77.55</f>
        <v>239.47800000000001</v>
      </c>
      <c r="M23" s="6"/>
      <c r="N23" s="83">
        <v>690.71299999999997</v>
      </c>
      <c r="O23" s="6"/>
      <c r="P23" s="83">
        <f>219.884+2.135+22.391</f>
        <v>244.40999999999997</v>
      </c>
      <c r="Q23" s="6"/>
      <c r="R23" s="83">
        <f>219.897+1.127</f>
        <v>221.024</v>
      </c>
      <c r="S23" s="6"/>
      <c r="T23" s="83">
        <f>119.911+0.433</f>
        <v>120.34400000000001</v>
      </c>
      <c r="U23" s="6"/>
      <c r="V23" s="83">
        <v>319.36700000000002</v>
      </c>
      <c r="W23" s="6"/>
      <c r="X23" s="83">
        <v>319.37200000000001</v>
      </c>
      <c r="Y23" s="6"/>
      <c r="Z23" s="83">
        <v>672.04300000000001</v>
      </c>
      <c r="AA23" s="6"/>
      <c r="AB23" s="83">
        <v>664.77599999999995</v>
      </c>
      <c r="AC23" s="6"/>
      <c r="AD23" s="82">
        <v>664.8</v>
      </c>
      <c r="AE23" s="6"/>
      <c r="AF23" s="82">
        <v>572.6</v>
      </c>
      <c r="AG23" s="6"/>
      <c r="AH23" s="82">
        <v>782.91399999999999</v>
      </c>
      <c r="AI23" s="6"/>
      <c r="AJ23" s="82">
        <v>785.6</v>
      </c>
      <c r="AK23" s="6"/>
      <c r="AL23" s="82">
        <v>833.1</v>
      </c>
      <c r="AM23" s="6"/>
      <c r="AN23" s="82">
        <v>365.6</v>
      </c>
      <c r="AO23" s="6"/>
      <c r="AP23" s="82">
        <v>774.3</v>
      </c>
      <c r="AQ23" s="6"/>
      <c r="AR23" s="82">
        <v>774.4</v>
      </c>
      <c r="AS23" s="6"/>
      <c r="AT23" s="82">
        <v>774.5</v>
      </c>
      <c r="AU23" s="6"/>
      <c r="AV23" s="82">
        <v>774.6</v>
      </c>
      <c r="AW23" s="6"/>
      <c r="AX23" s="82">
        <v>1274.2</v>
      </c>
      <c r="AY23" s="6"/>
      <c r="AZ23" s="83">
        <f>bal!BB39</f>
        <v>1623.9</v>
      </c>
      <c r="BA23" s="6"/>
      <c r="BB23" s="82">
        <v>1624.1</v>
      </c>
      <c r="BC23" s="6"/>
      <c r="BD23" s="82">
        <v>2227.6</v>
      </c>
      <c r="BE23" s="6"/>
      <c r="BF23" s="82">
        <v>2230.6</v>
      </c>
      <c r="BH23" s="82"/>
    </row>
    <row r="24" spans="1:60">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c r="AH24" s="6"/>
      <c r="AI24" s="6"/>
      <c r="AJ24" s="6"/>
      <c r="AK24" s="6"/>
      <c r="AL24" s="6"/>
      <c r="AM24" s="6"/>
      <c r="AN24" s="6"/>
      <c r="AO24" s="6"/>
      <c r="AP24" s="6"/>
      <c r="AQ24" s="6"/>
      <c r="AR24" s="6"/>
      <c r="AS24" s="6"/>
      <c r="AT24" s="6"/>
      <c r="AU24" s="6"/>
      <c r="AV24" s="6"/>
      <c r="AW24" s="6"/>
      <c r="AX24" s="6"/>
      <c r="AY24" s="6"/>
      <c r="AZ24" s="6"/>
      <c r="BA24" s="6"/>
      <c r="BB24" s="6"/>
      <c r="BC24" s="6"/>
      <c r="BD24" s="6"/>
      <c r="BE24" s="6"/>
      <c r="BF24" s="6"/>
      <c r="BH24" s="6"/>
    </row>
    <row r="25" spans="1:60">
      <c r="A25" s="6"/>
      <c r="B25" s="6"/>
      <c r="C25" s="6"/>
      <c r="D25" s="55"/>
      <c r="E25" s="6"/>
      <c r="F25" s="55"/>
      <c r="G25" s="6"/>
      <c r="H25" s="55"/>
      <c r="I25" s="6"/>
      <c r="J25" s="55"/>
      <c r="K25" s="6"/>
      <c r="L25" s="55"/>
      <c r="M25" s="6"/>
      <c r="N25" s="55"/>
      <c r="O25" s="6"/>
      <c r="P25" s="55"/>
      <c r="Q25" s="6"/>
      <c r="R25" s="6"/>
      <c r="S25" s="79"/>
      <c r="T25" s="79"/>
      <c r="U25" s="78"/>
      <c r="V25" s="79" t="s">
        <v>322</v>
      </c>
      <c r="W25" s="79"/>
      <c r="X25" s="78"/>
      <c r="Y25" s="79"/>
      <c r="Z25" s="78"/>
      <c r="AA25" s="79"/>
      <c r="AB25" s="78"/>
      <c r="AC25" s="79"/>
      <c r="AD25" s="78"/>
      <c r="AE25" s="79"/>
      <c r="AF25" s="79" t="s">
        <v>322</v>
      </c>
      <c r="AG25" s="78"/>
      <c r="AH25" s="78"/>
      <c r="AI25" s="78"/>
      <c r="AJ25" s="78"/>
      <c r="AK25" s="78"/>
      <c r="AL25" s="79" t="s">
        <v>322</v>
      </c>
      <c r="AM25" s="78"/>
      <c r="AN25" s="78"/>
      <c r="AO25" s="78"/>
      <c r="AP25" s="78"/>
      <c r="AQ25" s="78"/>
      <c r="AR25" s="78"/>
      <c r="AS25" s="78"/>
      <c r="AT25" s="78"/>
      <c r="AU25" s="78"/>
      <c r="AV25" s="78"/>
      <c r="AW25" s="78"/>
      <c r="AX25" s="78"/>
      <c r="AY25" s="78"/>
      <c r="AZ25" s="78"/>
      <c r="BA25" s="78"/>
      <c r="BB25" s="78"/>
      <c r="BC25" s="78"/>
      <c r="BD25" s="78"/>
      <c r="BE25" s="78"/>
      <c r="BF25" s="78"/>
      <c r="BH25" s="78"/>
    </row>
    <row r="26" spans="1:60">
      <c r="A26" s="6" t="str">
        <f t="shared" ref="A26:B29" si="2">A20</f>
        <v>1Q</v>
      </c>
      <c r="B26" s="6" t="str">
        <f t="shared" si="2"/>
        <v>Apr</v>
      </c>
      <c r="C26" s="6"/>
      <c r="D26" s="22">
        <f>D20+D14</f>
        <v>300.61499999999995</v>
      </c>
      <c r="E26" s="6"/>
      <c r="F26" s="22">
        <f>F20+F14</f>
        <v>313.86400000000003</v>
      </c>
      <c r="G26" s="6"/>
      <c r="H26" s="22">
        <f>H20+H14</f>
        <v>272.76000000000005</v>
      </c>
      <c r="I26" s="6"/>
      <c r="J26" s="22">
        <f>J20+J14</f>
        <v>182.90800000000002</v>
      </c>
      <c r="K26" s="6"/>
      <c r="L26" s="22">
        <f>L20+L14</f>
        <v>225.83100000000002</v>
      </c>
      <c r="M26" s="6"/>
      <c r="N26" s="22">
        <f>N20+N14</f>
        <v>438.226</v>
      </c>
      <c r="O26" s="6"/>
      <c r="P26" s="22">
        <f>P20+P14</f>
        <v>770.59899999999993</v>
      </c>
      <c r="Q26" s="6"/>
      <c r="R26" s="22">
        <f>R20+R14</f>
        <v>273.12900000000002</v>
      </c>
      <c r="S26" s="6"/>
      <c r="T26" s="22">
        <f>T20+T14</f>
        <v>250.697</v>
      </c>
      <c r="U26" s="6"/>
      <c r="V26" s="22">
        <f>V20+V14</f>
        <v>231.58799999999999</v>
      </c>
      <c r="W26" s="6"/>
      <c r="X26" s="22">
        <f>X20+X14</f>
        <v>430.28599999999994</v>
      </c>
      <c r="Y26" s="6"/>
      <c r="Z26" s="22">
        <f>Z20+Z14</f>
        <v>681.73699999999997</v>
      </c>
      <c r="AA26" s="6"/>
      <c r="AB26" s="22">
        <f>AB20+AB14</f>
        <v>673.80600000000004</v>
      </c>
      <c r="AC26" s="6"/>
      <c r="AD26" s="22">
        <f>AD20+AD14</f>
        <v>681.79</v>
      </c>
      <c r="AE26" s="6"/>
      <c r="AF26" s="22">
        <f>AF20+AF14</f>
        <v>669.41</v>
      </c>
      <c r="AG26" s="6"/>
      <c r="AH26" s="22">
        <f>AH20+AH14</f>
        <v>708.7</v>
      </c>
      <c r="AI26" s="6"/>
      <c r="AJ26" s="22">
        <f>AJ20+AJ14</f>
        <v>789.6</v>
      </c>
      <c r="AK26" s="6"/>
      <c r="AL26" s="22">
        <f>AL20+AL14</f>
        <v>800</v>
      </c>
      <c r="AM26" s="6"/>
      <c r="AN26" s="22">
        <f>AN20+AN14</f>
        <v>832.6</v>
      </c>
      <c r="AO26" s="6"/>
      <c r="AP26" s="22">
        <f>AP20+AP14</f>
        <v>1116.5</v>
      </c>
      <c r="AQ26" s="6"/>
      <c r="AR26" s="22">
        <f>AR20+AR14</f>
        <v>774.3</v>
      </c>
      <c r="AS26" s="6"/>
      <c r="AT26" s="22">
        <f>AT20+AT14</f>
        <v>774.4</v>
      </c>
      <c r="AU26" s="6"/>
      <c r="AV26" s="22">
        <f>AV20+AV14</f>
        <v>774.5</v>
      </c>
      <c r="AW26" s="6"/>
      <c r="AX26" s="22">
        <f>AX20+AX14</f>
        <v>1274.0999999999999</v>
      </c>
      <c r="AY26" s="6"/>
      <c r="AZ26" s="22">
        <f>AZ20+AZ14</f>
        <v>1274.2</v>
      </c>
      <c r="BA26" s="6"/>
      <c r="BB26" s="22">
        <f>BB20+BB14</f>
        <v>1623.9</v>
      </c>
      <c r="BC26" s="6"/>
      <c r="BD26" s="22">
        <f>BD20+BD14</f>
        <v>1615.5</v>
      </c>
      <c r="BE26" s="6"/>
      <c r="BF26" s="22">
        <f>BF20+BF14</f>
        <v>2228.4</v>
      </c>
      <c r="BH26" s="22"/>
    </row>
    <row r="27" spans="1:60">
      <c r="A27" s="6" t="str">
        <f t="shared" si="2"/>
        <v>2Q</v>
      </c>
      <c r="B27" s="6" t="str">
        <f t="shared" si="2"/>
        <v>Jul</v>
      </c>
      <c r="C27" s="6"/>
      <c r="D27" s="83">
        <f>D21+D15</f>
        <v>346.67099999999994</v>
      </c>
      <c r="E27" s="6"/>
      <c r="F27" s="83">
        <f>F21+F15</f>
        <v>311.96699999999998</v>
      </c>
      <c r="G27" s="6"/>
      <c r="H27" s="83">
        <f>H21+H15</f>
        <v>344.12099999999998</v>
      </c>
      <c r="I27" s="6"/>
      <c r="J27" s="83">
        <f>J21+J15</f>
        <v>279.26800000000003</v>
      </c>
      <c r="K27" s="6"/>
      <c r="L27" s="83">
        <f>L21+L15</f>
        <v>307.69799999999998</v>
      </c>
      <c r="M27" s="6"/>
      <c r="N27" s="83">
        <f>N21+N15</f>
        <v>533.28800000000001</v>
      </c>
      <c r="O27" s="6"/>
      <c r="P27" s="83">
        <f>P21+P15</f>
        <v>766.48500000000013</v>
      </c>
      <c r="Q27" s="6"/>
      <c r="R27" s="83">
        <f>R21+R15</f>
        <v>268.94400000000002</v>
      </c>
      <c r="S27" s="6"/>
      <c r="T27" s="83">
        <f>T21+T15</f>
        <v>249.92400000000001</v>
      </c>
      <c r="U27" s="6"/>
      <c r="V27" s="83">
        <f>V21+V15</f>
        <v>280.21900000000005</v>
      </c>
      <c r="W27" s="6"/>
      <c r="X27" s="83">
        <f>X21+X15</f>
        <v>616.92100000000005</v>
      </c>
      <c r="Y27" s="6"/>
      <c r="Z27" s="83">
        <f>Z21+Z15</f>
        <v>672.279</v>
      </c>
      <c r="AA27" s="6"/>
      <c r="AB27" s="83">
        <f>AB21+AB15</f>
        <v>675.78399999999999</v>
      </c>
      <c r="AC27" s="6"/>
      <c r="AD27" s="83">
        <f>AD21+AD15</f>
        <v>679.928</v>
      </c>
      <c r="AE27" s="6"/>
      <c r="AF27" s="83">
        <f>AF21+AF15</f>
        <v>671.8</v>
      </c>
      <c r="AG27" s="6"/>
      <c r="AH27" s="83">
        <f>AH21+AH15</f>
        <v>989.6099999999999</v>
      </c>
      <c r="AI27" s="6"/>
      <c r="AJ27" s="83">
        <f>AJ21+AJ15</f>
        <v>929.96100000000001</v>
      </c>
      <c r="AK27" s="6"/>
      <c r="AL27" s="83">
        <f>AL21+AL15</f>
        <v>812.3</v>
      </c>
      <c r="AM27" s="6"/>
      <c r="AN27" s="83">
        <f>AN21+AN15</f>
        <v>832.8</v>
      </c>
      <c r="AO27" s="6"/>
      <c r="AP27" s="83">
        <f>AP21+AP15</f>
        <v>1193.1999999999998</v>
      </c>
      <c r="AQ27" s="6"/>
      <c r="AR27" s="83">
        <f>AR21+AR15</f>
        <v>774.4</v>
      </c>
      <c r="AS27" s="6"/>
      <c r="AT27" s="83">
        <f>AT21+AT15</f>
        <v>774.4</v>
      </c>
      <c r="AU27" s="6"/>
      <c r="AV27" s="83">
        <f>AV21+AV15</f>
        <v>774.5</v>
      </c>
      <c r="AW27" s="6"/>
      <c r="AX27" s="83">
        <f>AX21+AX15</f>
        <v>1274.2</v>
      </c>
      <c r="AY27" s="6"/>
      <c r="AZ27" s="83">
        <f>AZ21+AZ15</f>
        <v>1623.8</v>
      </c>
      <c r="BA27" s="6"/>
      <c r="BB27" s="22">
        <f>BB21+BB15</f>
        <v>1624</v>
      </c>
      <c r="BC27" s="6"/>
      <c r="BD27" s="22">
        <f>BD21+BD15</f>
        <v>1615.9</v>
      </c>
      <c r="BE27" s="6"/>
      <c r="BF27" s="22">
        <f>BF21+BF15</f>
        <v>2229.1</v>
      </c>
      <c r="BH27" s="22"/>
    </row>
    <row r="28" spans="1:60">
      <c r="A28" s="6" t="str">
        <f t="shared" si="2"/>
        <v>3Q</v>
      </c>
      <c r="B28" s="6" t="str">
        <f t="shared" si="2"/>
        <v>Oct</v>
      </c>
      <c r="C28" s="6"/>
      <c r="D28" s="83">
        <f>D22+D16</f>
        <v>324.39999999999998</v>
      </c>
      <c r="E28" s="6"/>
      <c r="F28" s="83">
        <f>F22+F16</f>
        <v>310.55899999999997</v>
      </c>
      <c r="G28" s="6"/>
      <c r="H28" s="83">
        <f>H22+H16</f>
        <v>259.41700000000003</v>
      </c>
      <c r="I28" s="6"/>
      <c r="J28" s="83">
        <f>J22+J16</f>
        <v>323.41999999999996</v>
      </c>
      <c r="K28" s="6"/>
      <c r="L28" s="83">
        <f>L22+L16</f>
        <v>352.33300000000003</v>
      </c>
      <c r="M28" s="6"/>
      <c r="N28" s="83">
        <f>N22+N16</f>
        <v>564.3130000000001</v>
      </c>
      <c r="O28" s="6"/>
      <c r="P28" s="83">
        <f>P22+P16</f>
        <v>635.00799999999992</v>
      </c>
      <c r="Q28" s="6"/>
      <c r="R28" s="83">
        <f>R22+R16</f>
        <v>245.376</v>
      </c>
      <c r="S28" s="6"/>
      <c r="T28" s="83">
        <f>T22+T16</f>
        <v>142.69900000000001</v>
      </c>
      <c r="U28" s="6"/>
      <c r="V28" s="83">
        <f>V22+V16</f>
        <v>328.59100000000001</v>
      </c>
      <c r="W28" s="6"/>
      <c r="X28" s="83">
        <f>X22+X16</f>
        <v>630.51199999999994</v>
      </c>
      <c r="Y28" s="6"/>
      <c r="Z28" s="83">
        <f>Z22+Z16</f>
        <v>670.71500000000003</v>
      </c>
      <c r="AA28" s="6"/>
      <c r="AB28" s="83">
        <f>AB22+AB16</f>
        <v>677.77599999999995</v>
      </c>
      <c r="AC28" s="6"/>
      <c r="AD28" s="83">
        <f>AD22+AD16</f>
        <v>667</v>
      </c>
      <c r="AE28" s="6"/>
      <c r="AF28" s="83">
        <f>AF22+AF16</f>
        <v>671.7</v>
      </c>
      <c r="AG28" s="6"/>
      <c r="AH28" s="83">
        <f>AH22+AH16</f>
        <v>1025.7</v>
      </c>
      <c r="AI28" s="6"/>
      <c r="AJ28" s="83">
        <f>AJ22+AJ16</f>
        <v>794.7</v>
      </c>
      <c r="AK28" s="6"/>
      <c r="AL28" s="83">
        <f>AL22+AL16</f>
        <v>839.3</v>
      </c>
      <c r="AM28" s="6"/>
      <c r="AN28" s="83">
        <f>AN22+AN16</f>
        <v>748.6</v>
      </c>
      <c r="AO28" s="6"/>
      <c r="AP28" s="83">
        <f>AP22+AP16</f>
        <v>974.69999999999993</v>
      </c>
      <c r="AQ28" s="6"/>
      <c r="AR28" s="83">
        <f>AR22+AR16</f>
        <v>774.4</v>
      </c>
      <c r="AS28" s="6"/>
      <c r="AT28" s="83">
        <f>AT22+AT16</f>
        <v>774.5</v>
      </c>
      <c r="AU28" s="6"/>
      <c r="AV28" s="83">
        <f>AV22+AV16</f>
        <v>774.5</v>
      </c>
      <c r="AW28" s="6"/>
      <c r="AX28" s="83">
        <f>AX22+AX16</f>
        <v>1274.2</v>
      </c>
      <c r="AY28" s="6"/>
      <c r="AZ28" s="83">
        <f>AZ22+AZ16</f>
        <v>1623.8</v>
      </c>
      <c r="BA28" s="6"/>
      <c r="BB28" s="22">
        <f>BB22+BB16</f>
        <v>1624</v>
      </c>
      <c r="BC28" s="6"/>
      <c r="BD28" s="22">
        <f>BD22+BD16</f>
        <v>2226.9</v>
      </c>
      <c r="BE28" s="6"/>
      <c r="BF28" s="22">
        <f>BF22+BF16</f>
        <v>2229.8000000000002</v>
      </c>
      <c r="BH28" s="22"/>
    </row>
    <row r="29" spans="1:60">
      <c r="A29" s="6" t="str">
        <f t="shared" si="2"/>
        <v>4Q</v>
      </c>
      <c r="B29" s="6" t="str">
        <f t="shared" si="2"/>
        <v>Jan</v>
      </c>
      <c r="C29" s="6"/>
      <c r="D29" s="83">
        <f>D23+D17</f>
        <v>315.36899999999997</v>
      </c>
      <c r="E29" s="6"/>
      <c r="F29" s="83">
        <f>F23+F17</f>
        <v>314.13</v>
      </c>
      <c r="G29" s="6"/>
      <c r="H29" s="83">
        <f>H23+H17</f>
        <v>183.99100000000001</v>
      </c>
      <c r="I29" s="6"/>
      <c r="J29" s="83">
        <f>J23+J17</f>
        <v>216.79</v>
      </c>
      <c r="K29" s="6"/>
      <c r="L29" s="83">
        <f>L23+L17</f>
        <v>290.78399999999999</v>
      </c>
      <c r="M29" s="6"/>
      <c r="N29" s="83">
        <f>N23+N17</f>
        <v>769.38299999999992</v>
      </c>
      <c r="O29" s="6"/>
      <c r="P29" s="83">
        <f>P23+P17</f>
        <v>271.54999999999995</v>
      </c>
      <c r="Q29" s="6"/>
      <c r="R29" s="83">
        <f>R23+R17</f>
        <v>250.77500000000001</v>
      </c>
      <c r="S29" s="6"/>
      <c r="T29" s="83">
        <f>T23+T17</f>
        <v>121.03800000000001</v>
      </c>
      <c r="U29" s="6"/>
      <c r="V29" s="83">
        <f>V23+V17</f>
        <v>419.726</v>
      </c>
      <c r="W29" s="6"/>
      <c r="X29" s="83">
        <f>X23+X17</f>
        <v>358.44499999999999</v>
      </c>
      <c r="Y29" s="6"/>
      <c r="Z29" s="83">
        <f>Z23+Z17</f>
        <v>672.04300000000001</v>
      </c>
      <c r="AA29" s="6"/>
      <c r="AB29" s="83">
        <f>AB23+AB17</f>
        <v>679.77599999999995</v>
      </c>
      <c r="AC29" s="6"/>
      <c r="AD29" s="83">
        <f>AD23+AD17</f>
        <v>669.8</v>
      </c>
      <c r="AE29" s="6"/>
      <c r="AF29" s="83">
        <f>AF23+AF17</f>
        <v>672.6</v>
      </c>
      <c r="AG29" s="6"/>
      <c r="AH29" s="83">
        <f>AH23+AH17</f>
        <v>782.91399999999999</v>
      </c>
      <c r="AI29" s="6"/>
      <c r="AJ29" s="83">
        <f>AJ23+AJ17</f>
        <v>785.6</v>
      </c>
      <c r="AK29" s="6"/>
      <c r="AL29" s="83">
        <f>AL23+AL17</f>
        <v>833.1</v>
      </c>
      <c r="AM29" s="6"/>
      <c r="AN29" s="83">
        <f>AN23+AN17</f>
        <v>758.5</v>
      </c>
      <c r="AO29" s="6"/>
      <c r="AP29" s="83">
        <f>AP23+AP17</f>
        <v>774.3</v>
      </c>
      <c r="AQ29" s="6"/>
      <c r="AR29" s="83">
        <f>AR23+AR17</f>
        <v>774.4</v>
      </c>
      <c r="AS29" s="6"/>
      <c r="AT29" s="83">
        <f>AT23+AT17</f>
        <v>774.5</v>
      </c>
      <c r="AU29" s="6"/>
      <c r="AV29" s="83">
        <f>AV23+AV17</f>
        <v>774.6</v>
      </c>
      <c r="AW29" s="6"/>
      <c r="AX29" s="83">
        <f>AX23+AX17</f>
        <v>1274.2</v>
      </c>
      <c r="AY29" s="6"/>
      <c r="AZ29" s="83">
        <f>AZ23+AZ17</f>
        <v>1623.9</v>
      </c>
      <c r="BA29" s="6"/>
      <c r="BB29" s="83">
        <f>BB23+BB17</f>
        <v>1624.1</v>
      </c>
      <c r="BC29" s="6"/>
      <c r="BD29" s="83">
        <f>BD23+BD17</f>
        <v>2227.6</v>
      </c>
      <c r="BE29" s="6"/>
      <c r="BF29" s="22">
        <f>BF23+BF17</f>
        <v>2230.6</v>
      </c>
      <c r="BH29" s="83"/>
    </row>
    <row r="30" spans="1:60">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6"/>
      <c r="AK30" s="6"/>
      <c r="AL30" s="6"/>
      <c r="AM30" s="6"/>
      <c r="AN30" s="6"/>
      <c r="AO30" s="6"/>
      <c r="AP30" s="6"/>
      <c r="AQ30" s="6"/>
      <c r="AR30" s="6"/>
      <c r="AS30" s="6"/>
      <c r="AT30" s="6"/>
      <c r="AU30" s="6"/>
      <c r="AV30" s="6"/>
      <c r="AW30" s="6"/>
      <c r="AX30" s="6"/>
      <c r="AY30" s="6"/>
      <c r="AZ30" s="6"/>
      <c r="BA30" s="6"/>
      <c r="BB30" s="6"/>
      <c r="BC30" s="6"/>
      <c r="BD30" s="6"/>
      <c r="BE30" s="6"/>
      <c r="BF30" s="6"/>
      <c r="BH30" s="6"/>
    </row>
    <row r="31" spans="1:60">
      <c r="A31" s="6"/>
      <c r="B31" s="6"/>
      <c r="C31" s="6"/>
      <c r="D31" s="55"/>
      <c r="E31" s="6"/>
      <c r="F31" s="55"/>
      <c r="G31" s="6"/>
      <c r="H31" s="55"/>
      <c r="I31" s="6"/>
      <c r="J31" s="55"/>
      <c r="K31" s="6"/>
      <c r="L31" s="55"/>
      <c r="M31" s="6"/>
      <c r="N31" s="55"/>
      <c r="O31" s="6"/>
      <c r="P31" s="55"/>
      <c r="Q31" s="6"/>
      <c r="R31" s="6"/>
      <c r="S31" s="79"/>
      <c r="T31" s="79"/>
      <c r="U31" s="78"/>
      <c r="V31" s="79" t="s">
        <v>325</v>
      </c>
      <c r="W31" s="79"/>
      <c r="X31" s="78"/>
      <c r="Y31" s="79"/>
      <c r="Z31" s="78"/>
      <c r="AA31" s="79"/>
      <c r="AB31" s="78"/>
      <c r="AC31" s="79"/>
      <c r="AD31" s="78"/>
      <c r="AE31" s="79"/>
      <c r="AF31" s="79" t="s">
        <v>325</v>
      </c>
      <c r="AG31" s="78"/>
      <c r="AH31" s="78"/>
      <c r="AI31" s="78"/>
      <c r="AJ31" s="78"/>
      <c r="AK31" s="78"/>
      <c r="AL31" s="79" t="s">
        <v>325</v>
      </c>
      <c r="AM31" s="78"/>
      <c r="AN31" s="78"/>
      <c r="AO31" s="78"/>
      <c r="AP31" s="78"/>
      <c r="AQ31" s="78"/>
      <c r="AR31" s="78"/>
      <c r="AS31" s="78"/>
      <c r="AT31" s="78"/>
      <c r="AU31" s="78"/>
      <c r="AV31" s="78"/>
      <c r="AW31" s="78"/>
      <c r="AX31" s="78"/>
      <c r="AY31" s="78"/>
      <c r="AZ31" s="78"/>
      <c r="BA31" s="78"/>
      <c r="BB31" s="78"/>
      <c r="BC31" s="78"/>
      <c r="BD31" s="78"/>
      <c r="BE31" s="78"/>
      <c r="BF31" s="78"/>
      <c r="BH31" s="78"/>
    </row>
    <row r="32" spans="1:60">
      <c r="A32" s="6" t="str">
        <f t="shared" ref="A32:B35" si="3">A26</f>
        <v>1Q</v>
      </c>
      <c r="B32" s="6" t="str">
        <f t="shared" si="3"/>
        <v>Apr</v>
      </c>
      <c r="C32" s="6"/>
      <c r="D32" s="69">
        <f>D26-D8</f>
        <v>256.30799999999994</v>
      </c>
      <c r="E32" s="6"/>
      <c r="F32" s="69">
        <f>F26-F8</f>
        <v>253.44000000000003</v>
      </c>
      <c r="G32" s="6"/>
      <c r="H32" s="69">
        <f>H26-H8</f>
        <v>252.31300000000005</v>
      </c>
      <c r="I32" s="6"/>
      <c r="J32" s="69">
        <f>J26-J8</f>
        <v>135.959</v>
      </c>
      <c r="K32" s="6"/>
      <c r="L32" s="69">
        <f>L26-L8</f>
        <v>195.54400000000001</v>
      </c>
      <c r="M32" s="6"/>
      <c r="N32" s="69">
        <f>N26-N8</f>
        <v>417.06700000000001</v>
      </c>
      <c r="O32" s="6"/>
      <c r="P32" s="69">
        <f>P26-P8</f>
        <v>579.18599999999992</v>
      </c>
      <c r="Q32" s="6"/>
      <c r="R32" s="69">
        <f>R26-R8</f>
        <v>-123.99799999999999</v>
      </c>
      <c r="S32" s="6"/>
      <c r="T32" s="69">
        <f>T26-T8</f>
        <v>-76.694000000000017</v>
      </c>
      <c r="U32" s="6"/>
      <c r="V32" s="69">
        <f>V26-V8</f>
        <v>-77.774000000000029</v>
      </c>
      <c r="W32" s="6"/>
      <c r="X32" s="69">
        <f>X26-X8</f>
        <v>194.27699999999996</v>
      </c>
      <c r="Y32" s="6"/>
      <c r="Z32" s="69">
        <f>Z26-Z8</f>
        <v>377.04999999999995</v>
      </c>
      <c r="AA32" s="6"/>
      <c r="AB32" s="69">
        <f>AB26-AB8</f>
        <v>156.947</v>
      </c>
      <c r="AC32" s="6"/>
      <c r="AD32" s="69">
        <f>AD26-AD8</f>
        <v>510.33799999999997</v>
      </c>
      <c r="AE32" s="6"/>
      <c r="AF32" s="69">
        <f>AF26-AF8</f>
        <v>427.9</v>
      </c>
      <c r="AG32" s="6"/>
      <c r="AH32" s="69">
        <f>AH26-AH8</f>
        <v>530.90000000000009</v>
      </c>
      <c r="AI32" s="6"/>
      <c r="AJ32" s="69">
        <f>AJ26-AJ8</f>
        <v>509.70000000000005</v>
      </c>
      <c r="AK32" s="6"/>
      <c r="AL32" s="69">
        <f>AL26-AL8</f>
        <v>18.799999999999955</v>
      </c>
      <c r="AM32" s="6"/>
      <c r="AN32" s="69">
        <f>AN26-AN8</f>
        <v>134.5</v>
      </c>
      <c r="AO32" s="6"/>
      <c r="AP32" s="69">
        <f>AP26-AP8</f>
        <v>47.299999999999955</v>
      </c>
      <c r="AQ32" s="6"/>
      <c r="AR32" s="69">
        <f>AR26-AR8</f>
        <v>-1185.0999999999999</v>
      </c>
      <c r="AS32" s="6"/>
      <c r="AT32" s="69">
        <f>AT26-AT8</f>
        <v>-688.1</v>
      </c>
      <c r="AU32" s="6"/>
      <c r="AV32" s="69">
        <f>AV26-AV8</f>
        <v>-964.10000000000014</v>
      </c>
      <c r="AW32" s="6"/>
      <c r="AX32" s="69">
        <f>AX26-AX8</f>
        <v>-953.70000000000027</v>
      </c>
      <c r="AY32" s="6"/>
      <c r="AZ32" s="69">
        <f>AZ26-AZ8</f>
        <v>-1045.0000000000002</v>
      </c>
      <c r="BA32" s="6"/>
      <c r="BB32" s="69">
        <f>BB26-BB8</f>
        <v>-964.90000000000009</v>
      </c>
      <c r="BC32" s="6"/>
      <c r="BD32" s="69">
        <f>BD26-BD8</f>
        <v>-732.40000000000009</v>
      </c>
      <c r="BE32" s="6"/>
      <c r="BF32" s="69">
        <f>BF26-BF8</f>
        <v>-2385.2999999999997</v>
      </c>
      <c r="BH32" s="69"/>
    </row>
    <row r="33" spans="1:60">
      <c r="A33" s="6" t="str">
        <f t="shared" si="3"/>
        <v>2Q</v>
      </c>
      <c r="B33" s="6" t="str">
        <f t="shared" si="3"/>
        <v>Jul</v>
      </c>
      <c r="C33" s="6"/>
      <c r="D33" s="83">
        <f>D27-D9</f>
        <v>319.66899999999993</v>
      </c>
      <c r="E33" s="6"/>
      <c r="F33" s="83">
        <f>F27-F9</f>
        <v>284.75200000000001</v>
      </c>
      <c r="G33" s="6"/>
      <c r="H33" s="83">
        <f>H27-H9</f>
        <v>322.048</v>
      </c>
      <c r="I33" s="6"/>
      <c r="J33" s="83">
        <f>J27-J9</f>
        <v>261.476</v>
      </c>
      <c r="K33" s="6"/>
      <c r="L33" s="83">
        <f>L27-L9</f>
        <v>287.09299999999996</v>
      </c>
      <c r="M33" s="6"/>
      <c r="N33" s="83">
        <f>N27-N9</f>
        <v>513.53600000000006</v>
      </c>
      <c r="O33" s="6"/>
      <c r="P33" s="83">
        <f>P27-P9</f>
        <v>521.14300000000014</v>
      </c>
      <c r="Q33" s="6"/>
      <c r="R33" s="83">
        <f>R27-R9</f>
        <v>130.73200000000003</v>
      </c>
      <c r="S33" s="6"/>
      <c r="T33" s="83">
        <f>T27-T9</f>
        <v>191.90700000000001</v>
      </c>
      <c r="U33" s="6"/>
      <c r="V33" s="83">
        <f>V27-V9</f>
        <v>233.03200000000004</v>
      </c>
      <c r="W33" s="6"/>
      <c r="X33" s="83">
        <f>X27-X9</f>
        <v>577.52100000000007</v>
      </c>
      <c r="Y33" s="6"/>
      <c r="Z33" s="83">
        <f>Z27-Z9</f>
        <v>533.66200000000003</v>
      </c>
      <c r="AA33" s="6"/>
      <c r="AB33" s="83">
        <f>AB27-AB9</f>
        <v>383.14</v>
      </c>
      <c r="AC33" s="83"/>
      <c r="AD33" s="83">
        <f>AD27-AD9</f>
        <v>635.91999999999996</v>
      </c>
      <c r="AE33" s="83"/>
      <c r="AF33" s="83">
        <f>AF27-AF9</f>
        <v>536.19999999999993</v>
      </c>
      <c r="AG33" s="6"/>
      <c r="AH33" s="83">
        <f>AH27-AH9</f>
        <v>807.92099999999994</v>
      </c>
      <c r="AI33" s="6"/>
      <c r="AJ33" s="83">
        <f>AJ27-AJ9</f>
        <v>657.24400000000003</v>
      </c>
      <c r="AK33" s="6"/>
      <c r="AL33" s="83">
        <f>AL27-AL9</f>
        <v>278.5</v>
      </c>
      <c r="AM33" s="6"/>
      <c r="AN33" s="83">
        <f>AN27-AN9</f>
        <v>315.29999999999995</v>
      </c>
      <c r="AO33" s="6"/>
      <c r="AP33" s="83">
        <f>AP27-AP9</f>
        <v>-233.70000000000027</v>
      </c>
      <c r="AQ33" s="6"/>
      <c r="AR33" s="83">
        <f>AR27-AR9</f>
        <v>-605.80000000000007</v>
      </c>
      <c r="AS33" s="6"/>
      <c r="AT33" s="83">
        <f>AT27-AT9</f>
        <v>-203.39999999999998</v>
      </c>
      <c r="AU33" s="6"/>
      <c r="AV33" s="69">
        <f>AV27-AV9</f>
        <v>-845.90000000000009</v>
      </c>
      <c r="AW33" s="6"/>
      <c r="AX33" s="69">
        <f>AX27-AX9</f>
        <v>-584.59999999999991</v>
      </c>
      <c r="AY33" s="6"/>
      <c r="AZ33" s="69">
        <f>AZ27-AZ9</f>
        <v>-844.50000000000023</v>
      </c>
      <c r="BA33" s="6"/>
      <c r="BB33" s="69">
        <f>BB27-BB9</f>
        <v>-614.30000000000018</v>
      </c>
      <c r="BC33" s="6"/>
      <c r="BD33" s="69">
        <f>BD27-BD9</f>
        <v>-608.89999999999964</v>
      </c>
      <c r="BE33" s="6"/>
      <c r="BF33" s="69">
        <f>BF27-BF9</f>
        <v>-723.00000000000045</v>
      </c>
      <c r="BH33" s="69"/>
    </row>
    <row r="34" spans="1:60">
      <c r="A34" s="6" t="str">
        <f t="shared" si="3"/>
        <v>3Q</v>
      </c>
      <c r="B34" s="6" t="str">
        <f t="shared" si="3"/>
        <v>Oct</v>
      </c>
      <c r="C34" s="6"/>
      <c r="D34" s="83">
        <f>D28-D10</f>
        <v>281</v>
      </c>
      <c r="E34" s="6"/>
      <c r="F34" s="83">
        <f>F28-F10</f>
        <v>278.77199999999999</v>
      </c>
      <c r="G34" s="6"/>
      <c r="H34" s="83">
        <f>H28-H10</f>
        <v>233.87700000000004</v>
      </c>
      <c r="I34" s="6"/>
      <c r="J34" s="83">
        <f>J28-J10</f>
        <v>276.23599999999999</v>
      </c>
      <c r="K34" s="6"/>
      <c r="L34" s="83">
        <f>L28-L10</f>
        <v>326.08600000000001</v>
      </c>
      <c r="M34" s="6"/>
      <c r="N34" s="83">
        <f>N28-N10</f>
        <v>537.41100000000006</v>
      </c>
      <c r="O34" s="6"/>
      <c r="P34" s="83">
        <f>P28-P10</f>
        <v>398.97299999999996</v>
      </c>
      <c r="Q34" s="6"/>
      <c r="R34" s="83">
        <f>R28-R10</f>
        <v>101.774</v>
      </c>
      <c r="S34" s="6"/>
      <c r="T34" s="83">
        <f>T28-T10</f>
        <v>-12.99199999999999</v>
      </c>
      <c r="U34" s="6"/>
      <c r="V34" s="83">
        <f>V28-V10</f>
        <v>304.03000000000003</v>
      </c>
      <c r="W34" s="6"/>
      <c r="X34" s="83">
        <f>X28-X10</f>
        <v>575.03099999999995</v>
      </c>
      <c r="Y34" s="6"/>
      <c r="Z34" s="83">
        <f>Z28-Z10</f>
        <v>594.62700000000007</v>
      </c>
      <c r="AA34" s="6"/>
      <c r="AB34" s="83">
        <f>AB28-AB10</f>
        <v>525.83699999999999</v>
      </c>
      <c r="AC34" s="6"/>
      <c r="AD34" s="83">
        <f>AD28-AD10</f>
        <v>579.4</v>
      </c>
      <c r="AE34" s="6"/>
      <c r="AF34" s="83">
        <f>AF28-AF10</f>
        <v>528.30000000000007</v>
      </c>
      <c r="AG34" s="6"/>
      <c r="AH34" s="83">
        <f>AH28-AH10</f>
        <v>824.7</v>
      </c>
      <c r="AI34" s="6"/>
      <c r="AJ34" s="83">
        <f>AJ28-AJ10</f>
        <v>453.1</v>
      </c>
      <c r="AK34" s="6"/>
      <c r="AL34" s="83">
        <f>AL28-AL10</f>
        <v>451.19999999999993</v>
      </c>
      <c r="AM34" s="6"/>
      <c r="AN34" s="83">
        <f>AN28-AN10</f>
        <v>361.20000000000005</v>
      </c>
      <c r="AO34" s="6"/>
      <c r="AP34" s="83">
        <f>AP28-AP10</f>
        <v>-470.9</v>
      </c>
      <c r="AQ34" s="6"/>
      <c r="AR34" s="83">
        <f>AR28-AR10</f>
        <v>-564.69999999999993</v>
      </c>
      <c r="AS34" s="6"/>
      <c r="AT34" s="83">
        <f>AT28-AT10</f>
        <v>-182.39999999999998</v>
      </c>
      <c r="AU34" s="6"/>
      <c r="AV34" s="69">
        <f>AV28-AV10</f>
        <v>-867.40000000000009</v>
      </c>
      <c r="AW34" s="6"/>
      <c r="AX34" s="69">
        <f>AX28-AX10</f>
        <v>-736.59999999999991</v>
      </c>
      <c r="AY34" s="6"/>
      <c r="AZ34" s="69">
        <f>AZ28-AZ10</f>
        <v>-529.79999999999995</v>
      </c>
      <c r="BA34" s="6"/>
      <c r="BB34" s="69">
        <f>BB28-BB10</f>
        <v>-499</v>
      </c>
      <c r="BC34" s="6"/>
      <c r="BD34" s="69">
        <f>BD28-BD10</f>
        <v>-599.40000000000009</v>
      </c>
      <c r="BE34" s="6"/>
      <c r="BF34" s="69">
        <f>BF28-BF10</f>
        <v>-645.99999999999955</v>
      </c>
      <c r="BH34" s="69"/>
    </row>
    <row r="35" spans="1:60">
      <c r="A35" s="6" t="str">
        <f t="shared" si="3"/>
        <v>4Q</v>
      </c>
      <c r="B35" s="6" t="str">
        <f t="shared" si="3"/>
        <v>Jan</v>
      </c>
      <c r="C35" s="6"/>
      <c r="D35" s="83">
        <f>D29-D11</f>
        <v>232.04499999999996</v>
      </c>
      <c r="E35" s="6"/>
      <c r="F35" s="83">
        <f>F29-F11</f>
        <v>246.83600000000001</v>
      </c>
      <c r="G35" s="6"/>
      <c r="H35" s="83">
        <f>H29-H11</f>
        <v>77.300000000000011</v>
      </c>
      <c r="I35" s="6"/>
      <c r="J35" s="83">
        <f>J29-J11</f>
        <v>158.68799999999999</v>
      </c>
      <c r="K35" s="6"/>
      <c r="L35" s="83">
        <f>L29-L11</f>
        <v>249.21499999999997</v>
      </c>
      <c r="M35" s="6"/>
      <c r="N35" s="83">
        <f>N29-N11</f>
        <v>560.15699999999993</v>
      </c>
      <c r="O35" s="6"/>
      <c r="P35" s="83">
        <f>P29-P11</f>
        <v>-203.18200000000007</v>
      </c>
      <c r="Q35" s="6"/>
      <c r="R35" s="83">
        <f>R29-R11</f>
        <v>-153.59400000000002</v>
      </c>
      <c r="S35" s="6"/>
      <c r="T35" s="83">
        <f>T29-T11</f>
        <v>-340.20600000000002</v>
      </c>
      <c r="U35" s="6"/>
      <c r="V35" s="83">
        <f>V29-V11</f>
        <v>47.966999999999985</v>
      </c>
      <c r="W35" s="6"/>
      <c r="X35" s="83">
        <f>X29-X11</f>
        <v>225.91</v>
      </c>
      <c r="Y35" s="6"/>
      <c r="Z35" s="83">
        <f>Z29-Z11</f>
        <v>179.267</v>
      </c>
      <c r="AA35" s="6"/>
      <c r="AB35" s="83">
        <f>AB29-AB11</f>
        <v>187.44599999999997</v>
      </c>
      <c r="AC35" s="6"/>
      <c r="AD35" s="83">
        <f>AD29-AD11</f>
        <v>423.4</v>
      </c>
      <c r="AE35" s="6"/>
      <c r="AF35" s="83">
        <f>AF29-AF11</f>
        <v>365.40000000000003</v>
      </c>
      <c r="AG35" s="6"/>
      <c r="AH35" s="83">
        <f>AH29-AH11</f>
        <v>317.26499999999999</v>
      </c>
      <c r="AI35" s="6"/>
      <c r="AJ35" s="83">
        <f>AJ29-AJ11</f>
        <v>-71.100000000000023</v>
      </c>
      <c r="AK35" s="6"/>
      <c r="AL35" s="83">
        <f>AL29-AL11</f>
        <v>100.5</v>
      </c>
      <c r="AM35" s="6"/>
      <c r="AN35" s="83">
        <f>AN29-AN11</f>
        <v>305</v>
      </c>
      <c r="AO35" s="6"/>
      <c r="AP35" s="83">
        <f>AP29-AP11</f>
        <v>-840.3</v>
      </c>
      <c r="AQ35" s="6"/>
      <c r="AR35" s="83">
        <f>AR29-AR11</f>
        <v>-1043.6999999999998</v>
      </c>
      <c r="AS35" s="6"/>
      <c r="AT35" s="83">
        <f>AT29-AT11</f>
        <v>-827.3</v>
      </c>
      <c r="AU35" s="6"/>
      <c r="AV35" s="69">
        <f>AV29-AV11</f>
        <v>-1273.1999999999998</v>
      </c>
      <c r="AW35" s="6"/>
      <c r="AX35" s="69">
        <f>AX29-AX11</f>
        <v>-1170.1999999999996</v>
      </c>
      <c r="AY35" s="6"/>
      <c r="AZ35" s="69">
        <f>AZ29-AZ11</f>
        <v>-869.87101000000121</v>
      </c>
      <c r="BA35" s="6"/>
      <c r="BB35" s="69">
        <f>BB29-BB11</f>
        <v>-823.70000000000027</v>
      </c>
      <c r="BC35" s="6"/>
      <c r="BD35" s="69">
        <f>BD29-BD11</f>
        <v>-1245.4000000000001</v>
      </c>
      <c r="BE35" s="6"/>
      <c r="BF35" s="69">
        <f>BF29-BF11</f>
        <v>-1061.0999999999999</v>
      </c>
      <c r="BH35" s="69"/>
    </row>
    <row r="36" spans="1:60">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6"/>
      <c r="AK36" s="6"/>
      <c r="AL36" s="6"/>
      <c r="AM36" s="6"/>
      <c r="AN36" s="6"/>
      <c r="AO36" s="6"/>
      <c r="AP36" s="6"/>
      <c r="AQ36" s="6"/>
      <c r="AR36" s="6"/>
      <c r="AS36" s="6"/>
      <c r="AT36" s="6"/>
      <c r="AU36" s="6"/>
      <c r="AV36" s="6"/>
      <c r="AW36" s="6"/>
      <c r="AX36" s="6"/>
      <c r="AY36" s="6"/>
      <c r="AZ36" s="6"/>
      <c r="BA36" s="6"/>
      <c r="BB36" s="6"/>
      <c r="BC36" s="6"/>
      <c r="BD36" s="6"/>
      <c r="BE36" s="6"/>
      <c r="BF36" s="6"/>
      <c r="BH36" s="6"/>
    </row>
    <row r="37" spans="1:60">
      <c r="A37" s="6"/>
      <c r="B37" s="6"/>
      <c r="C37" s="6"/>
      <c r="D37" s="81"/>
      <c r="E37" s="6"/>
      <c r="F37" s="81"/>
      <c r="G37" s="6"/>
      <c r="H37" s="81"/>
      <c r="I37" s="6"/>
      <c r="J37" s="81"/>
      <c r="K37" s="6"/>
      <c r="L37" s="81"/>
      <c r="M37" s="6"/>
      <c r="N37" s="81"/>
      <c r="O37" s="6"/>
      <c r="P37" s="81"/>
      <c r="Q37" s="6"/>
      <c r="R37" s="6"/>
      <c r="S37" s="77"/>
      <c r="T37" s="77"/>
      <c r="U37" s="78"/>
      <c r="V37" s="77" t="s">
        <v>326</v>
      </c>
      <c r="W37" s="77"/>
      <c r="X37" s="78"/>
      <c r="Y37" s="77"/>
      <c r="Z37" s="78"/>
      <c r="AA37" s="77"/>
      <c r="AB37" s="78"/>
      <c r="AC37" s="77"/>
      <c r="AD37" s="78"/>
      <c r="AE37" s="77"/>
      <c r="AF37" s="77" t="s">
        <v>326</v>
      </c>
      <c r="AG37" s="78"/>
      <c r="AH37" s="78"/>
      <c r="AI37" s="78"/>
      <c r="AJ37" s="78"/>
      <c r="AK37" s="78"/>
      <c r="AL37" s="77" t="s">
        <v>326</v>
      </c>
      <c r="AM37" s="78"/>
      <c r="AN37" s="78"/>
      <c r="AO37" s="78"/>
      <c r="AP37" s="78"/>
      <c r="AQ37" s="78"/>
      <c r="AR37" s="78"/>
      <c r="AS37" s="78"/>
      <c r="AT37" s="78"/>
      <c r="AU37" s="78"/>
      <c r="AV37" s="78"/>
      <c r="AW37" s="78"/>
      <c r="AX37" s="78"/>
      <c r="AY37" s="78"/>
      <c r="AZ37" s="78"/>
      <c r="BA37" s="78"/>
      <c r="BB37" s="78"/>
      <c r="BC37" s="78"/>
      <c r="BD37" s="78"/>
      <c r="BE37" s="78"/>
      <c r="BF37" s="78"/>
      <c r="BH37" s="78"/>
    </row>
    <row r="38" spans="1:60">
      <c r="A38" s="6" t="str">
        <f t="shared" ref="A38:B41" si="4">A32</f>
        <v>1Q</v>
      </c>
      <c r="B38" s="6" t="str">
        <f t="shared" si="4"/>
        <v>Apr</v>
      </c>
      <c r="C38" s="6"/>
      <c r="D38" s="112">
        <v>235.08600000000001</v>
      </c>
      <c r="E38" s="6"/>
      <c r="F38" s="112">
        <v>277.80500000000001</v>
      </c>
      <c r="G38" s="6"/>
      <c r="H38" s="112">
        <v>290.72500000000002</v>
      </c>
      <c r="I38" s="6"/>
      <c r="J38" s="112">
        <v>515.03599999999994</v>
      </c>
      <c r="K38" s="6"/>
      <c r="L38" s="112">
        <v>597.91499999999996</v>
      </c>
      <c r="M38" s="6"/>
      <c r="N38" s="112">
        <v>602.73</v>
      </c>
      <c r="O38" s="6"/>
      <c r="P38" s="112">
        <v>785.54100000000005</v>
      </c>
      <c r="Q38" s="6"/>
      <c r="R38" s="69">
        <v>1167.9949999999999</v>
      </c>
      <c r="S38" s="6"/>
      <c r="T38" s="69">
        <v>1141.2760000000001</v>
      </c>
      <c r="U38" s="6"/>
      <c r="V38" s="69">
        <v>1206.82</v>
      </c>
      <c r="W38" s="6"/>
      <c r="X38" s="69">
        <v>1088.896</v>
      </c>
      <c r="Y38" s="6"/>
      <c r="Z38" s="69">
        <v>1213.992</v>
      </c>
      <c r="AA38" s="6"/>
      <c r="AB38" s="69">
        <v>1383.4190000000001</v>
      </c>
      <c r="AC38" s="6"/>
      <c r="AD38" s="85">
        <v>1369.0889999999999</v>
      </c>
      <c r="AE38" s="6"/>
      <c r="AF38" s="85">
        <v>1585.501</v>
      </c>
      <c r="AG38" s="6"/>
      <c r="AH38" s="85">
        <v>1527.6</v>
      </c>
      <c r="AI38" s="6"/>
      <c r="AJ38" s="85">
        <v>1928.8</v>
      </c>
      <c r="AK38" s="6"/>
      <c r="AL38" s="85">
        <v>2420</v>
      </c>
      <c r="AM38" s="6"/>
      <c r="AN38" s="85">
        <v>2138.1</v>
      </c>
      <c r="AO38" s="6"/>
      <c r="AP38" s="85">
        <v>2336</v>
      </c>
      <c r="AQ38" s="6"/>
      <c r="AR38" s="163">
        <v>3039.4</v>
      </c>
      <c r="AS38" s="6"/>
      <c r="AT38" s="163">
        <v>3123.4</v>
      </c>
      <c r="AU38" s="6"/>
      <c r="AV38" s="163">
        <v>3331.8</v>
      </c>
      <c r="AW38" s="6"/>
      <c r="AX38" s="163">
        <v>3762.7</v>
      </c>
      <c r="AY38" s="6"/>
      <c r="AZ38" s="163">
        <v>4283.5</v>
      </c>
      <c r="BA38" s="6"/>
      <c r="BB38" s="163">
        <v>4290.3</v>
      </c>
      <c r="BC38" s="6"/>
      <c r="BD38" s="163">
        <v>4535</v>
      </c>
      <c r="BE38" s="6"/>
      <c r="BF38" s="163">
        <v>4553.5</v>
      </c>
      <c r="BH38" s="163"/>
    </row>
    <row r="39" spans="1:60">
      <c r="A39" s="6" t="str">
        <f t="shared" si="4"/>
        <v>2Q</v>
      </c>
      <c r="B39" s="6" t="str">
        <f t="shared" si="4"/>
        <v>Jul</v>
      </c>
      <c r="C39" s="6"/>
      <c r="D39" s="113">
        <v>241.77500000000001</v>
      </c>
      <c r="E39" s="6"/>
      <c r="F39" s="113">
        <v>284.34699999999998</v>
      </c>
      <c r="G39" s="6"/>
      <c r="H39" s="113">
        <v>301.68</v>
      </c>
      <c r="I39" s="6"/>
      <c r="J39" s="113">
        <v>531.31799999999998</v>
      </c>
      <c r="K39" s="6"/>
      <c r="L39" s="113">
        <v>604.93299999999999</v>
      </c>
      <c r="M39" s="6"/>
      <c r="N39" s="113">
        <v>565.89</v>
      </c>
      <c r="O39" s="6"/>
      <c r="P39" s="113">
        <v>815.702</v>
      </c>
      <c r="Q39" s="26"/>
      <c r="R39" s="83">
        <v>1168.8920000000001</v>
      </c>
      <c r="S39" s="6"/>
      <c r="T39" s="83">
        <v>1123.873</v>
      </c>
      <c r="U39" s="6"/>
      <c r="V39" s="83">
        <v>1217.443</v>
      </c>
      <c r="W39" s="6"/>
      <c r="X39" s="83">
        <v>997.94299999999998</v>
      </c>
      <c r="Y39" s="6"/>
      <c r="Z39" s="83">
        <v>1208.789</v>
      </c>
      <c r="AA39" s="6"/>
      <c r="AB39" s="83">
        <v>1323.7539999999999</v>
      </c>
      <c r="AC39" s="6"/>
      <c r="AD39" s="82">
        <v>1352.951</v>
      </c>
      <c r="AE39" s="6"/>
      <c r="AF39" s="82">
        <v>1532.8</v>
      </c>
      <c r="AG39" s="6"/>
      <c r="AH39" s="130">
        <v>1613.095</v>
      </c>
      <c r="AI39" s="6"/>
      <c r="AJ39" s="82">
        <v>1874.682</v>
      </c>
      <c r="AK39" s="6"/>
      <c r="AL39" s="82">
        <v>2154.3000000000002</v>
      </c>
      <c r="AM39" s="6"/>
      <c r="AN39" s="82">
        <v>2113.6</v>
      </c>
      <c r="AO39" s="6"/>
      <c r="AP39" s="82">
        <v>2831.9</v>
      </c>
      <c r="AQ39" s="6"/>
      <c r="AR39" s="130">
        <v>2973.7</v>
      </c>
      <c r="AS39" s="6"/>
      <c r="AT39" s="130">
        <v>3105</v>
      </c>
      <c r="AU39" s="6"/>
      <c r="AV39" s="130">
        <v>3390</v>
      </c>
      <c r="AW39" s="6"/>
      <c r="AX39" s="130">
        <v>3850.1</v>
      </c>
      <c r="AY39" s="6"/>
      <c r="AZ39" s="130">
        <v>4274.7</v>
      </c>
      <c r="BA39" s="6"/>
      <c r="BB39" s="130">
        <v>4276</v>
      </c>
      <c r="BC39" s="6"/>
      <c r="BD39" s="130">
        <v>4451.3999999999996</v>
      </c>
      <c r="BE39" s="6"/>
      <c r="BF39" s="130">
        <v>4540.8</v>
      </c>
      <c r="BH39" s="130"/>
    </row>
    <row r="40" spans="1:60">
      <c r="A40" s="6" t="str">
        <f t="shared" si="4"/>
        <v>3Q</v>
      </c>
      <c r="B40" s="6" t="str">
        <f t="shared" si="4"/>
        <v>Oct</v>
      </c>
      <c r="C40" s="6"/>
      <c r="D40" s="113">
        <v>263.7</v>
      </c>
      <c r="E40" s="6"/>
      <c r="F40" s="113">
        <v>304.28399999999999</v>
      </c>
      <c r="G40" s="6"/>
      <c r="H40" s="113">
        <v>413.49799999999999</v>
      </c>
      <c r="I40" s="6"/>
      <c r="J40" s="113">
        <v>567.93899999999996</v>
      </c>
      <c r="K40" s="6"/>
      <c r="L40" s="113">
        <v>605.54499999999996</v>
      </c>
      <c r="M40" s="6"/>
      <c r="N40" s="113">
        <v>588.1</v>
      </c>
      <c r="O40" s="6"/>
      <c r="P40" s="113">
        <v>906.61</v>
      </c>
      <c r="Q40" s="26"/>
      <c r="R40" s="83">
        <v>1129.0540000000001</v>
      </c>
      <c r="S40" s="6"/>
      <c r="T40" s="83">
        <v>1128.7539999999999</v>
      </c>
      <c r="U40" s="6"/>
      <c r="V40" s="83">
        <v>1187.4169999999999</v>
      </c>
      <c r="W40" s="6"/>
      <c r="X40" s="83">
        <v>1097.08</v>
      </c>
      <c r="Y40" s="6"/>
      <c r="Z40" s="83">
        <v>1254.6489999999999</v>
      </c>
      <c r="AA40" s="6"/>
      <c r="AB40" s="83">
        <v>1362.277</v>
      </c>
      <c r="AC40" s="6"/>
      <c r="AD40" s="82">
        <v>1425.3</v>
      </c>
      <c r="AE40" s="6"/>
      <c r="AF40" s="82">
        <v>1550.5</v>
      </c>
      <c r="AG40" s="6"/>
      <c r="AH40" s="82">
        <v>1638.4</v>
      </c>
      <c r="AI40" s="6"/>
      <c r="AJ40" s="82">
        <v>2173.9</v>
      </c>
      <c r="AK40" s="6"/>
      <c r="AL40" s="82">
        <v>2141.6</v>
      </c>
      <c r="AM40" s="6"/>
      <c r="AN40" s="82">
        <v>2126.4</v>
      </c>
      <c r="AO40" s="6"/>
      <c r="AP40" s="82">
        <v>2940.5</v>
      </c>
      <c r="AQ40" s="6"/>
      <c r="AR40" s="82">
        <v>3109.3</v>
      </c>
      <c r="AS40" s="6"/>
      <c r="AT40" s="82">
        <v>3183.3</v>
      </c>
      <c r="AU40" s="6"/>
      <c r="AV40" s="82">
        <v>3466.4</v>
      </c>
      <c r="AW40" s="6"/>
      <c r="AX40" s="82">
        <v>4123.8</v>
      </c>
      <c r="AY40" s="6"/>
      <c r="AZ40" s="82">
        <v>4373.8</v>
      </c>
      <c r="BA40" s="6"/>
      <c r="BB40" s="82">
        <v>4305.5</v>
      </c>
      <c r="BC40" s="6"/>
      <c r="BD40" s="82">
        <v>4328</v>
      </c>
      <c r="BE40" s="6"/>
      <c r="BF40" s="82">
        <v>4645.6000000000004</v>
      </c>
      <c r="BH40" s="82"/>
    </row>
    <row r="41" spans="1:60">
      <c r="A41" s="6" t="str">
        <f t="shared" si="4"/>
        <v>4Q</v>
      </c>
      <c r="B41" s="6" t="str">
        <f t="shared" si="4"/>
        <v>Jan</v>
      </c>
      <c r="C41" s="6"/>
      <c r="D41" s="113">
        <v>270.50700000000001</v>
      </c>
      <c r="E41" s="6"/>
      <c r="F41" s="113">
        <v>260.517</v>
      </c>
      <c r="G41" s="6"/>
      <c r="H41" s="113">
        <v>505.18400000000003</v>
      </c>
      <c r="I41" s="6"/>
      <c r="J41" s="113">
        <v>590.9</v>
      </c>
      <c r="K41" s="6"/>
      <c r="L41" s="113">
        <v>606.952</v>
      </c>
      <c r="M41" s="6"/>
      <c r="N41" s="113">
        <v>764.63400000000001</v>
      </c>
      <c r="O41" s="6"/>
      <c r="P41" s="113">
        <v>1127.1859999999999</v>
      </c>
      <c r="Q41" s="6"/>
      <c r="R41" s="83">
        <v>1164.0920000000001</v>
      </c>
      <c r="S41" s="6"/>
      <c r="T41" s="83">
        <v>1220.6559999999999</v>
      </c>
      <c r="U41" s="6"/>
      <c r="V41" s="83">
        <v>1119.2280000000001</v>
      </c>
      <c r="W41" s="6"/>
      <c r="X41" s="83">
        <v>1218.712</v>
      </c>
      <c r="Y41" s="6"/>
      <c r="Z41" s="83">
        <v>1340.6980000000001</v>
      </c>
      <c r="AA41" s="6"/>
      <c r="AB41" s="83">
        <v>1409.1469999999999</v>
      </c>
      <c r="AC41" s="6"/>
      <c r="AD41" s="82">
        <v>1552.4</v>
      </c>
      <c r="AE41" s="6"/>
      <c r="AF41" s="82">
        <v>1746.6</v>
      </c>
      <c r="AG41" s="6"/>
      <c r="AH41" s="82">
        <v>1892.654</v>
      </c>
      <c r="AI41" s="6"/>
      <c r="AJ41" s="82">
        <v>2290.1</v>
      </c>
      <c r="AK41" s="6"/>
      <c r="AL41" s="82">
        <v>2131.1999999999998</v>
      </c>
      <c r="AM41" s="6"/>
      <c r="AN41" s="82">
        <v>2134.6</v>
      </c>
      <c r="AO41" s="6"/>
      <c r="AP41" s="82">
        <v>2889.3</v>
      </c>
      <c r="AQ41" s="6"/>
      <c r="AR41" s="82">
        <v>3099.9</v>
      </c>
      <c r="AS41" s="6"/>
      <c r="AT41" s="82">
        <v>3209.3</v>
      </c>
      <c r="AU41" s="6"/>
      <c r="AV41" s="82">
        <v>3665.9</v>
      </c>
      <c r="AW41" s="6"/>
      <c r="AX41" s="82">
        <v>4229.8999999999996</v>
      </c>
      <c r="AY41" s="6"/>
      <c r="AZ41" s="82">
        <f>bal!BB56</f>
        <v>4264.17101</v>
      </c>
      <c r="BA41" s="6"/>
      <c r="BB41" s="82">
        <v>4307.1000000000004</v>
      </c>
      <c r="BC41" s="6"/>
      <c r="BD41" s="82">
        <v>4510.6000000000004</v>
      </c>
      <c r="BE41" s="6"/>
      <c r="BF41" s="82">
        <v>5148.3</v>
      </c>
      <c r="BH41" s="82"/>
    </row>
    <row r="42" spans="1:60">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6"/>
      <c r="AX42" s="6"/>
      <c r="AY42" s="6"/>
      <c r="AZ42" s="6"/>
      <c r="BA42" s="6"/>
      <c r="BB42" s="6"/>
      <c r="BC42" s="6"/>
      <c r="BD42" s="6"/>
      <c r="BE42" s="6"/>
      <c r="BF42" s="6"/>
      <c r="BH42" s="6"/>
    </row>
    <row r="43" spans="1:60">
      <c r="A43" s="6"/>
      <c r="B43" s="6"/>
      <c r="C43" s="6"/>
      <c r="D43" s="55"/>
      <c r="E43" s="6"/>
      <c r="F43" s="55"/>
      <c r="G43" s="6"/>
      <c r="H43" s="55"/>
      <c r="I43" s="6"/>
      <c r="J43" s="55"/>
      <c r="K43" s="6"/>
      <c r="L43" s="55"/>
      <c r="M43" s="6"/>
      <c r="N43" s="55"/>
      <c r="O43" s="6"/>
      <c r="P43" s="55"/>
      <c r="Q43" s="6"/>
      <c r="R43" s="6"/>
      <c r="S43" s="79"/>
      <c r="T43" s="79"/>
      <c r="U43" s="78"/>
      <c r="V43" s="79" t="s">
        <v>327</v>
      </c>
      <c r="W43" s="79"/>
      <c r="X43" s="78"/>
      <c r="Y43" s="79"/>
      <c r="Z43" s="78"/>
      <c r="AA43" s="79"/>
      <c r="AB43" s="78"/>
      <c r="AC43" s="79"/>
      <c r="AD43" s="78"/>
      <c r="AE43" s="79"/>
      <c r="AF43" s="79" t="s">
        <v>327</v>
      </c>
      <c r="AG43" s="78"/>
      <c r="AH43" s="78"/>
      <c r="AI43" s="78"/>
      <c r="AJ43" s="78"/>
      <c r="AK43" s="78"/>
      <c r="AL43" s="79" t="s">
        <v>327</v>
      </c>
      <c r="AM43" s="78"/>
      <c r="AN43" s="78"/>
      <c r="AO43" s="78"/>
      <c r="AP43" s="78"/>
      <c r="AQ43" s="78"/>
      <c r="AR43" s="78"/>
      <c r="AS43" s="78"/>
      <c r="AT43" s="78"/>
      <c r="AU43" s="78"/>
      <c r="AV43" s="78"/>
      <c r="AW43" s="78"/>
      <c r="AX43" s="78"/>
      <c r="AY43" s="78"/>
      <c r="AZ43" s="78"/>
      <c r="BA43" s="78"/>
      <c r="BB43" s="78"/>
      <c r="BC43" s="78"/>
      <c r="BD43" s="78"/>
      <c r="BE43" s="78"/>
      <c r="BF43" s="78"/>
      <c r="BH43" s="78"/>
    </row>
    <row r="44" spans="1:60">
      <c r="A44" s="6" t="str">
        <f t="shared" ref="A44:B47" si="5">A38</f>
        <v>1Q</v>
      </c>
      <c r="B44" s="6" t="str">
        <f t="shared" si="5"/>
        <v>Apr</v>
      </c>
      <c r="C44" s="6"/>
      <c r="D44" s="69">
        <f>D38+D26</f>
        <v>535.70100000000002</v>
      </c>
      <c r="E44" s="6"/>
      <c r="F44" s="69">
        <f>F38+F26</f>
        <v>591.6690000000001</v>
      </c>
      <c r="G44" s="6"/>
      <c r="H44" s="69">
        <f>H38+H26</f>
        <v>563.48500000000013</v>
      </c>
      <c r="I44" s="6"/>
      <c r="J44" s="69">
        <f>J38+J26</f>
        <v>697.94399999999996</v>
      </c>
      <c r="K44" s="6"/>
      <c r="L44" s="69">
        <f>L38+L26</f>
        <v>823.74599999999998</v>
      </c>
      <c r="M44" s="6"/>
      <c r="N44" s="69">
        <f>N38+N26</f>
        <v>1040.9560000000001</v>
      </c>
      <c r="O44" s="6"/>
      <c r="P44" s="69">
        <f>P38+P26</f>
        <v>1556.1399999999999</v>
      </c>
      <c r="Q44" s="6"/>
      <c r="R44" s="69">
        <f>R38+R26</f>
        <v>1441.1239999999998</v>
      </c>
      <c r="S44" s="6"/>
      <c r="T44" s="69">
        <f>T38+T26</f>
        <v>1391.973</v>
      </c>
      <c r="U44" s="6"/>
      <c r="V44" s="69">
        <f>V38+V26</f>
        <v>1438.4079999999999</v>
      </c>
      <c r="W44" s="6"/>
      <c r="X44" s="69">
        <f>X38+X26</f>
        <v>1519.1819999999998</v>
      </c>
      <c r="Y44" s="6"/>
      <c r="Z44" s="69">
        <f>Z38+Z26</f>
        <v>1895.7289999999998</v>
      </c>
      <c r="AA44" s="6"/>
      <c r="AB44" s="69">
        <f>AB38+AB26</f>
        <v>2057.2250000000004</v>
      </c>
      <c r="AC44" s="6"/>
      <c r="AD44" s="69">
        <f>AD38+AD26</f>
        <v>2050.8789999999999</v>
      </c>
      <c r="AE44" s="6"/>
      <c r="AF44" s="69">
        <f>AF38+AF26</f>
        <v>2254.9110000000001</v>
      </c>
      <c r="AG44" s="6"/>
      <c r="AH44" s="69">
        <f>AH38+AH26</f>
        <v>2236.3000000000002</v>
      </c>
      <c r="AI44" s="6"/>
      <c r="AJ44" s="69">
        <f>AJ38+AJ26</f>
        <v>2718.4</v>
      </c>
      <c r="AK44" s="6"/>
      <c r="AL44" s="69">
        <f>AL38+AL26</f>
        <v>3220</v>
      </c>
      <c r="AM44" s="6"/>
      <c r="AN44" s="69">
        <f>AN38+AN26</f>
        <v>2970.7</v>
      </c>
      <c r="AO44" s="6"/>
      <c r="AP44" s="69">
        <f>AP38+AP26</f>
        <v>3452.5</v>
      </c>
      <c r="AQ44" s="6"/>
      <c r="AR44" s="69">
        <f>AR38+AR26</f>
        <v>3813.7</v>
      </c>
      <c r="AS44" s="6"/>
      <c r="AT44" s="69">
        <f>AT38+AT26</f>
        <v>3897.8</v>
      </c>
      <c r="AU44" s="6"/>
      <c r="AV44" s="69">
        <f>AV38+AV26</f>
        <v>4106.3</v>
      </c>
      <c r="AW44" s="6"/>
      <c r="AX44" s="69">
        <f>AX38+AX26</f>
        <v>5036.7999999999993</v>
      </c>
      <c r="AY44" s="6"/>
      <c r="AZ44" s="69">
        <f>AZ38+AZ26</f>
        <v>5557.7</v>
      </c>
      <c r="BA44" s="6"/>
      <c r="BB44" s="69">
        <f>BB38+BB26</f>
        <v>5914.2000000000007</v>
      </c>
      <c r="BC44" s="6"/>
      <c r="BD44" s="69">
        <f>BD38+BD26</f>
        <v>6150.5</v>
      </c>
      <c r="BE44" s="6"/>
      <c r="BF44" s="69">
        <f>BF38+BF26</f>
        <v>6781.9</v>
      </c>
      <c r="BH44" s="69"/>
    </row>
    <row r="45" spans="1:60">
      <c r="A45" s="6" t="str">
        <f t="shared" si="5"/>
        <v>2Q</v>
      </c>
      <c r="B45" s="6" t="str">
        <f t="shared" si="5"/>
        <v>Jul</v>
      </c>
      <c r="C45" s="6"/>
      <c r="D45" s="83">
        <f>D39+D27</f>
        <v>588.44599999999991</v>
      </c>
      <c r="E45" s="6"/>
      <c r="F45" s="83">
        <f>F39+F27</f>
        <v>596.31399999999996</v>
      </c>
      <c r="G45" s="6"/>
      <c r="H45" s="83">
        <f>H39+H27</f>
        <v>645.80099999999993</v>
      </c>
      <c r="I45" s="6"/>
      <c r="J45" s="83">
        <f>J39+J27</f>
        <v>810.58600000000001</v>
      </c>
      <c r="K45" s="6"/>
      <c r="L45" s="83">
        <f>L39+L27</f>
        <v>912.63099999999997</v>
      </c>
      <c r="M45" s="6"/>
      <c r="N45" s="83">
        <f>N39+N27</f>
        <v>1099.1779999999999</v>
      </c>
      <c r="O45" s="6"/>
      <c r="P45" s="83">
        <f>P39+P27</f>
        <v>1582.1870000000001</v>
      </c>
      <c r="Q45" s="6"/>
      <c r="R45" s="83">
        <f>R39+R27</f>
        <v>1437.836</v>
      </c>
      <c r="S45" s="6"/>
      <c r="T45" s="83">
        <f>T39+T27</f>
        <v>1373.797</v>
      </c>
      <c r="U45" s="6"/>
      <c r="V45" s="83">
        <f>V39+V27</f>
        <v>1497.662</v>
      </c>
      <c r="W45" s="6"/>
      <c r="X45" s="83">
        <f>X39+X27</f>
        <v>1614.864</v>
      </c>
      <c r="Y45" s="6"/>
      <c r="Z45" s="83">
        <f>Z39+Z27</f>
        <v>1881.068</v>
      </c>
      <c r="AA45" s="6"/>
      <c r="AB45" s="83">
        <f>AB39+AB27</f>
        <v>1999.538</v>
      </c>
      <c r="AC45" s="6"/>
      <c r="AD45" s="83">
        <f>AD39+AD27</f>
        <v>2032.8789999999999</v>
      </c>
      <c r="AE45" s="6"/>
      <c r="AF45" s="83">
        <f>AF39+AF27</f>
        <v>2204.6</v>
      </c>
      <c r="AG45" s="6"/>
      <c r="AH45" s="83">
        <f>AH39+AH27</f>
        <v>2602.7049999999999</v>
      </c>
      <c r="AI45" s="6"/>
      <c r="AJ45" s="83">
        <f>AJ39+AJ27</f>
        <v>2804.643</v>
      </c>
      <c r="AK45" s="6"/>
      <c r="AL45" s="83">
        <f>AL39+AL27</f>
        <v>2966.6000000000004</v>
      </c>
      <c r="AM45" s="6"/>
      <c r="AN45" s="83">
        <f>AN39+AN27</f>
        <v>2946.3999999999996</v>
      </c>
      <c r="AO45" s="6"/>
      <c r="AP45" s="83">
        <f>AP39+AP27</f>
        <v>4025.1</v>
      </c>
      <c r="AQ45" s="6"/>
      <c r="AR45" s="83">
        <f>AR39+AR27</f>
        <v>3748.1</v>
      </c>
      <c r="AS45" s="6"/>
      <c r="AT45" s="83">
        <f>AT39+AT27</f>
        <v>3879.4</v>
      </c>
      <c r="AU45" s="6"/>
      <c r="AV45" s="83">
        <f>AV39+AV27</f>
        <v>4164.5</v>
      </c>
      <c r="AW45" s="6"/>
      <c r="AX45" s="83">
        <f>AX39+AX27</f>
        <v>5124.3</v>
      </c>
      <c r="AY45" s="6"/>
      <c r="AZ45" s="83">
        <f>AZ39+AZ27</f>
        <v>5898.5</v>
      </c>
      <c r="BA45" s="6"/>
      <c r="BB45" s="83">
        <f>BB39+BB27</f>
        <v>5900</v>
      </c>
      <c r="BC45" s="6"/>
      <c r="BD45" s="83">
        <f>BD39+BD27</f>
        <v>6067.2999999999993</v>
      </c>
      <c r="BE45" s="6"/>
      <c r="BF45" s="83">
        <f>BF39+BF27</f>
        <v>6769.9</v>
      </c>
      <c r="BH45" s="69"/>
    </row>
    <row r="46" spans="1:60">
      <c r="A46" s="6" t="str">
        <f t="shared" si="5"/>
        <v>3Q</v>
      </c>
      <c r="B46" s="6" t="str">
        <f t="shared" si="5"/>
        <v>Oct</v>
      </c>
      <c r="C46" s="6"/>
      <c r="D46" s="83">
        <f>D40+D28</f>
        <v>588.09999999999991</v>
      </c>
      <c r="E46" s="6"/>
      <c r="F46" s="83">
        <f>F40+F28</f>
        <v>614.84299999999996</v>
      </c>
      <c r="G46" s="6"/>
      <c r="H46" s="83">
        <f>H40+H28</f>
        <v>672.91499999999996</v>
      </c>
      <c r="I46" s="6"/>
      <c r="J46" s="83">
        <f>J40+J28</f>
        <v>891.35899999999992</v>
      </c>
      <c r="K46" s="6"/>
      <c r="L46" s="83">
        <f>L40+L28</f>
        <v>957.87799999999993</v>
      </c>
      <c r="M46" s="6"/>
      <c r="N46" s="83">
        <f>N40+N28</f>
        <v>1152.413</v>
      </c>
      <c r="O46" s="6"/>
      <c r="P46" s="83">
        <f>P40+P28</f>
        <v>1541.6179999999999</v>
      </c>
      <c r="Q46" s="6"/>
      <c r="R46" s="83">
        <f>R40+R28</f>
        <v>1374.43</v>
      </c>
      <c r="S46" s="6"/>
      <c r="T46" s="83">
        <f>T40+T28</f>
        <v>1271.453</v>
      </c>
      <c r="U46" s="6"/>
      <c r="V46" s="83">
        <f>V40+V28</f>
        <v>1516.0079999999998</v>
      </c>
      <c r="W46" s="6"/>
      <c r="X46" s="83">
        <f>X40+X28</f>
        <v>1727.5919999999999</v>
      </c>
      <c r="Y46" s="6"/>
      <c r="Z46" s="83">
        <f>Z40+Z28</f>
        <v>1925.364</v>
      </c>
      <c r="AA46" s="6"/>
      <c r="AB46" s="83">
        <f>AB40+AB28</f>
        <v>2040.0529999999999</v>
      </c>
      <c r="AC46" s="6"/>
      <c r="AD46" s="83">
        <f>AD40+AD28</f>
        <v>2092.3000000000002</v>
      </c>
      <c r="AE46" s="6"/>
      <c r="AF46" s="83">
        <f>AF40+AF28</f>
        <v>2222.1999999999998</v>
      </c>
      <c r="AG46" s="6"/>
      <c r="AH46" s="83">
        <f>AH40+AH28</f>
        <v>2664.1000000000004</v>
      </c>
      <c r="AI46" s="6"/>
      <c r="AJ46" s="83">
        <f>AJ40+AJ28</f>
        <v>2968.6000000000004</v>
      </c>
      <c r="AK46" s="6"/>
      <c r="AL46" s="83">
        <f>AL40+AL28</f>
        <v>2980.8999999999996</v>
      </c>
      <c r="AM46" s="6"/>
      <c r="AN46" s="83">
        <f>AN40+AN28</f>
        <v>2875</v>
      </c>
      <c r="AO46" s="6"/>
      <c r="AP46" s="83">
        <f>AP40+AP28</f>
        <v>3915.2</v>
      </c>
      <c r="AQ46" s="6"/>
      <c r="AR46" s="83">
        <f>AR40+AR28</f>
        <v>3883.7000000000003</v>
      </c>
      <c r="AS46" s="6"/>
      <c r="AT46" s="83">
        <f>AT40+AT28</f>
        <v>3957.8</v>
      </c>
      <c r="AU46" s="6"/>
      <c r="AV46" s="83">
        <f>AV40+AV28</f>
        <v>4240.8999999999996</v>
      </c>
      <c r="AW46" s="6"/>
      <c r="AX46" s="83">
        <f>AX40+AX28</f>
        <v>5398</v>
      </c>
      <c r="AY46" s="6"/>
      <c r="AZ46" s="83">
        <f>AZ40+AZ28</f>
        <v>5997.6</v>
      </c>
      <c r="BA46" s="6"/>
      <c r="BB46" s="83">
        <f>BB40+BB28</f>
        <v>5929.5</v>
      </c>
      <c r="BC46" s="6"/>
      <c r="BD46" s="83">
        <f>BD40+BD28</f>
        <v>6554.9</v>
      </c>
      <c r="BE46" s="6"/>
      <c r="BF46" s="83">
        <f>BF40+BF28</f>
        <v>6875.4000000000005</v>
      </c>
      <c r="BH46" s="83"/>
    </row>
    <row r="47" spans="1:60">
      <c r="A47" s="6" t="str">
        <f t="shared" si="5"/>
        <v>4Q</v>
      </c>
      <c r="B47" s="6" t="str">
        <f t="shared" si="5"/>
        <v>Jan</v>
      </c>
      <c r="C47" s="6"/>
      <c r="D47" s="83">
        <f>D41+D29</f>
        <v>585.87599999999998</v>
      </c>
      <c r="E47" s="6"/>
      <c r="F47" s="83">
        <f>F41+F29</f>
        <v>574.64699999999993</v>
      </c>
      <c r="G47" s="6"/>
      <c r="H47" s="83">
        <f>H41+H29</f>
        <v>689.17500000000007</v>
      </c>
      <c r="I47" s="6"/>
      <c r="J47" s="83">
        <f>J41+J29</f>
        <v>807.68999999999994</v>
      </c>
      <c r="K47" s="6"/>
      <c r="L47" s="83">
        <f>L41+L29</f>
        <v>897.73599999999999</v>
      </c>
      <c r="M47" s="6"/>
      <c r="N47" s="83">
        <f>N41+N29</f>
        <v>1534.0169999999998</v>
      </c>
      <c r="O47" s="6"/>
      <c r="P47" s="83">
        <f>P41+P29</f>
        <v>1398.7359999999999</v>
      </c>
      <c r="Q47" s="6"/>
      <c r="R47" s="83">
        <f>R41+R29</f>
        <v>1414.8670000000002</v>
      </c>
      <c r="S47" s="6"/>
      <c r="T47" s="83">
        <f>T41+T29</f>
        <v>1341.694</v>
      </c>
      <c r="U47" s="6"/>
      <c r="V47" s="83">
        <f>V41+V29</f>
        <v>1538.9540000000002</v>
      </c>
      <c r="W47" s="6"/>
      <c r="X47" s="83">
        <f>X41+X29</f>
        <v>1577.1569999999999</v>
      </c>
      <c r="Y47" s="6"/>
      <c r="Z47" s="83">
        <f>Z41+Z29</f>
        <v>2012.741</v>
      </c>
      <c r="AA47" s="6"/>
      <c r="AB47" s="83">
        <f>AB41+AB29</f>
        <v>2088.9229999999998</v>
      </c>
      <c r="AC47" s="6"/>
      <c r="AD47" s="83">
        <f>AD41+AD29</f>
        <v>2222.1999999999998</v>
      </c>
      <c r="AE47" s="6"/>
      <c r="AF47" s="83">
        <f>AF41+AF29</f>
        <v>2419.1999999999998</v>
      </c>
      <c r="AG47" s="6"/>
      <c r="AH47" s="83">
        <f>AH41+AH29</f>
        <v>2675.5680000000002</v>
      </c>
      <c r="AI47" s="6"/>
      <c r="AJ47" s="83">
        <f>AJ41+AJ29</f>
        <v>3075.7</v>
      </c>
      <c r="AK47" s="6"/>
      <c r="AL47" s="83">
        <f>AL41+AL29</f>
        <v>2964.2999999999997</v>
      </c>
      <c r="AM47" s="6"/>
      <c r="AN47" s="83">
        <f>AN41+AN29</f>
        <v>2893.1</v>
      </c>
      <c r="AO47" s="6"/>
      <c r="AP47" s="83">
        <f>AP41+AP29</f>
        <v>3663.6000000000004</v>
      </c>
      <c r="AQ47" s="6"/>
      <c r="AR47" s="83">
        <f>AR41+AR29</f>
        <v>3874.3</v>
      </c>
      <c r="AS47" s="6"/>
      <c r="AT47" s="83">
        <f>AT41+AT29</f>
        <v>3983.8</v>
      </c>
      <c r="AU47" s="6"/>
      <c r="AV47" s="83">
        <f>AV41+AV29</f>
        <v>4440.5</v>
      </c>
      <c r="AW47" s="6"/>
      <c r="AX47" s="83">
        <f>AX41+AX29</f>
        <v>5504.0999999999995</v>
      </c>
      <c r="AY47" s="6"/>
      <c r="AZ47" s="83">
        <f>AZ41+AZ29</f>
        <v>5888.0710099999997</v>
      </c>
      <c r="BA47" s="6"/>
      <c r="BB47" s="83">
        <f>BB41+BB29</f>
        <v>5931.2000000000007</v>
      </c>
      <c r="BC47" s="6"/>
      <c r="BD47" s="83">
        <f>BD41+BD29</f>
        <v>6738.2000000000007</v>
      </c>
      <c r="BE47" s="6"/>
      <c r="BF47" s="83">
        <f>BF41+BF29</f>
        <v>7378.9</v>
      </c>
      <c r="BH47" s="83"/>
    </row>
    <row r="48" spans="1:60">
      <c r="A48" s="6"/>
      <c r="B48" s="6"/>
      <c r="C48" s="6"/>
      <c r="D48" s="6"/>
      <c r="E48" s="6"/>
      <c r="F48" s="6"/>
      <c r="G48" s="6"/>
      <c r="H48" s="6"/>
      <c r="I48" s="6"/>
      <c r="J48" s="6"/>
      <c r="K48" s="6"/>
      <c r="L48" s="6"/>
      <c r="M48" s="6"/>
      <c r="N48" s="6"/>
      <c r="O48" s="6"/>
      <c r="P48" s="6"/>
      <c r="Q48" s="6"/>
      <c r="R48" s="6"/>
      <c r="S48" s="6"/>
      <c r="T48" s="6"/>
      <c r="U48" s="6"/>
      <c r="V48" s="6"/>
      <c r="W48" s="6"/>
      <c r="X48" s="6"/>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6"/>
      <c r="BA48" s="6"/>
      <c r="BB48" s="6"/>
      <c r="BC48" s="6"/>
      <c r="BD48" s="6"/>
      <c r="BE48" s="6"/>
      <c r="BF48" s="6"/>
      <c r="BH48" s="6"/>
    </row>
    <row r="49" spans="1:60">
      <c r="A49" s="6"/>
      <c r="B49" s="6"/>
      <c r="C49" s="6"/>
      <c r="D49" s="55"/>
      <c r="E49" s="6"/>
      <c r="F49" s="55"/>
      <c r="G49" s="6"/>
      <c r="H49" s="55"/>
      <c r="I49" s="6"/>
      <c r="J49" s="55"/>
      <c r="K49" s="6"/>
      <c r="L49" s="55"/>
      <c r="M49" s="6"/>
      <c r="N49" s="55"/>
      <c r="O49" s="6"/>
      <c r="P49" s="55"/>
      <c r="Q49" s="6"/>
      <c r="R49" s="6"/>
      <c r="S49" s="79"/>
      <c r="T49" s="79"/>
      <c r="U49" s="78"/>
      <c r="V49" s="79" t="s">
        <v>328</v>
      </c>
      <c r="W49" s="79"/>
      <c r="X49" s="78"/>
      <c r="Y49" s="79"/>
      <c r="Z49" s="78"/>
      <c r="AA49" s="79"/>
      <c r="AB49" s="78"/>
      <c r="AC49" s="79"/>
      <c r="AD49" s="78"/>
      <c r="AE49" s="79"/>
      <c r="AF49" s="79" t="s">
        <v>328</v>
      </c>
      <c r="AG49" s="78"/>
      <c r="AH49" s="78"/>
      <c r="AI49" s="78"/>
      <c r="AJ49" s="78"/>
      <c r="AK49" s="78"/>
      <c r="AL49" s="79" t="s">
        <v>328</v>
      </c>
      <c r="AM49" s="78"/>
      <c r="AN49" s="78"/>
      <c r="AO49" s="78"/>
      <c r="AP49" s="78"/>
      <c r="AQ49" s="78"/>
      <c r="AR49" s="78"/>
      <c r="AS49" s="78"/>
      <c r="AT49" s="78"/>
      <c r="AU49" s="78"/>
      <c r="AV49" s="78"/>
      <c r="AW49" s="78"/>
      <c r="AX49" s="78"/>
      <c r="AY49" s="78"/>
      <c r="AZ49" s="78"/>
      <c r="BA49" s="78"/>
      <c r="BB49" s="78"/>
      <c r="BC49" s="78"/>
      <c r="BD49" s="78"/>
      <c r="BE49" s="78"/>
      <c r="BF49" s="78"/>
      <c r="BH49" s="78"/>
    </row>
    <row r="50" spans="1:60">
      <c r="A50" s="6" t="str">
        <f t="shared" ref="A50:B53" si="6">A44</f>
        <v>1Q</v>
      </c>
      <c r="B50" s="6" t="str">
        <f t="shared" si="6"/>
        <v>Apr</v>
      </c>
      <c r="C50" s="6"/>
      <c r="D50" s="61">
        <f>D26/D44</f>
        <v>0.56116191681553695</v>
      </c>
      <c r="E50" s="6"/>
      <c r="F50" s="61">
        <f>F26/F44</f>
        <v>0.53047227419384824</v>
      </c>
      <c r="G50" s="6"/>
      <c r="H50" s="61">
        <f>H26/H44</f>
        <v>0.48405902552862984</v>
      </c>
      <c r="I50" s="6"/>
      <c r="J50" s="61">
        <f>J26/J44</f>
        <v>0.26206687069449702</v>
      </c>
      <c r="K50" s="6"/>
      <c r="L50" s="61">
        <f>L26/L44</f>
        <v>0.2741512553626968</v>
      </c>
      <c r="M50" s="6"/>
      <c r="N50" s="61">
        <f>N26/N44</f>
        <v>0.42098417224167012</v>
      </c>
      <c r="O50" s="6"/>
      <c r="P50" s="61">
        <f>P26/P44</f>
        <v>0.49519901808320588</v>
      </c>
      <c r="Q50" s="6"/>
      <c r="R50" s="61">
        <f>R26/R44</f>
        <v>0.18952498188913658</v>
      </c>
      <c r="S50" s="6"/>
      <c r="T50" s="61">
        <f>T26/T44</f>
        <v>0.18010191289629901</v>
      </c>
      <c r="U50" s="6"/>
      <c r="V50" s="61">
        <f>V26/V44</f>
        <v>0.16100299775863317</v>
      </c>
      <c r="W50" s="6"/>
      <c r="X50" s="61">
        <f>X26/X44</f>
        <v>0.28323532006040092</v>
      </c>
      <c r="Y50" s="6"/>
      <c r="Z50" s="61">
        <f>Z26/Z44</f>
        <v>0.35961732927016471</v>
      </c>
      <c r="AA50" s="6"/>
      <c r="AB50" s="61">
        <f>AB26/AB44</f>
        <v>0.32753150481838395</v>
      </c>
      <c r="AC50" s="6"/>
      <c r="AD50" s="61">
        <f>AD26/AD44</f>
        <v>0.33243794490069867</v>
      </c>
      <c r="AE50" s="6"/>
      <c r="AF50" s="61">
        <f>AF26/AF44</f>
        <v>0.29686759255686807</v>
      </c>
      <c r="AG50" s="6"/>
      <c r="AH50" s="61">
        <f>AH26/AH44</f>
        <v>0.31690739167374682</v>
      </c>
      <c r="AI50" s="6"/>
      <c r="AJ50" s="61">
        <f>AJ26/AJ44</f>
        <v>0.29046497939964683</v>
      </c>
      <c r="AK50" s="6"/>
      <c r="AL50" s="61">
        <f>AL26/AL44</f>
        <v>0.2484472049689441</v>
      </c>
      <c r="AM50" s="6"/>
      <c r="AN50" s="61">
        <f>AN26/AN44</f>
        <v>0.28027064328272799</v>
      </c>
      <c r="AO50" s="6"/>
      <c r="AP50" s="61">
        <f>AP26/AP44</f>
        <v>0.32338884866039103</v>
      </c>
      <c r="AQ50" s="6"/>
      <c r="AR50" s="61">
        <f>AR26/AR44</f>
        <v>0.20303117707213467</v>
      </c>
      <c r="AS50" s="6"/>
      <c r="AT50" s="61">
        <f>AT26/AT44</f>
        <v>0.19867617630458206</v>
      </c>
      <c r="AU50" s="6"/>
      <c r="AV50" s="61">
        <f>AV26/AV44</f>
        <v>0.18861261963324646</v>
      </c>
      <c r="AW50" s="6"/>
      <c r="AX50" s="61">
        <f>AX26/AX44</f>
        <v>0.2529582274459975</v>
      </c>
      <c r="AY50" s="6"/>
      <c r="AZ50" s="61">
        <f>AZ26/AZ44</f>
        <v>0.22926750274394087</v>
      </c>
      <c r="BA50" s="6"/>
      <c r="BB50" s="61">
        <f>BB26/BB44</f>
        <v>0.27457644313685703</v>
      </c>
      <c r="BC50" s="6"/>
      <c r="BD50" s="61">
        <f>BD26/BD44</f>
        <v>0.2626615722299</v>
      </c>
      <c r="BE50" s="6"/>
      <c r="BF50" s="61">
        <f>BF26/BF44</f>
        <v>0.32858048629440129</v>
      </c>
      <c r="BH50" s="61"/>
    </row>
    <row r="51" spans="1:60">
      <c r="A51" s="6" t="str">
        <f t="shared" si="6"/>
        <v>2Q</v>
      </c>
      <c r="B51" s="6" t="str">
        <f t="shared" si="6"/>
        <v>Jul</v>
      </c>
      <c r="C51" s="6"/>
      <c r="D51" s="61">
        <f>D27/D45</f>
        <v>0.58912967375086245</v>
      </c>
      <c r="E51" s="6"/>
      <c r="F51" s="61">
        <f>F27/F45</f>
        <v>0.52315893975321726</v>
      </c>
      <c r="G51" s="6"/>
      <c r="H51" s="61">
        <f>H27/H45</f>
        <v>0.53285919346671806</v>
      </c>
      <c r="I51" s="6"/>
      <c r="J51" s="61">
        <f>J27/J45</f>
        <v>0.34452605892527138</v>
      </c>
      <c r="K51" s="6"/>
      <c r="L51" s="61">
        <f>L27/L45</f>
        <v>0.33715488516169184</v>
      </c>
      <c r="M51" s="6"/>
      <c r="N51" s="61">
        <f>N27/N45</f>
        <v>0.48516982690701604</v>
      </c>
      <c r="O51" s="6"/>
      <c r="P51" s="61">
        <f>P27/P45</f>
        <v>0.48444652876050687</v>
      </c>
      <c r="Q51" s="6"/>
      <c r="R51" s="61">
        <f>R27/R45</f>
        <v>0.1870477578805928</v>
      </c>
      <c r="S51" s="6"/>
      <c r="T51" s="61">
        <f>T27/T45</f>
        <v>0.18192207436761035</v>
      </c>
      <c r="U51" s="6"/>
      <c r="V51" s="61">
        <f>V27/V45</f>
        <v>0.18710429990211414</v>
      </c>
      <c r="W51" s="6"/>
      <c r="X51" s="61">
        <f>X27/X45</f>
        <v>0.38202659790545834</v>
      </c>
      <c r="Y51" s="6"/>
      <c r="Z51" s="61">
        <f>Z27/Z45</f>
        <v>0.35739218358932268</v>
      </c>
      <c r="AA51" s="6"/>
      <c r="AB51" s="61">
        <f>AB27/AB45</f>
        <v>0.33797007108642096</v>
      </c>
      <c r="AC51" s="6"/>
      <c r="AD51" s="61">
        <f>AD27/AD45</f>
        <v>0.33446555353269919</v>
      </c>
      <c r="AE51" s="6"/>
      <c r="AF51" s="61">
        <f>AF27/AF45</f>
        <v>0.30472648099428468</v>
      </c>
      <c r="AG51" s="6"/>
      <c r="AH51" s="61">
        <f>AH27/AH45</f>
        <v>0.38022365193135599</v>
      </c>
      <c r="AI51" s="6"/>
      <c r="AJ51" s="61">
        <f>AJ27/AJ45</f>
        <v>0.33157909937200564</v>
      </c>
      <c r="AK51" s="6"/>
      <c r="AL51" s="61">
        <f>AL27/AL45</f>
        <v>0.27381514191330136</v>
      </c>
      <c r="AM51" s="6"/>
      <c r="AN51" s="61">
        <f>AN27/AN45</f>
        <v>0.28265001357588926</v>
      </c>
      <c r="AO51" s="6"/>
      <c r="AP51" s="61">
        <f>AP27/AP45</f>
        <v>0.296439840003975</v>
      </c>
      <c r="AQ51" s="6"/>
      <c r="AR51" s="61">
        <f>AR27/AR45</f>
        <v>0.20661134975054027</v>
      </c>
      <c r="AS51" s="6"/>
      <c r="AT51" s="61">
        <f>AT27/AT45</f>
        <v>0.19961849770583079</v>
      </c>
      <c r="AU51" s="6"/>
      <c r="AV51" s="61">
        <f>AV27/AV45</f>
        <v>0.18597670788810181</v>
      </c>
      <c r="AW51" s="6"/>
      <c r="AX51" s="61">
        <f>AX27/AX45</f>
        <v>0.24865835333606542</v>
      </c>
      <c r="AY51" s="6"/>
      <c r="AZ51" s="61">
        <f>AZ27/AZ45</f>
        <v>0.2752903280495041</v>
      </c>
      <c r="BA51" s="6"/>
      <c r="BB51" s="61">
        <f>BB27/BB45</f>
        <v>0.27525423728813558</v>
      </c>
      <c r="BC51" s="6"/>
      <c r="BD51" s="61">
        <f>BD27/BD45</f>
        <v>0.26632933924480418</v>
      </c>
      <c r="BE51" s="6"/>
      <c r="BF51" s="61">
        <f>BF27/BF45</f>
        <v>0.32926631117150917</v>
      </c>
      <c r="BH51" s="61"/>
    </row>
    <row r="52" spans="1:60">
      <c r="A52" s="6" t="str">
        <f t="shared" si="6"/>
        <v>3Q</v>
      </c>
      <c r="B52" s="6" t="str">
        <f t="shared" si="6"/>
        <v>Oct</v>
      </c>
      <c r="C52" s="6"/>
      <c r="D52" s="61">
        <f>D28/D46</f>
        <v>0.55160686958000349</v>
      </c>
      <c r="E52" s="6"/>
      <c r="F52" s="61">
        <f>F28/F46</f>
        <v>0.5051029287151354</v>
      </c>
      <c r="G52" s="6"/>
      <c r="H52" s="61">
        <f>H28/H46</f>
        <v>0.38551228609854149</v>
      </c>
      <c r="I52" s="6"/>
      <c r="J52" s="61">
        <f>J28/J46</f>
        <v>0.36283921517592799</v>
      </c>
      <c r="K52" s="6"/>
      <c r="L52" s="61">
        <f>L28/L46</f>
        <v>0.36782659169539339</v>
      </c>
      <c r="M52" s="6"/>
      <c r="N52" s="61">
        <f>N28/N46</f>
        <v>0.48967948122765026</v>
      </c>
      <c r="O52" s="6"/>
      <c r="P52" s="61">
        <f>P28/P46</f>
        <v>0.41191008408049201</v>
      </c>
      <c r="Q52" s="6"/>
      <c r="R52" s="61">
        <f>R28/R46</f>
        <v>0.17852928122930961</v>
      </c>
      <c r="S52" s="6"/>
      <c r="T52" s="61">
        <f>T28/T46</f>
        <v>0.11223301215223844</v>
      </c>
      <c r="U52" s="6"/>
      <c r="V52" s="61">
        <f>V28/V46</f>
        <v>0.21674753695231164</v>
      </c>
      <c r="W52" s="6"/>
      <c r="X52" s="61">
        <f>X28/X46</f>
        <v>0.36496580211068352</v>
      </c>
      <c r="Y52" s="6"/>
      <c r="Z52" s="61">
        <f>Z28/Z46</f>
        <v>0.34835750538599458</v>
      </c>
      <c r="AA52" s="6"/>
      <c r="AB52" s="61">
        <f>AB28/AB46</f>
        <v>0.33223450567215657</v>
      </c>
      <c r="AC52" s="6"/>
      <c r="AD52" s="61">
        <f>AD28/AD46</f>
        <v>0.31878793672035555</v>
      </c>
      <c r="AE52" s="6"/>
      <c r="AF52" s="61">
        <f>AF28/AF46</f>
        <v>0.30226802268022684</v>
      </c>
      <c r="AG52" s="6"/>
      <c r="AH52" s="61">
        <f>AH28/AH46</f>
        <v>0.38500807026763256</v>
      </c>
      <c r="AI52" s="6"/>
      <c r="AJ52" s="61">
        <f>AJ28/AJ46</f>
        <v>0.26770194704574546</v>
      </c>
      <c r="AK52" s="6"/>
      <c r="AL52" s="61">
        <f>AL28/AL46</f>
        <v>0.28155926062598546</v>
      </c>
      <c r="AM52" s="6"/>
      <c r="AN52" s="61">
        <f>AN28/AN46</f>
        <v>0.26038260869565216</v>
      </c>
      <c r="AO52" s="6"/>
      <c r="AP52" s="61">
        <f>AP28/AP46</f>
        <v>0.24895279934613812</v>
      </c>
      <c r="AQ52" s="6"/>
      <c r="AR52" s="61">
        <f>AR28/AR46</f>
        <v>0.19939748178283592</v>
      </c>
      <c r="AS52" s="6"/>
      <c r="AT52" s="61">
        <f>AT28/AT46</f>
        <v>0.19568952448329879</v>
      </c>
      <c r="AU52" s="6"/>
      <c r="AV52" s="61">
        <f>AV28/AV46</f>
        <v>0.1826263293168903</v>
      </c>
      <c r="AW52" s="6"/>
      <c r="AX52" s="61">
        <f>AX28/AX46</f>
        <v>0.23605038903297518</v>
      </c>
      <c r="AY52" s="6"/>
      <c r="AZ52" s="61">
        <f>AZ28/AZ46</f>
        <v>0.27074162998532741</v>
      </c>
      <c r="BA52" s="6"/>
      <c r="BB52" s="61">
        <f>BB28/BB46</f>
        <v>0.27388481322202546</v>
      </c>
      <c r="BC52" s="6"/>
      <c r="BD52" s="61">
        <f>BD28/BD46</f>
        <v>0.33973058322781435</v>
      </c>
      <c r="BE52" s="6"/>
      <c r="BF52" s="61">
        <f>BF28/BF46</f>
        <v>0.3243156761788405</v>
      </c>
      <c r="BH52" s="61"/>
    </row>
    <row r="53" spans="1:60">
      <c r="A53" s="6" t="str">
        <f t="shared" si="6"/>
        <v>4Q</v>
      </c>
      <c r="B53" s="6" t="str">
        <f t="shared" si="6"/>
        <v>Jan</v>
      </c>
      <c r="C53" s="6"/>
      <c r="D53" s="61">
        <f>D29/D47</f>
        <v>0.53828625852569478</v>
      </c>
      <c r="E53" s="6"/>
      <c r="F53" s="61">
        <f>F29/F47</f>
        <v>0.54664863820745613</v>
      </c>
      <c r="G53" s="6"/>
      <c r="H53" s="61">
        <f>H29/H47</f>
        <v>0.26697282983277104</v>
      </c>
      <c r="I53" s="6"/>
      <c r="J53" s="61">
        <f>J29/J47</f>
        <v>0.26840743354504826</v>
      </c>
      <c r="K53" s="6"/>
      <c r="L53" s="61">
        <f>L29/L47</f>
        <v>0.32390814226008535</v>
      </c>
      <c r="M53" s="6"/>
      <c r="N53" s="61">
        <f>N29/N47</f>
        <v>0.50154789679645007</v>
      </c>
      <c r="O53" s="6"/>
      <c r="P53" s="61">
        <f>P29/P47</f>
        <v>0.19413956600816737</v>
      </c>
      <c r="Q53" s="6"/>
      <c r="R53" s="61">
        <f>R29/R47</f>
        <v>0.17724280798124487</v>
      </c>
      <c r="S53" s="6"/>
      <c r="T53" s="61">
        <f>T29/T47</f>
        <v>9.0212820508998343E-2</v>
      </c>
      <c r="U53" s="6"/>
      <c r="V53" s="61">
        <f>V29/V47</f>
        <v>0.27273459765529051</v>
      </c>
      <c r="W53" s="6"/>
      <c r="X53" s="61">
        <f>X29/X47</f>
        <v>0.22727287137551938</v>
      </c>
      <c r="Y53" s="6"/>
      <c r="Z53" s="61">
        <f>Z29/Z47</f>
        <v>0.33389442556195753</v>
      </c>
      <c r="AA53" s="6"/>
      <c r="AB53" s="61">
        <f>AB29/AB47</f>
        <v>0.32541936682204181</v>
      </c>
      <c r="AC53" s="6"/>
      <c r="AD53" s="61">
        <f>AD29/AD47</f>
        <v>0.30141301413014132</v>
      </c>
      <c r="AE53" s="6"/>
      <c r="AF53" s="61">
        <f>AF29/AF47</f>
        <v>0.27802579365079366</v>
      </c>
      <c r="AG53" s="6"/>
      <c r="AH53" s="61">
        <f>AH29/AH47</f>
        <v>0.29261599779934577</v>
      </c>
      <c r="AI53" s="6"/>
      <c r="AJ53" s="61">
        <f>AJ29/AJ47</f>
        <v>0.25542153005819818</v>
      </c>
      <c r="AK53" s="6"/>
      <c r="AL53" s="61">
        <f>AL29/AL47</f>
        <v>0.28104442870154844</v>
      </c>
      <c r="AM53" s="6"/>
      <c r="AN53" s="61">
        <f>AN29/AN47</f>
        <v>0.26217552106736719</v>
      </c>
      <c r="AO53" s="6"/>
      <c r="AP53" s="61">
        <f>AP29/AP47</f>
        <v>0.2113494923026531</v>
      </c>
      <c r="AQ53" s="6"/>
      <c r="AR53" s="61">
        <f>AR29/AR47</f>
        <v>0.19988126887437729</v>
      </c>
      <c r="AS53" s="6"/>
      <c r="AT53" s="61">
        <f>AT29/AT47</f>
        <v>0.19441237009890053</v>
      </c>
      <c r="AU53" s="6"/>
      <c r="AV53" s="61">
        <f>AV29/AV47</f>
        <v>0.1744398153361108</v>
      </c>
      <c r="AW53" s="6"/>
      <c r="AX53" s="61">
        <f>AX29/AX47</f>
        <v>0.23150015443033378</v>
      </c>
      <c r="AY53" s="6"/>
      <c r="AZ53" s="61">
        <f>AZ29/AZ47</f>
        <v>0.27579490757534192</v>
      </c>
      <c r="BA53" s="6"/>
      <c r="BB53" s="61">
        <f>BB29/BB47</f>
        <v>0.27382317237658477</v>
      </c>
      <c r="BC53" s="6"/>
      <c r="BD53" s="61">
        <f>BD29/BD47</f>
        <v>0.33059273990086369</v>
      </c>
      <c r="BE53" s="6"/>
      <c r="BF53" s="61">
        <f>BF29/BF47</f>
        <v>0.30229437992112645</v>
      </c>
      <c r="BH53" s="61"/>
    </row>
    <row r="54" spans="1:60">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6"/>
      <c r="BA54" s="6"/>
      <c r="BB54" s="6"/>
      <c r="BC54" s="6"/>
      <c r="BD54" s="6"/>
      <c r="BE54" s="6"/>
      <c r="BF54" s="6"/>
      <c r="BH54" s="6"/>
    </row>
    <row r="55" spans="1:60">
      <c r="A55" s="6"/>
      <c r="B55" s="6"/>
      <c r="C55" s="6"/>
      <c r="D55" s="55"/>
      <c r="E55" s="6"/>
      <c r="F55" s="55"/>
      <c r="G55" s="6"/>
      <c r="H55" s="55"/>
      <c r="I55" s="6"/>
      <c r="J55" s="55"/>
      <c r="K55" s="6"/>
      <c r="L55" s="55"/>
      <c r="M55" s="6"/>
      <c r="N55" s="55"/>
      <c r="O55" s="6"/>
      <c r="P55" s="55"/>
      <c r="Q55" s="6"/>
      <c r="R55" s="6"/>
      <c r="S55" s="79"/>
      <c r="T55" s="79"/>
      <c r="U55" s="78"/>
      <c r="V55" s="79" t="s">
        <v>329</v>
      </c>
      <c r="W55" s="79"/>
      <c r="X55" s="78"/>
      <c r="Y55" s="79"/>
      <c r="Z55" s="78"/>
      <c r="AA55" s="79"/>
      <c r="AB55" s="78"/>
      <c r="AC55" s="79"/>
      <c r="AD55" s="78"/>
      <c r="AE55" s="79"/>
      <c r="AF55" s="79" t="s">
        <v>329</v>
      </c>
      <c r="AG55" s="78"/>
      <c r="AH55" s="78"/>
      <c r="AI55" s="78"/>
      <c r="AJ55" s="78"/>
      <c r="AK55" s="78"/>
      <c r="AL55" s="79" t="s">
        <v>329</v>
      </c>
      <c r="AM55" s="78"/>
      <c r="AN55" s="78"/>
      <c r="AO55" s="78"/>
      <c r="AP55" s="78"/>
      <c r="AQ55" s="78"/>
      <c r="AR55" s="78"/>
      <c r="AS55" s="78"/>
      <c r="AT55" s="78"/>
      <c r="AU55" s="78"/>
      <c r="AV55" s="78"/>
      <c r="AW55" s="78"/>
      <c r="AX55" s="78"/>
      <c r="AY55" s="78"/>
      <c r="AZ55" s="78"/>
      <c r="BA55" s="78"/>
      <c r="BB55" s="78"/>
      <c r="BC55" s="78"/>
      <c r="BD55" s="78"/>
      <c r="BE55" s="78"/>
      <c r="BF55" s="78"/>
      <c r="BH55" s="78"/>
    </row>
    <row r="56" spans="1:60">
      <c r="A56" s="6" t="str">
        <f t="shared" ref="A56:B59" si="7">A50</f>
        <v>1Q</v>
      </c>
      <c r="B56" s="6" t="str">
        <f t="shared" si="7"/>
        <v>Apr</v>
      </c>
      <c r="C56" s="6"/>
      <c r="D56" s="86">
        <f>D32/D44</f>
        <v>0.47845346564594787</v>
      </c>
      <c r="E56" s="6"/>
      <c r="F56" s="86">
        <f>F32/F44</f>
        <v>0.42834760651648129</v>
      </c>
      <c r="G56" s="6"/>
      <c r="H56" s="86">
        <f>H32/H44</f>
        <v>0.44777234531531451</v>
      </c>
      <c r="I56" s="6"/>
      <c r="J56" s="86">
        <f>J32/J44</f>
        <v>0.19479929621860781</v>
      </c>
      <c r="K56" s="6"/>
      <c r="L56" s="86">
        <f>L32/L44</f>
        <v>0.23738385376074667</v>
      </c>
      <c r="M56" s="6"/>
      <c r="N56" s="86">
        <f>N32/N44</f>
        <v>0.40065766468515474</v>
      </c>
      <c r="O56" s="6"/>
      <c r="P56" s="86">
        <f>P32/P44</f>
        <v>0.37219401853303685</v>
      </c>
      <c r="Q56" s="6"/>
      <c r="R56" s="86">
        <f>R32/R44</f>
        <v>-8.604256122304535E-2</v>
      </c>
      <c r="S56" s="6"/>
      <c r="T56" s="86">
        <f>T32/T44</f>
        <v>-5.5097333066086787E-2</v>
      </c>
      <c r="U56" s="6"/>
      <c r="V56" s="86">
        <f>V32/V44</f>
        <v>-5.4069499057291137E-2</v>
      </c>
      <c r="W56" s="86"/>
      <c r="X56" s="86">
        <f>X32/X44</f>
        <v>0.12788263684008894</v>
      </c>
      <c r="Y56" s="86"/>
      <c r="Z56" s="86">
        <f>Z32/Z44</f>
        <v>0.19889446223589974</v>
      </c>
      <c r="AA56" s="86"/>
      <c r="AB56" s="86">
        <f>AB32/AB44</f>
        <v>7.6290634228147122E-2</v>
      </c>
      <c r="AC56" s="86"/>
      <c r="AD56" s="86">
        <f>AD32/AD44</f>
        <v>0.24883866868791382</v>
      </c>
      <c r="AE56" s="86"/>
      <c r="AF56" s="86">
        <f>AF32/AF44</f>
        <v>0.18976358712162031</v>
      </c>
      <c r="AG56" s="6"/>
      <c r="AH56" s="86">
        <f>AH32/AH44</f>
        <v>0.23740106425792606</v>
      </c>
      <c r="AI56" s="6"/>
      <c r="AJ56" s="86">
        <f>AJ32/AJ44</f>
        <v>0.1875</v>
      </c>
      <c r="AK56" s="6"/>
      <c r="AL56" s="86">
        <f>AL32/AL44</f>
        <v>5.8385093167701721E-3</v>
      </c>
      <c r="AM56" s="6"/>
      <c r="AN56" s="86">
        <f>AN32/AN44</f>
        <v>4.5275524287205042E-2</v>
      </c>
      <c r="AO56" s="6"/>
      <c r="AP56" s="86">
        <f>AP32/AP44</f>
        <v>1.3700217233888473E-2</v>
      </c>
      <c r="AQ56" s="6"/>
      <c r="AR56" s="86">
        <f>AR32/AR44</f>
        <v>-0.31074809240370244</v>
      </c>
      <c r="AS56" s="6"/>
      <c r="AT56" s="86">
        <f>AT32/AT44</f>
        <v>-0.17653548155369694</v>
      </c>
      <c r="AU56" s="6"/>
      <c r="AV56" s="86">
        <f>AV32/AV44</f>
        <v>-0.23478557338723427</v>
      </c>
      <c r="AW56" s="6"/>
      <c r="AX56" s="86">
        <f>AX32/AX44</f>
        <v>-0.18934641041931394</v>
      </c>
      <c r="AY56" s="6"/>
      <c r="AZ56" s="86">
        <f>AZ32/AZ44</f>
        <v>-0.18802742141533374</v>
      </c>
      <c r="BA56" s="6"/>
      <c r="BB56" s="86">
        <f>BB32/BB44</f>
        <v>-0.16314970748368332</v>
      </c>
      <c r="BC56" s="6"/>
      <c r="BD56" s="86">
        <f>BD32/BD44</f>
        <v>-0.11907974961385255</v>
      </c>
      <c r="BE56" s="6"/>
      <c r="BF56" s="86">
        <f>BF32/BF44</f>
        <v>-0.35171559592444596</v>
      </c>
      <c r="BH56" s="86"/>
    </row>
    <row r="57" spans="1:60">
      <c r="A57" s="6" t="str">
        <f t="shared" si="7"/>
        <v>2Q</v>
      </c>
      <c r="B57" s="6" t="str">
        <f t="shared" si="7"/>
        <v>Jul</v>
      </c>
      <c r="C57" s="6"/>
      <c r="D57" s="86">
        <f>D33/D45</f>
        <v>0.54324271046111283</v>
      </c>
      <c r="E57" s="6"/>
      <c r="F57" s="86">
        <f>F33/F45</f>
        <v>0.47752023262911825</v>
      </c>
      <c r="G57" s="6"/>
      <c r="H57" s="86">
        <f>H33/H45</f>
        <v>0.49867993391153009</v>
      </c>
      <c r="I57" s="6"/>
      <c r="J57" s="86">
        <f>J33/J45</f>
        <v>0.32257650637933544</v>
      </c>
      <c r="K57" s="6"/>
      <c r="L57" s="86">
        <f>L33/L45</f>
        <v>0.3145773045184746</v>
      </c>
      <c r="M57" s="6"/>
      <c r="N57" s="86">
        <f>N33/N45</f>
        <v>0.46720003493519713</v>
      </c>
      <c r="O57" s="6"/>
      <c r="P57" s="86">
        <f>P33/P45</f>
        <v>0.3293814195161508</v>
      </c>
      <c r="Q57" s="6"/>
      <c r="R57" s="86">
        <f>R33/R45</f>
        <v>9.0922747795993436E-2</v>
      </c>
      <c r="S57" s="6"/>
      <c r="T57" s="86">
        <f>T33/T45</f>
        <v>0.1396909441496815</v>
      </c>
      <c r="U57" s="6"/>
      <c r="V57" s="86">
        <f>V33/V45</f>
        <v>0.15559719082142703</v>
      </c>
      <c r="W57" s="86"/>
      <c r="X57" s="86">
        <f>X33/X45</f>
        <v>0.35762825847873259</v>
      </c>
      <c r="Y57" s="86"/>
      <c r="Z57" s="86">
        <f>Z33/Z45</f>
        <v>0.28370159930422506</v>
      </c>
      <c r="AA57" s="86"/>
      <c r="AB57" s="86">
        <f>AB33/AB45</f>
        <v>0.19161426289472869</v>
      </c>
      <c r="AC57" s="86"/>
      <c r="AD57" s="86">
        <f>AD33/AD45</f>
        <v>0.31281743773239823</v>
      </c>
      <c r="AE57" s="86"/>
      <c r="AF57" s="86">
        <f>AF33/AF45</f>
        <v>0.24321872448516735</v>
      </c>
      <c r="AG57" s="6"/>
      <c r="AH57" s="86">
        <f>AH33/AH45</f>
        <v>0.31041589423311516</v>
      </c>
      <c r="AI57" s="6"/>
      <c r="AJ57" s="86">
        <f>AJ33/AJ45</f>
        <v>0.23434141172334591</v>
      </c>
      <c r="AK57" s="6"/>
      <c r="AL57" s="86">
        <f>AL33/AL45</f>
        <v>9.387851412391289E-2</v>
      </c>
      <c r="AM57" s="6"/>
      <c r="AN57" s="86">
        <f>AN33/AN45</f>
        <v>0.10701194678251426</v>
      </c>
      <c r="AO57" s="6"/>
      <c r="AP57" s="86">
        <f>AP33/AP45</f>
        <v>-5.8060669300141678E-2</v>
      </c>
      <c r="AQ57" s="6"/>
      <c r="AR57" s="86">
        <f>AR33/AR45</f>
        <v>-0.16162855846962462</v>
      </c>
      <c r="AS57" s="6"/>
      <c r="AT57" s="86">
        <f>AT33/AT45</f>
        <v>-5.2430788266226727E-2</v>
      </c>
      <c r="AU57" s="6"/>
      <c r="AV57" s="86">
        <f>AV33/AV45</f>
        <v>-0.20312162324408695</v>
      </c>
      <c r="AW57" s="6"/>
      <c r="AX57" s="86">
        <f>AX33/AX45</f>
        <v>-0.11408387487071403</v>
      </c>
      <c r="AY57" s="6"/>
      <c r="AZ57" s="86">
        <f>AZ33/AZ45</f>
        <v>-0.14317199287954568</v>
      </c>
      <c r="BA57" s="6"/>
      <c r="BB57" s="86">
        <f>BB33/BB45</f>
        <v>-0.10411864406779664</v>
      </c>
      <c r="BC57" s="6"/>
      <c r="BD57" s="86">
        <f>BD33/BD45</f>
        <v>-0.10035765497008549</v>
      </c>
      <c r="BE57" s="6"/>
      <c r="BF57" s="86">
        <f>BF33/BF45</f>
        <v>-0.10679625991521301</v>
      </c>
      <c r="BH57" s="86"/>
    </row>
    <row r="58" spans="1:60">
      <c r="A58" s="6" t="str">
        <f t="shared" si="7"/>
        <v>3Q</v>
      </c>
      <c r="B58" s="6" t="str">
        <f t="shared" si="7"/>
        <v>Oct</v>
      </c>
      <c r="C58" s="6"/>
      <c r="D58" s="86">
        <f>D34/D46</f>
        <v>0.47780989627614356</v>
      </c>
      <c r="E58" s="6"/>
      <c r="F58" s="86">
        <f>F34/F46</f>
        <v>0.45340355180102887</v>
      </c>
      <c r="G58" s="6"/>
      <c r="H58" s="86">
        <f>H34/H46</f>
        <v>0.34755801252758528</v>
      </c>
      <c r="I58" s="6"/>
      <c r="J58" s="86">
        <f>J34/J46</f>
        <v>0.30990431464763357</v>
      </c>
      <c r="K58" s="6"/>
      <c r="L58" s="86">
        <f>L34/L46</f>
        <v>0.34042539864158072</v>
      </c>
      <c r="M58" s="6"/>
      <c r="N58" s="86">
        <f>N34/N46</f>
        <v>0.46633541968027092</v>
      </c>
      <c r="O58" s="6"/>
      <c r="P58" s="86">
        <f>P34/P46</f>
        <v>0.25880146703009432</v>
      </c>
      <c r="Q58" s="6"/>
      <c r="R58" s="86">
        <f>R34/R46</f>
        <v>7.4048150869815116E-2</v>
      </c>
      <c r="S58" s="6"/>
      <c r="T58" s="86">
        <f>T34/T46</f>
        <v>-1.0218230638489973E-2</v>
      </c>
      <c r="U58" s="6"/>
      <c r="V58" s="86">
        <f>V34/V46</f>
        <v>0.20054643511116041</v>
      </c>
      <c r="W58" s="86"/>
      <c r="X58" s="86">
        <f>X34/X46</f>
        <v>0.33285115930150172</v>
      </c>
      <c r="Y58" s="86"/>
      <c r="Z58" s="86">
        <f>Z34/Z46</f>
        <v>0.3088387442582286</v>
      </c>
      <c r="AA58" s="86"/>
      <c r="AB58" s="86">
        <f>AB34/AB46</f>
        <v>0.25775653867816178</v>
      </c>
      <c r="AC58" s="86"/>
      <c r="AD58" s="86">
        <f>AD34/AD46</f>
        <v>0.2769201357357931</v>
      </c>
      <c r="AE58" s="86"/>
      <c r="AF58" s="86">
        <f>AF34/AF46</f>
        <v>0.23773737737377379</v>
      </c>
      <c r="AG58" s="6"/>
      <c r="AH58" s="86">
        <f>AH34/AH46</f>
        <v>0.30956045193498738</v>
      </c>
      <c r="AI58" s="6"/>
      <c r="AJ58" s="86">
        <f>AJ34/AJ46</f>
        <v>0.15263086977026208</v>
      </c>
      <c r="AK58" s="6"/>
      <c r="AL58" s="86">
        <f>AL34/AL46</f>
        <v>0.15136368210943002</v>
      </c>
      <c r="AM58" s="6"/>
      <c r="AN58" s="86">
        <f>AN34/AN46</f>
        <v>0.12563478260869568</v>
      </c>
      <c r="AO58" s="6"/>
      <c r="AP58" s="86">
        <f>AP34/AP46</f>
        <v>-0.12027482631794033</v>
      </c>
      <c r="AQ58" s="6"/>
      <c r="AR58" s="86">
        <f>AR34/AR46</f>
        <v>-0.14540258001390424</v>
      </c>
      <c r="AS58" s="6"/>
      <c r="AT58" s="86">
        <f>AT34/AT46</f>
        <v>-4.6086209510334014E-2</v>
      </c>
      <c r="AU58" s="6"/>
      <c r="AV58" s="86">
        <f>AV34/AV46</f>
        <v>-0.20453205687472004</v>
      </c>
      <c r="AW58" s="6"/>
      <c r="AX58" s="86">
        <f>AX34/AX46</f>
        <v>-0.13645794738792144</v>
      </c>
      <c r="AY58" s="6"/>
      <c r="AZ58" s="86">
        <f>AZ34/AZ46</f>
        <v>-8.8335334133653451E-2</v>
      </c>
      <c r="BA58" s="6"/>
      <c r="BB58" s="86">
        <f>BB34/BB46</f>
        <v>-8.4155493717851415E-2</v>
      </c>
      <c r="BC58" s="6"/>
      <c r="BD58" s="86">
        <f>BD34/BD46</f>
        <v>-9.1443042609345701E-2</v>
      </c>
      <c r="BE58" s="6"/>
      <c r="BF58" s="86">
        <f>BF34/BF46</f>
        <v>-9.3958169706489736E-2</v>
      </c>
      <c r="BH58" s="86"/>
    </row>
    <row r="59" spans="1:60">
      <c r="A59" s="6" t="str">
        <f t="shared" si="7"/>
        <v>4Q</v>
      </c>
      <c r="B59" s="6" t="str">
        <f t="shared" si="7"/>
        <v>Jan</v>
      </c>
      <c r="C59" s="6"/>
      <c r="D59" s="86">
        <f>D35/D47</f>
        <v>0.39606503765301865</v>
      </c>
      <c r="E59" s="6"/>
      <c r="F59" s="86">
        <f>F35/F47</f>
        <v>0.42954370248169754</v>
      </c>
      <c r="G59" s="6"/>
      <c r="H59" s="86">
        <f>H35/H47</f>
        <v>0.1121630935538869</v>
      </c>
      <c r="I59" s="6"/>
      <c r="J59" s="86">
        <f>J35/J47</f>
        <v>0.19647141848976712</v>
      </c>
      <c r="K59" s="6"/>
      <c r="L59" s="86">
        <f>L35/L47</f>
        <v>0.27760388354705612</v>
      </c>
      <c r="M59" s="6"/>
      <c r="N59" s="86">
        <f>N35/N47</f>
        <v>0.36515697022914345</v>
      </c>
      <c r="O59" s="6"/>
      <c r="P59" s="86">
        <f>P35/P47</f>
        <v>-0.14526115006691762</v>
      </c>
      <c r="Q59" s="6"/>
      <c r="R59" s="86">
        <f>R35/R47</f>
        <v>-0.10855720007604955</v>
      </c>
      <c r="S59" s="6"/>
      <c r="T59" s="86">
        <f>T35/T47</f>
        <v>-0.25356452365442494</v>
      </c>
      <c r="U59" s="6"/>
      <c r="V59" s="86">
        <f>V35/V47</f>
        <v>3.1168572939801957E-2</v>
      </c>
      <c r="W59" s="86"/>
      <c r="X59" s="86">
        <f>X35/X47</f>
        <v>0.14323875175394715</v>
      </c>
      <c r="Y59" s="86"/>
      <c r="Z59" s="86">
        <f>Z35/Z47</f>
        <v>8.9066104382034245E-2</v>
      </c>
      <c r="AA59" s="86"/>
      <c r="AB59" s="86">
        <f>AB35/AB47</f>
        <v>8.9733321907987981E-2</v>
      </c>
      <c r="AC59" s="86"/>
      <c r="AD59" s="86">
        <f>AD35/AD47</f>
        <v>0.1905319053190532</v>
      </c>
      <c r="AE59" s="86"/>
      <c r="AF59" s="86">
        <f>AF35/AF47</f>
        <v>0.15104166666666669</v>
      </c>
      <c r="AG59" s="6"/>
      <c r="AH59" s="86">
        <f>AH35/AH47</f>
        <v>0.11857855976749608</v>
      </c>
      <c r="AI59" s="6"/>
      <c r="AJ59" s="86">
        <f>AJ35/AJ47</f>
        <v>-2.3116688883831331E-2</v>
      </c>
      <c r="AK59" s="6"/>
      <c r="AL59" s="86">
        <f>AL35/AL47</f>
        <v>3.3903451067705703E-2</v>
      </c>
      <c r="AM59" s="6"/>
      <c r="AN59" s="86">
        <f>AN35/AN47</f>
        <v>0.10542324841865128</v>
      </c>
      <c r="AO59" s="6"/>
      <c r="AP59" s="86">
        <f>AP35/AP47</f>
        <v>-0.22936455944972156</v>
      </c>
      <c r="AQ59" s="6"/>
      <c r="AR59" s="86">
        <f>AR35/AR47</f>
        <v>-0.26939059959218431</v>
      </c>
      <c r="AS59" s="6"/>
      <c r="AT59" s="86">
        <f>AT35/AT47</f>
        <v>-0.20766604749234396</v>
      </c>
      <c r="AU59" s="6"/>
      <c r="AV59" s="86">
        <f>AV35/AV47</f>
        <v>-0.2867244679653192</v>
      </c>
      <c r="AW59" s="6"/>
      <c r="AX59" s="86">
        <f>AX35/AX47</f>
        <v>-0.21260514888900997</v>
      </c>
      <c r="AY59" s="6"/>
      <c r="AZ59" s="86">
        <f>AZ35/AZ47</f>
        <v>-0.14773446320919986</v>
      </c>
      <c r="BA59" s="6"/>
      <c r="BB59" s="86">
        <f>BB35/BB47</f>
        <v>-0.13887577555975186</v>
      </c>
      <c r="BC59" s="6"/>
      <c r="BD59" s="86">
        <f>BD35/BD47</f>
        <v>-0.18482680834644266</v>
      </c>
      <c r="BE59" s="6"/>
      <c r="BF59" s="86">
        <f>BF35/BF47</f>
        <v>-0.14380192169564568</v>
      </c>
      <c r="BH59" s="86"/>
    </row>
    <row r="60" spans="1:60" ht="5.25" customHeight="1">
      <c r="A60" s="6"/>
      <c r="B60" s="6"/>
      <c r="C60" s="6"/>
      <c r="D60" s="6"/>
      <c r="E60" s="6"/>
      <c r="F60" s="6"/>
      <c r="G60" s="6"/>
      <c r="H60" s="6"/>
      <c r="I60" s="6"/>
      <c r="J60" s="6"/>
      <c r="K60" s="6"/>
      <c r="L60" s="6"/>
      <c r="M60" s="6"/>
      <c r="N60" s="6"/>
      <c r="O60" s="6"/>
      <c r="P60" s="6"/>
      <c r="Q60" s="6"/>
      <c r="R60" s="6"/>
      <c r="S60" s="6"/>
      <c r="T60" s="6"/>
      <c r="U60" s="6"/>
      <c r="V60" s="6"/>
      <c r="W60" s="6"/>
      <c r="X60" s="6"/>
      <c r="Y60" s="6"/>
      <c r="Z60" s="6"/>
      <c r="AA60" s="6"/>
      <c r="AB60" s="6"/>
      <c r="AC60" s="6"/>
      <c r="AD60" s="6"/>
      <c r="AE60" s="6"/>
      <c r="AF60" s="6"/>
      <c r="AG60" s="6"/>
      <c r="AH60" s="6"/>
      <c r="AI60" s="6"/>
      <c r="AJ60" s="6"/>
      <c r="AK60" s="6"/>
      <c r="AL60" s="6"/>
      <c r="AM60" s="6"/>
      <c r="AN60" s="6"/>
      <c r="AO60" s="6"/>
      <c r="AP60" s="6"/>
      <c r="AQ60" s="6"/>
      <c r="AR60" s="6"/>
      <c r="AS60" s="6"/>
      <c r="AT60" s="6"/>
      <c r="AU60" s="6"/>
      <c r="AV60" s="6"/>
      <c r="AW60" s="6"/>
      <c r="AX60" s="6"/>
      <c r="AY60" s="6"/>
      <c r="AZ60" s="6"/>
      <c r="BA60" s="6"/>
      <c r="BB60" s="6"/>
      <c r="BC60" s="6"/>
      <c r="BD60" s="6"/>
      <c r="BE60" s="6"/>
      <c r="BF60" s="6"/>
      <c r="BH60" s="6"/>
    </row>
    <row r="61" spans="1:60">
      <c r="A61" s="6"/>
      <c r="B61" s="6" t="s">
        <v>594</v>
      </c>
      <c r="C61" s="6"/>
      <c r="D61" s="6"/>
      <c r="E61" s="6"/>
      <c r="F61" s="6"/>
      <c r="G61" s="6"/>
      <c r="H61" s="6"/>
      <c r="I61" s="6"/>
      <c r="J61" s="6"/>
      <c r="K61" s="6"/>
      <c r="L61" s="6"/>
      <c r="M61" s="6"/>
      <c r="N61" s="6"/>
      <c r="O61" s="6"/>
      <c r="P61" s="6"/>
      <c r="Q61" s="6"/>
      <c r="R61" s="86">
        <f>AVERAGE(R56:R59)</f>
        <v>-7.4072156583215865E-3</v>
      </c>
      <c r="S61" s="6"/>
      <c r="T61" s="86">
        <f>AVERAGE(T56:T59)</f>
        <v>-4.4797285802330056E-2</v>
      </c>
      <c r="U61" s="6"/>
      <c r="V61" s="86">
        <f>AVERAGE(V56:V59)</f>
        <v>8.3310674953774574E-2</v>
      </c>
      <c r="W61" s="6"/>
      <c r="X61" s="86">
        <f>AVERAGE(X56:X59)</f>
        <v>0.24040020159356759</v>
      </c>
      <c r="Y61" s="6"/>
      <c r="Z61" s="86">
        <f>AVERAGE(Z56:Z59)</f>
        <v>0.22012522754509689</v>
      </c>
      <c r="AA61" s="6"/>
      <c r="AB61" s="86">
        <f>AVERAGE(AB56:AB59)</f>
        <v>0.15384868942725641</v>
      </c>
      <c r="AC61" s="6"/>
      <c r="AD61" s="6"/>
      <c r="AE61" s="6"/>
      <c r="AF61" s="6"/>
      <c r="AG61" s="6"/>
      <c r="AH61" s="6"/>
      <c r="AI61" s="6"/>
      <c r="AJ61" s="6"/>
      <c r="AK61" s="6"/>
      <c r="AL61" s="6"/>
      <c r="AM61" s="6"/>
      <c r="AN61" s="6"/>
      <c r="AO61" s="6"/>
      <c r="AP61" s="6"/>
      <c r="AQ61" s="6"/>
      <c r="AR61" s="6"/>
      <c r="AS61" s="6"/>
      <c r="AT61" s="6"/>
      <c r="AU61" s="6"/>
      <c r="AV61" s="6"/>
      <c r="AW61" s="6"/>
      <c r="AX61" s="6"/>
      <c r="AY61" s="6"/>
      <c r="AZ61" s="6"/>
      <c r="BA61" s="6"/>
      <c r="BB61" s="6"/>
      <c r="BC61" s="6"/>
      <c r="BD61" s="6"/>
      <c r="BE61" s="6"/>
      <c r="BF61" s="6"/>
      <c r="BH61" s="6"/>
    </row>
    <row r="62" spans="1:60" ht="3.75" customHeight="1">
      <c r="A62" s="6"/>
      <c r="B62" s="6"/>
      <c r="C62" s="6"/>
      <c r="D62" s="6"/>
      <c r="E62" s="6"/>
      <c r="F62" s="6"/>
      <c r="G62" s="6"/>
      <c r="H62" s="6"/>
      <c r="I62" s="6"/>
      <c r="J62" s="6"/>
      <c r="K62" s="6"/>
      <c r="L62" s="6"/>
      <c r="M62" s="6"/>
      <c r="N62" s="6"/>
      <c r="O62" s="6"/>
      <c r="P62" s="6"/>
      <c r="Q62" s="6"/>
      <c r="R62" s="6"/>
      <c r="S62" s="6"/>
      <c r="T62" s="6"/>
      <c r="U62" s="6"/>
      <c r="V62" s="6"/>
      <c r="W62" s="6"/>
      <c r="X62" s="6"/>
      <c r="Y62" s="6"/>
      <c r="Z62" s="6"/>
      <c r="AA62" s="6"/>
      <c r="AB62" s="6"/>
      <c r="AC62" s="6"/>
      <c r="AD62" s="6"/>
      <c r="AE62" s="6"/>
      <c r="AF62" s="6"/>
      <c r="AG62" s="6"/>
      <c r="AH62" s="6"/>
      <c r="AI62" s="6"/>
      <c r="AJ62" s="6"/>
      <c r="AK62" s="6"/>
      <c r="AL62" s="6"/>
      <c r="AM62" s="6"/>
      <c r="AN62" s="6"/>
      <c r="AO62" s="6"/>
      <c r="AP62" s="6"/>
      <c r="AQ62" s="6"/>
      <c r="AR62" s="6"/>
      <c r="AS62" s="6"/>
      <c r="AT62" s="6"/>
      <c r="AU62" s="6"/>
      <c r="AV62" s="6"/>
      <c r="AW62" s="6"/>
      <c r="AX62" s="6"/>
      <c r="AY62" s="6"/>
      <c r="AZ62" s="6"/>
      <c r="BA62" s="6"/>
      <c r="BB62" s="6"/>
      <c r="BC62" s="6"/>
      <c r="BD62" s="6"/>
      <c r="BE62" s="6"/>
      <c r="BF62" s="6"/>
      <c r="BH62" s="6"/>
    </row>
    <row r="63" spans="1:60">
      <c r="A63" s="6"/>
      <c r="B63" s="6"/>
      <c r="C63" s="6"/>
      <c r="D63" s="6"/>
      <c r="E63" s="6"/>
      <c r="F63" s="6"/>
      <c r="G63" s="6"/>
      <c r="H63" s="6"/>
      <c r="I63" s="6"/>
      <c r="J63" s="6"/>
      <c r="K63" s="6"/>
      <c r="L63" s="6"/>
      <c r="M63" s="6"/>
      <c r="N63" s="6"/>
      <c r="O63" s="6"/>
      <c r="P63" s="6"/>
      <c r="Q63" s="6"/>
      <c r="R63" s="6"/>
      <c r="S63" s="6"/>
      <c r="T63" s="6"/>
      <c r="U63" s="6"/>
      <c r="V63" s="79" t="s">
        <v>619</v>
      </c>
      <c r="W63" s="78"/>
      <c r="X63" s="78"/>
      <c r="Y63" s="78"/>
      <c r="Z63" s="78"/>
      <c r="AA63" s="78"/>
      <c r="AB63" s="78"/>
      <c r="AC63" s="78"/>
      <c r="AD63" s="78"/>
      <c r="AE63" s="78"/>
      <c r="AF63" s="79" t="s">
        <v>619</v>
      </c>
      <c r="AG63" s="79"/>
      <c r="AH63" s="79"/>
      <c r="AI63" s="79"/>
      <c r="AJ63" s="79"/>
      <c r="AK63" s="79"/>
      <c r="AL63" s="79" t="s">
        <v>619</v>
      </c>
      <c r="AM63" s="79"/>
      <c r="AN63" s="79"/>
      <c r="AO63" s="79"/>
      <c r="AP63" s="79"/>
      <c r="AQ63" s="79"/>
      <c r="AR63" s="79"/>
      <c r="AS63" s="79"/>
      <c r="AT63" s="79"/>
      <c r="AU63" s="79"/>
      <c r="AV63" s="79"/>
      <c r="AW63" s="79"/>
      <c r="AX63" s="79"/>
      <c r="AY63" s="79"/>
      <c r="AZ63" s="79"/>
      <c r="BA63" s="79"/>
      <c r="BB63" s="79"/>
      <c r="BC63" s="79"/>
      <c r="BD63" s="79"/>
      <c r="BE63" s="79"/>
      <c r="BF63" s="79"/>
      <c r="BH63" s="79"/>
    </row>
    <row r="64" spans="1:60">
      <c r="A64" s="6" t="s">
        <v>527</v>
      </c>
      <c r="B64" s="6" t="s">
        <v>514</v>
      </c>
      <c r="C64" s="6"/>
      <c r="D64" s="6"/>
      <c r="E64" s="6"/>
      <c r="F64" s="6"/>
      <c r="G64" s="6"/>
      <c r="H64" s="6"/>
      <c r="I64" s="6"/>
      <c r="J64" s="6"/>
      <c r="K64" s="6"/>
      <c r="L64" s="6"/>
      <c r="M64" s="6"/>
      <c r="N64" s="6"/>
      <c r="O64" s="6"/>
      <c r="P64" s="122">
        <f>+P8/P44</f>
        <v>0.12300499955016903</v>
      </c>
      <c r="Q64" s="6"/>
      <c r="R64" s="122">
        <f>+R8/R44</f>
        <v>0.2755675431121819</v>
      </c>
      <c r="S64" s="6"/>
      <c r="T64" s="122">
        <f>+T8/T44</f>
        <v>0.23519924596238578</v>
      </c>
      <c r="U64" s="6"/>
      <c r="V64" s="122">
        <f>+V8/V44</f>
        <v>0.2150724968159243</v>
      </c>
      <c r="W64" s="6"/>
      <c r="X64" s="122">
        <f>+X8/X44</f>
        <v>0.15535268322031198</v>
      </c>
      <c r="Y64" s="6"/>
      <c r="Z64" s="122">
        <f>+Z8/Z44</f>
        <v>0.16072286703426494</v>
      </c>
      <c r="AA64" s="6"/>
      <c r="AB64" s="122">
        <f>+AB8/AB44</f>
        <v>0.25124087059023681</v>
      </c>
      <c r="AC64" s="6"/>
      <c r="AD64" s="122">
        <f>+AD8/AD44</f>
        <v>8.3599276212784859E-2</v>
      </c>
      <c r="AE64" s="6"/>
      <c r="AF64" s="122">
        <f>+AF8/AF44</f>
        <v>0.10710400543524777</v>
      </c>
      <c r="AG64" s="6"/>
      <c r="AH64" s="122">
        <f>+AH8/AH44</f>
        <v>7.9506327415820768E-2</v>
      </c>
      <c r="AI64" s="6"/>
      <c r="AJ64" s="122">
        <f>+AJ8/AJ44</f>
        <v>0.10296497939964684</v>
      </c>
      <c r="AK64" s="6"/>
      <c r="AL64" s="122">
        <f>+AL8/AL44</f>
        <v>0.24260869565217394</v>
      </c>
      <c r="AM64" s="6"/>
      <c r="AN64" s="122">
        <f>+AN8/AN44</f>
        <v>0.23499511899552297</v>
      </c>
      <c r="AO64" s="6"/>
      <c r="AP64" s="122">
        <f>+AP8/AP44</f>
        <v>0.30968863142650255</v>
      </c>
      <c r="AQ64" s="6"/>
      <c r="AR64" s="122">
        <f>+AR8/AR44</f>
        <v>0.51377926947583707</v>
      </c>
      <c r="AS64" s="6"/>
      <c r="AT64" s="122">
        <f>+AT8/AT44</f>
        <v>0.37521165785827904</v>
      </c>
      <c r="AU64" s="6"/>
      <c r="AV64" s="122">
        <f>+AV8/AV44</f>
        <v>0.42339819302048076</v>
      </c>
      <c r="AW64" s="6"/>
      <c r="AX64" s="122">
        <f>+AX8/AX44</f>
        <v>0.44230463786531143</v>
      </c>
      <c r="AY64" s="6"/>
      <c r="AZ64" s="122">
        <f>+AZ8/AZ44</f>
        <v>0.41729492415927461</v>
      </c>
      <c r="BA64" s="6"/>
      <c r="BB64" s="122">
        <f>+BB8/BB44</f>
        <v>0.43772615062054038</v>
      </c>
      <c r="BC64" s="6"/>
      <c r="BD64" s="122">
        <f>+BD8/BD44</f>
        <v>0.38174132184375253</v>
      </c>
      <c r="BE64" s="6"/>
      <c r="BF64" s="122">
        <f>+BF8/BF44</f>
        <v>0.68029608221884719</v>
      </c>
      <c r="BH64" s="122"/>
    </row>
    <row r="65" spans="1:60">
      <c r="A65" s="6" t="s">
        <v>528</v>
      </c>
      <c r="B65" s="6" t="s">
        <v>515</v>
      </c>
      <c r="C65" s="6"/>
      <c r="D65" s="6"/>
      <c r="E65" s="6"/>
      <c r="F65" s="6"/>
      <c r="G65" s="6"/>
      <c r="H65" s="6"/>
      <c r="I65" s="6"/>
      <c r="J65" s="6"/>
      <c r="K65" s="6"/>
      <c r="L65" s="6"/>
      <c r="M65" s="6"/>
      <c r="N65" s="6"/>
      <c r="O65" s="6"/>
      <c r="P65" s="122">
        <f>+P9/P45</f>
        <v>0.15506510924435607</v>
      </c>
      <c r="Q65" s="6"/>
      <c r="R65" s="122">
        <f>+R9/R45</f>
        <v>9.6125010084599352E-2</v>
      </c>
      <c r="S65" s="6"/>
      <c r="T65" s="122">
        <f>+T9/T45</f>
        <v>4.2231130217928854E-2</v>
      </c>
      <c r="U65" s="6"/>
      <c r="V65" s="122">
        <f>+V9/V45</f>
        <v>3.1507109080687094E-2</v>
      </c>
      <c r="W65" s="6"/>
      <c r="X65" s="122">
        <f>+X9/X45</f>
        <v>2.4398339426725715E-2</v>
      </c>
      <c r="Y65" s="6"/>
      <c r="Z65" s="122">
        <f>+Z9/Z45</f>
        <v>7.3690584285097616E-2</v>
      </c>
      <c r="AA65" s="6"/>
      <c r="AB65" s="122">
        <f>+AB9/AB45</f>
        <v>0.14635580819169228</v>
      </c>
      <c r="AC65" s="6"/>
      <c r="AD65" s="122">
        <f>+AD9/AD45</f>
        <v>2.1648115800300956E-2</v>
      </c>
      <c r="AE65" s="6"/>
      <c r="AF65" s="122">
        <f>+AF9/AF45</f>
        <v>6.1507756509117301E-2</v>
      </c>
      <c r="AG65" s="6"/>
      <c r="AH65" s="122">
        <f>+AH9/AH45</f>
        <v>6.9807757698240866E-2</v>
      </c>
      <c r="AI65" s="6"/>
      <c r="AJ65" s="122">
        <f>+AJ9/AJ45</f>
        <v>9.723768764865974E-2</v>
      </c>
      <c r="AK65" s="6"/>
      <c r="AL65" s="122">
        <f>+AL9/AL45</f>
        <v>0.17993662778938849</v>
      </c>
      <c r="AM65" s="6"/>
      <c r="AN65" s="122">
        <f>+AN9/AN45</f>
        <v>0.17563806679337499</v>
      </c>
      <c r="AO65" s="6"/>
      <c r="AP65" s="122">
        <f>+AP9/AP45</f>
        <v>0.3545005093041167</v>
      </c>
      <c r="AQ65" s="6"/>
      <c r="AR65" s="122">
        <f>+AR9/AR45</f>
        <v>0.36823990822016489</v>
      </c>
      <c r="AS65" s="6"/>
      <c r="AT65" s="122">
        <f>+AT9/AT45</f>
        <v>0.2520492859720575</v>
      </c>
      <c r="AU65" s="6"/>
      <c r="AV65" s="122">
        <f>+AV9/AV45</f>
        <v>0.38909833113218878</v>
      </c>
      <c r="AW65" s="6"/>
      <c r="AX65" s="122">
        <f>+AX9/AX45</f>
        <v>0.36274222820677943</v>
      </c>
      <c r="AY65" s="6"/>
      <c r="AZ65" s="122">
        <f>+AZ9/AZ45</f>
        <v>0.41846232092904978</v>
      </c>
      <c r="BA65" s="6"/>
      <c r="BB65" s="122">
        <f>+BB9/BB45</f>
        <v>0.37937288135593222</v>
      </c>
      <c r="BC65" s="6"/>
      <c r="BD65" s="122">
        <f>+BD9/BD45</f>
        <v>0.36668699421488965</v>
      </c>
      <c r="BE65" s="6"/>
      <c r="BF65" s="122">
        <f>+BF9/BF45</f>
        <v>0.43606257108672219</v>
      </c>
      <c r="BH65" s="122"/>
    </row>
    <row r="66" spans="1:60">
      <c r="A66" s="6" t="s">
        <v>529</v>
      </c>
      <c r="B66" s="6" t="s">
        <v>516</v>
      </c>
      <c r="C66" s="6"/>
      <c r="D66" s="6"/>
      <c r="E66" s="6"/>
      <c r="F66" s="6"/>
      <c r="G66" s="6"/>
      <c r="H66" s="6"/>
      <c r="I66" s="6"/>
      <c r="J66" s="6"/>
      <c r="K66" s="6"/>
      <c r="L66" s="6"/>
      <c r="M66" s="6"/>
      <c r="N66" s="6"/>
      <c r="O66" s="6"/>
      <c r="P66" s="122">
        <f>+P10/P46</f>
        <v>0.15310861705039772</v>
      </c>
      <c r="Q66" s="6"/>
      <c r="R66" s="122">
        <f>+R10/R46</f>
        <v>0.10448113035949448</v>
      </c>
      <c r="S66" s="6"/>
      <c r="T66" s="122">
        <f>+T10/T46</f>
        <v>0.1224512427907284</v>
      </c>
      <c r="U66" s="6"/>
      <c r="V66" s="122">
        <f>+V10/V46</f>
        <v>1.6201101841151234E-2</v>
      </c>
      <c r="W66" s="6"/>
      <c r="X66" s="122">
        <f>+X10/X46</f>
        <v>3.2114642809181804E-2</v>
      </c>
      <c r="Y66" s="6"/>
      <c r="Z66" s="122">
        <f>+Z10/Z46</f>
        <v>3.9518761127765964E-2</v>
      </c>
      <c r="AA66" s="6"/>
      <c r="AB66" s="122">
        <f>+AB10/AB46</f>
        <v>7.4477966993994768E-2</v>
      </c>
      <c r="AC66" s="6"/>
      <c r="AD66" s="122">
        <f>+AD10/AD46</f>
        <v>4.1867800984562435E-2</v>
      </c>
      <c r="AE66" s="6"/>
      <c r="AF66" s="122">
        <f>+AF10/AF46</f>
        <v>6.4530645306453069E-2</v>
      </c>
      <c r="AG66" s="6"/>
      <c r="AH66" s="122">
        <f>+AH10/AH46</f>
        <v>7.5447618332645155E-2</v>
      </c>
      <c r="AI66" s="6"/>
      <c r="AJ66" s="122">
        <f>+AJ10/AJ46</f>
        <v>0.11507107727548338</v>
      </c>
      <c r="AK66" s="6"/>
      <c r="AL66" s="122">
        <f>+AL10/AL46</f>
        <v>0.13019557851655542</v>
      </c>
      <c r="AM66" s="6"/>
      <c r="AN66" s="122">
        <f>+AN10/AN46</f>
        <v>0.13474782608695651</v>
      </c>
      <c r="AO66" s="6"/>
      <c r="AP66" s="122">
        <f>+AP10/AP46</f>
        <v>0.36922762566407846</v>
      </c>
      <c r="AQ66" s="6"/>
      <c r="AR66" s="122">
        <f>+AR10/AR46</f>
        <v>0.34480006179674016</v>
      </c>
      <c r="AS66" s="6"/>
      <c r="AT66" s="122">
        <f>+AT10/AT46</f>
        <v>0.24177573399363281</v>
      </c>
      <c r="AU66" s="6"/>
      <c r="AV66" s="122">
        <f>+AV10/AV46</f>
        <v>0.3871583861916103</v>
      </c>
      <c r="AW66" s="6"/>
      <c r="AX66" s="122">
        <f>+AX10/AX46</f>
        <v>0.37250833642089665</v>
      </c>
      <c r="AY66" s="6"/>
      <c r="AZ66" s="122">
        <f>+AZ10/AZ46</f>
        <v>0.35907696411898088</v>
      </c>
      <c r="BA66" s="6"/>
      <c r="BB66" s="122">
        <f>+BB10/BB46</f>
        <v>0.35804030693987687</v>
      </c>
      <c r="BC66" s="6"/>
      <c r="BD66" s="122">
        <f>+BD10/BD46</f>
        <v>0.43117362583716001</v>
      </c>
      <c r="BE66" s="6"/>
      <c r="BF66" s="122">
        <f>+BF10/BF46</f>
        <v>0.41827384588533023</v>
      </c>
      <c r="BH66" s="122"/>
    </row>
    <row r="67" spans="1:60">
      <c r="A67" s="6" t="s">
        <v>530</v>
      </c>
      <c r="B67" s="6" t="s">
        <v>517</v>
      </c>
      <c r="C67" s="6"/>
      <c r="D67" s="6"/>
      <c r="E67" s="6"/>
      <c r="F67" s="6"/>
      <c r="G67" s="6"/>
      <c r="H67" s="6"/>
      <c r="I67" s="6"/>
      <c r="J67" s="6"/>
      <c r="K67" s="6"/>
      <c r="L67" s="6"/>
      <c r="M67" s="6"/>
      <c r="N67" s="6"/>
      <c r="O67" s="6"/>
      <c r="P67" s="122">
        <f>+P11/P47</f>
        <v>0.33940071607508498</v>
      </c>
      <c r="Q67" s="6"/>
      <c r="R67" s="122">
        <f>+R11/R47</f>
        <v>0.28580000805729439</v>
      </c>
      <c r="S67" s="6"/>
      <c r="T67" s="122">
        <f>+T11/T47</f>
        <v>0.34377734416342326</v>
      </c>
      <c r="U67" s="6"/>
      <c r="V67" s="122">
        <f>+V11/V47</f>
        <v>0.24156602471548855</v>
      </c>
      <c r="W67" s="6"/>
      <c r="X67" s="122">
        <f>+X11/X47</f>
        <v>8.4034119621572242E-2</v>
      </c>
      <c r="Y67" s="6"/>
      <c r="Z67" s="122">
        <f>+Z11/Z47</f>
        <v>0.24482832117992331</v>
      </c>
      <c r="AA67" s="6"/>
      <c r="AB67" s="122">
        <f>+AB11/AB47</f>
        <v>0.23568604491405382</v>
      </c>
      <c r="AC67" s="6"/>
      <c r="AD67" s="122">
        <f>+AD11/AD47</f>
        <v>0.11088110881108812</v>
      </c>
      <c r="AE67" s="6"/>
      <c r="AF67" s="122">
        <f>+AF11/AF47</f>
        <v>0.12698412698412698</v>
      </c>
      <c r="AG67" s="6"/>
      <c r="AH67" s="122">
        <f>+AH11/AH47</f>
        <v>0.17403743803184968</v>
      </c>
      <c r="AI67" s="6"/>
      <c r="AJ67" s="122">
        <f>+AJ11/AJ47</f>
        <v>0.27853821894202951</v>
      </c>
      <c r="AK67" s="6"/>
      <c r="AL67" s="122">
        <f>+AL11/AL47</f>
        <v>0.24714097763384277</v>
      </c>
      <c r="AM67" s="6"/>
      <c r="AN67" s="122">
        <f>+AN11/AN47</f>
        <v>0.15675227264871591</v>
      </c>
      <c r="AO67" s="6"/>
      <c r="AP67" s="122">
        <f>+AP11/AP47</f>
        <v>0.44071405175237466</v>
      </c>
      <c r="AQ67" s="6"/>
      <c r="AR67" s="122">
        <f>+AR11/AR47</f>
        <v>0.46927186846656166</v>
      </c>
      <c r="AS67" s="6"/>
      <c r="AT67" s="122">
        <f>+AT11/AT47</f>
        <v>0.40207841759124452</v>
      </c>
      <c r="AU67" s="6"/>
      <c r="AV67" s="122">
        <f>+AV11/AV47</f>
        <v>0.46116428330143</v>
      </c>
      <c r="AW67" s="6"/>
      <c r="AX67" s="122">
        <f>+AX11/AX47</f>
        <v>0.44410530331934372</v>
      </c>
      <c r="AY67" s="6"/>
      <c r="AZ67" s="122">
        <f>+AZ11/AZ47</f>
        <v>0.42352937078454178</v>
      </c>
      <c r="BA67" s="6"/>
      <c r="BB67" s="122">
        <f>+BB11/BB47</f>
        <v>0.41269894793633666</v>
      </c>
      <c r="BC67" s="6"/>
      <c r="BD67" s="122">
        <f>+BD11/BD47</f>
        <v>0.51541954824730629</v>
      </c>
      <c r="BE67" s="6"/>
      <c r="BF67" s="122">
        <f>+BF11/BF47</f>
        <v>0.44609630161677216</v>
      </c>
      <c r="BH67" s="122"/>
    </row>
    <row r="68" spans="1:60">
      <c r="A68" s="6" t="s">
        <v>143</v>
      </c>
      <c r="B68" s="6"/>
      <c r="C68" s="6"/>
      <c r="D68" s="6"/>
      <c r="E68" s="6"/>
      <c r="F68" s="6"/>
      <c r="G68" s="6"/>
      <c r="H68" s="6"/>
      <c r="I68" s="6"/>
      <c r="J68" s="6"/>
      <c r="K68" s="6"/>
      <c r="L68" s="6"/>
      <c r="M68" s="6"/>
      <c r="N68" s="6"/>
      <c r="O68" s="6"/>
      <c r="P68" s="6"/>
      <c r="Q68" s="6"/>
      <c r="R68" s="6"/>
      <c r="S68" s="6"/>
      <c r="T68" s="6"/>
      <c r="U68" s="6"/>
      <c r="V68" s="6"/>
      <c r="W68" s="6"/>
      <c r="X68" s="6"/>
      <c r="Y68" s="6"/>
      <c r="Z68" s="6"/>
      <c r="AA68" s="6"/>
      <c r="AB68" s="6"/>
      <c r="AC68" s="6"/>
      <c r="AD68" s="6"/>
      <c r="AE68" s="6"/>
      <c r="AF68" s="6"/>
      <c r="AG68" s="6"/>
      <c r="AH68" s="6"/>
      <c r="AI68" s="6"/>
      <c r="AJ68" s="6"/>
      <c r="AK68" s="6"/>
      <c r="AL68" s="6"/>
      <c r="AM68" s="6"/>
      <c r="AN68" s="6"/>
      <c r="AO68" s="6"/>
      <c r="AP68" s="6"/>
      <c r="AQ68" s="6"/>
      <c r="AR68" s="6"/>
      <c r="AS68" s="6"/>
      <c r="AT68" s="6"/>
      <c r="AU68" s="6"/>
      <c r="AV68" s="6"/>
      <c r="AW68" s="6"/>
      <c r="AX68" s="6"/>
      <c r="AY68" s="6"/>
      <c r="AZ68" s="6"/>
      <c r="BA68" s="6"/>
      <c r="BB68" s="6"/>
      <c r="BC68" s="6"/>
      <c r="BD68" s="6"/>
      <c r="BE68" s="6"/>
      <c r="BF68" s="6"/>
      <c r="BH68" s="6"/>
    </row>
  </sheetData>
  <phoneticPr fontId="0" type="noConversion"/>
  <printOptions horizontalCentered="1"/>
  <pageMargins left="0.2" right="0.2" top="0.75" bottom="0.5" header="0.5" footer="0.5"/>
  <pageSetup scale="67" orientation="portrait" r:id="rId1"/>
  <headerFooter alignWithMargins="0">
    <oddFooter>&amp;R&amp;8&amp;D/&amp;T
&amp;F/&amp;A</oddFooter>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pageSetUpPr fitToPage="1"/>
  </sheetPr>
  <dimension ref="A1:DL48"/>
  <sheetViews>
    <sheetView topLeftCell="A25" workbookViewId="0">
      <selection activeCell="DL20" sqref="DL20"/>
    </sheetView>
  </sheetViews>
  <sheetFormatPr defaultRowHeight="12.75" outlineLevelCol="2"/>
  <cols>
    <col min="1" max="1" width="3.140625" customWidth="1"/>
    <col min="2" max="2" width="4.42578125" customWidth="1"/>
    <col min="3" max="3" width="1.7109375" customWidth="1"/>
    <col min="4" max="4" width="9.7109375" hidden="1" customWidth="1" outlineLevel="2"/>
    <col min="5" max="5" width="3" hidden="1" customWidth="1" outlineLevel="2"/>
    <col min="6" max="6" width="7.85546875" hidden="1" customWidth="1" outlineLevel="1"/>
    <col min="7" max="7" width="5.7109375" hidden="1" customWidth="1" outlineLevel="1"/>
    <col min="8" max="8" width="4.7109375" hidden="1" customWidth="1" outlineLevel="1"/>
    <col min="9" max="9" width="1.28515625" hidden="1" customWidth="1" outlineLevel="1"/>
    <col min="10" max="10" width="7.85546875" hidden="1" customWidth="1" outlineLevel="1"/>
    <col min="11" max="11" width="5.5703125" hidden="1" customWidth="1" outlineLevel="1"/>
    <col min="12" max="12" width="4.42578125" hidden="1" customWidth="1" outlineLevel="1"/>
    <col min="13" max="13" width="1.28515625" hidden="1" customWidth="1" outlineLevel="1"/>
    <col min="14" max="14" width="7.85546875" hidden="1" customWidth="1" outlineLevel="1"/>
    <col min="15" max="15" width="5.5703125" hidden="1" customWidth="1" outlineLevel="1"/>
    <col min="16" max="16" width="4.7109375" hidden="1" customWidth="1" outlineLevel="1"/>
    <col min="17" max="17" width="1.28515625" hidden="1" customWidth="1" outlineLevel="1"/>
    <col min="18" max="18" width="7.85546875" hidden="1" customWidth="1" outlineLevel="1"/>
    <col min="19" max="19" width="5.5703125" hidden="1" customWidth="1" outlineLevel="1"/>
    <col min="20" max="20" width="4.28515625" hidden="1" customWidth="1" outlineLevel="1"/>
    <col min="21" max="21" width="1.28515625" hidden="1" customWidth="1" outlineLevel="1"/>
    <col min="22" max="22" width="7.85546875" hidden="1" customWidth="1" outlineLevel="1"/>
    <col min="23" max="23" width="5.7109375" hidden="1" customWidth="1" outlineLevel="1"/>
    <col min="24" max="24" width="4.7109375" hidden="1" customWidth="1" outlineLevel="1"/>
    <col min="25" max="25" width="1.28515625" hidden="1" customWidth="1" outlineLevel="1"/>
    <col min="26" max="26" width="7.85546875" hidden="1" customWidth="1" outlineLevel="1" collapsed="1"/>
    <col min="27" max="27" width="5.5703125" hidden="1" customWidth="1" outlineLevel="1"/>
    <col min="28" max="28" width="5.140625" hidden="1" customWidth="1" outlineLevel="1"/>
    <col min="29" max="29" width="1.28515625" hidden="1" customWidth="1" outlineLevel="1"/>
    <col min="30" max="30" width="7.85546875" hidden="1" customWidth="1" outlineLevel="1"/>
    <col min="31" max="31" width="5.5703125" hidden="1" customWidth="1" outlineLevel="1"/>
    <col min="32" max="32" width="4.28515625" hidden="1" customWidth="1" outlineLevel="1"/>
    <col min="33" max="33" width="1.28515625" hidden="1" customWidth="1" outlineLevel="1"/>
    <col min="34" max="34" width="7.85546875" hidden="1" customWidth="1" outlineLevel="1"/>
    <col min="35" max="35" width="5.5703125" hidden="1" customWidth="1" outlineLevel="1"/>
    <col min="36" max="36" width="4.28515625" hidden="1" customWidth="1" outlineLevel="1"/>
    <col min="37" max="37" width="1.28515625" hidden="1" customWidth="1" outlineLevel="1"/>
    <col min="38" max="38" width="7.85546875" hidden="1" customWidth="1" outlineLevel="1" collapsed="1"/>
    <col min="39" max="39" width="5.5703125" hidden="1" customWidth="1" outlineLevel="1"/>
    <col min="40" max="40" width="4.28515625" hidden="1" customWidth="1" outlineLevel="1"/>
    <col min="41" max="41" width="1.28515625" hidden="1" customWidth="1" outlineLevel="1"/>
    <col min="42" max="42" width="7.85546875" hidden="1" customWidth="1" outlineLevel="1" collapsed="1"/>
    <col min="43" max="43" width="6.5703125" hidden="1" customWidth="1" outlineLevel="1"/>
    <col min="44" max="44" width="4.28515625" hidden="1" customWidth="1" outlineLevel="1"/>
    <col min="45" max="45" width="1.28515625" hidden="1" customWidth="1" outlineLevel="1"/>
    <col min="46" max="46" width="7.85546875" hidden="1" customWidth="1" outlineLevel="1" collapsed="1"/>
    <col min="47" max="47" width="5.5703125" hidden="1" customWidth="1" outlineLevel="1"/>
    <col min="48" max="48" width="4.28515625" hidden="1" customWidth="1" outlineLevel="1"/>
    <col min="49" max="49" width="1.28515625" hidden="1" customWidth="1" outlineLevel="1"/>
    <col min="50" max="50" width="7.85546875" hidden="1" customWidth="1" outlineLevel="1" collapsed="1"/>
    <col min="51" max="51" width="5.5703125" hidden="1" customWidth="1" outlineLevel="1"/>
    <col min="52" max="52" width="4.28515625" hidden="1" customWidth="1" outlineLevel="1"/>
    <col min="53" max="53" width="1.28515625" hidden="1" customWidth="1" outlineLevel="1"/>
    <col min="54" max="54" width="7.85546875" hidden="1" customWidth="1" outlineLevel="1"/>
    <col min="55" max="55" width="5.5703125" hidden="1" customWidth="1" outlineLevel="1"/>
    <col min="56" max="56" width="4.28515625" hidden="1" customWidth="1" outlineLevel="1"/>
    <col min="57" max="57" width="1.28515625" hidden="1" customWidth="1" outlineLevel="1"/>
    <col min="58" max="58" width="7.85546875" hidden="1" customWidth="1" outlineLevel="1" collapsed="1"/>
    <col min="59" max="59" width="5.5703125" hidden="1" customWidth="1" outlineLevel="1"/>
    <col min="60" max="60" width="4.28515625" hidden="1" customWidth="1" outlineLevel="1"/>
    <col min="61" max="61" width="1.140625" hidden="1" customWidth="1" outlineLevel="1"/>
    <col min="62" max="62" width="7.85546875" hidden="1" customWidth="1" outlineLevel="1"/>
    <col min="63" max="63" width="5.5703125" hidden="1" customWidth="1" outlineLevel="1"/>
    <col min="64" max="64" width="4.28515625" hidden="1" customWidth="1" outlineLevel="1"/>
    <col min="65" max="65" width="1" hidden="1" customWidth="1" outlineLevel="1"/>
    <col min="66" max="66" width="7.85546875" hidden="1" customWidth="1" outlineLevel="1"/>
    <col min="67" max="67" width="5.5703125" hidden="1" customWidth="1" outlineLevel="1"/>
    <col min="68" max="68" width="4.28515625" hidden="1" customWidth="1" outlineLevel="1"/>
    <col min="69" max="69" width="1.42578125" hidden="1" customWidth="1" outlineLevel="1"/>
    <col min="70" max="70" width="0" hidden="1" customWidth="1" outlineLevel="1"/>
    <col min="71" max="71" width="5.42578125" hidden="1" customWidth="1" outlineLevel="1"/>
    <col min="72" max="72" width="3.7109375" hidden="1" customWidth="1" outlineLevel="1"/>
    <col min="73" max="73" width="1.42578125" hidden="1" customWidth="1" outlineLevel="1"/>
    <col min="74" max="74" width="0" hidden="1" customWidth="1" outlineLevel="1"/>
    <col min="75" max="75" width="5.42578125" hidden="1" customWidth="1" outlineLevel="1"/>
    <col min="76" max="76" width="4.28515625" hidden="1" customWidth="1" outlineLevel="1"/>
    <col min="77" max="77" width="1.42578125" hidden="1" customWidth="1" outlineLevel="1"/>
    <col min="78" max="78" width="0" hidden="1" customWidth="1" outlineLevel="1"/>
    <col min="79" max="79" width="5.42578125" hidden="1" customWidth="1" outlineLevel="1"/>
    <col min="80" max="80" width="4.28515625" hidden="1" customWidth="1" outlineLevel="1"/>
    <col min="81" max="81" width="1.42578125" hidden="1" customWidth="1" outlineLevel="1"/>
    <col min="82" max="82" width="9.140625" collapsed="1"/>
    <col min="83" max="83" width="5.42578125" customWidth="1"/>
    <col min="84" max="84" width="4.28515625" customWidth="1"/>
    <col min="85" max="85" width="1.42578125" customWidth="1"/>
    <col min="87" max="87" width="5.42578125" customWidth="1"/>
    <col min="88" max="88" width="4.28515625" customWidth="1"/>
    <col min="89" max="89" width="1.42578125" customWidth="1"/>
    <col min="91" max="91" width="5.42578125" customWidth="1"/>
    <col min="92" max="92" width="4.28515625" customWidth="1"/>
    <col min="93" max="93" width="1.42578125" customWidth="1"/>
    <col min="95" max="95" width="5.42578125" customWidth="1"/>
    <col min="96" max="96" width="4.28515625" customWidth="1"/>
    <col min="97" max="97" width="1.42578125" customWidth="1"/>
    <col min="99" max="99" width="5.42578125" customWidth="1"/>
    <col min="100" max="100" width="4.28515625" customWidth="1"/>
    <col min="101" max="101" width="1.42578125" customWidth="1"/>
    <col min="102" max="102" width="9.140625" customWidth="1"/>
    <col min="103" max="103" width="5.42578125" customWidth="1"/>
    <col min="104" max="104" width="4.28515625" customWidth="1"/>
    <col min="105" max="105" width="1.42578125" customWidth="1"/>
    <col min="106" max="106" width="9.140625" customWidth="1"/>
    <col min="107" max="107" width="7.140625" customWidth="1"/>
    <col min="108" max="108" width="4.28515625" customWidth="1"/>
    <col min="109" max="109" width="1.42578125" customWidth="1"/>
    <col min="110" max="110" width="9.140625" customWidth="1"/>
    <col min="111" max="111" width="5.42578125" customWidth="1"/>
    <col min="112" max="112" width="4.28515625" customWidth="1"/>
    <col min="113" max="113" width="1.42578125" customWidth="1"/>
    <col min="114" max="114" width="9.140625" customWidth="1"/>
    <col min="115" max="115" width="5.42578125" customWidth="1"/>
    <col min="116" max="116" width="4.28515625" customWidth="1"/>
  </cols>
  <sheetData>
    <row r="1" spans="1:116">
      <c r="A1" s="7" t="str">
        <f>'qtrP&amp;L'!A1</f>
        <v>TJX Companies</v>
      </c>
      <c r="B1" s="41"/>
      <c r="C1" s="7"/>
      <c r="D1" s="7"/>
      <c r="E1" s="24"/>
      <c r="F1" s="7"/>
      <c r="G1" s="27"/>
      <c r="H1" s="27"/>
      <c r="I1" s="7"/>
      <c r="J1" s="7"/>
      <c r="K1" s="27"/>
      <c r="L1" s="27"/>
      <c r="M1" s="24"/>
      <c r="N1" s="27"/>
      <c r="O1" s="27"/>
      <c r="P1" s="27"/>
      <c r="Q1" s="27"/>
      <c r="R1" s="27"/>
      <c r="S1" s="27"/>
      <c r="T1" s="27"/>
      <c r="U1" s="28"/>
      <c r="V1" s="7"/>
      <c r="W1" s="27"/>
      <c r="X1" s="27"/>
      <c r="Y1" s="7"/>
      <c r="Z1" s="7"/>
      <c r="AA1" s="27"/>
      <c r="AB1" s="27"/>
      <c r="AC1" s="24"/>
      <c r="AD1" s="27"/>
      <c r="AE1" s="27"/>
      <c r="AF1" s="27"/>
      <c r="AG1" s="27"/>
      <c r="AH1" s="27"/>
      <c r="AI1" s="27"/>
      <c r="AJ1" s="27"/>
      <c r="AK1" s="28"/>
      <c r="AL1" s="27"/>
      <c r="AM1" s="27"/>
      <c r="AN1" s="27"/>
      <c r="AO1" s="28"/>
      <c r="AP1" s="27"/>
      <c r="AQ1" s="27"/>
      <c r="AR1" s="27"/>
      <c r="AS1" s="28"/>
      <c r="AT1" s="27"/>
      <c r="AU1" s="27"/>
      <c r="AV1" s="27"/>
      <c r="AW1" s="28"/>
      <c r="AX1" s="27"/>
      <c r="AY1" s="27"/>
      <c r="AZ1" s="27"/>
      <c r="BA1" s="28"/>
      <c r="BB1" s="27"/>
      <c r="BC1" s="27"/>
      <c r="BD1" s="27"/>
      <c r="BE1" s="28"/>
      <c r="BF1" s="27"/>
      <c r="BG1" s="27"/>
      <c r="BH1" s="27"/>
      <c r="BI1" s="27"/>
      <c r="BJ1" s="27"/>
      <c r="BK1" s="27"/>
      <c r="BL1" s="27"/>
      <c r="BM1" s="27"/>
      <c r="BN1" s="27"/>
      <c r="BO1" s="27"/>
      <c r="BP1" s="27"/>
      <c r="BQ1" s="27"/>
      <c r="BR1" s="7"/>
      <c r="BS1" s="7"/>
      <c r="BT1" s="7"/>
      <c r="BU1" s="27"/>
      <c r="BV1" s="7"/>
      <c r="BW1" s="7"/>
      <c r="BX1" s="7"/>
      <c r="BY1" s="27"/>
      <c r="BZ1" s="7"/>
      <c r="CA1" s="7"/>
      <c r="CB1" s="7"/>
      <c r="CC1" s="27"/>
      <c r="CD1" s="7"/>
      <c r="CE1" s="7"/>
      <c r="CF1" s="7"/>
      <c r="CG1" s="27"/>
      <c r="CH1" s="7"/>
      <c r="CI1" s="7"/>
      <c r="CJ1" s="7"/>
      <c r="CK1" s="27"/>
      <c r="CL1" s="7"/>
      <c r="CM1" s="7"/>
      <c r="CN1" s="7"/>
      <c r="CO1" s="27"/>
      <c r="CP1" s="98"/>
      <c r="CQ1" s="98"/>
      <c r="CR1" s="98"/>
      <c r="CS1" s="27"/>
      <c r="CT1" s="98"/>
      <c r="CU1" s="98"/>
      <c r="CV1" s="98"/>
      <c r="CW1" s="27"/>
      <c r="CX1" s="98"/>
      <c r="CY1" s="98"/>
      <c r="CZ1" s="98"/>
      <c r="DA1" s="27"/>
      <c r="DB1" s="98"/>
      <c r="DC1" s="98"/>
      <c r="DD1" s="98"/>
      <c r="DE1" s="27"/>
      <c r="DF1" s="98"/>
      <c r="DG1" s="98"/>
      <c r="DH1" s="98"/>
      <c r="DI1" s="27"/>
      <c r="DJ1" s="98"/>
      <c r="DK1" s="98"/>
      <c r="DL1" s="98"/>
    </row>
    <row r="2" spans="1:116">
      <c r="A2" s="8" t="s">
        <v>764</v>
      </c>
      <c r="B2" s="2"/>
      <c r="C2" s="8"/>
      <c r="D2" s="8"/>
      <c r="E2" s="25"/>
      <c r="F2" s="8"/>
      <c r="G2" s="8"/>
      <c r="H2" s="8"/>
      <c r="I2" s="8"/>
      <c r="J2" s="8"/>
      <c r="K2" s="8"/>
      <c r="L2" s="8"/>
      <c r="M2" s="25"/>
      <c r="N2" s="8"/>
      <c r="O2" s="8"/>
      <c r="P2" s="8"/>
      <c r="Q2" s="8"/>
      <c r="R2" s="8"/>
      <c r="S2" s="8"/>
      <c r="T2" s="8"/>
      <c r="U2" s="25"/>
      <c r="V2" s="8"/>
      <c r="W2" s="8"/>
      <c r="X2" s="8"/>
      <c r="Y2" s="8"/>
      <c r="Z2" s="8"/>
      <c r="AA2" s="8"/>
      <c r="AB2" s="8"/>
      <c r="AC2" s="25"/>
      <c r="AD2" s="8"/>
      <c r="AE2" s="8"/>
      <c r="AF2" s="8"/>
      <c r="AG2" s="8"/>
      <c r="AH2" s="8"/>
      <c r="AI2" s="8"/>
      <c r="AJ2" s="8"/>
      <c r="AK2" s="25"/>
      <c r="AL2" s="8"/>
      <c r="AM2" s="8"/>
      <c r="AN2" s="8"/>
      <c r="AO2" s="25"/>
      <c r="AP2" s="8"/>
      <c r="AQ2" s="8"/>
      <c r="AR2" s="8"/>
      <c r="AS2" s="25"/>
      <c r="AT2" s="8"/>
      <c r="AU2" s="8"/>
      <c r="AV2" s="8"/>
      <c r="AW2" s="25"/>
      <c r="AX2" s="8"/>
      <c r="AY2" s="8"/>
      <c r="AZ2" s="8"/>
      <c r="BA2" s="25"/>
      <c r="BB2" s="8"/>
      <c r="BC2" s="8"/>
      <c r="BD2" s="8"/>
      <c r="BE2" s="25"/>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99"/>
      <c r="CQ2" s="99"/>
      <c r="CR2" s="99"/>
      <c r="CS2" s="8"/>
      <c r="CT2" s="99"/>
      <c r="CU2" s="99"/>
      <c r="CV2" s="99"/>
      <c r="CW2" s="8"/>
      <c r="CX2" s="99"/>
      <c r="CY2" s="99"/>
      <c r="CZ2" s="99"/>
      <c r="DA2" s="8"/>
      <c r="DB2" s="99"/>
      <c r="DC2" s="99"/>
      <c r="DD2" s="99"/>
      <c r="DE2" s="8"/>
      <c r="DF2" s="99"/>
      <c r="DG2" s="99"/>
      <c r="DH2" s="99"/>
      <c r="DI2" s="8"/>
      <c r="DJ2" s="99"/>
      <c r="DK2" s="99"/>
      <c r="DL2" s="99"/>
    </row>
    <row r="3" spans="1:116">
      <c r="A3" s="49" t="str">
        <f>bal!A3</f>
        <v>At January 31 of the following year</v>
      </c>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87"/>
      <c r="CQ3" s="87"/>
      <c r="CR3" s="87"/>
      <c r="CS3" s="6"/>
      <c r="CT3" s="87"/>
      <c r="CU3" s="87"/>
      <c r="CV3" s="87"/>
      <c r="CW3" s="6"/>
      <c r="CX3" s="87"/>
      <c r="CY3" s="87"/>
      <c r="CZ3" s="87"/>
      <c r="DA3" s="6"/>
      <c r="DB3" s="87"/>
      <c r="DC3" s="87"/>
      <c r="DD3" s="87"/>
      <c r="DE3" s="6"/>
      <c r="DF3" s="87"/>
      <c r="DG3" s="87"/>
      <c r="DH3" s="87"/>
      <c r="DI3" s="6"/>
      <c r="DJ3" s="87"/>
      <c r="DK3" s="87"/>
      <c r="DL3" s="87"/>
    </row>
    <row r="4" spans="1:116">
      <c r="A4" s="50" t="s">
        <v>573</v>
      </c>
      <c r="B4" s="49"/>
      <c r="C4" s="49"/>
      <c r="D4" s="49"/>
      <c r="E4" s="49"/>
      <c r="F4" s="49"/>
      <c r="G4" s="49"/>
      <c r="H4" s="49"/>
      <c r="I4" s="49"/>
      <c r="J4" s="49"/>
      <c r="K4" s="49"/>
      <c r="L4" s="49"/>
      <c r="M4" s="49"/>
      <c r="N4" s="49"/>
      <c r="O4" s="49"/>
      <c r="P4" s="49"/>
      <c r="Q4" s="49"/>
      <c r="R4" s="49"/>
      <c r="S4" s="49"/>
      <c r="T4" s="49"/>
      <c r="U4" s="49"/>
      <c r="V4" s="49"/>
      <c r="W4" s="49"/>
      <c r="X4" s="49"/>
      <c r="Y4" s="49"/>
      <c r="Z4" s="49"/>
      <c r="AA4" s="49"/>
      <c r="AB4" s="49"/>
      <c r="AC4" s="49"/>
      <c r="AD4" s="49"/>
      <c r="AE4" s="49"/>
      <c r="AF4" s="49"/>
      <c r="AG4" s="49"/>
      <c r="AH4" s="49"/>
      <c r="AI4" s="49"/>
      <c r="AJ4" s="49"/>
      <c r="AK4" s="49"/>
      <c r="AL4" s="49"/>
      <c r="AM4" s="49"/>
      <c r="AN4" s="49"/>
      <c r="AO4" s="49"/>
      <c r="AP4" s="49"/>
      <c r="AQ4" s="49"/>
      <c r="AR4" s="49"/>
      <c r="AS4" s="49"/>
      <c r="AT4" s="49"/>
      <c r="AU4" s="49"/>
      <c r="AV4" s="49"/>
      <c r="AW4" s="49"/>
      <c r="AX4" s="49"/>
      <c r="AY4" s="49"/>
      <c r="AZ4" s="49"/>
      <c r="BA4" s="49"/>
      <c r="BB4" s="49"/>
      <c r="BC4" s="49"/>
      <c r="BD4" s="49"/>
      <c r="BE4" s="49"/>
      <c r="BF4" s="49"/>
      <c r="BG4" s="49"/>
      <c r="BH4" s="49"/>
      <c r="BI4" s="49"/>
      <c r="BJ4" s="49"/>
      <c r="BK4" s="49"/>
      <c r="BL4" s="49"/>
      <c r="BM4" s="49"/>
      <c r="BN4" s="49"/>
      <c r="BO4" s="49"/>
      <c r="BP4" s="49"/>
      <c r="BQ4" s="49"/>
      <c r="BR4" s="49"/>
      <c r="BS4" s="49"/>
      <c r="BT4" s="49"/>
      <c r="BU4" s="49"/>
      <c r="BV4" s="49"/>
      <c r="BW4" s="49"/>
      <c r="BX4" s="49"/>
      <c r="BY4" s="49"/>
      <c r="BZ4" s="49"/>
      <c r="CA4" s="49"/>
      <c r="CB4" s="49"/>
      <c r="CC4" s="49"/>
      <c r="CD4" s="49"/>
      <c r="CE4" s="49"/>
      <c r="CF4" s="49"/>
      <c r="CG4" s="49"/>
      <c r="CH4" s="49"/>
      <c r="CI4" s="49"/>
      <c r="CJ4" s="49"/>
      <c r="CK4" s="49"/>
      <c r="CL4" s="49"/>
      <c r="CM4" s="49"/>
      <c r="CN4" s="49"/>
      <c r="CO4" s="49"/>
      <c r="CP4" s="127"/>
      <c r="CQ4" s="127"/>
      <c r="CR4" s="127"/>
      <c r="CS4" s="49"/>
      <c r="CT4" s="127"/>
      <c r="CU4" s="127"/>
      <c r="CV4" s="127"/>
      <c r="CW4" s="49"/>
      <c r="CX4" s="127"/>
      <c r="CY4" s="127"/>
      <c r="CZ4" s="127"/>
      <c r="DA4" s="49"/>
      <c r="DB4" s="127"/>
      <c r="DC4" s="127"/>
      <c r="DD4" s="127"/>
      <c r="DE4" s="49"/>
      <c r="DF4" s="127"/>
      <c r="DG4" s="127"/>
      <c r="DH4" s="127"/>
      <c r="DI4" s="49"/>
      <c r="DJ4" s="127"/>
      <c r="DK4" s="127"/>
      <c r="DL4" s="127"/>
    </row>
    <row r="5" spans="1:116">
      <c r="A5" s="6"/>
      <c r="B5" s="6"/>
      <c r="C5" s="6"/>
      <c r="D5" s="6"/>
      <c r="E5" s="6"/>
      <c r="F5" s="6"/>
      <c r="G5" s="6"/>
      <c r="H5" s="6"/>
      <c r="I5" s="6"/>
      <c r="J5" s="6"/>
      <c r="K5" s="6"/>
      <c r="L5" s="6"/>
      <c r="M5" s="6"/>
      <c r="N5" s="6"/>
      <c r="O5" s="6"/>
      <c r="P5" s="6"/>
      <c r="Q5" s="6"/>
      <c r="R5" s="26"/>
      <c r="S5" s="6"/>
      <c r="T5" s="6"/>
      <c r="U5" s="6"/>
      <c r="V5" s="6"/>
      <c r="W5" s="6"/>
      <c r="X5" s="6"/>
      <c r="Y5" s="6"/>
      <c r="Z5" s="6"/>
      <c r="AA5" s="6"/>
      <c r="AB5" s="6"/>
      <c r="AC5" s="6"/>
      <c r="AD5" s="6"/>
      <c r="AE5" s="6"/>
      <c r="AF5" s="6"/>
      <c r="AG5" s="6"/>
      <c r="AH5" s="6"/>
      <c r="AI5" s="6"/>
      <c r="AJ5" s="6"/>
      <c r="AK5" s="6"/>
      <c r="AL5" s="6"/>
      <c r="AM5" s="6"/>
      <c r="AN5" s="6"/>
      <c r="AO5" s="6"/>
      <c r="AP5" s="6"/>
      <c r="AQ5" s="6"/>
      <c r="AR5" s="6"/>
      <c r="AS5" s="6"/>
      <c r="AT5" s="6"/>
      <c r="AU5" s="6"/>
      <c r="AV5" s="6"/>
      <c r="AW5" s="6"/>
      <c r="AX5" s="6"/>
      <c r="AY5" s="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87"/>
      <c r="CQ5" s="87"/>
      <c r="CR5" s="87"/>
      <c r="CS5" s="6"/>
      <c r="CT5" s="87"/>
      <c r="CU5" s="87"/>
      <c r="CV5" s="87"/>
      <c r="CW5" s="6"/>
      <c r="CX5" s="87"/>
      <c r="CY5" s="87"/>
      <c r="CZ5" s="87"/>
      <c r="DA5" s="6"/>
      <c r="DB5" s="87"/>
      <c r="DC5" s="87"/>
      <c r="DD5" s="87"/>
      <c r="DE5" s="6"/>
      <c r="DF5" s="87"/>
      <c r="DG5" s="87"/>
      <c r="DH5" s="87"/>
      <c r="DI5" s="6"/>
      <c r="DJ5" s="87"/>
      <c r="DK5" s="87"/>
      <c r="DL5" s="87"/>
    </row>
    <row r="6" spans="1:116">
      <c r="A6" s="6"/>
      <c r="B6" s="6"/>
      <c r="C6" s="6"/>
      <c r="D6" s="6"/>
      <c r="E6" s="6"/>
      <c r="F6" s="6"/>
      <c r="G6" s="52"/>
      <c r="H6" s="52"/>
      <c r="I6" s="6"/>
      <c r="J6" s="6"/>
      <c r="K6" s="52"/>
      <c r="L6" s="52"/>
      <c r="M6" s="6"/>
      <c r="N6" s="6" t="s">
        <v>697</v>
      </c>
      <c r="O6" s="52"/>
      <c r="P6" s="52"/>
      <c r="Q6" s="6"/>
      <c r="R6" s="6"/>
      <c r="S6" s="52"/>
      <c r="T6" s="52"/>
      <c r="U6" s="6"/>
      <c r="V6" s="26"/>
      <c r="W6" s="52"/>
      <c r="X6" s="52"/>
      <c r="Y6" s="6"/>
      <c r="Z6" s="26"/>
      <c r="AA6" s="52"/>
      <c r="AB6" s="52"/>
      <c r="AC6" s="6"/>
      <c r="AD6" s="6"/>
      <c r="AE6" s="52"/>
      <c r="AF6" s="52"/>
      <c r="AG6" s="6"/>
      <c r="AH6" s="26"/>
      <c r="AI6" s="52"/>
      <c r="AJ6" s="52"/>
      <c r="AK6" s="6"/>
      <c r="AL6" s="116" t="s">
        <v>676</v>
      </c>
      <c r="AM6" s="52"/>
      <c r="AN6" s="52"/>
      <c r="AO6" s="6"/>
      <c r="AP6" s="52"/>
      <c r="AQ6" s="52"/>
      <c r="AR6" s="52"/>
      <c r="AS6" s="6"/>
      <c r="AT6" s="52"/>
      <c r="AU6" s="52"/>
      <c r="AV6" s="52"/>
      <c r="AW6" s="6"/>
      <c r="AX6" s="52"/>
      <c r="AY6" s="52"/>
      <c r="AZ6" s="52"/>
      <c r="BA6" s="6"/>
      <c r="BB6" s="52"/>
      <c r="BC6" s="52"/>
      <c r="BD6" s="52"/>
      <c r="BE6" s="6"/>
      <c r="BF6" s="52"/>
      <c r="BG6" s="52"/>
      <c r="BH6" s="52"/>
      <c r="BI6" s="6"/>
      <c r="BJ6" s="52"/>
      <c r="BK6" s="52"/>
      <c r="BL6" s="52"/>
      <c r="BM6" s="6"/>
      <c r="BN6" s="52"/>
      <c r="BO6" s="52"/>
      <c r="BP6" s="52"/>
      <c r="BQ6" s="6"/>
      <c r="BR6" s="6"/>
      <c r="BS6" s="6"/>
      <c r="BT6" s="6"/>
      <c r="BU6" s="6"/>
      <c r="BV6" s="6"/>
      <c r="BW6" s="6"/>
      <c r="BX6" s="6"/>
      <c r="BY6" s="6"/>
      <c r="BZ6" s="6"/>
      <c r="CA6" s="6"/>
      <c r="CB6" s="6"/>
      <c r="CC6" s="6"/>
      <c r="CD6" s="6"/>
      <c r="CE6" s="6"/>
      <c r="CF6" s="6"/>
      <c r="CG6" s="6"/>
      <c r="CH6" s="6"/>
      <c r="CI6" s="6"/>
      <c r="CJ6" s="6"/>
      <c r="CK6" s="6"/>
      <c r="CL6" s="6"/>
      <c r="CM6" s="6"/>
      <c r="CN6" s="6"/>
      <c r="CO6" s="6"/>
      <c r="CP6" s="87"/>
      <c r="CQ6" s="87"/>
      <c r="CR6" s="87"/>
      <c r="CS6" s="6"/>
      <c r="CT6" s="87"/>
      <c r="CU6" s="87"/>
      <c r="CV6" s="87"/>
      <c r="CW6" s="6"/>
      <c r="CX6" s="87"/>
      <c r="CY6" s="87"/>
      <c r="CZ6" s="87"/>
      <c r="DA6" s="6"/>
      <c r="DB6" s="87"/>
      <c r="DC6" s="87"/>
      <c r="DD6" s="87"/>
      <c r="DE6" s="6"/>
      <c r="DF6" s="87"/>
      <c r="DG6" s="87"/>
      <c r="DH6" s="87"/>
      <c r="DI6" s="6"/>
      <c r="DJ6" s="87"/>
      <c r="DK6" s="87"/>
      <c r="DL6" s="87"/>
    </row>
    <row r="7" spans="1:116">
      <c r="A7" s="6"/>
      <c r="B7" s="6"/>
      <c r="C7" s="6"/>
      <c r="D7" s="51">
        <v>1990</v>
      </c>
      <c r="E7" s="38"/>
      <c r="F7" s="10">
        <f>D7+1</f>
        <v>1991</v>
      </c>
      <c r="G7" s="10"/>
      <c r="H7" s="10"/>
      <c r="I7" s="38"/>
      <c r="J7" s="10">
        <f>F7+1</f>
        <v>1992</v>
      </c>
      <c r="K7" s="10"/>
      <c r="L7" s="10"/>
      <c r="M7" s="38"/>
      <c r="N7" s="10">
        <f>J7+1</f>
        <v>1993</v>
      </c>
      <c r="O7" s="10"/>
      <c r="P7" s="10"/>
      <c r="Q7" s="38"/>
      <c r="R7" s="10">
        <f>N7+1</f>
        <v>1994</v>
      </c>
      <c r="S7" s="10"/>
      <c r="T7" s="10"/>
      <c r="U7" s="38"/>
      <c r="V7" s="10">
        <f>R7+1</f>
        <v>1995</v>
      </c>
      <c r="W7" s="10"/>
      <c r="X7" s="10"/>
      <c r="Y7" s="38"/>
      <c r="Z7" s="10">
        <f>V7+1</f>
        <v>1996</v>
      </c>
      <c r="AA7" s="10"/>
      <c r="AB7" s="10"/>
      <c r="AC7" s="38"/>
      <c r="AD7" s="10">
        <f>Z7+1</f>
        <v>1997</v>
      </c>
      <c r="AE7" s="10"/>
      <c r="AF7" s="10"/>
      <c r="AG7" s="38"/>
      <c r="AH7" s="115">
        <f>AD7+1</f>
        <v>1998</v>
      </c>
      <c r="AI7" s="10"/>
      <c r="AJ7" s="10"/>
      <c r="AK7" s="38"/>
      <c r="AL7" s="10">
        <f>AH7+1</f>
        <v>1999</v>
      </c>
      <c r="AM7" s="10"/>
      <c r="AN7" s="10"/>
      <c r="AO7" s="6"/>
      <c r="AP7" s="10">
        <f>AL7+1</f>
        <v>2000</v>
      </c>
      <c r="AQ7" s="10"/>
      <c r="AR7" s="10"/>
      <c r="AS7" s="6"/>
      <c r="AT7" s="10">
        <f>AP7+1</f>
        <v>2001</v>
      </c>
      <c r="AU7" s="10"/>
      <c r="AV7" s="10"/>
      <c r="AW7" s="6"/>
      <c r="AX7" s="10">
        <f>AT7+1</f>
        <v>2002</v>
      </c>
      <c r="AY7" s="10"/>
      <c r="AZ7" s="10"/>
      <c r="BA7" s="6"/>
      <c r="BB7" s="10">
        <f>AX7+1</f>
        <v>2003</v>
      </c>
      <c r="BC7" s="10"/>
      <c r="BD7" s="10"/>
      <c r="BE7" s="6"/>
      <c r="BF7" s="10">
        <f>BB7+1</f>
        <v>2004</v>
      </c>
      <c r="BG7" s="10"/>
      <c r="BH7" s="10"/>
      <c r="BI7" s="6"/>
      <c r="BJ7" s="10">
        <f>BF7+1</f>
        <v>2005</v>
      </c>
      <c r="BK7" s="10"/>
      <c r="BL7" s="10"/>
      <c r="BM7" s="6"/>
      <c r="BN7" s="10">
        <f>BJ7+1</f>
        <v>2006</v>
      </c>
      <c r="BO7" s="10"/>
      <c r="BP7" s="10"/>
      <c r="BQ7" s="6"/>
      <c r="BR7" s="10">
        <f>BN7+1</f>
        <v>2007</v>
      </c>
      <c r="BS7" s="10"/>
      <c r="BT7" s="10"/>
      <c r="BU7" s="6"/>
      <c r="BV7" s="10">
        <f>BR7+1</f>
        <v>2008</v>
      </c>
      <c r="BW7" s="10"/>
      <c r="BX7" s="10"/>
      <c r="BY7" s="6"/>
      <c r="BZ7" s="10">
        <f>BV7+1</f>
        <v>2009</v>
      </c>
      <c r="CA7" s="10"/>
      <c r="CB7" s="10"/>
      <c r="CC7" s="6"/>
      <c r="CD7" s="10">
        <f>BZ7+1</f>
        <v>2010</v>
      </c>
      <c r="CE7" s="10"/>
      <c r="CF7" s="10"/>
      <c r="CG7" s="6"/>
      <c r="CH7" s="10">
        <f>CD7+1</f>
        <v>2011</v>
      </c>
      <c r="CI7" s="10"/>
      <c r="CJ7" s="10"/>
      <c r="CK7" s="6"/>
      <c r="CL7" s="10">
        <f>CH7+1</f>
        <v>2012</v>
      </c>
      <c r="CM7" s="10"/>
      <c r="CN7" s="10"/>
      <c r="CO7" s="6"/>
      <c r="CP7" s="1925">
        <f>CL7+1</f>
        <v>2013</v>
      </c>
      <c r="CQ7" s="97"/>
      <c r="CR7" s="97"/>
      <c r="CS7" s="6"/>
      <c r="CT7" s="1925">
        <f>CP7+1</f>
        <v>2014</v>
      </c>
      <c r="CU7" s="97"/>
      <c r="CV7" s="97"/>
      <c r="CW7" s="6"/>
      <c r="CX7" s="138">
        <f>CT7+1</f>
        <v>2015</v>
      </c>
      <c r="CY7" s="97"/>
      <c r="CZ7" s="97"/>
      <c r="DA7" s="6"/>
      <c r="DB7" s="138">
        <f>CX7+1</f>
        <v>2016</v>
      </c>
      <c r="DC7" s="97"/>
      <c r="DD7" s="97"/>
      <c r="DE7" s="6"/>
      <c r="DF7" s="138" t="s">
        <v>864</v>
      </c>
      <c r="DG7" s="138"/>
      <c r="DH7" s="138"/>
      <c r="DI7" s="6"/>
      <c r="DJ7" s="2116">
        <v>2018</v>
      </c>
      <c r="DK7" s="2116"/>
      <c r="DL7" s="2116"/>
    </row>
    <row r="8" spans="1:116">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6"/>
      <c r="AX8" s="6"/>
      <c r="AY8" s="6"/>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87"/>
      <c r="CQ8" s="87"/>
      <c r="CR8" s="87"/>
      <c r="CS8" s="6"/>
      <c r="CT8" s="87"/>
      <c r="CU8" s="87"/>
      <c r="CV8" s="87"/>
      <c r="CW8" s="6"/>
      <c r="CX8" s="87"/>
      <c r="CY8" s="87"/>
      <c r="CZ8" s="87"/>
      <c r="DA8" s="6"/>
      <c r="DB8" s="87"/>
      <c r="DC8" s="87"/>
      <c r="DD8" s="87"/>
      <c r="DE8" s="6"/>
      <c r="DF8" s="87"/>
      <c r="DG8" s="87"/>
      <c r="DH8" s="87"/>
      <c r="DI8" s="6"/>
      <c r="DJ8" s="87"/>
      <c r="DK8" s="87"/>
      <c r="DL8" s="87"/>
    </row>
    <row r="9" spans="1:116">
      <c r="A9" s="66"/>
      <c r="B9" s="9"/>
      <c r="C9" s="6"/>
      <c r="D9" s="9"/>
      <c r="E9" s="6"/>
      <c r="F9" s="11"/>
      <c r="G9" s="11"/>
      <c r="H9" s="11"/>
      <c r="I9" s="11"/>
      <c r="J9" s="11"/>
      <c r="K9" s="11"/>
      <c r="L9" s="11"/>
      <c r="M9" s="64"/>
      <c r="N9" s="64"/>
      <c r="O9" s="11"/>
      <c r="P9" s="11"/>
      <c r="Q9" s="11"/>
      <c r="R9" s="11"/>
      <c r="S9" s="11"/>
      <c r="T9" s="11"/>
      <c r="U9" s="11"/>
      <c r="V9" s="11"/>
      <c r="W9" s="11"/>
      <c r="X9" s="11"/>
      <c r="Y9" s="11"/>
      <c r="Z9" s="11"/>
      <c r="AA9" s="11"/>
      <c r="AB9" s="11"/>
      <c r="AC9" s="64"/>
      <c r="AD9" s="64"/>
      <c r="AE9" s="11"/>
      <c r="AF9" s="11"/>
      <c r="AG9" s="11"/>
      <c r="AH9" s="11"/>
      <c r="AI9" s="11"/>
      <c r="AJ9" s="11"/>
      <c r="AK9" s="11"/>
      <c r="AL9" s="11"/>
      <c r="AM9" s="11"/>
      <c r="AN9" s="11"/>
      <c r="AO9" s="6"/>
      <c r="AP9" s="11"/>
      <c r="AQ9" s="11"/>
      <c r="AR9" s="11"/>
      <c r="AS9" s="6"/>
      <c r="AT9" s="11"/>
      <c r="AU9" s="11"/>
      <c r="AV9" s="11"/>
      <c r="AW9" s="6"/>
      <c r="AX9" s="11"/>
      <c r="AY9" s="11"/>
      <c r="AZ9" s="11"/>
      <c r="BA9" s="6"/>
      <c r="BB9" s="11"/>
      <c r="BC9" s="11"/>
      <c r="BD9" s="11"/>
      <c r="BE9" s="6"/>
      <c r="BF9" s="11"/>
      <c r="BG9" s="11"/>
      <c r="BH9" s="11"/>
      <c r="BI9" s="6"/>
      <c r="BJ9" s="11"/>
      <c r="BK9" s="11"/>
      <c r="BL9" s="11"/>
      <c r="BM9" s="6"/>
      <c r="BN9" s="11"/>
      <c r="BO9" s="11"/>
      <c r="BP9" s="11"/>
      <c r="BQ9" s="6"/>
      <c r="BS9" s="11"/>
      <c r="BT9" s="11"/>
      <c r="BU9" s="6"/>
      <c r="BV9" s="11"/>
      <c r="BW9" s="11"/>
      <c r="BX9" s="11"/>
      <c r="BY9" s="6"/>
      <c r="BZ9" s="11"/>
      <c r="CA9" s="11"/>
      <c r="CB9" s="11"/>
      <c r="CC9" s="6"/>
      <c r="CD9" s="11"/>
      <c r="CE9" s="11"/>
      <c r="CF9" s="11"/>
      <c r="CG9" s="6"/>
      <c r="CH9" s="66" t="s">
        <v>426</v>
      </c>
      <c r="CI9" s="11"/>
      <c r="CJ9" s="11"/>
      <c r="CK9" s="6"/>
      <c r="CL9" s="11"/>
      <c r="CM9" s="11"/>
      <c r="CN9" s="11"/>
      <c r="CO9" s="6"/>
      <c r="CP9" s="100"/>
      <c r="CQ9" s="100"/>
      <c r="CR9" s="100"/>
      <c r="CS9" s="6"/>
      <c r="CT9" s="100"/>
      <c r="CU9" s="100"/>
      <c r="CV9" s="100"/>
      <c r="CW9" s="6"/>
      <c r="CX9" s="100"/>
      <c r="CY9" s="100"/>
      <c r="CZ9" s="100"/>
      <c r="DA9" s="6"/>
      <c r="DB9" s="100"/>
      <c r="DC9" s="100"/>
      <c r="DD9" s="100"/>
      <c r="DE9" s="6"/>
      <c r="DF9" s="100"/>
      <c r="DG9" s="100"/>
      <c r="DH9" s="100"/>
      <c r="DI9" s="6"/>
      <c r="DJ9" s="100"/>
      <c r="DK9" s="100"/>
      <c r="DL9" s="100"/>
    </row>
    <row r="10" spans="1:116">
      <c r="A10" s="6" t="str">
        <f>'qtrP&amp;L'!A10</f>
        <v>1Q</v>
      </c>
      <c r="B10" s="6" t="str">
        <f>'qtrP&amp;L'!B10</f>
        <v>Apr</v>
      </c>
      <c r="C10" s="6"/>
      <c r="D10" s="68">
        <v>534.25300000000004</v>
      </c>
      <c r="E10" s="6"/>
      <c r="F10" s="68">
        <v>565.06600000000003</v>
      </c>
      <c r="G10" s="13">
        <f>(F10/D10-1)*100</f>
        <v>5.7674921806709634</v>
      </c>
      <c r="H10" s="21">
        <f>'qtrP&amp;L'!K10</f>
        <v>17.427305126742819</v>
      </c>
      <c r="I10" s="54"/>
      <c r="J10" s="68">
        <v>674.95</v>
      </c>
      <c r="K10" s="13">
        <f>(J10/F10-1)*100</f>
        <v>19.446223980915512</v>
      </c>
      <c r="L10" s="21">
        <f>'qtrP&amp;L'!O10</f>
        <v>11.212830955542174</v>
      </c>
      <c r="M10" s="54"/>
      <c r="N10" s="68">
        <v>784.00099999999998</v>
      </c>
      <c r="O10" s="13">
        <f>(N10/J10-1)*100</f>
        <v>16.156900511148955</v>
      </c>
      <c r="P10" s="21">
        <f>'qtrP&amp;L'!S10</f>
        <v>-11.505849282421455</v>
      </c>
      <c r="Q10" s="54"/>
      <c r="R10" s="68">
        <v>859.37400000000002</v>
      </c>
      <c r="S10" s="13">
        <f>(R10/N10-1)*100</f>
        <v>9.6138907986086828</v>
      </c>
      <c r="T10" s="21">
        <f>'qtrP&amp;L'!W10</f>
        <v>10.052885101222753</v>
      </c>
      <c r="U10" s="54"/>
      <c r="V10" s="68">
        <v>1010.991</v>
      </c>
      <c r="W10" s="13">
        <f>(V10/R10-1)*100</f>
        <v>17.642725984262952</v>
      </c>
      <c r="X10" s="21">
        <f>'qtrP&amp;L'!AA10</f>
        <v>9.2421812349638977</v>
      </c>
      <c r="Y10" s="54"/>
      <c r="Z10" s="68">
        <v>1300.2560000000001</v>
      </c>
      <c r="AA10" s="13">
        <f>(Z10/V10-1)*100</f>
        <v>28.612025230689508</v>
      </c>
      <c r="AB10" s="21">
        <f>'qtrP&amp;L'!AE10</f>
        <v>106.2493433209259</v>
      </c>
      <c r="AC10" s="54"/>
      <c r="AD10" s="68">
        <v>1384.3969999999999</v>
      </c>
      <c r="AE10" s="13">
        <f>(AD10/Z10-1)*100</f>
        <v>6.4711103044323481</v>
      </c>
      <c r="AF10" s="21">
        <f>'qtrP&amp;L'!AI10</f>
        <v>5.9706693238295028</v>
      </c>
      <c r="AG10" s="54"/>
      <c r="AH10" s="68">
        <v>1381.3209999999999</v>
      </c>
      <c r="AI10" s="13">
        <f>(AH10/AD10-1)*100</f>
        <v>-0.22219059995073343</v>
      </c>
      <c r="AJ10" s="21">
        <f>'qtrP&amp;L'!AM10</f>
        <v>12.408935038297585</v>
      </c>
      <c r="AK10" s="54"/>
      <c r="AL10" s="68">
        <v>1463.962</v>
      </c>
      <c r="AM10" s="13">
        <f>(AL10/AH10-1)*100</f>
        <v>5.9827512938701588</v>
      </c>
      <c r="AN10" s="21">
        <f>'qtrP&amp;L'!AQ10</f>
        <v>10.078871080679775</v>
      </c>
      <c r="AO10" s="6"/>
      <c r="AP10" s="68">
        <v>1560.3150000000001</v>
      </c>
      <c r="AQ10" s="13">
        <f>(AP10/AL10-1)*100</f>
        <v>6.5816599064729919</v>
      </c>
      <c r="AR10" s="21">
        <f>'qtrP&amp;L'!AU10</f>
        <v>9.2001786060234902</v>
      </c>
      <c r="AS10" s="6"/>
      <c r="AT10" s="68">
        <v>1642.749</v>
      </c>
      <c r="AU10" s="13">
        <f>(AT10/AP10-1)*100</f>
        <v>5.2831639765047456</v>
      </c>
      <c r="AV10" s="21">
        <f>'qtrP&amp;L'!AY10</f>
        <v>7.7215390424435926</v>
      </c>
      <c r="AW10" s="6"/>
      <c r="AX10" s="68">
        <v>1528.7660000000001</v>
      </c>
      <c r="AY10" s="13">
        <f>(AX10/AT10-1)*100</f>
        <v>-6.938552389926878</v>
      </c>
      <c r="AZ10" s="21">
        <f>'qtrP&amp;L'!BC10</f>
        <v>17.384863677096462</v>
      </c>
      <c r="BA10" s="6"/>
      <c r="BB10" s="68">
        <v>1882.5820000000001</v>
      </c>
      <c r="BC10" s="13">
        <f>(BB10/AX10-1)*100</f>
        <v>23.14389514157169</v>
      </c>
      <c r="BD10" s="21">
        <f>'qtrP&amp;L'!BG10</f>
        <v>4.6148703880087849</v>
      </c>
      <c r="BE10" s="6"/>
      <c r="BF10" s="68">
        <v>2010.1780000000001</v>
      </c>
      <c r="BG10" s="13">
        <f>(BF10/BB10-1)*100</f>
        <v>6.7777127370812984</v>
      </c>
      <c r="BH10" s="21">
        <f>'qtrP&amp;L'!BK10</f>
        <v>20.225588579645404</v>
      </c>
      <c r="BI10" s="6"/>
      <c r="BJ10" s="68">
        <v>2460.4</v>
      </c>
      <c r="BK10" s="13">
        <f>(BJ10/BF10-1)*100</f>
        <v>22.397121050971602</v>
      </c>
      <c r="BL10" s="21">
        <f>'qtrP&amp;L'!BO10</f>
        <v>8.9208607773290751</v>
      </c>
      <c r="BM10" s="6"/>
      <c r="BN10" s="68">
        <v>2555.3000000000002</v>
      </c>
      <c r="BO10" s="13">
        <f>(BN10/BJ10-1)*100</f>
        <v>3.8570964070882896</v>
      </c>
      <c r="BP10" s="21">
        <f>'qtrP&amp;L'!BS10</f>
        <v>6.008658672501177</v>
      </c>
      <c r="BQ10" s="6"/>
      <c r="BR10" s="68">
        <v>2829.3</v>
      </c>
      <c r="BS10" s="13">
        <f>(BR10/BN10-1)*100</f>
        <v>10.72281141157594</v>
      </c>
      <c r="BT10" s="21">
        <f>'qtrP&amp;L'!BW10</f>
        <v>6.1175236150748047</v>
      </c>
      <c r="BU10" s="6"/>
      <c r="BV10" s="68">
        <v>2899.8</v>
      </c>
      <c r="BW10" s="13">
        <f>(BV10/BR10-1)*100</f>
        <v>2.4917824196797778</v>
      </c>
      <c r="BX10" s="21">
        <f>'qtrP&amp;L'!CA10</f>
        <v>4.7582800825981764</v>
      </c>
      <c r="BY10" s="6"/>
      <c r="BZ10" s="68">
        <v>2817.7</v>
      </c>
      <c r="CA10" s="13">
        <f>(BZ10/BV10-1)*100</f>
        <v>-2.8312297399820774</v>
      </c>
      <c r="CB10" s="21">
        <f>'qtrP&amp;L'!CE10</f>
        <v>1.1773754489021293</v>
      </c>
      <c r="CC10" s="6"/>
      <c r="CD10" s="158">
        <v>2615.1</v>
      </c>
      <c r="CE10" s="159">
        <f>(CD10/BZ10-1)*100</f>
        <v>-7.1902615608474996</v>
      </c>
      <c r="CF10" s="160">
        <f>'qtrP&amp;L'!CI10</f>
        <v>15.210884878683316</v>
      </c>
      <c r="CG10" s="6"/>
      <c r="CH10" s="158">
        <v>3014.8</v>
      </c>
      <c r="CI10" s="159">
        <f>(CH10/CD10-1)*100</f>
        <v>15.284310351420615</v>
      </c>
      <c r="CJ10" s="160">
        <f>'qtrP&amp;L'!CM10</f>
        <v>3.8776925929026707</v>
      </c>
      <c r="CK10" s="6"/>
      <c r="CL10" s="158">
        <v>2909.8</v>
      </c>
      <c r="CM10" s="159">
        <f>(CL10/CH10-1)*100</f>
        <v>-3.482818097386231</v>
      </c>
      <c r="CN10" s="160">
        <f>'qtrP&amp;L'!CQ10</f>
        <v>11.264873636219551</v>
      </c>
      <c r="CO10" s="6"/>
      <c r="CP10" s="158">
        <v>3091.5</v>
      </c>
      <c r="CQ10" s="159">
        <f>(CP10/CL10-1)*100</f>
        <v>6.244415423740457</v>
      </c>
      <c r="CR10" s="160">
        <f>'qtrP&amp;L'!CU10</f>
        <v>6.7526249179470588</v>
      </c>
      <c r="CS10" s="6"/>
      <c r="CT10" s="158">
        <v>3208.5</v>
      </c>
      <c r="CU10" s="159">
        <f>(CT10/CP10-1)*100</f>
        <v>3.7845705967976651</v>
      </c>
      <c r="CV10" s="160">
        <f>'qtrP&amp;L'!CY10</f>
        <v>4.8721494362568007</v>
      </c>
      <c r="CW10" s="6"/>
      <c r="CX10" s="158">
        <v>3531.6</v>
      </c>
      <c r="CY10" s="159">
        <f>(CX10/CT10-1)*100</f>
        <v>10.070126227208975</v>
      </c>
      <c r="CZ10" s="160">
        <f>'qtrP&amp;L'!DC10</f>
        <v>5.7687697884019729</v>
      </c>
      <c r="DA10" s="6"/>
      <c r="DB10" s="158">
        <v>3905</v>
      </c>
      <c r="DC10" s="159">
        <f>(DB10/CX10-1)*100</f>
        <v>10.573111337637343</v>
      </c>
      <c r="DD10" s="160">
        <f>'qtrP&amp;L'!DG10</f>
        <v>9.8566090808471341</v>
      </c>
      <c r="DE10" s="6"/>
      <c r="DF10" s="158">
        <v>3736.1</v>
      </c>
      <c r="DG10" s="159">
        <f>(DF10/DB10-1)*100</f>
        <v>-4.3252240717029489</v>
      </c>
      <c r="DH10" s="160">
        <f>'qtrP&amp;L'!DK10</f>
        <v>3.2041446996137646</v>
      </c>
      <c r="DI10" s="6"/>
      <c r="DJ10" s="158"/>
      <c r="DK10" s="159"/>
      <c r="DL10" s="160">
        <f>'qtrP&amp;L'!DO10</f>
        <v>9.3003243566566631</v>
      </c>
    </row>
    <row r="11" spans="1:116">
      <c r="A11" s="6" t="str">
        <f>'qtrP&amp;L'!A11</f>
        <v>2Q</v>
      </c>
      <c r="B11" s="6" t="str">
        <f>'qtrP&amp;L'!B11</f>
        <v>Jul</v>
      </c>
      <c r="C11" s="6"/>
      <c r="D11" s="74">
        <v>589.83500000000004</v>
      </c>
      <c r="E11" s="6"/>
      <c r="F11" s="74">
        <v>596.38400000000001</v>
      </c>
      <c r="G11" s="13">
        <f>(F11/D11-1)*100</f>
        <v>1.1103105105665145</v>
      </c>
      <c r="H11" s="21">
        <f>'qtrP&amp;L'!K11</f>
        <v>13.452522358859698</v>
      </c>
      <c r="I11" s="54"/>
      <c r="J11" s="74">
        <v>726.33100000000002</v>
      </c>
      <c r="K11" s="13">
        <f>(J11/F11-1)*100</f>
        <v>21.789149272951658</v>
      </c>
      <c r="L11" s="21">
        <f>'qtrP&amp;L'!O11</f>
        <v>16.032351387928713</v>
      </c>
      <c r="M11" s="54"/>
      <c r="N11" s="74">
        <v>911.94799999999998</v>
      </c>
      <c r="O11" s="13">
        <f>(N11/J11-1)*100</f>
        <v>25.555428585589766</v>
      </c>
      <c r="P11" s="21">
        <f>'qtrP&amp;L'!S11</f>
        <v>-13.826427572443478</v>
      </c>
      <c r="Q11" s="54"/>
      <c r="R11" s="74">
        <v>912.97199999999998</v>
      </c>
      <c r="S11" s="13">
        <f>(R11/N11-1)*100</f>
        <v>0.11228710408925924</v>
      </c>
      <c r="T11" s="21">
        <f>'qtrP&amp;L'!W11</f>
        <v>6.2249104204809669</v>
      </c>
      <c r="U11" s="54"/>
      <c r="V11" s="74">
        <v>1092.143</v>
      </c>
      <c r="W11" s="13">
        <f>(V11/R11-1)*100</f>
        <v>19.625026835434166</v>
      </c>
      <c r="X11" s="21">
        <f>'qtrP&amp;L'!AA11</f>
        <v>10.363717277259221</v>
      </c>
      <c r="Y11" s="54"/>
      <c r="Z11" s="74">
        <v>1328.039</v>
      </c>
      <c r="AA11" s="13">
        <f>(Z11/V11-1)*100</f>
        <v>21.599369313359151</v>
      </c>
      <c r="AB11" s="21">
        <f>'qtrP&amp;L'!AE11</f>
        <v>103.35893283316454</v>
      </c>
      <c r="AC11" s="54"/>
      <c r="AD11" s="74">
        <v>1421.529</v>
      </c>
      <c r="AE11" s="13">
        <f>(AD11/Z11-1)*100</f>
        <v>7.0397029002913225</v>
      </c>
      <c r="AF11" s="21">
        <f>'qtrP&amp;L'!AI11</f>
        <v>9.6956000255771215</v>
      </c>
      <c r="AG11" s="54"/>
      <c r="AH11" s="74">
        <v>1469.9559999999999</v>
      </c>
      <c r="AI11" s="13">
        <f>(AH11/AD11-1)*100</f>
        <v>3.4066839297685725</v>
      </c>
      <c r="AJ11" s="21">
        <f>'qtrP&amp;L'!AM11</f>
        <v>9.9681341896828091</v>
      </c>
      <c r="AK11" s="54"/>
      <c r="AL11" s="74">
        <v>1603.3389999999999</v>
      </c>
      <c r="AM11" s="13">
        <f>(AL11/AH11-1)*100</f>
        <v>9.0739450704647062</v>
      </c>
      <c r="AN11" s="21">
        <f>'qtrP&amp;L'!AQ11</f>
        <v>12.59233439776235</v>
      </c>
      <c r="AO11" s="6"/>
      <c r="AP11" s="74">
        <v>1690.933</v>
      </c>
      <c r="AQ11" s="13">
        <f>(AP11/AL11-1)*100</f>
        <v>5.4632239345515865</v>
      </c>
      <c r="AR11" s="21">
        <f>'qtrP&amp;L'!AU11</f>
        <v>7.386305544234939</v>
      </c>
      <c r="AS11" s="6"/>
      <c r="AT11" s="74">
        <v>1854.626</v>
      </c>
      <c r="AU11" s="13">
        <f>(AT11/AP11-1)*100</f>
        <v>9.6806319351505863</v>
      </c>
      <c r="AV11" s="21">
        <f>'qtrP&amp;L'!AY11</f>
        <v>10.160775918950439</v>
      </c>
      <c r="AW11" s="6"/>
      <c r="AX11" s="74">
        <v>1771.3779999999999</v>
      </c>
      <c r="AY11" s="13">
        <f>(AX11/AT11-1)*100</f>
        <v>-4.4886677960947363</v>
      </c>
      <c r="AZ11" s="21">
        <f>'qtrP&amp;L'!BC11</f>
        <v>11.153905215503013</v>
      </c>
      <c r="BA11" s="6"/>
      <c r="BB11" s="74">
        <v>2017.932</v>
      </c>
      <c r="BC11" s="13">
        <f>(BB11/AX11-1)*100</f>
        <v>13.918768326128017</v>
      </c>
      <c r="BD11" s="21">
        <f>'qtrP&amp;L'!BG11</f>
        <v>10.165857229188656</v>
      </c>
      <c r="BE11" s="6"/>
      <c r="BF11" s="74">
        <v>2217</v>
      </c>
      <c r="BG11" s="13">
        <f>(BF11/BB11-1)*100</f>
        <v>9.8649508506728711</v>
      </c>
      <c r="BH11" s="21">
        <f>'qtrP&amp;L'!BK11</f>
        <v>12.084069773854743</v>
      </c>
      <c r="BI11" s="6"/>
      <c r="BJ11" s="74">
        <v>2814.6909999999998</v>
      </c>
      <c r="BK11" s="13">
        <f>(BJ11/BF11-1)*100</f>
        <v>26.95944970681099</v>
      </c>
      <c r="BL11" s="21">
        <f>'qtrP&amp;L'!BO11</f>
        <v>6.8412233652296983</v>
      </c>
      <c r="BM11" s="6"/>
      <c r="BN11" s="74">
        <v>2923.4340000000002</v>
      </c>
      <c r="BO11" s="13">
        <f>(BN11/BJ11-1)*100</f>
        <v>3.8634080970167073</v>
      </c>
      <c r="BP11" s="21">
        <f>'qtrP&amp;L'!BS11</f>
        <v>8.6569243497431216</v>
      </c>
      <c r="BQ11" s="6"/>
      <c r="BR11" s="74">
        <v>3050.2</v>
      </c>
      <c r="BS11" s="13">
        <f>(BR11/BN11-1)*100</f>
        <v>4.3362018776548217</v>
      </c>
      <c r="BT11" s="21">
        <f>'qtrP&amp;L'!BW11</f>
        <v>8.821117053712225</v>
      </c>
      <c r="BU11" s="6"/>
      <c r="BV11" s="74">
        <v>3104.8</v>
      </c>
      <c r="BW11" s="13">
        <f>(BV11/BR11-1)*100</f>
        <v>1.7900465543243094</v>
      </c>
      <c r="BX11" s="21">
        <f>'qtrP&amp;L'!CA11</f>
        <v>5.5896207495981232</v>
      </c>
      <c r="BY11" s="6"/>
      <c r="BZ11" s="74">
        <v>3100.2</v>
      </c>
      <c r="CA11" s="13">
        <f>(BZ11/BV11-1)*100</f>
        <v>-0.14815769131668599</v>
      </c>
      <c r="CB11" s="21">
        <f>'qtrP&amp;L'!CE11</f>
        <v>4.2405851929839145</v>
      </c>
      <c r="CC11" s="6"/>
      <c r="CD11" s="165">
        <v>2884.6</v>
      </c>
      <c r="CE11" s="159">
        <f>(CD11/BZ11-1)*100</f>
        <v>-6.9543900393522984</v>
      </c>
      <c r="CF11" s="160">
        <f>'qtrP&amp;L'!CI11</f>
        <v>6.751977028887457</v>
      </c>
      <c r="CG11" s="6"/>
      <c r="CH11" s="165">
        <v>3368.1</v>
      </c>
      <c r="CI11" s="159">
        <f>(CH11/CD11-1)*100</f>
        <v>16.76142272758787</v>
      </c>
      <c r="CJ11" s="160">
        <f>'qtrP&amp;L'!CM11</f>
        <v>7.8963631197613404</v>
      </c>
      <c r="CK11" s="6"/>
      <c r="CL11" s="165">
        <v>3007.7</v>
      </c>
      <c r="CM11" s="159">
        <f>(CL11/CH11-1)*100</f>
        <v>-10.700394881387131</v>
      </c>
      <c r="CN11" s="160">
        <f>'qtrP&amp;L'!CQ11</f>
        <v>8.7282568503333824</v>
      </c>
      <c r="CO11" s="6"/>
      <c r="CP11" s="165">
        <v>3188.5</v>
      </c>
      <c r="CQ11" s="159">
        <f>(CP11/CL11-1)*100</f>
        <v>6.0112378229211672</v>
      </c>
      <c r="CR11" s="160">
        <f>'qtrP&amp;L'!CU11</f>
        <v>8.3569097539861303</v>
      </c>
      <c r="CS11" s="6"/>
      <c r="CT11" s="165">
        <v>3388.2</v>
      </c>
      <c r="CU11" s="159">
        <f>(CT11/CP11-1)*100</f>
        <v>6.2631331347028363</v>
      </c>
      <c r="CV11" s="160">
        <f>'qtrP&amp;L'!CY11</f>
        <v>7.3697105313155431</v>
      </c>
      <c r="CW11" s="6"/>
      <c r="CX11" s="165">
        <v>3749.6</v>
      </c>
      <c r="CY11" s="159">
        <f>(CX11/CT11-1)*100</f>
        <v>10.66643055309604</v>
      </c>
      <c r="CZ11" s="160">
        <f>'qtrP&amp;L'!DC11</f>
        <v>6.4551874367881013</v>
      </c>
      <c r="DA11" s="6"/>
      <c r="DB11" s="165">
        <v>3870.6</v>
      </c>
      <c r="DC11" s="159">
        <f>(DB11/CX11-1)*100</f>
        <v>3.2270108811606635</v>
      </c>
      <c r="DD11" s="160">
        <f>'qtrP&amp;L'!DG11</f>
        <v>7.0388502784797469</v>
      </c>
      <c r="DE11" s="6"/>
      <c r="DF11" s="165">
        <v>3864.4</v>
      </c>
      <c r="DG11" s="159">
        <f>(DF11/DB11-1)*100</f>
        <v>-0.16018188394563149</v>
      </c>
      <c r="DH11" s="160">
        <f>'qtrP&amp;L'!DK11</f>
        <v>6.0345572403535108</v>
      </c>
      <c r="DI11" s="6"/>
      <c r="DJ11" s="165"/>
      <c r="DK11" s="159"/>
      <c r="DL11" s="160"/>
    </row>
    <row r="12" spans="1:116">
      <c r="A12" s="6" t="str">
        <f>'qtrP&amp;L'!A12</f>
        <v>3Q</v>
      </c>
      <c r="B12" s="6" t="str">
        <f>'qtrP&amp;L'!B12</f>
        <v>Oct</v>
      </c>
      <c r="C12" s="6"/>
      <c r="D12" s="74">
        <v>619.53700000000003</v>
      </c>
      <c r="E12" s="6"/>
      <c r="F12" s="74">
        <v>637.22400000000005</v>
      </c>
      <c r="G12" s="13">
        <f>(F12/D12-1)*100</f>
        <v>2.8548738816245089</v>
      </c>
      <c r="H12" s="21">
        <f>'qtrP&amp;L'!K12</f>
        <v>9.1781479302764701</v>
      </c>
      <c r="I12" s="54"/>
      <c r="J12" s="74">
        <v>769.923</v>
      </c>
      <c r="K12" s="13">
        <f>(J12/F12-1)*100</f>
        <v>20.824545214869495</v>
      </c>
      <c r="L12" s="21">
        <f>'qtrP&amp;L'!O12</f>
        <v>18.978148763096069</v>
      </c>
      <c r="M12" s="54"/>
      <c r="N12" s="74">
        <v>958.68100000000004</v>
      </c>
      <c r="O12" s="13">
        <f>(N12/J12-1)*100</f>
        <v>24.516477621788169</v>
      </c>
      <c r="P12" s="21">
        <f>'qtrP&amp;L'!S12</f>
        <v>-10.268306169826346</v>
      </c>
      <c r="Q12" s="54"/>
      <c r="R12" s="74">
        <v>1014.448</v>
      </c>
      <c r="S12" s="13">
        <f>(R12/N12-1)*100</f>
        <v>5.8170548910430053</v>
      </c>
      <c r="T12" s="21">
        <f>'qtrP&amp;L'!W12</f>
        <v>6.7334880131960428</v>
      </c>
      <c r="U12" s="54"/>
      <c r="V12" s="74">
        <v>1111.6510000000001</v>
      </c>
      <c r="W12" s="13">
        <f>(V12/R12-1)*100</f>
        <v>9.5818612683942419</v>
      </c>
      <c r="X12" s="21">
        <f>'qtrP&amp;L'!AA12</f>
        <v>7.162419601494685</v>
      </c>
      <c r="Y12" s="54"/>
      <c r="Z12" s="74">
        <v>1335.0989999999999</v>
      </c>
      <c r="AA12" s="13">
        <f>(Z12/V12-1)*100</f>
        <v>20.100553141228673</v>
      </c>
      <c r="AB12" s="21">
        <f>'qtrP&amp;L'!AE12</f>
        <v>100.00011611515838</v>
      </c>
      <c r="AC12" s="54"/>
      <c r="AD12" s="74">
        <v>1459.607</v>
      </c>
      <c r="AE12" s="13">
        <f>(AD12/Z12-1)*100</f>
        <v>9.3257503750658231</v>
      </c>
      <c r="AF12" s="21">
        <f>'qtrP&amp;L'!AI12</f>
        <v>9.5951124835914836</v>
      </c>
      <c r="AG12" s="54"/>
      <c r="AH12" s="74">
        <v>1501.3620000000001</v>
      </c>
      <c r="AI12" s="13">
        <f>(AH12/AD12-1)*100</f>
        <v>2.8607015450049289</v>
      </c>
      <c r="AJ12" s="21">
        <f>'qtrP&amp;L'!AM12</f>
        <v>6.1347207021462014</v>
      </c>
      <c r="AK12" s="54"/>
      <c r="AL12" s="74">
        <v>1677.5840000000001</v>
      </c>
      <c r="AM12" s="13">
        <f>(AL12/AH12-1)*100</f>
        <v>11.73747570539283</v>
      </c>
      <c r="AN12" s="21">
        <f>'qtrP&amp;L'!AQ12</f>
        <v>11.557307376130721</v>
      </c>
      <c r="AO12" s="6"/>
      <c r="AP12" s="74">
        <v>1949.73</v>
      </c>
      <c r="AQ12" s="13">
        <f>(AP12/AL12-1)*100</f>
        <v>16.222496161146015</v>
      </c>
      <c r="AR12" s="21">
        <f>'qtrP&amp;L'!AU12</f>
        <v>10.127585284292895</v>
      </c>
      <c r="AS12" s="6"/>
      <c r="AT12" s="74">
        <v>1990.92</v>
      </c>
      <c r="AU12" s="13">
        <f>(AT12/AP12-1)*100</f>
        <v>2.1126002061824023</v>
      </c>
      <c r="AV12" s="21">
        <f>'qtrP&amp;L'!AY12</f>
        <v>11.390133545352633</v>
      </c>
      <c r="AW12" s="6"/>
      <c r="AX12" s="74">
        <v>2001.5139999999999</v>
      </c>
      <c r="AY12" s="13">
        <f>(AX12/AT12-1)*100</f>
        <v>0.53211580575813766</v>
      </c>
      <c r="AZ12" s="21">
        <f>'qtrP&amp;L'!BC12</f>
        <v>11.057860819055154</v>
      </c>
      <c r="BA12" s="6"/>
      <c r="BB12" s="74">
        <v>2242.9</v>
      </c>
      <c r="BC12" s="13">
        <f>(BB12/AX12-1)*100</f>
        <v>12.060170450968632</v>
      </c>
      <c r="BD12" s="21">
        <f>'qtrP&amp;L'!BG12</f>
        <v>11.248197835760854</v>
      </c>
      <c r="BE12" s="6"/>
      <c r="BF12" s="74">
        <v>2785.4</v>
      </c>
      <c r="BG12" s="13">
        <f>(BF12/BB12-1)*100</f>
        <v>24.187435908867982</v>
      </c>
      <c r="BH12" s="21">
        <f>'qtrP&amp;L'!BK12</f>
        <v>12.690895693872562</v>
      </c>
      <c r="BI12" s="6"/>
      <c r="BJ12" s="74">
        <v>2913.5</v>
      </c>
      <c r="BK12" s="13">
        <f>(BJ12/BF12-1)*100</f>
        <v>4.5989803977884547</v>
      </c>
      <c r="BL12" s="21">
        <f>'qtrP&amp;L'!BO12</f>
        <v>5.8826672953750547</v>
      </c>
      <c r="BM12" s="6"/>
      <c r="BN12" s="74">
        <v>3246.3</v>
      </c>
      <c r="BO12" s="13">
        <f>(BN12/BJ12-1)*100</f>
        <v>11.422687489274086</v>
      </c>
      <c r="BP12" s="21">
        <f>'qtrP&amp;L'!BS12</f>
        <v>10.664037218029488</v>
      </c>
      <c r="BQ12" s="6"/>
      <c r="BR12" s="74">
        <v>3364.5</v>
      </c>
      <c r="BS12" s="13">
        <f>(BR12/BN12-1)*100</f>
        <v>3.6410682931337091</v>
      </c>
      <c r="BT12" s="21">
        <f>'qtrP&amp;L'!BW12</f>
        <v>4.1533057765323456</v>
      </c>
      <c r="BU12" s="6"/>
      <c r="BV12" s="74">
        <v>3279.3</v>
      </c>
      <c r="BW12" s="13">
        <f>(BV12/BR12-1)*100</f>
        <v>-2.5323227819884053</v>
      </c>
      <c r="BX12" s="21">
        <f>'qtrP&amp;L'!CA12</f>
        <v>2.2068732213454512</v>
      </c>
      <c r="BY12" s="6"/>
      <c r="BZ12" s="74">
        <v>3267.7</v>
      </c>
      <c r="CA12" s="13">
        <f>(BZ12/BV12-1)*100</f>
        <v>-0.35373402860368053</v>
      </c>
      <c r="CB12" s="21">
        <f>'qtrP&amp;L'!CE12</f>
        <v>10.152535004504859</v>
      </c>
      <c r="CC12" s="6"/>
      <c r="CD12" s="74">
        <v>3273</v>
      </c>
      <c r="CE12" s="159">
        <f>(CD12/BZ12-1)*100</f>
        <v>0.16219359182298998</v>
      </c>
      <c r="CF12" s="160">
        <f>'qtrP&amp;L'!CI12</f>
        <v>5.355650944738044</v>
      </c>
      <c r="CG12" s="6"/>
      <c r="CH12" s="74">
        <v>3706</v>
      </c>
      <c r="CI12" s="159">
        <f>(CH12/CD12-1)*100</f>
        <v>13.229453101130462</v>
      </c>
      <c r="CJ12" s="160">
        <f>'qtrP&amp;L'!CM12</f>
        <v>4.8369236426560436</v>
      </c>
      <c r="CK12" s="6"/>
      <c r="CL12" s="74">
        <v>3297.1</v>
      </c>
      <c r="CM12" s="159">
        <f>(CL12/CH12-1)*100</f>
        <v>-11.033459255261736</v>
      </c>
      <c r="CN12" s="160">
        <f>'qtrP&amp;L'!CQ12</f>
        <v>10.664100637859208</v>
      </c>
      <c r="CO12" s="6"/>
      <c r="CP12" s="74">
        <v>3663.2</v>
      </c>
      <c r="CQ12" s="159">
        <f>(CP12/CL12-1)*100</f>
        <v>11.103697188438332</v>
      </c>
      <c r="CR12" s="160">
        <f>'qtrP&amp;L'!$CU$12</f>
        <v>8.9061105649070669</v>
      </c>
      <c r="CS12" s="6"/>
      <c r="CT12" s="165">
        <v>3958.6</v>
      </c>
      <c r="CU12" s="159">
        <f>(CT12/CP12-1)*100</f>
        <v>8.0639877702555207</v>
      </c>
      <c r="CV12" s="160">
        <f>'qtrP&amp;L'!CY12</f>
        <v>5.5026757851328156</v>
      </c>
      <c r="CW12" s="6"/>
      <c r="CX12" s="165">
        <v>4442</v>
      </c>
      <c r="CY12" s="159">
        <f>(CX12/CT12-1)*100</f>
        <v>12.211387864396507</v>
      </c>
      <c r="CZ12" s="160">
        <f>'qtrP&amp;L'!DC12</f>
        <v>5.2596460580179416</v>
      </c>
      <c r="DA12" s="6"/>
      <c r="DB12" s="165">
        <v>4384.2</v>
      </c>
      <c r="DC12" s="159">
        <f>(DB12/CX12-1)*100</f>
        <v>-1.301215668617739</v>
      </c>
      <c r="DD12" s="160">
        <f>'qtrP&amp;L'!DG12</f>
        <v>6.9412955060911274</v>
      </c>
      <c r="DE12" s="6"/>
      <c r="DF12" s="165">
        <v>4725.8999999999996</v>
      </c>
      <c r="DG12" s="159">
        <f>(DF12/DB12-1)*100</f>
        <v>7.7938962638565812</v>
      </c>
      <c r="DH12" s="160">
        <f>'qtrP&amp;L'!DK12</f>
        <v>5.6747431886004396</v>
      </c>
      <c r="DI12" s="6"/>
      <c r="DJ12" s="165"/>
      <c r="DK12" s="159"/>
      <c r="DL12" s="160"/>
    </row>
    <row r="13" spans="1:116">
      <c r="A13" s="6" t="str">
        <f>'qtrP&amp;L'!A13</f>
        <v>4Q</v>
      </c>
      <c r="B13" s="6" t="str">
        <f>'qtrP&amp;L'!B13</f>
        <v>Jan</v>
      </c>
      <c r="C13" s="6"/>
      <c r="D13" s="74">
        <v>513.91300000000001</v>
      </c>
      <c r="E13" s="6"/>
      <c r="F13" s="74">
        <v>552.46600000000001</v>
      </c>
      <c r="G13" s="13">
        <f>(F13/D13-1)*100</f>
        <v>7.5018534265527403</v>
      </c>
      <c r="H13" s="21">
        <f>'qtrP&amp;L'!K13</f>
        <v>11.98775456472967</v>
      </c>
      <c r="I13" s="54"/>
      <c r="J13" s="74">
        <v>672.35400000000004</v>
      </c>
      <c r="K13" s="13">
        <f>(J13/F13-1)*100</f>
        <v>21.700520937035051</v>
      </c>
      <c r="L13" s="21">
        <f>'qtrP&amp;L'!O13</f>
        <v>24.748331169919279</v>
      </c>
      <c r="M13" s="54"/>
      <c r="N13" s="74">
        <v>772.32399999999996</v>
      </c>
      <c r="O13" s="13">
        <f>(N13/J13-1)*100</f>
        <v>14.868655499930084</v>
      </c>
      <c r="P13" s="21">
        <f>'qtrP&amp;L'!S13</f>
        <v>-16.200548335196206</v>
      </c>
      <c r="Q13" s="54"/>
      <c r="R13" s="74">
        <v>890.59299999999996</v>
      </c>
      <c r="S13" s="13">
        <f>(R13/N13-1)*100</f>
        <v>15.313391788938313</v>
      </c>
      <c r="T13" s="21">
        <f>'qtrP&amp;L'!W13</f>
        <v>8.6953349107726119</v>
      </c>
      <c r="U13" s="54"/>
      <c r="V13" s="74">
        <v>1258.4880000000001</v>
      </c>
      <c r="W13" s="13">
        <f>(V13/R13-1)*100</f>
        <v>41.308992996801017</v>
      </c>
      <c r="X13" s="21">
        <f>'qtrP&amp;L'!AA13</f>
        <v>80.350148518174905</v>
      </c>
      <c r="Y13" s="54"/>
      <c r="Z13" s="74">
        <v>1059.5050000000001</v>
      </c>
      <c r="AA13" s="13">
        <f>(Z13/V13-1)*100</f>
        <v>-15.811275117442513</v>
      </c>
      <c r="AB13" s="21">
        <f>'qtrP&amp;L'!AE13</f>
        <v>18.778829331577505</v>
      </c>
      <c r="AC13" s="54"/>
      <c r="AD13" s="74">
        <v>1190.17</v>
      </c>
      <c r="AE13" s="13">
        <f>(AD13/Z13-1)*100</f>
        <v>12.33264590539922</v>
      </c>
      <c r="AF13" s="21">
        <f>'qtrP&amp;L'!AI13</f>
        <v>15.226190934895145</v>
      </c>
      <c r="AG13" s="54"/>
      <c r="AH13" s="74">
        <v>1186.068</v>
      </c>
      <c r="AI13" s="13">
        <f>(AH13/AD13-1)*100</f>
        <v>-0.34465664568927856</v>
      </c>
      <c r="AJ13" s="21">
        <f>'qtrP&amp;L'!AM13</f>
        <v>3.6160704532494092</v>
      </c>
      <c r="AK13" s="54"/>
      <c r="AL13" s="74">
        <v>1229.587</v>
      </c>
      <c r="AM13" s="13">
        <f>(AL13/AH13-1)*100</f>
        <v>3.6691825426535374</v>
      </c>
      <c r="AN13" s="21">
        <f>'qtrP&amp;L'!AQ13</f>
        <v>8.7344316922208343</v>
      </c>
      <c r="AO13" s="6"/>
      <c r="AP13" s="74">
        <v>1452.877</v>
      </c>
      <c r="AQ13" s="13">
        <f>(AP13/AL13-1)*100</f>
        <v>18.159756080700262</v>
      </c>
      <c r="AR13" s="21">
        <f>'qtrP&amp;L'!AU13</f>
        <v>8.8790930993107651</v>
      </c>
      <c r="AS13" s="6"/>
      <c r="AT13" s="74">
        <v>1456.9760000000001</v>
      </c>
      <c r="AU13" s="13">
        <f>(AT13/AP13-1)*100</f>
        <v>0.28212987059470507</v>
      </c>
      <c r="AV13" s="21">
        <f>'qtrP&amp;L'!AY13</f>
        <v>16.62509245612538</v>
      </c>
      <c r="AW13" s="6"/>
      <c r="AX13" s="74">
        <v>1563.45</v>
      </c>
      <c r="AY13" s="13">
        <f>(AX13/AT13-1)*100</f>
        <v>7.3078760391385833</v>
      </c>
      <c r="AZ13" s="21">
        <f>'qtrP&amp;L'!BC13</f>
        <v>9.2488512524651725</v>
      </c>
      <c r="BA13" s="6"/>
      <c r="BB13" s="74">
        <v>1941.7</v>
      </c>
      <c r="BC13" s="13">
        <f>(BB13/AX13-1)*100</f>
        <v>24.193290479388541</v>
      </c>
      <c r="BD13" s="21">
        <f>'qtrP&amp;L'!BG13</f>
        <v>17.119362506885636</v>
      </c>
      <c r="BE13" s="6"/>
      <c r="BF13" s="74">
        <v>2352</v>
      </c>
      <c r="BG13" s="13">
        <f>(BF13/BB13-1)*100</f>
        <v>21.130967708708859</v>
      </c>
      <c r="BH13" s="21">
        <f>'qtrP&amp;L'!BK13</f>
        <v>5.4440803615162681</v>
      </c>
      <c r="BI13" s="6"/>
      <c r="BJ13" s="74">
        <v>2365.8609999999999</v>
      </c>
      <c r="BK13" s="13">
        <f>(BJ13/BF13-1)*100</f>
        <v>0.58932823129251855</v>
      </c>
      <c r="BL13" s="21">
        <f>'qtrP&amp;L'!BO13</f>
        <v>8.9445195304622693</v>
      </c>
      <c r="BM13" s="6"/>
      <c r="BN13" s="74">
        <v>2582</v>
      </c>
      <c r="BO13" s="13">
        <f>(BN13/BJ13-1)*100</f>
        <v>9.1357438158877535</v>
      </c>
      <c r="BP13" s="21">
        <f>'qtrP&amp;L'!BS13</f>
        <v>8.0667010578358891</v>
      </c>
      <c r="BQ13" s="6"/>
      <c r="BR13" s="74">
        <v>2737.4</v>
      </c>
      <c r="BS13" s="13">
        <f>(BR13/BN13-1)*100</f>
        <v>6.0185902401239444</v>
      </c>
      <c r="BT13" s="21">
        <f>'qtrP&amp;L'!BW13</f>
        <v>5.7898723880317249</v>
      </c>
      <c r="BU13" s="6"/>
      <c r="BV13" s="74">
        <v>2619.3000000000002</v>
      </c>
      <c r="BW13" s="13">
        <f>(BV13/BR13-1)*100</f>
        <v>-4.314312851611013</v>
      </c>
      <c r="BX13" s="21">
        <f>'qtrP&amp;L'!CA13</f>
        <v>-0.2197936302689607</v>
      </c>
      <c r="BY13" s="6"/>
      <c r="BZ13" s="74">
        <v>2532.3000000000002</v>
      </c>
      <c r="CA13" s="13">
        <f>(BZ13/BV13-1)*100</f>
        <v>-3.3214981101821084</v>
      </c>
      <c r="CB13" s="21">
        <f>'qtrP&amp;L'!CE13</f>
        <v>10.440862263651196</v>
      </c>
      <c r="CC13" s="6"/>
      <c r="CD13" s="74">
        <v>2765.5</v>
      </c>
      <c r="CE13" s="159">
        <f>(CD13/BZ13-1)*100</f>
        <v>9.2090194684673943</v>
      </c>
      <c r="CF13" s="160">
        <f>'qtrP&amp;L'!CI13</f>
        <v>1.8687772920619627</v>
      </c>
      <c r="CG13" s="6"/>
      <c r="CH13" s="74">
        <v>2950.5</v>
      </c>
      <c r="CI13" s="159">
        <f>(CH13/CD13-1)*100</f>
        <v>6.6895678900741329</v>
      </c>
      <c r="CJ13" s="160">
        <f>'qtrP&amp;L'!CM13</f>
        <v>10.854079709436192</v>
      </c>
      <c r="CK13" s="6"/>
      <c r="CL13" s="23">
        <f>bal!AX12</f>
        <v>3014.2139999999999</v>
      </c>
      <c r="CM13" s="159">
        <f>(CL13/CH13-1)*100</f>
        <v>2.1594306049822043</v>
      </c>
      <c r="CN13" s="160">
        <f>'qtrP&amp;L'!CQ13</f>
        <v>15.113153112228495</v>
      </c>
      <c r="CO13" s="6"/>
      <c r="CP13" s="23">
        <f>bal!AZ12</f>
        <v>2966.49</v>
      </c>
      <c r="CQ13" s="159">
        <f>(CP13/CL13-1)*100</f>
        <v>-1.5832983325006156</v>
      </c>
      <c r="CR13" s="160">
        <f>'qtrP&amp;L'!CU13</f>
        <v>1.1001430122475675</v>
      </c>
      <c r="CS13" s="6"/>
      <c r="CT13" s="354">
        <f>bal!BB12</f>
        <v>3217.9</v>
      </c>
      <c r="CU13" s="159">
        <f>(CT13/CP13-1)*100</f>
        <v>8.4749990729785054</v>
      </c>
      <c r="CV13" s="160">
        <f>'qtrP&amp;L'!CY13</f>
        <v>6.3411385148551158</v>
      </c>
      <c r="CW13" s="6"/>
      <c r="CX13" s="165">
        <v>3695.1</v>
      </c>
      <c r="CY13" s="159">
        <f>(CX13/CT13-1)*100</f>
        <v>14.829547220236794</v>
      </c>
      <c r="CZ13" s="160">
        <f>'qtrP&amp;L'!DC13</f>
        <v>7.9254061288641875</v>
      </c>
      <c r="DA13" s="6"/>
      <c r="DB13" s="165">
        <v>3645</v>
      </c>
      <c r="DC13" s="159">
        <f>(DB13/CX13-1)*100</f>
        <v>-1.3558496387107266</v>
      </c>
      <c r="DD13" s="160">
        <f>'qtrP&amp;L'!DG13</f>
        <v>5.6412382177118525</v>
      </c>
      <c r="DE13" s="6"/>
      <c r="DF13" s="165">
        <v>4187.2</v>
      </c>
      <c r="DG13" s="159">
        <f>(DF13/DB13-1)*100</f>
        <v>14.875171467764048</v>
      </c>
      <c r="DH13" s="160">
        <f>'qtrP&amp;L'!DK13</f>
        <v>15.770264776453935</v>
      </c>
      <c r="DI13" s="6"/>
      <c r="DJ13" s="354"/>
      <c r="DK13" s="159"/>
      <c r="DL13" s="160"/>
    </row>
    <row r="14" spans="1:116">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c r="CD14" s="6"/>
      <c r="CE14" s="6"/>
      <c r="CF14" s="6"/>
      <c r="CG14" s="6"/>
      <c r="CH14" s="6"/>
      <c r="CI14" s="12"/>
      <c r="CJ14" s="6"/>
      <c r="CK14" s="6"/>
      <c r="CL14" s="6"/>
      <c r="CM14" s="12"/>
      <c r="CN14" s="6"/>
      <c r="CO14" s="6"/>
      <c r="CP14" s="87"/>
      <c r="CQ14" s="73"/>
      <c r="CR14" s="87"/>
      <c r="CS14" s="6"/>
      <c r="CT14" s="87"/>
      <c r="CU14" s="73"/>
      <c r="CV14" s="87"/>
      <c r="CW14" s="6"/>
      <c r="CX14" s="87"/>
      <c r="CY14" s="73"/>
      <c r="CZ14" s="87"/>
      <c r="DA14" s="6"/>
      <c r="DB14" s="87"/>
      <c r="DC14" s="73"/>
      <c r="DD14" s="87"/>
      <c r="DE14" s="6"/>
      <c r="DF14" s="87"/>
      <c r="DG14" s="73"/>
      <c r="DH14" s="87"/>
      <c r="DI14" s="6"/>
      <c r="DJ14" s="87"/>
      <c r="DK14" s="73"/>
      <c r="DL14" s="87"/>
    </row>
    <row r="15" spans="1:116">
      <c r="A15" s="96"/>
      <c r="B15" s="93"/>
      <c r="C15" s="87"/>
      <c r="D15" s="87"/>
      <c r="E15" s="87"/>
      <c r="F15" s="94"/>
      <c r="G15" s="94"/>
      <c r="H15" s="94"/>
      <c r="I15" s="94"/>
      <c r="J15" s="94"/>
      <c r="K15" s="94"/>
      <c r="L15" s="94"/>
      <c r="M15" s="95"/>
      <c r="N15" s="95"/>
      <c r="O15" s="94"/>
      <c r="P15" s="94"/>
      <c r="Q15" s="94"/>
      <c r="R15" s="94"/>
      <c r="S15" s="94"/>
      <c r="T15" s="94"/>
      <c r="U15" s="94"/>
      <c r="V15" s="94"/>
      <c r="W15" s="94"/>
      <c r="X15" s="94"/>
      <c r="Y15" s="94"/>
      <c r="Z15" s="94"/>
      <c r="AA15" s="94"/>
      <c r="AB15" s="94"/>
      <c r="AC15" s="95"/>
      <c r="AD15" s="95"/>
      <c r="AE15" s="94"/>
      <c r="AF15" s="94"/>
      <c r="AG15" s="94"/>
      <c r="AH15" s="94"/>
      <c r="AI15" s="94"/>
      <c r="AJ15" s="94"/>
      <c r="AK15" s="94"/>
      <c r="AL15" s="94"/>
      <c r="AM15" s="94"/>
      <c r="AN15" s="94"/>
      <c r="AO15" s="87"/>
      <c r="AP15" s="94"/>
      <c r="AQ15" s="94"/>
      <c r="AR15" s="94"/>
      <c r="AS15" s="87"/>
      <c r="AT15" s="94"/>
      <c r="AU15" s="94"/>
      <c r="AV15" s="94"/>
      <c r="AW15" s="87"/>
      <c r="AX15" s="94"/>
      <c r="AY15" s="94"/>
      <c r="AZ15" s="94"/>
      <c r="BA15" s="87"/>
      <c r="BB15" s="94"/>
      <c r="BC15" s="94"/>
      <c r="BD15" s="94"/>
      <c r="BE15" s="87"/>
      <c r="BF15" s="94"/>
      <c r="BG15" s="94"/>
      <c r="BH15" s="94"/>
      <c r="BI15" s="87"/>
      <c r="BJ15" s="94"/>
      <c r="BK15" s="94"/>
      <c r="BL15" s="94"/>
      <c r="BM15" s="87"/>
      <c r="BN15" s="94"/>
      <c r="BO15" s="94"/>
      <c r="BP15" s="94"/>
      <c r="BQ15" s="87"/>
      <c r="BS15" s="94"/>
      <c r="BT15" s="94"/>
      <c r="BU15" s="87"/>
      <c r="BV15" s="94"/>
      <c r="BW15" s="94"/>
      <c r="BX15" s="94"/>
      <c r="BY15" s="87"/>
      <c r="BZ15" s="94"/>
      <c r="CA15" s="94"/>
      <c r="CB15" s="94"/>
      <c r="CC15" s="87"/>
      <c r="CD15" s="161"/>
      <c r="CE15" s="159"/>
      <c r="CF15" s="162"/>
      <c r="CG15" s="87"/>
      <c r="CH15" s="96" t="s">
        <v>430</v>
      </c>
      <c r="CI15" s="360"/>
      <c r="CJ15" s="162"/>
      <c r="CK15" s="87"/>
      <c r="CL15" s="161"/>
      <c r="CM15" s="360"/>
      <c r="CN15" s="162"/>
      <c r="CO15" s="87"/>
      <c r="CP15" s="161"/>
      <c r="CQ15" s="159"/>
      <c r="CR15" s="162"/>
      <c r="CS15" s="87"/>
      <c r="CT15" s="161"/>
      <c r="CU15" s="360"/>
      <c r="CV15" s="162"/>
      <c r="CW15" s="87"/>
      <c r="CX15" s="161"/>
      <c r="CY15" s="360"/>
      <c r="CZ15" s="162"/>
      <c r="DA15" s="87"/>
      <c r="DB15" s="161"/>
      <c r="DC15" s="360"/>
      <c r="DD15" s="162"/>
      <c r="DE15" s="87"/>
      <c r="DF15" s="161"/>
      <c r="DG15" s="360"/>
      <c r="DH15" s="162"/>
      <c r="DI15" s="87"/>
      <c r="DJ15" s="161"/>
      <c r="DK15" s="360"/>
      <c r="DL15" s="162"/>
    </row>
    <row r="16" spans="1:116">
      <c r="A16" s="6" t="str">
        <f>$A$10</f>
        <v>1Q</v>
      </c>
      <c r="B16" s="6" t="str">
        <f>$B$10</f>
        <v>Apr</v>
      </c>
      <c r="C16" s="6"/>
      <c r="D16" s="68">
        <v>27.88</v>
      </c>
      <c r="E16" s="18"/>
      <c r="F16" s="68">
        <v>30.19</v>
      </c>
      <c r="G16" s="13">
        <f>(F16/D16-1)*100</f>
        <v>8.285509325681506</v>
      </c>
      <c r="H16" s="21">
        <f>H$10</f>
        <v>17.427305126742819</v>
      </c>
      <c r="I16" s="54"/>
      <c r="J16" s="68">
        <v>34.991999999999997</v>
      </c>
      <c r="K16" s="13">
        <f>(J16/F16-1)*100</f>
        <v>15.905929115601181</v>
      </c>
      <c r="L16" s="21">
        <f>L$10</f>
        <v>11.212830955542174</v>
      </c>
      <c r="M16" s="54"/>
      <c r="N16" s="68">
        <v>37.456000000000003</v>
      </c>
      <c r="O16" s="13">
        <f>(N16/J16-1)*100</f>
        <v>7.041609510745328</v>
      </c>
      <c r="P16" s="21">
        <f>P$10</f>
        <v>-11.505849282421455</v>
      </c>
      <c r="Q16" s="54"/>
      <c r="R16" s="68">
        <v>49.609000000000002</v>
      </c>
      <c r="S16" s="13">
        <f>(R16/N16-1)*100</f>
        <v>32.44607005553182</v>
      </c>
      <c r="T16" s="21">
        <f>T$10</f>
        <v>10.052885101222753</v>
      </c>
      <c r="U16" s="54"/>
      <c r="V16" s="68">
        <f>83.053+40.943+10.811</f>
        <v>134.80699999999999</v>
      </c>
      <c r="W16" s="13">
        <f>(V16/R16-1)*100</f>
        <v>171.73899897196071</v>
      </c>
      <c r="X16" s="21">
        <f>X$10</f>
        <v>9.2421812349638977</v>
      </c>
      <c r="Y16" s="54"/>
      <c r="Z16" s="68">
        <f>75.394+18.876+77.701</f>
        <v>171.971</v>
      </c>
      <c r="AA16" s="13">
        <f>(Z16/V16-1)*100</f>
        <v>27.568301349336476</v>
      </c>
      <c r="AB16" s="21">
        <f>AB$10</f>
        <v>106.2493433209259</v>
      </c>
      <c r="AC16" s="54"/>
      <c r="AD16" s="68">
        <f>91.528+16.486</f>
        <v>108.01400000000001</v>
      </c>
      <c r="AE16" s="13">
        <f>(AD16/Z16-1)*100</f>
        <v>-37.190572829139789</v>
      </c>
      <c r="AF16" s="21">
        <f>AF$10</f>
        <v>5.9706693238295028</v>
      </c>
      <c r="AG16" s="54"/>
      <c r="AH16" s="68">
        <f>90.691+47.707</f>
        <v>138.398</v>
      </c>
      <c r="AI16" s="13">
        <f>(AH16/AD16-1)*100</f>
        <v>28.129686892439842</v>
      </c>
      <c r="AJ16" s="21">
        <f>AJ$10</f>
        <v>12.408935038297585</v>
      </c>
      <c r="AK16" s="54"/>
      <c r="AL16" s="68">
        <f>57.341+50.415</f>
        <v>107.756</v>
      </c>
      <c r="AM16" s="13">
        <f>(AL16/AH16-1)*100</f>
        <v>-22.140493359730627</v>
      </c>
      <c r="AN16" s="21">
        <f>AN$10</f>
        <v>10.078871080679775</v>
      </c>
      <c r="AO16" s="6"/>
      <c r="AP16" s="68">
        <f>63.763+57.305</f>
        <v>121.068</v>
      </c>
      <c r="AQ16" s="13">
        <f>(AP16/AL16-1)*100</f>
        <v>12.353836445302345</v>
      </c>
      <c r="AR16" s="21">
        <f>AR$10</f>
        <v>9.2001786060234902</v>
      </c>
      <c r="AS16" s="6"/>
      <c r="AT16" s="68">
        <f>73.638+104.009+43.997</f>
        <v>221.64400000000001</v>
      </c>
      <c r="AU16" s="13">
        <f>(AT16/AP16-1)*100</f>
        <v>83.073974956222955</v>
      </c>
      <c r="AV16" s="21">
        <f>AV$10</f>
        <v>7.7215390424435926</v>
      </c>
      <c r="AW16" s="6"/>
      <c r="AX16" s="68">
        <f>80.434+129.299+12.714</f>
        <v>222.447</v>
      </c>
      <c r="AY16" s="13">
        <f>(AX16/AT16-1)*100</f>
        <v>0.36229268556784433</v>
      </c>
      <c r="AZ16" s="21">
        <f>AZ$10</f>
        <v>17.384863677096462</v>
      </c>
      <c r="BA16" s="6"/>
      <c r="BB16" s="68">
        <f>95.011+140.693+10.11</f>
        <v>245.81400000000002</v>
      </c>
      <c r="BC16" s="13">
        <f>(BB16/AX16-1)*100</f>
        <v>10.50452467329297</v>
      </c>
      <c r="BD16" s="21">
        <f>BD$10</f>
        <v>4.6148703880087849</v>
      </c>
      <c r="BE16" s="6"/>
      <c r="BF16" s="68">
        <f>106.793+216.791+7.581</f>
        <v>331.16500000000002</v>
      </c>
      <c r="BG16" s="13">
        <f>(BF16/BB16-1)*100</f>
        <v>34.721781509596681</v>
      </c>
      <c r="BH16" s="21">
        <f>BH$10</f>
        <v>20.225588579645404</v>
      </c>
      <c r="BI16" s="6"/>
      <c r="BJ16" s="68">
        <v>357.1</v>
      </c>
      <c r="BK16" s="13">
        <f>(BJ16/BF16-1)*100</f>
        <v>7.8314435402291993</v>
      </c>
      <c r="BL16" s="21">
        <f>BL$10</f>
        <v>8.9208607773290751</v>
      </c>
      <c r="BM16" s="6"/>
      <c r="BN16" s="68">
        <f>153.9+257.1+11.6</f>
        <v>422.6</v>
      </c>
      <c r="BO16" s="13">
        <f>(BN16/BJ16-1)*100</f>
        <v>18.342201064127693</v>
      </c>
      <c r="BP16" s="21">
        <f>BP$10</f>
        <v>6.008658672501177</v>
      </c>
      <c r="BQ16" s="6"/>
      <c r="BR16" s="68">
        <f>411.1+35.8</f>
        <v>446.90000000000003</v>
      </c>
      <c r="BS16" s="13">
        <f>(BR16/BN16-1)*100</f>
        <v>5.7501183151916768</v>
      </c>
      <c r="BT16" s="21">
        <f>BT$10</f>
        <v>6.1175236150748047</v>
      </c>
      <c r="BU16" s="6"/>
      <c r="BV16" s="68">
        <f>353.4+100.9</f>
        <v>454.29999999999995</v>
      </c>
      <c r="BW16" s="13">
        <f>(BV16/BR16-1)*100</f>
        <v>1.6558514208995012</v>
      </c>
      <c r="BX16" s="21">
        <f>BX$10</f>
        <v>4.7582800825981764</v>
      </c>
      <c r="BY16" s="6"/>
      <c r="BZ16" s="68">
        <f>381.5+138.5</f>
        <v>520</v>
      </c>
      <c r="CA16" s="13">
        <f>(BZ16/BV16-1)*100</f>
        <v>14.461809377063627</v>
      </c>
      <c r="CB16" s="21">
        <f>CB$10</f>
        <v>1.1773754489021293</v>
      </c>
      <c r="CC16" s="6"/>
      <c r="CD16" s="158">
        <f>408.4+122.5</f>
        <v>530.9</v>
      </c>
      <c r="CE16" s="159">
        <f>(CD16/BZ16-1)*100</f>
        <v>2.0961538461538476</v>
      </c>
      <c r="CF16" s="160">
        <f>CF$10</f>
        <v>15.210884878683316</v>
      </c>
      <c r="CG16" s="6"/>
      <c r="CH16" s="158">
        <f>458.2+72.9</f>
        <v>531.1</v>
      </c>
      <c r="CI16" s="159">
        <f>(CH16/CD16-1)*100</f>
        <v>3.7671877943123988E-2</v>
      </c>
      <c r="CJ16" s="160">
        <f>CJ10</f>
        <v>3.8776925929026707</v>
      </c>
      <c r="CK16" s="6"/>
      <c r="CL16" s="158">
        <f>474.9+108.5</f>
        <v>583.4</v>
      </c>
      <c r="CM16" s="159">
        <f>(CL16/CH16-1)*100</f>
        <v>9.8474863490867861</v>
      </c>
      <c r="CN16" s="160">
        <f>+CN10</f>
        <v>11.264873636219551</v>
      </c>
      <c r="CO16" s="6"/>
      <c r="CP16" s="158">
        <f>549.1+107.7</f>
        <v>656.80000000000007</v>
      </c>
      <c r="CQ16" s="159">
        <f>(CP16/CL16-1)*100</f>
        <v>12.581419266369576</v>
      </c>
      <c r="CR16" s="160">
        <f>'qtrP&amp;L'!$CU10</f>
        <v>6.7526249179470588</v>
      </c>
      <c r="CS16" s="6"/>
      <c r="CT16" s="158">
        <f>574.7+133.1</f>
        <v>707.80000000000007</v>
      </c>
      <c r="CU16" s="159">
        <f>(CT16/CP16-1)*100</f>
        <v>7.7649208282582149</v>
      </c>
      <c r="CV16" s="160">
        <f>'qtrP&amp;L'!$CY10</f>
        <v>4.8721494362568007</v>
      </c>
      <c r="CW16" s="6"/>
      <c r="CX16" s="158">
        <v>604.1</v>
      </c>
      <c r="CY16" s="159">
        <f>(CX16/CT16-1)*100</f>
        <v>-14.651031364792322</v>
      </c>
      <c r="CZ16" s="160">
        <f>'qtrP&amp;L'!DC10</f>
        <v>5.7687697884019729</v>
      </c>
      <c r="DA16" s="6"/>
      <c r="DB16" s="158">
        <v>624.79999999999995</v>
      </c>
      <c r="DC16" s="159">
        <f>(DB16/CX16-1)*100</f>
        <v>3.4265850024830291</v>
      </c>
      <c r="DD16" s="160">
        <f>'qtrP&amp;L'!DG10</f>
        <v>9.8566090808471341</v>
      </c>
      <c r="DE16" s="6"/>
      <c r="DF16" s="158">
        <v>685.8</v>
      </c>
      <c r="DG16" s="159">
        <f>(DF16/DB16-1)*100</f>
        <v>9.7631241997439222</v>
      </c>
      <c r="DH16" s="160">
        <f>'qtrP&amp;L'!DK10</f>
        <v>3.2041446996137646</v>
      </c>
      <c r="DI16" s="6"/>
      <c r="DJ16" s="158"/>
      <c r="DK16" s="159"/>
      <c r="DL16" s="160"/>
    </row>
    <row r="17" spans="1:116">
      <c r="A17" s="6" t="str">
        <f>$A$11</f>
        <v>2Q</v>
      </c>
      <c r="B17" s="6" t="str">
        <f>$B$11</f>
        <v>Jul</v>
      </c>
      <c r="C17" s="6"/>
      <c r="D17" s="74">
        <v>23.242000000000001</v>
      </c>
      <c r="E17" s="17"/>
      <c r="F17" s="74">
        <v>24.797999999999998</v>
      </c>
      <c r="G17" s="13">
        <f>(F17/D17-1)*100</f>
        <v>6.694776697358229</v>
      </c>
      <c r="H17" s="21">
        <f>H$11</f>
        <v>13.452522358859698</v>
      </c>
      <c r="I17" s="54"/>
      <c r="J17" s="74">
        <v>29.803999999999998</v>
      </c>
      <c r="K17" s="13">
        <f>(J17/F17-1)*100</f>
        <v>20.187111863859997</v>
      </c>
      <c r="L17" s="21">
        <f>L$11</f>
        <v>16.032351387928713</v>
      </c>
      <c r="M17" s="54"/>
      <c r="N17" s="74">
        <v>32.000999999999998</v>
      </c>
      <c r="O17" s="13">
        <f>(N17/J17-1)*100</f>
        <v>7.3714937592269436</v>
      </c>
      <c r="P17" s="21">
        <f>P$11</f>
        <v>-13.826427572443478</v>
      </c>
      <c r="Q17" s="54"/>
      <c r="R17" s="74">
        <f>36.284+21.84+6.293</f>
        <v>64.417000000000002</v>
      </c>
      <c r="S17" s="13">
        <f>(R17/N17-1)*100</f>
        <v>101.29683447392273</v>
      </c>
      <c r="T17" s="21">
        <f>T$11</f>
        <v>6.2249104204809669</v>
      </c>
      <c r="U17" s="54"/>
      <c r="V17" s="74">
        <f>48.595+29.438+11.937</f>
        <v>89.97</v>
      </c>
      <c r="W17" s="13">
        <f>(V17/R17-1)*100</f>
        <v>39.668100035704846</v>
      </c>
      <c r="X17" s="21">
        <f>X$11</f>
        <v>10.363717277259221</v>
      </c>
      <c r="Y17" s="54"/>
      <c r="Z17" s="74">
        <f>77.049+18.461+82.764</f>
        <v>178.274</v>
      </c>
      <c r="AA17" s="13">
        <f>(Z17/V17-1)*100</f>
        <v>98.148271646104263</v>
      </c>
      <c r="AB17" s="21">
        <f>AB$11</f>
        <v>103.35893283316454</v>
      </c>
      <c r="AC17" s="54"/>
      <c r="AD17" s="74">
        <f>75.691+17.208</f>
        <v>92.899000000000001</v>
      </c>
      <c r="AE17" s="13">
        <f>(AD17/Z17-1)*100</f>
        <v>-47.889765192905301</v>
      </c>
      <c r="AF17" s="21">
        <f>AF$11</f>
        <v>9.6956000255771215</v>
      </c>
      <c r="AG17" s="54"/>
      <c r="AH17" s="74">
        <f>81.493+63.627</f>
        <v>145.12</v>
      </c>
      <c r="AI17" s="13">
        <f>(AH17/AD17-1)*100</f>
        <v>56.212661062013595</v>
      </c>
      <c r="AJ17" s="21">
        <f>AJ$11</f>
        <v>9.9681341896828091</v>
      </c>
      <c r="AK17" s="54"/>
      <c r="AL17" s="74">
        <f>54.37+70.821</f>
        <v>125.191</v>
      </c>
      <c r="AM17" s="13">
        <f>(AL17/AH17-1)*100</f>
        <v>-13.732772877618526</v>
      </c>
      <c r="AN17" s="21">
        <f>AN$11</f>
        <v>12.59233439776235</v>
      </c>
      <c r="AO17" s="6"/>
      <c r="AP17" s="74">
        <f>57.411+80.264</f>
        <v>137.67500000000001</v>
      </c>
      <c r="AQ17" s="13">
        <f>(AP17/AL17-1)*100</f>
        <v>9.9719628407793017</v>
      </c>
      <c r="AR17" s="21">
        <f>AR$11</f>
        <v>7.386305544234939</v>
      </c>
      <c r="AS17" s="6"/>
      <c r="AT17" s="74">
        <f>68.743+71.333+31.997</f>
        <v>172.07299999999998</v>
      </c>
      <c r="AU17" s="13">
        <f>(AT17/AP17-1)*100</f>
        <v>24.98492827310692</v>
      </c>
      <c r="AV17" s="21">
        <f>AV$11</f>
        <v>10.160775918950439</v>
      </c>
      <c r="AW17" s="6"/>
      <c r="AX17" s="74">
        <f>69.905+142.173+13.425</f>
        <v>225.50300000000001</v>
      </c>
      <c r="AY17" s="13">
        <f>(AX17/AT17-1)*100</f>
        <v>31.050774961789497</v>
      </c>
      <c r="AZ17" s="21">
        <f>AZ$11</f>
        <v>11.153905215503013</v>
      </c>
      <c r="BA17" s="6"/>
      <c r="BB17" s="74">
        <f>86.527+154.937+11.259</f>
        <v>252.72300000000001</v>
      </c>
      <c r="BC17" s="13">
        <f>(BB17/AX17-1)*100</f>
        <v>12.070792849762535</v>
      </c>
      <c r="BD17" s="21">
        <f>BD$11</f>
        <v>10.165857229188656</v>
      </c>
      <c r="BE17" s="6"/>
      <c r="BF17" s="74">
        <f>320.5+11.3</f>
        <v>331.8</v>
      </c>
      <c r="BG17" s="13">
        <f>(BF17/BB17-1)*100</f>
        <v>31.289989435073174</v>
      </c>
      <c r="BH17" s="21">
        <f>BH$11</f>
        <v>12.084069773854743</v>
      </c>
      <c r="BI17" s="6"/>
      <c r="BJ17" s="74">
        <f>120.932+263.571+3.16</f>
        <v>387.66300000000007</v>
      </c>
      <c r="BK17" s="13">
        <f>(BJ17/BF17-1)*100</f>
        <v>16.836347197106715</v>
      </c>
      <c r="BL17" s="21">
        <f>BL$11</f>
        <v>6.8412233652296983</v>
      </c>
      <c r="BM17" s="6"/>
      <c r="BN17" s="17">
        <f>322.245+119.482+13.938</f>
        <v>455.66499999999996</v>
      </c>
      <c r="BO17" s="13">
        <f>(BN17/BJ17-1)*100</f>
        <v>17.541524468417123</v>
      </c>
      <c r="BP17" s="21">
        <f>BP$11</f>
        <v>8.6569243497431216</v>
      </c>
      <c r="BQ17" s="6"/>
      <c r="BR17" s="74">
        <f>447.3+94.3</f>
        <v>541.6</v>
      </c>
      <c r="BS17" s="13">
        <f>(BR17/BN17-1)*100</f>
        <v>18.859249668067555</v>
      </c>
      <c r="BT17" s="21">
        <f>BT$11</f>
        <v>8.821117053712225</v>
      </c>
      <c r="BU17" s="6"/>
      <c r="BV17" s="74">
        <f>450.1+93.8</f>
        <v>543.9</v>
      </c>
      <c r="BW17" s="13">
        <f>(BV17/BR17-1)*100</f>
        <v>0.42466765140323215</v>
      </c>
      <c r="BX17" s="21">
        <f>BX$11</f>
        <v>5.5896207495981232</v>
      </c>
      <c r="BY17" s="6"/>
      <c r="BZ17" s="74">
        <f>575.7+108.9</f>
        <v>684.6</v>
      </c>
      <c r="CA17" s="13">
        <f>(BZ17/BV17-1)*100</f>
        <v>25.868725868725882</v>
      </c>
      <c r="CB17" s="21">
        <f>CB$11</f>
        <v>4.2405851929839145</v>
      </c>
      <c r="CC17" s="6"/>
      <c r="CD17" s="74">
        <f>449+95.9+139.2</f>
        <v>684.09999999999991</v>
      </c>
      <c r="CE17" s="159">
        <f>(CD17/BZ17-1)*100</f>
        <v>-7.3035349108985237E-2</v>
      </c>
      <c r="CF17" s="160">
        <f>CF11</f>
        <v>6.751977028887457</v>
      </c>
      <c r="CG17" s="6"/>
      <c r="CH17" s="74">
        <f>534.7+66.4+82.1</f>
        <v>683.2</v>
      </c>
      <c r="CI17" s="159">
        <f>(CH17/CD17-1)*100</f>
        <v>-0.13155971349215756</v>
      </c>
      <c r="CJ17" s="160">
        <f>CJ11</f>
        <v>7.8963631197613404</v>
      </c>
      <c r="CK17" s="6"/>
      <c r="CL17" s="74">
        <f>176.3+452.8+83.5</f>
        <v>712.6</v>
      </c>
      <c r="CM17" s="159">
        <f>(CL17/CH17-1)*100</f>
        <v>4.3032786885245811</v>
      </c>
      <c r="CN17" s="160">
        <f>+CN11</f>
        <v>8.7282568503333824</v>
      </c>
      <c r="CO17" s="6"/>
      <c r="CP17" s="74">
        <f>231.2+580.2+91.5</f>
        <v>902.90000000000009</v>
      </c>
      <c r="CQ17" s="159">
        <f>(CP17/CL17-1)*100</f>
        <v>26.705023856300869</v>
      </c>
      <c r="CR17" s="160">
        <f>'qtrP&amp;L'!$CU11</f>
        <v>8.3569097539861303</v>
      </c>
      <c r="CS17" s="6"/>
      <c r="CT17" s="74">
        <f>285+623.3+114</f>
        <v>1022.3</v>
      </c>
      <c r="CU17" s="159">
        <f>(CT17/CP17-1)*100</f>
        <v>13.224055820135106</v>
      </c>
      <c r="CV17" s="160">
        <f>'qtrP&amp;L'!$CY11</f>
        <v>7.3697105313155431</v>
      </c>
      <c r="CW17" s="6"/>
      <c r="CX17" s="74">
        <v>680.7</v>
      </c>
      <c r="CY17" s="159">
        <f>(CX17/CT17-1)*100</f>
        <v>-33.414848870194646</v>
      </c>
      <c r="CZ17" s="160">
        <f>'qtrP&amp;L'!DC11</f>
        <v>6.4551874367881013</v>
      </c>
      <c r="DA17" s="6"/>
      <c r="DB17" s="74">
        <v>715.3</v>
      </c>
      <c r="DC17" s="159">
        <f>(DB17/CX17-1)*100</f>
        <v>5.0830027912442954</v>
      </c>
      <c r="DD17" s="160">
        <f>'qtrP&amp;L'!DG11</f>
        <v>7.0388502784797469</v>
      </c>
      <c r="DE17" s="6"/>
      <c r="DF17" s="74">
        <v>751.3</v>
      </c>
      <c r="DG17" s="159">
        <f>(DF17/DB17-1)*100</f>
        <v>5.0328533482454807</v>
      </c>
      <c r="DH17" s="160">
        <f>'qtrP&amp;L'!DK11</f>
        <v>6.0345572403535108</v>
      </c>
      <c r="DI17" s="6"/>
      <c r="DJ17" s="74"/>
      <c r="DK17" s="159"/>
      <c r="DL17" s="160"/>
    </row>
    <row r="18" spans="1:116">
      <c r="A18" s="6" t="str">
        <f>$A$12</f>
        <v>3Q</v>
      </c>
      <c r="B18" s="6" t="str">
        <f>$B$12</f>
        <v>Oct</v>
      </c>
      <c r="C18" s="6"/>
      <c r="D18" s="74">
        <v>37.848999999999997</v>
      </c>
      <c r="E18" s="17"/>
      <c r="F18" s="74">
        <v>37.514000000000003</v>
      </c>
      <c r="G18" s="13">
        <f>(F18/D18-1)*100</f>
        <v>-0.88509603952546811</v>
      </c>
      <c r="H18" s="21">
        <f>H$12</f>
        <v>9.1781479302764701</v>
      </c>
      <c r="I18" s="54"/>
      <c r="J18" s="74">
        <v>42.984999999999999</v>
      </c>
      <c r="K18" s="13">
        <f>(J18/F18-1)*100</f>
        <v>14.583888681558864</v>
      </c>
      <c r="L18" s="21">
        <f>L$12</f>
        <v>18.978148763096069</v>
      </c>
      <c r="M18" s="54"/>
      <c r="N18" s="74">
        <v>50.847000000000001</v>
      </c>
      <c r="O18" s="13">
        <f>(N18/J18-1)*100</f>
        <v>18.290101198092358</v>
      </c>
      <c r="P18" s="21">
        <f>P$12</f>
        <v>-10.268306169826346</v>
      </c>
      <c r="Q18" s="54"/>
      <c r="R18" s="74">
        <f>65.297+24.426+11.282</f>
        <v>101.005</v>
      </c>
      <c r="S18" s="13">
        <f>(R18/N18-1)*100</f>
        <v>98.644954471256895</v>
      </c>
      <c r="T18" s="21">
        <f>T$12</f>
        <v>6.7334880131960428</v>
      </c>
      <c r="U18" s="54"/>
      <c r="V18" s="74">
        <f>135.901+31.367</f>
        <v>167.268</v>
      </c>
      <c r="W18" s="13">
        <f>(V18/R18-1)*100</f>
        <v>65.603682985990801</v>
      </c>
      <c r="X18" s="21">
        <f>X$12</f>
        <v>7.162419601494685</v>
      </c>
      <c r="Y18" s="54"/>
      <c r="Z18" s="74">
        <f>90.695+19.054+116.009</f>
        <v>225.75799999999998</v>
      </c>
      <c r="AA18" s="13">
        <f>(Z18/V18-1)*100</f>
        <v>34.967836047540459</v>
      </c>
      <c r="AB18" s="21">
        <f>AB$12</f>
        <v>100.00011611515838</v>
      </c>
      <c r="AC18" s="54"/>
      <c r="AD18" s="74">
        <f>110.117+16.859</f>
        <v>126.976</v>
      </c>
      <c r="AE18" s="13">
        <f>(AD18/Z18-1)*100</f>
        <v>-43.755703009417161</v>
      </c>
      <c r="AF18" s="21">
        <f>AF$12</f>
        <v>9.5951124835914836</v>
      </c>
      <c r="AG18" s="54"/>
      <c r="AH18" s="74">
        <f>104.392+58.337</f>
        <v>162.72899999999998</v>
      </c>
      <c r="AI18" s="13">
        <f>(AH18/AD18-1)*100</f>
        <v>28.157289566532249</v>
      </c>
      <c r="AJ18" s="21">
        <f>AJ$12</f>
        <v>6.1347207021462014</v>
      </c>
      <c r="AK18" s="54"/>
      <c r="AL18" s="74">
        <f>60.725+75.001</f>
        <v>135.726</v>
      </c>
      <c r="AM18" s="13">
        <f>(AL18/AH18-1)*100</f>
        <v>-16.593846210570938</v>
      </c>
      <c r="AN18" s="21">
        <f>AN$12</f>
        <v>11.557307376130721</v>
      </c>
      <c r="AO18" s="6"/>
      <c r="AP18" s="74">
        <f>70.719+47.923</f>
        <v>118.642</v>
      </c>
      <c r="AQ18" s="13">
        <f>(AP18/AL18-1)*100</f>
        <v>-12.587124058765454</v>
      </c>
      <c r="AR18" s="21">
        <f>AR$12</f>
        <v>10.127585284292895</v>
      </c>
      <c r="AS18" s="6"/>
      <c r="AT18" s="74">
        <f>94.13+74.563+31.997</f>
        <v>200.69</v>
      </c>
      <c r="AU18" s="13">
        <f>(AT18/AP18-1)*100</f>
        <v>69.155948146524835</v>
      </c>
      <c r="AV18" s="21">
        <f>AV$12</f>
        <v>11.390133545352633</v>
      </c>
      <c r="AW18" s="6"/>
      <c r="AX18" s="92">
        <f>94.724+106.597+14.136</f>
        <v>215.45699999999999</v>
      </c>
      <c r="AY18" s="13">
        <f>(AX18/AT18-1)*100</f>
        <v>7.3581145049578911</v>
      </c>
      <c r="AZ18" s="21">
        <f>AZ$12</f>
        <v>11.057860819055154</v>
      </c>
      <c r="BA18" s="6"/>
      <c r="BB18" s="74">
        <f>243.6+12.4</f>
        <v>256</v>
      </c>
      <c r="BC18" s="13">
        <f>(BB18/AX18-1)*100</f>
        <v>18.817211787038723</v>
      </c>
      <c r="BD18" s="21">
        <f>BD$12</f>
        <v>11.248197835760854</v>
      </c>
      <c r="BE18" s="6"/>
      <c r="BF18" s="74">
        <v>338.5</v>
      </c>
      <c r="BG18" s="13">
        <f>(BF18/BB18-1)*100</f>
        <v>32.2265625</v>
      </c>
      <c r="BH18" s="21">
        <f>BH$12</f>
        <v>12.690895693872562</v>
      </c>
      <c r="BI18" s="6"/>
      <c r="BJ18" s="74">
        <f>395.8+5.9</f>
        <v>401.7</v>
      </c>
      <c r="BK18" s="13">
        <f>(BJ18/BF18-1)*100</f>
        <v>18.670605612998514</v>
      </c>
      <c r="BL18" s="21">
        <f>BL$12</f>
        <v>5.8826672953750547</v>
      </c>
      <c r="BM18" s="6"/>
      <c r="BN18" s="74">
        <f>335.4+16.3</f>
        <v>351.7</v>
      </c>
      <c r="BO18" s="13">
        <f>(BN18/BJ18-1)*100</f>
        <v>-12.447099825740604</v>
      </c>
      <c r="BP18" s="21">
        <f>BP$12</f>
        <v>10.664037218029488</v>
      </c>
      <c r="BQ18" s="6"/>
      <c r="BR18" s="74">
        <f>436.4+96.7</f>
        <v>533.1</v>
      </c>
      <c r="BS18" s="13">
        <f>(BR18/BN18-1)*100</f>
        <v>51.578049473983526</v>
      </c>
      <c r="BT18" s="21">
        <f>BT$12</f>
        <v>4.1533057765323456</v>
      </c>
      <c r="BU18" s="6"/>
      <c r="BV18" s="74">
        <f>498+97.7</f>
        <v>595.70000000000005</v>
      </c>
      <c r="BW18" s="13">
        <f>(BV18/BR18-1)*100</f>
        <v>11.742637403864187</v>
      </c>
      <c r="BX18" s="21">
        <f>BX$12</f>
        <v>2.2068732213454512</v>
      </c>
      <c r="BY18" s="6"/>
      <c r="BZ18" s="74">
        <f>499.6+117.8</f>
        <v>617.4</v>
      </c>
      <c r="CA18" s="13">
        <f>(BZ18/BV18-1)*100</f>
        <v>3.6427732079905795</v>
      </c>
      <c r="CB18" s="21">
        <f>CB$12</f>
        <v>10.152535004504859</v>
      </c>
      <c r="CC18" s="6"/>
      <c r="CD18" s="74">
        <f>519.7+34.9+130</f>
        <v>684.6</v>
      </c>
      <c r="CE18" s="159">
        <f>(CD18/BZ18-1)*100</f>
        <v>10.884353741496611</v>
      </c>
      <c r="CF18" s="160">
        <f>CF12</f>
        <v>5.355650944738044</v>
      </c>
      <c r="CG18" s="6"/>
      <c r="CH18" s="74">
        <f>71.7+602.3+81.2</f>
        <v>755.2</v>
      </c>
      <c r="CI18" s="159">
        <f>(CH18/CD18-1)*100</f>
        <v>10.31259129418638</v>
      </c>
      <c r="CJ18" s="160">
        <f>CJ12</f>
        <v>4.8369236426560436</v>
      </c>
      <c r="CK18" s="6"/>
      <c r="CL18" s="74">
        <f>470+84.6+201</f>
        <v>755.6</v>
      </c>
      <c r="CM18" s="159">
        <f>(CL18/CH18-1)*100</f>
        <v>5.2966101694917889E-2</v>
      </c>
      <c r="CN18" s="160">
        <f>+CN12</f>
        <v>10.664100637859208</v>
      </c>
      <c r="CO18" s="6"/>
      <c r="CP18" s="74">
        <f>251.3+595.9+102.4</f>
        <v>949.6</v>
      </c>
      <c r="CQ18" s="159">
        <f>(CP18/CL18-1)*100</f>
        <v>25.674960296453154</v>
      </c>
      <c r="CR18" s="160">
        <f>'qtrP&amp;L'!$CU12</f>
        <v>8.9061105649070669</v>
      </c>
      <c r="CS18" s="6"/>
      <c r="CT18" s="74">
        <f>277.2+642.2+123</f>
        <v>1042.4000000000001</v>
      </c>
      <c r="CU18" s="159">
        <f>(CT18/CP18-1)*100</f>
        <v>9.7725358045492872</v>
      </c>
      <c r="CV18" s="160">
        <f>'qtrP&amp;L'!$CY12</f>
        <v>5.5026757851328156</v>
      </c>
      <c r="CW18" s="6"/>
      <c r="CX18" s="165">
        <v>662.3</v>
      </c>
      <c r="CY18" s="159">
        <f>(CX18/CT18-1)*100</f>
        <v>-36.463929393706842</v>
      </c>
      <c r="CZ18" s="160">
        <f>'qtrP&amp;L'!DC12</f>
        <v>5.2596460580179416</v>
      </c>
      <c r="DA18" s="6"/>
      <c r="DB18" s="165">
        <v>731.8</v>
      </c>
      <c r="DC18" s="159">
        <f>(DB18/CX18-1)*100</f>
        <v>10.493733957421103</v>
      </c>
      <c r="DD18" s="160">
        <f>'qtrP&amp;L'!DG12</f>
        <v>6.9412955060911274</v>
      </c>
      <c r="DE18" s="6"/>
      <c r="DF18" s="165">
        <v>788.3</v>
      </c>
      <c r="DG18" s="159">
        <f>(DF18/DB18-1)*100</f>
        <v>7.7206887127630575</v>
      </c>
      <c r="DH18" s="160">
        <f>'qtrP&amp;L'!DK12</f>
        <v>5.6747431886004396</v>
      </c>
      <c r="DI18" s="6"/>
      <c r="DJ18" s="165"/>
      <c r="DK18" s="159"/>
      <c r="DL18" s="160"/>
    </row>
    <row r="19" spans="1:116">
      <c r="A19" s="6" t="str">
        <f>$A$13</f>
        <v>4Q</v>
      </c>
      <c r="B19" s="6" t="str">
        <f>$B$13</f>
        <v>Jan</v>
      </c>
      <c r="C19" s="6"/>
      <c r="D19" s="74">
        <v>20.873999999999999</v>
      </c>
      <c r="E19" s="17"/>
      <c r="F19" s="74">
        <v>21.829000000000001</v>
      </c>
      <c r="G19" s="13">
        <f>(F19/D19-1)*100</f>
        <v>4.5750694644054901</v>
      </c>
      <c r="H19" s="21">
        <f>H$13</f>
        <v>11.98775456472967</v>
      </c>
      <c r="I19" s="54"/>
      <c r="J19" s="74">
        <v>24.120999999999999</v>
      </c>
      <c r="K19" s="13">
        <f>(J19/F19-1)*100</f>
        <v>10.499793852214934</v>
      </c>
      <c r="L19" s="21">
        <f>L$13</f>
        <v>24.748331169919279</v>
      </c>
      <c r="M19" s="54"/>
      <c r="N19" s="74">
        <v>30.638999999999999</v>
      </c>
      <c r="O19" s="13">
        <f>(N19/J19-1)*100</f>
        <v>27.02209692798807</v>
      </c>
      <c r="P19" s="21">
        <f>P$13</f>
        <v>-16.200548335196206</v>
      </c>
      <c r="Q19" s="54"/>
      <c r="R19" s="74">
        <f>41.749+22.881+10.731</f>
        <v>75.36099999999999</v>
      </c>
      <c r="S19" s="13">
        <f>(R19/N19-1)*100</f>
        <v>145.96429387382091</v>
      </c>
      <c r="T19" s="21">
        <f>T$13</f>
        <v>8.6953349107726119</v>
      </c>
      <c r="U19" s="54"/>
      <c r="V19" s="74">
        <f>55.144+16.406+76.287</f>
        <v>147.83699999999999</v>
      </c>
      <c r="W19" s="13">
        <f>(V19/R19-1)*100</f>
        <v>96.171759928875701</v>
      </c>
      <c r="X19" s="21">
        <f>X$13</f>
        <v>80.350148518174905</v>
      </c>
      <c r="Y19" s="54"/>
      <c r="Z19" s="74">
        <f>57.275+16.379+54.451</f>
        <v>128.10499999999999</v>
      </c>
      <c r="AA19" s="13">
        <f>(Z19/V19-1)*100</f>
        <v>-13.347132314643828</v>
      </c>
      <c r="AB19" s="21">
        <f>AB$13</f>
        <v>18.778829331577505</v>
      </c>
      <c r="AC19" s="54"/>
      <c r="AD19" s="74">
        <f>60.735+27.357</f>
        <v>88.091999999999999</v>
      </c>
      <c r="AE19" s="13">
        <f>(AD19/Z19-1)*100</f>
        <v>-31.23453417118769</v>
      </c>
      <c r="AF19" s="21">
        <f>AF$13</f>
        <v>15.226190934895145</v>
      </c>
      <c r="AG19" s="54"/>
      <c r="AH19" s="74">
        <f>67.345+28.448</f>
        <v>95.793000000000006</v>
      </c>
      <c r="AI19" s="13">
        <f>(AH19/AD19-1)*100</f>
        <v>8.7419970031330951</v>
      </c>
      <c r="AJ19" s="21">
        <f>AJ$13</f>
        <v>3.6160704532494092</v>
      </c>
      <c r="AK19" s="54"/>
      <c r="AL19" s="74">
        <f>55.461+43.758</f>
        <v>99.218999999999994</v>
      </c>
      <c r="AM19" s="13">
        <f>(AL19/AH19-1)*100</f>
        <v>3.5764617456390146</v>
      </c>
      <c r="AN19" s="21">
        <f>AN$13</f>
        <v>8.7344316922208343</v>
      </c>
      <c r="AO19" s="6"/>
      <c r="AP19" s="74">
        <f>61.845+74.69</f>
        <v>136.535</v>
      </c>
      <c r="AQ19" s="13">
        <f>(AP19/AL19-1)*100</f>
        <v>37.609732006974482</v>
      </c>
      <c r="AR19" s="21">
        <f>AR$13</f>
        <v>8.8790930993107651</v>
      </c>
      <c r="AS19" s="6"/>
      <c r="AT19" s="74">
        <f>69.209+84.962+12.003</f>
        <v>166.17399999999998</v>
      </c>
      <c r="AU19" s="13">
        <f>(AT19/AP19-1)*100</f>
        <v>21.707986963049763</v>
      </c>
      <c r="AV19" s="21">
        <f>AV$13</f>
        <v>16.62509245612538</v>
      </c>
      <c r="AW19" s="6"/>
      <c r="AX19" s="74">
        <f>75.515+100.284+8.961</f>
        <v>184.76000000000002</v>
      </c>
      <c r="AY19" s="13">
        <f>(AX19/AT19-1)*100</f>
        <v>11.184661860459544</v>
      </c>
      <c r="AZ19" s="21">
        <f>AZ$13</f>
        <v>9.2488512524651725</v>
      </c>
      <c r="BA19" s="6"/>
      <c r="BB19" s="74">
        <f>254.7+9</f>
        <v>263.7</v>
      </c>
      <c r="BC19" s="13">
        <f>(BB19/AX19-1)*100</f>
        <v>42.725698203074238</v>
      </c>
      <c r="BD19" s="21">
        <f>BD$13</f>
        <v>17.119362506885636</v>
      </c>
      <c r="BE19" s="6"/>
      <c r="BF19" s="74">
        <v>245.9</v>
      </c>
      <c r="BG19" s="13">
        <f>(BF19/BB19-1)*100</f>
        <v>-6.7500948047023108</v>
      </c>
      <c r="BH19" s="21">
        <f>BH$13</f>
        <v>5.4440803615162681</v>
      </c>
      <c r="BI19" s="6"/>
      <c r="BJ19" s="74">
        <f>140.747+158.624+9.246</f>
        <v>308.61699999999996</v>
      </c>
      <c r="BK19" s="13">
        <f>(BJ19/BF19-1)*100</f>
        <v>25.505083367222436</v>
      </c>
      <c r="BL19" s="21">
        <f>BL$13</f>
        <v>8.9445195304622693</v>
      </c>
      <c r="BM19" s="6"/>
      <c r="BN19" s="74">
        <f>274.3+35.8</f>
        <v>310.10000000000002</v>
      </c>
      <c r="BO19" s="13">
        <f>(BN19/BJ19-1)*100</f>
        <v>0.48053088455919379</v>
      </c>
      <c r="BP19" s="21">
        <f>BP$13</f>
        <v>8.0667010578358891</v>
      </c>
      <c r="BQ19" s="6"/>
      <c r="BR19" s="74">
        <f>358.8+163.5</f>
        <v>522.29999999999995</v>
      </c>
      <c r="BS19" s="13">
        <f>(BR19/BN19-1)*100</f>
        <v>68.429538858432721</v>
      </c>
      <c r="BT19" s="21">
        <f>BT$13</f>
        <v>5.7898723880317249</v>
      </c>
      <c r="BU19" s="6"/>
      <c r="BV19" s="74">
        <f>417.6+135.7</f>
        <v>553.29999999999995</v>
      </c>
      <c r="BW19" s="13">
        <f>(BV19/BR19-1)*100</f>
        <v>5.9352862339651535</v>
      </c>
      <c r="BX19" s="21">
        <f>BX$13</f>
        <v>-0.2197936302689607</v>
      </c>
      <c r="BY19" s="6"/>
      <c r="BZ19" s="74">
        <f>403.9+122.5</f>
        <v>526.4</v>
      </c>
      <c r="CA19" s="13">
        <f>(BZ19/BV19-1)*100</f>
        <v>-4.8617386589553497</v>
      </c>
      <c r="CB19" s="21">
        <f>CB$13</f>
        <v>10.440862263651196</v>
      </c>
      <c r="CC19" s="6"/>
      <c r="CD19" s="74">
        <f>449.8+66.1</f>
        <v>515.9</v>
      </c>
      <c r="CE19" s="159">
        <f>(CD19/BZ19-1)*100</f>
        <v>-1.9946808510638347</v>
      </c>
      <c r="CF19" s="160">
        <f>CF13</f>
        <v>1.8687772920619627</v>
      </c>
      <c r="CG19" s="6"/>
      <c r="CH19" s="74">
        <f>474.4+105.9</f>
        <v>580.29999999999995</v>
      </c>
      <c r="CI19" s="159">
        <f>(CH19/CD19-1)*100</f>
        <v>12.483039348710978</v>
      </c>
      <c r="CJ19" s="160">
        <f>CJ13</f>
        <v>10.854079709436192</v>
      </c>
      <c r="CK19" s="6"/>
      <c r="CL19" s="74">
        <f>553.3+96.2</f>
        <v>649.5</v>
      </c>
      <c r="CM19" s="159">
        <f>(CL19/CH19-1)*100</f>
        <v>11.924866448388771</v>
      </c>
      <c r="CN19" s="160">
        <f>+CN13</f>
        <v>15.113153112228495</v>
      </c>
      <c r="CO19" s="6"/>
      <c r="CP19" s="74">
        <f>555.5+101.6</f>
        <v>657.1</v>
      </c>
      <c r="CQ19" s="159">
        <f>(CP19/CL19-1)*100</f>
        <v>1.1701308698999213</v>
      </c>
      <c r="CR19" s="160">
        <f>'qtrP&amp;L'!$CU13</f>
        <v>1.1001430122475675</v>
      </c>
      <c r="CS19" s="6"/>
      <c r="CT19" s="165">
        <f>583.1+137.6</f>
        <v>720.7</v>
      </c>
      <c r="CU19" s="159">
        <f>(CT19/CP19-1)*100</f>
        <v>9.6788921016587981</v>
      </c>
      <c r="CV19" s="160">
        <f>'qtrP&amp;L'!$CZ13</f>
        <v>4</v>
      </c>
      <c r="CW19" s="6"/>
      <c r="CX19" s="165">
        <f>629.7</f>
        <v>629.70000000000005</v>
      </c>
      <c r="CY19" s="159">
        <f>(CX19/CT19-1)*100</f>
        <v>-12.626613015124189</v>
      </c>
      <c r="CZ19" s="160">
        <f>'qtrP&amp;L'!$CZ13</f>
        <v>4</v>
      </c>
      <c r="DA19" s="6"/>
      <c r="DB19" s="165">
        <v>632.79999999999995</v>
      </c>
      <c r="DC19" s="159">
        <f>(DB19/CX19-1)*100</f>
        <v>0.49229791964426894</v>
      </c>
      <c r="DD19" s="160">
        <f>'qtrP&amp;L'!DG13</f>
        <v>5.6412382177118525</v>
      </c>
      <c r="DE19" s="6"/>
      <c r="DF19" s="165">
        <v>1033.8</v>
      </c>
      <c r="DG19" s="159">
        <f>(DF19/DB19-1)*100</f>
        <v>63.36915297092289</v>
      </c>
      <c r="DH19" s="160">
        <f>'qtrP&amp;L'!DK13</f>
        <v>15.770264776453935</v>
      </c>
      <c r="DI19" s="6"/>
      <c r="DJ19" s="165"/>
      <c r="DK19" s="360"/>
      <c r="DL19" s="160"/>
    </row>
    <row r="20" spans="1:116">
      <c r="A20" s="6"/>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c r="BA20" s="6"/>
      <c r="BB20" s="6"/>
      <c r="BC20" s="6"/>
      <c r="BD20" s="6"/>
      <c r="BE20" s="6"/>
      <c r="BF20" s="6"/>
      <c r="BG20" s="6"/>
      <c r="BH20" s="6"/>
      <c r="BI20" s="6"/>
      <c r="BJ20" s="6"/>
      <c r="BK20" s="6"/>
      <c r="BL20" s="6"/>
      <c r="BM20" s="6"/>
      <c r="BN20" s="6"/>
      <c r="BO20" s="6"/>
      <c r="BP20" s="6"/>
      <c r="BQ20" s="6"/>
      <c r="BR20" s="6"/>
      <c r="BS20" s="6"/>
      <c r="BT20" s="6"/>
      <c r="BU20" s="6"/>
      <c r="BV20" s="6"/>
      <c r="BW20" s="6"/>
      <c r="BX20" s="6"/>
      <c r="BY20" s="6"/>
      <c r="BZ20" s="6"/>
      <c r="CA20" s="6"/>
      <c r="CB20" s="6"/>
      <c r="CC20" s="6"/>
      <c r="CD20" s="6"/>
      <c r="CE20" s="6"/>
      <c r="CF20" s="6"/>
      <c r="CG20" s="6"/>
      <c r="CH20" s="6"/>
      <c r="CI20" s="12"/>
      <c r="CJ20" s="6"/>
      <c r="CK20" s="6"/>
      <c r="CL20" s="6"/>
      <c r="CM20" s="12"/>
      <c r="CN20" s="6"/>
      <c r="CO20" s="6"/>
      <c r="CP20" s="87"/>
      <c r="CQ20" s="73"/>
      <c r="CR20" s="87"/>
      <c r="CS20" s="6"/>
      <c r="CT20" s="87"/>
      <c r="CU20" s="73"/>
      <c r="CV20" s="87"/>
      <c r="CW20" s="6"/>
      <c r="CX20" s="87"/>
      <c r="CY20" s="73"/>
      <c r="CZ20" s="87"/>
      <c r="DA20" s="6"/>
      <c r="DB20" s="87"/>
      <c r="DC20" s="73"/>
      <c r="DD20" s="87"/>
      <c r="DE20" s="6"/>
      <c r="DF20" s="87"/>
      <c r="DG20" s="73"/>
      <c r="DH20" s="87"/>
      <c r="DI20" s="6"/>
      <c r="DJ20" s="87"/>
      <c r="DK20" s="73"/>
      <c r="DL20" s="87"/>
    </row>
    <row r="21" spans="1:116">
      <c r="A21" s="66"/>
      <c r="B21" s="9"/>
      <c r="C21" s="6"/>
      <c r="D21" s="6"/>
      <c r="E21" s="6"/>
      <c r="F21" s="11"/>
      <c r="G21" s="11"/>
      <c r="H21" s="11"/>
      <c r="I21" s="11"/>
      <c r="J21" s="11"/>
      <c r="K21" s="11"/>
      <c r="L21" s="11"/>
      <c r="M21" s="11"/>
      <c r="N21" s="64"/>
      <c r="O21" s="11"/>
      <c r="P21" s="11"/>
      <c r="Q21" s="11"/>
      <c r="R21" s="11"/>
      <c r="S21" s="11"/>
      <c r="T21" s="11"/>
      <c r="U21" s="11"/>
      <c r="V21" s="11"/>
      <c r="W21" s="11"/>
      <c r="X21" s="11"/>
      <c r="Y21" s="11"/>
      <c r="Z21" s="11"/>
      <c r="AA21" s="11"/>
      <c r="AB21" s="11"/>
      <c r="AC21" s="11"/>
      <c r="AD21" s="64"/>
      <c r="AE21" s="11"/>
      <c r="AF21" s="11"/>
      <c r="AG21" s="11"/>
      <c r="AH21" s="11"/>
      <c r="AI21" s="11"/>
      <c r="AJ21" s="11"/>
      <c r="AK21" s="11"/>
      <c r="AL21" s="11"/>
      <c r="AM21" s="11"/>
      <c r="AN21" s="11"/>
      <c r="AO21" s="6"/>
      <c r="AP21" s="11"/>
      <c r="AQ21" s="11"/>
      <c r="AR21" s="11"/>
      <c r="AS21" s="6"/>
      <c r="AT21" s="11"/>
      <c r="AU21" s="11"/>
      <c r="AV21" s="11"/>
      <c r="AW21" s="6"/>
      <c r="AX21" s="11"/>
      <c r="AY21" s="11"/>
      <c r="AZ21" s="11"/>
      <c r="BA21" s="6"/>
      <c r="BB21" s="11"/>
      <c r="BC21" s="11"/>
      <c r="BD21" s="11"/>
      <c r="BE21" s="6"/>
      <c r="BF21" s="11"/>
      <c r="BG21" s="11"/>
      <c r="BH21" s="11"/>
      <c r="BI21" s="6"/>
      <c r="BJ21" s="11"/>
      <c r="BK21" s="11"/>
      <c r="BL21" s="11"/>
      <c r="BM21" s="6"/>
      <c r="BN21" s="11"/>
      <c r="BO21" s="11"/>
      <c r="BP21" s="11"/>
      <c r="BQ21" s="6"/>
      <c r="BS21" s="11"/>
      <c r="BT21" s="11"/>
      <c r="BU21" s="6"/>
      <c r="BV21" s="11"/>
      <c r="BW21" s="11"/>
      <c r="BX21" s="11"/>
      <c r="BY21" s="6"/>
      <c r="BZ21" s="11"/>
      <c r="CA21" s="11"/>
      <c r="CB21" s="11"/>
      <c r="CC21" s="6"/>
      <c r="CD21" s="11"/>
      <c r="CE21" s="11"/>
      <c r="CF21" s="11"/>
      <c r="CG21" s="6"/>
      <c r="CH21" s="66" t="s">
        <v>655</v>
      </c>
      <c r="CI21" s="59"/>
      <c r="CJ21" s="11"/>
      <c r="CK21" s="6"/>
      <c r="CL21" s="11"/>
      <c r="CM21" s="59"/>
      <c r="CN21" s="11"/>
      <c r="CO21" s="6"/>
      <c r="CP21" s="100"/>
      <c r="CQ21" s="123"/>
      <c r="CR21" s="100"/>
      <c r="CS21" s="6"/>
      <c r="CT21" s="100"/>
      <c r="CU21" s="123"/>
      <c r="CV21" s="100"/>
      <c r="CW21" s="6"/>
      <c r="CX21" s="100"/>
      <c r="CY21" s="123"/>
      <c r="CZ21" s="100"/>
      <c r="DA21" s="6"/>
      <c r="DB21" s="100"/>
      <c r="DC21" s="123"/>
      <c r="DD21" s="100"/>
      <c r="DE21" s="6"/>
      <c r="DF21" s="100"/>
      <c r="DG21" s="123"/>
      <c r="DH21" s="100"/>
      <c r="DI21" s="6"/>
      <c r="DJ21" s="100"/>
      <c r="DK21" s="123"/>
      <c r="DL21" s="100"/>
    </row>
    <row r="22" spans="1:116">
      <c r="A22" s="6" t="str">
        <f>$A$10</f>
        <v>1Q</v>
      </c>
      <c r="B22" s="6" t="str">
        <f>$B$10</f>
        <v>Apr</v>
      </c>
      <c r="C22" s="6"/>
      <c r="D22" s="68">
        <v>274.42700000000002</v>
      </c>
      <c r="E22" s="6"/>
      <c r="F22" s="68">
        <v>282.62099999999998</v>
      </c>
      <c r="G22" s="13">
        <f>(F22/D22-1)*100</f>
        <v>2.9858578055366181</v>
      </c>
      <c r="H22" s="21">
        <f>H$10</f>
        <v>17.427305126742819</v>
      </c>
      <c r="I22" s="54"/>
      <c r="J22" s="68">
        <v>359.08800000000002</v>
      </c>
      <c r="K22" s="13">
        <f>(J22/F22-1)*100</f>
        <v>27.056375853174419</v>
      </c>
      <c r="L22" s="21">
        <f>L$10</f>
        <v>11.212830955542174</v>
      </c>
      <c r="M22" s="54"/>
      <c r="N22" s="68">
        <v>392.83699999999999</v>
      </c>
      <c r="O22" s="13">
        <f>(N22/J22-1)*100</f>
        <v>9.398531836207269</v>
      </c>
      <c r="P22" s="21">
        <f>P$10</f>
        <v>-11.505849282421455</v>
      </c>
      <c r="Q22" s="54"/>
      <c r="R22" s="68">
        <v>400.09100000000001</v>
      </c>
      <c r="S22" s="13">
        <f>(R22/N22-1)*100</f>
        <v>1.8465674058197212</v>
      </c>
      <c r="T22" s="21">
        <f>T$10</f>
        <v>10.052885101222753</v>
      </c>
      <c r="U22" s="54"/>
      <c r="V22" s="68">
        <v>427.96100000000001</v>
      </c>
      <c r="W22" s="13">
        <f>(V22/R22-1)*100</f>
        <v>6.9659152542796532</v>
      </c>
      <c r="X22" s="21">
        <f>X$10</f>
        <v>9.2421812349638977</v>
      </c>
      <c r="Y22" s="54"/>
      <c r="Z22" s="68">
        <v>464.53800000000001</v>
      </c>
      <c r="AA22" s="13">
        <f>(Z22/V22-1)*100</f>
        <v>8.5468068352022808</v>
      </c>
      <c r="AB22" s="21">
        <f>AB$10</f>
        <v>106.2493433209259</v>
      </c>
      <c r="AC22" s="54"/>
      <c r="AD22" s="68">
        <v>713.69899999999996</v>
      </c>
      <c r="AE22" s="13">
        <f>(AD22/Z22-1)*100</f>
        <v>53.636301013049504</v>
      </c>
      <c r="AF22" s="21">
        <f>AF$10</f>
        <v>5.9706693238295028</v>
      </c>
      <c r="AG22" s="54"/>
      <c r="AH22" s="68">
        <v>739.88</v>
      </c>
      <c r="AI22" s="13">
        <f>(AH22/AD22-1)*100</f>
        <v>3.6683531853064055</v>
      </c>
      <c r="AJ22" s="21">
        <f>AJ$10</f>
        <v>12.408935038297585</v>
      </c>
      <c r="AK22" s="54"/>
      <c r="AL22" s="68">
        <v>771.73</v>
      </c>
      <c r="AM22" s="13">
        <f>(AL22/AH22-1)*100</f>
        <v>4.304752121965727</v>
      </c>
      <c r="AN22" s="21">
        <f>AN$10</f>
        <v>10.078871080679775</v>
      </c>
      <c r="AO22" s="6"/>
      <c r="AP22" s="68">
        <v>837.36199999999997</v>
      </c>
      <c r="AQ22" s="13">
        <f>(AP22/AL22-1)*100</f>
        <v>8.5045287859743635</v>
      </c>
      <c r="AR22" s="21">
        <f>AR$10</f>
        <v>9.2001786060234902</v>
      </c>
      <c r="AS22" s="6"/>
      <c r="AT22" s="68">
        <v>745.05</v>
      </c>
      <c r="AU22" s="13">
        <f>(AT22/AP22-1)*100</f>
        <v>-11.024144874021037</v>
      </c>
      <c r="AV22" s="21">
        <f>AV$10</f>
        <v>7.7215390424435926</v>
      </c>
      <c r="AW22" s="6"/>
      <c r="AX22" s="68">
        <v>858.21100000000001</v>
      </c>
      <c r="AY22" s="13">
        <f>(AX22/AT22-1)*100</f>
        <v>15.188376619018861</v>
      </c>
      <c r="AZ22" s="21">
        <f>AZ$10</f>
        <v>17.384863677096462</v>
      </c>
      <c r="BA22" s="6"/>
      <c r="BB22" s="68">
        <v>997.87400000000002</v>
      </c>
      <c r="BC22" s="13">
        <f>(BB22/AX22-1)*100</f>
        <v>16.273736878226906</v>
      </c>
      <c r="BD22" s="21">
        <f>BD$10</f>
        <v>4.6148703880087849</v>
      </c>
      <c r="BE22" s="6"/>
      <c r="BF22" s="68">
        <v>1083.982</v>
      </c>
      <c r="BG22" s="13">
        <f>(BF22/BB22-1)*100</f>
        <v>8.6291455634679224</v>
      </c>
      <c r="BH22" s="21">
        <f>BH$10</f>
        <v>20.225588579645404</v>
      </c>
      <c r="BI22" s="6"/>
      <c r="BJ22" s="68">
        <v>1328.9</v>
      </c>
      <c r="BK22" s="13">
        <f>(BJ22/BF22-1)*100</f>
        <v>22.594286620995561</v>
      </c>
      <c r="BL22" s="21">
        <f>BL$10</f>
        <v>8.9208607773290751</v>
      </c>
      <c r="BM22" s="6"/>
      <c r="BN22" s="68">
        <v>1450.9</v>
      </c>
      <c r="BO22" s="13">
        <f>(BN22/BJ22-1)*100</f>
        <v>9.1805252464444376</v>
      </c>
      <c r="BP22" s="21">
        <f>BP$10</f>
        <v>6.008658672501177</v>
      </c>
      <c r="BQ22" s="6"/>
      <c r="BR22" s="68">
        <v>1562</v>
      </c>
      <c r="BS22" s="13">
        <f>(BR22/BN22-1)*100</f>
        <v>7.6573161485974151</v>
      </c>
      <c r="BT22" s="21">
        <f>BT$10</f>
        <v>6.1175236150748047</v>
      </c>
      <c r="BU22" s="6"/>
      <c r="BV22" s="68">
        <v>1678.3</v>
      </c>
      <c r="BW22" s="13">
        <f>(BV22/BR22-1)*100</f>
        <v>7.4455825864276459</v>
      </c>
      <c r="BX22" s="21">
        <f>BX$10</f>
        <v>4.7582800825981764</v>
      </c>
      <c r="BY22" s="6"/>
      <c r="BZ22" s="68">
        <v>1551.4</v>
      </c>
      <c r="CA22" s="13">
        <f>(BZ22/BV22-1)*100</f>
        <v>-7.561222665792755</v>
      </c>
      <c r="CB22" s="21">
        <f>CB$10</f>
        <v>1.1773754489021293</v>
      </c>
      <c r="CC22" s="6"/>
      <c r="CD22" s="158">
        <v>1685</v>
      </c>
      <c r="CE22" s="159">
        <f>(CD22/BZ22-1)*100</f>
        <v>8.6115766404537766</v>
      </c>
      <c r="CF22" s="160">
        <f>CF$10</f>
        <v>15.210884878683316</v>
      </c>
      <c r="CG22" s="6"/>
      <c r="CH22" s="158">
        <v>1786.4</v>
      </c>
      <c r="CI22" s="159">
        <f>(CH22/CD22-1)*100</f>
        <v>6.0178041543026861</v>
      </c>
      <c r="CJ22" s="160">
        <f>CJ16</f>
        <v>3.8776925929026707</v>
      </c>
      <c r="CK22" s="6"/>
      <c r="CL22" s="158">
        <v>1757.9</v>
      </c>
      <c r="CM22" s="159">
        <f>(CL22/CH22-1)*100</f>
        <v>-1.5953873712494349</v>
      </c>
      <c r="CN22" s="160">
        <f>+CN16</f>
        <v>11.264873636219551</v>
      </c>
      <c r="CO22" s="6"/>
      <c r="CP22" s="165">
        <v>1846.6</v>
      </c>
      <c r="CQ22" s="159">
        <f>(CP22/CL22-1)*100</f>
        <v>5.0457932760680224</v>
      </c>
      <c r="CR22" s="160">
        <f>'qtrP&amp;L'!$CU10</f>
        <v>6.7526249179470588</v>
      </c>
      <c r="CS22" s="6"/>
      <c r="CT22" s="165">
        <v>1956.4</v>
      </c>
      <c r="CU22" s="159">
        <f>(CT22/CP22-1)*100</f>
        <v>5.9460630347666132</v>
      </c>
      <c r="CV22" s="160">
        <f>'qtrP&amp;L'!$CY10</f>
        <v>4.8721494362568007</v>
      </c>
      <c r="CW22" s="6"/>
      <c r="CX22" s="165">
        <v>2153.3000000000002</v>
      </c>
      <c r="CY22" s="159">
        <f>(CX22/CT22-1)*100</f>
        <v>10.064404007360462</v>
      </c>
      <c r="CZ22" s="160">
        <f>'qtrP&amp;L'!$DC10</f>
        <v>5.7687697884019729</v>
      </c>
      <c r="DA22" s="6"/>
      <c r="DB22" s="165">
        <v>2136.6999999999998</v>
      </c>
      <c r="DC22" s="159">
        <f>(DB22/CX22-1)*100</f>
        <v>-0.77090976640507014</v>
      </c>
      <c r="DD22" s="160">
        <f>'qtrP&amp;L'!$DC10</f>
        <v>5.7687697884019729</v>
      </c>
      <c r="DE22" s="6"/>
      <c r="DF22" s="165">
        <v>2174.6999999999998</v>
      </c>
      <c r="DG22" s="159">
        <f>(DF22/DB22-1)*100</f>
        <v>1.7784433940188249</v>
      </c>
      <c r="DH22" s="160">
        <f>'qtrP&amp;L'!$DC10</f>
        <v>5.7687697884019729</v>
      </c>
      <c r="DI22" s="6"/>
      <c r="DJ22" s="165"/>
      <c r="DK22" s="159"/>
      <c r="DL22" s="160"/>
    </row>
    <row r="23" spans="1:116">
      <c r="A23" s="6" t="str">
        <f>$A$11</f>
        <v>2Q</v>
      </c>
      <c r="B23" s="6" t="str">
        <f>$B$11</f>
        <v>Jul</v>
      </c>
      <c r="C23" s="6"/>
      <c r="D23" s="74">
        <v>266.08999999999997</v>
      </c>
      <c r="E23" s="54"/>
      <c r="F23" s="74">
        <v>295.55399999999997</v>
      </c>
      <c r="G23" s="13">
        <f>(F23/D23-1)*100</f>
        <v>11.072945244090349</v>
      </c>
      <c r="H23" s="21">
        <f>H$11</f>
        <v>13.452522358859698</v>
      </c>
      <c r="I23" s="54"/>
      <c r="J23" s="74">
        <v>350.428</v>
      </c>
      <c r="K23" s="13">
        <f>(J23/F23-1)*100</f>
        <v>18.566488695805173</v>
      </c>
      <c r="L23" s="21">
        <f>L$11</f>
        <v>16.032351387928713</v>
      </c>
      <c r="M23" s="54"/>
      <c r="N23" s="74">
        <v>409.755</v>
      </c>
      <c r="O23" s="13">
        <f>(N23/J23-1)*100</f>
        <v>16.929868617804523</v>
      </c>
      <c r="P23" s="21">
        <f>P$11</f>
        <v>-13.826427572443478</v>
      </c>
      <c r="Q23" s="54"/>
      <c r="R23" s="74">
        <f>392.948</f>
        <v>392.94799999999998</v>
      </c>
      <c r="S23" s="13">
        <f>(R23/N23-1)*100</f>
        <v>-4.1017193200815205</v>
      </c>
      <c r="T23" s="21">
        <f>T$11</f>
        <v>6.2249104204809669</v>
      </c>
      <c r="U23" s="54"/>
      <c r="V23" s="74">
        <f>396.133</f>
        <v>396.13299999999998</v>
      </c>
      <c r="W23" s="13">
        <f>(V23/R23-1)*100</f>
        <v>0.81053981697323252</v>
      </c>
      <c r="X23" s="21">
        <f>X$11</f>
        <v>10.363717277259221</v>
      </c>
      <c r="Y23" s="54"/>
      <c r="Z23" s="74">
        <v>579.61599999999999</v>
      </c>
      <c r="AA23" s="13">
        <f>(Z23/V23-1)*100</f>
        <v>46.318534431617664</v>
      </c>
      <c r="AB23" s="21">
        <f>AB$11</f>
        <v>103.35893283316454</v>
      </c>
      <c r="AC23" s="54"/>
      <c r="AD23" s="74">
        <v>576.96400000000006</v>
      </c>
      <c r="AE23" s="13">
        <f>(AD23/Z23-1)*100</f>
        <v>-0.45754430519515665</v>
      </c>
      <c r="AF23" s="21">
        <f>AF$11</f>
        <v>9.6956000255771215</v>
      </c>
      <c r="AG23" s="54"/>
      <c r="AH23" s="74">
        <v>639.18799999999999</v>
      </c>
      <c r="AI23" s="13">
        <f>(AH23/AD23-1)*100</f>
        <v>10.784728336603312</v>
      </c>
      <c r="AJ23" s="21">
        <f>AJ$11</f>
        <v>9.9681341896828091</v>
      </c>
      <c r="AK23" s="54"/>
      <c r="AL23" s="74">
        <v>740.94100000000003</v>
      </c>
      <c r="AM23" s="13">
        <f>(AL23/AH23-1)*100</f>
        <v>15.919103612708629</v>
      </c>
      <c r="AN23" s="21">
        <f>AN$11</f>
        <v>12.59233439776235</v>
      </c>
      <c r="AO23" s="6"/>
      <c r="AP23" s="74">
        <v>767.00800000000004</v>
      </c>
      <c r="AQ23" s="13">
        <f>(AP23/AL23-1)*100</f>
        <v>3.5180938833186515</v>
      </c>
      <c r="AR23" s="21">
        <f>AR$11</f>
        <v>7.386305544234939</v>
      </c>
      <c r="AS23" s="6"/>
      <c r="AT23" s="74">
        <v>898.67499999999995</v>
      </c>
      <c r="AU23" s="13">
        <f>(AT23/AP23-1)*100</f>
        <v>17.166313780299536</v>
      </c>
      <c r="AV23" s="21">
        <f>AV$11</f>
        <v>10.160775918950439</v>
      </c>
      <c r="AW23" s="6"/>
      <c r="AX23" s="74">
        <v>962.94500000000005</v>
      </c>
      <c r="AY23" s="13">
        <f>(AX23/AT23-1)*100</f>
        <v>7.1516399143183085</v>
      </c>
      <c r="AZ23" s="21">
        <f>AZ$11</f>
        <v>11.153905215503013</v>
      </c>
      <c r="BA23" s="6"/>
      <c r="BB23" s="74">
        <v>1040.425</v>
      </c>
      <c r="BC23" s="13">
        <f>(BB23/AX23-1)*100</f>
        <v>8.0461500916459308</v>
      </c>
      <c r="BD23" s="21">
        <f>BD$11</f>
        <v>10.165857229188656</v>
      </c>
      <c r="BE23" s="6"/>
      <c r="BF23" s="74">
        <v>1142</v>
      </c>
      <c r="BG23" s="13">
        <f>(BF23/BB23-1)*100</f>
        <v>9.7628373020640637</v>
      </c>
      <c r="BH23" s="21">
        <f>BH$11</f>
        <v>12.084069773854743</v>
      </c>
      <c r="BI23" s="6"/>
      <c r="BJ23" s="74">
        <v>1518.95</v>
      </c>
      <c r="BK23" s="13">
        <f>(BJ23/BF23-1)*100</f>
        <v>33.007880910683006</v>
      </c>
      <c r="BL23" s="21">
        <f>BL$11</f>
        <v>6.8412233652296983</v>
      </c>
      <c r="BM23" s="6"/>
      <c r="BN23" s="74">
        <v>1561.5250000000001</v>
      </c>
      <c r="BO23" s="13">
        <f>(BN23/BJ23-1)*100</f>
        <v>2.8029230718588538</v>
      </c>
      <c r="BP23" s="21">
        <f>BP$11</f>
        <v>8.6569243497431216</v>
      </c>
      <c r="BQ23" s="6"/>
      <c r="BR23" s="74">
        <v>1714.7</v>
      </c>
      <c r="BS23" s="13">
        <f>(BR23/BN23-1)*100</f>
        <v>9.8093210163141755</v>
      </c>
      <c r="BT23" s="21">
        <f>BT$11</f>
        <v>8.821117053712225</v>
      </c>
      <c r="BU23" s="6"/>
      <c r="BV23" s="74">
        <v>1746.1</v>
      </c>
      <c r="BW23" s="13">
        <f>(BV23/BR23-1)*100</f>
        <v>1.8312241208374491</v>
      </c>
      <c r="BX23" s="21">
        <f>BX$11</f>
        <v>5.5896207495981232</v>
      </c>
      <c r="BY23" s="6"/>
      <c r="BZ23" s="74">
        <v>1740.4</v>
      </c>
      <c r="CA23" s="13">
        <f>(BZ23/BV23-1)*100</f>
        <v>-0.32644178454841466</v>
      </c>
      <c r="CB23" s="21">
        <f>CB$11</f>
        <v>4.2405851929839145</v>
      </c>
      <c r="CC23" s="6"/>
      <c r="CD23" s="165">
        <v>1847.5</v>
      </c>
      <c r="CE23" s="159">
        <f>(CD23/BZ23-1)*100</f>
        <v>6.1537577568375079</v>
      </c>
      <c r="CF23" s="160">
        <f>CF11</f>
        <v>6.751977028887457</v>
      </c>
      <c r="CG23" s="6"/>
      <c r="CH23" s="165">
        <v>1922.3</v>
      </c>
      <c r="CI23" s="159">
        <f>(CH23/CD23-1)*100</f>
        <v>4.0487144790257057</v>
      </c>
      <c r="CJ23" s="160">
        <f>CJ17</f>
        <v>7.8963631197613404</v>
      </c>
      <c r="CK23" s="6"/>
      <c r="CL23" s="165">
        <v>1863.1</v>
      </c>
      <c r="CM23" s="159">
        <f>(CL23/CH23-1)*100</f>
        <v>-3.0796441762472093</v>
      </c>
      <c r="CN23" s="160">
        <f>+CN17</f>
        <v>8.7282568503333824</v>
      </c>
      <c r="CO23" s="6"/>
      <c r="CP23" s="165">
        <v>1940.3</v>
      </c>
      <c r="CQ23" s="159">
        <f>(CP23/CL23-1)*100</f>
        <v>4.1436315817723113</v>
      </c>
      <c r="CR23" s="160">
        <f>'qtrP&amp;L'!$CU11</f>
        <v>8.3569097539861303</v>
      </c>
      <c r="CS23" s="6"/>
      <c r="CT23" s="165">
        <v>2148.4</v>
      </c>
      <c r="CU23" s="159">
        <f>(CT23/CP23-1)*100</f>
        <v>10.725145596041852</v>
      </c>
      <c r="CV23" s="160">
        <f>'qtrP&amp;L'!$CY11</f>
        <v>7.3697105313155431</v>
      </c>
      <c r="CW23" s="6"/>
      <c r="CX23" s="165">
        <v>2259</v>
      </c>
      <c r="CY23" s="159">
        <f>(CX23/CT23-1)*100</f>
        <v>5.1480171290262389</v>
      </c>
      <c r="CZ23" s="160">
        <f>'qtrP&amp;L'!$DC11</f>
        <v>6.4551874367881013</v>
      </c>
      <c r="DA23" s="6"/>
      <c r="DB23" s="165">
        <v>2258.3000000000002</v>
      </c>
      <c r="DC23" s="159">
        <f>(DB23/CX23-1)*100</f>
        <v>-3.0987162461260098E-2</v>
      </c>
      <c r="DD23" s="160">
        <f>'qtrP&amp;L'!$DC11</f>
        <v>6.4551874367881013</v>
      </c>
      <c r="DE23" s="6"/>
      <c r="DF23" s="165">
        <v>2346.5</v>
      </c>
      <c r="DG23" s="159">
        <f>(DF23/DB23-1)*100</f>
        <v>3.9055927024753023</v>
      </c>
      <c r="DH23" s="160">
        <f>'qtrP&amp;L'!$DC11</f>
        <v>6.4551874367881013</v>
      </c>
      <c r="DI23" s="6"/>
      <c r="DJ23" s="165"/>
      <c r="DK23" s="159"/>
      <c r="DL23" s="160"/>
    </row>
    <row r="24" spans="1:116">
      <c r="A24" s="6" t="str">
        <f>$A$12</f>
        <v>3Q</v>
      </c>
      <c r="B24" s="6" t="str">
        <f>$B$12</f>
        <v>Oct</v>
      </c>
      <c r="C24" s="6"/>
      <c r="D24" s="74">
        <v>303.87400000000002</v>
      </c>
      <c r="E24" s="54"/>
      <c r="F24" s="74">
        <v>316.02300000000002</v>
      </c>
      <c r="G24" s="13">
        <f>(F24/D24-1)*100</f>
        <v>3.9980386607607166</v>
      </c>
      <c r="H24" s="21">
        <f>H$12</f>
        <v>9.1781479302764701</v>
      </c>
      <c r="I24" s="54"/>
      <c r="J24" s="74">
        <v>355.43</v>
      </c>
      <c r="K24" s="13">
        <f>(J24/F24-1)*100</f>
        <v>12.469662018270821</v>
      </c>
      <c r="L24" s="21">
        <f>L$12</f>
        <v>18.978148763096069</v>
      </c>
      <c r="M24" s="54"/>
      <c r="N24" s="74">
        <v>421.286</v>
      </c>
      <c r="O24" s="13">
        <f>(N24/J24-1)*100</f>
        <v>18.528542891708643</v>
      </c>
      <c r="P24" s="21">
        <f>P$12</f>
        <v>-10.268306169826346</v>
      </c>
      <c r="Q24" s="54"/>
      <c r="R24" s="74">
        <v>452.964</v>
      </c>
      <c r="S24" s="13">
        <f>(R24/N24-1)*100</f>
        <v>7.5193573961631843</v>
      </c>
      <c r="T24" s="21">
        <f>T$12</f>
        <v>6.7334880131960428</v>
      </c>
      <c r="U24" s="54"/>
      <c r="V24" s="74">
        <v>407.77800000000002</v>
      </c>
      <c r="W24" s="13">
        <f>(V24/R24-1)*100</f>
        <v>-9.9756272021617516</v>
      </c>
      <c r="X24" s="21">
        <f>X$12</f>
        <v>7.162419601494685</v>
      </c>
      <c r="Y24" s="54"/>
      <c r="Z24" s="74">
        <v>616.20000000000005</v>
      </c>
      <c r="AA24" s="13">
        <f>(Z24/V24-1)*100</f>
        <v>51.111634271588954</v>
      </c>
      <c r="AB24" s="21">
        <f>AB$12</f>
        <v>100.00011611515838</v>
      </c>
      <c r="AC24" s="54"/>
      <c r="AD24" s="74">
        <v>646.90599999999995</v>
      </c>
      <c r="AE24" s="13">
        <f>(AD24/Z24-1)*100</f>
        <v>4.9831223628691745</v>
      </c>
      <c r="AF24" s="21">
        <f>AF$12</f>
        <v>9.5951124835914836</v>
      </c>
      <c r="AG24" s="54"/>
      <c r="AH24" s="74">
        <v>709.30200000000002</v>
      </c>
      <c r="AI24" s="13">
        <f>(AH24/AD24-1)*100</f>
        <v>9.64529622541761</v>
      </c>
      <c r="AJ24" s="21">
        <f>AJ$12</f>
        <v>6.1347207021462014</v>
      </c>
      <c r="AK24" s="54"/>
      <c r="AL24" s="74">
        <v>747.04300000000001</v>
      </c>
      <c r="AM24" s="13">
        <f>(AL24/AH24-1)*100</f>
        <v>5.3208647374461071</v>
      </c>
      <c r="AN24" s="21">
        <f>AN$12</f>
        <v>11.557307376130721</v>
      </c>
      <c r="AO24" s="6"/>
      <c r="AP24" s="74">
        <v>881.22400000000005</v>
      </c>
      <c r="AQ24" s="13">
        <f>(AP24/AL24-1)*100</f>
        <v>17.961616667313663</v>
      </c>
      <c r="AR24" s="21">
        <f>AR$12</f>
        <v>10.127585284292895</v>
      </c>
      <c r="AS24" s="6"/>
      <c r="AT24" s="74">
        <f>882.631</f>
        <v>882.63099999999997</v>
      </c>
      <c r="AU24" s="13">
        <f>(AT24/AP24-1)*100</f>
        <v>0.15966428513067843</v>
      </c>
      <c r="AV24" s="21">
        <f>AV$12</f>
        <v>11.390133545352633</v>
      </c>
      <c r="AW24" s="6"/>
      <c r="AX24" s="74">
        <f>984.473</f>
        <v>984.47299999999996</v>
      </c>
      <c r="AY24" s="13">
        <f>(AX24/AT24-1)*100</f>
        <v>11.538457180860394</v>
      </c>
      <c r="AZ24" s="21">
        <f>AZ$12</f>
        <v>11.057860819055154</v>
      </c>
      <c r="BA24" s="6"/>
      <c r="BB24" s="74">
        <v>1156.5</v>
      </c>
      <c r="BC24" s="13">
        <f>(BB24/AX24-1)*100</f>
        <v>17.474019094479985</v>
      </c>
      <c r="BD24" s="21">
        <f>BD$12</f>
        <v>11.248197835760854</v>
      </c>
      <c r="BE24" s="6"/>
      <c r="BF24" s="74">
        <v>1570</v>
      </c>
      <c r="BG24" s="13">
        <f>(BF24/BB24-1)*100</f>
        <v>35.75443147427584</v>
      </c>
      <c r="BH24" s="21">
        <f>BH$12</f>
        <v>12.690895693872562</v>
      </c>
      <c r="BI24" s="6"/>
      <c r="BJ24" s="74">
        <v>1473.8</v>
      </c>
      <c r="BK24" s="13">
        <f>(BJ24/BF24-1)*100</f>
        <v>-6.1273885350318524</v>
      </c>
      <c r="BL24" s="21">
        <f>BL$12</f>
        <v>5.8826672953750547</v>
      </c>
      <c r="BM24" s="6"/>
      <c r="BN24" s="74">
        <v>1717.1</v>
      </c>
      <c r="BO24" s="13">
        <f>(BN24/BJ24-1)*100</f>
        <v>16.508345772832133</v>
      </c>
      <c r="BP24" s="21">
        <f>BP$12</f>
        <v>10.664037218029488</v>
      </c>
      <c r="BQ24" s="6"/>
      <c r="BR24" s="74">
        <v>1819.1</v>
      </c>
      <c r="BS24" s="13">
        <f>(BR24/BN24-1)*100</f>
        <v>5.9402480927144508</v>
      </c>
      <c r="BT24" s="21">
        <f>BT$12</f>
        <v>4.1533057765323456</v>
      </c>
      <c r="BU24" s="6"/>
      <c r="BV24" s="74">
        <v>1758.2</v>
      </c>
      <c r="BW24" s="13">
        <f>(BV24/BR24-1)*100</f>
        <v>-3.3478093562750777</v>
      </c>
      <c r="BX24" s="21">
        <f>BX$12</f>
        <v>2.2068732213454512</v>
      </c>
      <c r="BY24" s="6"/>
      <c r="BZ24" s="74">
        <v>1838.6</v>
      </c>
      <c r="CA24" s="13">
        <f>(BZ24/BV24-1)*100</f>
        <v>4.5728586053918718</v>
      </c>
      <c r="CB24" s="21">
        <f>CB$12</f>
        <v>10.152535004504859</v>
      </c>
      <c r="CC24" s="6"/>
      <c r="CD24" s="74">
        <v>1974.3</v>
      </c>
      <c r="CE24" s="159">
        <f>(CD24/BZ24-1)*100</f>
        <v>7.3806156858479355</v>
      </c>
      <c r="CF24" s="160">
        <f>CF12</f>
        <v>5.355650944738044</v>
      </c>
      <c r="CG24" s="6"/>
      <c r="CH24" s="165">
        <v>2048.4</v>
      </c>
      <c r="CI24" s="159">
        <f>(CH24/CD24-1)*100</f>
        <v>3.753228992554325</v>
      </c>
      <c r="CJ24" s="160">
        <f>CJ18</f>
        <v>4.8369236426560436</v>
      </c>
      <c r="CK24" s="6"/>
      <c r="CL24" s="165">
        <v>2059.1999999999998</v>
      </c>
      <c r="CM24" s="159">
        <f>(CL24/CH24-1)*100</f>
        <v>0.52724077328645258</v>
      </c>
      <c r="CN24" s="160">
        <f>+CN18</f>
        <v>10.664100637859208</v>
      </c>
      <c r="CO24" s="6"/>
      <c r="CP24" s="165">
        <v>2346.4</v>
      </c>
      <c r="CQ24" s="159">
        <f>(CP24/CL24-1)*100</f>
        <v>13.947163947163954</v>
      </c>
      <c r="CR24" s="160">
        <f>'qtrP&amp;L'!$CU12</f>
        <v>8.9061105649070669</v>
      </c>
      <c r="CS24" s="6"/>
      <c r="CT24" s="165">
        <v>2554.4</v>
      </c>
      <c r="CU24" s="159">
        <f>(CT24/CP24-1)*100</f>
        <v>8.8646437095124533</v>
      </c>
      <c r="CV24" s="160">
        <f>'qtrP&amp;L'!$CY12</f>
        <v>5.5026757851328156</v>
      </c>
      <c r="CW24" s="6"/>
      <c r="CX24" s="165">
        <v>2696.6</v>
      </c>
      <c r="CY24" s="159">
        <f>(CX24/CT24-1)*100</f>
        <v>5.5668650172251644</v>
      </c>
      <c r="CZ24" s="160">
        <f>'qtrP&amp;L'!$DC12</f>
        <v>5.2596460580179416</v>
      </c>
      <c r="DA24" s="6"/>
      <c r="DB24" s="165">
        <v>2686.8</v>
      </c>
      <c r="DC24" s="159">
        <f>(DB24/CX24-1)*100</f>
        <v>-0.36342060372319684</v>
      </c>
      <c r="DD24" s="160">
        <f>'qtrP&amp;L'!$DC12</f>
        <v>5.2596460580179416</v>
      </c>
      <c r="DE24" s="6"/>
      <c r="DF24" s="165">
        <v>2986.4</v>
      </c>
      <c r="DG24" s="159">
        <f>(DF24/DB24-1)*100</f>
        <v>11.150811374125347</v>
      </c>
      <c r="DH24" s="160">
        <f>'qtrP&amp;L'!$DC12</f>
        <v>5.2596460580179416</v>
      </c>
      <c r="DI24" s="6"/>
      <c r="DJ24" s="165"/>
      <c r="DK24" s="159"/>
      <c r="DL24" s="160"/>
    </row>
    <row r="25" spans="1:116">
      <c r="A25" s="6" t="str">
        <f>$A$13</f>
        <v>4Q</v>
      </c>
      <c r="B25" s="6" t="str">
        <f>$B$13</f>
        <v>Jan</v>
      </c>
      <c r="C25" s="6"/>
      <c r="D25" s="74">
        <v>234.51499999999999</v>
      </c>
      <c r="E25" s="54"/>
      <c r="F25" s="74">
        <v>261.77699999999999</v>
      </c>
      <c r="G25" s="13">
        <f>(F25/D25-1)*100</f>
        <v>11.624842760591015</v>
      </c>
      <c r="H25" s="21">
        <f>H$13</f>
        <v>11.98775456472967</v>
      </c>
      <c r="I25" s="53"/>
      <c r="J25" s="74">
        <v>325.77800000000002</v>
      </c>
      <c r="K25" s="13">
        <f>(J25/F25-1)*100</f>
        <v>24.448671961249467</v>
      </c>
      <c r="L25" s="21">
        <f>L$13</f>
        <v>24.748331169919279</v>
      </c>
      <c r="M25" s="53"/>
      <c r="N25" s="74">
        <v>340.57799999999997</v>
      </c>
      <c r="O25" s="13">
        <f>(N25/J25-1)*100</f>
        <v>4.5429709802380591</v>
      </c>
      <c r="P25" s="21">
        <f>P$13</f>
        <v>-16.200548335196206</v>
      </c>
      <c r="Q25" s="53"/>
      <c r="R25" s="74">
        <v>415.86099999999999</v>
      </c>
      <c r="S25" s="13">
        <f>(R25/N25-1)*100</f>
        <v>22.104481205480099</v>
      </c>
      <c r="T25" s="21">
        <f>T$13</f>
        <v>8.6953349107726119</v>
      </c>
      <c r="U25" s="53"/>
      <c r="V25" s="74">
        <v>436.63400000000001</v>
      </c>
      <c r="W25" s="13">
        <f>(V25/R25-1)*100</f>
        <v>4.9951786774907969</v>
      </c>
      <c r="X25" s="21">
        <f>X$13</f>
        <v>80.350148518174905</v>
      </c>
      <c r="Y25" s="53"/>
      <c r="Z25" s="74">
        <v>533.94500000000005</v>
      </c>
      <c r="AA25" s="13">
        <f>(Z25/V25-1)*100</f>
        <v>22.286629076068287</v>
      </c>
      <c r="AB25" s="21">
        <f>AB$13</f>
        <v>18.778829331577505</v>
      </c>
      <c r="AC25" s="53"/>
      <c r="AD25" s="74">
        <v>582.79100000000005</v>
      </c>
      <c r="AE25" s="13">
        <f>(AD25/Z25-1)*100</f>
        <v>9.1481332346964539</v>
      </c>
      <c r="AF25" s="21">
        <f>AF$13</f>
        <v>15.226190934895145</v>
      </c>
      <c r="AG25" s="53"/>
      <c r="AH25" s="74">
        <v>617.15899999999999</v>
      </c>
      <c r="AI25" s="13">
        <f>(AH25/AD25-1)*100</f>
        <v>5.8971397979721507</v>
      </c>
      <c r="AJ25" s="21">
        <f>AJ$13</f>
        <v>3.6160704532494092</v>
      </c>
      <c r="AK25" s="53"/>
      <c r="AL25" s="74">
        <v>615.67100000000005</v>
      </c>
      <c r="AM25" s="13">
        <f>(AL25/AH25-1)*100</f>
        <v>-0.24110480443449989</v>
      </c>
      <c r="AN25" s="21">
        <f>AN$13</f>
        <v>8.7344316922208343</v>
      </c>
      <c r="AO25" s="6"/>
      <c r="AP25" s="74">
        <v>645.67200000000003</v>
      </c>
      <c r="AQ25" s="13">
        <f>(AP25/AL25-1)*100</f>
        <v>4.8728947765933395</v>
      </c>
      <c r="AR25" s="21">
        <f>AR$13</f>
        <v>8.8790930993107651</v>
      </c>
      <c r="AS25" s="6"/>
      <c r="AT25" s="74">
        <f>761.546</f>
        <v>761.54600000000005</v>
      </c>
      <c r="AU25" s="13">
        <f>(AT25/AP25-1)*100</f>
        <v>17.946263737625291</v>
      </c>
      <c r="AV25" s="21">
        <f>AV$13</f>
        <v>16.62509245612538</v>
      </c>
      <c r="AW25" s="6"/>
      <c r="AX25" s="74">
        <v>817.63300000000004</v>
      </c>
      <c r="AY25" s="13">
        <f>(AX25/AT25-1)*100</f>
        <v>7.3648866910206223</v>
      </c>
      <c r="AZ25" s="21">
        <f>AZ$13</f>
        <v>9.2488512524651725</v>
      </c>
      <c r="BA25" s="6"/>
      <c r="BB25" s="23">
        <v>960.4</v>
      </c>
      <c r="BC25" s="13">
        <f>(BB25/AX25-1)*100</f>
        <v>17.461012459135073</v>
      </c>
      <c r="BD25" s="21">
        <f>BD$13</f>
        <v>17.119362506885636</v>
      </c>
      <c r="BE25" s="6"/>
      <c r="BF25" s="74">
        <v>1276</v>
      </c>
      <c r="BG25" s="13">
        <f>(BF25/BB25-1)*100</f>
        <v>32.861307788421492</v>
      </c>
      <c r="BH25" s="21">
        <f>BH$13</f>
        <v>5.4440803615162681</v>
      </c>
      <c r="BI25" s="6"/>
      <c r="BJ25" s="74">
        <v>1313.472</v>
      </c>
      <c r="BK25" s="13">
        <f>(BJ25/BF25-1)*100</f>
        <v>2.9366771159874627</v>
      </c>
      <c r="BL25" s="21">
        <f>BL$13</f>
        <v>8.9445195304622693</v>
      </c>
      <c r="BM25" s="6"/>
      <c r="BN25" s="74">
        <v>1372.4</v>
      </c>
      <c r="BO25" s="13">
        <f>(BN25/BJ25-1)*100</f>
        <v>4.4864298591823948</v>
      </c>
      <c r="BP25" s="21">
        <f>BP$13</f>
        <v>8.0667010578358891</v>
      </c>
      <c r="BQ25" s="6"/>
      <c r="BR25" s="74">
        <v>1516.7</v>
      </c>
      <c r="BS25" s="13">
        <f>(BR25/BN25-1)*100</f>
        <v>10.514427280676175</v>
      </c>
      <c r="BT25" s="21">
        <f>BT$13</f>
        <v>5.7898723880317249</v>
      </c>
      <c r="BU25" s="6"/>
      <c r="BV25" s="74">
        <v>1276.0999999999999</v>
      </c>
      <c r="BW25" s="13">
        <f>(BV25/BR25-1)*100</f>
        <v>-15.863387617854563</v>
      </c>
      <c r="BX25" s="21">
        <f>BX$13</f>
        <v>-0.2197936302689607</v>
      </c>
      <c r="BY25" s="6"/>
      <c r="BZ25" s="74">
        <v>1507.9</v>
      </c>
      <c r="CA25" s="13">
        <f>(BZ25/BV25-1)*100</f>
        <v>18.164720633179243</v>
      </c>
      <c r="CB25" s="21">
        <f>CB$13</f>
        <v>10.440862263651196</v>
      </c>
      <c r="CC25" s="6"/>
      <c r="CD25" s="74">
        <v>1683.9</v>
      </c>
      <c r="CE25" s="159">
        <f>(CD25/BZ25-1)*100</f>
        <v>11.671861529279127</v>
      </c>
      <c r="CF25" s="160">
        <f>CF13</f>
        <v>1.8687772920619627</v>
      </c>
      <c r="CG25" s="6"/>
      <c r="CH25" s="74">
        <v>1645.3</v>
      </c>
      <c r="CI25" s="159">
        <f>(CH25/CD25-1)*100</f>
        <v>-2.2922976423778163</v>
      </c>
      <c r="CJ25" s="160">
        <f>CJ19</f>
        <v>10.854079709436192</v>
      </c>
      <c r="CK25" s="6"/>
      <c r="CL25" s="74">
        <v>1930.6</v>
      </c>
      <c r="CM25" s="159">
        <f>(CL25/CH25-1)*100</f>
        <v>17.340302680362242</v>
      </c>
      <c r="CN25" s="160">
        <f>+CN19</f>
        <v>15.113153112228495</v>
      </c>
      <c r="CO25" s="6"/>
      <c r="CP25" s="165">
        <v>1771.3</v>
      </c>
      <c r="CQ25" s="159">
        <f>(CP25/CL25-1)*100</f>
        <v>-8.2513208329016869</v>
      </c>
      <c r="CR25" s="160">
        <f>'qtrP&amp;L'!$CU13</f>
        <v>1.1001430122475675</v>
      </c>
      <c r="CS25" s="6"/>
      <c r="CT25" s="165">
        <v>2007.5</v>
      </c>
      <c r="CU25" s="159">
        <f>(CT25/CP25-1)*100</f>
        <v>13.334838818946547</v>
      </c>
      <c r="CV25" s="160">
        <f>'qtrP&amp;L'!$CZ13</f>
        <v>4</v>
      </c>
      <c r="CW25" s="6"/>
      <c r="CX25" s="165">
        <v>2203</v>
      </c>
      <c r="CY25" s="159">
        <f>(CX25/CT25-1)*100</f>
        <v>9.7384806973848104</v>
      </c>
      <c r="CZ25" s="160">
        <f>'qtrP&amp;L'!$CZ13</f>
        <v>4</v>
      </c>
      <c r="DA25" s="6"/>
      <c r="DB25" s="165">
        <v>2230.9</v>
      </c>
      <c r="DC25" s="159">
        <f>(DB25/CX25-1)*100</f>
        <v>1.2664548343168436</v>
      </c>
      <c r="DD25" s="160">
        <f>'qtrP&amp;L'!$DC13</f>
        <v>7.9254061288641875</v>
      </c>
      <c r="DE25" s="6"/>
      <c r="DF25" s="165">
        <v>2488.4</v>
      </c>
      <c r="DG25" s="159">
        <f>(DF25/DB25-1)*100</f>
        <v>11.542426823255191</v>
      </c>
      <c r="DH25" s="160">
        <f>'qtrP&amp;L'!$DC13</f>
        <v>7.9254061288641875</v>
      </c>
      <c r="DI25" s="6"/>
      <c r="DJ25" s="165"/>
      <c r="DK25" s="360"/>
      <c r="DL25" s="160"/>
    </row>
    <row r="26" spans="1:116">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6"/>
      <c r="AK26" s="6"/>
      <c r="AL26" s="6"/>
      <c r="AM26" s="6"/>
      <c r="AN26" s="6"/>
      <c r="AO26" s="6"/>
      <c r="AP26" s="6"/>
      <c r="AQ26" s="6"/>
      <c r="AR26" s="6"/>
      <c r="AS26" s="6"/>
      <c r="AT26" s="6"/>
      <c r="AU26" s="6"/>
      <c r="AV26" s="6"/>
      <c r="AW26" s="6"/>
      <c r="AX26" s="6"/>
      <c r="AY26" s="6"/>
      <c r="AZ26" s="6"/>
      <c r="BA26" s="6"/>
      <c r="BB26" s="6"/>
      <c r="BC26" s="6"/>
      <c r="BD26" s="6"/>
      <c r="BE26" s="6"/>
      <c r="BF26" s="6"/>
      <c r="BG26" s="6"/>
      <c r="BH26" s="6"/>
      <c r="BI26" s="6"/>
      <c r="BJ26" s="6"/>
      <c r="BK26" s="6"/>
      <c r="BL26" s="6"/>
      <c r="BM26" s="6"/>
      <c r="BN26" s="6"/>
      <c r="BO26" s="6"/>
      <c r="BP26" s="6"/>
      <c r="BQ26" s="6"/>
      <c r="BR26" s="6"/>
      <c r="BS26" s="6"/>
      <c r="BT26" s="6"/>
      <c r="BU26" s="6"/>
      <c r="BV26" s="6"/>
      <c r="BW26" s="6"/>
      <c r="BX26" s="6"/>
      <c r="BY26" s="6"/>
      <c r="BZ26" s="6"/>
      <c r="CA26" s="6"/>
      <c r="CB26" s="6"/>
      <c r="CC26" s="6"/>
      <c r="CD26" s="6"/>
      <c r="CE26" s="6"/>
      <c r="CF26" s="6"/>
      <c r="CG26" s="6"/>
      <c r="CH26" s="6"/>
      <c r="CI26" s="12"/>
      <c r="CJ26" s="6"/>
      <c r="CK26" s="6"/>
      <c r="CL26" s="6"/>
      <c r="CM26" s="12"/>
      <c r="CN26" s="6"/>
      <c r="CO26" s="6"/>
      <c r="CP26" s="87"/>
      <c r="CQ26" s="73"/>
      <c r="CR26" s="87"/>
      <c r="CS26" s="6"/>
      <c r="CT26" s="87"/>
      <c r="CU26" s="73"/>
      <c r="CV26" s="87"/>
      <c r="CW26" s="6"/>
      <c r="CX26" s="87"/>
      <c r="CY26" s="73"/>
      <c r="CZ26" s="87"/>
      <c r="DA26" s="6"/>
      <c r="DB26" s="87"/>
      <c r="DC26" s="73"/>
      <c r="DD26" s="87"/>
      <c r="DE26" s="6"/>
      <c r="DF26" s="87"/>
      <c r="DG26" s="73"/>
      <c r="DH26" s="87"/>
      <c r="DI26" s="6"/>
      <c r="DJ26" s="87"/>
      <c r="DK26" s="73"/>
      <c r="DL26" s="87"/>
    </row>
    <row r="27" spans="1:116">
      <c r="A27" s="66"/>
      <c r="B27" s="9"/>
      <c r="C27" s="6"/>
      <c r="D27" s="6"/>
      <c r="E27" s="6"/>
      <c r="F27" s="65"/>
      <c r="G27" s="65"/>
      <c r="H27" s="65"/>
      <c r="I27" s="65"/>
      <c r="J27" s="65"/>
      <c r="K27" s="65"/>
      <c r="L27" s="65"/>
      <c r="M27" s="65"/>
      <c r="N27" s="64"/>
      <c r="O27" s="65"/>
      <c r="P27" s="65"/>
      <c r="Q27" s="65"/>
      <c r="R27" s="65"/>
      <c r="S27" s="65"/>
      <c r="T27" s="65"/>
      <c r="U27" s="65"/>
      <c r="V27" s="65"/>
      <c r="W27" s="65"/>
      <c r="X27" s="65"/>
      <c r="Y27" s="65"/>
      <c r="Z27" s="65"/>
      <c r="AA27" s="65"/>
      <c r="AB27" s="65"/>
      <c r="AC27" s="65"/>
      <c r="AD27" s="64"/>
      <c r="AE27" s="65"/>
      <c r="AF27" s="65"/>
      <c r="AG27" s="65"/>
      <c r="AH27" s="65"/>
      <c r="AI27" s="65"/>
      <c r="AJ27" s="65"/>
      <c r="AK27" s="65"/>
      <c r="AL27" s="65"/>
      <c r="AM27" s="65"/>
      <c r="AN27" s="65"/>
      <c r="AO27" s="6"/>
      <c r="AP27" s="65"/>
      <c r="AQ27" s="65"/>
      <c r="AR27" s="65"/>
      <c r="AS27" s="6"/>
      <c r="AT27" s="65"/>
      <c r="AU27" s="65"/>
      <c r="AV27" s="65"/>
      <c r="AW27" s="6"/>
      <c r="AX27" s="65"/>
      <c r="AY27" s="65"/>
      <c r="AZ27" s="65"/>
      <c r="BA27" s="6"/>
      <c r="BB27" s="65"/>
      <c r="BC27" s="65"/>
      <c r="BD27" s="65"/>
      <c r="BE27" s="6"/>
      <c r="BF27" s="65"/>
      <c r="BG27" s="65"/>
      <c r="BH27" s="65"/>
      <c r="BI27" s="6"/>
      <c r="BJ27" s="65"/>
      <c r="BK27" s="65"/>
      <c r="BL27" s="65"/>
      <c r="BM27" s="6"/>
      <c r="BN27" s="65"/>
      <c r="BO27" s="65"/>
      <c r="BP27" s="65"/>
      <c r="BQ27" s="6"/>
      <c r="BS27" s="65"/>
      <c r="BT27" s="65"/>
      <c r="BU27" s="6"/>
      <c r="BV27" s="65"/>
      <c r="BW27" s="65"/>
      <c r="BX27" s="65"/>
      <c r="BY27" s="6"/>
      <c r="BZ27" s="65"/>
      <c r="CA27" s="65"/>
      <c r="CB27" s="65"/>
      <c r="CC27" s="6"/>
      <c r="CD27" s="65"/>
      <c r="CE27" s="65"/>
      <c r="CF27" s="65"/>
      <c r="CG27" s="6"/>
      <c r="CH27" s="66" t="s">
        <v>660</v>
      </c>
      <c r="CI27" s="361"/>
      <c r="CJ27" s="65"/>
      <c r="CK27" s="6"/>
      <c r="CL27" s="65"/>
      <c r="CM27" s="361"/>
      <c r="CN27" s="65"/>
      <c r="CO27" s="6"/>
      <c r="CP27" s="94"/>
      <c r="CQ27" s="380"/>
      <c r="CR27" s="94"/>
      <c r="CS27" s="6"/>
      <c r="CT27" s="94"/>
      <c r="CU27" s="380"/>
      <c r="CV27" s="94"/>
      <c r="CW27" s="6"/>
      <c r="CX27" s="94"/>
      <c r="CY27" s="380"/>
      <c r="CZ27" s="94"/>
      <c r="DA27" s="6"/>
      <c r="DB27" s="94"/>
      <c r="DC27" s="380"/>
      <c r="DD27" s="94"/>
      <c r="DE27" s="6"/>
      <c r="DF27" s="94"/>
      <c r="DG27" s="380"/>
      <c r="DH27" s="94"/>
      <c r="DI27" s="6"/>
      <c r="DJ27" s="94"/>
      <c r="DK27" s="380"/>
      <c r="DL27" s="94"/>
    </row>
    <row r="28" spans="1:116">
      <c r="A28" s="6" t="str">
        <f>$A$10</f>
        <v>1Q</v>
      </c>
      <c r="B28" s="6" t="str">
        <f>$B$10</f>
        <v>Apr</v>
      </c>
      <c r="C28" s="6"/>
      <c r="D28" s="68">
        <v>147.24700000000001</v>
      </c>
      <c r="E28" s="18"/>
      <c r="F28" s="68">
        <v>140.75200000000001</v>
      </c>
      <c r="G28" s="13">
        <f>(F28/D28-1)*100</f>
        <v>-4.4109557410337725</v>
      </c>
      <c r="H28" s="21">
        <f>H$10</f>
        <v>17.427305126742819</v>
      </c>
      <c r="I28" s="54"/>
      <c r="J28" s="68">
        <v>223.154</v>
      </c>
      <c r="K28" s="13">
        <f>(J28/F28-1)*100</f>
        <v>58.544105945208578</v>
      </c>
      <c r="L28" s="21">
        <f>L$10</f>
        <v>11.212830955542174</v>
      </c>
      <c r="M28" s="54"/>
      <c r="N28" s="68">
        <v>256.327</v>
      </c>
      <c r="O28" s="13">
        <f>(N28/J28-1)*100</f>
        <v>14.865518879338936</v>
      </c>
      <c r="P28" s="21">
        <f>P$10</f>
        <v>-11.505849282421455</v>
      </c>
      <c r="Q28" s="54"/>
      <c r="R28" s="68">
        <v>259.72899999999998</v>
      </c>
      <c r="S28" s="13">
        <f>(R28/N28-1)*100</f>
        <v>1.327210945393964</v>
      </c>
      <c r="T28" s="21">
        <f>T$10</f>
        <v>10.052885101222753</v>
      </c>
      <c r="U28" s="54"/>
      <c r="V28" s="68">
        <f>260.39+0.134</f>
        <v>260.524</v>
      </c>
      <c r="W28" s="13">
        <f>(V28/R28-1)*100</f>
        <v>0.30608826892646324</v>
      </c>
      <c r="X28" s="21">
        <f>X$10</f>
        <v>9.2421812349638977</v>
      </c>
      <c r="Y28" s="54"/>
      <c r="Z28" s="68">
        <f>659.408+8.911</f>
        <v>668.31899999999996</v>
      </c>
      <c r="AA28" s="13">
        <f>(Z28/V28-1)*100</f>
        <v>156.52876510417462</v>
      </c>
      <c r="AB28" s="21">
        <f>AB$10</f>
        <v>106.2493433209259</v>
      </c>
      <c r="AC28" s="54"/>
      <c r="AD28" s="68">
        <f>581.972+43.051</f>
        <v>625.02300000000002</v>
      </c>
      <c r="AE28" s="13">
        <f>(AD28/Z28-1)*100</f>
        <v>-6.4783434258190997</v>
      </c>
      <c r="AF28" s="21">
        <f>AF$10</f>
        <v>5.9706693238295028</v>
      </c>
      <c r="AG28" s="54"/>
      <c r="AH28" s="68">
        <f>547.995+85.098</f>
        <v>633.09299999999996</v>
      </c>
      <c r="AI28" s="13">
        <f>(AH28/AD28-1)*100</f>
        <v>1.2911524855885093</v>
      </c>
      <c r="AJ28" s="21">
        <f>AJ$10</f>
        <v>12.408935038297585</v>
      </c>
      <c r="AK28" s="54"/>
      <c r="AL28" s="68">
        <f>601.396+101.741</f>
        <v>703.13699999999994</v>
      </c>
      <c r="AM28" s="13">
        <f>(AL28/AH28-1)*100</f>
        <v>11.063777359724391</v>
      </c>
      <c r="AN28" s="21">
        <f>AN$10</f>
        <v>10.078871080679775</v>
      </c>
      <c r="AO28" s="6"/>
      <c r="AP28" s="68">
        <f>570.906+112.716</f>
        <v>683.62199999999996</v>
      </c>
      <c r="AQ28" s="13">
        <f>(AP28/AL28-1)*100</f>
        <v>-2.7754192995106175</v>
      </c>
      <c r="AR28" s="21">
        <f>AR$10</f>
        <v>9.2001786060234902</v>
      </c>
      <c r="AS28" s="6"/>
      <c r="AT28" s="68">
        <f>448.295+97.514</f>
        <v>545.80899999999997</v>
      </c>
      <c r="AU28" s="13">
        <f>(AT28/AP28-1)*100</f>
        <v>-20.159240047862703</v>
      </c>
      <c r="AV28" s="21">
        <f>AV$10</f>
        <v>7.7215390424435926</v>
      </c>
      <c r="AW28" s="6"/>
      <c r="AX28" s="68">
        <f>466.283+115.128</f>
        <v>581.41100000000006</v>
      </c>
      <c r="AY28" s="13">
        <f>(AX28/AT28-1)*100</f>
        <v>6.5227946039732032</v>
      </c>
      <c r="AZ28" s="21">
        <f>AZ$10</f>
        <v>17.384863677096462</v>
      </c>
      <c r="BA28" s="6"/>
      <c r="BB28" s="68">
        <f>602.643+1.494</f>
        <v>604.13700000000006</v>
      </c>
      <c r="BC28" s="13">
        <f>(BB28/AX28-1)*100</f>
        <v>3.9087667759983846</v>
      </c>
      <c r="BD28" s="21">
        <f>BD$10</f>
        <v>4.6148703880087849</v>
      </c>
      <c r="BE28" s="6"/>
      <c r="BF28" s="68">
        <f>662.072+1.489</f>
        <v>663.56100000000004</v>
      </c>
      <c r="BG28" s="13">
        <f>(BF28/BB28-1)*100</f>
        <v>9.8361795420575113</v>
      </c>
      <c r="BH28" s="21">
        <f>BH$10</f>
        <v>20.225588579645404</v>
      </c>
      <c r="BI28" s="6"/>
      <c r="BJ28" s="68">
        <v>969.3</v>
      </c>
      <c r="BK28" s="13">
        <f>(BJ28/BF28-1)*100</f>
        <v>46.07549268266218</v>
      </c>
      <c r="BL28" s="21">
        <f>BL$10</f>
        <v>8.9208607773290751</v>
      </c>
      <c r="BM28" s="6"/>
      <c r="BN28" s="68">
        <v>884.2</v>
      </c>
      <c r="BO28" s="13">
        <f>(BN28/BJ28-1)*100</f>
        <v>-8.7795316207572416</v>
      </c>
      <c r="BP28" s="21">
        <f>BP$10</f>
        <v>6.008658672501177</v>
      </c>
      <c r="BQ28" s="6"/>
      <c r="BR28" s="68">
        <v>951.1</v>
      </c>
      <c r="BS28" s="13">
        <f>(BR28/BN28-1)*100</f>
        <v>7.5661615019226414</v>
      </c>
      <c r="BT28" s="21">
        <f>BT$10</f>
        <v>6.1175236150748047</v>
      </c>
      <c r="BU28" s="6"/>
      <c r="BV28" s="68">
        <v>1144.4000000000001</v>
      </c>
      <c r="BW28" s="13">
        <f>(BV28/BR28-1)*100</f>
        <v>20.32383555882662</v>
      </c>
      <c r="BX28" s="21">
        <f>BX$10</f>
        <v>4.7582800825981764</v>
      </c>
      <c r="BY28" s="6"/>
      <c r="BZ28" s="68">
        <v>1034.2</v>
      </c>
      <c r="CA28" s="13">
        <f>(BZ28/BV28-1)*100</f>
        <v>-9.6295001747640718</v>
      </c>
      <c r="CB28" s="21">
        <f>CB$10</f>
        <v>1.1773754489021293</v>
      </c>
      <c r="CC28" s="6"/>
      <c r="CD28" s="158">
        <v>1329.6</v>
      </c>
      <c r="CE28" s="159">
        <f>(CD28/BZ28-1)*100</f>
        <v>28.563140591761726</v>
      </c>
      <c r="CF28" s="160">
        <f>CF$10</f>
        <v>15.210884878683316</v>
      </c>
      <c r="CG28" s="6"/>
      <c r="CH28" s="158">
        <v>1315.5</v>
      </c>
      <c r="CI28" s="159">
        <f>(CH28/CD28-1)*100</f>
        <v>-1.0604693140794152</v>
      </c>
      <c r="CJ28" s="160">
        <f>CJ22</f>
        <v>3.8776925929026707</v>
      </c>
      <c r="CK28" s="6"/>
      <c r="CL28" s="158">
        <v>1393.8</v>
      </c>
      <c r="CM28" s="159">
        <f>(CL28/CH28-1)*100</f>
        <v>5.9521094640820893</v>
      </c>
      <c r="CN28" s="160">
        <f>+CN22</f>
        <v>11.264873636219551</v>
      </c>
      <c r="CO28" s="6"/>
      <c r="CP28" s="165">
        <v>1652</v>
      </c>
      <c r="CQ28" s="159">
        <f>(CP28/CL28-1)*100</f>
        <v>18.524895967857667</v>
      </c>
      <c r="CR28" s="160">
        <f>'qtrP&amp;L'!$CU10</f>
        <v>6.7526249179470588</v>
      </c>
      <c r="CS28" s="6"/>
      <c r="CT28" s="165">
        <v>1748.9</v>
      </c>
      <c r="CU28" s="159">
        <f>(CT28/CP28-1)*100</f>
        <v>5.8656174334140498</v>
      </c>
      <c r="CV28" s="160">
        <f>'qtrP&amp;L'!$CY10</f>
        <v>4.8721494362568007</v>
      </c>
      <c r="CW28" s="6"/>
      <c r="CX28" s="165">
        <v>1983.2</v>
      </c>
      <c r="CY28" s="159">
        <f>(CX28/CT28-1)*100</f>
        <v>13.396992395219854</v>
      </c>
      <c r="CZ28" s="160">
        <f>'qtrP&amp;L'!$DC10</f>
        <v>5.7687697884019729</v>
      </c>
      <c r="DA28" s="6"/>
      <c r="DB28" s="165">
        <v>2160</v>
      </c>
      <c r="DC28" s="159">
        <f>(DB28/CX28-1)*100</f>
        <v>8.9148850342880124</v>
      </c>
      <c r="DD28" s="160">
        <f>'qtrP&amp;L'!$DC10</f>
        <v>5.7687697884019729</v>
      </c>
      <c r="DE28" s="6"/>
      <c r="DF28" s="165">
        <v>2430.6999999999998</v>
      </c>
      <c r="DG28" s="159">
        <f>(DF28/DB28-1)*100</f>
        <v>12.532407407407398</v>
      </c>
      <c r="DH28" s="160">
        <f>'qtrP&amp;L'!$DC10</f>
        <v>5.7687697884019729</v>
      </c>
      <c r="DI28" s="6"/>
      <c r="DJ28" s="165"/>
      <c r="DK28" s="159"/>
      <c r="DL28" s="160"/>
    </row>
    <row r="29" spans="1:116">
      <c r="A29" s="6" t="str">
        <f>$A$11</f>
        <v>2Q</v>
      </c>
      <c r="B29" s="6" t="str">
        <f>$B$11</f>
        <v>Jul</v>
      </c>
      <c r="C29" s="6"/>
      <c r="D29" s="74">
        <v>145.601</v>
      </c>
      <c r="E29" s="17"/>
      <c r="F29" s="74">
        <v>124.248</v>
      </c>
      <c r="G29" s="13">
        <f>(F29/D29-1)*100</f>
        <v>-14.665421253974898</v>
      </c>
      <c r="H29" s="21">
        <f>H$11</f>
        <v>13.452522358859698</v>
      </c>
      <c r="I29" s="54"/>
      <c r="J29" s="74">
        <v>205.61600000000001</v>
      </c>
      <c r="K29" s="13">
        <f>(J29/F29-1)*100</f>
        <v>65.4883780825446</v>
      </c>
      <c r="L29" s="21">
        <f>L$11</f>
        <v>16.032351387928713</v>
      </c>
      <c r="M29" s="54"/>
      <c r="N29" s="74">
        <v>233.029</v>
      </c>
      <c r="O29" s="13">
        <f>(N29/J29-1)*100</f>
        <v>13.332133686094449</v>
      </c>
      <c r="P29" s="21">
        <f>P$11</f>
        <v>-13.826427572443478</v>
      </c>
      <c r="Q29" s="54"/>
      <c r="R29" s="74">
        <v>225.49100000000001</v>
      </c>
      <c r="S29" s="13">
        <f>(R29/N29-1)*100</f>
        <v>-3.2347905196348892</v>
      </c>
      <c r="T29" s="21">
        <f>T$11</f>
        <v>6.2249104204809669</v>
      </c>
      <c r="U29" s="54"/>
      <c r="V29" s="74">
        <v>299.87</v>
      </c>
      <c r="W29" s="13">
        <f>(V29/R29-1)*100</f>
        <v>32.985351965266908</v>
      </c>
      <c r="X29" s="21">
        <f>X$11</f>
        <v>10.363717277259221</v>
      </c>
      <c r="Y29" s="54"/>
      <c r="Z29" s="74">
        <v>608.56100000000004</v>
      </c>
      <c r="AA29" s="13">
        <f>(Z29/V29-1)*100</f>
        <v>102.9416080301464</v>
      </c>
      <c r="AB29" s="21">
        <f>AB$11</f>
        <v>103.35893283316454</v>
      </c>
      <c r="AC29" s="54"/>
      <c r="AD29" s="74">
        <f>542.631+4.02</f>
        <v>546.65099999999995</v>
      </c>
      <c r="AE29" s="13">
        <f>(AD29/Z29-1)*100</f>
        <v>-10.173179023959811</v>
      </c>
      <c r="AF29" s="21">
        <f>AF$11</f>
        <v>9.6956000255771215</v>
      </c>
      <c r="AG29" s="54"/>
      <c r="AH29" s="74">
        <f>566.19+32.361</f>
        <v>598.55100000000004</v>
      </c>
      <c r="AI29" s="13">
        <f>(AH29/AD29-1)*100</f>
        <v>9.4941745281724721</v>
      </c>
      <c r="AJ29" s="21">
        <f>AJ$11</f>
        <v>9.9681341896828091</v>
      </c>
      <c r="AK29" s="54"/>
      <c r="AL29" s="74">
        <f>582.828+22.056</f>
        <v>604.88400000000001</v>
      </c>
      <c r="AM29" s="13">
        <f>(AL29/AH29-1)*100</f>
        <v>1.0580552033160107</v>
      </c>
      <c r="AN29" s="21">
        <f>AN$11</f>
        <v>12.59233439776235</v>
      </c>
      <c r="AO29" s="6"/>
      <c r="AP29" s="74">
        <f>617.073+21.449</f>
        <v>638.52199999999993</v>
      </c>
      <c r="AQ29" s="13">
        <f>(AP29/AL29-1)*100</f>
        <v>5.5610662540255484</v>
      </c>
      <c r="AR29" s="21">
        <f>AR$11</f>
        <v>7.386305544234939</v>
      </c>
      <c r="AS29" s="6"/>
      <c r="AT29" s="74">
        <f>421.149+40.787</f>
        <v>461.93599999999998</v>
      </c>
      <c r="AU29" s="13">
        <f>(AT29/AP29-1)*100</f>
        <v>-27.655429256940245</v>
      </c>
      <c r="AV29" s="21">
        <f>AV$11</f>
        <v>10.160775918950439</v>
      </c>
      <c r="AW29" s="6"/>
      <c r="AX29" s="74">
        <f>507.932+77.853</f>
        <v>585.78499999999997</v>
      </c>
      <c r="AY29" s="13">
        <f>(AX29/AT29-1)*100</f>
        <v>26.810856915243676</v>
      </c>
      <c r="AZ29" s="21">
        <f>AZ$11</f>
        <v>11.153905215503013</v>
      </c>
      <c r="BA29" s="6"/>
      <c r="BB29" s="74">
        <f>579.687+85.32</f>
        <v>665.00700000000006</v>
      </c>
      <c r="BC29" s="13">
        <f>(BB29/AX29-1)*100</f>
        <v>13.524074532465002</v>
      </c>
      <c r="BD29" s="21">
        <f>BD$11</f>
        <v>10.165857229188656</v>
      </c>
      <c r="BE29" s="6"/>
      <c r="BF29" s="74">
        <v>737.6</v>
      </c>
      <c r="BG29" s="13">
        <f>(BF29/BB29-1)*100</f>
        <v>10.91612569491749</v>
      </c>
      <c r="BH29" s="21">
        <f>BH$11</f>
        <v>12.084069773854743</v>
      </c>
      <c r="BI29" s="6"/>
      <c r="BJ29" s="74">
        <f>913.454+1.645</f>
        <v>915.09899999999993</v>
      </c>
      <c r="BK29" s="13">
        <f>(BJ29/BF29-1)*100</f>
        <v>24.064398047722335</v>
      </c>
      <c r="BL29" s="21">
        <f>BL$11</f>
        <v>6.8412233652296983</v>
      </c>
      <c r="BM29" s="6"/>
      <c r="BN29" s="74">
        <f>1043.224+1.782</f>
        <v>1045.0059999999999</v>
      </c>
      <c r="BO29" s="13">
        <f>(BN29/BJ29-1)*100</f>
        <v>14.195950383510404</v>
      </c>
      <c r="BP29" s="21">
        <f>BP$11</f>
        <v>8.6569243497431216</v>
      </c>
      <c r="BQ29" s="6"/>
      <c r="BR29" s="74">
        <v>1157.3</v>
      </c>
      <c r="BS29" s="13">
        <f>(BR29/BN29-1)*100</f>
        <v>10.745775622340936</v>
      </c>
      <c r="BT29" s="21">
        <f>BT$11</f>
        <v>8.821117053712225</v>
      </c>
      <c r="BU29" s="6"/>
      <c r="BV29" s="74">
        <v>1238.2</v>
      </c>
      <c r="BW29" s="13">
        <f>(BV29/BR29-1)*100</f>
        <v>6.9904087099282863</v>
      </c>
      <c r="BX29" s="21">
        <f>BX$11</f>
        <v>5.5896207495981232</v>
      </c>
      <c r="BY29" s="6"/>
      <c r="BZ29" s="74">
        <v>1070.2</v>
      </c>
      <c r="CA29" s="13">
        <f>(BZ29/BV29-1)*100</f>
        <v>-13.568082700694561</v>
      </c>
      <c r="CB29" s="21">
        <f>CB$11</f>
        <v>4.2405851929839145</v>
      </c>
      <c r="CC29" s="6"/>
      <c r="CD29" s="165">
        <v>1127.0999999999999</v>
      </c>
      <c r="CE29" s="159">
        <f>(CD29/BZ29-1)*100</f>
        <v>5.3167632218276806</v>
      </c>
      <c r="CF29" s="160">
        <f>CF11</f>
        <v>6.751977028887457</v>
      </c>
      <c r="CG29" s="6"/>
      <c r="CH29" s="165">
        <v>1269</v>
      </c>
      <c r="CI29" s="159">
        <f>(CH29/CD29-1)*100</f>
        <v>12.589832313015714</v>
      </c>
      <c r="CJ29" s="160">
        <f>CJ23</f>
        <v>7.8963631197613404</v>
      </c>
      <c r="CK29" s="6"/>
      <c r="CL29" s="165">
        <v>1362.4</v>
      </c>
      <c r="CM29" s="159">
        <f>(CL29/CH29-1)*100</f>
        <v>7.3601260835303384</v>
      </c>
      <c r="CN29" s="160">
        <f>+CN23</f>
        <v>8.7282568503333824</v>
      </c>
      <c r="CO29" s="6"/>
      <c r="CP29" s="165">
        <v>1502.6</v>
      </c>
      <c r="CQ29" s="159">
        <f>(CP29/CL29-1)*100</f>
        <v>10.290663534938327</v>
      </c>
      <c r="CR29" s="160">
        <f>'qtrP&amp;L'!$CU11</f>
        <v>8.3569097539861303</v>
      </c>
      <c r="CS29" s="6"/>
      <c r="CT29" s="165">
        <v>1676.5</v>
      </c>
      <c r="CU29" s="159">
        <f>(CT29/CP29-1)*100</f>
        <v>11.573272993477968</v>
      </c>
      <c r="CV29" s="160">
        <f>'qtrP&amp;L'!$CY11</f>
        <v>7.3697105313155431</v>
      </c>
      <c r="CW29" s="6"/>
      <c r="CX29" s="165">
        <v>1901.9</v>
      </c>
      <c r="CY29" s="159">
        <f>(CX29/CT29-1)*100</f>
        <v>13.444676409185806</v>
      </c>
      <c r="CZ29" s="160">
        <f>'qtrP&amp;L'!DC11</f>
        <v>6.4551874367881013</v>
      </c>
      <c r="DA29" s="6"/>
      <c r="DB29" s="165">
        <v>2055.9</v>
      </c>
      <c r="DC29" s="159">
        <f>(DB29/CX29-1)*100</f>
        <v>8.0971659919028447</v>
      </c>
      <c r="DD29" s="160">
        <f>'qtrP&amp;L'!$DC11</f>
        <v>6.4551874367881013</v>
      </c>
      <c r="DE29" s="6"/>
      <c r="DF29" s="165">
        <v>2310</v>
      </c>
      <c r="DG29" s="159">
        <f>(DF29/DB29-1)*100</f>
        <v>12.359550561797739</v>
      </c>
      <c r="DH29" s="160">
        <f>'qtrP&amp;L'!$DC11</f>
        <v>6.4551874367881013</v>
      </c>
      <c r="DI29" s="6"/>
      <c r="DJ29" s="165"/>
      <c r="DK29" s="159"/>
      <c r="DL29" s="160"/>
    </row>
    <row r="30" spans="1:116">
      <c r="A30" s="6" t="str">
        <f>$A$12</f>
        <v>3Q</v>
      </c>
      <c r="B30" s="6" t="str">
        <f>$B$12</f>
        <v>Oct</v>
      </c>
      <c r="C30" s="6"/>
      <c r="D30" s="74">
        <v>156.86799999999999</v>
      </c>
      <c r="E30" s="17"/>
      <c r="F30" s="74">
        <v>138.78</v>
      </c>
      <c r="G30" s="13">
        <f>(F30/D30-1)*100</f>
        <v>-11.530713721090336</v>
      </c>
      <c r="H30" s="21">
        <f>H$12</f>
        <v>9.1781479302764701</v>
      </c>
      <c r="I30" s="54"/>
      <c r="J30" s="74">
        <v>243.047</v>
      </c>
      <c r="K30" s="13">
        <f>(J30/F30-1)*100</f>
        <v>75.131142815967706</v>
      </c>
      <c r="L30" s="21">
        <f>L$12</f>
        <v>18.978148763096069</v>
      </c>
      <c r="M30" s="54"/>
      <c r="N30" s="74">
        <v>266.98200000000003</v>
      </c>
      <c r="O30" s="13">
        <f>(N30/J30-1)*100</f>
        <v>9.8478895028533806</v>
      </c>
      <c r="P30" s="21">
        <f>P$12</f>
        <v>-10.268306169826346</v>
      </c>
      <c r="Q30" s="54"/>
      <c r="R30" s="74">
        <f>266.393+20.456</f>
        <v>286.84899999999999</v>
      </c>
      <c r="S30" s="13">
        <f>(R30/N30-1)*100</f>
        <v>7.4413256324396215</v>
      </c>
      <c r="T30" s="21">
        <f>T$12</f>
        <v>6.7334880131960428</v>
      </c>
      <c r="U30" s="54"/>
      <c r="V30" s="74">
        <f>306.24+2.068</f>
        <v>308.30799999999999</v>
      </c>
      <c r="W30" s="13">
        <f>(V30/R30-1)*100</f>
        <v>7.4809394489783854</v>
      </c>
      <c r="X30" s="21">
        <f>X$12</f>
        <v>7.162419601494685</v>
      </c>
      <c r="Y30" s="54"/>
      <c r="Z30" s="74">
        <f>624.85+28.93</f>
        <v>653.78</v>
      </c>
      <c r="AA30" s="13">
        <f>(Z30/V30-1)*100</f>
        <v>112.05417958664712</v>
      </c>
      <c r="AB30" s="21">
        <f>AB$12</f>
        <v>100.00011611515838</v>
      </c>
      <c r="AC30" s="54"/>
      <c r="AD30" s="74">
        <f>576.28+57.107</f>
        <v>633.38699999999994</v>
      </c>
      <c r="AE30" s="13">
        <f>(AD30/Z30-1)*100</f>
        <v>-3.1192450059653098</v>
      </c>
      <c r="AF30" s="21">
        <f>AF$12</f>
        <v>9.5951124835914836</v>
      </c>
      <c r="AG30" s="54"/>
      <c r="AH30" s="74">
        <f>622.731+83.134</f>
        <v>705.86500000000001</v>
      </c>
      <c r="AI30" s="13">
        <f>(AH30/AD30-1)*100</f>
        <v>11.44292509950473</v>
      </c>
      <c r="AJ30" s="21">
        <f>AJ$12</f>
        <v>6.1347207021462014</v>
      </c>
      <c r="AK30" s="54"/>
      <c r="AL30" s="74">
        <f>609.023+66.481</f>
        <v>675.50400000000002</v>
      </c>
      <c r="AM30" s="13">
        <f>(AL30/AH30-1)*100</f>
        <v>-4.3012474056653875</v>
      </c>
      <c r="AN30" s="21">
        <f>AN$12</f>
        <v>11.557307376130721</v>
      </c>
      <c r="AO30" s="6"/>
      <c r="AP30" s="74">
        <f>625.834+88.633</f>
        <v>714.46699999999998</v>
      </c>
      <c r="AQ30" s="13">
        <f>(AP30/AL30-1)*100</f>
        <v>5.7679895307799711</v>
      </c>
      <c r="AR30" s="21">
        <f>AR$12</f>
        <v>10.127585284292895</v>
      </c>
      <c r="AS30" s="6"/>
      <c r="AT30" s="74">
        <f>493.249+71.321</f>
        <v>564.57000000000005</v>
      </c>
      <c r="AU30" s="13">
        <f>(AT30/AP30-1)*100</f>
        <v>-20.980255211227384</v>
      </c>
      <c r="AV30" s="21">
        <f>AV$12</f>
        <v>11.390133545352633</v>
      </c>
      <c r="AW30" s="6"/>
      <c r="AX30" s="74">
        <f>582.865+87.678</f>
        <v>670.54300000000001</v>
      </c>
      <c r="AY30" s="13">
        <f>(AX30/AT30-1)*100</f>
        <v>18.770568751439143</v>
      </c>
      <c r="AZ30" s="21">
        <f>AZ$12</f>
        <v>11.057860819055154</v>
      </c>
      <c r="BA30" s="6"/>
      <c r="BB30" s="74">
        <f>698.3+107.6</f>
        <v>805.9</v>
      </c>
      <c r="BC30" s="13">
        <f>(BB30/AX30-1)*100</f>
        <v>20.186177471094325</v>
      </c>
      <c r="BD30" s="21">
        <f>BD$12</f>
        <v>11.248197835760854</v>
      </c>
      <c r="BE30" s="6"/>
      <c r="BF30" s="74">
        <v>921.7</v>
      </c>
      <c r="BG30" s="13">
        <f>(BF30/BB30-1)*100</f>
        <v>14.369028415436169</v>
      </c>
      <c r="BH30" s="21">
        <f>BH$12</f>
        <v>12.690895693872562</v>
      </c>
      <c r="BI30" s="6"/>
      <c r="BJ30" s="74">
        <v>1083.3</v>
      </c>
      <c r="BK30" s="13">
        <f>(BJ30/BF30-1)*100</f>
        <v>17.532819789519351</v>
      </c>
      <c r="BL30" s="21">
        <f>BL$12</f>
        <v>5.8826672953750547</v>
      </c>
      <c r="BM30" s="6"/>
      <c r="BN30" s="74">
        <v>1015.2</v>
      </c>
      <c r="BO30" s="13">
        <f>(BN30/BJ30-1)*100</f>
        <v>-6.2863472722237574</v>
      </c>
      <c r="BP30" s="21">
        <f>BP$12</f>
        <v>10.664037218029488</v>
      </c>
      <c r="BQ30" s="6"/>
      <c r="BR30" s="74">
        <v>1313</v>
      </c>
      <c r="BS30" s="13">
        <f>(BR30/BN30-1)*100</f>
        <v>29.334121355397947</v>
      </c>
      <c r="BT30" s="21">
        <f>BT$12</f>
        <v>4.1533057765323456</v>
      </c>
      <c r="BU30" s="6"/>
      <c r="BV30" s="74">
        <v>1466.3</v>
      </c>
      <c r="BW30" s="13">
        <f>(BV30/BR30-1)*100</f>
        <v>11.675552170601676</v>
      </c>
      <c r="BX30" s="21">
        <f>BX$12</f>
        <v>2.2068732213454512</v>
      </c>
      <c r="BY30" s="6"/>
      <c r="BZ30" s="74">
        <v>1207.2</v>
      </c>
      <c r="CA30" s="13">
        <f>(BZ30/BV30-1)*100</f>
        <v>-17.670326672577229</v>
      </c>
      <c r="CB30" s="21">
        <f>CB$12</f>
        <v>10.152535004504859</v>
      </c>
      <c r="CC30" s="6"/>
      <c r="CD30" s="74">
        <v>1255.7</v>
      </c>
      <c r="CE30" s="159">
        <f>(CD30/BZ30-1)*100</f>
        <v>4.0175612988734288</v>
      </c>
      <c r="CF30" s="160">
        <f>CF12</f>
        <v>5.355650944738044</v>
      </c>
      <c r="CG30" s="6"/>
      <c r="CH30" s="165">
        <v>1331.1</v>
      </c>
      <c r="CI30" s="159">
        <f>(CH30/CD30-1)*100</f>
        <v>6.0046189376443238</v>
      </c>
      <c r="CJ30" s="160">
        <f>CJ24</f>
        <v>4.8369236426560436</v>
      </c>
      <c r="CK30" s="6"/>
      <c r="CL30" s="165">
        <v>1539.8</v>
      </c>
      <c r="CM30" s="159">
        <f>(CL30/CH30-1)*100</f>
        <v>15.678761926226436</v>
      </c>
      <c r="CN30" s="160">
        <f>+CN24</f>
        <v>10.664100637859208</v>
      </c>
      <c r="CO30" s="6"/>
      <c r="CP30" s="165">
        <v>1697.4</v>
      </c>
      <c r="CQ30" s="159">
        <f>(CP30/CL30-1)*100</f>
        <v>10.235095466943767</v>
      </c>
      <c r="CR30" s="160">
        <f>'qtrP&amp;L'!$CU12</f>
        <v>8.9061105649070669</v>
      </c>
      <c r="CS30" s="6"/>
      <c r="CT30" s="165">
        <v>1835.2</v>
      </c>
      <c r="CU30" s="159">
        <f>(CT30/CP30-1)*100</f>
        <v>8.1182985742900939</v>
      </c>
      <c r="CV30" s="160">
        <f>'qtrP&amp;L'!$CY12</f>
        <v>5.5026757851328156</v>
      </c>
      <c r="CW30" s="6"/>
      <c r="CX30" s="165">
        <v>2033.5</v>
      </c>
      <c r="CY30" s="159">
        <f>(CX30/CT30-1)*100</f>
        <v>10.805361813426329</v>
      </c>
      <c r="CZ30" s="160">
        <f>'qtrP&amp;L'!DC12</f>
        <v>5.2596460580179416</v>
      </c>
      <c r="DA30" s="6"/>
      <c r="DB30" s="165">
        <v>2207.6999999999998</v>
      </c>
      <c r="DC30" s="159">
        <f>(DB30/CX30-1)*100</f>
        <v>8.5665109417260688</v>
      </c>
      <c r="DD30" s="160">
        <f>'qtrP&amp;L'!$DC12</f>
        <v>5.2596460580179416</v>
      </c>
      <c r="DE30" s="6"/>
      <c r="DF30" s="165">
        <v>2481.6</v>
      </c>
      <c r="DG30" s="159">
        <f>(DF30/DB30-1)*100</f>
        <v>12.406576980568019</v>
      </c>
      <c r="DH30" s="160">
        <f>'qtrP&amp;L'!$DC12</f>
        <v>5.2596460580179416</v>
      </c>
      <c r="DI30" s="6"/>
      <c r="DJ30" s="165"/>
      <c r="DK30" s="159"/>
      <c r="DL30" s="160"/>
    </row>
    <row r="31" spans="1:116">
      <c r="A31" s="6" t="str">
        <f>$A$13</f>
        <v>4Q</v>
      </c>
      <c r="B31" s="6" t="str">
        <f>$B$13</f>
        <v>Jan</v>
      </c>
      <c r="C31" s="6"/>
      <c r="D31" s="74">
        <v>158.52500000000001</v>
      </c>
      <c r="E31" s="17"/>
      <c r="F31" s="74">
        <v>211.417</v>
      </c>
      <c r="G31" s="13">
        <f>(F31/D31-1)*100</f>
        <v>33.365084371550239</v>
      </c>
      <c r="H31" s="21">
        <f>H$13</f>
        <v>11.98775456472967</v>
      </c>
      <c r="I31" s="54"/>
      <c r="J31" s="74">
        <v>245.76499999999999</v>
      </c>
      <c r="K31" s="13">
        <f>(J31/F31-1)*100</f>
        <v>16.24656484577871</v>
      </c>
      <c r="L31" s="21">
        <f>L$13</f>
        <v>24.748331169919279</v>
      </c>
      <c r="M31" s="54"/>
      <c r="N31" s="74">
        <v>245.13900000000001</v>
      </c>
      <c r="O31" s="13">
        <f>(N31/J31-1)*100</f>
        <v>-0.25471486989603331</v>
      </c>
      <c r="P31" s="21">
        <f>P$13</f>
        <v>-16.200548335196206</v>
      </c>
      <c r="Q31" s="54"/>
      <c r="R31" s="74">
        <v>252.42400000000001</v>
      </c>
      <c r="S31" s="13">
        <f>(R31/N31-1)*100</f>
        <v>2.971783355565627</v>
      </c>
      <c r="T31" s="21">
        <f>T$13</f>
        <v>8.6953349107726119</v>
      </c>
      <c r="U31" s="54"/>
      <c r="V31" s="74">
        <v>691.096</v>
      </c>
      <c r="W31" s="13">
        <f>(V31/R31-1)*100</f>
        <v>173.78379234938041</v>
      </c>
      <c r="X31" s="21">
        <f>X$13</f>
        <v>80.350148518174905</v>
      </c>
      <c r="Y31" s="54"/>
      <c r="Z31" s="74">
        <f>577.046+44.165</f>
        <v>621.21100000000001</v>
      </c>
      <c r="AA31" s="13">
        <f>(Z31/V31-1)*100</f>
        <v>-10.112198594695965</v>
      </c>
      <c r="AB31" s="21">
        <f>AB$13</f>
        <v>18.778829331577505</v>
      </c>
      <c r="AC31" s="54"/>
      <c r="AD31" s="74">
        <f>553.643+57.863</f>
        <v>611.50600000000009</v>
      </c>
      <c r="AE31" s="13">
        <f>(AD31/Z31-1)*100</f>
        <v>-1.5622711123917554</v>
      </c>
      <c r="AF31" s="21">
        <f>AF$13</f>
        <v>15.226190934895145</v>
      </c>
      <c r="AG31" s="54"/>
      <c r="AH31" s="74">
        <f>624.801+64.192</f>
        <v>688.99300000000005</v>
      </c>
      <c r="AI31" s="13">
        <f>(AH31/AD31-1)*100</f>
        <v>12.671502814363222</v>
      </c>
      <c r="AJ31" s="21">
        <f>AJ$13</f>
        <v>3.6160704532494092</v>
      </c>
      <c r="AK31" s="54"/>
      <c r="AL31" s="74">
        <f>607.348+42.99</f>
        <v>650.33799999999997</v>
      </c>
      <c r="AM31" s="13">
        <f>(AL31/AH31-1)*100</f>
        <v>-5.6103617888715984</v>
      </c>
      <c r="AN31" s="21">
        <f>AN$13</f>
        <v>8.7344316922208343</v>
      </c>
      <c r="AO31" s="6"/>
      <c r="AP31" s="74">
        <v>544.01400000000001</v>
      </c>
      <c r="AQ31" s="13">
        <f>(AP31/AL31-1)*100</f>
        <v>-16.349036962318053</v>
      </c>
      <c r="AR31" s="21">
        <f>AR$13</f>
        <v>8.8790930993107651</v>
      </c>
      <c r="AS31" s="6"/>
      <c r="AT31" s="74">
        <f>510.27+41.95</f>
        <v>552.22</v>
      </c>
      <c r="AU31" s="13">
        <f>(AT31/AP31-1)*100</f>
        <v>1.5084170627961857</v>
      </c>
      <c r="AV31" s="21">
        <f>AV$13</f>
        <v>16.62509245612538</v>
      </c>
      <c r="AW31" s="6"/>
      <c r="AX31" s="74">
        <f>669.732+62.632</f>
        <v>732.36399999999992</v>
      </c>
      <c r="AY31" s="13">
        <f>(AX31/AT31-1)*100</f>
        <v>32.621781174169698</v>
      </c>
      <c r="AZ31" s="21">
        <f>AZ$13</f>
        <v>9.2488512524651725</v>
      </c>
      <c r="BA31" s="6"/>
      <c r="BB31" s="74">
        <f>723.678+1.46</f>
        <v>725.13800000000003</v>
      </c>
      <c r="BC31" s="13">
        <f>(BB31/AX31-1)*100</f>
        <v>-0.98666783184316875</v>
      </c>
      <c r="BD31" s="21">
        <f>BD$13</f>
        <v>17.119362506885636</v>
      </c>
      <c r="BE31" s="6"/>
      <c r="BF31" s="74">
        <v>828.1</v>
      </c>
      <c r="BG31" s="13">
        <f>(BF31/BB31-1)*100</f>
        <v>14.19895247525298</v>
      </c>
      <c r="BH31" s="21">
        <f>BH$13</f>
        <v>5.4440803615162681</v>
      </c>
      <c r="BI31" s="6"/>
      <c r="BJ31" s="74">
        <f>936.667+1.712</f>
        <v>938.37900000000002</v>
      </c>
      <c r="BK31" s="13">
        <f>(BJ31/BF31-1)*100</f>
        <v>13.317111459968611</v>
      </c>
      <c r="BL31" s="21">
        <f>BL$13</f>
        <v>8.9445195304622693</v>
      </c>
      <c r="BM31" s="6"/>
      <c r="BN31" s="74">
        <v>1010.6</v>
      </c>
      <c r="BO31" s="13">
        <f>(BN31/BJ31-1)*100</f>
        <v>7.696357228795625</v>
      </c>
      <c r="BP31" s="21">
        <f>BP$13</f>
        <v>8.0667010578358891</v>
      </c>
      <c r="BQ31" s="6"/>
      <c r="BR31" s="74">
        <v>1244.2</v>
      </c>
      <c r="BS31" s="13">
        <f>(BR31/BN31-1)*100</f>
        <v>23.114981199287541</v>
      </c>
      <c r="BT31" s="21">
        <f>BT$13</f>
        <v>5.7898723880317249</v>
      </c>
      <c r="BU31" s="6"/>
      <c r="BV31" s="74">
        <v>1098.9000000000001</v>
      </c>
      <c r="BW31" s="13">
        <f>(BV31/BR31-1)*100</f>
        <v>-11.678186786690237</v>
      </c>
      <c r="BX31" s="21">
        <f>BX$13</f>
        <v>-0.2197936302689607</v>
      </c>
      <c r="BY31" s="6"/>
      <c r="BZ31" s="74">
        <v>1387.1</v>
      </c>
      <c r="CA31" s="13">
        <f>(BZ31/BV31-1)*100</f>
        <v>26.226226226226213</v>
      </c>
      <c r="CB31" s="21">
        <f>CB$13</f>
        <v>10.440862263651196</v>
      </c>
      <c r="CC31" s="6"/>
      <c r="CD31" s="74">
        <v>1449.2</v>
      </c>
      <c r="CE31" s="159">
        <f>(CD31/BZ31-1)*100</f>
        <v>4.4769663326364562</v>
      </c>
      <c r="CF31" s="160">
        <f>CF13</f>
        <v>1.8687772920619627</v>
      </c>
      <c r="CG31" s="6"/>
      <c r="CH31" s="74">
        <v>1418.1</v>
      </c>
      <c r="CI31" s="159">
        <f>(CH31/CD31-1)*100</f>
        <v>-2.1460115926028256</v>
      </c>
      <c r="CJ31" s="160">
        <f>CJ25</f>
        <v>10.854079709436192</v>
      </c>
      <c r="CK31" s="6"/>
      <c r="CL31" s="74">
        <v>1830</v>
      </c>
      <c r="CM31" s="159">
        <f>(CL31/CH31-1)*100</f>
        <v>29.045906494605454</v>
      </c>
      <c r="CN31" s="160">
        <f>+CN25</f>
        <v>15.113153112228495</v>
      </c>
      <c r="CO31" s="6"/>
      <c r="CP31" s="74">
        <v>1746.5</v>
      </c>
      <c r="CQ31" s="159">
        <f>(CP31/CL31-1)*100</f>
        <v>-4.5628415300546399</v>
      </c>
      <c r="CR31" s="160">
        <f>'qtrP&amp;L'!$CU13</f>
        <v>1.1001430122475675</v>
      </c>
      <c r="CS31" s="6"/>
      <c r="CT31" s="165">
        <v>1922.1</v>
      </c>
      <c r="CU31" s="159">
        <f>(CT31/CP31-1)*100</f>
        <v>10.054394503292286</v>
      </c>
      <c r="CV31" s="160">
        <f>'qtrP&amp;L'!$CZ13</f>
        <v>4</v>
      </c>
      <c r="CW31" s="6"/>
      <c r="CX31" s="165">
        <v>2199.1999999999998</v>
      </c>
      <c r="CY31" s="159">
        <f>(CX31/CT31-1)*100</f>
        <v>14.41652359398573</v>
      </c>
      <c r="CZ31" s="160">
        <f>'qtrP&amp;L'!$CZ13</f>
        <v>4</v>
      </c>
      <c r="DA31" s="6"/>
      <c r="DB31" s="165">
        <v>2526.6999999999998</v>
      </c>
      <c r="DC31" s="159">
        <f>(DB31/CX31-1)*100</f>
        <v>14.89177882866497</v>
      </c>
      <c r="DD31" s="160">
        <f>'qtrP&amp;L'!$DC13</f>
        <v>7.9254061288641875</v>
      </c>
      <c r="DE31" s="6"/>
      <c r="DF31" s="165">
        <v>2637.1</v>
      </c>
      <c r="DG31" s="159">
        <f>(DF31/DB31-1)*100</f>
        <v>4.3693354968931786</v>
      </c>
      <c r="DH31" s="160">
        <f>'qtrP&amp;L'!$DC13</f>
        <v>7.9254061288641875</v>
      </c>
      <c r="DI31" s="6"/>
      <c r="DJ31" s="165"/>
      <c r="DK31" s="360"/>
      <c r="DL31" s="160"/>
    </row>
    <row r="32" spans="1:116">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6"/>
      <c r="AX32" s="6"/>
      <c r="AY32" s="6"/>
      <c r="AZ32" s="6"/>
      <c r="BA32" s="6"/>
      <c r="BB32" s="6"/>
      <c r="BC32" s="6"/>
      <c r="BD32" s="6"/>
      <c r="BE32" s="6"/>
      <c r="BF32" s="6"/>
      <c r="BG32" s="6"/>
      <c r="BH32" s="6"/>
      <c r="BI32" s="6"/>
      <c r="BJ32" s="6"/>
      <c r="BK32" s="6"/>
      <c r="BL32" s="6"/>
      <c r="BM32" s="6"/>
      <c r="BN32" s="6"/>
      <c r="BO32" s="6"/>
      <c r="BP32" s="6"/>
      <c r="BQ32" s="6"/>
      <c r="BR32" s="6"/>
      <c r="BS32" s="6"/>
      <c r="BT32" s="6"/>
      <c r="BU32" s="6"/>
      <c r="BV32" s="6"/>
      <c r="BW32" s="6"/>
      <c r="BX32" s="6"/>
      <c r="BY32" s="6"/>
      <c r="BZ32" s="6"/>
      <c r="CA32" s="6"/>
      <c r="CB32" s="6"/>
      <c r="CC32" s="6"/>
      <c r="CD32" s="6"/>
      <c r="CE32" s="6"/>
      <c r="CF32" s="6"/>
      <c r="CG32" s="6"/>
      <c r="CH32" s="6"/>
      <c r="CI32" s="6"/>
      <c r="CJ32" s="6"/>
      <c r="CK32" s="6"/>
      <c r="CL32" s="6"/>
      <c r="CM32" s="6"/>
      <c r="CN32" s="6"/>
      <c r="CO32" s="6"/>
      <c r="CP32" s="87"/>
      <c r="CQ32" s="87"/>
      <c r="CR32" s="87"/>
      <c r="CS32" s="6"/>
      <c r="CT32" s="87"/>
      <c r="CU32" s="87"/>
      <c r="CV32" s="87"/>
      <c r="CW32" s="6"/>
      <c r="CX32" s="87"/>
      <c r="CY32" s="87"/>
      <c r="CZ32" s="87"/>
      <c r="DA32" s="6"/>
      <c r="DB32" s="87"/>
      <c r="DC32" s="87"/>
      <c r="DD32" s="87"/>
      <c r="DE32" s="6"/>
      <c r="DF32" s="87"/>
      <c r="DG32" s="87"/>
      <c r="DH32" s="87"/>
      <c r="DI32" s="6"/>
      <c r="DJ32" s="87"/>
      <c r="DK32" s="87"/>
      <c r="DL32" s="87"/>
    </row>
    <row r="33" spans="1:116">
      <c r="A33" s="66"/>
      <c r="B33" s="9"/>
      <c r="C33" s="6"/>
      <c r="D33" s="6"/>
      <c r="E33" s="6"/>
      <c r="F33" s="6"/>
      <c r="G33" s="6"/>
      <c r="H33" s="6"/>
      <c r="I33" s="6"/>
      <c r="J33" s="6"/>
      <c r="K33" s="6"/>
      <c r="L33" s="6"/>
      <c r="M33" s="6"/>
      <c r="N33" s="55"/>
      <c r="O33" s="6"/>
      <c r="P33" s="6"/>
      <c r="Q33" s="6"/>
      <c r="R33" s="6"/>
      <c r="S33" s="6"/>
      <c r="T33" s="6"/>
      <c r="U33" s="6"/>
      <c r="V33" s="6"/>
      <c r="W33" s="6"/>
      <c r="X33" s="6"/>
      <c r="Y33" s="6"/>
      <c r="Z33" s="6"/>
      <c r="AA33" s="6"/>
      <c r="AB33" s="6"/>
      <c r="AC33" s="6"/>
      <c r="AD33" s="55"/>
      <c r="AE33" s="6"/>
      <c r="AF33" s="6"/>
      <c r="AG33" s="6"/>
      <c r="AH33" s="6"/>
      <c r="AI33" s="6"/>
      <c r="AJ33" s="6"/>
      <c r="AK33" s="6"/>
      <c r="AL33" s="6"/>
      <c r="AM33" s="6"/>
      <c r="AN33" s="6"/>
      <c r="AO33" s="6"/>
      <c r="AP33" s="6"/>
      <c r="AQ33" s="6"/>
      <c r="AR33" s="6"/>
      <c r="AS33" s="6"/>
      <c r="AT33" s="6"/>
      <c r="AU33" s="6"/>
      <c r="AV33" s="6"/>
      <c r="AW33" s="6"/>
      <c r="AX33" s="6"/>
      <c r="AY33" s="6"/>
      <c r="AZ33" s="6"/>
      <c r="BA33" s="6"/>
      <c r="BB33" s="6"/>
      <c r="BC33" s="6"/>
      <c r="BD33" s="6"/>
      <c r="BE33" s="6"/>
      <c r="BF33" s="6"/>
      <c r="BG33" s="6"/>
      <c r="BH33" s="6"/>
      <c r="BI33" s="6"/>
      <c r="BJ33" s="6"/>
      <c r="BK33" s="6"/>
      <c r="BL33" s="6"/>
      <c r="BM33" s="6"/>
      <c r="BN33" s="6"/>
      <c r="BO33" s="6"/>
      <c r="BP33" s="6"/>
      <c r="BQ33" s="6"/>
      <c r="BS33" s="6"/>
      <c r="BT33" s="6"/>
      <c r="BU33" s="6"/>
      <c r="BV33" s="6"/>
      <c r="BW33" s="6"/>
      <c r="BX33" s="6"/>
      <c r="BY33" s="6"/>
      <c r="BZ33" s="6"/>
      <c r="CA33" s="6"/>
      <c r="CB33" s="6"/>
      <c r="CC33" s="6"/>
      <c r="CD33" s="6"/>
      <c r="CE33" s="6"/>
      <c r="CF33" s="6"/>
      <c r="CG33" s="6"/>
      <c r="CH33" s="66" t="s">
        <v>427</v>
      </c>
      <c r="CI33" s="6"/>
      <c r="CJ33" s="6"/>
      <c r="CK33" s="6"/>
      <c r="CL33" s="6"/>
      <c r="CM33" s="6"/>
      <c r="CN33" s="6"/>
      <c r="CO33" s="6"/>
      <c r="CP33" s="87"/>
      <c r="CQ33" s="87"/>
      <c r="CR33" s="87"/>
      <c r="CS33" s="6"/>
      <c r="CT33" s="87"/>
      <c r="CU33" s="87"/>
      <c r="CV33" s="87"/>
      <c r="CW33" s="6"/>
      <c r="CX33" s="87"/>
      <c r="CY33" s="87"/>
      <c r="CZ33" s="87"/>
      <c r="DA33" s="6"/>
      <c r="DB33" s="87"/>
      <c r="DC33" s="87"/>
      <c r="DD33" s="87"/>
      <c r="DE33" s="6"/>
      <c r="DF33" s="87"/>
      <c r="DG33" s="87"/>
      <c r="DH33" s="87"/>
      <c r="DI33" s="6"/>
      <c r="DJ33" s="87"/>
      <c r="DK33" s="87"/>
      <c r="DL33" s="87"/>
    </row>
    <row r="34" spans="1:116">
      <c r="A34" s="6" t="str">
        <f>$A$10</f>
        <v>1Q</v>
      </c>
      <c r="B34" s="6" t="str">
        <f>$B$10</f>
        <v>Apr</v>
      </c>
      <c r="C34" s="6"/>
      <c r="D34" s="22">
        <f>D10+D16-D22-D28</f>
        <v>140.459</v>
      </c>
      <c r="E34" s="6"/>
      <c r="F34" s="22">
        <f>F10+F16-F22-F28</f>
        <v>171.8830000000001</v>
      </c>
      <c r="G34" s="13">
        <f>(F34/D34-1)*100</f>
        <v>22.372364889398398</v>
      </c>
      <c r="H34" s="21">
        <f>H$10</f>
        <v>17.427305126742819</v>
      </c>
      <c r="I34" s="53"/>
      <c r="J34" s="22">
        <f>J10+J16-J22-J28</f>
        <v>127.69999999999999</v>
      </c>
      <c r="K34" s="13">
        <f>(J34/F34-1)*100</f>
        <v>-25.705276263504871</v>
      </c>
      <c r="L34" s="21">
        <f>L$10</f>
        <v>11.212830955542174</v>
      </c>
      <c r="M34" s="53"/>
      <c r="N34" s="22">
        <f>N10+N16-N22-N28</f>
        <v>172.29300000000001</v>
      </c>
      <c r="O34" s="13">
        <f>(N34/J34-1)*100</f>
        <v>34.920125293657023</v>
      </c>
      <c r="P34" s="21">
        <f>P$10</f>
        <v>-11.505849282421455</v>
      </c>
      <c r="Q34" s="53"/>
      <c r="R34" s="22">
        <f>R10+R16-R22-R28</f>
        <v>249.16300000000007</v>
      </c>
      <c r="S34" s="13">
        <f>(R34/N34-1)*100</f>
        <v>44.615857870023781</v>
      </c>
      <c r="T34" s="21">
        <f>T$10</f>
        <v>10.052885101222753</v>
      </c>
      <c r="U34" s="53"/>
      <c r="V34" s="22">
        <f>V10+V16-V22-V28</f>
        <v>457.31299999999999</v>
      </c>
      <c r="W34" s="13">
        <f>(V34/R34-1)*100</f>
        <v>83.539690885083189</v>
      </c>
      <c r="X34" s="21">
        <f>X$10</f>
        <v>9.2421812349638977</v>
      </c>
      <c r="Y34" s="53"/>
      <c r="Z34" s="22">
        <f>Z10+Z16-Z22-Z28</f>
        <v>339.37000000000012</v>
      </c>
      <c r="AA34" s="13">
        <f>(Z34/V34-1)*100</f>
        <v>-25.790432373450976</v>
      </c>
      <c r="AB34" s="21">
        <f>AB$10</f>
        <v>106.2493433209259</v>
      </c>
      <c r="AC34" s="53"/>
      <c r="AD34" s="22">
        <f>AD10+AD16-AD22-AD28</f>
        <v>153.68900000000008</v>
      </c>
      <c r="AE34" s="13">
        <f>(AD34/Z34-1)*100</f>
        <v>-54.713439608686677</v>
      </c>
      <c r="AF34" s="21">
        <f>AF$10</f>
        <v>5.9706693238295028</v>
      </c>
      <c r="AG34" s="53"/>
      <c r="AH34" s="22">
        <f>AH10+AH16-AH22-AH28</f>
        <v>146.74599999999987</v>
      </c>
      <c r="AI34" s="13">
        <f>(AH34/AD34-1)*100</f>
        <v>-4.5175646923333534</v>
      </c>
      <c r="AJ34" s="21">
        <f>AJ$10</f>
        <v>12.408935038297585</v>
      </c>
      <c r="AK34" s="53"/>
      <c r="AL34" s="22">
        <f>AL10+AL16-AL22-AL28</f>
        <v>96.851000000000113</v>
      </c>
      <c r="AM34" s="13">
        <f>(AL34/AH34-1)*100</f>
        <v>-34.000926771428041</v>
      </c>
      <c r="AN34" s="21">
        <f>AN$10</f>
        <v>10.078871080679775</v>
      </c>
      <c r="AO34" s="6"/>
      <c r="AP34" s="22">
        <f>AP10+AP16-AP22-AP28</f>
        <v>160.39900000000011</v>
      </c>
      <c r="AQ34" s="13">
        <f>(AP34/AL34-1)*100</f>
        <v>65.614190870512374</v>
      </c>
      <c r="AR34" s="21">
        <f>AR$10</f>
        <v>9.2001786060234902</v>
      </c>
      <c r="AS34" s="6"/>
      <c r="AT34" s="22">
        <f>AT10+AT16-AT22-AT28</f>
        <v>573.53400000000011</v>
      </c>
      <c r="AU34" s="13">
        <f>(AT34/AP34-1)*100</f>
        <v>257.56706712635349</v>
      </c>
      <c r="AV34" s="21">
        <f>AV$10</f>
        <v>7.7215390424435926</v>
      </c>
      <c r="AW34" s="6"/>
      <c r="AX34" s="22">
        <f>AX10+AX16-AX22-AX28</f>
        <v>311.59100000000012</v>
      </c>
      <c r="AY34" s="13">
        <f>(AX34/AT34-1)*100</f>
        <v>-45.671747446533239</v>
      </c>
      <c r="AZ34" s="21">
        <f>AZ$10</f>
        <v>17.384863677096462</v>
      </c>
      <c r="BA34" s="6"/>
      <c r="BB34" s="22">
        <f>BB10+BB16-BB22-BB28</f>
        <v>526.3850000000001</v>
      </c>
      <c r="BC34" s="13">
        <f>(BB34/AX34-1)*100</f>
        <v>68.9345969556245</v>
      </c>
      <c r="BD34" s="21">
        <f>BD$10</f>
        <v>4.6148703880087849</v>
      </c>
      <c r="BE34" s="6"/>
      <c r="BF34" s="22">
        <f>BF10+BF16-BF22-BF28</f>
        <v>593.8000000000003</v>
      </c>
      <c r="BG34" s="13">
        <f>(BF34/BB34-1)*100</f>
        <v>12.80716585768975</v>
      </c>
      <c r="BH34" s="21">
        <f>BH$10</f>
        <v>20.225588579645404</v>
      </c>
      <c r="BI34" s="6"/>
      <c r="BJ34" s="22">
        <f>BJ10+BJ16-BJ22-BJ28</f>
        <v>519.29999999999995</v>
      </c>
      <c r="BK34" s="13">
        <f>(BJ34/BF34-1)*100</f>
        <v>-12.546311889525141</v>
      </c>
      <c r="BL34" s="21">
        <f>BL$10</f>
        <v>8.9208607773290751</v>
      </c>
      <c r="BM34" s="6"/>
      <c r="BN34" s="22">
        <f>BN10+BN16-BN22-BN28</f>
        <v>642.79999999999995</v>
      </c>
      <c r="BO34" s="13">
        <f>(BN34/BJ34-1)*100</f>
        <v>23.782014249951857</v>
      </c>
      <c r="BP34" s="21">
        <f>BP$10</f>
        <v>6.008658672501177</v>
      </c>
      <c r="BQ34" s="6"/>
      <c r="BR34" s="22">
        <f>BR10+BR16-BR22-BR28</f>
        <v>763.10000000000025</v>
      </c>
      <c r="BS34" s="13">
        <f>(BR34/BN34-1)*100</f>
        <v>18.714996888612379</v>
      </c>
      <c r="BT34" s="21">
        <f>BT$10</f>
        <v>6.1175236150748047</v>
      </c>
      <c r="BU34" s="6"/>
      <c r="BV34" s="22">
        <f>BV10+BV16-BV22-BV28</f>
        <v>531.40000000000032</v>
      </c>
      <c r="BW34" s="13">
        <f>(BV34/BR34-1)*100</f>
        <v>-30.362993054645504</v>
      </c>
      <c r="BX34" s="21">
        <f>BX$10</f>
        <v>4.7582800825981764</v>
      </c>
      <c r="BY34" s="6"/>
      <c r="BZ34" s="22">
        <f>BZ10+BZ16-BZ22-BZ28</f>
        <v>752.09999999999968</v>
      </c>
      <c r="CA34" s="13">
        <f>(BZ34/BV34-1)*100</f>
        <v>41.531802785095827</v>
      </c>
      <c r="CB34" s="21">
        <f>CB$10</f>
        <v>1.1773754489021293</v>
      </c>
      <c r="CC34" s="6"/>
      <c r="CD34" s="22">
        <f>CD10+CD16-CD22-CD28</f>
        <v>131.40000000000009</v>
      </c>
      <c r="CE34" s="13">
        <f>(CD34/BZ34-1)*100</f>
        <v>-82.528919026725148</v>
      </c>
      <c r="CF34" s="21">
        <f>CF$10</f>
        <v>15.210884878683316</v>
      </c>
      <c r="CG34" s="6"/>
      <c r="CH34" s="22">
        <f>CH10+CH16-CH22-CH28</f>
        <v>444</v>
      </c>
      <c r="CI34" s="13">
        <f>(CH34/CD34-1)*100</f>
        <v>237.89954337899522</v>
      </c>
      <c r="CJ34" s="160">
        <f>CJ28</f>
        <v>3.8776925929026707</v>
      </c>
      <c r="CK34" s="6"/>
      <c r="CL34" s="22">
        <f>CL10+CL16-CL22-CL28</f>
        <v>341.50000000000023</v>
      </c>
      <c r="CM34" s="13">
        <f>(CL34/CH34-1)*100</f>
        <v>-23.085585585585534</v>
      </c>
      <c r="CN34" s="160">
        <f>+CN28</f>
        <v>11.264873636219551</v>
      </c>
      <c r="CO34" s="6"/>
      <c r="CP34" s="22">
        <f>CP10+CP16-CP22-CP28</f>
        <v>249.70000000000027</v>
      </c>
      <c r="CQ34" s="159">
        <f>(CP34/CL34-1)*100</f>
        <v>-26.881405563689576</v>
      </c>
      <c r="CR34" s="160">
        <f>'qtrP&amp;L'!$CU10</f>
        <v>6.7526249179470588</v>
      </c>
      <c r="CS34" s="6"/>
      <c r="CT34" s="22">
        <f>CT10+CT16-CT22-CT28</f>
        <v>211</v>
      </c>
      <c r="CU34" s="159">
        <f>(CT34/CP34-1)*100</f>
        <v>-15.498598317981671</v>
      </c>
      <c r="CV34" s="160">
        <f>'qtrP&amp;L'!$CY10</f>
        <v>4.8721494362568007</v>
      </c>
      <c r="CW34" s="6"/>
      <c r="CX34" s="22">
        <f>CX10+CX16-CX22-CX28</f>
        <v>-0.80000000000040927</v>
      </c>
      <c r="CY34" s="159">
        <f>(CX34/CT34-1)*100</f>
        <v>-100.37914691943148</v>
      </c>
      <c r="CZ34" s="160">
        <f>'qtrP&amp;L'!$DC10</f>
        <v>5.7687697884019729</v>
      </c>
      <c r="DA34" s="6"/>
      <c r="DB34" s="22">
        <f>DB10+DB16-DB22-DB28</f>
        <v>233.10000000000036</v>
      </c>
      <c r="DC34" s="159">
        <f>(DB34/CX34-1)*100</f>
        <v>-29237.499999985142</v>
      </c>
      <c r="DD34" s="160">
        <f>'qtrP&amp;L'!$DC10</f>
        <v>5.7687697884019729</v>
      </c>
      <c r="DE34" s="6"/>
      <c r="DF34" s="22">
        <f>DF10+DF16-DF22-DF28</f>
        <v>-183.5</v>
      </c>
      <c r="DG34" s="159">
        <f>(DF34/DB34-1)*100</f>
        <v>-178.72157872157862</v>
      </c>
      <c r="DH34" s="160">
        <f>'qtrP&amp;L'!$DC10</f>
        <v>5.7687697884019729</v>
      </c>
      <c r="DI34" s="6"/>
      <c r="DJ34" s="22"/>
      <c r="DK34" s="159"/>
      <c r="DL34" s="160"/>
    </row>
    <row r="35" spans="1:116">
      <c r="A35" s="6" t="str">
        <f>$A$11</f>
        <v>2Q</v>
      </c>
      <c r="B35" s="6" t="str">
        <f>$B$11</f>
        <v>Jul</v>
      </c>
      <c r="C35" s="6"/>
      <c r="D35" s="23">
        <f>D11+D17-D23-D29</f>
        <v>201.38600000000002</v>
      </c>
      <c r="E35" s="23"/>
      <c r="F35" s="23">
        <f>F11+F17-F23-F29</f>
        <v>201.38000000000005</v>
      </c>
      <c r="G35" s="13">
        <f>(F35/D35-1)*100</f>
        <v>-2.97935308312125E-3</v>
      </c>
      <c r="H35" s="21">
        <f>H$11</f>
        <v>13.452522358859698</v>
      </c>
      <c r="I35" s="53"/>
      <c r="J35" s="23">
        <f>J11+J17-J23-J29</f>
        <v>200.09099999999998</v>
      </c>
      <c r="K35" s="13">
        <f>(J35/F35-1)*100</f>
        <v>-0.64008342437187338</v>
      </c>
      <c r="L35" s="21">
        <f>L$11</f>
        <v>16.032351387928713</v>
      </c>
      <c r="M35" s="53"/>
      <c r="N35" s="23">
        <f>N11+N17-N23-N29</f>
        <v>301.16499999999996</v>
      </c>
      <c r="O35" s="13">
        <f>(N35/J35-1)*100</f>
        <v>50.514016122664174</v>
      </c>
      <c r="P35" s="21">
        <f>P$11</f>
        <v>-13.826427572443478</v>
      </c>
      <c r="Q35" s="53"/>
      <c r="R35" s="23">
        <f>R11+R17-R23-R29</f>
        <v>358.95000000000005</v>
      </c>
      <c r="S35" s="13">
        <f>(R35/N35-1)*100</f>
        <v>19.187156542094886</v>
      </c>
      <c r="T35" s="21">
        <f>T$11</f>
        <v>6.2249104204809669</v>
      </c>
      <c r="U35" s="53"/>
      <c r="V35" s="23">
        <f>V11+V17-V23-V29</f>
        <v>486.11</v>
      </c>
      <c r="W35" s="13">
        <f>(V35/R35-1)*100</f>
        <v>35.425546733528336</v>
      </c>
      <c r="X35" s="21">
        <f>X$11</f>
        <v>10.363717277259221</v>
      </c>
      <c r="Y35" s="53"/>
      <c r="Z35" s="23">
        <f>Z11+Z17-Z23-Z29</f>
        <v>318.13600000000008</v>
      </c>
      <c r="AA35" s="13">
        <f>(Z35/V35-1)*100</f>
        <v>-34.554730410812354</v>
      </c>
      <c r="AB35" s="21">
        <f>AB$11</f>
        <v>103.35893283316454</v>
      </c>
      <c r="AC35" s="53"/>
      <c r="AD35" s="23">
        <f>AD11+AD17-AD23-AD29</f>
        <v>390.81299999999987</v>
      </c>
      <c r="AE35" s="13">
        <f>(AD35/Z35-1)*100</f>
        <v>22.844632484220504</v>
      </c>
      <c r="AF35" s="21">
        <f>AF$11</f>
        <v>9.6956000255771215</v>
      </c>
      <c r="AG35" s="53"/>
      <c r="AH35" s="23">
        <f>AH11+AH17-AH23-AH29</f>
        <v>377.33699999999999</v>
      </c>
      <c r="AI35" s="13">
        <f>(AH35/AD35-1)*100</f>
        <v>-3.4481964520115427</v>
      </c>
      <c r="AJ35" s="21">
        <f>AJ$11</f>
        <v>9.9681341896828091</v>
      </c>
      <c r="AK35" s="53"/>
      <c r="AL35" s="23">
        <f>AL11+AL17-AL23-AL29</f>
        <v>382.70499999999993</v>
      </c>
      <c r="AM35" s="13">
        <f>(AL35/AH35-1)*100</f>
        <v>1.4226010171279002</v>
      </c>
      <c r="AN35" s="21">
        <f>AN$11</f>
        <v>12.59233439776235</v>
      </c>
      <c r="AO35" s="6"/>
      <c r="AP35" s="23">
        <f>AP11+AP17-AP23-AP29</f>
        <v>423.07799999999997</v>
      </c>
      <c r="AQ35" s="13">
        <f>(AP35/AL35-1)*100</f>
        <v>10.549378764322404</v>
      </c>
      <c r="AR35" s="21">
        <f>AR$11</f>
        <v>7.386305544234939</v>
      </c>
      <c r="AS35" s="6"/>
      <c r="AT35" s="23">
        <f>AT11+AT17-AT23-AT29</f>
        <v>666.08800000000019</v>
      </c>
      <c r="AU35" s="13">
        <f>(AT35/AP35-1)*100</f>
        <v>57.438581065430071</v>
      </c>
      <c r="AV35" s="21">
        <f>AV$11</f>
        <v>10.160775918950439</v>
      </c>
      <c r="AW35" s="6"/>
      <c r="AX35" s="23">
        <f>AX11+AX17-AX23-AX29</f>
        <v>448.15099999999973</v>
      </c>
      <c r="AY35" s="13">
        <f>(AX35/AT35-1)*100</f>
        <v>-32.718950048642284</v>
      </c>
      <c r="AZ35" s="21">
        <f>AZ$11</f>
        <v>11.153905215503013</v>
      </c>
      <c r="BA35" s="6"/>
      <c r="BB35" s="23">
        <f>BB11+BB17-BB23-BB29</f>
        <v>565.22300000000018</v>
      </c>
      <c r="BC35" s="13">
        <f>(BB35/AX35-1)*100</f>
        <v>26.123337892808564</v>
      </c>
      <c r="BD35" s="21">
        <f>BD$11</f>
        <v>10.165857229188656</v>
      </c>
      <c r="BE35" s="6"/>
      <c r="BF35" s="23">
        <f>BF11+BF17-BF23-BF29</f>
        <v>669.20000000000016</v>
      </c>
      <c r="BG35" s="13">
        <f>(BF35/BB35-1)*100</f>
        <v>18.395748226806052</v>
      </c>
      <c r="BH35" s="21">
        <f>BH$11</f>
        <v>12.084069773854743</v>
      </c>
      <c r="BI35" s="6"/>
      <c r="BJ35" s="23">
        <f>BJ11+BJ17-BJ23-BJ29</f>
        <v>768.30499999999984</v>
      </c>
      <c r="BK35" s="13">
        <f>(BJ35/BF35-1)*100</f>
        <v>14.809473998804501</v>
      </c>
      <c r="BL35" s="21">
        <f>BL$11</f>
        <v>6.8412233652296983</v>
      </c>
      <c r="BM35" s="6"/>
      <c r="BN35" s="23">
        <f>BN11+BN17-BN23-BN29</f>
        <v>772.56800000000021</v>
      </c>
      <c r="BO35" s="13">
        <f>(BN35/BJ35-1)*100</f>
        <v>0.55485777132784353</v>
      </c>
      <c r="BP35" s="21">
        <f>BP$11</f>
        <v>8.6569243497431216</v>
      </c>
      <c r="BQ35" s="6"/>
      <c r="BR35" s="23">
        <f>BR11+BR17-BR23-BR29</f>
        <v>719.79999999999973</v>
      </c>
      <c r="BS35" s="13">
        <f>(BR35/BN35-1)*100</f>
        <v>-6.8302078263661521</v>
      </c>
      <c r="BT35" s="21">
        <f>BT$11</f>
        <v>8.821117053712225</v>
      </c>
      <c r="BU35" s="6"/>
      <c r="BV35" s="23">
        <f>BV11+BV17-BV23-BV29</f>
        <v>664.40000000000032</v>
      </c>
      <c r="BW35" s="13">
        <f>(BV35/BR35-1)*100</f>
        <v>-7.6965823839954766</v>
      </c>
      <c r="BX35" s="21">
        <f>BX$11</f>
        <v>5.5896207495981232</v>
      </c>
      <c r="BY35" s="6"/>
      <c r="BZ35" s="23">
        <f>BZ11+BZ17-BZ23-BZ29</f>
        <v>974.19999999999959</v>
      </c>
      <c r="CA35" s="13">
        <f>(BZ35/BV35-1)*100</f>
        <v>46.628537025887894</v>
      </c>
      <c r="CB35" s="21">
        <f>CB$11</f>
        <v>4.2405851929839145</v>
      </c>
      <c r="CC35" s="6"/>
      <c r="CD35" s="23">
        <f>CD11+CD17-CD23-CD29</f>
        <v>594.09999999999991</v>
      </c>
      <c r="CE35" s="159">
        <f>(CD35/BZ35-1)*100</f>
        <v>-39.016629028946817</v>
      </c>
      <c r="CF35" s="160">
        <f>CF11</f>
        <v>6.751977028887457</v>
      </c>
      <c r="CG35" s="6"/>
      <c r="CH35" s="23">
        <f>CH11+CH17-CH23-CH29</f>
        <v>860</v>
      </c>
      <c r="CI35" s="13">
        <f>(CH35/CD35-1)*100</f>
        <v>44.756774953711506</v>
      </c>
      <c r="CJ35" s="160">
        <f>CJ29</f>
        <v>7.8963631197613404</v>
      </c>
      <c r="CK35" s="6"/>
      <c r="CL35" s="23">
        <f>CL11+CL17-CL23-CL29</f>
        <v>494.79999999999973</v>
      </c>
      <c r="CM35" s="13">
        <f>(CL35/CH35-1)*100</f>
        <v>-42.465116279069804</v>
      </c>
      <c r="CN35" s="160">
        <f>+CN29</f>
        <v>8.7282568503333824</v>
      </c>
      <c r="CO35" s="6"/>
      <c r="CP35" s="23">
        <f>CP11+CP17-CP23-CP29</f>
        <v>648.50000000000045</v>
      </c>
      <c r="CQ35" s="13">
        <f>(CP35/CL35-1)*100</f>
        <v>31.063055780113345</v>
      </c>
      <c r="CR35" s="160">
        <f>'qtrP&amp;L'!$CU11</f>
        <v>8.3569097539861303</v>
      </c>
      <c r="CS35" s="6"/>
      <c r="CT35" s="22">
        <f>CT11+CT17-CT23-CT29</f>
        <v>585.59999999999991</v>
      </c>
      <c r="CU35" s="159">
        <f>(CT35/CP35-1)*100</f>
        <v>-9.699306090979265</v>
      </c>
      <c r="CV35" s="160">
        <f>'qtrP&amp;L'!$CY11</f>
        <v>7.3697105313155431</v>
      </c>
      <c r="CW35" s="6"/>
      <c r="CX35" s="23">
        <f>CX11+CX17-CX23-CX29</f>
        <v>269.40000000000009</v>
      </c>
      <c r="CY35" s="159">
        <f>(CX35/CT35-1)*100</f>
        <v>-53.995901639344247</v>
      </c>
      <c r="CZ35" s="160">
        <f>'qtrP&amp;L'!$DC11</f>
        <v>6.4551874367881013</v>
      </c>
      <c r="DA35" s="6"/>
      <c r="DB35" s="23">
        <f>DB11+DB17-DB23-DB29</f>
        <v>271.69999999999936</v>
      </c>
      <c r="DC35" s="159">
        <f>(DB35/CX35-1)*100</f>
        <v>0.85374907201161143</v>
      </c>
      <c r="DD35" s="160">
        <f>'qtrP&amp;L'!$DC11</f>
        <v>6.4551874367881013</v>
      </c>
      <c r="DE35" s="6"/>
      <c r="DF35" s="22">
        <f>DF11+DF17-DF23-DF29</f>
        <v>-40.800000000000182</v>
      </c>
      <c r="DG35" s="159">
        <f>(DF35/DB35-1)*100</f>
        <v>-115.01656238498354</v>
      </c>
      <c r="DH35" s="160">
        <f>'qtrP&amp;L'!$DC11</f>
        <v>6.4551874367881013</v>
      </c>
      <c r="DI35" s="6"/>
      <c r="DJ35" s="22"/>
      <c r="DK35" s="159"/>
      <c r="DL35" s="160"/>
    </row>
    <row r="36" spans="1:116">
      <c r="A36" s="6" t="str">
        <f>$A$12</f>
        <v>3Q</v>
      </c>
      <c r="B36" s="6" t="str">
        <f>$B$12</f>
        <v>Oct</v>
      </c>
      <c r="C36" s="6"/>
      <c r="D36" s="23">
        <f>D12+D18-D24-D30</f>
        <v>196.64400000000006</v>
      </c>
      <c r="E36" s="23"/>
      <c r="F36" s="23">
        <f>F12+F18-F24-F30</f>
        <v>219.93500000000003</v>
      </c>
      <c r="G36" s="13">
        <f>(F36/D36-1)*100</f>
        <v>11.844246455523667</v>
      </c>
      <c r="H36" s="21">
        <f>H$12</f>
        <v>9.1781479302764701</v>
      </c>
      <c r="I36" s="53"/>
      <c r="J36" s="23">
        <f>J12+J18-J24-J30</f>
        <v>214.43100000000001</v>
      </c>
      <c r="K36" s="13">
        <f>(J36/F36-1)*100</f>
        <v>-2.5025575738286343</v>
      </c>
      <c r="L36" s="21">
        <f>L$12</f>
        <v>18.978148763096069</v>
      </c>
      <c r="M36" s="53"/>
      <c r="N36" s="23">
        <f>N12+N18-N24-N30</f>
        <v>321.25999999999993</v>
      </c>
      <c r="O36" s="13">
        <f>(N36/J36-1)*100</f>
        <v>49.819755539077804</v>
      </c>
      <c r="P36" s="21">
        <f>P$12</f>
        <v>-10.268306169826346</v>
      </c>
      <c r="Q36" s="53"/>
      <c r="R36" s="23">
        <f>R12+R18-R24-R30</f>
        <v>375.64000000000004</v>
      </c>
      <c r="S36" s="13">
        <f>(R36/N36-1)*100</f>
        <v>16.92709954553948</v>
      </c>
      <c r="T36" s="21">
        <f>T$12</f>
        <v>6.7334880131960428</v>
      </c>
      <c r="U36" s="53"/>
      <c r="V36" s="23">
        <f>V12+V18-V24-V30</f>
        <v>562.83300000000008</v>
      </c>
      <c r="W36" s="13">
        <f>(V36/R36-1)*100</f>
        <v>49.83308486849112</v>
      </c>
      <c r="X36" s="21">
        <f>X$12</f>
        <v>7.162419601494685</v>
      </c>
      <c r="Y36" s="53"/>
      <c r="Z36" s="23">
        <f>Z12+Z18-Z24-Z30</f>
        <v>290.87699999999995</v>
      </c>
      <c r="AA36" s="13">
        <f>(Z36/V36-1)*100</f>
        <v>-48.319128409315034</v>
      </c>
      <c r="AB36" s="21">
        <f>AB$12</f>
        <v>100.00011611515838</v>
      </c>
      <c r="AC36" s="53"/>
      <c r="AD36" s="23">
        <f>AD12+AD18-AD24-AD30</f>
        <v>306.29000000000019</v>
      </c>
      <c r="AE36" s="13">
        <f>(AD36/Z36-1)*100</f>
        <v>5.2988032742362634</v>
      </c>
      <c r="AF36" s="21">
        <f>AF$12</f>
        <v>9.5951124835914836</v>
      </c>
      <c r="AG36" s="53"/>
      <c r="AH36" s="23">
        <f>AH12+AH18-AH24-AH30</f>
        <v>248.92400000000009</v>
      </c>
      <c r="AI36" s="13">
        <f>(AH36/AD36-1)*100</f>
        <v>-18.729308824969827</v>
      </c>
      <c r="AJ36" s="21">
        <f>AJ$12</f>
        <v>6.1347207021462014</v>
      </c>
      <c r="AK36" s="53"/>
      <c r="AL36" s="23">
        <f>AL12+AL18-AL24-AL30</f>
        <v>390.76299999999981</v>
      </c>
      <c r="AM36" s="13">
        <f>(AL36/AH36-1)*100</f>
        <v>56.98084555928704</v>
      </c>
      <c r="AN36" s="21">
        <f>AN$12</f>
        <v>11.557307376130721</v>
      </c>
      <c r="AO36" s="6"/>
      <c r="AP36" s="23">
        <f>AP12+AP18-AP24-AP30</f>
        <v>472.6809999999997</v>
      </c>
      <c r="AQ36" s="13">
        <f>(AP36/AL36-1)*100</f>
        <v>20.963601978692957</v>
      </c>
      <c r="AR36" s="21">
        <f>AR$12</f>
        <v>10.127585284292895</v>
      </c>
      <c r="AS36" s="6"/>
      <c r="AT36" s="23">
        <f>AT12+AT18-AT24-AT30</f>
        <v>744.40900000000022</v>
      </c>
      <c r="AU36" s="13">
        <f>(AT36/AP36-1)*100</f>
        <v>57.486550125772062</v>
      </c>
      <c r="AV36" s="21">
        <f>AV$12</f>
        <v>11.390133545352633</v>
      </c>
      <c r="AW36" s="6"/>
      <c r="AX36" s="23">
        <f>AX12+AX18-AX24-AX30</f>
        <v>561.95500000000004</v>
      </c>
      <c r="AY36" s="13">
        <f>(AX36/AT36-1)*100</f>
        <v>-24.509913233182314</v>
      </c>
      <c r="AZ36" s="21">
        <f>AZ$12</f>
        <v>11.057860819055154</v>
      </c>
      <c r="BA36" s="6"/>
      <c r="BB36" s="23">
        <f>BB12+BB18-BB24-BB30</f>
        <v>536.50000000000011</v>
      </c>
      <c r="BC36" s="13">
        <f>(BB36/AX36-1)*100</f>
        <v>-4.5297221307755819</v>
      </c>
      <c r="BD36" s="21">
        <f>BD$12</f>
        <v>11.248197835760854</v>
      </c>
      <c r="BE36" s="6"/>
      <c r="BF36" s="23">
        <f>BF12+BF18-BF24-BF30</f>
        <v>632.20000000000005</v>
      </c>
      <c r="BG36" s="13">
        <f>(BF36/BB36-1)*100</f>
        <v>17.83783783783781</v>
      </c>
      <c r="BH36" s="21">
        <f>BH$12</f>
        <v>12.690895693872562</v>
      </c>
      <c r="BI36" s="6"/>
      <c r="BJ36" s="23">
        <f>BJ12+BJ18-BJ24-BJ30</f>
        <v>758.09999999999991</v>
      </c>
      <c r="BK36" s="13">
        <f>(BJ36/BF36-1)*100</f>
        <v>19.914583992407444</v>
      </c>
      <c r="BL36" s="21">
        <f>BL$12</f>
        <v>5.8826672953750547</v>
      </c>
      <c r="BM36" s="6"/>
      <c r="BN36" s="23">
        <f>BN12+BN18-BN24-BN30</f>
        <v>865.7</v>
      </c>
      <c r="BO36" s="13">
        <f>(BN36/BJ36-1)*100</f>
        <v>14.193378182297867</v>
      </c>
      <c r="BP36" s="21">
        <f>BP$12</f>
        <v>10.664037218029488</v>
      </c>
      <c r="BQ36" s="6"/>
      <c r="BR36" s="23">
        <f>BR12+BR18-BR24-BR30</f>
        <v>765.5</v>
      </c>
      <c r="BS36" s="13">
        <f>(BR36/BN36-1)*100</f>
        <v>-11.574448423241313</v>
      </c>
      <c r="BT36" s="21">
        <f>BT$12</f>
        <v>4.1533057765323456</v>
      </c>
      <c r="BU36" s="6"/>
      <c r="BV36" s="23">
        <f>BV12+BV18-BV24-BV30</f>
        <v>650.50000000000023</v>
      </c>
      <c r="BW36" s="13">
        <f>(BV36/BR36-1)*100</f>
        <v>-15.022860875244904</v>
      </c>
      <c r="BX36" s="21">
        <f>BX$12</f>
        <v>2.2068732213454512</v>
      </c>
      <c r="BY36" s="6"/>
      <c r="BZ36" s="23">
        <f>BZ12+BZ18-BZ24-BZ30</f>
        <v>839.3</v>
      </c>
      <c r="CA36" s="13">
        <f>(BZ36/BV36-1)*100</f>
        <v>29.02382782475015</v>
      </c>
      <c r="CB36" s="21">
        <f>CB$12</f>
        <v>10.152535004504859</v>
      </c>
      <c r="CC36" s="6"/>
      <c r="CD36" s="23">
        <f>CD12+CD18-CD24-CD30</f>
        <v>727.59999999999991</v>
      </c>
      <c r="CE36" s="159">
        <f>(CD36/BZ36-1)*100</f>
        <v>-13.308709638984872</v>
      </c>
      <c r="CF36" s="160">
        <f>CF12</f>
        <v>5.355650944738044</v>
      </c>
      <c r="CG36" s="6"/>
      <c r="CH36" s="23">
        <f>CH12+CH18-CH24-CH30</f>
        <v>1081.6999999999998</v>
      </c>
      <c r="CI36" s="13">
        <f>(CH36/CD36-1)*100</f>
        <v>48.666849917537093</v>
      </c>
      <c r="CJ36" s="160">
        <f>CJ30</f>
        <v>4.8369236426560436</v>
      </c>
      <c r="CK36" s="6"/>
      <c r="CL36" s="23">
        <f>CL12+CL18-CL24-CL30</f>
        <v>453.70000000000005</v>
      </c>
      <c r="CM36" s="13">
        <f>(CL36/CH36-1)*100</f>
        <v>-58.05676250346675</v>
      </c>
      <c r="CN36" s="160">
        <f>+CN30</f>
        <v>10.664100637859208</v>
      </c>
      <c r="CO36" s="6"/>
      <c r="CP36" s="23">
        <f>CP12+CP18-CP24-CP30</f>
        <v>569</v>
      </c>
      <c r="CQ36" s="13">
        <f>(CP36/CL36-1)*100</f>
        <v>25.413268679744316</v>
      </c>
      <c r="CR36" s="160">
        <f>'qtrP&amp;L'!$CU12</f>
        <v>8.9061105649070669</v>
      </c>
      <c r="CS36" s="6"/>
      <c r="CT36" s="102">
        <f>CT12+CT18-CT24-CT30</f>
        <v>611.39999999999986</v>
      </c>
      <c r="CU36" s="159">
        <f>(CT36/CP36-1)*100</f>
        <v>7.4516695957820511</v>
      </c>
      <c r="CV36" s="160">
        <f>'qtrP&amp;L'!$CY12</f>
        <v>5.5026757851328156</v>
      </c>
      <c r="CW36" s="6"/>
      <c r="CX36" s="23">
        <f>CX12+CX18-CX24-CX30</f>
        <v>374.20000000000027</v>
      </c>
      <c r="CY36" s="159">
        <f>(CX36/CT36-1)*100</f>
        <v>-38.796205430160228</v>
      </c>
      <c r="CZ36" s="160">
        <f>'qtrP&amp;L'!$DC12</f>
        <v>5.2596460580179416</v>
      </c>
      <c r="DA36" s="6"/>
      <c r="DB36" s="23">
        <f>DB12+DB18-DB24-DB30</f>
        <v>221.5</v>
      </c>
      <c r="DC36" s="159">
        <f>(DB36/CX36-1)*100</f>
        <v>-40.807055050775034</v>
      </c>
      <c r="DD36" s="160">
        <f>'qtrP&amp;L'!$DC12</f>
        <v>5.2596460580179416</v>
      </c>
      <c r="DE36" s="6"/>
      <c r="DF36" s="22">
        <f>DF12+DF18-DF24-DF30</f>
        <v>46.199999999999818</v>
      </c>
      <c r="DG36" s="159">
        <f>(DF36/DB36-1)*100</f>
        <v>-79.14221218961633</v>
      </c>
      <c r="DH36" s="160">
        <f>'qtrP&amp;L'!$DC12</f>
        <v>5.2596460580179416</v>
      </c>
      <c r="DI36" s="6"/>
      <c r="DJ36" s="22"/>
      <c r="DK36" s="159"/>
      <c r="DL36" s="160"/>
    </row>
    <row r="37" spans="1:116">
      <c r="A37" s="6" t="str">
        <f>$A$13</f>
        <v>4Q</v>
      </c>
      <c r="B37" s="6" t="str">
        <f>$B$13</f>
        <v>Jan</v>
      </c>
      <c r="C37" s="6"/>
      <c r="D37" s="23">
        <f>D13+D19-D25-D31</f>
        <v>141.74700000000004</v>
      </c>
      <c r="E37" s="23"/>
      <c r="F37" s="23">
        <f>F13+F19-F25-F31</f>
        <v>101.10099999999997</v>
      </c>
      <c r="G37" s="13">
        <f>(F37/D37-1)*100</f>
        <v>-28.675033686780004</v>
      </c>
      <c r="H37" s="21">
        <f>H$13</f>
        <v>11.98775456472967</v>
      </c>
      <c r="I37" s="53"/>
      <c r="J37" s="23">
        <f>J13+J19-J25-J31</f>
        <v>124.93200000000002</v>
      </c>
      <c r="K37" s="13">
        <f>(J37/F37-1)*100</f>
        <v>23.571478026923632</v>
      </c>
      <c r="L37" s="21">
        <f>L$13</f>
        <v>24.748331169919279</v>
      </c>
      <c r="M37" s="53"/>
      <c r="N37" s="23">
        <f>N13+N19-N25-N31</f>
        <v>217.24599999999998</v>
      </c>
      <c r="O37" s="13">
        <f>(N37/J37-1)*100</f>
        <v>73.891396919924389</v>
      </c>
      <c r="P37" s="21">
        <f>P$13</f>
        <v>-16.200548335196206</v>
      </c>
      <c r="Q37" s="53"/>
      <c r="R37" s="23">
        <f>R13+R19-R25-R31</f>
        <v>297.66899999999998</v>
      </c>
      <c r="S37" s="13">
        <f>(R37/N37-1)*100</f>
        <v>37.019323715971765</v>
      </c>
      <c r="T37" s="21">
        <f>T$13</f>
        <v>8.6953349107726119</v>
      </c>
      <c r="U37" s="53"/>
      <c r="V37" s="23">
        <f>V13+V19-V25-V31</f>
        <v>278.59500000000003</v>
      </c>
      <c r="W37" s="13">
        <f>(V37/R37-1)*100</f>
        <v>-6.4077885167753257</v>
      </c>
      <c r="X37" s="21">
        <f>X$13</f>
        <v>80.350148518174905</v>
      </c>
      <c r="Y37" s="53"/>
      <c r="Z37" s="23">
        <f>Z13+Z19-Z25-Z31</f>
        <v>32.454000000000065</v>
      </c>
      <c r="AA37" s="13">
        <f>(Z37/V37-1)*100</f>
        <v>-88.350831852689367</v>
      </c>
      <c r="AB37" s="21">
        <f>AB$13</f>
        <v>18.778829331577505</v>
      </c>
      <c r="AC37" s="53"/>
      <c r="AD37" s="23">
        <f>AD13+AD19-AD25-AD31</f>
        <v>83.965000000000032</v>
      </c>
      <c r="AE37" s="13">
        <f>(AD37/Z37-1)*100</f>
        <v>158.7200345103835</v>
      </c>
      <c r="AF37" s="21">
        <f>AF$13</f>
        <v>15.226190934895145</v>
      </c>
      <c r="AG37" s="53"/>
      <c r="AH37" s="23">
        <f>AH13+AH19-AH25-AH31</f>
        <v>-24.291000000000167</v>
      </c>
      <c r="AI37" s="13">
        <f>(AH37/AD37-1)*100</f>
        <v>-128.92991127255422</v>
      </c>
      <c r="AJ37" s="21">
        <f>AJ$13</f>
        <v>3.6160704532494092</v>
      </c>
      <c r="AK37" s="53"/>
      <c r="AL37" s="23">
        <f>AL13+AL19-AL25-AL31</f>
        <v>62.797000000000025</v>
      </c>
      <c r="AM37" s="13">
        <f>(AL37/AH37-1)*100</f>
        <v>-358.51961631879954</v>
      </c>
      <c r="AN37" s="21">
        <f>AN$13</f>
        <v>8.7344316922208343</v>
      </c>
      <c r="AO37" s="6"/>
      <c r="AP37" s="23">
        <f>AP13+AP19-AP25-AP31</f>
        <v>399.726</v>
      </c>
      <c r="AQ37" s="13">
        <f>(AP37/AL37-1)*100</f>
        <v>536.536777234581</v>
      </c>
      <c r="AR37" s="21">
        <f>AR$13</f>
        <v>8.8790930993107651</v>
      </c>
      <c r="AS37" s="6"/>
      <c r="AT37" s="23">
        <f>AT13+AT19-AT25-AT31</f>
        <v>309.38400000000001</v>
      </c>
      <c r="AU37" s="13">
        <f>(AT37/AP37-1)*100</f>
        <v>-22.60098167244562</v>
      </c>
      <c r="AV37" s="21">
        <f>AV$13</f>
        <v>16.62509245612538</v>
      </c>
      <c r="AW37" s="6"/>
      <c r="AX37" s="23">
        <f>AX13+AX19-AX25-AX31</f>
        <v>198.21300000000008</v>
      </c>
      <c r="AY37" s="13">
        <f>(AX37/AT37-1)*100</f>
        <v>-35.93301528197965</v>
      </c>
      <c r="AZ37" s="21">
        <f>AZ$13</f>
        <v>9.2488512524651725</v>
      </c>
      <c r="BA37" s="6"/>
      <c r="BB37" s="23">
        <f>BB13+BB19-BB25-BB31</f>
        <v>519.86199999999997</v>
      </c>
      <c r="BC37" s="13">
        <f>(BB37/AX37-1)*100</f>
        <v>162.2744219602144</v>
      </c>
      <c r="BD37" s="21">
        <f>BD$13</f>
        <v>17.119362506885636</v>
      </c>
      <c r="BE37" s="6"/>
      <c r="BF37" s="23">
        <f>BF13+BF19-BF25-BF31</f>
        <v>493.80000000000007</v>
      </c>
      <c r="BG37" s="13">
        <f>(BF37/BB37-1)*100</f>
        <v>-5.01325351727957</v>
      </c>
      <c r="BH37" s="21">
        <f>BH$13</f>
        <v>5.4440803615162681</v>
      </c>
      <c r="BI37" s="6"/>
      <c r="BJ37" s="23">
        <f>BJ13+BJ19-BJ25-BJ31</f>
        <v>422.62700000000007</v>
      </c>
      <c r="BK37" s="13">
        <f>(BJ37/BF37-1)*100</f>
        <v>-14.413325232887807</v>
      </c>
      <c r="BL37" s="21">
        <f>BL$13</f>
        <v>8.9445195304622693</v>
      </c>
      <c r="BM37" s="6"/>
      <c r="BN37" s="23">
        <f>BN13+BN19-BN25-BN31</f>
        <v>509.0999999999998</v>
      </c>
      <c r="BO37" s="13">
        <f>(BN37/BJ37-1)*100</f>
        <v>20.460831891951937</v>
      </c>
      <c r="BP37" s="21">
        <f>BP$13</f>
        <v>8.0667010578358891</v>
      </c>
      <c r="BQ37" s="6"/>
      <c r="BR37" s="23">
        <f>BR13+BR19-BR25-BR31</f>
        <v>498.79999999999973</v>
      </c>
      <c r="BS37" s="13">
        <f>(BR37/BN37-1)*100</f>
        <v>-2.0231781575329122</v>
      </c>
      <c r="BT37" s="21">
        <f>BT$13</f>
        <v>5.7898723880317249</v>
      </c>
      <c r="BU37" s="6"/>
      <c r="BV37" s="23">
        <f>BV13+BV19-BV25-BV31</f>
        <v>797.60000000000036</v>
      </c>
      <c r="BW37" s="13">
        <f>(BV37/BR37-1)*100</f>
        <v>59.903769045709865</v>
      </c>
      <c r="BX37" s="21">
        <f>BX$13</f>
        <v>-0.2197936302689607</v>
      </c>
      <c r="BY37" s="6"/>
      <c r="BZ37" s="23">
        <f>BZ13+BZ19-BZ25-BZ31</f>
        <v>163.70000000000027</v>
      </c>
      <c r="CA37" s="13">
        <f>(BZ37/BV37-1)*100</f>
        <v>-79.475927783350016</v>
      </c>
      <c r="CB37" s="21">
        <f>CB$13</f>
        <v>10.440862263651196</v>
      </c>
      <c r="CC37" s="6"/>
      <c r="CD37" s="23">
        <f>CD13+CD19-CD25-CD31</f>
        <v>148.29999999999995</v>
      </c>
      <c r="CE37" s="159">
        <f>(CD37/BZ37-1)*100</f>
        <v>-9.4074526573001194</v>
      </c>
      <c r="CF37" s="160">
        <f>CF13</f>
        <v>1.8687772920619627</v>
      </c>
      <c r="CG37" s="6"/>
      <c r="CH37" s="23">
        <f>CH13+CH19-CH25-CH31</f>
        <v>467.40000000000032</v>
      </c>
      <c r="CI37" s="13">
        <f>(CH37/CD37-1)*100</f>
        <v>215.17194875252898</v>
      </c>
      <c r="CJ37" s="160">
        <f>CJ31</f>
        <v>10.854079709436192</v>
      </c>
      <c r="CK37" s="6"/>
      <c r="CL37" s="23">
        <f>CL13+CL19-CL25-CL31</f>
        <v>-96.885999999999967</v>
      </c>
      <c r="CM37" s="13">
        <f>(CL37/CH37-1)*100</f>
        <v>-120.72871202396232</v>
      </c>
      <c r="CN37" s="160">
        <f>+CN31</f>
        <v>15.113153112228495</v>
      </c>
      <c r="CO37" s="6"/>
      <c r="CP37" s="23">
        <f>CP13+CP19-CP25-CP31</f>
        <v>105.78999999999974</v>
      </c>
      <c r="CQ37" s="13">
        <f>(CP37/CL37-1)*100</f>
        <v>-209.1901822760768</v>
      </c>
      <c r="CR37" s="160">
        <f>'qtrP&amp;L'!$CU13</f>
        <v>1.1001430122475675</v>
      </c>
      <c r="CS37" s="6"/>
      <c r="CT37" s="102">
        <f>CT13+CT19-CT25-CT31</f>
        <v>9.0000000000004547</v>
      </c>
      <c r="CU37" s="159">
        <f>(CT37/CP37-1)*100</f>
        <v>-91.492579638906818</v>
      </c>
      <c r="CV37" s="160">
        <f>'qtrP&amp;L'!$CZ13</f>
        <v>4</v>
      </c>
      <c r="CW37" s="6"/>
      <c r="CX37" s="23">
        <f>CX13+CX19-CX25-CX31</f>
        <v>-77.399999999999636</v>
      </c>
      <c r="CY37" s="159">
        <f>(CX37/CT37-1)*100</f>
        <v>-959.99999999995248</v>
      </c>
      <c r="CZ37" s="160">
        <f>'qtrP&amp;L'!$CZ13</f>
        <v>4</v>
      </c>
      <c r="DA37" s="6"/>
      <c r="DB37" s="23">
        <f>DB13+DB19-DB25-DB31</f>
        <v>-479.79999999999973</v>
      </c>
      <c r="DC37" s="159">
        <f>(DB37/CX37-1)*100</f>
        <v>519.89664082687591</v>
      </c>
      <c r="DD37" s="160">
        <f>'qtrP&amp;L'!$DC13</f>
        <v>7.9254061288641875</v>
      </c>
      <c r="DE37" s="6"/>
      <c r="DF37" s="22">
        <f>DF13+DF19-DF25-DF31</f>
        <v>95.5</v>
      </c>
      <c r="DG37" s="159">
        <f>(DF37/DB37-1)*100</f>
        <v>-119.90412671946646</v>
      </c>
      <c r="DH37" s="160">
        <f>'qtrP&amp;L'!$DC13</f>
        <v>7.9254061288641875</v>
      </c>
      <c r="DI37" s="6"/>
      <c r="DJ37" s="102"/>
      <c r="DK37" s="159"/>
      <c r="DL37" s="160"/>
    </row>
    <row r="38" spans="1:116">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c r="AE38" s="6"/>
      <c r="AF38" s="6"/>
      <c r="AG38" s="6"/>
      <c r="AH38" s="6"/>
      <c r="AI38" s="6"/>
      <c r="AJ38" s="6"/>
      <c r="AK38" s="6"/>
      <c r="AL38" s="6"/>
      <c r="AM38" s="6"/>
      <c r="AN38" s="6"/>
      <c r="AO38" s="6"/>
      <c r="AP38" s="6"/>
      <c r="AQ38" s="6"/>
      <c r="AR38" s="6"/>
      <c r="AS38" s="6"/>
      <c r="AT38" s="6"/>
      <c r="AU38" s="6"/>
      <c r="AV38" s="6"/>
      <c r="AW38" s="6"/>
      <c r="AX38" s="6"/>
      <c r="AY38" s="6"/>
      <c r="AZ38" s="6"/>
      <c r="BA38" s="6"/>
      <c r="BB38" s="6"/>
      <c r="BC38" s="6"/>
      <c r="BD38" s="6"/>
      <c r="BE38" s="6"/>
      <c r="BF38" s="6"/>
      <c r="BG38" s="6"/>
      <c r="BH38" s="6"/>
      <c r="BI38" s="6"/>
      <c r="BJ38" s="6"/>
      <c r="BK38" s="6"/>
      <c r="BL38" s="6"/>
      <c r="BM38" s="6"/>
      <c r="BN38" s="6"/>
      <c r="BO38" s="6"/>
      <c r="BP38" s="6"/>
      <c r="BQ38" s="6"/>
      <c r="BR38" s="6"/>
      <c r="BS38" s="6"/>
      <c r="BT38" s="6"/>
      <c r="BU38" s="6"/>
      <c r="BV38" s="6"/>
      <c r="BW38" s="6"/>
      <c r="BX38" s="6"/>
      <c r="BY38" s="6"/>
      <c r="BZ38" s="6"/>
      <c r="CA38" s="6"/>
      <c r="CB38" s="6"/>
      <c r="CC38" s="6"/>
      <c r="CD38" s="6"/>
      <c r="CE38" s="6"/>
      <c r="CF38" s="6"/>
      <c r="CG38" s="6"/>
      <c r="CH38" s="6"/>
      <c r="CI38" s="6"/>
      <c r="CJ38" s="6"/>
      <c r="CK38" s="6"/>
      <c r="CL38" s="6"/>
      <c r="CM38" s="6"/>
      <c r="CN38" s="6"/>
      <c r="CO38" s="6"/>
      <c r="CP38" s="87"/>
      <c r="CQ38" s="87"/>
      <c r="CR38" s="87"/>
      <c r="CS38" s="6"/>
      <c r="CT38" s="87"/>
      <c r="CU38" s="87"/>
      <c r="CV38" s="87"/>
      <c r="CW38" s="6"/>
      <c r="CX38" s="87"/>
      <c r="CY38" s="87"/>
      <c r="CZ38" s="87"/>
      <c r="DA38" s="6"/>
      <c r="DB38" s="87"/>
      <c r="DC38" s="87"/>
      <c r="DD38" s="87"/>
      <c r="DE38" s="6"/>
      <c r="DF38" s="87"/>
      <c r="DG38" s="87"/>
      <c r="DH38" s="87"/>
      <c r="DI38" s="6"/>
      <c r="DJ38" s="87"/>
      <c r="DK38" s="87"/>
      <c r="DL38" s="87"/>
    </row>
    <row r="39" spans="1:116">
      <c r="A39" s="66"/>
      <c r="B39" s="9"/>
      <c r="C39" s="6"/>
      <c r="D39" s="6"/>
      <c r="E39" s="6"/>
      <c r="F39" s="6"/>
      <c r="G39" s="6"/>
      <c r="H39" s="6"/>
      <c r="I39" s="6"/>
      <c r="J39" s="6"/>
      <c r="K39" s="6"/>
      <c r="L39" s="6"/>
      <c r="M39" s="6"/>
      <c r="N39" s="55"/>
      <c r="O39" s="6"/>
      <c r="P39" s="6"/>
      <c r="Q39" s="6"/>
      <c r="R39" s="6"/>
      <c r="S39" s="6"/>
      <c r="T39" s="6"/>
      <c r="U39" s="6"/>
      <c r="V39" s="6"/>
      <c r="W39" s="6"/>
      <c r="X39" s="6"/>
      <c r="Y39" s="6"/>
      <c r="Z39" s="6"/>
      <c r="AA39" s="6"/>
      <c r="AB39" s="6"/>
      <c r="AC39" s="6"/>
      <c r="AD39" s="55"/>
      <c r="AE39" s="6"/>
      <c r="AF39" s="6"/>
      <c r="AG39" s="6"/>
      <c r="AH39" s="6"/>
      <c r="AI39" s="6"/>
      <c r="AJ39" s="6"/>
      <c r="AK39" s="6"/>
      <c r="AL39" s="6"/>
      <c r="AM39" s="6"/>
      <c r="AN39" s="6"/>
      <c r="AO39" s="6"/>
      <c r="AP39" s="6"/>
      <c r="AQ39" s="6"/>
      <c r="AR39" s="6"/>
      <c r="AS39" s="6"/>
      <c r="AT39" s="6"/>
      <c r="AU39" s="6"/>
      <c r="AV39" s="6"/>
      <c r="AW39" s="6"/>
      <c r="AX39" s="6"/>
      <c r="AY39" s="6"/>
      <c r="AZ39" s="6"/>
      <c r="BA39" s="6"/>
      <c r="BB39" s="6"/>
      <c r="BC39" s="6"/>
      <c r="BD39" s="6"/>
      <c r="BE39" s="6"/>
      <c r="BF39" s="6"/>
      <c r="BG39" s="6"/>
      <c r="BH39" s="6"/>
      <c r="BI39" s="6"/>
      <c r="BJ39" s="6"/>
      <c r="BK39" s="6"/>
      <c r="BL39" s="6"/>
      <c r="BM39" s="6"/>
      <c r="BN39" s="6"/>
      <c r="BO39" s="6"/>
      <c r="BP39" s="6"/>
      <c r="BQ39" s="6"/>
      <c r="BS39" s="6"/>
      <c r="BT39" s="6"/>
      <c r="BU39" s="6"/>
      <c r="BV39" s="6"/>
      <c r="BW39" s="6"/>
      <c r="BX39" s="6"/>
      <c r="BY39" s="6"/>
      <c r="BZ39" s="6"/>
      <c r="CA39" s="6"/>
      <c r="CB39" s="6"/>
      <c r="CC39" s="6"/>
      <c r="CD39" s="6"/>
      <c r="CE39" s="6"/>
      <c r="CF39" s="6"/>
      <c r="CG39" s="6"/>
      <c r="CH39" s="66" t="s">
        <v>50</v>
      </c>
      <c r="CI39" s="6"/>
      <c r="CJ39" s="6"/>
      <c r="CK39" s="6"/>
      <c r="CL39" s="6"/>
      <c r="CM39" s="6"/>
      <c r="CN39" s="6"/>
      <c r="CO39" s="6"/>
      <c r="CP39" s="87"/>
      <c r="CQ39" s="87"/>
      <c r="CR39" s="87"/>
      <c r="CS39" s="6"/>
      <c r="CT39" s="87"/>
      <c r="CU39" s="87"/>
      <c r="CV39" s="87"/>
      <c r="CW39" s="6"/>
      <c r="CX39" s="87"/>
      <c r="CY39" s="87"/>
      <c r="CZ39" s="87"/>
      <c r="DA39" s="6"/>
      <c r="DB39" s="87"/>
      <c r="DC39" s="87"/>
      <c r="DD39" s="87"/>
      <c r="DE39" s="6"/>
      <c r="DF39" s="87"/>
      <c r="DG39" s="87"/>
      <c r="DH39" s="87"/>
      <c r="DI39" s="6"/>
      <c r="DJ39" s="87"/>
      <c r="DK39" s="87"/>
      <c r="DL39" s="87"/>
    </row>
    <row r="40" spans="1:116">
      <c r="A40" s="6" t="str">
        <f>$A$10</f>
        <v>1Q</v>
      </c>
      <c r="B40" s="6" t="str">
        <f>$B$10</f>
        <v>Apr</v>
      </c>
      <c r="C40" s="6"/>
      <c r="D40" s="22"/>
      <c r="E40" s="6"/>
      <c r="F40" s="22">
        <f>F34-D34</f>
        <v>31.424000000000092</v>
      </c>
      <c r="G40" s="13"/>
      <c r="H40" s="21"/>
      <c r="I40" s="53"/>
      <c r="J40" s="22">
        <f>J34-F34</f>
        <v>-44.183000000000106</v>
      </c>
      <c r="K40" s="13"/>
      <c r="L40" s="21"/>
      <c r="M40" s="53"/>
      <c r="N40" s="22">
        <f>N34-J34</f>
        <v>44.593000000000018</v>
      </c>
      <c r="O40" s="13"/>
      <c r="P40" s="21"/>
      <c r="Q40" s="53"/>
      <c r="R40" s="22">
        <f>R34-N34</f>
        <v>76.870000000000061</v>
      </c>
      <c r="S40" s="13"/>
      <c r="T40" s="21"/>
      <c r="U40" s="53"/>
      <c r="V40" s="22">
        <f>V34-D34</f>
        <v>316.85399999999998</v>
      </c>
      <c r="W40" s="13"/>
      <c r="X40" s="21"/>
      <c r="Y40" s="53"/>
      <c r="Z40" s="22">
        <f>Z34-V34</f>
        <v>-117.94299999999987</v>
      </c>
      <c r="AA40" s="13"/>
      <c r="AB40" s="21"/>
      <c r="AC40" s="53"/>
      <c r="AD40" s="22">
        <f>AD34-Z34</f>
        <v>-185.68100000000004</v>
      </c>
      <c r="AE40" s="13"/>
      <c r="AF40" s="21"/>
      <c r="AG40" s="53"/>
      <c r="AH40" s="22">
        <f>AH34-AD34</f>
        <v>-6.943000000000211</v>
      </c>
      <c r="AI40" s="13"/>
      <c r="AJ40" s="21"/>
      <c r="AK40" s="53"/>
      <c r="AL40" s="22">
        <f>AL34-AH34</f>
        <v>-49.894999999999754</v>
      </c>
      <c r="AM40" s="13"/>
      <c r="AN40" s="21"/>
      <c r="AO40" s="6"/>
      <c r="AP40" s="22">
        <f>AP34-AL34</f>
        <v>63.548000000000002</v>
      </c>
      <c r="AQ40" s="13"/>
      <c r="AR40" s="21"/>
      <c r="AS40" s="6"/>
      <c r="AT40" s="22">
        <f>AT34-AP34</f>
        <v>413.13499999999999</v>
      </c>
      <c r="AU40" s="13"/>
      <c r="AV40" s="21"/>
      <c r="AW40" s="6"/>
      <c r="AX40" s="22">
        <f>AX34-AT34</f>
        <v>-261.94299999999998</v>
      </c>
      <c r="AY40" s="13"/>
      <c r="AZ40" s="21"/>
      <c r="BA40" s="6"/>
      <c r="BB40" s="22">
        <f>BB34-AX34</f>
        <v>214.79399999999998</v>
      </c>
      <c r="BC40" s="13"/>
      <c r="BD40" s="21"/>
      <c r="BE40" s="6"/>
      <c r="BF40" s="22">
        <f>BF34-BB34</f>
        <v>67.415000000000191</v>
      </c>
      <c r="BG40" s="13"/>
      <c r="BH40" s="21"/>
      <c r="BI40" s="6"/>
      <c r="BJ40" s="22">
        <f>BJ34-BF34</f>
        <v>-74.500000000000341</v>
      </c>
      <c r="BK40" s="13"/>
      <c r="BL40" s="21"/>
      <c r="BM40" s="6"/>
      <c r="BN40" s="22">
        <f>BN34-BJ34</f>
        <v>123.5</v>
      </c>
      <c r="BO40" s="13"/>
      <c r="BP40" s="21"/>
      <c r="BQ40" s="6"/>
      <c r="BR40" s="22">
        <f>BR34-BN34</f>
        <v>120.3000000000003</v>
      </c>
      <c r="BS40" s="13"/>
      <c r="BT40" s="21"/>
      <c r="BU40" s="6"/>
      <c r="BV40" s="22">
        <f>BV34-BR34</f>
        <v>-231.69999999999993</v>
      </c>
      <c r="BW40" s="13"/>
      <c r="BX40" s="21"/>
      <c r="BY40" s="6"/>
      <c r="BZ40" s="22">
        <f>BZ34-BV34</f>
        <v>220.69999999999936</v>
      </c>
      <c r="CA40" s="13"/>
      <c r="CB40" s="21"/>
      <c r="CC40" s="6"/>
      <c r="CD40" s="22">
        <f>CD34-BZ34</f>
        <v>-620.69999999999959</v>
      </c>
      <c r="CE40" s="13"/>
      <c r="CF40" s="21"/>
      <c r="CG40" s="6"/>
      <c r="CH40" s="22">
        <f>CH34-CD34</f>
        <v>312.59999999999991</v>
      </c>
      <c r="CI40" s="13"/>
      <c r="CJ40" s="21"/>
      <c r="CK40" s="6"/>
      <c r="CL40" s="22">
        <f>CL34-CH34</f>
        <v>-102.49999999999977</v>
      </c>
      <c r="CM40" s="13"/>
      <c r="CN40" s="21"/>
      <c r="CO40" s="6"/>
      <c r="CP40" s="22">
        <f>CP34-CL34</f>
        <v>-91.799999999999955</v>
      </c>
      <c r="CQ40" s="159"/>
      <c r="CR40" s="160"/>
      <c r="CS40" s="6"/>
      <c r="CT40" s="22">
        <f>CT34-CP34</f>
        <v>-38.700000000000273</v>
      </c>
      <c r="CU40" s="159"/>
      <c r="CV40" s="160"/>
      <c r="CW40" s="6"/>
      <c r="CX40" s="22">
        <f>CX34-CT34</f>
        <v>-211.80000000000041</v>
      </c>
      <c r="CY40" s="159"/>
      <c r="CZ40" s="160"/>
      <c r="DA40" s="6"/>
      <c r="DB40" s="22">
        <f>DB34-CX34</f>
        <v>233.90000000000077</v>
      </c>
      <c r="DC40" s="159"/>
      <c r="DD40" s="160"/>
      <c r="DE40" s="6"/>
      <c r="DF40" s="22">
        <f>DF34-DB34</f>
        <v>-416.60000000000036</v>
      </c>
      <c r="DG40" s="159"/>
      <c r="DH40" s="160"/>
      <c r="DI40" s="6"/>
      <c r="DJ40" s="22"/>
      <c r="DK40" s="159"/>
      <c r="DL40" s="160"/>
    </row>
    <row r="41" spans="1:116">
      <c r="A41" s="6" t="str">
        <f>$A$11</f>
        <v>2Q</v>
      </c>
      <c r="B41" s="6" t="str">
        <f>$B$11</f>
        <v>Jul</v>
      </c>
      <c r="C41" s="6"/>
      <c r="D41" s="23"/>
      <c r="E41" s="23"/>
      <c r="F41" s="23">
        <f>F35-D35</f>
        <v>-5.9999999999718057E-3</v>
      </c>
      <c r="G41" s="23"/>
      <c r="H41" s="23"/>
      <c r="I41" s="23"/>
      <c r="J41" s="23">
        <f>J35-F35</f>
        <v>-1.2890000000000725</v>
      </c>
      <c r="K41" s="23"/>
      <c r="L41" s="23"/>
      <c r="M41" s="23"/>
      <c r="N41" s="23">
        <f>N35-J35</f>
        <v>101.07399999999998</v>
      </c>
      <c r="O41" s="23"/>
      <c r="P41" s="23"/>
      <c r="Q41" s="23"/>
      <c r="R41" s="23">
        <f>R35-N35</f>
        <v>57.785000000000082</v>
      </c>
      <c r="S41" s="23"/>
      <c r="T41" s="23"/>
      <c r="U41" s="23"/>
      <c r="V41" s="23">
        <f>V35-D35</f>
        <v>284.72399999999999</v>
      </c>
      <c r="W41" s="23"/>
      <c r="X41" s="23"/>
      <c r="Y41" s="23"/>
      <c r="Z41" s="23">
        <f>Z35-V35</f>
        <v>-167.97399999999993</v>
      </c>
      <c r="AA41" s="23"/>
      <c r="AB41" s="23"/>
      <c r="AC41" s="23"/>
      <c r="AD41" s="23">
        <f>AD35-Z35</f>
        <v>72.676999999999794</v>
      </c>
      <c r="AE41" s="23"/>
      <c r="AF41" s="23"/>
      <c r="AG41" s="23"/>
      <c r="AH41" s="23">
        <f>AH35-AD35</f>
        <v>-13.475999999999885</v>
      </c>
      <c r="AI41" s="23"/>
      <c r="AJ41" s="23"/>
      <c r="AK41" s="23"/>
      <c r="AL41" s="23">
        <f>AL35-AH35</f>
        <v>5.3679999999999382</v>
      </c>
      <c r="AM41" s="53"/>
      <c r="AN41" s="53"/>
      <c r="AO41" s="6"/>
      <c r="AP41" s="23">
        <f>AP35-AL35</f>
        <v>40.373000000000047</v>
      </c>
      <c r="AQ41" s="53"/>
      <c r="AR41" s="53"/>
      <c r="AS41" s="6"/>
      <c r="AT41" s="23">
        <f>AT35-AP35</f>
        <v>243.01000000000022</v>
      </c>
      <c r="AU41" s="53"/>
      <c r="AV41" s="53"/>
      <c r="AW41" s="6"/>
      <c r="AX41" s="23">
        <f>AX35-AT35</f>
        <v>-217.93700000000047</v>
      </c>
      <c r="AY41" s="53"/>
      <c r="AZ41" s="53"/>
      <c r="BA41" s="6"/>
      <c r="BB41" s="23">
        <f>BB35-AX35</f>
        <v>117.07200000000046</v>
      </c>
      <c r="BC41" s="53"/>
      <c r="BD41" s="53"/>
      <c r="BE41" s="6"/>
      <c r="BF41" s="23">
        <f>BF35-BB35</f>
        <v>103.97699999999998</v>
      </c>
      <c r="BG41" s="53"/>
      <c r="BH41" s="53"/>
      <c r="BI41" s="6"/>
      <c r="BJ41" s="23">
        <f>BJ35-BF35</f>
        <v>99.104999999999677</v>
      </c>
      <c r="BK41" s="53"/>
      <c r="BL41" s="53"/>
      <c r="BM41" s="6"/>
      <c r="BN41" s="23">
        <f>BN35-BJ35</f>
        <v>4.2630000000003747</v>
      </c>
      <c r="BO41" s="53"/>
      <c r="BP41" s="53"/>
      <c r="BQ41" s="6"/>
      <c r="BR41" s="23">
        <f>BR35-BN35</f>
        <v>-52.768000000000484</v>
      </c>
      <c r="BS41" s="53"/>
      <c r="BT41" s="53"/>
      <c r="BU41" s="6"/>
      <c r="BV41" s="22">
        <f>BV35-BR35</f>
        <v>-55.399999999999409</v>
      </c>
      <c r="BW41" s="53"/>
      <c r="BX41" s="53"/>
      <c r="BY41" s="6"/>
      <c r="BZ41" s="22">
        <f>BZ35-BV35</f>
        <v>309.79999999999927</v>
      </c>
      <c r="CA41" s="53"/>
      <c r="CB41" s="53"/>
      <c r="CC41" s="6"/>
      <c r="CD41" s="22">
        <f>CD35-BZ35</f>
        <v>-380.09999999999968</v>
      </c>
      <c r="CE41" s="53"/>
      <c r="CF41" s="53"/>
      <c r="CG41" s="6"/>
      <c r="CH41" s="23">
        <f>CH35-CD35</f>
        <v>265.90000000000009</v>
      </c>
      <c r="CI41" s="53"/>
      <c r="CJ41" s="53"/>
      <c r="CK41" s="6"/>
      <c r="CL41" s="22">
        <f>CL35-CH35</f>
        <v>-365.20000000000027</v>
      </c>
      <c r="CM41" s="53"/>
      <c r="CN41" s="53"/>
      <c r="CO41" s="6"/>
      <c r="CP41" s="22">
        <f>CP35-CL35</f>
        <v>153.70000000000073</v>
      </c>
      <c r="CQ41" s="381"/>
      <c r="CR41" s="381"/>
      <c r="CS41" s="6"/>
      <c r="CT41" s="22">
        <f>CT35-CP35</f>
        <v>-62.900000000000546</v>
      </c>
      <c r="CU41" s="381"/>
      <c r="CV41" s="381"/>
      <c r="CW41" s="6"/>
      <c r="CX41" s="22">
        <f>CX35-CT35</f>
        <v>-316.19999999999982</v>
      </c>
      <c r="CY41" s="381"/>
      <c r="CZ41" s="381"/>
      <c r="DA41" s="6"/>
      <c r="DB41" s="22">
        <f>DB35-CX35</f>
        <v>2.2999999999992724</v>
      </c>
      <c r="DC41" s="381"/>
      <c r="DD41" s="381"/>
      <c r="DE41" s="6"/>
      <c r="DF41" s="22">
        <f>DF35-DB35</f>
        <v>-312.49999999999955</v>
      </c>
      <c r="DG41" s="381"/>
      <c r="DH41" s="381"/>
      <c r="DI41" s="6"/>
      <c r="DJ41" s="22"/>
      <c r="DK41" s="381"/>
      <c r="DL41" s="381"/>
    </row>
    <row r="42" spans="1:116">
      <c r="A42" s="6" t="str">
        <f>$A$12</f>
        <v>3Q</v>
      </c>
      <c r="B42" s="6" t="str">
        <f>$B$12</f>
        <v>Oct</v>
      </c>
      <c r="C42" s="6"/>
      <c r="D42" s="23"/>
      <c r="E42" s="23"/>
      <c r="F42" s="23">
        <f>F36-D36</f>
        <v>23.290999999999968</v>
      </c>
      <c r="G42" s="23"/>
      <c r="H42" s="23"/>
      <c r="I42" s="23"/>
      <c r="J42" s="23">
        <f>J36-F36</f>
        <v>-5.5040000000000191</v>
      </c>
      <c r="K42" s="23"/>
      <c r="L42" s="23"/>
      <c r="M42" s="23"/>
      <c r="N42" s="23">
        <f>N36-J36</f>
        <v>106.82899999999992</v>
      </c>
      <c r="O42" s="23"/>
      <c r="P42" s="23"/>
      <c r="Q42" s="23"/>
      <c r="R42" s="23">
        <f>R36-N36</f>
        <v>54.380000000000109</v>
      </c>
      <c r="S42" s="23"/>
      <c r="T42" s="23"/>
      <c r="U42" s="23"/>
      <c r="V42" s="23">
        <f>V36-D36</f>
        <v>366.18900000000002</v>
      </c>
      <c r="W42" s="23"/>
      <c r="X42" s="23"/>
      <c r="Y42" s="23"/>
      <c r="Z42" s="23">
        <f>Z36-V36</f>
        <v>-271.95600000000013</v>
      </c>
      <c r="AA42" s="23"/>
      <c r="AB42" s="23"/>
      <c r="AC42" s="23"/>
      <c r="AD42" s="23">
        <f>AD36-Z36</f>
        <v>15.413000000000238</v>
      </c>
      <c r="AE42" s="23"/>
      <c r="AF42" s="23"/>
      <c r="AG42" s="23"/>
      <c r="AH42" s="23">
        <f>AH36-AD36</f>
        <v>-57.366000000000099</v>
      </c>
      <c r="AI42" s="23"/>
      <c r="AJ42" s="23"/>
      <c r="AK42" s="23"/>
      <c r="AL42" s="23">
        <f>AL36-AH36</f>
        <v>141.83899999999971</v>
      </c>
      <c r="AM42" s="53"/>
      <c r="AN42" s="53"/>
      <c r="AO42" s="6"/>
      <c r="AP42" s="23">
        <f>AP36-AL36</f>
        <v>81.917999999999893</v>
      </c>
      <c r="AQ42" s="53"/>
      <c r="AR42" s="53"/>
      <c r="AS42" s="6"/>
      <c r="AT42" s="23">
        <f>AT36-AP36</f>
        <v>271.72800000000052</v>
      </c>
      <c r="AU42" s="53"/>
      <c r="AV42" s="53"/>
      <c r="AW42" s="6"/>
      <c r="AX42" s="23">
        <f>AX36-AT36</f>
        <v>-182.45400000000018</v>
      </c>
      <c r="AY42" s="53"/>
      <c r="AZ42" s="53"/>
      <c r="BA42" s="6"/>
      <c r="BB42" s="23">
        <f>BB36-AX36</f>
        <v>-25.454999999999927</v>
      </c>
      <c r="BC42" s="53"/>
      <c r="BD42" s="53"/>
      <c r="BE42" s="6"/>
      <c r="BF42" s="23">
        <f>BF36-BB36</f>
        <v>95.699999999999932</v>
      </c>
      <c r="BG42" s="53"/>
      <c r="BH42" s="53"/>
      <c r="BI42" s="6"/>
      <c r="BJ42" s="23">
        <f>BJ36-BF36</f>
        <v>125.89999999999986</v>
      </c>
      <c r="BK42" s="53"/>
      <c r="BL42" s="53"/>
      <c r="BM42" s="6"/>
      <c r="BN42" s="23">
        <f>BN36-BJ36</f>
        <v>107.60000000000014</v>
      </c>
      <c r="BO42" s="53"/>
      <c r="BP42" s="53"/>
      <c r="BQ42" s="6"/>
      <c r="BR42" s="23">
        <f>BR36-BN36</f>
        <v>-100.20000000000005</v>
      </c>
      <c r="BS42" s="53"/>
      <c r="BT42" s="53"/>
      <c r="BU42" s="6"/>
      <c r="BV42" s="22">
        <f>BV36-BR36</f>
        <v>-114.99999999999977</v>
      </c>
      <c r="BW42" s="53"/>
      <c r="BX42" s="53"/>
      <c r="BY42" s="6"/>
      <c r="BZ42" s="22">
        <f>BZ36-BV36</f>
        <v>188.79999999999973</v>
      </c>
      <c r="CA42" s="53"/>
      <c r="CB42" s="53"/>
      <c r="CC42" s="6"/>
      <c r="CD42" s="22">
        <f>CD36-BZ36</f>
        <v>-111.70000000000005</v>
      </c>
      <c r="CE42" s="53"/>
      <c r="CF42" s="53"/>
      <c r="CG42" s="6"/>
      <c r="CH42" s="23">
        <f>CH36-CD36</f>
        <v>354.09999999999991</v>
      </c>
      <c r="CI42" s="53"/>
      <c r="CJ42" s="53"/>
      <c r="CK42" s="6"/>
      <c r="CL42" s="22">
        <f>CL36-CH36</f>
        <v>-627.99999999999977</v>
      </c>
      <c r="CM42" s="53"/>
      <c r="CN42" s="53"/>
      <c r="CO42" s="6"/>
      <c r="CP42" s="22">
        <f>CP36-CL36</f>
        <v>115.29999999999995</v>
      </c>
      <c r="CQ42" s="381"/>
      <c r="CR42" s="381"/>
      <c r="CS42" s="6"/>
      <c r="CT42" s="354">
        <f>CT36-CP36</f>
        <v>42.399999999999864</v>
      </c>
      <c r="CU42" s="381"/>
      <c r="CV42" s="381"/>
      <c r="CW42" s="6"/>
      <c r="CX42" s="22">
        <f>CX36-CT36</f>
        <v>-237.19999999999959</v>
      </c>
      <c r="CY42" s="381"/>
      <c r="CZ42" s="381"/>
      <c r="DA42" s="6"/>
      <c r="DB42" s="22">
        <f>DB36-CX36</f>
        <v>-152.70000000000027</v>
      </c>
      <c r="DC42" s="381"/>
      <c r="DD42" s="381"/>
      <c r="DE42" s="6"/>
      <c r="DF42" s="22">
        <f>DF36-DB36</f>
        <v>-175.30000000000018</v>
      </c>
      <c r="DG42" s="381"/>
      <c r="DH42" s="381"/>
      <c r="DI42" s="6"/>
      <c r="DJ42" s="22"/>
      <c r="DK42" s="381"/>
      <c r="DL42" s="381"/>
    </row>
    <row r="43" spans="1:116">
      <c r="A43" s="6" t="str">
        <f>$A$13</f>
        <v>4Q</v>
      </c>
      <c r="B43" s="6" t="str">
        <f>$B$13</f>
        <v>Jan</v>
      </c>
      <c r="C43" s="6"/>
      <c r="D43" s="23"/>
      <c r="E43" s="23"/>
      <c r="F43" s="23">
        <f>F37-D37</f>
        <v>-40.646000000000072</v>
      </c>
      <c r="G43" s="23"/>
      <c r="H43" s="23"/>
      <c r="I43" s="23"/>
      <c r="J43" s="23">
        <f>J37-F37</f>
        <v>23.831000000000046</v>
      </c>
      <c r="K43" s="23"/>
      <c r="L43" s="23"/>
      <c r="M43" s="23"/>
      <c r="N43" s="23">
        <f>N37-J37</f>
        <v>92.313999999999965</v>
      </c>
      <c r="O43" s="23"/>
      <c r="P43" s="23"/>
      <c r="Q43" s="23"/>
      <c r="R43" s="23">
        <f>R37-N37</f>
        <v>80.423000000000002</v>
      </c>
      <c r="S43" s="23"/>
      <c r="T43" s="23"/>
      <c r="U43" s="23"/>
      <c r="V43" s="23">
        <f>V37-D37</f>
        <v>136.84799999999998</v>
      </c>
      <c r="W43" s="23"/>
      <c r="X43" s="23"/>
      <c r="Y43" s="23"/>
      <c r="Z43" s="23">
        <f>Z37-V37</f>
        <v>-246.14099999999996</v>
      </c>
      <c r="AA43" s="23"/>
      <c r="AB43" s="23"/>
      <c r="AC43" s="23"/>
      <c r="AD43" s="23">
        <f>AD37-Z37</f>
        <v>51.510999999999967</v>
      </c>
      <c r="AE43" s="23"/>
      <c r="AF43" s="23"/>
      <c r="AG43" s="23"/>
      <c r="AH43" s="23">
        <f>AH37-AD37</f>
        <v>-108.2560000000002</v>
      </c>
      <c r="AI43" s="23"/>
      <c r="AJ43" s="23"/>
      <c r="AK43" s="23"/>
      <c r="AL43" s="23">
        <f>AL37-AH37</f>
        <v>87.088000000000193</v>
      </c>
      <c r="AM43" s="53"/>
      <c r="AN43" s="53"/>
      <c r="AO43" s="6"/>
      <c r="AP43" s="23">
        <f>AP37-AL37</f>
        <v>336.92899999999997</v>
      </c>
      <c r="AQ43" s="53"/>
      <c r="AR43" s="53"/>
      <c r="AS43" s="6"/>
      <c r="AT43" s="23">
        <f>AT37-AP37</f>
        <v>-90.341999999999985</v>
      </c>
      <c r="AU43" s="53"/>
      <c r="AV43" s="53"/>
      <c r="AW43" s="6"/>
      <c r="AX43" s="23">
        <f>AX37-AT37</f>
        <v>-111.17099999999994</v>
      </c>
      <c r="AY43" s="53"/>
      <c r="AZ43" s="53"/>
      <c r="BA43" s="6"/>
      <c r="BB43" s="23">
        <f>BB37-AX37</f>
        <v>321.64899999999989</v>
      </c>
      <c r="BC43" s="53"/>
      <c r="BD43" s="53"/>
      <c r="BE43" s="6"/>
      <c r="BF43" s="23">
        <f>BF37-BB37</f>
        <v>-26.061999999999898</v>
      </c>
      <c r="BG43" s="53"/>
      <c r="BH43" s="53"/>
      <c r="BI43" s="6"/>
      <c r="BJ43" s="23">
        <f>BJ37-BF37</f>
        <v>-71.173000000000002</v>
      </c>
      <c r="BK43" s="53"/>
      <c r="BL43" s="53"/>
      <c r="BM43" s="6"/>
      <c r="BN43" s="23">
        <f>BN37-BJ37</f>
        <v>86.472999999999729</v>
      </c>
      <c r="BO43" s="53"/>
      <c r="BP43" s="53"/>
      <c r="BQ43" s="6"/>
      <c r="BR43" s="23">
        <f>BR37-BN37</f>
        <v>-10.300000000000068</v>
      </c>
      <c r="BS43" s="53"/>
      <c r="BT43" s="53"/>
      <c r="BU43" s="6"/>
      <c r="BV43" s="22">
        <f>BV37-BR37</f>
        <v>298.80000000000064</v>
      </c>
      <c r="BW43" s="53"/>
      <c r="BX43" s="53"/>
      <c r="BY43" s="6"/>
      <c r="BZ43" s="22">
        <f>BZ37-BV37</f>
        <v>-633.90000000000009</v>
      </c>
      <c r="CA43" s="53"/>
      <c r="CB43" s="53"/>
      <c r="CC43" s="6"/>
      <c r="CD43" s="22">
        <f>CD37-BZ37</f>
        <v>-15.400000000000318</v>
      </c>
      <c r="CE43" s="53"/>
      <c r="CF43" s="53"/>
      <c r="CG43" s="6"/>
      <c r="CH43" s="23">
        <f>CH37-CD37</f>
        <v>319.10000000000036</v>
      </c>
      <c r="CI43" s="53"/>
      <c r="CJ43" s="53"/>
      <c r="CK43" s="6"/>
      <c r="CL43" s="22">
        <f>CL37-CH37</f>
        <v>-564.28600000000029</v>
      </c>
      <c r="CM43" s="53"/>
      <c r="CN43" s="53"/>
      <c r="CO43" s="6"/>
      <c r="CP43" s="22">
        <f>CP37-CL37</f>
        <v>202.6759999999997</v>
      </c>
      <c r="CQ43" s="381"/>
      <c r="CR43" s="381"/>
      <c r="CS43" s="6"/>
      <c r="CT43" s="354">
        <f>CT37-CP37</f>
        <v>-96.789999999999281</v>
      </c>
      <c r="CU43" s="381"/>
      <c r="CV43" s="381"/>
      <c r="CW43" s="6"/>
      <c r="CX43" s="22">
        <f>CX37-CT37</f>
        <v>-86.400000000000091</v>
      </c>
      <c r="CY43" s="381"/>
      <c r="CZ43" s="381"/>
      <c r="DA43" s="6"/>
      <c r="DB43" s="22">
        <f>DB37-CX37</f>
        <v>-402.40000000000009</v>
      </c>
      <c r="DC43" s="381"/>
      <c r="DD43" s="381"/>
      <c r="DE43" s="6"/>
      <c r="DF43" s="22">
        <f>DF37-DB37</f>
        <v>575.29999999999973</v>
      </c>
      <c r="DG43" s="381"/>
      <c r="DH43" s="381"/>
      <c r="DI43" s="6"/>
      <c r="DJ43" s="22"/>
      <c r="DK43" s="381"/>
      <c r="DL43" s="381"/>
    </row>
    <row r="44" spans="1:116">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c r="AE44" s="6"/>
      <c r="AF44" s="6"/>
      <c r="AG44" s="6"/>
      <c r="AH44" s="6"/>
      <c r="AI44" s="6"/>
      <c r="AJ44" s="6"/>
      <c r="AK44" s="6"/>
      <c r="AL44" s="6"/>
      <c r="AM44" s="6"/>
      <c r="AN44" s="6"/>
      <c r="AO44" s="6"/>
      <c r="AP44" s="6"/>
      <c r="AQ44" s="6"/>
      <c r="AR44" s="6"/>
      <c r="AS44" s="6"/>
      <c r="AT44" s="6"/>
      <c r="AU44" s="6"/>
      <c r="AV44" s="6"/>
      <c r="AW44" s="6"/>
      <c r="AX44" s="6"/>
      <c r="AY44" s="6"/>
      <c r="AZ44" s="6"/>
      <c r="BA44" s="6"/>
      <c r="BB44" s="6"/>
      <c r="BC44" s="6"/>
      <c r="BD44" s="6"/>
      <c r="BE44" s="6"/>
      <c r="BF44" s="6"/>
      <c r="BG44" s="6"/>
      <c r="BH44" s="6"/>
      <c r="BI44" s="6"/>
      <c r="BJ44" s="6"/>
      <c r="BK44" s="6"/>
      <c r="BL44" s="6"/>
      <c r="BM44" s="6"/>
      <c r="BN44" s="6"/>
      <c r="BO44" s="6"/>
      <c r="BP44" s="6"/>
      <c r="BQ44" s="6"/>
      <c r="BR44" s="6"/>
      <c r="BS44" s="6"/>
      <c r="BT44" s="6"/>
      <c r="BU44" s="6"/>
      <c r="BV44" s="6"/>
      <c r="BW44" s="6"/>
      <c r="BX44" s="6"/>
      <c r="BY44" s="6"/>
      <c r="BZ44" s="6"/>
      <c r="CA44" s="6"/>
      <c r="CB44" s="6"/>
      <c r="CC44" s="6"/>
      <c r="CD44" s="6"/>
      <c r="CE44" s="6"/>
      <c r="CF44" s="6"/>
      <c r="CG44" s="6"/>
      <c r="CH44" s="6"/>
      <c r="CI44" s="6"/>
      <c r="CJ44" s="6"/>
      <c r="CK44" s="6"/>
      <c r="CL44" s="6"/>
      <c r="CM44" s="6"/>
      <c r="CN44" s="6"/>
      <c r="CO44" s="6"/>
      <c r="CP44" s="87"/>
      <c r="CQ44" s="87"/>
      <c r="CR44" s="87"/>
      <c r="CS44" s="6"/>
      <c r="CT44" s="87"/>
      <c r="CU44" s="87"/>
      <c r="CV44" s="87"/>
      <c r="CW44" s="6"/>
      <c r="CX44" s="87"/>
      <c r="CY44" s="87"/>
      <c r="CZ44" s="87"/>
      <c r="DA44" s="6"/>
      <c r="DB44" s="87"/>
      <c r="DC44" s="87"/>
      <c r="DD44" s="87"/>
      <c r="DE44" s="6"/>
      <c r="DF44" s="87"/>
      <c r="DG44" s="87"/>
      <c r="DH44" s="87"/>
      <c r="DI44" s="6"/>
      <c r="DJ44" s="87"/>
      <c r="DK44" s="87"/>
      <c r="DL44" s="87"/>
    </row>
    <row r="45" spans="1:116">
      <c r="A45" s="6"/>
      <c r="B45" s="6"/>
      <c r="C45" s="6"/>
      <c r="D45" s="6"/>
      <c r="E45" s="6"/>
      <c r="F45" s="6"/>
      <c r="G45" s="6"/>
      <c r="H45" s="6"/>
      <c r="I45" s="6"/>
      <c r="J45" s="6"/>
      <c r="K45" s="6"/>
      <c r="L45" s="6"/>
      <c r="M45" s="6"/>
      <c r="N45" s="6"/>
      <c r="O45" s="6"/>
      <c r="P45" s="6"/>
      <c r="Q45" s="6"/>
      <c r="R45" s="6"/>
      <c r="S45" s="6"/>
      <c r="T45" s="6"/>
      <c r="U45" s="6"/>
      <c r="V45" s="6"/>
      <c r="W45" s="6"/>
      <c r="X45" s="6"/>
      <c r="Y45" s="6"/>
      <c r="Z45" s="6"/>
      <c r="AA45" s="6"/>
      <c r="AB45" s="6"/>
      <c r="AC45" s="6"/>
      <c r="AD45" s="6"/>
      <c r="AE45" s="6"/>
      <c r="AF45" s="6"/>
      <c r="AG45" s="6"/>
      <c r="AH45" s="6"/>
      <c r="AI45" s="6"/>
      <c r="AJ45" s="6"/>
      <c r="AK45" s="6"/>
      <c r="AL45" s="6"/>
      <c r="AM45" s="6"/>
      <c r="AN45" s="6"/>
      <c r="AO45" s="6"/>
      <c r="AP45" s="6"/>
      <c r="AQ45" s="6"/>
      <c r="AR45" s="6"/>
      <c r="AS45" s="6"/>
      <c r="AT45" s="6"/>
      <c r="AU45" s="6"/>
      <c r="AV45" s="6"/>
      <c r="AW45" s="6"/>
      <c r="AX45" s="6"/>
      <c r="AY45" s="6"/>
      <c r="AZ45" s="6"/>
      <c r="BA45" s="6"/>
      <c r="BB45" s="6"/>
      <c r="BC45" s="6"/>
      <c r="BD45" s="6"/>
      <c r="BE45" s="6"/>
      <c r="BF45" s="6"/>
      <c r="BG45" s="6"/>
      <c r="BH45" s="6"/>
      <c r="BI45" s="6"/>
      <c r="BJ45" s="6"/>
      <c r="BK45" s="6"/>
      <c r="BL45" s="6"/>
      <c r="BM45" s="6"/>
      <c r="BN45" s="6"/>
      <c r="BO45" s="6"/>
      <c r="BP45" s="6"/>
      <c r="BQ45" s="6"/>
      <c r="BR45" s="6"/>
      <c r="BS45" s="6"/>
      <c r="BT45" s="6"/>
      <c r="BU45" s="6"/>
      <c r="BV45" s="6"/>
      <c r="BW45" s="6"/>
      <c r="BX45" s="6"/>
      <c r="BY45" s="6"/>
      <c r="BZ45" s="6"/>
      <c r="CA45" s="6"/>
      <c r="CB45" s="6"/>
      <c r="CC45" s="6"/>
      <c r="CD45" s="6"/>
      <c r="CE45" s="6"/>
      <c r="CF45" s="6"/>
      <c r="CG45" s="6"/>
      <c r="CH45" s="6"/>
      <c r="CI45" s="6"/>
      <c r="CJ45" s="6"/>
      <c r="CK45" s="6"/>
      <c r="CL45" s="6"/>
      <c r="CM45" s="6"/>
      <c r="CN45" s="6"/>
      <c r="CO45" s="6"/>
      <c r="CP45" s="87"/>
      <c r="CQ45" s="87"/>
      <c r="CR45" s="87"/>
      <c r="CS45" s="6"/>
      <c r="CT45" s="87"/>
      <c r="CU45" s="87"/>
      <c r="CV45" s="87"/>
      <c r="CW45" s="6"/>
      <c r="CX45" s="87"/>
      <c r="CY45" s="87"/>
      <c r="CZ45" s="87"/>
      <c r="DA45" s="6"/>
      <c r="DB45" s="87"/>
      <c r="DC45" s="87"/>
      <c r="DD45" s="87"/>
      <c r="DE45" s="6"/>
      <c r="DF45" s="87"/>
      <c r="DG45" s="87"/>
      <c r="DH45" s="87"/>
      <c r="DI45" s="6"/>
      <c r="DJ45" s="87"/>
      <c r="DK45" s="87"/>
      <c r="DL45" s="87"/>
    </row>
    <row r="46" spans="1:116">
      <c r="A46" s="6"/>
      <c r="B46" s="6"/>
      <c r="C46" s="6"/>
      <c r="D46" s="6"/>
      <c r="E46" s="6"/>
      <c r="F46" s="6"/>
      <c r="G46" s="6"/>
      <c r="H46" s="6"/>
      <c r="I46" s="6"/>
      <c r="J46" s="6"/>
      <c r="K46" s="6"/>
      <c r="L46" s="6"/>
      <c r="M46" s="6"/>
      <c r="N46" s="6"/>
      <c r="O46" s="6"/>
      <c r="P46" s="6"/>
      <c r="Q46" s="6"/>
      <c r="R46" s="6"/>
      <c r="S46" s="6"/>
      <c r="T46" s="6"/>
      <c r="U46" s="6"/>
      <c r="V46" s="6"/>
      <c r="W46" s="6"/>
      <c r="X46" s="6"/>
      <c r="Y46" s="6"/>
      <c r="Z46" s="6"/>
      <c r="AA46" s="6"/>
      <c r="AB46" s="6"/>
      <c r="AC46" s="6"/>
      <c r="AD46" s="6"/>
      <c r="AE46" s="6"/>
      <c r="AF46" s="6"/>
      <c r="AG46" s="6"/>
      <c r="AH46" s="6"/>
      <c r="AI46" s="6"/>
      <c r="AJ46" s="6"/>
      <c r="AK46" s="6"/>
      <c r="AL46" s="6"/>
      <c r="AM46" s="6"/>
      <c r="AN46" s="6"/>
      <c r="AO46" s="6"/>
      <c r="AP46" s="6"/>
      <c r="AQ46" s="6"/>
      <c r="AR46" s="6"/>
      <c r="AS46" s="6"/>
      <c r="AT46" s="6"/>
      <c r="AU46" s="6"/>
      <c r="AV46" s="6"/>
      <c r="AW46" s="6"/>
      <c r="AX46" s="6"/>
      <c r="AY46" s="6"/>
      <c r="AZ46" s="6"/>
      <c r="BA46" s="6"/>
      <c r="BB46" s="6"/>
      <c r="BC46" s="6"/>
      <c r="BD46" s="6"/>
      <c r="BE46" s="6"/>
      <c r="BF46" s="6"/>
      <c r="BG46" s="6"/>
      <c r="BH46" s="6"/>
      <c r="BI46" s="6"/>
      <c r="BJ46" s="6"/>
      <c r="BK46" s="6"/>
      <c r="BL46" s="6"/>
      <c r="BM46" s="6"/>
      <c r="BN46" s="6"/>
      <c r="BO46" s="6"/>
      <c r="BP46" s="6"/>
      <c r="BQ46" s="6"/>
      <c r="BR46" s="6"/>
      <c r="BS46" s="6"/>
      <c r="BT46" s="6"/>
      <c r="BU46" s="6"/>
      <c r="BV46" s="6"/>
      <c r="BW46" s="6"/>
      <c r="BX46" s="6"/>
      <c r="BY46" s="6"/>
      <c r="BZ46" s="6"/>
      <c r="CA46" s="6"/>
      <c r="CB46" s="6"/>
      <c r="CC46" s="6"/>
      <c r="CD46" s="6"/>
      <c r="CE46" s="6"/>
      <c r="CF46" s="6"/>
      <c r="CG46" s="6"/>
      <c r="CH46" s="6"/>
      <c r="CI46" s="6"/>
      <c r="CJ46" s="6"/>
      <c r="CK46" s="6"/>
      <c r="CL46" s="6"/>
      <c r="CM46" s="6"/>
      <c r="CN46" s="6"/>
      <c r="CO46" s="6"/>
      <c r="CP46" s="87"/>
      <c r="CQ46" s="87"/>
      <c r="CR46" s="87"/>
      <c r="CS46" s="6"/>
      <c r="CT46" s="87"/>
      <c r="CU46" s="87"/>
      <c r="CV46" s="87"/>
      <c r="CW46" s="6"/>
      <c r="CX46" s="87"/>
      <c r="CY46" s="87"/>
      <c r="CZ46" s="87"/>
      <c r="DA46" s="6"/>
      <c r="DB46" s="87"/>
      <c r="DC46" s="87"/>
      <c r="DD46" s="87"/>
      <c r="DE46" s="6"/>
      <c r="DF46" s="87"/>
      <c r="DG46" s="87"/>
      <c r="DH46" s="87"/>
      <c r="DI46" s="6"/>
      <c r="DJ46" s="87"/>
      <c r="DK46" s="87"/>
      <c r="DL46" s="87"/>
    </row>
    <row r="47" spans="1:116">
      <c r="A47" s="6"/>
      <c r="B47" s="6"/>
      <c r="C47" s="6"/>
      <c r="D47" s="6"/>
      <c r="E47" s="6"/>
      <c r="F47" s="6"/>
      <c r="G47" s="6"/>
      <c r="H47" s="6"/>
      <c r="I47" s="6"/>
      <c r="J47" s="6"/>
      <c r="K47" s="6"/>
      <c r="L47" s="6"/>
      <c r="M47" s="6"/>
      <c r="N47" s="6"/>
      <c r="O47" s="6"/>
      <c r="P47" s="6"/>
      <c r="Q47" s="6"/>
      <c r="R47" s="6"/>
      <c r="S47" s="6"/>
      <c r="T47" s="6"/>
      <c r="U47" s="6"/>
      <c r="V47" s="6"/>
      <c r="W47" s="6"/>
      <c r="X47" s="6"/>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6"/>
      <c r="BA47" s="6"/>
      <c r="BB47" s="6"/>
      <c r="BC47" s="6"/>
      <c r="BD47" s="6"/>
      <c r="BE47" s="6"/>
      <c r="BF47" s="6"/>
      <c r="BG47" s="6"/>
      <c r="BH47" s="6"/>
      <c r="BI47" s="6"/>
      <c r="BJ47" s="6"/>
      <c r="BK47" s="6"/>
      <c r="BL47" s="6"/>
      <c r="BM47" s="6"/>
      <c r="BN47" s="6"/>
      <c r="BO47" s="6"/>
      <c r="BP47" s="6"/>
      <c r="BQ47" s="6"/>
      <c r="BR47" s="6"/>
      <c r="BS47" s="6"/>
      <c r="BT47" s="6"/>
      <c r="BU47" s="6"/>
      <c r="BV47" s="6"/>
      <c r="BW47" s="6"/>
      <c r="BX47" s="6"/>
      <c r="BY47" s="6"/>
      <c r="BZ47" s="6"/>
      <c r="CA47" s="6"/>
      <c r="CB47" s="6"/>
      <c r="CC47" s="6"/>
      <c r="CD47" s="6"/>
      <c r="CE47" s="6"/>
      <c r="CF47" s="6"/>
      <c r="CG47" s="6"/>
      <c r="CH47" s="6"/>
      <c r="CI47" s="6"/>
      <c r="CJ47" s="6"/>
      <c r="CK47" s="6"/>
      <c r="CL47" s="6"/>
      <c r="CM47" s="6"/>
      <c r="CN47" s="6"/>
      <c r="CO47" s="6"/>
      <c r="CP47" s="87"/>
      <c r="CQ47" s="87"/>
      <c r="CR47" s="87"/>
      <c r="CS47" s="6"/>
      <c r="CT47" s="87"/>
      <c r="CU47" s="87"/>
      <c r="CV47" s="87"/>
      <c r="CW47" s="6"/>
      <c r="CX47" s="87"/>
      <c r="CY47" s="87"/>
      <c r="CZ47" s="87"/>
      <c r="DA47" s="6"/>
      <c r="DB47" s="87"/>
      <c r="DC47" s="87"/>
      <c r="DD47" s="87"/>
      <c r="DE47" s="6"/>
      <c r="DF47" s="87"/>
      <c r="DG47" s="87"/>
      <c r="DH47" s="87"/>
      <c r="DI47" s="6"/>
      <c r="DJ47" s="87"/>
      <c r="DK47" s="87"/>
      <c r="DL47" s="87"/>
    </row>
    <row r="48" spans="1:116">
      <c r="A48" s="6" t="s">
        <v>443</v>
      </c>
      <c r="B48" s="6"/>
      <c r="C48" s="6"/>
      <c r="D48" s="6"/>
      <c r="E48" s="6"/>
      <c r="F48" s="6"/>
      <c r="G48" s="6"/>
      <c r="H48" s="6"/>
      <c r="I48" s="6"/>
      <c r="J48" s="6"/>
      <c r="K48" s="6"/>
      <c r="L48" s="6"/>
      <c r="M48" s="6"/>
      <c r="N48" s="6"/>
      <c r="O48" s="6"/>
      <c r="P48" s="6"/>
      <c r="Q48" s="6"/>
      <c r="R48" s="6"/>
      <c r="S48" s="6"/>
      <c r="T48" s="6"/>
      <c r="U48" s="6"/>
      <c r="V48" s="6"/>
      <c r="W48" s="6"/>
      <c r="X48" s="6"/>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6"/>
      <c r="BA48" s="6"/>
      <c r="BB48" s="6"/>
      <c r="BC48" s="6"/>
      <c r="BD48" s="6"/>
      <c r="BE48" s="6"/>
      <c r="BF48" s="6"/>
      <c r="BG48" s="6"/>
      <c r="BH48" s="6"/>
      <c r="BI48" s="6"/>
      <c r="BJ48" s="6"/>
      <c r="BK48" s="6"/>
      <c r="BL48" s="6"/>
      <c r="BM48" s="6"/>
      <c r="BN48" s="6"/>
      <c r="BO48" s="6"/>
      <c r="BP48" s="6"/>
      <c r="BQ48" s="6"/>
      <c r="BR48" s="6"/>
      <c r="BS48" s="6"/>
      <c r="BT48" s="6"/>
      <c r="BU48" s="6"/>
      <c r="BV48" s="6"/>
      <c r="BW48" s="6"/>
      <c r="BX48" s="6"/>
      <c r="BY48" s="6"/>
      <c r="BZ48" s="6"/>
      <c r="CA48" s="6"/>
      <c r="CB48" s="6"/>
      <c r="CC48" s="6"/>
      <c r="CD48" s="6"/>
      <c r="CE48" s="6"/>
      <c r="CF48" s="6"/>
      <c r="CG48" s="6"/>
      <c r="CH48" s="6"/>
      <c r="CI48" s="6"/>
      <c r="CJ48" s="6"/>
      <c r="CK48" s="6"/>
      <c r="CL48" s="6"/>
      <c r="CM48" s="6"/>
      <c r="CN48" s="6"/>
      <c r="CO48" s="6"/>
      <c r="CP48" s="87"/>
      <c r="CQ48" s="87"/>
      <c r="CR48" s="87"/>
      <c r="CS48" s="6"/>
      <c r="CT48" s="87"/>
      <c r="CU48" s="87"/>
      <c r="CV48" s="87"/>
      <c r="CW48" s="6"/>
      <c r="CX48" s="87"/>
      <c r="CY48" s="87"/>
      <c r="CZ48" s="87"/>
      <c r="DA48" s="6"/>
      <c r="DB48" s="87"/>
      <c r="DC48" s="87"/>
      <c r="DD48" s="87"/>
      <c r="DE48" s="6"/>
      <c r="DF48" s="87"/>
      <c r="DG48" s="87"/>
      <c r="DH48" s="87"/>
      <c r="DI48" s="6"/>
      <c r="DJ48" s="87"/>
      <c r="DK48" s="87"/>
      <c r="DL48" s="87"/>
    </row>
  </sheetData>
  <mergeCells count="1">
    <mergeCell ref="DJ7:DL7"/>
  </mergeCells>
  <phoneticPr fontId="0" type="noConversion"/>
  <pageMargins left="0.5" right="0.5" top="0.75" bottom="0.25" header="0.5" footer="0.5"/>
  <pageSetup scale="92" orientation="landscape" r:id="rId1"/>
  <headerFooter alignWithMargins="0">
    <oddFooter>&amp;R&amp;8&amp;D/&amp;T
&amp;F/&amp;A</oddFooter>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A1:AQ218"/>
  <sheetViews>
    <sheetView zoomScaleNormal="100" workbookViewId="0">
      <pane xSplit="3" ySplit="8" topLeftCell="D187" activePane="bottomRight" state="frozen"/>
      <selection pane="topRight" activeCell="D1" sqref="D1"/>
      <selection pane="bottomLeft" activeCell="A9" sqref="A9"/>
      <selection pane="bottomRight" activeCell="F205" sqref="F205"/>
    </sheetView>
  </sheetViews>
  <sheetFormatPr defaultRowHeight="12.75" outlineLevelRow="2"/>
  <cols>
    <col min="1" max="1" width="2.85546875" customWidth="1"/>
    <col min="2" max="2" width="6.140625" customWidth="1"/>
    <col min="3" max="3" width="1.7109375" customWidth="1"/>
    <col min="4" max="4" width="8.5703125" customWidth="1"/>
    <col min="5" max="5" width="1.7109375" customWidth="1"/>
    <col min="6" max="6" width="8.5703125" customWidth="1"/>
    <col min="7" max="7" width="1.7109375" customWidth="1"/>
    <col min="8" max="8" width="7.42578125" customWidth="1"/>
    <col min="9" max="9" width="1.7109375" customWidth="1"/>
    <col min="10" max="10" width="7.42578125" customWidth="1"/>
    <col min="11" max="11" width="1.7109375" customWidth="1"/>
    <col min="12" max="12" width="7.85546875" customWidth="1"/>
    <col min="13" max="13" width="1.7109375" customWidth="1"/>
    <col min="14" max="14" width="7.7109375" customWidth="1"/>
    <col min="15" max="15" width="1.7109375" customWidth="1"/>
    <col min="16" max="16" width="7.7109375" customWidth="1"/>
    <col min="17" max="17" width="1.7109375" customWidth="1"/>
    <col min="18" max="18" width="8.85546875" customWidth="1"/>
    <col min="19" max="19" width="1.7109375" customWidth="1"/>
    <col min="20" max="20" width="8.85546875" customWidth="1"/>
    <col min="21" max="21" width="1.7109375" customWidth="1"/>
    <col min="22" max="22" width="8.140625" customWidth="1"/>
    <col min="23" max="23" width="1.7109375" customWidth="1"/>
    <col min="24" max="24" width="8.140625" customWidth="1"/>
    <col min="25" max="25" width="1.7109375" customWidth="1"/>
    <col min="26" max="26" width="8.140625" customWidth="1"/>
    <col min="27" max="27" width="1.7109375" customWidth="1"/>
    <col min="28" max="28" width="8.140625" customWidth="1"/>
    <col min="29" max="29" width="1.7109375" customWidth="1"/>
    <col min="30" max="30" width="8.140625" customWidth="1"/>
    <col min="31" max="31" width="1.7109375" customWidth="1"/>
    <col min="32" max="32" width="8.140625" customWidth="1"/>
    <col min="33" max="33" width="1.7109375" customWidth="1"/>
    <col min="36" max="36" width="1.85546875" customWidth="1"/>
    <col min="43" max="43" width="2.140625" customWidth="1"/>
  </cols>
  <sheetData>
    <row r="1" spans="1:43">
      <c r="A1" s="353" t="str">
        <f>sumry!A1</f>
        <v>TJX Companies</v>
      </c>
      <c r="B1" s="41"/>
      <c r="C1" s="7"/>
      <c r="D1" s="7"/>
      <c r="E1" s="24"/>
      <c r="F1" s="7"/>
      <c r="G1" s="7"/>
      <c r="H1" s="7"/>
      <c r="I1" s="24"/>
      <c r="J1" s="27"/>
      <c r="K1" s="27"/>
      <c r="L1" s="27"/>
      <c r="M1" s="28"/>
      <c r="N1" s="27"/>
      <c r="O1" s="28"/>
      <c r="P1" s="27"/>
      <c r="Q1" s="27"/>
      <c r="R1" s="28"/>
      <c r="S1" s="27"/>
      <c r="T1" s="27"/>
      <c r="U1" s="28"/>
      <c r="V1" s="28"/>
      <c r="W1" s="27"/>
      <c r="X1" s="27"/>
      <c r="Y1" s="27"/>
      <c r="Z1" s="27"/>
      <c r="AA1" s="27"/>
      <c r="AB1" s="28"/>
      <c r="AC1" s="27"/>
      <c r="AD1" s="27"/>
      <c r="AE1" s="27"/>
      <c r="AF1" s="27"/>
      <c r="AG1" s="27"/>
      <c r="AH1" s="27"/>
      <c r="AI1" s="27"/>
      <c r="AJ1" s="27"/>
      <c r="AK1" s="27"/>
      <c r="AL1" s="27"/>
      <c r="AM1" s="27"/>
      <c r="AN1" s="27"/>
      <c r="AO1" s="27"/>
      <c r="AP1" s="27"/>
      <c r="AQ1" s="27"/>
    </row>
    <row r="2" spans="1:43">
      <c r="A2" s="8" t="s">
        <v>860</v>
      </c>
      <c r="B2" s="2"/>
      <c r="C2" s="8"/>
      <c r="D2" s="8"/>
      <c r="E2" s="25"/>
      <c r="F2" s="8"/>
      <c r="G2" s="8"/>
      <c r="H2" s="8"/>
      <c r="I2" s="25"/>
      <c r="J2" s="8"/>
      <c r="K2" s="8"/>
      <c r="L2" s="8"/>
      <c r="M2" s="25"/>
      <c r="N2" s="8"/>
      <c r="O2" s="25"/>
      <c r="P2" s="8"/>
      <c r="Q2" s="8"/>
      <c r="R2" s="25"/>
      <c r="S2" s="8"/>
      <c r="T2" s="8"/>
      <c r="U2" s="25"/>
      <c r="V2" s="25"/>
      <c r="W2" s="8"/>
      <c r="X2" s="8"/>
      <c r="Y2" s="8"/>
      <c r="Z2" s="8"/>
      <c r="AA2" s="8"/>
      <c r="AB2" s="25"/>
      <c r="AC2" s="8"/>
      <c r="AD2" s="8"/>
      <c r="AE2" s="8"/>
      <c r="AF2" s="8"/>
      <c r="AG2" s="8"/>
      <c r="AH2" s="27"/>
      <c r="AI2" s="27"/>
      <c r="AJ2" s="27"/>
      <c r="AK2" s="27"/>
      <c r="AL2" s="27"/>
      <c r="AM2" s="27"/>
      <c r="AN2" s="27"/>
      <c r="AO2" s="27"/>
      <c r="AP2" s="27"/>
      <c r="AQ2" s="27"/>
    </row>
    <row r="3" spans="1:43" ht="12.75" customHeight="1">
      <c r="A3" s="29" t="s">
        <v>444</v>
      </c>
      <c r="B3" s="30"/>
      <c r="C3" s="29"/>
      <c r="D3" s="30"/>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row>
    <row r="4" spans="1:43">
      <c r="A4" s="38"/>
      <c r="B4" s="38"/>
      <c r="C4" s="38"/>
      <c r="D4" s="38"/>
      <c r="E4" s="38"/>
      <c r="F4" s="38"/>
      <c r="G4" s="38"/>
      <c r="H4" s="38"/>
      <c r="I4" s="38"/>
      <c r="J4" s="38"/>
      <c r="K4" s="38"/>
      <c r="L4" s="38"/>
      <c r="M4" s="38"/>
      <c r="N4" s="38"/>
      <c r="O4" s="38"/>
      <c r="P4" s="38"/>
      <c r="Q4" s="38"/>
      <c r="R4" s="38"/>
      <c r="S4" s="38"/>
      <c r="T4" s="38"/>
      <c r="U4" s="38"/>
      <c r="V4" s="38"/>
      <c r="W4" s="38"/>
      <c r="X4" s="38"/>
      <c r="Y4" s="38"/>
      <c r="Z4" s="38"/>
      <c r="AA4" s="38"/>
      <c r="AB4" s="38"/>
      <c r="AC4" s="38"/>
      <c r="AD4" s="38"/>
      <c r="AE4" s="38"/>
      <c r="AF4" s="38"/>
      <c r="AG4" s="38"/>
      <c r="AH4" s="38"/>
      <c r="AI4" s="38"/>
      <c r="AJ4" s="38"/>
      <c r="AK4" s="38"/>
      <c r="AL4" s="38"/>
      <c r="AM4" s="38"/>
      <c r="AN4" s="38"/>
      <c r="AO4" s="38"/>
      <c r="AP4" s="38"/>
      <c r="AQ4" s="38"/>
    </row>
    <row r="5" spans="1:43">
      <c r="A5" s="38"/>
      <c r="B5" s="38"/>
      <c r="C5" s="38"/>
      <c r="D5" s="3"/>
      <c r="E5" s="3"/>
      <c r="F5" s="3"/>
      <c r="G5" s="3" t="s">
        <v>574</v>
      </c>
      <c r="H5" s="3"/>
      <c r="I5" s="3"/>
      <c r="J5" s="3"/>
      <c r="K5" s="38"/>
      <c r="L5" s="3"/>
      <c r="M5" s="3"/>
      <c r="N5" s="3"/>
      <c r="O5" s="3" t="s">
        <v>576</v>
      </c>
      <c r="P5" s="3"/>
      <c r="Q5" s="38"/>
      <c r="R5" s="38"/>
      <c r="S5" s="38" t="s">
        <v>577</v>
      </c>
      <c r="T5" s="38"/>
      <c r="U5" s="38"/>
      <c r="V5" s="3"/>
      <c r="W5" s="3"/>
      <c r="X5" s="3" t="s">
        <v>578</v>
      </c>
      <c r="Y5" s="3"/>
      <c r="Z5" s="3"/>
      <c r="AA5" s="38"/>
      <c r="AB5" s="3"/>
      <c r="AC5" s="3"/>
      <c r="AD5" s="3" t="s">
        <v>433</v>
      </c>
      <c r="AE5" s="3"/>
      <c r="AF5" s="3"/>
      <c r="AG5" s="38"/>
      <c r="AH5" s="38"/>
      <c r="AI5" s="39"/>
      <c r="AJ5" s="131" t="s">
        <v>311</v>
      </c>
      <c r="AK5" s="38"/>
      <c r="AL5" s="38"/>
      <c r="AM5" s="38"/>
      <c r="AN5" s="38"/>
      <c r="AO5" s="38"/>
      <c r="AP5" s="38"/>
      <c r="AQ5" s="38"/>
    </row>
    <row r="6" spans="1:43">
      <c r="A6" s="38"/>
      <c r="B6" s="38"/>
      <c r="C6" s="38"/>
      <c r="D6" s="39"/>
      <c r="E6" s="39"/>
      <c r="F6" s="39"/>
      <c r="G6" s="38"/>
      <c r="H6" s="3"/>
      <c r="I6" s="3" t="s">
        <v>579</v>
      </c>
      <c r="J6" s="3"/>
      <c r="K6" s="38"/>
      <c r="L6" s="38" t="s">
        <v>556</v>
      </c>
      <c r="M6" s="38"/>
      <c r="N6" s="43"/>
      <c r="O6" s="43" t="s">
        <v>580</v>
      </c>
      <c r="P6" s="43"/>
      <c r="Q6" s="38"/>
      <c r="R6" s="3"/>
      <c r="S6" s="3" t="s">
        <v>46</v>
      </c>
      <c r="T6" s="3"/>
      <c r="U6" s="38"/>
      <c r="V6" s="38" t="s">
        <v>581</v>
      </c>
      <c r="W6" s="38"/>
      <c r="X6" s="38" t="s">
        <v>579</v>
      </c>
      <c r="Y6" s="38"/>
      <c r="Z6" s="38" t="s">
        <v>584</v>
      </c>
      <c r="AA6" s="38"/>
      <c r="AB6" s="38" t="s">
        <v>434</v>
      </c>
      <c r="AC6" s="38"/>
      <c r="AD6" s="38" t="s">
        <v>579</v>
      </c>
      <c r="AE6" s="38"/>
      <c r="AF6" s="38" t="s">
        <v>584</v>
      </c>
      <c r="AG6" s="38"/>
      <c r="AH6" s="38"/>
      <c r="AI6" s="3"/>
      <c r="AJ6" s="132" t="s">
        <v>312</v>
      </c>
      <c r="AK6" s="38"/>
      <c r="AL6" s="38"/>
      <c r="AM6" s="38"/>
      <c r="AN6" s="38"/>
      <c r="AO6" s="38"/>
      <c r="AP6" s="38"/>
      <c r="AQ6" s="38"/>
    </row>
    <row r="7" spans="1:43">
      <c r="A7" s="38"/>
      <c r="B7" s="38"/>
      <c r="C7" s="38"/>
      <c r="D7" s="38"/>
      <c r="E7" s="38"/>
      <c r="F7" s="38" t="s">
        <v>586</v>
      </c>
      <c r="G7" s="38"/>
      <c r="H7" s="38" t="s">
        <v>587</v>
      </c>
      <c r="I7" s="38"/>
      <c r="J7" s="38"/>
      <c r="K7" s="38"/>
      <c r="L7" s="38" t="s">
        <v>45</v>
      </c>
      <c r="M7" s="38"/>
      <c r="N7" s="38" t="s">
        <v>588</v>
      </c>
      <c r="O7" s="38"/>
      <c r="P7" s="38" t="s">
        <v>588</v>
      </c>
      <c r="Q7" s="38"/>
      <c r="R7" s="38"/>
      <c r="S7" s="38"/>
      <c r="T7" s="38" t="s">
        <v>589</v>
      </c>
      <c r="U7" s="38"/>
      <c r="V7" s="38" t="s">
        <v>590</v>
      </c>
      <c r="W7" s="38"/>
      <c r="X7" s="38" t="s">
        <v>591</v>
      </c>
      <c r="Y7" s="38"/>
      <c r="Z7" s="38" t="s">
        <v>190</v>
      </c>
      <c r="AA7" s="38"/>
      <c r="AB7" s="38" t="s">
        <v>587</v>
      </c>
      <c r="AC7" s="38"/>
      <c r="AD7" s="38" t="s">
        <v>591</v>
      </c>
      <c r="AE7" s="38"/>
      <c r="AF7" s="38" t="s">
        <v>190</v>
      </c>
      <c r="AG7" s="38"/>
      <c r="AH7" s="38"/>
      <c r="AI7" s="38"/>
      <c r="AJ7" s="133" t="s">
        <v>313</v>
      </c>
      <c r="AK7" s="38"/>
      <c r="AL7" s="38"/>
      <c r="AM7" s="38"/>
      <c r="AN7" s="38"/>
      <c r="AO7" s="38"/>
      <c r="AP7" s="38"/>
      <c r="AQ7" s="38"/>
    </row>
    <row r="8" spans="1:43">
      <c r="A8" s="38"/>
      <c r="B8" s="38"/>
      <c r="C8" s="38"/>
      <c r="D8" s="3" t="s">
        <v>556</v>
      </c>
      <c r="E8" s="38"/>
      <c r="F8" s="3" t="s">
        <v>592</v>
      </c>
      <c r="G8" s="38"/>
      <c r="H8" s="3" t="s">
        <v>593</v>
      </c>
      <c r="I8" s="38"/>
      <c r="J8" s="3" t="s">
        <v>594</v>
      </c>
      <c r="K8" s="38"/>
      <c r="L8" s="3" t="s">
        <v>595</v>
      </c>
      <c r="M8" s="38"/>
      <c r="N8" s="3" t="s">
        <v>531</v>
      </c>
      <c r="O8" s="38"/>
      <c r="P8" s="3" t="s">
        <v>593</v>
      </c>
      <c r="Q8" s="38"/>
      <c r="R8" s="3" t="s">
        <v>47</v>
      </c>
      <c r="S8" s="38"/>
      <c r="T8" s="3" t="s">
        <v>48</v>
      </c>
      <c r="U8" s="38"/>
      <c r="V8" s="3" t="s">
        <v>49</v>
      </c>
      <c r="W8" s="38"/>
      <c r="X8" s="3" t="s">
        <v>596</v>
      </c>
      <c r="Y8" s="38"/>
      <c r="Z8" s="3" t="s">
        <v>597</v>
      </c>
      <c r="AA8" s="38"/>
      <c r="AB8" s="3" t="s">
        <v>593</v>
      </c>
      <c r="AC8" s="38"/>
      <c r="AD8" s="3" t="s">
        <v>435</v>
      </c>
      <c r="AE8" s="38"/>
      <c r="AF8" s="3" t="s">
        <v>597</v>
      </c>
      <c r="AG8" s="38"/>
      <c r="AH8" s="38"/>
      <c r="AI8" s="3"/>
      <c r="AJ8" s="132" t="s">
        <v>314</v>
      </c>
      <c r="AK8" s="38"/>
      <c r="AL8" s="38"/>
      <c r="AM8" s="38"/>
      <c r="AN8" s="38"/>
      <c r="AO8" s="38"/>
      <c r="AP8" s="38"/>
      <c r="AQ8" s="38"/>
    </row>
    <row r="9" spans="1:43">
      <c r="A9" s="6"/>
      <c r="B9" s="6"/>
      <c r="C9" s="6"/>
      <c r="D9" s="6"/>
      <c r="E9" s="6"/>
      <c r="F9" s="6"/>
      <c r="G9" s="6"/>
      <c r="H9" s="6"/>
      <c r="I9" s="6"/>
      <c r="J9" s="6"/>
      <c r="K9" s="6"/>
      <c r="L9" s="6"/>
      <c r="M9" s="6"/>
      <c r="N9" s="6"/>
      <c r="O9" s="6"/>
      <c r="P9" s="6"/>
      <c r="Q9" s="6"/>
      <c r="R9" s="6"/>
      <c r="S9" s="6"/>
      <c r="T9" s="6"/>
      <c r="U9" s="6"/>
      <c r="V9" s="6"/>
      <c r="W9" s="6"/>
      <c r="X9" s="6"/>
      <c r="Y9" s="6"/>
      <c r="Z9" s="6"/>
      <c r="AA9" s="6"/>
      <c r="AB9" s="6"/>
      <c r="AC9" s="6"/>
      <c r="AD9" s="6"/>
      <c r="AE9" s="6"/>
      <c r="AF9" s="6"/>
      <c r="AG9" s="6"/>
      <c r="AH9" s="6"/>
      <c r="AI9" s="6"/>
      <c r="AJ9" s="6"/>
      <c r="AK9" s="6"/>
      <c r="AL9" s="6"/>
      <c r="AM9" s="6"/>
      <c r="AN9" s="6"/>
      <c r="AO9" s="6"/>
      <c r="AP9" s="6"/>
      <c r="AQ9" s="6"/>
    </row>
    <row r="10" spans="1:43" hidden="1" outlineLevel="2">
      <c r="A10" s="6"/>
      <c r="B10" s="42">
        <v>1990</v>
      </c>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row>
    <row r="11" spans="1:43" hidden="1" outlineLevel="2">
      <c r="A11" s="6" t="str">
        <f>'qtrP&amp;L'!A10</f>
        <v>1Q</v>
      </c>
      <c r="B11" s="6" t="str">
        <f>'qtrP&amp;L'!B10</f>
        <v>Apr</v>
      </c>
      <c r="C11" s="6"/>
      <c r="D11" s="14">
        <f>'qtrP&amp;L'!F$10</f>
        <v>513.75699999999995</v>
      </c>
      <c r="E11" s="6"/>
      <c r="F11" s="14">
        <f>'qtrP&amp;L'!F$21</f>
        <v>391.00299999999999</v>
      </c>
      <c r="G11" s="6"/>
      <c r="H11" s="14">
        <f>work!D$10</f>
        <v>534.25300000000004</v>
      </c>
      <c r="I11" s="6"/>
      <c r="J11" s="15">
        <f>AVERAGE(H10:H11)</f>
        <v>534.25300000000004</v>
      </c>
      <c r="K11" s="6"/>
      <c r="L11" s="6"/>
      <c r="M11" s="6"/>
      <c r="N11" s="6"/>
      <c r="O11" s="6"/>
      <c r="P11" s="6"/>
      <c r="Q11" s="6"/>
      <c r="R11" s="6"/>
      <c r="S11" s="6"/>
      <c r="T11" s="6"/>
      <c r="U11" s="6"/>
      <c r="V11" s="6">
        <f>qtrSales!J12</f>
        <v>357</v>
      </c>
      <c r="W11" s="6"/>
      <c r="X11" s="16">
        <f>H11/V11</f>
        <v>1.4965070028011205</v>
      </c>
      <c r="Y11" s="6"/>
      <c r="Z11" s="6"/>
      <c r="AA11" s="6"/>
      <c r="AB11" s="71">
        <f>qtrSales!Z40</f>
        <v>15.375759863311588</v>
      </c>
      <c r="AC11" s="6"/>
      <c r="AD11" s="75">
        <f>H11/AB11</f>
        <v>34.746445362664119</v>
      </c>
      <c r="AE11" s="6"/>
      <c r="AF11" s="6"/>
      <c r="AG11" s="6"/>
      <c r="AH11" s="6"/>
      <c r="AI11" s="6"/>
      <c r="AJ11" s="6"/>
      <c r="AK11" s="6"/>
      <c r="AL11" s="6"/>
      <c r="AM11" s="6"/>
      <c r="AN11" s="6"/>
      <c r="AO11" s="6"/>
      <c r="AP11" s="6"/>
      <c r="AQ11" s="6"/>
    </row>
    <row r="12" spans="1:43" hidden="1" outlineLevel="2">
      <c r="A12" s="6" t="str">
        <f>'qtrP&amp;L'!A11</f>
        <v>2Q</v>
      </c>
      <c r="B12" s="6" t="str">
        <f>'qtrP&amp;L'!B11</f>
        <v>Jul</v>
      </c>
      <c r="C12" s="6"/>
      <c r="D12" s="15">
        <f>'qtrP&amp;L'!F$11</f>
        <v>572.48</v>
      </c>
      <c r="E12" s="6"/>
      <c r="F12" s="15">
        <f>'qtrP&amp;L'!F$22</f>
        <v>439.24900000000002</v>
      </c>
      <c r="G12" s="6"/>
      <c r="H12" s="15">
        <f>work!D$11</f>
        <v>589.83500000000004</v>
      </c>
      <c r="I12" s="6"/>
      <c r="J12" s="15">
        <f>AVERAGE(H11:H12)</f>
        <v>562.0440000000001</v>
      </c>
      <c r="K12" s="6"/>
      <c r="L12" s="6"/>
      <c r="M12" s="6"/>
      <c r="N12" s="6"/>
      <c r="O12" s="6"/>
      <c r="P12" s="6"/>
      <c r="Q12" s="6"/>
      <c r="R12" s="6"/>
      <c r="S12" s="6"/>
      <c r="T12" s="6"/>
      <c r="U12" s="6"/>
      <c r="V12" s="6">
        <f>qtrSales!J13</f>
        <v>372</v>
      </c>
      <c r="W12" s="6"/>
      <c r="X12" s="20">
        <f>H12/V12</f>
        <v>1.5855779569892474</v>
      </c>
      <c r="Y12" s="6"/>
      <c r="Z12" s="6"/>
      <c r="AA12" s="6"/>
      <c r="AB12" s="71">
        <f>qtrSales!Z41</f>
        <v>15.592947531923938</v>
      </c>
      <c r="AC12" s="6"/>
      <c r="AD12" s="76">
        <f>H12/AB12</f>
        <v>37.827036792909873</v>
      </c>
      <c r="AE12" s="6"/>
      <c r="AF12" s="6"/>
      <c r="AG12" s="6"/>
      <c r="AH12" s="6"/>
      <c r="AI12" s="6"/>
      <c r="AJ12" s="6"/>
      <c r="AK12" s="6"/>
      <c r="AL12" s="6"/>
      <c r="AM12" s="6"/>
      <c r="AN12" s="6"/>
      <c r="AO12" s="6"/>
      <c r="AP12" s="6"/>
      <c r="AQ12" s="6"/>
    </row>
    <row r="13" spans="1:43" hidden="1" outlineLevel="2">
      <c r="A13" s="6" t="str">
        <f>'qtrP&amp;L'!A12</f>
        <v>3Q</v>
      </c>
      <c r="B13" s="6" t="str">
        <f>'qtrP&amp;L'!B12</f>
        <v>Oct</v>
      </c>
      <c r="C13" s="6"/>
      <c r="D13" s="15">
        <f>'qtrP&amp;L'!F$12</f>
        <v>645.98</v>
      </c>
      <c r="E13" s="6"/>
      <c r="F13" s="15">
        <f>'qtrP&amp;L'!F$23</f>
        <v>482.07900000000001</v>
      </c>
      <c r="G13" s="6"/>
      <c r="H13" s="15">
        <f>work!D$12</f>
        <v>619.53700000000003</v>
      </c>
      <c r="I13" s="6"/>
      <c r="J13" s="15">
        <f>AVERAGE(H12:H13)</f>
        <v>604.68600000000004</v>
      </c>
      <c r="K13" s="6"/>
      <c r="L13" s="6"/>
      <c r="M13" s="6"/>
      <c r="N13" s="6"/>
      <c r="O13" s="6"/>
      <c r="P13" s="6"/>
      <c r="Q13" s="6"/>
      <c r="R13" s="6"/>
      <c r="S13" s="6"/>
      <c r="T13" s="6"/>
      <c r="U13" s="6"/>
      <c r="V13" s="6">
        <f>qtrSales!J14</f>
        <v>384</v>
      </c>
      <c r="W13" s="6"/>
      <c r="X13" s="20">
        <f>H13/V13</f>
        <v>1.6133776041666668</v>
      </c>
      <c r="Y13" s="6"/>
      <c r="Z13" s="6"/>
      <c r="AA13" s="6"/>
      <c r="AB13" s="71">
        <f>qtrSales!Z42</f>
        <v>16.372758591259135</v>
      </c>
      <c r="AC13" s="6"/>
      <c r="AD13" s="76">
        <f>H13/AB13</f>
        <v>37.839500078548156</v>
      </c>
      <c r="AE13" s="6"/>
      <c r="AF13" s="6"/>
      <c r="AG13" s="6"/>
      <c r="AH13" s="6"/>
      <c r="AI13" s="6"/>
      <c r="AJ13" s="6"/>
      <c r="AK13" s="6"/>
      <c r="AL13" s="6"/>
      <c r="AM13" s="6"/>
      <c r="AN13" s="6"/>
      <c r="AO13" s="6"/>
      <c r="AP13" s="6"/>
      <c r="AQ13" s="6"/>
    </row>
    <row r="14" spans="1:43" hidden="1" outlineLevel="2">
      <c r="A14" s="6" t="str">
        <f>'qtrP&amp;L'!A13</f>
        <v>4Q</v>
      </c>
      <c r="B14" s="6" t="str">
        <f>'qtrP&amp;L'!B13</f>
        <v>Jan</v>
      </c>
      <c r="C14" s="6"/>
      <c r="D14" s="19">
        <f>'qtrP&amp;L'!F$13</f>
        <v>714.06200000000001</v>
      </c>
      <c r="E14" s="6"/>
      <c r="F14" s="19">
        <f>'qtrP&amp;L'!F$24</f>
        <v>563.23</v>
      </c>
      <c r="G14" s="6"/>
      <c r="H14" s="56">
        <f>work!D$13</f>
        <v>513.91300000000001</v>
      </c>
      <c r="I14" s="6"/>
      <c r="J14" s="19">
        <f>AVERAGE(H13:H14)</f>
        <v>566.72500000000002</v>
      </c>
      <c r="K14" s="6"/>
      <c r="L14" s="37"/>
      <c r="M14" s="6"/>
      <c r="N14" s="6"/>
      <c r="O14" s="6"/>
      <c r="P14" s="6"/>
      <c r="Q14" s="6"/>
      <c r="R14" s="6"/>
      <c r="S14" s="6"/>
      <c r="T14" s="6"/>
      <c r="U14" s="6"/>
      <c r="V14" s="6">
        <f>qtrSales!J15</f>
        <v>398</v>
      </c>
      <c r="W14" s="6"/>
      <c r="X14" s="20">
        <f>H14/V14</f>
        <v>1.2912386934673368</v>
      </c>
      <c r="Y14" s="6"/>
      <c r="Z14" s="6"/>
      <c r="AA14" s="6"/>
      <c r="AB14" s="71">
        <f>qtrSales!Z43</f>
        <v>16.93</v>
      </c>
      <c r="AC14" s="6"/>
      <c r="AD14" s="76">
        <f>H14/AB14</f>
        <v>30.355168340224456</v>
      </c>
      <c r="AE14" s="6"/>
      <c r="AF14" s="6"/>
      <c r="AG14" s="6"/>
      <c r="AH14" s="6"/>
      <c r="AI14" s="6"/>
      <c r="AJ14" s="6"/>
      <c r="AK14" s="6"/>
      <c r="AL14" s="6"/>
      <c r="AM14" s="6"/>
      <c r="AN14" s="6"/>
      <c r="AO14" s="6"/>
      <c r="AP14" s="6"/>
      <c r="AQ14" s="6"/>
    </row>
    <row r="15" spans="1:43" hidden="1" outlineLevel="2">
      <c r="A15" s="6"/>
      <c r="B15" s="6" t="str">
        <f>'qtrP&amp;L'!B14</f>
        <v>Year</v>
      </c>
      <c r="C15" s="6"/>
      <c r="D15" s="14">
        <f>SUM(D11:D14)</f>
        <v>2446.279</v>
      </c>
      <c r="E15" s="6"/>
      <c r="F15" s="14">
        <f>'qtrP&amp;L'!V25</f>
        <v>2370.7150000000001</v>
      </c>
      <c r="G15" s="6"/>
      <c r="H15" s="6"/>
      <c r="I15" s="6"/>
      <c r="J15" s="14">
        <f>AVERAGE(J11:J14)</f>
        <v>566.92700000000002</v>
      </c>
      <c r="K15" s="6"/>
      <c r="L15" s="6"/>
      <c r="M15" s="6"/>
      <c r="N15" s="6"/>
      <c r="O15" s="6"/>
      <c r="P15" s="6"/>
      <c r="Q15" s="6"/>
      <c r="R15" s="44"/>
      <c r="S15" s="45"/>
      <c r="T15" s="6"/>
      <c r="U15" s="6"/>
      <c r="V15" s="6"/>
      <c r="W15" s="6"/>
      <c r="X15" s="6"/>
      <c r="Y15" s="6"/>
      <c r="Z15" s="6"/>
      <c r="AA15" s="6"/>
      <c r="AB15" s="71"/>
      <c r="AC15" s="6"/>
      <c r="AD15" s="6"/>
      <c r="AE15" s="6"/>
      <c r="AF15" s="6"/>
      <c r="AG15" s="6"/>
      <c r="AH15" s="6"/>
      <c r="AI15" s="6"/>
      <c r="AJ15" s="6"/>
      <c r="AK15" s="6"/>
      <c r="AL15" s="6"/>
      <c r="AM15" s="6"/>
      <c r="AN15" s="6"/>
      <c r="AO15" s="6"/>
      <c r="AP15" s="6"/>
      <c r="AQ15" s="6"/>
    </row>
    <row r="16" spans="1:43" hidden="1" outlineLevel="2">
      <c r="A16" s="6"/>
      <c r="B16" s="6"/>
      <c r="C16" s="6"/>
      <c r="D16" s="6"/>
      <c r="E16" s="6"/>
      <c r="F16" s="6"/>
      <c r="G16" s="6"/>
      <c r="H16" s="6"/>
      <c r="I16" s="6"/>
      <c r="J16" s="6"/>
      <c r="K16" s="6"/>
      <c r="L16" s="6"/>
      <c r="M16" s="6"/>
      <c r="N16" s="6"/>
      <c r="O16" s="6"/>
      <c r="P16" s="6"/>
      <c r="Q16" s="6"/>
      <c r="R16" s="6"/>
      <c r="S16" s="6"/>
      <c r="T16" s="6"/>
      <c r="U16" s="6"/>
      <c r="V16" s="6"/>
      <c r="W16" s="6"/>
      <c r="X16" s="6"/>
      <c r="Y16" s="6"/>
      <c r="Z16" s="6"/>
      <c r="AA16" s="6"/>
      <c r="AB16" s="71"/>
      <c r="AC16" s="6"/>
      <c r="AD16" s="6"/>
      <c r="AE16" s="6"/>
      <c r="AF16" s="6"/>
      <c r="AG16" s="6"/>
      <c r="AH16" s="6"/>
      <c r="AI16" s="6"/>
      <c r="AJ16" s="6"/>
      <c r="AK16" s="6"/>
      <c r="AL16" s="6"/>
      <c r="AM16" s="6"/>
      <c r="AN16" s="6"/>
      <c r="AO16" s="6"/>
      <c r="AP16" s="6"/>
      <c r="AQ16" s="6"/>
    </row>
    <row r="17" spans="1:43" hidden="1" outlineLevel="1">
      <c r="A17" s="6"/>
      <c r="B17" s="40">
        <f>B10+1</f>
        <v>1991</v>
      </c>
      <c r="C17" s="6"/>
      <c r="D17" s="6"/>
      <c r="E17" s="6"/>
      <c r="F17" s="6"/>
      <c r="G17" s="6"/>
      <c r="H17" s="6"/>
      <c r="I17" s="6"/>
      <c r="J17" s="6"/>
      <c r="K17" s="6"/>
      <c r="L17" s="6"/>
      <c r="M17" s="6"/>
      <c r="N17" s="6"/>
      <c r="O17" s="6"/>
      <c r="P17" s="6"/>
      <c r="Q17" s="6"/>
      <c r="R17" s="6"/>
      <c r="S17" s="6"/>
      <c r="T17" s="6"/>
      <c r="U17" s="6"/>
      <c r="V17" s="6"/>
      <c r="W17" s="6"/>
      <c r="X17" s="6"/>
      <c r="Y17" s="6"/>
      <c r="Z17" s="6"/>
      <c r="AA17" s="6"/>
      <c r="AB17" s="71"/>
      <c r="AC17" s="6"/>
      <c r="AD17" s="6"/>
      <c r="AE17" s="6"/>
      <c r="AF17" s="6"/>
      <c r="AG17" s="6"/>
      <c r="AH17" s="6"/>
      <c r="AI17" s="6"/>
      <c r="AJ17" s="6"/>
      <c r="AK17" s="6"/>
      <c r="AL17" s="6"/>
      <c r="AM17" s="6"/>
      <c r="AN17" s="6"/>
      <c r="AO17" s="6"/>
      <c r="AP17" s="6"/>
      <c r="AQ17" s="6"/>
    </row>
    <row r="18" spans="1:43" hidden="1" outlineLevel="1">
      <c r="A18" s="6" t="str">
        <f>$A$11</f>
        <v>1Q</v>
      </c>
      <c r="B18" s="6" t="str">
        <f>$B$11</f>
        <v>Apr</v>
      </c>
      <c r="C18" s="6"/>
      <c r="D18" s="14">
        <f>'qtrP&amp;L'!J$10</f>
        <v>603.29100000000005</v>
      </c>
      <c r="E18" s="6"/>
      <c r="F18" s="14">
        <f>'qtrP&amp;L'!J$21</f>
        <v>458.67</v>
      </c>
      <c r="G18" s="6"/>
      <c r="H18" s="14">
        <f>work!F$10</f>
        <v>565.06600000000003</v>
      </c>
      <c r="I18" s="6"/>
      <c r="J18" s="15">
        <f>AVERAGE(H17:H18)</f>
        <v>565.06600000000003</v>
      </c>
      <c r="K18" s="6"/>
      <c r="L18" s="23">
        <f>(D18/D11-1)*100</f>
        <v>17.427305126742819</v>
      </c>
      <c r="M18" s="6" t="s">
        <v>190</v>
      </c>
      <c r="N18" s="23">
        <f>(H18/H11-1)*100</f>
        <v>5.7674921806709634</v>
      </c>
      <c r="O18" s="6" t="s">
        <v>190</v>
      </c>
      <c r="P18" s="23">
        <f>(H18/H14-1)*100</f>
        <v>9.9536302837250688</v>
      </c>
      <c r="Q18" s="6" t="s">
        <v>190</v>
      </c>
      <c r="R18" s="20">
        <f>F18/J18</f>
        <v>0.81171049045598209</v>
      </c>
      <c r="S18" s="6" t="s">
        <v>598</v>
      </c>
      <c r="T18" s="20">
        <f>F19/H18</f>
        <v>0.88578325363762811</v>
      </c>
      <c r="U18" s="6" t="s">
        <v>598</v>
      </c>
      <c r="V18" s="6">
        <f>qtrSales!J19</f>
        <v>407</v>
      </c>
      <c r="W18" s="6"/>
      <c r="X18" s="16">
        <f>H18/V18</f>
        <v>1.3883685503685503</v>
      </c>
      <c r="Y18" s="6"/>
      <c r="Z18" s="47">
        <f>(X18/X11-1)*100</f>
        <v>-7.2260572272738859</v>
      </c>
      <c r="AA18" s="70" t="s">
        <v>190</v>
      </c>
      <c r="AB18" s="71">
        <f>qtrSales!Z19</f>
        <v>10.284860157640477</v>
      </c>
      <c r="AC18" s="6"/>
      <c r="AD18" s="75">
        <f>H18/AB18</f>
        <v>54.941534579857219</v>
      </c>
      <c r="AE18" s="6"/>
      <c r="AF18" s="47">
        <f>(AD18/AD11-1)*100</f>
        <v>58.12130998267007</v>
      </c>
      <c r="AG18" s="70" t="s">
        <v>190</v>
      </c>
      <c r="AH18" s="6"/>
      <c r="AI18" s="6"/>
      <c r="AJ18" s="6"/>
      <c r="AK18" s="6"/>
      <c r="AL18" s="6"/>
      <c r="AM18" s="6"/>
      <c r="AN18" s="6"/>
      <c r="AO18" s="6"/>
      <c r="AP18" s="6"/>
      <c r="AQ18" s="6"/>
    </row>
    <row r="19" spans="1:43" hidden="1" outlineLevel="1">
      <c r="A19" s="6" t="str">
        <f>$A$12</f>
        <v>2Q</v>
      </c>
      <c r="B19" s="6" t="str">
        <f>$B$12</f>
        <v>Jul</v>
      </c>
      <c r="C19" s="6"/>
      <c r="D19" s="15">
        <f>'qtrP&amp;L'!J$11</f>
        <v>649.49300000000005</v>
      </c>
      <c r="E19" s="6"/>
      <c r="F19" s="15">
        <f>'qtrP&amp;L'!J$22</f>
        <v>500.52600000000001</v>
      </c>
      <c r="G19" s="6"/>
      <c r="H19" s="15">
        <f>work!F$11</f>
        <v>596.38400000000001</v>
      </c>
      <c r="I19" s="6"/>
      <c r="J19" s="15">
        <f>AVERAGE(H18:H19)</f>
        <v>580.72500000000002</v>
      </c>
      <c r="K19" s="6"/>
      <c r="L19" s="23">
        <f>(D19/D12-1)*100</f>
        <v>13.452522358859698</v>
      </c>
      <c r="M19" s="6"/>
      <c r="N19" s="23">
        <f>(H19/H12-1)*100</f>
        <v>1.1103105105665145</v>
      </c>
      <c r="O19" s="6"/>
      <c r="P19" s="23">
        <f>(H19/H18-1)*100</f>
        <v>5.5423614232673613</v>
      </c>
      <c r="Q19" s="6"/>
      <c r="R19" s="20">
        <f>F19/J19</f>
        <v>0.86189848895776833</v>
      </c>
      <c r="S19" s="6"/>
      <c r="T19" s="20">
        <f>F20/H19</f>
        <v>0.88459616622847015</v>
      </c>
      <c r="U19" s="6"/>
      <c r="V19" s="6">
        <f>qtrSales!J20</f>
        <v>416</v>
      </c>
      <c r="W19" s="6"/>
      <c r="X19" s="20">
        <f>H19/V19</f>
        <v>1.4336153846153847</v>
      </c>
      <c r="Y19" s="6"/>
      <c r="Z19" s="47">
        <f>(X19/X12-1)*100</f>
        <v>-9.58404925497417</v>
      </c>
      <c r="AA19" s="6"/>
      <c r="AB19" s="71">
        <f>qtrSales!Z20</f>
        <v>10.513732011187388</v>
      </c>
      <c r="AC19" s="6"/>
      <c r="AD19" s="76">
        <f>H19/AB19</f>
        <v>56.724291561303197</v>
      </c>
      <c r="AE19" s="6"/>
      <c r="AF19" s="47">
        <f>(AD19/AD12-1)*100</f>
        <v>49.957005281300113</v>
      </c>
      <c r="AG19" s="6"/>
      <c r="AH19" s="6"/>
      <c r="AI19" s="6"/>
      <c r="AJ19" s="6"/>
      <c r="AK19" s="6"/>
      <c r="AL19" s="6"/>
      <c r="AM19" s="6"/>
      <c r="AN19" s="6"/>
      <c r="AO19" s="6"/>
      <c r="AP19" s="6"/>
      <c r="AQ19" s="6"/>
    </row>
    <row r="20" spans="1:43" hidden="1" outlineLevel="1">
      <c r="A20" s="6" t="str">
        <f>$A$13</f>
        <v>3Q</v>
      </c>
      <c r="B20" s="6" t="str">
        <f>$B$13</f>
        <v>Oct</v>
      </c>
      <c r="C20" s="6"/>
      <c r="D20" s="15">
        <f>'qtrP&amp;L'!J$12</f>
        <v>705.26900000000001</v>
      </c>
      <c r="E20" s="6"/>
      <c r="F20" s="15">
        <f>'qtrP&amp;L'!J$23</f>
        <v>527.55899999999997</v>
      </c>
      <c r="G20" s="6"/>
      <c r="H20" s="15">
        <f>work!F$12</f>
        <v>637.22400000000005</v>
      </c>
      <c r="I20" s="6"/>
      <c r="J20" s="15">
        <f>AVERAGE(H19:H20)</f>
        <v>616.80400000000009</v>
      </c>
      <c r="K20" s="6"/>
      <c r="L20" s="23">
        <f>(D20/D13-1)*100</f>
        <v>9.1781479302764701</v>
      </c>
      <c r="M20" s="6"/>
      <c r="N20" s="23">
        <f>(H20/H13-1)*100</f>
        <v>2.8548738816245089</v>
      </c>
      <c r="O20" s="6"/>
      <c r="P20" s="23">
        <f>(H20/H19-1)*100</f>
        <v>6.8479368997156342</v>
      </c>
      <c r="Q20" s="6"/>
      <c r="R20" s="20">
        <f>F20/J20</f>
        <v>0.85531060109856594</v>
      </c>
      <c r="S20" s="6"/>
      <c r="T20" s="20">
        <f>F21/H20</f>
        <v>0.98991877267648376</v>
      </c>
      <c r="U20" s="6"/>
      <c r="V20" s="6">
        <f>qtrSales!J21</f>
        <v>432</v>
      </c>
      <c r="W20" s="6"/>
      <c r="X20" s="20">
        <f>H20/V20</f>
        <v>1.4750555555555556</v>
      </c>
      <c r="Y20" s="6"/>
      <c r="Z20" s="47">
        <f>(X20/X13-1)*100</f>
        <v>-8.5734454385560035</v>
      </c>
      <c r="AA20" s="6"/>
      <c r="AB20" s="71">
        <f>qtrSales!Z21</f>
        <v>10.901977116704803</v>
      </c>
      <c r="AC20" s="6"/>
      <c r="AD20" s="76">
        <f>H20/AB20</f>
        <v>58.450315312403205</v>
      </c>
      <c r="AE20" s="6"/>
      <c r="AF20" s="47">
        <f>(AD20/AD13-1)*100</f>
        <v>54.46904740039011</v>
      </c>
      <c r="AG20" s="6"/>
      <c r="AH20" s="6"/>
      <c r="AI20" s="6"/>
      <c r="AJ20" s="6"/>
      <c r="AK20" s="6"/>
      <c r="AL20" s="6"/>
      <c r="AM20" s="6"/>
      <c r="AN20" s="6"/>
      <c r="AO20" s="6"/>
      <c r="AP20" s="6"/>
      <c r="AQ20" s="6"/>
    </row>
    <row r="21" spans="1:43" hidden="1" outlineLevel="1">
      <c r="A21" s="6" t="str">
        <f>$A$14</f>
        <v>4Q</v>
      </c>
      <c r="B21" s="6" t="str">
        <f>$B$14</f>
        <v>Jan</v>
      </c>
      <c r="C21" s="6"/>
      <c r="D21" s="19">
        <f>'qtrP&amp;L'!J$13</f>
        <v>799.66200000000003</v>
      </c>
      <c r="E21" s="6"/>
      <c r="F21" s="19">
        <f>'qtrP&amp;L'!J$24</f>
        <v>630.79999999999973</v>
      </c>
      <c r="G21" s="6"/>
      <c r="H21" s="56">
        <f>work!F$13</f>
        <v>552.46600000000001</v>
      </c>
      <c r="I21" s="6"/>
      <c r="J21" s="19">
        <f>AVERAGE(H20:H21)</f>
        <v>594.84500000000003</v>
      </c>
      <c r="K21" s="6"/>
      <c r="L21" s="46">
        <f>(D21/D14-1)*100</f>
        <v>11.98775456472967</v>
      </c>
      <c r="M21" s="6"/>
      <c r="N21" s="47">
        <f>(H21/H14-1)*100</f>
        <v>7.5018534265527403</v>
      </c>
      <c r="O21" s="6"/>
      <c r="P21" s="47">
        <f>(H21/H20-1)*100</f>
        <v>-13.301131156390856</v>
      </c>
      <c r="Q21" s="6"/>
      <c r="R21" s="20">
        <f>F21/J21</f>
        <v>1.0604443174272284</v>
      </c>
      <c r="S21" s="6"/>
      <c r="T21" s="20">
        <f>F25/H21</f>
        <v>0.91924208910593597</v>
      </c>
      <c r="U21" s="6"/>
      <c r="V21" s="6">
        <f>qtrSales!J22</f>
        <v>446</v>
      </c>
      <c r="W21" s="6"/>
      <c r="X21" s="20">
        <f>H21/V21</f>
        <v>1.2387130044843049</v>
      </c>
      <c r="Y21" s="6"/>
      <c r="Z21" s="47">
        <f>(X21/X14-1)*100</f>
        <v>-4.0678527718206574</v>
      </c>
      <c r="AA21" s="6"/>
      <c r="AB21" s="71">
        <f>qtrSales!Z22</f>
        <v>11.257999999999999</v>
      </c>
      <c r="AC21" s="6"/>
      <c r="AD21" s="76">
        <f>H21/AB21</f>
        <v>49.073192396518039</v>
      </c>
      <c r="AE21" s="6"/>
      <c r="AF21" s="47">
        <f>(AD21/AD14-1)*100</f>
        <v>61.663384127868007</v>
      </c>
      <c r="AG21" s="6"/>
      <c r="AH21" s="6"/>
      <c r="AI21" s="6"/>
      <c r="AJ21" s="6"/>
      <c r="AK21" s="6"/>
      <c r="AL21" s="6"/>
      <c r="AM21" s="6"/>
      <c r="AN21" s="6"/>
      <c r="AO21" s="6"/>
      <c r="AP21" s="6"/>
      <c r="AQ21" s="6"/>
    </row>
    <row r="22" spans="1:43" hidden="1" outlineLevel="1">
      <c r="A22" s="6"/>
      <c r="B22" s="6" t="str">
        <f>$B$15</f>
        <v>Year</v>
      </c>
      <c r="C22" s="6"/>
      <c r="D22" s="14">
        <f>SUM(D18:D21)</f>
        <v>2757.7150000000001</v>
      </c>
      <c r="E22" s="6"/>
      <c r="F22" s="14">
        <f>SUM(F18:F21)</f>
        <v>2117.5549999999998</v>
      </c>
      <c r="G22" s="6"/>
      <c r="H22" s="6"/>
      <c r="I22" s="6"/>
      <c r="J22" s="14">
        <f>AVERAGE(J18:J21)</f>
        <v>589.36000000000013</v>
      </c>
      <c r="K22" s="6"/>
      <c r="L22" s="23">
        <f>(D22/D15-1)*100</f>
        <v>12.731009014098561</v>
      </c>
      <c r="M22" s="6"/>
      <c r="N22" s="47"/>
      <c r="O22" s="6"/>
      <c r="P22" s="6"/>
      <c r="Q22" s="6"/>
      <c r="R22" s="48">
        <f>F22/J22</f>
        <v>3.5929737342201702</v>
      </c>
      <c r="S22" s="45" t="s">
        <v>598</v>
      </c>
      <c r="T22" s="6"/>
      <c r="U22" s="6"/>
      <c r="V22" s="6"/>
      <c r="W22" s="6"/>
      <c r="X22" s="6"/>
      <c r="Y22" s="6"/>
      <c r="Z22" s="6"/>
      <c r="AA22" s="6"/>
      <c r="AB22" s="71"/>
      <c r="AC22" s="6"/>
      <c r="AD22" s="6"/>
      <c r="AE22" s="6"/>
      <c r="AF22" s="6"/>
      <c r="AG22" s="6"/>
      <c r="AH22" s="6"/>
      <c r="AI22" s="6"/>
      <c r="AJ22" s="6"/>
      <c r="AK22" s="6"/>
      <c r="AL22" s="6"/>
      <c r="AM22" s="6"/>
      <c r="AN22" s="6"/>
      <c r="AO22" s="6"/>
      <c r="AP22" s="6"/>
      <c r="AQ22" s="6"/>
    </row>
    <row r="23" spans="1:43" hidden="1" outlineLevel="1">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71"/>
      <c r="AC23" s="6"/>
      <c r="AD23" s="6"/>
      <c r="AE23" s="6"/>
      <c r="AF23" s="6"/>
      <c r="AG23" s="6"/>
      <c r="AH23" s="6"/>
      <c r="AI23" s="6"/>
      <c r="AJ23" s="6"/>
      <c r="AK23" s="6"/>
      <c r="AL23" s="6"/>
      <c r="AM23" s="6"/>
      <c r="AN23" s="6"/>
      <c r="AO23" s="6"/>
      <c r="AP23" s="6"/>
      <c r="AQ23" s="6"/>
    </row>
    <row r="24" spans="1:43" hidden="1" outlineLevel="1">
      <c r="A24" s="6"/>
      <c r="B24" s="40">
        <f>B17+1</f>
        <v>1992</v>
      </c>
      <c r="C24" s="6"/>
      <c r="D24" s="6"/>
      <c r="E24" s="6"/>
      <c r="F24" s="6"/>
      <c r="G24" s="6"/>
      <c r="H24" s="6"/>
      <c r="I24" s="6"/>
      <c r="J24" s="6"/>
      <c r="K24" s="6"/>
      <c r="L24" s="6"/>
      <c r="M24" s="6"/>
      <c r="N24" s="6"/>
      <c r="O24" s="6"/>
      <c r="P24" s="6"/>
      <c r="Q24" s="6"/>
      <c r="R24" s="6"/>
      <c r="S24" s="6"/>
      <c r="T24" s="6"/>
      <c r="U24" s="6"/>
      <c r="V24" s="6"/>
      <c r="W24" s="6"/>
      <c r="X24" s="6"/>
      <c r="Y24" s="6"/>
      <c r="Z24" s="6"/>
      <c r="AA24" s="6"/>
      <c r="AB24" s="71"/>
      <c r="AC24" s="6"/>
      <c r="AD24" s="6"/>
      <c r="AE24" s="6"/>
      <c r="AF24" s="6"/>
      <c r="AG24" s="6"/>
      <c r="AH24" s="6"/>
      <c r="AI24" s="6"/>
      <c r="AJ24" s="6"/>
      <c r="AK24" s="6"/>
      <c r="AL24" s="6"/>
      <c r="AM24" s="6"/>
      <c r="AN24" s="6"/>
      <c r="AO24" s="6"/>
      <c r="AP24" s="6"/>
      <c r="AQ24" s="6"/>
    </row>
    <row r="25" spans="1:43" hidden="1" outlineLevel="1">
      <c r="A25" s="6" t="str">
        <f>$A$11</f>
        <v>1Q</v>
      </c>
      <c r="B25" s="6" t="str">
        <f>$B$11</f>
        <v>Apr</v>
      </c>
      <c r="C25" s="6"/>
      <c r="D25" s="14">
        <f>'qtrP&amp;L'!N$10</f>
        <v>670.93700000000001</v>
      </c>
      <c r="E25" s="6"/>
      <c r="F25" s="14">
        <f>'qtrP&amp;L'!N$21</f>
        <v>507.85</v>
      </c>
      <c r="G25" s="6"/>
      <c r="H25" s="14">
        <f>work!J$10</f>
        <v>674.95</v>
      </c>
      <c r="I25" s="6"/>
      <c r="J25" s="15">
        <f>AVERAGE(H24:H25)</f>
        <v>674.95</v>
      </c>
      <c r="K25" s="6"/>
      <c r="L25" s="23">
        <f>(D25/D18-1)*100</f>
        <v>11.212830955542174</v>
      </c>
      <c r="M25" s="6" t="s">
        <v>190</v>
      </c>
      <c r="N25" s="23">
        <f>(H25/H18-1)*100</f>
        <v>19.446223980915512</v>
      </c>
      <c r="O25" s="6" t="s">
        <v>190</v>
      </c>
      <c r="P25" s="23">
        <f>(H25/H21-1)*100</f>
        <v>22.170414106931482</v>
      </c>
      <c r="Q25" s="6" t="s">
        <v>190</v>
      </c>
      <c r="R25" s="20">
        <f>F25/J25</f>
        <v>0.7524261056374546</v>
      </c>
      <c r="S25" s="6" t="s">
        <v>598</v>
      </c>
      <c r="T25" s="20">
        <f>F26/H25</f>
        <v>0.85423364693681014</v>
      </c>
      <c r="U25" s="6" t="s">
        <v>598</v>
      </c>
      <c r="V25" s="6">
        <f>qtrSales!J26</f>
        <v>452</v>
      </c>
      <c r="W25" s="6"/>
      <c r="X25" s="16">
        <f>H25/V25</f>
        <v>1.4932522123893806</v>
      </c>
      <c r="Y25" s="6"/>
      <c r="Z25" s="47">
        <f>(X25/X18-1)*100</f>
        <v>7.5544538943199457</v>
      </c>
      <c r="AA25" s="70" t="s">
        <v>190</v>
      </c>
      <c r="AB25" s="71">
        <f>qtrSales!Z26</f>
        <v>11.765070146137786</v>
      </c>
      <c r="AC25" s="6"/>
      <c r="AD25" s="75">
        <f>H25/AB25</f>
        <v>57.368973717642582</v>
      </c>
      <c r="AE25" s="6"/>
      <c r="AF25" s="47">
        <f>(AD25/AD18-1)*100</f>
        <v>4.4182223091295159</v>
      </c>
      <c r="AG25" s="70" t="s">
        <v>190</v>
      </c>
      <c r="AH25" s="6"/>
      <c r="AI25" s="6"/>
      <c r="AJ25" s="6"/>
      <c r="AK25" s="6"/>
      <c r="AL25" s="6"/>
      <c r="AM25" s="6"/>
      <c r="AN25" s="6"/>
      <c r="AO25" s="6"/>
      <c r="AP25" s="6"/>
      <c r="AQ25" s="6"/>
    </row>
    <row r="26" spans="1:43" hidden="1" outlineLevel="1">
      <c r="A26" s="6" t="str">
        <f>$A$12</f>
        <v>2Q</v>
      </c>
      <c r="B26" s="6" t="str">
        <f>$B$12</f>
        <v>Jul</v>
      </c>
      <c r="C26" s="6"/>
      <c r="D26" s="15">
        <f>'qtrP&amp;L'!N$11</f>
        <v>753.62199999999996</v>
      </c>
      <c r="E26" s="6"/>
      <c r="F26" s="15">
        <f>'qtrP&amp;L'!N$22</f>
        <v>576.56500000000005</v>
      </c>
      <c r="G26" s="6"/>
      <c r="H26" s="15">
        <f>work!J$11</f>
        <v>726.33100000000002</v>
      </c>
      <c r="I26" s="6"/>
      <c r="J26" s="15">
        <f>AVERAGE(H25:H26)</f>
        <v>700.64049999999997</v>
      </c>
      <c r="K26" s="6"/>
      <c r="L26" s="23">
        <f>(D26/D19-1)*100</f>
        <v>16.032351387928713</v>
      </c>
      <c r="M26" s="6"/>
      <c r="N26" s="23">
        <f>(H26/H19-1)*100</f>
        <v>21.789149272951658</v>
      </c>
      <c r="O26" s="6"/>
      <c r="P26" s="23">
        <f>(H26/H25-1)*100</f>
        <v>7.6125638936217488</v>
      </c>
      <c r="Q26" s="6"/>
      <c r="R26" s="20">
        <f>F26/J26</f>
        <v>0.82291132185478866</v>
      </c>
      <c r="S26" s="6"/>
      <c r="T26" s="20">
        <f>F27/H26</f>
        <v>0.846313870673288</v>
      </c>
      <c r="U26" s="6"/>
      <c r="V26" s="6">
        <f>qtrSales!J27</f>
        <v>466</v>
      </c>
      <c r="W26" s="6"/>
      <c r="X26" s="20">
        <f>H26/V26</f>
        <v>1.5586502145922747</v>
      </c>
      <c r="Y26" s="6"/>
      <c r="Z26" s="47">
        <f>(X26/X19-1)*100</f>
        <v>8.7216439861542696</v>
      </c>
      <c r="AA26" s="6"/>
      <c r="AB26" s="71">
        <f>qtrSales!Z27</f>
        <v>12.207662212943633</v>
      </c>
      <c r="AC26" s="6"/>
      <c r="AD26" s="76">
        <f>H26/AB26</f>
        <v>59.497960160617829</v>
      </c>
      <c r="AE26" s="6"/>
      <c r="AF26" s="47">
        <f>(AD26/AD19-1)*100</f>
        <v>4.8897368710494549</v>
      </c>
      <c r="AG26" s="6"/>
      <c r="AH26" s="6"/>
      <c r="AI26" s="6"/>
      <c r="AJ26" s="6"/>
      <c r="AK26" s="6"/>
      <c r="AL26" s="6"/>
      <c r="AM26" s="6"/>
      <c r="AN26" s="6"/>
      <c r="AO26" s="6"/>
      <c r="AP26" s="6"/>
      <c r="AQ26" s="6"/>
    </row>
    <row r="27" spans="1:43" hidden="1" outlineLevel="1">
      <c r="A27" s="6" t="str">
        <f>$A$13</f>
        <v>3Q</v>
      </c>
      <c r="B27" s="6" t="str">
        <f>$B$13</f>
        <v>Oct</v>
      </c>
      <c r="C27" s="6"/>
      <c r="D27" s="15">
        <f>'qtrP&amp;L'!N$12</f>
        <v>839.11599999999999</v>
      </c>
      <c r="E27" s="6"/>
      <c r="F27" s="15">
        <f>'qtrP&amp;L'!N$23</f>
        <v>614.70399999999995</v>
      </c>
      <c r="G27" s="6"/>
      <c r="H27" s="15">
        <f>work!J$12</f>
        <v>769.923</v>
      </c>
      <c r="I27" s="6"/>
      <c r="J27" s="15">
        <f>AVERAGE(H26:H27)</f>
        <v>748.12699999999995</v>
      </c>
      <c r="K27" s="6"/>
      <c r="L27" s="23">
        <f>(D27/D20-1)*100</f>
        <v>18.978148763096069</v>
      </c>
      <c r="M27" s="6"/>
      <c r="N27" s="23">
        <f>(H27/H20-1)*100</f>
        <v>20.824545214869495</v>
      </c>
      <c r="O27" s="6"/>
      <c r="P27" s="23">
        <f>(H27/H26-1)*100</f>
        <v>6.0016714142725469</v>
      </c>
      <c r="Q27" s="6"/>
      <c r="R27" s="20">
        <f>F27/J27</f>
        <v>0.82165728546089101</v>
      </c>
      <c r="S27" s="6"/>
      <c r="T27" s="20">
        <f>F28/H27</f>
        <v>0.99856219388172573</v>
      </c>
      <c r="U27" s="6"/>
      <c r="V27" s="6">
        <f>qtrSales!J28</f>
        <v>481</v>
      </c>
      <c r="W27" s="6"/>
      <c r="X27" s="20">
        <f>H27/V27</f>
        <v>1.6006715176715176</v>
      </c>
      <c r="Y27" s="6"/>
      <c r="Z27" s="47">
        <f>(X27/X20-1)*100</f>
        <v>8.516015660755972</v>
      </c>
      <c r="AA27" s="6"/>
      <c r="AB27" s="71">
        <f>qtrSales!Z28</f>
        <v>12.613092693110644</v>
      </c>
      <c r="AC27" s="6"/>
      <c r="AD27" s="76">
        <f>H27/AB27</f>
        <v>61.041571542603272</v>
      </c>
      <c r="AE27" s="6"/>
      <c r="AF27" s="47">
        <f>(AD27/AD20-1)*100</f>
        <v>4.4332630480270474</v>
      </c>
      <c r="AG27" s="6"/>
      <c r="AH27" s="6"/>
      <c r="AI27" s="6"/>
      <c r="AJ27" s="6"/>
      <c r="AK27" s="6"/>
      <c r="AL27" s="6"/>
      <c r="AM27" s="6"/>
      <c r="AN27" s="6"/>
      <c r="AO27" s="6"/>
      <c r="AP27" s="6"/>
      <c r="AQ27" s="6"/>
    </row>
    <row r="28" spans="1:43" hidden="1" outlineLevel="1">
      <c r="A28" s="6" t="str">
        <f>$A$14</f>
        <v>4Q</v>
      </c>
      <c r="B28" s="6" t="str">
        <f>$B$14</f>
        <v>Jan</v>
      </c>
      <c r="C28" s="6"/>
      <c r="D28" s="19">
        <f>'qtrP&amp;L'!N$13</f>
        <v>997.56499999999994</v>
      </c>
      <c r="E28" s="6"/>
      <c r="F28" s="19">
        <f>'qtrP&amp;L'!N$24</f>
        <v>768.81599999999992</v>
      </c>
      <c r="G28" s="6"/>
      <c r="H28" s="56">
        <f>work!J$13</f>
        <v>672.35400000000004</v>
      </c>
      <c r="I28" s="6"/>
      <c r="J28" s="19">
        <f>AVERAGE(H27:H28)</f>
        <v>721.13850000000002</v>
      </c>
      <c r="K28" s="6"/>
      <c r="L28" s="46">
        <f>(D28/D21-1)*100</f>
        <v>24.748331169919279</v>
      </c>
      <c r="M28" s="6"/>
      <c r="N28" s="47">
        <f>(H28/H21-1)*100</f>
        <v>21.700520937035051</v>
      </c>
      <c r="O28" s="6"/>
      <c r="P28" s="47">
        <f>(H28/H27-1)*100</f>
        <v>-12.672565957894488</v>
      </c>
      <c r="Q28" s="6"/>
      <c r="R28" s="20">
        <f>F28/J28</f>
        <v>1.0661142069103229</v>
      </c>
      <c r="S28" s="6"/>
      <c r="T28" s="20">
        <f>F32/H28</f>
        <v>0.6766792493240168</v>
      </c>
      <c r="U28" s="6"/>
      <c r="V28" s="6">
        <f>qtrSales!J29</f>
        <v>500</v>
      </c>
      <c r="W28" s="6"/>
      <c r="X28" s="20">
        <f>H28/V28</f>
        <v>1.344708</v>
      </c>
      <c r="Y28" s="6"/>
      <c r="Z28" s="47">
        <f>(X28/X21-1)*100</f>
        <v>8.5568646758352518</v>
      </c>
      <c r="AA28" s="6"/>
      <c r="AB28" s="71">
        <f>qtrSales!Z29</f>
        <v>13.158999999999999</v>
      </c>
      <c r="AC28" s="6"/>
      <c r="AD28" s="76">
        <f>H28/AB28</f>
        <v>51.094612052587593</v>
      </c>
      <c r="AE28" s="6"/>
      <c r="AF28" s="47">
        <f>(AD28/AD21-1)*100</f>
        <v>4.1191933056569985</v>
      </c>
      <c r="AG28" s="6"/>
      <c r="AH28" s="6"/>
      <c r="AI28" s="6"/>
      <c r="AJ28" s="6"/>
      <c r="AK28" s="6"/>
      <c r="AL28" s="6"/>
      <c r="AM28" s="6"/>
      <c r="AN28" s="6"/>
      <c r="AO28" s="6"/>
      <c r="AP28" s="6"/>
      <c r="AQ28" s="6"/>
    </row>
    <row r="29" spans="1:43" hidden="1" outlineLevel="1">
      <c r="A29" s="6"/>
      <c r="B29" s="6" t="str">
        <f>$B$15</f>
        <v>Year</v>
      </c>
      <c r="C29" s="6"/>
      <c r="D29" s="14">
        <f>SUM(D25:D28)</f>
        <v>3261.2400000000002</v>
      </c>
      <c r="E29" s="6"/>
      <c r="F29" s="14">
        <f>SUM(F25:F28)</f>
        <v>2467.9349999999999</v>
      </c>
      <c r="G29" s="6"/>
      <c r="H29" s="6"/>
      <c r="I29" s="6"/>
      <c r="J29" s="14">
        <f>AVERAGE(J25:J28)</f>
        <v>711.21399999999994</v>
      </c>
      <c r="K29" s="6"/>
      <c r="L29" s="23">
        <f>(D29/D22-1)*100</f>
        <v>18.258775834341122</v>
      </c>
      <c r="M29" s="6"/>
      <c r="N29" s="47"/>
      <c r="O29" s="6"/>
      <c r="P29" s="6"/>
      <c r="Q29" s="6"/>
      <c r="R29" s="48">
        <f>F29/J29</f>
        <v>3.4700315235639345</v>
      </c>
      <c r="S29" s="45" t="s">
        <v>598</v>
      </c>
      <c r="T29" s="6"/>
      <c r="U29" s="6"/>
      <c r="V29" s="6"/>
      <c r="W29" s="6"/>
      <c r="X29" s="6"/>
      <c r="Y29" s="6"/>
      <c r="Z29" s="6"/>
      <c r="AA29" s="6"/>
      <c r="AB29" s="71"/>
      <c r="AC29" s="6"/>
      <c r="AD29" s="6"/>
      <c r="AE29" s="6"/>
      <c r="AF29" s="6"/>
      <c r="AG29" s="6"/>
      <c r="AH29" s="6"/>
      <c r="AI29" s="6"/>
      <c r="AJ29" s="6"/>
      <c r="AK29" s="6"/>
      <c r="AL29" s="6"/>
      <c r="AM29" s="6"/>
      <c r="AN29" s="6"/>
      <c r="AO29" s="6"/>
      <c r="AP29" s="6"/>
      <c r="AQ29" s="6"/>
    </row>
    <row r="30" spans="1:43" hidden="1" outlineLevel="1">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71"/>
      <c r="AC30" s="6"/>
      <c r="AD30" s="6"/>
      <c r="AE30" s="6"/>
      <c r="AF30" s="6"/>
      <c r="AG30" s="6"/>
      <c r="AH30" s="6"/>
      <c r="AI30" s="6"/>
      <c r="AJ30" s="6"/>
      <c r="AK30" s="6"/>
      <c r="AL30" s="6"/>
      <c r="AM30" s="6"/>
      <c r="AN30" s="6"/>
      <c r="AO30" s="6"/>
      <c r="AP30" s="6"/>
      <c r="AQ30" s="6"/>
    </row>
    <row r="31" spans="1:43" hidden="1" outlineLevel="1">
      <c r="A31" s="6"/>
      <c r="B31" s="40">
        <f>B24+1</f>
        <v>1993</v>
      </c>
      <c r="C31" s="6"/>
      <c r="D31" s="6"/>
      <c r="E31" s="6"/>
      <c r="F31" s="6"/>
      <c r="G31" s="6"/>
      <c r="H31" s="6"/>
      <c r="I31" s="6"/>
      <c r="J31" s="6"/>
      <c r="K31" s="6"/>
      <c r="L31" s="6"/>
      <c r="M31" s="6"/>
      <c r="N31" s="6"/>
      <c r="O31" s="6"/>
      <c r="P31" s="6"/>
      <c r="Q31" s="6"/>
      <c r="R31" s="6"/>
      <c r="S31" s="6"/>
      <c r="T31" s="6"/>
      <c r="U31" s="6"/>
      <c r="V31" s="6"/>
      <c r="W31" s="6"/>
      <c r="X31" s="6"/>
      <c r="Y31" s="6"/>
      <c r="Z31" s="6"/>
      <c r="AA31" s="6"/>
      <c r="AB31" s="71"/>
      <c r="AC31" s="6"/>
      <c r="AD31" s="6"/>
      <c r="AE31" s="6"/>
      <c r="AF31" s="6"/>
      <c r="AG31" s="6"/>
      <c r="AH31" s="6"/>
      <c r="AI31" s="6"/>
      <c r="AJ31" s="6"/>
      <c r="AK31" s="6"/>
      <c r="AL31" s="6"/>
      <c r="AM31" s="6"/>
      <c r="AN31" s="6"/>
      <c r="AO31" s="6"/>
      <c r="AP31" s="6"/>
      <c r="AQ31" s="6"/>
    </row>
    <row r="32" spans="1:43" hidden="1" outlineLevel="1">
      <c r="A32" s="6" t="s">
        <v>527</v>
      </c>
      <c r="B32" s="6" t="s">
        <v>514</v>
      </c>
      <c r="C32" s="6"/>
      <c r="D32" s="14">
        <f>'qtrP&amp;L'!R$10</f>
        <v>593.74</v>
      </c>
      <c r="E32" s="6"/>
      <c r="F32" s="14">
        <f>'qtrP&amp;L'!R$21</f>
        <v>454.96800000000002</v>
      </c>
      <c r="G32" s="6"/>
      <c r="H32" s="14">
        <f>work!N$10</f>
        <v>784.00099999999998</v>
      </c>
      <c r="I32" s="6"/>
      <c r="J32" s="15">
        <f>AVERAGE(H31:H32)</f>
        <v>784.00099999999998</v>
      </c>
      <c r="K32" s="6"/>
      <c r="L32" s="23">
        <f>(D32/D25-1)*100</f>
        <v>-11.505849282421455</v>
      </c>
      <c r="M32" s="6" t="s">
        <v>190</v>
      </c>
      <c r="N32" s="23">
        <f>(H32/H25-1)*100</f>
        <v>16.156900511148955</v>
      </c>
      <c r="O32" s="6" t="s">
        <v>190</v>
      </c>
      <c r="P32" s="23">
        <f>(H32/H28-1)*100</f>
        <v>16.605389422833806</v>
      </c>
      <c r="Q32" s="6" t="s">
        <v>190</v>
      </c>
      <c r="R32" s="20">
        <f>F32/J32</f>
        <v>0.58031558633216029</v>
      </c>
      <c r="S32" s="6" t="s">
        <v>598</v>
      </c>
      <c r="T32" s="20">
        <f>F33/H32</f>
        <v>0.63956040872396847</v>
      </c>
      <c r="U32" s="6" t="s">
        <v>598</v>
      </c>
      <c r="V32" s="6">
        <f>qtrSales!J33</f>
        <v>512</v>
      </c>
      <c r="W32" s="6"/>
      <c r="X32" s="16">
        <f>H32/V32</f>
        <v>1.531251953125</v>
      </c>
      <c r="Y32" s="6"/>
      <c r="Z32" s="47">
        <f>(X32/X25-1)*100</f>
        <v>2.5447637324987005</v>
      </c>
      <c r="AA32" s="70" t="s">
        <v>190</v>
      </c>
      <c r="AB32" s="71">
        <f>qtrSales!Z33</f>
        <v>13.821740928819446</v>
      </c>
      <c r="AC32" s="6"/>
      <c r="AD32" s="75">
        <f>H32/AB32</f>
        <v>56.72230466751801</v>
      </c>
      <c r="AE32" s="6"/>
      <c r="AF32" s="47">
        <f>(AD32/AD25-1)*100</f>
        <v>-1.12721042092776</v>
      </c>
      <c r="AG32" s="70" t="s">
        <v>190</v>
      </c>
      <c r="AH32" s="6"/>
      <c r="AI32" s="6"/>
      <c r="AJ32" s="6"/>
      <c r="AK32" s="6"/>
      <c r="AL32" s="6"/>
      <c r="AM32" s="6"/>
      <c r="AN32" s="6"/>
      <c r="AO32" s="6"/>
      <c r="AP32" s="6"/>
      <c r="AQ32" s="6"/>
    </row>
    <row r="33" spans="1:43" hidden="1" outlineLevel="1">
      <c r="A33" s="6" t="s">
        <v>528</v>
      </c>
      <c r="B33" s="6" t="s">
        <v>515</v>
      </c>
      <c r="C33" s="6"/>
      <c r="D33" s="15">
        <f>'qtrP&amp;L'!R$11</f>
        <v>649.423</v>
      </c>
      <c r="E33" s="6"/>
      <c r="F33" s="15">
        <f>'qtrP&amp;L'!R$22</f>
        <v>501.416</v>
      </c>
      <c r="G33" s="6"/>
      <c r="H33" s="15">
        <f>work!N$11</f>
        <v>911.94799999999998</v>
      </c>
      <c r="I33" s="6"/>
      <c r="J33" s="15">
        <f>AVERAGE(H32:H33)</f>
        <v>847.97450000000003</v>
      </c>
      <c r="K33" s="6"/>
      <c r="L33" s="23">
        <f>(D33/D26-1)*100</f>
        <v>-13.826427572443478</v>
      </c>
      <c r="M33" s="6"/>
      <c r="N33" s="23">
        <f>(H33/H26-1)*100</f>
        <v>25.555428585589766</v>
      </c>
      <c r="O33" s="6"/>
      <c r="P33" s="23">
        <f>(H33/H32-1)*100</f>
        <v>16.319749592156143</v>
      </c>
      <c r="Q33" s="6"/>
      <c r="R33" s="20">
        <f>F33/J33</f>
        <v>0.59131023397519611</v>
      </c>
      <c r="S33" s="6"/>
      <c r="T33" s="20">
        <f>F34/H33</f>
        <v>0.61060608718918186</v>
      </c>
      <c r="U33" s="6"/>
      <c r="V33" s="6">
        <f>qtrSales!J34</f>
        <v>516</v>
      </c>
      <c r="W33" s="6"/>
      <c r="X33" s="20">
        <f>H33/V33</f>
        <v>1.7673410852713178</v>
      </c>
      <c r="Y33" s="6"/>
      <c r="Z33" s="47">
        <f>(X33/X26-1)*100</f>
        <v>13.389204885435714</v>
      </c>
      <c r="AA33" s="6"/>
      <c r="AB33" s="71">
        <f>qtrSales!Z34</f>
        <v>13.929608116319445</v>
      </c>
      <c r="AC33" s="6"/>
      <c r="AD33" s="76">
        <f>H33/AB33</f>
        <v>65.468317011129216</v>
      </c>
      <c r="AE33" s="6"/>
      <c r="AF33" s="47">
        <f>(AD33/AD26-1)*100</f>
        <v>10.034557209010364</v>
      </c>
      <c r="AG33" s="6"/>
      <c r="AH33" s="6"/>
      <c r="AI33" s="6"/>
      <c r="AJ33" s="6"/>
      <c r="AK33" s="6"/>
      <c r="AL33" s="6"/>
      <c r="AM33" s="6"/>
      <c r="AN33" s="6"/>
      <c r="AO33" s="6"/>
      <c r="AP33" s="6"/>
      <c r="AQ33" s="6"/>
    </row>
    <row r="34" spans="1:43" hidden="1" outlineLevel="1">
      <c r="A34" s="6" t="s">
        <v>529</v>
      </c>
      <c r="B34" s="6" t="s">
        <v>516</v>
      </c>
      <c r="C34" s="6"/>
      <c r="D34" s="15">
        <f>'qtrP&amp;L'!R$12</f>
        <v>752.95299999999997</v>
      </c>
      <c r="E34" s="6"/>
      <c r="F34" s="15">
        <f>'qtrP&amp;L'!R$23</f>
        <v>556.84100000000001</v>
      </c>
      <c r="G34" s="6"/>
      <c r="H34" s="15">
        <f>work!N$12</f>
        <v>958.68100000000004</v>
      </c>
      <c r="I34" s="6"/>
      <c r="J34" s="15">
        <f>AVERAGE(H33:H34)</f>
        <v>935.31449999999995</v>
      </c>
      <c r="K34" s="6"/>
      <c r="L34" s="23">
        <f>(D34/D27-1)*100</f>
        <v>-10.268306169826346</v>
      </c>
      <c r="M34" s="6"/>
      <c r="N34" s="23">
        <f>(H34/H27-1)*100</f>
        <v>24.516477621788169</v>
      </c>
      <c r="O34" s="6"/>
      <c r="P34" s="23">
        <f>(H34/H33-1)*100</f>
        <v>5.1245246439490133</v>
      </c>
      <c r="Q34" s="6"/>
      <c r="R34" s="20">
        <f>F34/J34</f>
        <v>0.59535161702293726</v>
      </c>
      <c r="S34" s="6"/>
      <c r="T34" s="20">
        <f>F35/H34</f>
        <v>0.68014803672963153</v>
      </c>
      <c r="U34" s="6"/>
      <c r="V34" s="6">
        <f>qtrSales!J35</f>
        <v>539</v>
      </c>
      <c r="W34" s="6"/>
      <c r="X34" s="20">
        <f>H34/V34</f>
        <v>1.7786289424860855</v>
      </c>
      <c r="Y34" s="6"/>
      <c r="Z34" s="47">
        <f>(X34/X27-1)*100</f>
        <v>11.117672979740467</v>
      </c>
      <c r="AA34" s="6"/>
      <c r="AB34" s="71">
        <f>qtrSales!Z35</f>
        <v>14.605332031249999</v>
      </c>
      <c r="AC34" s="6"/>
      <c r="AD34" s="76">
        <f>H34/AB34</f>
        <v>65.639110288542426</v>
      </c>
      <c r="AE34" s="6"/>
      <c r="AF34" s="47">
        <f>(AD34/AD27-1)*100</f>
        <v>7.5318158260888612</v>
      </c>
      <c r="AG34" s="6"/>
      <c r="AH34" s="6"/>
      <c r="AI34" s="6"/>
      <c r="AJ34" s="6"/>
      <c r="AK34" s="6"/>
      <c r="AL34" s="6"/>
      <c r="AM34" s="6"/>
      <c r="AN34" s="6"/>
      <c r="AO34" s="6"/>
      <c r="AP34" s="6"/>
      <c r="AQ34" s="6"/>
    </row>
    <row r="35" spans="1:43" hidden="1" outlineLevel="1">
      <c r="A35" s="6" t="s">
        <v>530</v>
      </c>
      <c r="B35" s="6" t="s">
        <v>517</v>
      </c>
      <c r="C35" s="6"/>
      <c r="D35" s="19">
        <f>'qtrP&amp;L'!R$13</f>
        <v>835.95399999999995</v>
      </c>
      <c r="E35" s="6"/>
      <c r="F35" s="19">
        <f>'qtrP&amp;L'!R$24</f>
        <v>652.04499999999996</v>
      </c>
      <c r="G35" s="6"/>
      <c r="H35" s="56">
        <f>work!N$13</f>
        <v>772.32399999999996</v>
      </c>
      <c r="I35" s="6"/>
      <c r="J35" s="19">
        <f>AVERAGE(H34:H35)</f>
        <v>865.50250000000005</v>
      </c>
      <c r="K35" s="6"/>
      <c r="L35" s="46">
        <f>(D35/D28-1)*100</f>
        <v>-16.200548335196206</v>
      </c>
      <c r="M35" s="6"/>
      <c r="N35" s="47">
        <f>(H35/H28-1)*100</f>
        <v>14.868655499930084</v>
      </c>
      <c r="O35" s="6"/>
      <c r="P35" s="47">
        <f>(H35/H34-1)*100</f>
        <v>-19.438895732782868</v>
      </c>
      <c r="Q35" s="6"/>
      <c r="R35" s="20">
        <f>F35/J35</f>
        <v>0.75337159626921923</v>
      </c>
      <c r="S35" s="6"/>
      <c r="T35" s="20">
        <f>F39/H35</f>
        <v>0.64850891594719318</v>
      </c>
      <c r="U35" s="6"/>
      <c r="V35" s="6">
        <f>qtrSales!J36</f>
        <v>549</v>
      </c>
      <c r="W35" s="6"/>
      <c r="X35" s="20">
        <f>H35/V35</f>
        <v>1.4067832422586519</v>
      </c>
      <c r="Y35" s="6"/>
      <c r="Z35" s="47">
        <f>(X35/X28-1)*100</f>
        <v>4.6162618396448751</v>
      </c>
      <c r="AA35" s="6"/>
      <c r="AB35" s="71">
        <f>qtrSales!Z36</f>
        <v>14.875</v>
      </c>
      <c r="AC35" s="6"/>
      <c r="AD35" s="76">
        <f>H35/AB35</f>
        <v>51.920941176470585</v>
      </c>
      <c r="AE35" s="6"/>
      <c r="AF35" s="47">
        <f>(AD35/AD28-1)*100</f>
        <v>1.6172529562070492</v>
      </c>
      <c r="AG35" s="6"/>
      <c r="AH35" s="6"/>
      <c r="AI35" s="6"/>
      <c r="AJ35" s="6"/>
      <c r="AK35" s="6"/>
      <c r="AL35" s="6"/>
      <c r="AM35" s="6"/>
      <c r="AN35" s="6"/>
      <c r="AO35" s="6"/>
      <c r="AP35" s="6"/>
      <c r="AQ35" s="6"/>
    </row>
    <row r="36" spans="1:43" hidden="1" outlineLevel="1">
      <c r="A36" s="6"/>
      <c r="B36" s="6" t="s">
        <v>531</v>
      </c>
      <c r="C36" s="6"/>
      <c r="D36" s="14">
        <f>SUM(D32:D35)</f>
        <v>2832.0699999999997</v>
      </c>
      <c r="E36" s="6"/>
      <c r="F36" s="14">
        <f>SUM(F32:F35)</f>
        <v>2165.27</v>
      </c>
      <c r="G36" s="6"/>
      <c r="H36" s="6"/>
      <c r="I36" s="6"/>
      <c r="J36" s="14">
        <f>AVERAGE(J32:J35)</f>
        <v>858.198125</v>
      </c>
      <c r="K36" s="6"/>
      <c r="L36" s="23">
        <f>(D36/D29-1)*100</f>
        <v>-13.159718389324325</v>
      </c>
      <c r="M36" s="6"/>
      <c r="N36" s="47"/>
      <c r="O36" s="6"/>
      <c r="P36" s="6"/>
      <c r="Q36" s="6"/>
      <c r="R36" s="48">
        <f>F36/J36</f>
        <v>2.5230421005638997</v>
      </c>
      <c r="S36" s="45" t="s">
        <v>598</v>
      </c>
      <c r="T36" s="6"/>
      <c r="U36" s="6"/>
      <c r="V36" s="6"/>
      <c r="W36" s="6"/>
      <c r="X36" s="6"/>
      <c r="Y36" s="6"/>
      <c r="Z36" s="6"/>
      <c r="AA36" s="6"/>
      <c r="AB36" s="71"/>
      <c r="AC36" s="6"/>
      <c r="AD36" s="6"/>
      <c r="AE36" s="6"/>
      <c r="AF36" s="6"/>
      <c r="AG36" s="6"/>
      <c r="AH36" s="6"/>
      <c r="AI36" s="6"/>
      <c r="AJ36" s="6"/>
      <c r="AK36" s="6"/>
      <c r="AL36" s="6"/>
      <c r="AM36" s="6"/>
      <c r="AN36" s="6"/>
      <c r="AO36" s="6"/>
      <c r="AP36" s="6"/>
      <c r="AQ36" s="6"/>
    </row>
    <row r="37" spans="1:43" hidden="1" outlineLevel="1">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71"/>
      <c r="AC37" s="6"/>
      <c r="AD37" s="6"/>
      <c r="AE37" s="6"/>
      <c r="AF37" s="6"/>
      <c r="AG37" s="6"/>
      <c r="AH37" s="6"/>
      <c r="AI37" s="6"/>
      <c r="AJ37" s="6"/>
      <c r="AK37" s="6"/>
      <c r="AL37" s="6"/>
      <c r="AM37" s="6"/>
      <c r="AN37" s="6"/>
      <c r="AO37" s="6"/>
      <c r="AP37" s="6"/>
      <c r="AQ37" s="6"/>
    </row>
    <row r="38" spans="1:43" hidden="1" outlineLevel="1">
      <c r="A38" s="6"/>
      <c r="B38" s="40">
        <f>B31+1</f>
        <v>1994</v>
      </c>
      <c r="C38" s="6"/>
      <c r="D38" s="6"/>
      <c r="E38" s="6"/>
      <c r="F38" s="6"/>
      <c r="G38" s="6"/>
      <c r="H38" s="6"/>
      <c r="I38" s="6"/>
      <c r="J38" s="6"/>
      <c r="K38" s="6"/>
      <c r="L38" s="6"/>
      <c r="M38" s="6"/>
      <c r="N38" s="6"/>
      <c r="O38" s="6"/>
      <c r="P38" s="6"/>
      <c r="Q38" s="6"/>
      <c r="R38" s="6"/>
      <c r="S38" s="6"/>
      <c r="T38" s="6"/>
      <c r="U38" s="6"/>
      <c r="V38" s="6"/>
      <c r="W38" s="6"/>
      <c r="X38" s="6"/>
      <c r="Y38" s="6"/>
      <c r="Z38" s="6"/>
      <c r="AA38" s="6"/>
      <c r="AB38" s="71"/>
      <c r="AC38" s="6"/>
      <c r="AD38" s="6"/>
      <c r="AE38" s="6"/>
      <c r="AF38" s="6"/>
      <c r="AG38" s="6"/>
      <c r="AH38" s="6"/>
      <c r="AI38" s="6"/>
      <c r="AJ38" s="6"/>
      <c r="AK38" s="6"/>
      <c r="AL38" s="6"/>
      <c r="AM38" s="6"/>
      <c r="AN38" s="6"/>
      <c r="AO38" s="6"/>
      <c r="AP38" s="6"/>
      <c r="AQ38" s="6"/>
    </row>
    <row r="39" spans="1:43" hidden="1" outlineLevel="1">
      <c r="A39" s="6" t="s">
        <v>527</v>
      </c>
      <c r="B39" s="6" t="s">
        <v>514</v>
      </c>
      <c r="C39" s="6"/>
      <c r="D39" s="14">
        <f>'qtrP&amp;L'!V$10</f>
        <v>653.428</v>
      </c>
      <c r="E39" s="6"/>
      <c r="F39" s="14">
        <f>'qtrP&amp;L'!V$21</f>
        <v>500.85899999999998</v>
      </c>
      <c r="G39" s="6"/>
      <c r="H39" s="14">
        <f>work!R$10</f>
        <v>859.37400000000002</v>
      </c>
      <c r="I39" s="6"/>
      <c r="J39" s="15">
        <f>AVERAGE(H38:H39)</f>
        <v>859.37400000000002</v>
      </c>
      <c r="K39" s="6"/>
      <c r="L39" s="23">
        <f>(D39/D32-1)*100</f>
        <v>10.052885101222753</v>
      </c>
      <c r="M39" s="6" t="s">
        <v>190</v>
      </c>
      <c r="N39" s="23">
        <f>(H39/H32-1)*100</f>
        <v>9.6138907986086828</v>
      </c>
      <c r="O39" s="6" t="s">
        <v>190</v>
      </c>
      <c r="P39" s="23">
        <f>(H39/H35-1)*100</f>
        <v>11.271176345678757</v>
      </c>
      <c r="Q39" s="6" t="s">
        <v>190</v>
      </c>
      <c r="R39" s="20">
        <f>F39/J39</f>
        <v>0.58281842364325653</v>
      </c>
      <c r="S39" s="6" t="s">
        <v>598</v>
      </c>
      <c r="T39" s="20">
        <f>F40/H39</f>
        <v>0.61538515244817737</v>
      </c>
      <c r="U39" s="6" t="s">
        <v>598</v>
      </c>
      <c r="V39" s="6">
        <f>qtrSales!J40</f>
        <v>553</v>
      </c>
      <c r="W39" s="6"/>
      <c r="X39" s="16">
        <f>H39/V39</f>
        <v>1.5540216998191683</v>
      </c>
      <c r="Y39" s="6"/>
      <c r="Z39" s="47">
        <f>(X39/X32-1)*100</f>
        <v>1.4870019690554237</v>
      </c>
      <c r="AA39" s="70" t="s">
        <v>190</v>
      </c>
      <c r="AB39" s="71">
        <f>qtrSales!Z40</f>
        <v>15.375759863311588</v>
      </c>
      <c r="AC39" s="6"/>
      <c r="AD39" s="75">
        <f>H39/AB39</f>
        <v>55.891481633409853</v>
      </c>
      <c r="AE39" s="6"/>
      <c r="AF39" s="47">
        <f>(AD39/AD32-1)*100</f>
        <v>-1.4647201642776775</v>
      </c>
      <c r="AG39" s="70" t="s">
        <v>190</v>
      </c>
      <c r="AH39" s="6"/>
      <c r="AI39" s="6"/>
      <c r="AJ39" s="6"/>
      <c r="AK39" s="6"/>
      <c r="AL39" s="6"/>
      <c r="AM39" s="6"/>
      <c r="AN39" s="6"/>
      <c r="AO39" s="6"/>
      <c r="AP39" s="6"/>
      <c r="AQ39" s="6"/>
    </row>
    <row r="40" spans="1:43" hidden="1" outlineLevel="1">
      <c r="A40" s="6" t="s">
        <v>528</v>
      </c>
      <c r="B40" s="6" t="s">
        <v>515</v>
      </c>
      <c r="C40" s="6"/>
      <c r="D40" s="15">
        <f>'qtrP&amp;L'!V$11</f>
        <v>689.84900000000005</v>
      </c>
      <c r="E40" s="6"/>
      <c r="F40" s="15">
        <f>'qtrP&amp;L'!V$22</f>
        <v>528.846</v>
      </c>
      <c r="G40" s="6"/>
      <c r="H40" s="15">
        <f>work!R$11</f>
        <v>912.97199999999998</v>
      </c>
      <c r="I40" s="6"/>
      <c r="J40" s="15">
        <f>AVERAGE(H39:H40)</f>
        <v>886.173</v>
      </c>
      <c r="K40" s="6"/>
      <c r="L40" s="23">
        <f>(D40/D33-1)*100</f>
        <v>6.2249104204809669</v>
      </c>
      <c r="M40" s="6"/>
      <c r="N40" s="23">
        <f>(H40/H33-1)*100</f>
        <v>0.11228710408925924</v>
      </c>
      <c r="O40" s="6"/>
      <c r="P40" s="23">
        <f>(H40/H39-1)*100</f>
        <v>6.2368654392616074</v>
      </c>
      <c r="Q40" s="6"/>
      <c r="R40" s="20">
        <f>F40/J40</f>
        <v>0.59677512178773218</v>
      </c>
      <c r="S40" s="6"/>
      <c r="T40" s="20">
        <f>F41/H40</f>
        <v>0.66814973515069465</v>
      </c>
      <c r="U40" s="6"/>
      <c r="V40" s="6">
        <f>qtrSales!J41</f>
        <v>561</v>
      </c>
      <c r="W40" s="6"/>
      <c r="X40" s="20">
        <f>H40/V40</f>
        <v>1.6274010695187164</v>
      </c>
      <c r="Y40" s="6"/>
      <c r="Z40" s="47">
        <f>(X40/X33-1)*100</f>
        <v>-7.9181102572013273</v>
      </c>
      <c r="AA40" s="6"/>
      <c r="AB40" s="71">
        <f>qtrSales!Z41</f>
        <v>15.592947531923938</v>
      </c>
      <c r="AC40" s="6"/>
      <c r="AD40" s="76">
        <f>H40/AB40</f>
        <v>58.550315655897855</v>
      </c>
      <c r="AE40" s="6"/>
      <c r="AF40" s="47">
        <f>(AD40/AD33-1)*100</f>
        <v>-10.566945464712862</v>
      </c>
      <c r="AG40" s="6"/>
      <c r="AH40" s="6"/>
      <c r="AI40" s="6"/>
      <c r="AJ40" s="6"/>
      <c r="AK40" s="6"/>
      <c r="AL40" s="6"/>
      <c r="AM40" s="6"/>
      <c r="AN40" s="6"/>
      <c r="AO40" s="6"/>
      <c r="AP40" s="6"/>
      <c r="AQ40" s="6"/>
    </row>
    <row r="41" spans="1:43" hidden="1" outlineLevel="1">
      <c r="A41" s="6" t="s">
        <v>529</v>
      </c>
      <c r="B41" s="6" t="s">
        <v>516</v>
      </c>
      <c r="C41" s="6"/>
      <c r="D41" s="15">
        <f>'qtrP&amp;L'!V$12</f>
        <v>803.65300000000002</v>
      </c>
      <c r="E41" s="6"/>
      <c r="F41" s="15">
        <f>'qtrP&amp;L'!V$23</f>
        <v>610.00199999999995</v>
      </c>
      <c r="G41" s="6"/>
      <c r="H41" s="15">
        <f>work!R$12</f>
        <v>1014.448</v>
      </c>
      <c r="I41" s="6"/>
      <c r="J41" s="15">
        <f>AVERAGE(H40:H41)</f>
        <v>963.71</v>
      </c>
      <c r="K41" s="6"/>
      <c r="L41" s="23">
        <f>(D41/D34-1)*100</f>
        <v>6.7334880131960428</v>
      </c>
      <c r="M41" s="6"/>
      <c r="N41" s="23">
        <f>(H41/H34-1)*100</f>
        <v>5.8170548910430053</v>
      </c>
      <c r="O41" s="6"/>
      <c r="P41" s="23">
        <f>(H41/H40-1)*100</f>
        <v>11.114908233768395</v>
      </c>
      <c r="Q41" s="6"/>
      <c r="R41" s="20">
        <f>F41/J41</f>
        <v>0.63297257473721336</v>
      </c>
      <c r="S41" s="6"/>
      <c r="T41" s="20">
        <f>F42/H41</f>
        <v>0.72059681718530677</v>
      </c>
      <c r="U41" s="6"/>
      <c r="V41" s="6">
        <f>qtrSales!J42</f>
        <v>589</v>
      </c>
      <c r="W41" s="6"/>
      <c r="X41" s="20">
        <f>H41/V41</f>
        <v>1.7223225806451612</v>
      </c>
      <c r="Y41" s="6"/>
      <c r="Z41" s="47">
        <f>(X41/X34-1)*100</f>
        <v>-3.1657171710149923</v>
      </c>
      <c r="AA41" s="6"/>
      <c r="AB41" s="71">
        <f>qtrSales!Z42</f>
        <v>16.372758591259135</v>
      </c>
      <c r="AC41" s="6"/>
      <c r="AD41" s="76">
        <f>H41/AB41</f>
        <v>61.959503912894654</v>
      </c>
      <c r="AE41" s="6"/>
      <c r="AF41" s="47">
        <f>(AD41/AD34-1)*100</f>
        <v>-5.6058139110548915</v>
      </c>
      <c r="AG41" s="6"/>
      <c r="AH41" s="6"/>
      <c r="AI41" s="6"/>
      <c r="AJ41" s="6"/>
      <c r="AK41" s="6"/>
      <c r="AL41" s="6"/>
      <c r="AM41" s="6"/>
      <c r="AN41" s="6"/>
      <c r="AO41" s="6"/>
      <c r="AP41" s="6"/>
      <c r="AQ41" s="6"/>
    </row>
    <row r="42" spans="1:43" hidden="1" outlineLevel="1">
      <c r="A42" s="6" t="s">
        <v>530</v>
      </c>
      <c r="B42" s="6" t="s">
        <v>517</v>
      </c>
      <c r="C42" s="6"/>
      <c r="D42" s="19">
        <f>'qtrP&amp;L'!V$13</f>
        <v>908.64300000000003</v>
      </c>
      <c r="E42" s="6"/>
      <c r="F42" s="19">
        <f>'qtrP&amp;L'!V$24</f>
        <v>731.00800000000004</v>
      </c>
      <c r="G42" s="6"/>
      <c r="H42" s="56">
        <f>work!R$13</f>
        <v>890.59299999999996</v>
      </c>
      <c r="I42" s="6"/>
      <c r="J42" s="19">
        <f>AVERAGE(H41:H42)</f>
        <v>952.52049999999997</v>
      </c>
      <c r="K42" s="6"/>
      <c r="L42" s="46">
        <f>(D42/D35-1)*100</f>
        <v>8.6953349107726119</v>
      </c>
      <c r="M42" s="6"/>
      <c r="N42" s="47">
        <f>(H42/H35-1)*100</f>
        <v>15.313391788938313</v>
      </c>
      <c r="O42" s="6"/>
      <c r="P42" s="47">
        <f>(H42/H41-1)*100</f>
        <v>-12.209102881567125</v>
      </c>
      <c r="Q42" s="6"/>
      <c r="R42" s="20">
        <f>F42/J42</f>
        <v>0.76744594998217897</v>
      </c>
      <c r="S42" s="6"/>
      <c r="T42" s="20">
        <f>F46/H42</f>
        <v>0.63473775338454275</v>
      </c>
      <c r="U42" s="6"/>
      <c r="V42" s="6">
        <f>qtrSales!J43</f>
        <v>608</v>
      </c>
      <c r="W42" s="6"/>
      <c r="X42" s="20">
        <f>H42/V42</f>
        <v>1.4647911184210525</v>
      </c>
      <c r="Y42" s="6"/>
      <c r="Z42" s="47">
        <f>(X42/X35-1)*100</f>
        <v>4.1234409409985906</v>
      </c>
      <c r="AA42" s="6"/>
      <c r="AB42" s="71">
        <f>qtrSales!Z43</f>
        <v>16.93</v>
      </c>
      <c r="AC42" s="6"/>
      <c r="AD42" s="76">
        <f>H42/AB42</f>
        <v>52.604430005906671</v>
      </c>
      <c r="AE42" s="6"/>
      <c r="AF42" s="47">
        <f>(AD42/AD35-1)*100</f>
        <v>1.3164030041616925</v>
      </c>
      <c r="AG42" s="6"/>
      <c r="AH42" s="6"/>
      <c r="AI42" s="6"/>
      <c r="AJ42" s="6"/>
      <c r="AK42" s="6"/>
      <c r="AL42" s="6"/>
      <c r="AM42" s="6"/>
      <c r="AN42" s="6"/>
      <c r="AO42" s="6"/>
      <c r="AP42" s="6"/>
      <c r="AQ42" s="6"/>
    </row>
    <row r="43" spans="1:43" hidden="1" outlineLevel="1">
      <c r="A43" s="6"/>
      <c r="B43" s="6" t="s">
        <v>531</v>
      </c>
      <c r="C43" s="6"/>
      <c r="D43" s="14">
        <f>SUM(D39:D42)</f>
        <v>3055.5730000000003</v>
      </c>
      <c r="E43" s="6"/>
      <c r="F43" s="14">
        <f>SUM(F39:F42)</f>
        <v>2370.7150000000001</v>
      </c>
      <c r="G43" s="6"/>
      <c r="H43" s="6"/>
      <c r="I43" s="6"/>
      <c r="J43" s="14">
        <f>AVERAGE(J39:J42)</f>
        <v>915.44437500000004</v>
      </c>
      <c r="K43" s="6"/>
      <c r="L43" s="23">
        <f>(D43/D36-1)*100</f>
        <v>7.891860017584329</v>
      </c>
      <c r="M43" s="6"/>
      <c r="N43" s="47"/>
      <c r="O43" s="6"/>
      <c r="P43" s="6"/>
      <c r="Q43" s="6"/>
      <c r="R43" s="48">
        <f>F43/J43</f>
        <v>2.5896876585210324</v>
      </c>
      <c r="S43" s="45" t="s">
        <v>598</v>
      </c>
      <c r="T43" s="6"/>
      <c r="U43" s="6"/>
      <c r="V43" s="6"/>
      <c r="W43" s="6"/>
      <c r="X43" s="6"/>
      <c r="Y43" s="6"/>
      <c r="Z43" s="6"/>
      <c r="AA43" s="6"/>
      <c r="AB43" s="71"/>
      <c r="AC43" s="6"/>
      <c r="AD43" s="6"/>
      <c r="AE43" s="6"/>
      <c r="AF43" s="6"/>
      <c r="AG43" s="6"/>
      <c r="AH43" s="6"/>
      <c r="AI43" s="6"/>
      <c r="AJ43" s="6"/>
      <c r="AK43" s="6"/>
      <c r="AL43" s="6"/>
      <c r="AM43" s="6"/>
      <c r="AN43" s="6"/>
      <c r="AO43" s="6"/>
      <c r="AP43" s="6"/>
      <c r="AQ43" s="6"/>
    </row>
    <row r="44" spans="1:43" hidden="1" outlineLevel="1">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71"/>
      <c r="AC44" s="6"/>
      <c r="AD44" s="6"/>
      <c r="AE44" s="6"/>
      <c r="AF44" s="6"/>
      <c r="AG44" s="6"/>
      <c r="AH44" s="6"/>
      <c r="AI44" s="6"/>
      <c r="AJ44" s="6"/>
      <c r="AK44" s="6"/>
      <c r="AL44" s="6"/>
      <c r="AM44" s="6"/>
      <c r="AN44" s="6"/>
      <c r="AO44" s="6"/>
      <c r="AP44" s="6"/>
      <c r="AQ44" s="6"/>
    </row>
    <row r="45" spans="1:43" hidden="1" outlineLevel="1">
      <c r="A45" s="6"/>
      <c r="B45" s="40">
        <f>B38+1</f>
        <v>1995</v>
      </c>
      <c r="C45" s="6"/>
      <c r="D45" s="6"/>
      <c r="E45" s="6"/>
      <c r="F45" s="6"/>
      <c r="G45" s="6"/>
      <c r="H45" s="6"/>
      <c r="I45" s="6"/>
      <c r="J45" s="6"/>
      <c r="K45" s="6"/>
      <c r="L45" s="6"/>
      <c r="M45" s="6"/>
      <c r="N45" s="6"/>
      <c r="O45" s="6"/>
      <c r="P45" s="6"/>
      <c r="Q45" s="6"/>
      <c r="R45" s="6"/>
      <c r="S45" s="6"/>
      <c r="T45" s="6"/>
      <c r="U45" s="6"/>
      <c r="V45" s="6"/>
      <c r="W45" s="6"/>
      <c r="X45" s="6"/>
      <c r="Y45" s="6"/>
      <c r="Z45" s="6"/>
      <c r="AA45" s="6"/>
      <c r="AB45" s="71"/>
      <c r="AC45" s="6"/>
      <c r="AD45" s="6"/>
      <c r="AE45" s="6"/>
      <c r="AF45" s="6"/>
      <c r="AG45" s="6"/>
      <c r="AH45" s="6"/>
      <c r="AI45" s="6"/>
      <c r="AJ45" s="6"/>
      <c r="AK45" s="6"/>
      <c r="AL45" s="6"/>
      <c r="AM45" s="6"/>
      <c r="AN45" s="6"/>
      <c r="AO45" s="6"/>
      <c r="AP45" s="6"/>
      <c r="AQ45" s="6"/>
    </row>
    <row r="46" spans="1:43" hidden="1" outlineLevel="1">
      <c r="A46" s="6" t="s">
        <v>527</v>
      </c>
      <c r="B46" s="6" t="s">
        <v>514</v>
      </c>
      <c r="C46" s="6"/>
      <c r="D46" s="14">
        <f>'qtrP&amp;L'!Z$10</f>
        <v>713.81899999999996</v>
      </c>
      <c r="E46" s="6"/>
      <c r="F46" s="14">
        <f>'qtrP&amp;L'!Z$21</f>
        <v>565.29300000000001</v>
      </c>
      <c r="G46" s="6"/>
      <c r="H46" s="14">
        <f>work!V$10</f>
        <v>1010.991</v>
      </c>
      <c r="I46" s="6"/>
      <c r="J46" s="15">
        <f>AVERAGE(H45:H46)</f>
        <v>1010.991</v>
      </c>
      <c r="K46" s="6"/>
      <c r="L46" s="23">
        <f>(D46/D39-1)*100</f>
        <v>9.2421812349638977</v>
      </c>
      <c r="M46" s="6" t="s">
        <v>190</v>
      </c>
      <c r="N46" s="23">
        <f>(H46/H39-1)*100</f>
        <v>17.642725984262952</v>
      </c>
      <c r="O46" s="6" t="s">
        <v>190</v>
      </c>
      <c r="P46" s="23">
        <f>(H46/H42-1)*100</f>
        <v>13.518857660008553</v>
      </c>
      <c r="Q46" s="6" t="s">
        <v>190</v>
      </c>
      <c r="R46" s="20">
        <f>F46/J46</f>
        <v>0.55914741080781138</v>
      </c>
      <c r="S46" s="6" t="s">
        <v>598</v>
      </c>
      <c r="T46" s="20">
        <f>F47/H46</f>
        <v>0.59518531816801534</v>
      </c>
      <c r="U46" s="6" t="s">
        <v>598</v>
      </c>
      <c r="V46" s="6">
        <f>qtrSales!J47</f>
        <v>622</v>
      </c>
      <c r="W46" s="6"/>
      <c r="X46" s="16">
        <f>H46/V46</f>
        <v>1.6253874598070739</v>
      </c>
      <c r="Y46" s="6"/>
      <c r="Z46" s="47">
        <f>(X46/X39-1)*100</f>
        <v>4.5923271210569272</v>
      </c>
      <c r="AA46" s="70" t="s">
        <v>190</v>
      </c>
      <c r="AB46" s="71">
        <f>qtrSales!Z47</f>
        <v>17.56204616436942</v>
      </c>
      <c r="AC46" s="6"/>
      <c r="AD46" s="75">
        <f>H46/AB46</f>
        <v>57.566811437447356</v>
      </c>
      <c r="AE46" s="6"/>
      <c r="AF46" s="47">
        <f>(AD46/AD39-1)*100</f>
        <v>2.9974689435251056</v>
      </c>
      <c r="AG46" s="70" t="s">
        <v>190</v>
      </c>
      <c r="AH46" s="6"/>
      <c r="AI46" s="6"/>
      <c r="AJ46" s="6"/>
      <c r="AK46" s="6"/>
      <c r="AL46" s="6"/>
      <c r="AM46" s="6"/>
      <c r="AN46" s="6"/>
      <c r="AO46" s="6"/>
      <c r="AP46" s="6"/>
      <c r="AQ46" s="6"/>
    </row>
    <row r="47" spans="1:43" hidden="1" outlineLevel="1">
      <c r="A47" s="6" t="s">
        <v>528</v>
      </c>
      <c r="B47" s="6" t="s">
        <v>515</v>
      </c>
      <c r="C47" s="6"/>
      <c r="D47" s="15">
        <f>'qtrP&amp;L'!Z$11</f>
        <v>761.34299999999996</v>
      </c>
      <c r="E47" s="6"/>
      <c r="F47" s="15">
        <f>'qtrP&amp;L'!Z$22</f>
        <v>601.72699999999998</v>
      </c>
      <c r="G47" s="6"/>
      <c r="H47" s="15">
        <f>work!V$11</f>
        <v>1092.143</v>
      </c>
      <c r="I47" s="6"/>
      <c r="J47" s="15">
        <f>AVERAGE(H46:H47)</f>
        <v>1051.567</v>
      </c>
      <c r="K47" s="6"/>
      <c r="L47" s="23">
        <f>(D47/D40-1)*100</f>
        <v>10.363717277259221</v>
      </c>
      <c r="M47" s="6"/>
      <c r="N47" s="23">
        <f>(H47/H40-1)*100</f>
        <v>19.625026835434166</v>
      </c>
      <c r="O47" s="6"/>
      <c r="P47" s="23">
        <f>(H47/H46-1)*100</f>
        <v>8.0269755121460165</v>
      </c>
      <c r="Q47" s="6"/>
      <c r="R47" s="20">
        <f>F47/J47</f>
        <v>0.57221936405383578</v>
      </c>
      <c r="S47" s="6"/>
      <c r="T47" s="20">
        <f>F48/H47</f>
        <v>0.60579795869222253</v>
      </c>
      <c r="U47" s="6"/>
      <c r="V47" s="6">
        <f>qtrSales!J48</f>
        <v>637</v>
      </c>
      <c r="W47" s="6"/>
      <c r="X47" s="20">
        <f>H47/V47</f>
        <v>1.7145102040816327</v>
      </c>
      <c r="Y47" s="6"/>
      <c r="Z47" s="47">
        <f>(X47/X40-1)*100</f>
        <v>5.3526531470621252</v>
      </c>
      <c r="AA47" s="6"/>
      <c r="AB47" s="71">
        <f>qtrSales!Z48</f>
        <v>18.000273453311781</v>
      </c>
      <c r="AC47" s="6"/>
      <c r="AD47" s="76">
        <f>H47/AB47</f>
        <v>60.673689365483618</v>
      </c>
      <c r="AE47" s="6"/>
      <c r="AF47" s="47">
        <f>(AD47/AD40-1)*100</f>
        <v>3.6265794399212181</v>
      </c>
      <c r="AG47" s="6"/>
      <c r="AH47" s="6"/>
      <c r="AI47" s="6"/>
      <c r="AJ47" s="6"/>
      <c r="AK47" s="6"/>
      <c r="AL47" s="6"/>
      <c r="AM47" s="6"/>
      <c r="AN47" s="6"/>
      <c r="AO47" s="6"/>
      <c r="AP47" s="6"/>
      <c r="AQ47" s="6"/>
    </row>
    <row r="48" spans="1:43" hidden="1" outlineLevel="1">
      <c r="A48" s="6" t="s">
        <v>529</v>
      </c>
      <c r="B48" s="6" t="s">
        <v>516</v>
      </c>
      <c r="C48" s="6"/>
      <c r="D48" s="15">
        <f>'qtrP&amp;L'!Z$12</f>
        <v>861.21400000000006</v>
      </c>
      <c r="E48" s="6"/>
      <c r="F48" s="15">
        <f>'qtrP&amp;L'!Z$23</f>
        <v>661.61800000000005</v>
      </c>
      <c r="G48" s="6"/>
      <c r="H48" s="15">
        <f>work!V$12</f>
        <v>1111.6510000000001</v>
      </c>
      <c r="I48" s="6"/>
      <c r="J48" s="15">
        <f>AVERAGE(H47:H48)</f>
        <v>1101.8969999999999</v>
      </c>
      <c r="K48" s="6"/>
      <c r="L48" s="23">
        <f>(D48/D41-1)*100</f>
        <v>7.162419601494685</v>
      </c>
      <c r="M48" s="6"/>
      <c r="N48" s="23">
        <f>(H48/H41-1)*100</f>
        <v>9.5818612683942419</v>
      </c>
      <c r="O48" s="6"/>
      <c r="P48" s="23">
        <f>(H48/H47-1)*100</f>
        <v>1.7862129776045954</v>
      </c>
      <c r="Q48" s="6"/>
      <c r="R48" s="20">
        <f>F48/J48</f>
        <v>0.60043543089780627</v>
      </c>
      <c r="S48" s="6"/>
      <c r="T48" s="20">
        <f>F49/H48</f>
        <v>1.1825824831714269</v>
      </c>
      <c r="U48" s="6"/>
      <c r="V48" s="6">
        <f>qtrSales!J49</f>
        <v>662</v>
      </c>
      <c r="W48" s="6"/>
      <c r="X48" s="20">
        <f>H48/V48</f>
        <v>1.6792311178247734</v>
      </c>
      <c r="Y48" s="6"/>
      <c r="Z48" s="47">
        <f>(X48/X41-1)*100</f>
        <v>-2.5019391433773297</v>
      </c>
      <c r="AA48" s="6"/>
      <c r="AB48" s="71">
        <f>qtrSales!Z49</f>
        <v>18.697278346629709</v>
      </c>
      <c r="AC48" s="6"/>
      <c r="AD48" s="76">
        <f>H48/AB48</f>
        <v>59.455230830447661</v>
      </c>
      <c r="AE48" s="6"/>
      <c r="AF48" s="47">
        <f>(AD48/AD41-1)*100</f>
        <v>-4.0417900794809558</v>
      </c>
      <c r="AG48" s="6"/>
      <c r="AH48" s="6"/>
      <c r="AI48" s="6"/>
      <c r="AJ48" s="6"/>
      <c r="AK48" s="6"/>
      <c r="AL48" s="6"/>
      <c r="AM48" s="6"/>
      <c r="AN48" s="6"/>
      <c r="AO48" s="6"/>
      <c r="AP48" s="6"/>
      <c r="AQ48" s="6"/>
    </row>
    <row r="49" spans="1:43" hidden="1" outlineLevel="1">
      <c r="A49" s="6" t="s">
        <v>530</v>
      </c>
      <c r="B49" s="6" t="s">
        <v>517</v>
      </c>
      <c r="C49" s="6"/>
      <c r="D49" s="19">
        <f>'qtrP&amp;L'!Z$13</f>
        <v>1638.739</v>
      </c>
      <c r="E49" s="6"/>
      <c r="F49" s="19">
        <f>'qtrP&amp;L'!Z$24</f>
        <v>1314.6189999999999</v>
      </c>
      <c r="G49" s="6"/>
      <c r="H49" s="56">
        <f>work!V$13</f>
        <v>1258.4880000000001</v>
      </c>
      <c r="I49" s="6"/>
      <c r="J49" s="19">
        <f>AVERAGE(H48:H49)</f>
        <v>1185.0695000000001</v>
      </c>
      <c r="K49" s="6"/>
      <c r="L49" s="46">
        <f>(D49/D42-1)*100</f>
        <v>80.350148518174905</v>
      </c>
      <c r="M49" s="6"/>
      <c r="N49" s="47">
        <f>(H49/H42-1)*100</f>
        <v>41.308992996801017</v>
      </c>
      <c r="O49" s="6"/>
      <c r="P49" s="47">
        <f>(H49/H48-1)*100</f>
        <v>13.208911789761357</v>
      </c>
      <c r="Q49" s="6"/>
      <c r="R49" s="20">
        <f>F49/J49</f>
        <v>1.1093180610926194</v>
      </c>
      <c r="S49" s="6"/>
      <c r="T49" s="20">
        <f>F53/H49</f>
        <v>0.92758850302903151</v>
      </c>
      <c r="U49" s="6"/>
      <c r="V49" s="6">
        <f>qtrSales!J50</f>
        <v>1166</v>
      </c>
      <c r="W49" s="6"/>
      <c r="X49" s="20">
        <f>H49/V49</f>
        <v>1.0793207547169812</v>
      </c>
      <c r="Y49" s="6"/>
      <c r="Z49" s="47">
        <f>(X49/X42-1)*100</f>
        <v>-26.31572234815178</v>
      </c>
      <c r="AA49" s="6"/>
      <c r="AB49" s="71">
        <f>qtrSales!Z50</f>
        <v>34.816000000000003</v>
      </c>
      <c r="AC49" s="6"/>
      <c r="AD49" s="76">
        <f>H49/AB49</f>
        <v>36.146829044117645</v>
      </c>
      <c r="AE49" s="6"/>
      <c r="AF49" s="47">
        <f>(AD49/AD42-1)*100</f>
        <v>-31.285579864549607</v>
      </c>
      <c r="AG49" s="6"/>
      <c r="AH49" s="6"/>
      <c r="AI49" s="6"/>
      <c r="AJ49" s="6"/>
      <c r="AK49" s="6"/>
      <c r="AL49" s="6"/>
      <c r="AM49" s="6"/>
      <c r="AN49" s="6"/>
      <c r="AO49" s="6"/>
      <c r="AP49" s="6"/>
      <c r="AQ49" s="6"/>
    </row>
    <row r="50" spans="1:43" hidden="1" outlineLevel="1">
      <c r="A50" s="6"/>
      <c r="B50" s="6" t="s">
        <v>531</v>
      </c>
      <c r="C50" s="6"/>
      <c r="D50" s="14">
        <f>SUM(D46:D49)</f>
        <v>3975.1149999999998</v>
      </c>
      <c r="E50" s="6"/>
      <c r="F50" s="14">
        <f>SUM(F46:F49)</f>
        <v>3143.2569999999996</v>
      </c>
      <c r="G50" s="6"/>
      <c r="H50" s="6"/>
      <c r="I50" s="6"/>
      <c r="J50" s="14">
        <f>AVERAGE(J46:J49)</f>
        <v>1087.3811249999999</v>
      </c>
      <c r="K50" s="6"/>
      <c r="L50" s="23">
        <f>(D50/D43-1)*100</f>
        <v>30.093930009199553</v>
      </c>
      <c r="M50" s="6"/>
      <c r="N50" s="47"/>
      <c r="O50" s="6"/>
      <c r="P50" s="6"/>
      <c r="Q50" s="6"/>
      <c r="R50" s="48">
        <f>F50/J50</f>
        <v>2.8906672442010612</v>
      </c>
      <c r="S50" s="45" t="s">
        <v>598</v>
      </c>
      <c r="T50" s="6"/>
      <c r="U50" s="6"/>
      <c r="V50" s="6"/>
      <c r="W50" s="6"/>
      <c r="X50" s="6"/>
      <c r="Y50" s="6"/>
      <c r="Z50" s="6"/>
      <c r="AA50" s="6"/>
      <c r="AB50" s="71"/>
      <c r="AC50" s="6"/>
      <c r="AD50" s="6"/>
      <c r="AE50" s="6"/>
      <c r="AF50" s="6"/>
      <c r="AG50" s="6"/>
      <c r="AH50" s="6"/>
      <c r="AI50" s="6"/>
      <c r="AJ50" s="6"/>
      <c r="AK50" s="6"/>
      <c r="AL50" s="6"/>
      <c r="AM50" s="6"/>
      <c r="AN50" s="6"/>
      <c r="AO50" s="6"/>
      <c r="AP50" s="6"/>
      <c r="AQ50" s="6"/>
    </row>
    <row r="51" spans="1:43" hidden="1" outlineLevel="1">
      <c r="A51" s="6"/>
      <c r="B51" s="6"/>
      <c r="C51" s="6"/>
      <c r="D51" s="6"/>
      <c r="E51" s="6"/>
      <c r="F51" s="6"/>
      <c r="G51" s="6"/>
      <c r="H51" s="6"/>
      <c r="I51" s="6"/>
      <c r="J51" s="6"/>
      <c r="K51" s="6"/>
      <c r="L51" s="6"/>
      <c r="M51" s="6"/>
      <c r="N51" s="6"/>
      <c r="O51" s="6"/>
      <c r="P51" s="6"/>
      <c r="Q51" s="6"/>
      <c r="R51" s="6"/>
      <c r="S51" s="6"/>
      <c r="T51" s="6"/>
      <c r="U51" s="6"/>
      <c r="V51" s="6"/>
      <c r="W51" s="6"/>
      <c r="X51" s="6"/>
      <c r="Y51" s="6"/>
      <c r="Z51" s="6"/>
      <c r="AA51" s="6"/>
      <c r="AB51" s="71"/>
      <c r="AC51" s="6"/>
      <c r="AD51" s="6"/>
      <c r="AE51" s="6"/>
      <c r="AF51" s="6"/>
      <c r="AG51" s="6"/>
      <c r="AH51" s="6"/>
      <c r="AI51" s="6"/>
      <c r="AJ51" s="6"/>
      <c r="AK51" s="6"/>
      <c r="AL51" s="6"/>
      <c r="AM51" s="6"/>
      <c r="AN51" s="6"/>
      <c r="AO51" s="6"/>
      <c r="AP51" s="6"/>
      <c r="AQ51" s="6"/>
    </row>
    <row r="52" spans="1:43" hidden="1" outlineLevel="1">
      <c r="A52" s="6"/>
      <c r="B52" s="40">
        <f>B45+1</f>
        <v>1996</v>
      </c>
      <c r="C52" s="6"/>
      <c r="D52" s="6"/>
      <c r="E52" s="6"/>
      <c r="F52" s="6"/>
      <c r="G52" s="6"/>
      <c r="H52" s="6"/>
      <c r="I52" s="6"/>
      <c r="J52" s="6"/>
      <c r="K52" s="6"/>
      <c r="L52" s="6"/>
      <c r="M52" s="6"/>
      <c r="N52" s="6"/>
      <c r="O52" s="6"/>
      <c r="P52" s="6"/>
      <c r="Q52" s="6"/>
      <c r="R52" s="6"/>
      <c r="S52" s="6"/>
      <c r="T52" s="6"/>
      <c r="U52" s="6"/>
      <c r="V52" s="6"/>
      <c r="W52" s="6"/>
      <c r="X52" s="6"/>
      <c r="Y52" s="6"/>
      <c r="Z52" s="6"/>
      <c r="AA52" s="6"/>
      <c r="AB52" s="71"/>
      <c r="AC52" s="6"/>
      <c r="AD52" s="6"/>
      <c r="AE52" s="6"/>
      <c r="AF52" s="6"/>
      <c r="AG52" s="6"/>
      <c r="AH52" s="6"/>
      <c r="AI52" s="6"/>
      <c r="AJ52" s="6"/>
      <c r="AK52" s="6"/>
      <c r="AL52" s="6"/>
      <c r="AM52" s="6"/>
      <c r="AN52" s="6"/>
      <c r="AO52" s="6"/>
      <c r="AP52" s="6"/>
      <c r="AQ52" s="6"/>
    </row>
    <row r="53" spans="1:43" hidden="1" outlineLevel="1">
      <c r="A53" s="6" t="s">
        <v>527</v>
      </c>
      <c r="B53" s="6" t="s">
        <v>514</v>
      </c>
      <c r="C53" s="6"/>
      <c r="D53" s="14">
        <f>'qtrP&amp;L'!AD10</f>
        <v>1472.2470000000001</v>
      </c>
      <c r="E53" s="6"/>
      <c r="F53" s="14">
        <f>'qtrP&amp;L'!AD21</f>
        <v>1167.3589999999999</v>
      </c>
      <c r="G53" s="6"/>
      <c r="H53" s="14">
        <f>work!Z10</f>
        <v>1300.2560000000001</v>
      </c>
      <c r="I53" s="6"/>
      <c r="J53" s="15">
        <f>AVERAGE(H52:H53)</f>
        <v>1300.2560000000001</v>
      </c>
      <c r="K53" s="6"/>
      <c r="L53" s="23">
        <f>(D53/D46-1)*100</f>
        <v>106.2493433209259</v>
      </c>
      <c r="M53" s="6" t="s">
        <v>190</v>
      </c>
      <c r="N53" s="23">
        <f>(H53/H46-1)*100</f>
        <v>28.612025230689508</v>
      </c>
      <c r="O53" s="6" t="s">
        <v>190</v>
      </c>
      <c r="P53" s="23">
        <f>(H53/H49-1)*100</f>
        <v>3.3189033189033212</v>
      </c>
      <c r="Q53" s="6" t="s">
        <v>190</v>
      </c>
      <c r="R53" s="20">
        <f>F53/J53</f>
        <v>0.89779166564122748</v>
      </c>
      <c r="S53" s="6" t="s">
        <v>598</v>
      </c>
      <c r="T53" s="20">
        <f>F54/H53</f>
        <v>0.93996105382324713</v>
      </c>
      <c r="U53" s="6" t="s">
        <v>598</v>
      </c>
      <c r="V53" s="6">
        <f>qtrSales!J54</f>
        <v>1173</v>
      </c>
      <c r="W53" s="6"/>
      <c r="X53" s="16">
        <f>H53/V53</f>
        <v>1.1084876385336744</v>
      </c>
      <c r="Y53" s="6"/>
      <c r="Z53" s="47">
        <f>(X53/X46-1)*100</f>
        <v>-31.801637089949807</v>
      </c>
      <c r="AA53" s="70" t="s">
        <v>190</v>
      </c>
      <c r="AB53" s="71">
        <f>qtrSales!Z54</f>
        <v>35.131004962897315</v>
      </c>
      <c r="AC53" s="6"/>
      <c r="AD53" s="75">
        <f>H53/AB53</f>
        <v>37.011636910849298</v>
      </c>
      <c r="AE53" s="6"/>
      <c r="AF53" s="47">
        <f>(AD53/AD46-1)*100</f>
        <v>-35.706640707264995</v>
      </c>
      <c r="AG53" s="70" t="s">
        <v>190</v>
      </c>
      <c r="AH53" s="6"/>
      <c r="AI53" s="6"/>
      <c r="AJ53" s="6"/>
      <c r="AK53" s="6"/>
      <c r="AL53" s="6"/>
      <c r="AM53" s="6"/>
      <c r="AN53" s="6"/>
      <c r="AO53" s="6"/>
      <c r="AP53" s="6"/>
      <c r="AQ53" s="6"/>
    </row>
    <row r="54" spans="1:43" hidden="1" outlineLevel="1">
      <c r="A54" s="6" t="s">
        <v>528</v>
      </c>
      <c r="B54" s="6" t="s">
        <v>515</v>
      </c>
      <c r="C54" s="6"/>
      <c r="D54" s="15">
        <f>'qtrP&amp;L'!AD11</f>
        <v>1548.259</v>
      </c>
      <c r="E54" s="6"/>
      <c r="F54" s="15">
        <f>'qtrP&amp;L'!AD22</f>
        <v>1222.19</v>
      </c>
      <c r="G54" s="6"/>
      <c r="H54" s="15">
        <f>work!Z11</f>
        <v>1328.039</v>
      </c>
      <c r="I54" s="6"/>
      <c r="J54" s="15">
        <f>AVERAGE(H53:H54)</f>
        <v>1314.1475</v>
      </c>
      <c r="K54" s="6"/>
      <c r="L54" s="23">
        <f>(D54/D47-1)*100</f>
        <v>103.35893283316454</v>
      </c>
      <c r="M54" s="6"/>
      <c r="N54" s="23">
        <f>(H54/H47-1)*100</f>
        <v>21.599369313359151</v>
      </c>
      <c r="O54" s="6"/>
      <c r="P54" s="23">
        <f>(H54/H53-1)*100</f>
        <v>2.1367330741023149</v>
      </c>
      <c r="Q54" s="6"/>
      <c r="R54" s="20">
        <f>F54/J54</f>
        <v>0.93002497817025864</v>
      </c>
      <c r="S54" s="6"/>
      <c r="T54" s="20">
        <f>F55/H54</f>
        <v>0.98285592516484832</v>
      </c>
      <c r="U54" s="6"/>
      <c r="V54" s="6">
        <f>qtrSales!J55</f>
        <v>1137</v>
      </c>
      <c r="W54" s="6"/>
      <c r="X54" s="20">
        <f>H54/V54</f>
        <v>1.1680202286719437</v>
      </c>
      <c r="Y54" s="6"/>
      <c r="Z54" s="47">
        <f>(X54/X47-1)*100</f>
        <v>-31.874407869296594</v>
      </c>
      <c r="AA54" s="6"/>
      <c r="AB54" s="71">
        <f>qtrSales!Z55</f>
        <v>34.005634519133736</v>
      </c>
      <c r="AC54" s="6"/>
      <c r="AD54" s="76">
        <f>H54/AB54</f>
        <v>39.053498597497445</v>
      </c>
      <c r="AE54" s="6"/>
      <c r="AF54" s="47">
        <f>(AD54/AD47-1)*100</f>
        <v>-35.633552193853546</v>
      </c>
      <c r="AG54" s="6"/>
      <c r="AH54" s="6"/>
      <c r="AI54" s="6"/>
      <c r="AJ54" s="6"/>
      <c r="AK54" s="6"/>
      <c r="AL54" s="6"/>
      <c r="AM54" s="6"/>
      <c r="AN54" s="6"/>
      <c r="AO54" s="6"/>
      <c r="AP54" s="6"/>
      <c r="AQ54" s="6"/>
    </row>
    <row r="55" spans="1:43" hidden="1" outlineLevel="1">
      <c r="A55" s="6" t="s">
        <v>529</v>
      </c>
      <c r="B55" s="6" t="s">
        <v>516</v>
      </c>
      <c r="C55" s="6"/>
      <c r="D55" s="15">
        <f>'qtrP&amp;L'!AD12</f>
        <v>1722.4290000000001</v>
      </c>
      <c r="E55" s="6"/>
      <c r="F55" s="15">
        <f>'qtrP&amp;L'!AD23</f>
        <v>1305.271</v>
      </c>
      <c r="G55" s="6"/>
      <c r="H55" s="15">
        <f>work!Z12</f>
        <v>1335.0989999999999</v>
      </c>
      <c r="I55" s="6"/>
      <c r="J55" s="15">
        <f>AVERAGE(H54:H55)</f>
        <v>1331.569</v>
      </c>
      <c r="K55" s="6"/>
      <c r="L55" s="23">
        <f>(D55/D48-1)*100</f>
        <v>100.00011611515838</v>
      </c>
      <c r="M55" s="6"/>
      <c r="N55" s="23">
        <f>(H55/H48-1)*100</f>
        <v>20.100553141228673</v>
      </c>
      <c r="O55" s="6"/>
      <c r="P55" s="23">
        <f>(H55/H54-1)*100</f>
        <v>0.53161089395716843</v>
      </c>
      <c r="Q55" s="6"/>
      <c r="R55" s="20">
        <f>F55/J55</f>
        <v>0.98025036629720275</v>
      </c>
      <c r="S55" s="6"/>
      <c r="T55" s="20">
        <f>F56/H55</f>
        <v>1.1264805081870333</v>
      </c>
      <c r="U55" s="6"/>
      <c r="V55" s="6">
        <f>qtrSales!J56</f>
        <v>1156</v>
      </c>
      <c r="W55" s="6"/>
      <c r="X55" s="20">
        <f>H55/V55</f>
        <v>1.1549299307958476</v>
      </c>
      <c r="Y55" s="6"/>
      <c r="Z55" s="47">
        <f>(X55/X48-1)*100</f>
        <v>-31.222693616355212</v>
      </c>
      <c r="AA55" s="6"/>
      <c r="AB55" s="71">
        <f>qtrSales!Z56</f>
        <v>34.518375740148358</v>
      </c>
      <c r="AC55" s="6"/>
      <c r="AD55" s="76">
        <f>H55/AB55</f>
        <v>38.677920712449541</v>
      </c>
      <c r="AE55" s="6"/>
      <c r="AF55" s="47">
        <f>(AD55/AD48-1)*100</f>
        <v>-34.946143220350322</v>
      </c>
      <c r="AG55" s="6"/>
      <c r="AH55" s="6"/>
      <c r="AI55" s="6"/>
      <c r="AJ55" s="6"/>
      <c r="AK55" s="6"/>
      <c r="AL55" s="6"/>
      <c r="AM55" s="6"/>
      <c r="AN55" s="6"/>
      <c r="AO55" s="6"/>
      <c r="AP55" s="6"/>
      <c r="AQ55" s="6"/>
    </row>
    <row r="56" spans="1:43" hidden="1" outlineLevel="1">
      <c r="A56" s="6" t="s">
        <v>530</v>
      </c>
      <c r="B56" s="6" t="s">
        <v>517</v>
      </c>
      <c r="C56" s="6"/>
      <c r="D56" s="19">
        <f>'qtrP&amp;L'!AD13</f>
        <v>1946.4749999999999</v>
      </c>
      <c r="E56" s="6"/>
      <c r="F56" s="19">
        <f>'qtrP&amp;L'!AD24</f>
        <v>1503.963</v>
      </c>
      <c r="G56" s="6"/>
      <c r="H56" s="56">
        <f>work!Z13</f>
        <v>1059.5050000000001</v>
      </c>
      <c r="I56" s="6"/>
      <c r="J56" s="19">
        <f>AVERAGE(H55:H56)</f>
        <v>1197.3020000000001</v>
      </c>
      <c r="K56" s="6"/>
      <c r="L56" s="46">
        <f>(D56/D49-1)*100</f>
        <v>18.778829331577505</v>
      </c>
      <c r="M56" s="6"/>
      <c r="N56" s="47">
        <f>(H56/H49-1)*100</f>
        <v>-15.811275117442513</v>
      </c>
      <c r="O56" s="6"/>
      <c r="P56" s="47">
        <f>(H56/H55-1)*100</f>
        <v>-20.642214547385617</v>
      </c>
      <c r="Q56" s="6"/>
      <c r="R56" s="20">
        <f>F56/J56</f>
        <v>1.2561266915114147</v>
      </c>
      <c r="S56" s="6"/>
      <c r="T56" s="20">
        <f>F60/H56</f>
        <v>1.1350762856239469</v>
      </c>
      <c r="U56" s="6"/>
      <c r="V56" s="6">
        <f>qtrSales!J57</f>
        <v>1136</v>
      </c>
      <c r="W56" s="6"/>
      <c r="X56" s="20">
        <f>H56/V56</f>
        <v>0.93266285211267619</v>
      </c>
      <c r="Y56" s="6"/>
      <c r="Z56" s="47">
        <f>(X56/X49-1)*100</f>
        <v>-13.587981326529896</v>
      </c>
      <c r="AA56" s="6"/>
      <c r="AB56" s="71">
        <f>qtrSales!Z57</f>
        <v>33.894000000000005</v>
      </c>
      <c r="AC56" s="6"/>
      <c r="AD56" s="76">
        <f>H56/AB56</f>
        <v>31.259367439664835</v>
      </c>
      <c r="AE56" s="6"/>
      <c r="AF56" s="47">
        <f>(AD56/AD49-1)*100</f>
        <v>-13.521135141584907</v>
      </c>
      <c r="AG56" s="6"/>
      <c r="AH56" s="6"/>
      <c r="AI56" s="6"/>
      <c r="AJ56" s="6"/>
      <c r="AK56" s="6"/>
      <c r="AL56" s="6"/>
      <c r="AM56" s="6"/>
      <c r="AN56" s="6"/>
      <c r="AO56" s="6"/>
      <c r="AP56" s="6"/>
      <c r="AQ56" s="6"/>
    </row>
    <row r="57" spans="1:43" hidden="1" outlineLevel="1">
      <c r="A57" s="6"/>
      <c r="B57" s="6" t="s">
        <v>531</v>
      </c>
      <c r="C57" s="6"/>
      <c r="D57" s="14">
        <f>SUM(D53:D56)</f>
        <v>6689.41</v>
      </c>
      <c r="E57" s="6"/>
      <c r="F57" s="14">
        <f>SUM(F53:F56)</f>
        <v>5198.7829999999994</v>
      </c>
      <c r="G57" s="6"/>
      <c r="H57" s="6"/>
      <c r="I57" s="6"/>
      <c r="J57" s="14">
        <f>AVERAGE(J53:J56)</f>
        <v>1285.8186250000001</v>
      </c>
      <c r="K57" s="6"/>
      <c r="L57" s="23">
        <f>(D57/D50-1)*100</f>
        <v>68.282175484231274</v>
      </c>
      <c r="M57" s="6"/>
      <c r="N57" s="47"/>
      <c r="O57" s="6"/>
      <c r="P57" s="6"/>
      <c r="Q57" s="6"/>
      <c r="R57" s="48">
        <f>F57/J57</f>
        <v>4.0431697744306661</v>
      </c>
      <c r="S57" s="45" t="s">
        <v>598</v>
      </c>
      <c r="T57" s="6"/>
      <c r="U57" s="6"/>
      <c r="V57" s="6"/>
      <c r="W57" s="6"/>
      <c r="X57" s="6"/>
      <c r="Y57" s="6"/>
      <c r="Z57" s="6"/>
      <c r="AA57" s="6"/>
      <c r="AB57" s="71"/>
      <c r="AC57" s="6"/>
      <c r="AD57" s="6"/>
      <c r="AE57" s="6"/>
      <c r="AF57" s="6"/>
      <c r="AG57" s="6"/>
      <c r="AH57" s="6"/>
      <c r="AI57" s="6"/>
      <c r="AJ57" s="6"/>
      <c r="AK57" s="6"/>
      <c r="AL57" s="6"/>
      <c r="AM57" s="6"/>
      <c r="AN57" s="6"/>
      <c r="AO57" s="6"/>
      <c r="AP57" s="6"/>
      <c r="AQ57" s="6"/>
    </row>
    <row r="58" spans="1:43" hidden="1" outlineLevel="1">
      <c r="A58" s="6"/>
      <c r="B58" s="6"/>
      <c r="C58" s="6"/>
      <c r="D58" s="6"/>
      <c r="E58" s="6"/>
      <c r="F58" s="6"/>
      <c r="G58" s="6"/>
      <c r="H58" s="6"/>
      <c r="I58" s="6"/>
      <c r="J58" s="6"/>
      <c r="K58" s="6"/>
      <c r="L58" s="6"/>
      <c r="M58" s="6"/>
      <c r="N58" s="6"/>
      <c r="O58" s="6"/>
      <c r="P58" s="6"/>
      <c r="Q58" s="6"/>
      <c r="R58" s="6"/>
      <c r="S58" s="6"/>
      <c r="T58" s="6"/>
      <c r="U58" s="6"/>
      <c r="V58" s="6"/>
      <c r="W58" s="6"/>
      <c r="X58" s="6"/>
      <c r="Y58" s="6"/>
      <c r="Z58" s="6"/>
      <c r="AA58" s="6"/>
      <c r="AB58" s="71"/>
      <c r="AC58" s="6"/>
      <c r="AD58" s="6"/>
      <c r="AE58" s="6"/>
      <c r="AF58" s="6"/>
      <c r="AG58" s="6"/>
      <c r="AH58" s="6"/>
      <c r="AI58" s="6"/>
      <c r="AJ58" s="6"/>
      <c r="AK58" s="6"/>
      <c r="AL58" s="6"/>
      <c r="AM58" s="6"/>
      <c r="AN58" s="6"/>
      <c r="AO58" s="6"/>
      <c r="AP58" s="6"/>
      <c r="AQ58" s="6"/>
    </row>
    <row r="59" spans="1:43" hidden="1" outlineLevel="1">
      <c r="A59" s="6"/>
      <c r="B59" s="40">
        <f>B52+1</f>
        <v>1997</v>
      </c>
      <c r="C59" s="6"/>
      <c r="D59" s="6"/>
      <c r="E59" s="6"/>
      <c r="F59" s="6"/>
      <c r="G59" s="6"/>
      <c r="H59" s="6"/>
      <c r="I59" s="6"/>
      <c r="J59" s="6"/>
      <c r="K59" s="6"/>
      <c r="L59" s="6"/>
      <c r="M59" s="6"/>
      <c r="N59" s="6"/>
      <c r="O59" s="6"/>
      <c r="P59" s="6"/>
      <c r="Q59" s="6"/>
      <c r="R59" s="6"/>
      <c r="S59" s="6"/>
      <c r="T59" s="6"/>
      <c r="U59" s="6"/>
      <c r="V59" s="6"/>
      <c r="W59" s="6"/>
      <c r="X59" s="6"/>
      <c r="Y59" s="6"/>
      <c r="Z59" s="6"/>
      <c r="AA59" s="6"/>
      <c r="AB59" s="71"/>
      <c r="AC59" s="6"/>
      <c r="AD59" s="6"/>
      <c r="AE59" s="6"/>
      <c r="AF59" s="6"/>
      <c r="AG59" s="6"/>
      <c r="AH59" s="6"/>
      <c r="AI59" s="6"/>
      <c r="AJ59" s="6"/>
      <c r="AK59" s="6"/>
      <c r="AL59" s="6"/>
      <c r="AM59" s="6"/>
      <c r="AN59" s="6"/>
      <c r="AO59" s="6"/>
      <c r="AP59" s="6"/>
      <c r="AQ59" s="6"/>
    </row>
    <row r="60" spans="1:43" hidden="1" outlineLevel="1">
      <c r="A60" s="6" t="s">
        <v>527</v>
      </c>
      <c r="B60" s="6" t="s">
        <v>514</v>
      </c>
      <c r="C60" s="6"/>
      <c r="D60" s="14">
        <f>'qtrP&amp;L'!AH10</f>
        <v>1560.15</v>
      </c>
      <c r="E60" s="6"/>
      <c r="F60" s="14">
        <f>'qtrP&amp;L'!AH21</f>
        <v>1202.6189999999999</v>
      </c>
      <c r="G60" s="6"/>
      <c r="H60" s="14">
        <f>work!AD10</f>
        <v>1384.3969999999999</v>
      </c>
      <c r="I60" s="6"/>
      <c r="J60" s="14">
        <f>AVERAGE(H60,H56)</f>
        <v>1221.951</v>
      </c>
      <c r="K60" s="6"/>
      <c r="L60" s="23">
        <f>(D60/D53-1)*100</f>
        <v>5.9706693238295028</v>
      </c>
      <c r="M60" s="6" t="s">
        <v>190</v>
      </c>
      <c r="N60" s="23">
        <f>(H60/H53-1)*100</f>
        <v>6.4711103044323481</v>
      </c>
      <c r="O60" s="6" t="s">
        <v>190</v>
      </c>
      <c r="P60" s="23">
        <f>(H60/H56-1)*100</f>
        <v>30.664508426104618</v>
      </c>
      <c r="Q60" s="6" t="s">
        <v>190</v>
      </c>
      <c r="R60" s="20">
        <f>F60/J60</f>
        <v>0.98417939835558044</v>
      </c>
      <c r="S60" s="6" t="s">
        <v>598</v>
      </c>
      <c r="T60" s="20">
        <f>F61/H60</f>
        <v>0.9558392570917158</v>
      </c>
      <c r="U60" s="6" t="s">
        <v>598</v>
      </c>
      <c r="V60" s="6">
        <f>qtrSales!J61</f>
        <v>1143</v>
      </c>
      <c r="W60" s="6"/>
      <c r="X60" s="16">
        <f>H60/V60</f>
        <v>1.2111959755030621</v>
      </c>
      <c r="Y60" s="6"/>
      <c r="Z60" s="47">
        <f>(X60/X53-1)*100</f>
        <v>9.2656276352573563</v>
      </c>
      <c r="AA60" s="70" t="s">
        <v>190</v>
      </c>
      <c r="AB60" s="71">
        <f>qtrSales!Z61</f>
        <v>34.085000000000008</v>
      </c>
      <c r="AC60" s="6"/>
      <c r="AD60" s="75">
        <f>H60/AB60</f>
        <v>40.616018776587929</v>
      </c>
      <c r="AE60" s="6"/>
      <c r="AF60" s="47">
        <f>(AD60/AD53-1)*100</f>
        <v>9.7385097406542229</v>
      </c>
      <c r="AG60" s="70" t="s">
        <v>190</v>
      </c>
      <c r="AH60" s="6"/>
      <c r="AI60" s="6"/>
      <c r="AJ60" s="6"/>
      <c r="AK60" s="6"/>
      <c r="AL60" s="6"/>
      <c r="AM60" s="6"/>
      <c r="AN60" s="6"/>
      <c r="AO60" s="6"/>
      <c r="AP60" s="6"/>
      <c r="AQ60" s="6"/>
    </row>
    <row r="61" spans="1:43" hidden="1" outlineLevel="1">
      <c r="A61" s="6" t="s">
        <v>528</v>
      </c>
      <c r="B61" s="6" t="s">
        <v>515</v>
      </c>
      <c r="C61" s="6"/>
      <c r="D61" s="15">
        <f>'qtrP&amp;L'!AH11</f>
        <v>1698.3720000000001</v>
      </c>
      <c r="E61" s="6"/>
      <c r="F61" s="15">
        <f>'qtrP&amp;L'!AH22</f>
        <v>1323.261</v>
      </c>
      <c r="G61" s="6"/>
      <c r="H61" s="15">
        <f>work!AD11</f>
        <v>1421.529</v>
      </c>
      <c r="I61" s="6"/>
      <c r="J61" s="15">
        <f>AVERAGE(H60:H61)</f>
        <v>1402.963</v>
      </c>
      <c r="K61" s="6"/>
      <c r="L61" s="23">
        <f>(D61/D54-1)*100</f>
        <v>9.6956000255771215</v>
      </c>
      <c r="M61" s="6"/>
      <c r="N61" s="23">
        <f>(H61/H54-1)*100</f>
        <v>7.0397029002913225</v>
      </c>
      <c r="O61" s="6"/>
      <c r="P61" s="23">
        <f>(H61/H60-1)*100</f>
        <v>2.6821785947239274</v>
      </c>
      <c r="Q61" s="6"/>
      <c r="R61" s="20">
        <f>F61/J61</f>
        <v>0.94319023381229583</v>
      </c>
      <c r="S61" s="6"/>
      <c r="T61" s="20">
        <f>F62/H61</f>
        <v>0.99493995549862158</v>
      </c>
      <c r="U61" s="6"/>
      <c r="V61" s="6">
        <f>qtrSales!J62</f>
        <v>1141</v>
      </c>
      <c r="W61" s="6"/>
      <c r="X61" s="20">
        <f>H61/V61</f>
        <v>1.2458624014022788</v>
      </c>
      <c r="Y61" s="6"/>
      <c r="Z61" s="47">
        <f>(X61/X54-1)*100</f>
        <v>6.6644541609388819</v>
      </c>
      <c r="AA61" s="6"/>
      <c r="AB61" s="71">
        <f>qtrSales!Z62</f>
        <v>34.094999999999999</v>
      </c>
      <c r="AC61" s="6"/>
      <c r="AD61" s="76">
        <f>H61/AB61</f>
        <v>41.693180818301805</v>
      </c>
      <c r="AE61" s="6"/>
      <c r="AF61" s="47">
        <f>(AD61/AD54-1)*100</f>
        <v>6.7591440347255061</v>
      </c>
      <c r="AG61" s="6"/>
      <c r="AH61" s="6"/>
      <c r="AI61" s="6"/>
      <c r="AJ61" s="6"/>
      <c r="AK61" s="6"/>
      <c r="AL61" s="6"/>
      <c r="AM61" s="6"/>
      <c r="AN61" s="6"/>
      <c r="AO61" s="6"/>
      <c r="AP61" s="6"/>
      <c r="AQ61" s="6"/>
    </row>
    <row r="62" spans="1:43" hidden="1" outlineLevel="1">
      <c r="A62" s="6" t="s">
        <v>529</v>
      </c>
      <c r="B62" s="6" t="s">
        <v>516</v>
      </c>
      <c r="C62" s="6"/>
      <c r="D62" s="15">
        <f>'qtrP&amp;L'!AH12</f>
        <v>1887.6980000000001</v>
      </c>
      <c r="E62" s="6"/>
      <c r="F62" s="15">
        <f>'qtrP&amp;L'!AH23</f>
        <v>1414.336</v>
      </c>
      <c r="G62" s="6"/>
      <c r="H62" s="15">
        <f>work!AD12</f>
        <v>1459.607</v>
      </c>
      <c r="I62" s="6"/>
      <c r="J62" s="15">
        <f>AVERAGE(H61:H62)</f>
        <v>1440.568</v>
      </c>
      <c r="K62" s="6"/>
      <c r="L62" s="23">
        <f>(D62/D55-1)*100</f>
        <v>9.5951124835914836</v>
      </c>
      <c r="M62" s="6"/>
      <c r="N62" s="23">
        <f>(H62/H55-1)*100</f>
        <v>9.3257503750658231</v>
      </c>
      <c r="O62" s="6"/>
      <c r="P62" s="23">
        <f>(H62/H61-1)*100</f>
        <v>2.6786650149240643</v>
      </c>
      <c r="Q62" s="6"/>
      <c r="R62" s="20">
        <f>F62/J62</f>
        <v>0.98179051596314793</v>
      </c>
      <c r="S62" s="6"/>
      <c r="T62" s="20">
        <f>F63/H62</f>
        <v>1.1895839085452455</v>
      </c>
      <c r="U62" s="6"/>
      <c r="V62" s="6">
        <f>qtrSales!J63</f>
        <v>1170</v>
      </c>
      <c r="W62" s="6"/>
      <c r="X62" s="20">
        <f>H62/V62</f>
        <v>1.2475273504273503</v>
      </c>
      <c r="Y62" s="6"/>
      <c r="Z62" s="47">
        <f>(X62/X55-1)*100</f>
        <v>8.0175790030564862</v>
      </c>
      <c r="AA62" s="6"/>
      <c r="AB62" s="71">
        <f>qtrSales!Z63</f>
        <v>34.881</v>
      </c>
      <c r="AC62" s="6"/>
      <c r="AD62" s="76">
        <f>H62/AB62</f>
        <v>41.845331269172327</v>
      </c>
      <c r="AE62" s="6"/>
      <c r="AF62" s="47">
        <f>(AD62/AD55-1)*100</f>
        <v>8.1891955368305744</v>
      </c>
      <c r="AG62" s="6"/>
      <c r="AH62" s="6"/>
      <c r="AI62" s="6"/>
      <c r="AJ62" s="6"/>
      <c r="AK62" s="6"/>
      <c r="AL62" s="6"/>
      <c r="AM62" s="6"/>
      <c r="AN62" s="6"/>
      <c r="AO62" s="6"/>
      <c r="AP62" s="6"/>
      <c r="AQ62" s="6"/>
    </row>
    <row r="63" spans="1:43" hidden="1" outlineLevel="1">
      <c r="A63" s="6" t="s">
        <v>530</v>
      </c>
      <c r="B63" s="6" t="s">
        <v>517</v>
      </c>
      <c r="C63" s="6"/>
      <c r="D63" s="19">
        <f>'qtrP&amp;L'!AH13</f>
        <v>2242.8490000000002</v>
      </c>
      <c r="E63" s="6"/>
      <c r="F63" s="19">
        <f>'qtrP&amp;L'!AH24</f>
        <v>1736.325</v>
      </c>
      <c r="G63" s="6"/>
      <c r="H63" s="56">
        <f>work!AD13</f>
        <v>1190.17</v>
      </c>
      <c r="I63" s="6"/>
      <c r="J63" s="19">
        <f>AVERAGE(H62:H63)</f>
        <v>1324.8885</v>
      </c>
      <c r="K63" s="6"/>
      <c r="L63" s="46">
        <f>(D63/D56-1)*100</f>
        <v>15.226190934895145</v>
      </c>
      <c r="M63" s="6"/>
      <c r="N63" s="47">
        <f>(H63/H56-1)*100</f>
        <v>12.33264590539922</v>
      </c>
      <c r="O63" s="6"/>
      <c r="P63" s="47">
        <f>(H63/H62-1)*100</f>
        <v>-18.459557949502837</v>
      </c>
      <c r="Q63" s="6"/>
      <c r="R63" s="20">
        <f>F63/J63</f>
        <v>1.3105442457987975</v>
      </c>
      <c r="S63" s="6"/>
      <c r="T63" s="20">
        <f>F67/H63</f>
        <v>1.1065923355487031</v>
      </c>
      <c r="U63" s="6"/>
      <c r="V63" s="6">
        <f>qtrSales!J64</f>
        <v>1171</v>
      </c>
      <c r="W63" s="6"/>
      <c r="X63" s="20">
        <f>H63/V63</f>
        <v>1.0163706233988046</v>
      </c>
      <c r="Y63" s="6"/>
      <c r="Z63" s="47">
        <f>(X63/X56-1)*100</f>
        <v>8.9751372745802804</v>
      </c>
      <c r="AA63" s="6"/>
      <c r="AB63" s="71">
        <f>qtrSales!Z64</f>
        <v>35.017000000000003</v>
      </c>
      <c r="AC63" s="6"/>
      <c r="AD63" s="76">
        <f>H63/AB63</f>
        <v>33.988348516434876</v>
      </c>
      <c r="AE63" s="6"/>
      <c r="AF63" s="47">
        <f>(AD63/AD56-1)*100</f>
        <v>8.7301225209927011</v>
      </c>
      <c r="AG63" s="6"/>
      <c r="AH63" s="6"/>
      <c r="AI63" s="6"/>
      <c r="AJ63" s="6"/>
      <c r="AK63" s="6"/>
      <c r="AL63" s="6"/>
      <c r="AM63" s="6"/>
      <c r="AN63" s="6"/>
      <c r="AO63" s="6"/>
      <c r="AP63" s="6"/>
      <c r="AQ63" s="6"/>
    </row>
    <row r="64" spans="1:43" hidden="1" outlineLevel="1">
      <c r="A64" s="6"/>
      <c r="B64" s="6" t="s">
        <v>531</v>
      </c>
      <c r="C64" s="6"/>
      <c r="D64" s="14">
        <f>SUM(D60:D63)</f>
        <v>7389.0690000000004</v>
      </c>
      <c r="E64" s="6"/>
      <c r="F64" s="14">
        <f>SUM(F60:F63)</f>
        <v>5676.5410000000002</v>
      </c>
      <c r="G64" s="6"/>
      <c r="H64" s="6"/>
      <c r="I64" s="6"/>
      <c r="J64" s="14">
        <f>AVERAGE(J60:J63)</f>
        <v>1347.592625</v>
      </c>
      <c r="K64" s="6"/>
      <c r="L64" s="23">
        <f>(D64/D57-1)*100</f>
        <v>10.459203427507058</v>
      </c>
      <c r="M64" s="6"/>
      <c r="N64" s="47"/>
      <c r="O64" s="6"/>
      <c r="P64" s="6"/>
      <c r="Q64" s="6"/>
      <c r="R64" s="48">
        <f>F64/J64</f>
        <v>4.2123568315016566</v>
      </c>
      <c r="S64" s="45" t="s">
        <v>598</v>
      </c>
      <c r="T64" s="20"/>
      <c r="U64" s="6"/>
      <c r="V64" s="6"/>
      <c r="W64" s="6"/>
      <c r="X64" s="6"/>
      <c r="Y64" s="6"/>
      <c r="Z64" s="6"/>
      <c r="AA64" s="6"/>
      <c r="AB64" s="71"/>
      <c r="AC64" s="6"/>
      <c r="AD64" s="6"/>
      <c r="AE64" s="6"/>
      <c r="AF64" s="6"/>
      <c r="AG64" s="6"/>
      <c r="AH64" s="6"/>
      <c r="AI64" s="6"/>
      <c r="AJ64" s="6"/>
      <c r="AK64" s="6"/>
      <c r="AL64" s="6"/>
      <c r="AM64" s="6"/>
      <c r="AN64" s="6"/>
      <c r="AO64" s="6"/>
      <c r="AP64" s="6"/>
      <c r="AQ64" s="6"/>
    </row>
    <row r="65" spans="1:43" hidden="1" outlineLevel="1">
      <c r="A65" s="6"/>
      <c r="B65" s="6"/>
      <c r="C65" s="6"/>
      <c r="D65" s="6"/>
      <c r="E65" s="6"/>
      <c r="F65" s="6"/>
      <c r="G65" s="6"/>
      <c r="H65" s="6"/>
      <c r="I65" s="6"/>
      <c r="J65" s="6"/>
      <c r="K65" s="6"/>
      <c r="L65" s="6"/>
      <c r="M65" s="6"/>
      <c r="N65" s="6"/>
      <c r="O65" s="6"/>
      <c r="P65" s="6"/>
      <c r="Q65" s="6"/>
      <c r="R65" s="6"/>
      <c r="S65" s="6"/>
      <c r="T65" s="20"/>
      <c r="U65" s="6"/>
      <c r="V65" s="6"/>
      <c r="W65" s="6"/>
      <c r="X65" s="6"/>
      <c r="Y65" s="6"/>
      <c r="Z65" s="6"/>
      <c r="AA65" s="6"/>
      <c r="AB65" s="71"/>
      <c r="AC65" s="6"/>
      <c r="AD65" s="6"/>
      <c r="AE65" s="6"/>
      <c r="AF65" s="6"/>
      <c r="AG65" s="6"/>
      <c r="AH65" s="6"/>
      <c r="AI65" s="6"/>
      <c r="AJ65" s="6"/>
      <c r="AK65" s="6"/>
      <c r="AL65" s="6"/>
      <c r="AM65" s="6"/>
      <c r="AN65" s="6"/>
      <c r="AO65" s="6"/>
      <c r="AP65" s="6"/>
      <c r="AQ65" s="6"/>
    </row>
    <row r="66" spans="1:43" hidden="1" outlineLevel="1" collapsed="1">
      <c r="A66" s="6"/>
      <c r="B66" s="40">
        <f>B59+1</f>
        <v>1998</v>
      </c>
      <c r="C66" s="6"/>
      <c r="D66" s="6"/>
      <c r="E66" s="6"/>
      <c r="F66" s="6"/>
      <c r="G66" s="6"/>
      <c r="H66" s="6"/>
      <c r="I66" s="6"/>
      <c r="J66" s="6"/>
      <c r="K66" s="6"/>
      <c r="L66" s="6"/>
      <c r="M66" s="6"/>
      <c r="N66" s="6"/>
      <c r="O66" s="6"/>
      <c r="P66" s="6"/>
      <c r="Q66" s="6"/>
      <c r="R66" s="6"/>
      <c r="S66" s="6"/>
      <c r="T66" s="20"/>
      <c r="U66" s="6"/>
      <c r="V66" s="6"/>
      <c r="W66" s="6"/>
      <c r="X66" s="6"/>
      <c r="Y66" s="6"/>
      <c r="Z66" s="6"/>
      <c r="AA66" s="6"/>
      <c r="AB66" s="71"/>
      <c r="AC66" s="6"/>
      <c r="AD66" s="6"/>
      <c r="AE66" s="6"/>
      <c r="AF66" s="6"/>
      <c r="AG66" s="6"/>
      <c r="AH66" s="6"/>
      <c r="AI66" s="6"/>
      <c r="AJ66" s="6"/>
      <c r="AK66" s="6"/>
      <c r="AL66" s="6"/>
      <c r="AM66" s="6"/>
      <c r="AN66" s="6"/>
      <c r="AO66" s="6"/>
      <c r="AP66" s="6"/>
      <c r="AQ66" s="6"/>
    </row>
    <row r="67" spans="1:43" hidden="1" outlineLevel="1">
      <c r="A67" s="6" t="s">
        <v>527</v>
      </c>
      <c r="B67" s="6" t="s">
        <v>514</v>
      </c>
      <c r="C67" s="6"/>
      <c r="D67" s="14">
        <f>'qtrP&amp;L'!AL10</f>
        <v>1753.748</v>
      </c>
      <c r="E67" s="6"/>
      <c r="F67" s="14">
        <f>'qtrP&amp;L'!AL21</f>
        <v>1317.0329999999999</v>
      </c>
      <c r="G67" s="6"/>
      <c r="H67" s="14">
        <f>work!AH10</f>
        <v>1381.3209999999999</v>
      </c>
      <c r="I67" s="6"/>
      <c r="J67" s="14">
        <f>AVERAGE(H67,H63)</f>
        <v>1285.7455</v>
      </c>
      <c r="K67" s="6"/>
      <c r="L67" s="23">
        <f>(D67/D60-1)*100</f>
        <v>12.408935038297585</v>
      </c>
      <c r="M67" s="6" t="s">
        <v>190</v>
      </c>
      <c r="N67" s="23">
        <f>(H67/H60-1)*100</f>
        <v>-0.22219059995073343</v>
      </c>
      <c r="O67" s="6" t="s">
        <v>190</v>
      </c>
      <c r="P67" s="23">
        <f>(H67/H63-1)*100</f>
        <v>16.06081484157724</v>
      </c>
      <c r="Q67" s="6" t="s">
        <v>190</v>
      </c>
      <c r="R67" s="20">
        <f>F67/J67</f>
        <v>1.0243341314435865</v>
      </c>
      <c r="S67" s="6" t="s">
        <v>598</v>
      </c>
      <c r="T67" s="20">
        <f>F68/H67</f>
        <v>1.0282780034474248</v>
      </c>
      <c r="U67" s="6" t="s">
        <v>598</v>
      </c>
      <c r="V67" s="6">
        <f>qtrSales!J68</f>
        <v>1184</v>
      </c>
      <c r="W67" s="6"/>
      <c r="X67" s="16">
        <f>H67/V67</f>
        <v>1.16665625</v>
      </c>
      <c r="Y67" s="6"/>
      <c r="Z67" s="47">
        <f>(X67/X60-1)*100</f>
        <v>-3.677334337621363</v>
      </c>
      <c r="AA67" s="70" t="s">
        <v>190</v>
      </c>
      <c r="AB67" s="71">
        <f>qtrSales!Z68</f>
        <v>35.378</v>
      </c>
      <c r="AC67" s="6"/>
      <c r="AD67" s="75">
        <f>H67/AB67</f>
        <v>39.044632257335067</v>
      </c>
      <c r="AE67" s="6"/>
      <c r="AF67" s="47">
        <f>(AD67/AD60-1)*100</f>
        <v>-3.868883673450163</v>
      </c>
      <c r="AG67" s="70" t="s">
        <v>190</v>
      </c>
      <c r="AH67" s="6"/>
      <c r="AI67" s="134">
        <f>((F67-('yrP&amp;L'!$J$11/4))/J67)</f>
        <v>0.96248285527734678</v>
      </c>
      <c r="AJ67" s="117" t="s">
        <v>598</v>
      </c>
      <c r="AK67" s="6"/>
      <c r="AL67" s="6"/>
      <c r="AM67" s="6"/>
      <c r="AN67" s="6"/>
      <c r="AO67" s="6"/>
      <c r="AP67" s="6"/>
      <c r="AQ67" s="6"/>
    </row>
    <row r="68" spans="1:43" hidden="1" outlineLevel="1">
      <c r="A68" s="6" t="s">
        <v>528</v>
      </c>
      <c r="B68" s="6" t="s">
        <v>515</v>
      </c>
      <c r="C68" s="6"/>
      <c r="D68" s="15">
        <f>'qtrP&amp;L'!AL11</f>
        <v>1867.6679999999999</v>
      </c>
      <c r="E68" s="6"/>
      <c r="F68" s="15">
        <f>'qtrP&amp;L'!AL22</f>
        <v>1420.3820000000001</v>
      </c>
      <c r="G68" s="6"/>
      <c r="H68" s="15">
        <f>work!AH11</f>
        <v>1469.9559999999999</v>
      </c>
      <c r="I68" s="6"/>
      <c r="J68" s="15">
        <f>AVERAGE(H67:H68)</f>
        <v>1425.6385</v>
      </c>
      <c r="K68" s="6"/>
      <c r="L68" s="23">
        <f>(D68/D61-1)*100</f>
        <v>9.9681341896828091</v>
      </c>
      <c r="M68" s="6"/>
      <c r="N68" s="23">
        <f>(H68/H61-1)*100</f>
        <v>3.4066839297685725</v>
      </c>
      <c r="O68" s="6"/>
      <c r="P68" s="23">
        <f>(H68/H67-1)*100</f>
        <v>6.4166837396955501</v>
      </c>
      <c r="Q68" s="6"/>
      <c r="R68" s="20">
        <f>F68/J68</f>
        <v>0.99631288015860964</v>
      </c>
      <c r="S68" s="6"/>
      <c r="T68" s="20">
        <f>F69/H68</f>
        <v>0.99749924487535691</v>
      </c>
      <c r="U68" s="6"/>
      <c r="V68" s="6">
        <f>qtrSales!J69</f>
        <v>1198</v>
      </c>
      <c r="W68" s="6"/>
      <c r="X68" s="20">
        <f>H68/V68</f>
        <v>1.227008347245409</v>
      </c>
      <c r="Y68" s="6"/>
      <c r="Z68" s="47">
        <f>(X68/X61-1)*100</f>
        <v>-1.5133335860885277</v>
      </c>
      <c r="AA68" s="6"/>
      <c r="AB68" s="71">
        <f>qtrSales!Z69</f>
        <v>35.786000000000001</v>
      </c>
      <c r="AC68" s="6"/>
      <c r="AD68" s="76">
        <f>H68/AB68</f>
        <v>41.076286816073321</v>
      </c>
      <c r="AE68" s="6"/>
      <c r="AF68" s="47">
        <f>(AD68/AD61-1)*100</f>
        <v>-1.4796040746252959</v>
      </c>
      <c r="AG68" s="6"/>
      <c r="AH68" s="6"/>
      <c r="AI68" s="134">
        <f>((F68-('yrP&amp;L'!$J$11/4))/J68)</f>
        <v>0.94053085687570859</v>
      </c>
      <c r="AJ68" s="117"/>
      <c r="AK68" s="6"/>
      <c r="AL68" s="6"/>
      <c r="AM68" s="6"/>
      <c r="AN68" s="6"/>
      <c r="AO68" s="6"/>
      <c r="AP68" s="6"/>
      <c r="AQ68" s="6"/>
    </row>
    <row r="69" spans="1:43" hidden="1" outlineLevel="1">
      <c r="A69" s="6" t="s">
        <v>529</v>
      </c>
      <c r="B69" s="6" t="s">
        <v>516</v>
      </c>
      <c r="C69" s="6"/>
      <c r="D69" s="15">
        <f>'qtrP&amp;L'!AL12</f>
        <v>2003.5029999999999</v>
      </c>
      <c r="E69" s="6"/>
      <c r="F69" s="15">
        <f>'qtrP&amp;L'!AL23</f>
        <v>1466.28</v>
      </c>
      <c r="G69" s="6"/>
      <c r="H69" s="15">
        <f>work!AH12</f>
        <v>1501.3620000000001</v>
      </c>
      <c r="I69" s="6"/>
      <c r="J69" s="15">
        <f>AVERAGE(H68:H69)</f>
        <v>1485.6590000000001</v>
      </c>
      <c r="K69" s="6"/>
      <c r="L69" s="23">
        <f>(D69/D62-1)*100</f>
        <v>6.1347207021462014</v>
      </c>
      <c r="M69" s="6"/>
      <c r="N69" s="23">
        <f>(H69/H62-1)*100</f>
        <v>2.8607015450049289</v>
      </c>
      <c r="O69" s="6"/>
      <c r="P69" s="23">
        <f>(H69/H68-1)*100</f>
        <v>2.136526535488148</v>
      </c>
      <c r="Q69" s="6"/>
      <c r="R69" s="20">
        <f>F69/J69</f>
        <v>0.98695595691878146</v>
      </c>
      <c r="S69" s="6"/>
      <c r="T69" s="20">
        <f>F70/H69</f>
        <v>1.1682658812464948</v>
      </c>
      <c r="U69" s="6"/>
      <c r="V69" s="6">
        <f>qtrSales!J70</f>
        <v>1233</v>
      </c>
      <c r="W69" s="6"/>
      <c r="X69" s="20">
        <f>H69/V69</f>
        <v>1.2176496350364965</v>
      </c>
      <c r="Y69" s="6"/>
      <c r="Z69" s="47">
        <f>(X69/X62-1)*100</f>
        <v>-2.3949547383164793</v>
      </c>
      <c r="AA69" s="6"/>
      <c r="AB69" s="71">
        <f>qtrSales!Z70</f>
        <v>36.676000000000002</v>
      </c>
      <c r="AC69" s="6"/>
      <c r="AD69" s="76">
        <f>H69/AB69</f>
        <v>40.935816337659503</v>
      </c>
      <c r="AE69" s="6"/>
      <c r="AF69" s="47">
        <f>(AD69/AD62-1)*100</f>
        <v>-2.1735159070968235</v>
      </c>
      <c r="AG69" s="6"/>
      <c r="AH69" s="6"/>
      <c r="AI69" s="134">
        <f>((F69-('yrP&amp;L'!$J$11/4))/J69)</f>
        <v>0.93342752273570162</v>
      </c>
      <c r="AJ69" s="117"/>
      <c r="AK69" s="6"/>
      <c r="AL69" s="6"/>
      <c r="AM69" s="6"/>
      <c r="AN69" s="6"/>
      <c r="AO69" s="6"/>
      <c r="AP69" s="6"/>
      <c r="AQ69" s="6"/>
    </row>
    <row r="70" spans="1:43" hidden="1" outlineLevel="1">
      <c r="A70" s="6" t="s">
        <v>530</v>
      </c>
      <c r="B70" s="6" t="s">
        <v>517</v>
      </c>
      <c r="C70" s="6"/>
      <c r="D70" s="19">
        <f>'qtrP&amp;L'!AL13</f>
        <v>2323.9520000000002</v>
      </c>
      <c r="E70" s="6"/>
      <c r="F70" s="19">
        <f>'qtrP&amp;L'!AL24</f>
        <v>1753.99</v>
      </c>
      <c r="G70" s="6"/>
      <c r="H70" s="56">
        <f>work!AH13</f>
        <v>1186.068</v>
      </c>
      <c r="I70" s="6"/>
      <c r="J70" s="19">
        <f>AVERAGE(H69:H70)</f>
        <v>1343.7150000000001</v>
      </c>
      <c r="K70" s="6"/>
      <c r="L70" s="46">
        <f>(D70/D63-1)*100</f>
        <v>3.6160704532494092</v>
      </c>
      <c r="M70" s="6"/>
      <c r="N70" s="47">
        <f>(H70/H63-1)*100</f>
        <v>-0.34465664568927856</v>
      </c>
      <c r="O70" s="6"/>
      <c r="P70" s="47">
        <f>(H70/H69-1)*100</f>
        <v>-21.000531517382225</v>
      </c>
      <c r="Q70" s="6"/>
      <c r="R70" s="20">
        <f>F70/J70</f>
        <v>1.3053288829848591</v>
      </c>
      <c r="S70" s="6"/>
      <c r="T70" s="20">
        <f>F74/H70</f>
        <v>1.1962147195607671</v>
      </c>
      <c r="U70" s="6"/>
      <c r="V70" s="6">
        <f>qtrSales!J71</f>
        <v>1246</v>
      </c>
      <c r="W70" s="6"/>
      <c r="X70" s="20">
        <f>H70/V70</f>
        <v>0.95190048154093099</v>
      </c>
      <c r="Y70" s="6"/>
      <c r="Z70" s="47">
        <f>(X70/X63-1)*100</f>
        <v>-6.343172497674276</v>
      </c>
      <c r="AA70" s="6"/>
      <c r="AB70" s="71">
        <f>qtrSales!Z71</f>
        <v>37.126000000000005</v>
      </c>
      <c r="AC70" s="6"/>
      <c r="AD70" s="76">
        <f>H70/AB70</f>
        <v>31.947099068038568</v>
      </c>
      <c r="AE70" s="6"/>
      <c r="AF70" s="47">
        <f>(AD70/AD63-1)*100</f>
        <v>-6.0057329570139988</v>
      </c>
      <c r="AG70" s="6"/>
      <c r="AH70" s="6"/>
      <c r="AI70" s="134">
        <f>((F70-('yrP&amp;L'!$J$11/4))/J70)</f>
        <v>1.2461459461269686</v>
      </c>
      <c r="AJ70" s="137"/>
      <c r="AK70" s="6"/>
      <c r="AL70" s="6"/>
      <c r="AM70" s="6"/>
      <c r="AN70" s="6"/>
      <c r="AO70" s="6"/>
      <c r="AP70" s="6"/>
      <c r="AQ70" s="6"/>
    </row>
    <row r="71" spans="1:43" hidden="1" outlineLevel="1">
      <c r="A71" s="6"/>
      <c r="B71" s="6" t="s">
        <v>531</v>
      </c>
      <c r="C71" s="6"/>
      <c r="D71" s="14">
        <f>SUM(D67:D70)</f>
        <v>7948.8710000000001</v>
      </c>
      <c r="E71" s="6"/>
      <c r="F71" s="14">
        <f>SUM(F67:F70)</f>
        <v>5957.6849999999995</v>
      </c>
      <c r="G71" s="6"/>
      <c r="H71" s="6"/>
      <c r="I71" s="6"/>
      <c r="J71" s="14">
        <f>AVERAGE(J67:J70)</f>
        <v>1385.1895</v>
      </c>
      <c r="K71" s="6"/>
      <c r="L71" s="23">
        <f>(D71/D64-1)*100</f>
        <v>7.5760829950295427</v>
      </c>
      <c r="M71" s="6"/>
      <c r="N71" s="47"/>
      <c r="O71" s="6"/>
      <c r="P71" s="6"/>
      <c r="Q71" s="6"/>
      <c r="R71" s="48">
        <f>F71/J71</f>
        <v>4.3009891426407725</v>
      </c>
      <c r="S71" s="45" t="s">
        <v>598</v>
      </c>
      <c r="T71" s="20"/>
      <c r="U71" s="6"/>
      <c r="V71" s="6"/>
      <c r="W71" s="6"/>
      <c r="X71" s="6"/>
      <c r="Y71" s="6"/>
      <c r="Z71" s="6"/>
      <c r="AA71" s="6"/>
      <c r="AB71" s="71"/>
      <c r="AC71" s="6"/>
      <c r="AD71" s="6"/>
      <c r="AE71" s="6"/>
      <c r="AF71" s="6"/>
      <c r="AG71" s="6"/>
      <c r="AH71" s="6"/>
      <c r="AI71" s="135">
        <f>((F71-('yrP&amp;L'!$J$11))/J71)</f>
        <v>4.0713454729479244</v>
      </c>
      <c r="AJ71" s="136" t="s">
        <v>598</v>
      </c>
      <c r="AK71" s="6"/>
      <c r="AL71" s="6"/>
      <c r="AM71" s="6"/>
      <c r="AN71" s="6"/>
      <c r="AO71" s="6"/>
      <c r="AP71" s="6"/>
      <c r="AQ71" s="6"/>
    </row>
    <row r="72" spans="1:43" hidden="1" outlineLevel="1">
      <c r="A72" s="6"/>
      <c r="B72" s="6"/>
      <c r="C72" s="6"/>
      <c r="D72" s="6"/>
      <c r="E72" s="6"/>
      <c r="F72" s="6"/>
      <c r="G72" s="6"/>
      <c r="H72" s="6"/>
      <c r="I72" s="6"/>
      <c r="J72" s="6"/>
      <c r="K72" s="6"/>
      <c r="L72" s="6"/>
      <c r="M72" s="6"/>
      <c r="N72" s="6"/>
      <c r="O72" s="6"/>
      <c r="P72" s="6"/>
      <c r="Q72" s="6"/>
      <c r="R72" s="6"/>
      <c r="S72" s="6"/>
      <c r="T72" s="20"/>
      <c r="U72" s="6"/>
      <c r="V72" s="6"/>
      <c r="W72" s="6"/>
      <c r="X72" s="6"/>
      <c r="Y72" s="6"/>
      <c r="Z72" s="6"/>
      <c r="AA72" s="6"/>
      <c r="AB72" s="71"/>
      <c r="AC72" s="6"/>
      <c r="AD72" s="6"/>
      <c r="AE72" s="6"/>
      <c r="AF72" s="6"/>
      <c r="AG72" s="6"/>
      <c r="AH72" s="6"/>
      <c r="AI72" s="6"/>
      <c r="AJ72" s="6"/>
      <c r="AK72" s="6"/>
      <c r="AL72" s="6"/>
      <c r="AM72" s="6"/>
      <c r="AN72" s="6"/>
      <c r="AO72" s="6"/>
      <c r="AP72" s="6"/>
      <c r="AQ72" s="6"/>
    </row>
    <row r="73" spans="1:43" hidden="1" outlineLevel="1" collapsed="1">
      <c r="A73" s="6"/>
      <c r="B73" s="40">
        <f>B66+1</f>
        <v>1999</v>
      </c>
      <c r="C73" s="6"/>
      <c r="D73" s="6"/>
      <c r="E73" s="6"/>
      <c r="F73" s="6"/>
      <c r="G73" s="6"/>
      <c r="H73" s="6"/>
      <c r="I73" s="6"/>
      <c r="J73" s="6"/>
      <c r="K73" s="6"/>
      <c r="L73" s="6"/>
      <c r="M73" s="6"/>
      <c r="N73" s="6"/>
      <c r="O73" s="6"/>
      <c r="P73" s="6"/>
      <c r="Q73" s="6"/>
      <c r="R73" s="6"/>
      <c r="S73" s="6"/>
      <c r="T73" s="20"/>
      <c r="U73" s="6"/>
      <c r="V73" s="6"/>
      <c r="W73" s="6"/>
      <c r="X73" s="6"/>
      <c r="Y73" s="6"/>
      <c r="Z73" s="6"/>
      <c r="AA73" s="6"/>
      <c r="AB73" s="71"/>
      <c r="AC73" s="6"/>
      <c r="AD73" s="6"/>
      <c r="AE73" s="6"/>
      <c r="AF73" s="6"/>
      <c r="AG73" s="6"/>
      <c r="AH73" s="6"/>
      <c r="AI73" s="6"/>
      <c r="AJ73" s="6"/>
      <c r="AK73" s="6"/>
      <c r="AL73" s="6"/>
      <c r="AM73" s="6"/>
      <c r="AN73" s="6"/>
      <c r="AO73" s="6"/>
      <c r="AP73" s="6"/>
      <c r="AQ73" s="6"/>
    </row>
    <row r="74" spans="1:43" hidden="1" outlineLevel="1">
      <c r="A74" s="6" t="s">
        <v>527</v>
      </c>
      <c r="B74" s="6" t="s">
        <v>514</v>
      </c>
      <c r="C74" s="6"/>
      <c r="D74" s="14">
        <f>'qtrP&amp;L'!AP10</f>
        <v>1930.5060000000001</v>
      </c>
      <c r="E74" s="6"/>
      <c r="F74" s="14">
        <f>'qtrP&amp;L'!AP21</f>
        <v>1418.7919999999999</v>
      </c>
      <c r="G74" s="6"/>
      <c r="H74" s="14">
        <f>work!AL10</f>
        <v>1463.962</v>
      </c>
      <c r="I74" s="6"/>
      <c r="J74" s="14">
        <f>AVERAGE(H74,H70)</f>
        <v>1325.0149999999999</v>
      </c>
      <c r="K74" s="6"/>
      <c r="L74" s="23">
        <f>(D74/D67-1)*100</f>
        <v>10.078871080679775</v>
      </c>
      <c r="M74" s="6" t="s">
        <v>190</v>
      </c>
      <c r="N74" s="23">
        <f>(H74/H67-1)*100</f>
        <v>5.9827512938701588</v>
      </c>
      <c r="O74" s="6" t="s">
        <v>190</v>
      </c>
      <c r="P74" s="23">
        <f>(H74/H70-1)*100</f>
        <v>23.429853937548263</v>
      </c>
      <c r="Q74" s="6" t="s">
        <v>190</v>
      </c>
      <c r="R74" s="20">
        <f>F74/J74</f>
        <v>1.0707742931212101</v>
      </c>
      <c r="S74" s="6" t="s">
        <v>598</v>
      </c>
      <c r="T74" s="20">
        <f>F75/H74</f>
        <v>1.0828477788357895</v>
      </c>
      <c r="U74" s="6" t="s">
        <v>598</v>
      </c>
      <c r="V74" s="6">
        <f>qtrSales!J75</f>
        <v>1273</v>
      </c>
      <c r="W74" s="6"/>
      <c r="X74" s="16">
        <f>H74/V74</f>
        <v>1.1500094265514533</v>
      </c>
      <c r="Y74" s="6"/>
      <c r="Z74" s="47">
        <f>(X74/X67-1)*100</f>
        <v>-1.4268833213336496</v>
      </c>
      <c r="AA74" s="70" t="s">
        <v>190</v>
      </c>
      <c r="AB74" s="71">
        <f>qtrSales!Z75</f>
        <v>37.940000000000005</v>
      </c>
      <c r="AC74" s="6"/>
      <c r="AD74" s="75">
        <f>H74/AB74</f>
        <v>38.586241433842908</v>
      </c>
      <c r="AE74" s="6"/>
      <c r="AF74" s="47">
        <f>(AD74/AD67-1)*100</f>
        <v>-1.1740175204391745</v>
      </c>
      <c r="AG74" s="70" t="s">
        <v>190</v>
      </c>
      <c r="AH74" s="6"/>
      <c r="AI74" s="134">
        <f>((F74-('yrP&amp;L'!$J$11/4))/J74)</f>
        <v>1.0107561046478719</v>
      </c>
      <c r="AJ74" s="117" t="s">
        <v>598</v>
      </c>
      <c r="AK74" s="6"/>
      <c r="AL74" s="6"/>
      <c r="AM74" s="89">
        <f>+H74*0.9</f>
        <v>1317.5658000000001</v>
      </c>
      <c r="AN74" s="6"/>
      <c r="AO74" s="6"/>
      <c r="AP74" s="6"/>
      <c r="AQ74" s="6"/>
    </row>
    <row r="75" spans="1:43" hidden="1" outlineLevel="1">
      <c r="A75" s="6" t="s">
        <v>528</v>
      </c>
      <c r="B75" s="6" t="s">
        <v>515</v>
      </c>
      <c r="C75" s="6"/>
      <c r="D75" s="15">
        <f>'qtrP&amp;L'!AP11</f>
        <v>2102.8510000000001</v>
      </c>
      <c r="E75" s="6"/>
      <c r="F75" s="15">
        <f>'qtrP&amp;L'!AP22</f>
        <v>1585.248</v>
      </c>
      <c r="G75" s="6"/>
      <c r="H75" s="15">
        <f>work!AL11</f>
        <v>1603.3389999999999</v>
      </c>
      <c r="I75" s="6"/>
      <c r="J75" s="15">
        <f>AVERAGE(H74:H75)</f>
        <v>1533.6505</v>
      </c>
      <c r="K75" s="6"/>
      <c r="L75" s="23">
        <f>(D75/D68-1)*100</f>
        <v>12.59233439776235</v>
      </c>
      <c r="M75" s="6"/>
      <c r="N75" s="23">
        <f>(H75/H68-1)*100</f>
        <v>9.0739450704647062</v>
      </c>
      <c r="O75" s="6"/>
      <c r="P75" s="23">
        <f>(H75/H74-1)*100</f>
        <v>9.5205340029317576</v>
      </c>
      <c r="Q75" s="6"/>
      <c r="R75" s="20">
        <f>F75/J75</f>
        <v>1.033643584375971</v>
      </c>
      <c r="S75" s="6"/>
      <c r="T75" s="20">
        <f>F76/H75</f>
        <v>1.0267759968415913</v>
      </c>
      <c r="U75" s="6"/>
      <c r="V75" s="6">
        <f>qtrSales!J76</f>
        <v>1288</v>
      </c>
      <c r="W75" s="6"/>
      <c r="X75" s="20">
        <f>H75/V75</f>
        <v>1.2448284161490684</v>
      </c>
      <c r="Y75" s="6"/>
      <c r="Z75" s="47">
        <f>(X75/X68-1)*100</f>
        <v>1.4523184739260175</v>
      </c>
      <c r="AA75" s="6"/>
      <c r="AB75" s="71">
        <f>qtrSales!Z76</f>
        <v>38.219999999999992</v>
      </c>
      <c r="AC75" s="6"/>
      <c r="AD75" s="76">
        <f>H75/AB75</f>
        <v>41.950261643118793</v>
      </c>
      <c r="AE75" s="6"/>
      <c r="AF75" s="47">
        <f>(AD75/AD68-1)*100</f>
        <v>2.1276870301321527</v>
      </c>
      <c r="AG75" s="6"/>
      <c r="AH75" s="6"/>
      <c r="AI75" s="134">
        <f>((F75-('yrP&amp;L'!$K$11/4))/J75)</f>
        <v>0.97616634298361982</v>
      </c>
      <c r="AJ75" s="117"/>
      <c r="AK75" s="6"/>
      <c r="AL75" s="6"/>
      <c r="AM75" s="89">
        <f>+H75*0.9</f>
        <v>1443.0051000000001</v>
      </c>
      <c r="AN75" s="6"/>
      <c r="AO75" s="6"/>
      <c r="AP75" s="6"/>
      <c r="AQ75" s="6"/>
    </row>
    <row r="76" spans="1:43" hidden="1" outlineLevel="1">
      <c r="A76" s="6" t="s">
        <v>529</v>
      </c>
      <c r="B76" s="6" t="s">
        <v>516</v>
      </c>
      <c r="C76" s="6"/>
      <c r="D76" s="15">
        <f>'qtrP&amp;L'!AP12</f>
        <v>2235.0540000000001</v>
      </c>
      <c r="E76" s="6"/>
      <c r="F76" s="15">
        <f>'qtrP&amp;L'!AP23</f>
        <v>1646.27</v>
      </c>
      <c r="G76" s="6"/>
      <c r="H76" s="15">
        <f>work!AL12</f>
        <v>1677.5840000000001</v>
      </c>
      <c r="I76" s="6"/>
      <c r="J76" s="15">
        <f>AVERAGE(H75:H76)</f>
        <v>1640.4614999999999</v>
      </c>
      <c r="K76" s="6"/>
      <c r="L76" s="23">
        <f>(D76/D69-1)*100</f>
        <v>11.557307376130721</v>
      </c>
      <c r="M76" s="6"/>
      <c r="N76" s="23">
        <f>(H76/H69-1)*100</f>
        <v>11.73747570539283</v>
      </c>
      <c r="O76" s="6"/>
      <c r="P76" s="23">
        <f>(H76/H75-1)*100</f>
        <v>4.6306489145464536</v>
      </c>
      <c r="Q76" s="6"/>
      <c r="R76" s="20">
        <f>F76/J76</f>
        <v>1.0035407719108314</v>
      </c>
      <c r="S76" s="6"/>
      <c r="T76" s="20">
        <f>F77/H76</f>
        <v>1.1499215538536371</v>
      </c>
      <c r="U76" s="6"/>
      <c r="V76" s="6">
        <f>qtrSales!J77</f>
        <v>1332</v>
      </c>
      <c r="W76" s="6"/>
      <c r="X76" s="20">
        <f>H76/V76</f>
        <v>1.2594474474474475</v>
      </c>
      <c r="Y76" s="6"/>
      <c r="Z76" s="47">
        <f>(X76/X69-1)*100</f>
        <v>3.4326633218838998</v>
      </c>
      <c r="AA76" s="6"/>
      <c r="AB76" s="71">
        <f>qtrSales!Z77</f>
        <v>39.423999999999999</v>
      </c>
      <c r="AC76" s="6"/>
      <c r="AD76" s="76">
        <f>H76/AB76</f>
        <v>42.552353896103895</v>
      </c>
      <c r="AE76" s="6"/>
      <c r="AF76" s="47">
        <f>(AD76/AD69-1)*100</f>
        <v>3.9489564471131278</v>
      </c>
      <c r="AG76" s="6"/>
      <c r="AH76" s="6"/>
      <c r="AI76" s="134">
        <f>((F76-('yrP&amp;L'!$K$11/4))/J76)</f>
        <v>0.94980589303680707</v>
      </c>
      <c r="AJ76" s="117"/>
      <c r="AK76" s="6"/>
      <c r="AL76" s="6"/>
      <c r="AM76" s="89">
        <f>+H76*0.9</f>
        <v>1509.8256000000001</v>
      </c>
      <c r="AN76" s="6"/>
      <c r="AO76" s="6"/>
      <c r="AP76" s="6"/>
      <c r="AQ76" s="6"/>
    </row>
    <row r="77" spans="1:43" hidden="1" outlineLevel="1">
      <c r="A77" s="6" t="s">
        <v>530</v>
      </c>
      <c r="B77" s="6" t="s">
        <v>517</v>
      </c>
      <c r="C77" s="6"/>
      <c r="D77" s="19">
        <f>'qtrP&amp;L'!AP13</f>
        <v>2526.9360000000001</v>
      </c>
      <c r="E77" s="6"/>
      <c r="F77" s="19">
        <f>'qtrP&amp;L'!AP24</f>
        <v>1929.09</v>
      </c>
      <c r="G77" s="6"/>
      <c r="H77" s="56">
        <f>work!AL13</f>
        <v>1229.587</v>
      </c>
      <c r="I77" s="6"/>
      <c r="J77" s="19">
        <f>AVERAGE(H76:H77)</f>
        <v>1453.5855000000001</v>
      </c>
      <c r="K77" s="6"/>
      <c r="L77" s="46">
        <f>(D77/D70-1)*100</f>
        <v>8.7344316922208343</v>
      </c>
      <c r="M77" s="6"/>
      <c r="N77" s="47">
        <f>(H77/H70-1)*100</f>
        <v>3.6691825426535374</v>
      </c>
      <c r="O77" s="6"/>
      <c r="P77" s="23">
        <f>(H77/H76-1)*100</f>
        <v>-26.704892273650682</v>
      </c>
      <c r="Q77" s="6"/>
      <c r="R77" s="20">
        <f>F77/J77</f>
        <v>1.3271252361832171</v>
      </c>
      <c r="S77" s="6"/>
      <c r="T77" s="20">
        <f>F81/H77</f>
        <v>1.2638715275942247</v>
      </c>
      <c r="U77" s="6"/>
      <c r="V77" s="6">
        <f>qtrSales!J78</f>
        <v>1357</v>
      </c>
      <c r="W77" s="6"/>
      <c r="X77" s="20">
        <f>H77/V77</f>
        <v>0.90610685335298446</v>
      </c>
      <c r="Y77" s="6"/>
      <c r="Z77" s="47">
        <f>(X77/X70-1)*100</f>
        <v>-4.8107579600985222</v>
      </c>
      <c r="AA77" s="6"/>
      <c r="AB77" s="71">
        <f>qtrSales!Z78</f>
        <v>40.165000000000006</v>
      </c>
      <c r="AC77" s="6"/>
      <c r="AD77" s="76">
        <f>H77/AB77</f>
        <v>30.613394746669982</v>
      </c>
      <c r="AE77" s="6"/>
      <c r="AF77" s="47">
        <f>(AD77/AD70-1)*100</f>
        <v>-4.1747274722132355</v>
      </c>
      <c r="AG77" s="6"/>
      <c r="AH77" s="6"/>
      <c r="AI77" s="134">
        <f>((F77-('yrP&amp;L'!$K$11/4))/J77)</f>
        <v>1.2664820886009112</v>
      </c>
      <c r="AJ77" s="137"/>
      <c r="AK77" s="6"/>
      <c r="AL77" s="6"/>
      <c r="AM77" s="89">
        <f>+H77*0.9</f>
        <v>1106.6283000000001</v>
      </c>
      <c r="AN77" s="6"/>
      <c r="AO77" s="6"/>
      <c r="AP77" s="6"/>
      <c r="AQ77" s="6"/>
    </row>
    <row r="78" spans="1:43" hidden="1" outlineLevel="1">
      <c r="A78" s="6"/>
      <c r="B78" s="6" t="s">
        <v>531</v>
      </c>
      <c r="C78" s="6"/>
      <c r="D78" s="14">
        <f>SUM(D74:D77)</f>
        <v>8795.3469999999998</v>
      </c>
      <c r="E78" s="6"/>
      <c r="F78" s="14">
        <f>SUM(F74:F77)</f>
        <v>6579.4</v>
      </c>
      <c r="G78" s="6"/>
      <c r="H78" s="6"/>
      <c r="I78" s="6"/>
      <c r="J78" s="14">
        <f>AVERAGE(J74:J77)</f>
        <v>1488.1781250000001</v>
      </c>
      <c r="K78" s="6"/>
      <c r="L78" s="23">
        <f>(D78/D71-1)*100</f>
        <v>10.649009148594812</v>
      </c>
      <c r="M78" s="6"/>
      <c r="N78" s="47"/>
      <c r="O78" s="6"/>
      <c r="P78" s="47"/>
      <c r="Q78" s="6"/>
      <c r="R78" s="48">
        <f>F78/J78</f>
        <v>4.4211105441426906</v>
      </c>
      <c r="S78" s="45" t="s">
        <v>598</v>
      </c>
      <c r="T78" s="20"/>
      <c r="U78" s="6"/>
      <c r="V78" s="6"/>
      <c r="W78" s="6"/>
      <c r="X78" s="6"/>
      <c r="Y78" s="6"/>
      <c r="Z78" s="6"/>
      <c r="AA78" s="6"/>
      <c r="AB78" s="71"/>
      <c r="AC78" s="6"/>
      <c r="AD78" s="6"/>
      <c r="AE78" s="6"/>
      <c r="AF78" s="6"/>
      <c r="AG78" s="6"/>
      <c r="AH78" s="6"/>
      <c r="AI78" s="135">
        <f>((F78-('yrP&amp;L'!$K$11))/J78)</f>
        <v>4.1841765413666447</v>
      </c>
      <c r="AJ78" s="136" t="s">
        <v>598</v>
      </c>
      <c r="AK78" s="6"/>
      <c r="AL78" s="6"/>
      <c r="AM78" s="6"/>
      <c r="AN78" s="6"/>
      <c r="AO78" s="6"/>
      <c r="AP78" s="6"/>
      <c r="AQ78" s="6"/>
    </row>
    <row r="79" spans="1:43" hidden="1" outlineLevel="1">
      <c r="A79" s="6"/>
      <c r="B79" s="6"/>
      <c r="C79" s="6"/>
      <c r="D79" s="6"/>
      <c r="E79" s="6"/>
      <c r="F79" s="6"/>
      <c r="G79" s="6"/>
      <c r="H79" s="6"/>
      <c r="I79" s="6"/>
      <c r="J79" s="6"/>
      <c r="K79" s="6"/>
      <c r="L79" s="6"/>
      <c r="M79" s="6"/>
      <c r="N79" s="6"/>
      <c r="O79" s="6"/>
      <c r="P79" s="6"/>
      <c r="Q79" s="6"/>
      <c r="R79" s="6"/>
      <c r="S79" s="6"/>
      <c r="T79" s="20"/>
      <c r="U79" s="6"/>
      <c r="V79" s="6"/>
      <c r="W79" s="6"/>
      <c r="X79" s="6"/>
      <c r="Y79" s="6"/>
      <c r="Z79" s="6"/>
      <c r="AA79" s="6"/>
      <c r="AB79" s="71"/>
      <c r="AC79" s="6"/>
      <c r="AD79" s="6"/>
      <c r="AE79" s="6"/>
      <c r="AF79" s="6"/>
      <c r="AG79" s="6"/>
      <c r="AH79" s="6"/>
      <c r="AI79" s="6"/>
      <c r="AJ79" s="6"/>
      <c r="AK79" s="6"/>
      <c r="AL79" s="6"/>
      <c r="AM79" s="6"/>
      <c r="AN79" s="6"/>
      <c r="AO79" s="6"/>
      <c r="AP79" s="6"/>
      <c r="AQ79" s="6"/>
    </row>
    <row r="80" spans="1:43" hidden="1" outlineLevel="1" collapsed="1">
      <c r="A80" s="6"/>
      <c r="B80" s="40">
        <f>B73+1</f>
        <v>2000</v>
      </c>
      <c r="C80" s="6"/>
      <c r="D80" s="6"/>
      <c r="E80" s="6"/>
      <c r="F80" s="6"/>
      <c r="G80" s="6"/>
      <c r="H80" s="6"/>
      <c r="I80" s="6"/>
      <c r="J80" s="6"/>
      <c r="K80" s="6"/>
      <c r="L80" s="6"/>
      <c r="M80" s="6"/>
      <c r="N80" s="6"/>
      <c r="O80" s="6"/>
      <c r="P80" s="6"/>
      <c r="Q80" s="6"/>
      <c r="R80" s="6"/>
      <c r="S80" s="6"/>
      <c r="T80" s="20"/>
      <c r="U80" s="6"/>
      <c r="V80" s="6"/>
      <c r="W80" s="6"/>
      <c r="X80" s="6"/>
      <c r="Y80" s="6"/>
      <c r="Z80" s="6"/>
      <c r="AA80" s="6"/>
      <c r="AB80" s="71"/>
      <c r="AC80" s="6"/>
      <c r="AD80" s="6"/>
      <c r="AE80" s="6"/>
      <c r="AF80" s="6"/>
      <c r="AG80" s="6"/>
      <c r="AH80" s="6"/>
      <c r="AI80" s="6"/>
      <c r="AJ80" s="6"/>
      <c r="AK80" s="6"/>
      <c r="AL80" s="6"/>
      <c r="AM80" s="6"/>
      <c r="AN80" s="6"/>
      <c r="AO80" s="6"/>
      <c r="AP80" s="6"/>
      <c r="AQ80" s="6"/>
    </row>
    <row r="81" spans="1:43" hidden="1" outlineLevel="1">
      <c r="A81" s="6" t="s">
        <v>527</v>
      </c>
      <c r="B81" s="6" t="s">
        <v>514</v>
      </c>
      <c r="C81" s="6"/>
      <c r="D81" s="14">
        <f>'qtrP&amp;L'!AT10</f>
        <v>2108.116</v>
      </c>
      <c r="E81" s="6"/>
      <c r="F81" s="14">
        <f>'qtrP&amp;L'!AT21</f>
        <v>1554.04</v>
      </c>
      <c r="G81" s="6"/>
      <c r="H81" s="14">
        <f>work!AP10</f>
        <v>1560.3150000000001</v>
      </c>
      <c r="I81" s="6"/>
      <c r="J81" s="14">
        <f>AVERAGE(H81,H76)</f>
        <v>1618.9495000000002</v>
      </c>
      <c r="K81" s="6"/>
      <c r="L81" s="23">
        <f>(D81/D74-1)*100</f>
        <v>9.2001786060234902</v>
      </c>
      <c r="M81" s="6" t="s">
        <v>190</v>
      </c>
      <c r="N81" s="23">
        <f>(H81/H74-1)*100</f>
        <v>6.5816599064729919</v>
      </c>
      <c r="O81" s="6" t="s">
        <v>190</v>
      </c>
      <c r="P81" s="23">
        <f>(H81/H77-1)*100</f>
        <v>26.897486717084696</v>
      </c>
      <c r="Q81" s="6" t="s">
        <v>190</v>
      </c>
      <c r="R81" s="20">
        <f>F81/J81</f>
        <v>0.9599064084457235</v>
      </c>
      <c r="S81" s="6" t="s">
        <v>598</v>
      </c>
      <c r="T81" s="20">
        <f>F85/H81</f>
        <v>4.6068415672476384</v>
      </c>
      <c r="U81" s="6"/>
      <c r="V81" s="6">
        <f>qtrSales!J82</f>
        <v>1382</v>
      </c>
      <c r="W81" s="6"/>
      <c r="X81" s="16">
        <f>H81/V81</f>
        <v>1.1290267727930536</v>
      </c>
      <c r="Y81" s="6"/>
      <c r="Z81" s="47">
        <f>(X81/X74-1)*100</f>
        <v>-1.824563631736531</v>
      </c>
      <c r="AA81" s="70" t="s">
        <v>190</v>
      </c>
      <c r="AB81" s="71">
        <f>qtrSales!Z82</f>
        <v>40.797999999999988</v>
      </c>
      <c r="AC81" s="6"/>
      <c r="AD81" s="75">
        <f>H81/AB81</f>
        <v>38.244889455365474</v>
      </c>
      <c r="AE81" s="6"/>
      <c r="AF81" s="47">
        <f>(AD81/AD74-1)*100</f>
        <v>-0.88464687358236205</v>
      </c>
      <c r="AG81" s="70" t="s">
        <v>190</v>
      </c>
      <c r="AH81" s="6"/>
      <c r="AI81" s="134">
        <f>((F81-('yrP&amp;L'!$L$11/4))/J81)</f>
        <v>0.89958951777062823</v>
      </c>
      <c r="AJ81" s="117" t="s">
        <v>598</v>
      </c>
      <c r="AK81" s="6"/>
      <c r="AL81" s="6"/>
      <c r="AM81" s="89">
        <f>+H81*0.9</f>
        <v>1404.2835</v>
      </c>
      <c r="AN81" s="14">
        <f>AVERAGE(AM81,AM77)</f>
        <v>1255.4558999999999</v>
      </c>
      <c r="AO81" s="6"/>
      <c r="AP81" s="121">
        <f>+F81/AN81</f>
        <v>1.2378292220379865</v>
      </c>
      <c r="AQ81" s="6"/>
    </row>
    <row r="82" spans="1:43" hidden="1" outlineLevel="1">
      <c r="A82" s="6" t="s">
        <v>528</v>
      </c>
      <c r="B82" s="6" t="s">
        <v>515</v>
      </c>
      <c r="C82" s="6"/>
      <c r="D82" s="15">
        <f>'qtrP&amp;L'!AT11</f>
        <v>2258.174</v>
      </c>
      <c r="E82" s="6"/>
      <c r="F82" s="15">
        <f>'qtrP&amp;L'!AT22</f>
        <v>1702.298</v>
      </c>
      <c r="G82" s="6"/>
      <c r="H82" s="15">
        <f>work!AP11</f>
        <v>1690.933</v>
      </c>
      <c r="I82" s="6"/>
      <c r="J82" s="15">
        <f>AVERAGE(H81:H82)</f>
        <v>1625.624</v>
      </c>
      <c r="K82" s="6"/>
      <c r="L82" s="23">
        <f>(D82/D75-1)*100</f>
        <v>7.386305544234939</v>
      </c>
      <c r="M82" s="70"/>
      <c r="N82" s="23">
        <f>(H82/H75-1)*100</f>
        <v>5.4632239345515865</v>
      </c>
      <c r="O82" s="70"/>
      <c r="P82" s="23">
        <f>(H82/H81-1)*100</f>
        <v>8.3712583677013832</v>
      </c>
      <c r="Q82" s="70"/>
      <c r="R82" s="20">
        <f>F82/J82</f>
        <v>1.0471658882988932</v>
      </c>
      <c r="S82" s="6"/>
      <c r="T82" s="20">
        <f>F83/H82</f>
        <v>1.0690831629638786</v>
      </c>
      <c r="U82" s="6"/>
      <c r="V82" s="6">
        <f>qtrSales!J83</f>
        <v>1407</v>
      </c>
      <c r="W82" s="6"/>
      <c r="X82" s="16">
        <f>H82/V82</f>
        <v>1.2018002842928217</v>
      </c>
      <c r="Y82" s="6"/>
      <c r="Z82" s="47">
        <f>(X82/X75-1)*100</f>
        <v>-3.4565512240920748</v>
      </c>
      <c r="AA82" s="70"/>
      <c r="AB82" s="71">
        <f>qtrSales!Z83</f>
        <v>41.548000000000002</v>
      </c>
      <c r="AC82" s="6"/>
      <c r="AD82" s="76">
        <f>H82/AB82</f>
        <v>40.698300760566092</v>
      </c>
      <c r="AE82" s="6"/>
      <c r="AF82" s="47">
        <f>(AD82/AD75-1)*100</f>
        <v>-2.9843935020082646</v>
      </c>
      <c r="AG82" s="70"/>
      <c r="AH82" s="89">
        <f>J82/(F82/(365/4))</f>
        <v>87.13996609289326</v>
      </c>
      <c r="AI82" s="134">
        <f>((F82-('yrP&amp;L'!$L$11/4))/J82)</f>
        <v>0.98709664719516932</v>
      </c>
      <c r="AJ82" s="117"/>
      <c r="AK82" s="89"/>
      <c r="AL82" s="6"/>
      <c r="AM82" s="89">
        <f>+H82*0.9</f>
        <v>1521.8397</v>
      </c>
      <c r="AN82" s="15">
        <f>AVERAGE(AM81:AM82)</f>
        <v>1463.0616</v>
      </c>
      <c r="AO82" s="6"/>
      <c r="AP82" s="121">
        <f>+F82/AN82</f>
        <v>1.163517653665437</v>
      </c>
      <c r="AQ82" s="6"/>
    </row>
    <row r="83" spans="1:43" hidden="1" outlineLevel="1">
      <c r="A83" s="6" t="s">
        <v>529</v>
      </c>
      <c r="B83" s="6" t="s">
        <v>516</v>
      </c>
      <c r="C83" s="6"/>
      <c r="D83" s="15">
        <f>'qtrP&amp;L'!AT12</f>
        <v>2461.4110000000001</v>
      </c>
      <c r="E83" s="6"/>
      <c r="F83" s="15">
        <f>'qtrP&amp;L'!AT23</f>
        <v>1807.748</v>
      </c>
      <c r="G83" s="6"/>
      <c r="H83" s="15">
        <f>work!AP12</f>
        <v>1949.73</v>
      </c>
      <c r="I83" s="6"/>
      <c r="J83" s="15">
        <f>AVERAGE(H82:H83)</f>
        <v>1820.3315</v>
      </c>
      <c r="K83" s="6"/>
      <c r="L83" s="23">
        <f>(D83/D76-1)*100</f>
        <v>10.127585284292895</v>
      </c>
      <c r="M83" s="70"/>
      <c r="N83" s="23">
        <f>(H83/H76-1)*100</f>
        <v>16.222496161146015</v>
      </c>
      <c r="O83" s="70"/>
      <c r="P83" s="23">
        <f>(H83/H82-1)*100</f>
        <v>15.304982515569797</v>
      </c>
      <c r="Q83" s="70"/>
      <c r="R83" s="20">
        <f>F83/J83</f>
        <v>0.99308724811936733</v>
      </c>
      <c r="S83" s="6"/>
      <c r="T83" s="20">
        <f>F84/H83</f>
        <v>1.0894010965620882</v>
      </c>
      <c r="U83" s="6"/>
      <c r="V83" s="6">
        <f>qtrSales!J84</f>
        <v>1466</v>
      </c>
      <c r="W83" s="6"/>
      <c r="X83" s="16">
        <f>H83/V83</f>
        <v>1.3299658935879946</v>
      </c>
      <c r="Y83" s="6"/>
      <c r="Z83" s="47">
        <f>(X83/X76-1)*100</f>
        <v>5.599157494301843</v>
      </c>
      <c r="AA83" s="70"/>
      <c r="AB83" s="71">
        <f>qtrSales!Z84</f>
        <v>43.182000000000009</v>
      </c>
      <c r="AC83" s="6"/>
      <c r="AD83" s="76">
        <f>H83/AB83</f>
        <v>45.151451993886333</v>
      </c>
      <c r="AE83" s="6"/>
      <c r="AF83" s="47">
        <f>(AD83/AD76-1)*100</f>
        <v>6.1080007562646532</v>
      </c>
      <c r="AG83" s="70"/>
      <c r="AH83" s="89">
        <f>J83/(F83/(365/4))</f>
        <v>91.885179447024697</v>
      </c>
      <c r="AI83" s="134">
        <f>((F83-('yrP&amp;L'!$L$11/4))/J83)</f>
        <v>0.93944317285065937</v>
      </c>
      <c r="AJ83" s="117"/>
      <c r="AK83" s="89"/>
      <c r="AL83" s="6"/>
      <c r="AM83" s="89">
        <f>+H83*0.9</f>
        <v>1754.7570000000001</v>
      </c>
      <c r="AN83" s="15">
        <f>AVERAGE(AM82:AM83)</f>
        <v>1638.29835</v>
      </c>
      <c r="AO83" s="6"/>
      <c r="AP83" s="121">
        <f>+F83/AN83</f>
        <v>1.103430275688186</v>
      </c>
      <c r="AQ83" s="6"/>
    </row>
    <row r="84" spans="1:43" hidden="1" outlineLevel="1">
      <c r="A84" s="6" t="s">
        <v>530</v>
      </c>
      <c r="B84" s="6" t="s">
        <v>517</v>
      </c>
      <c r="C84" s="6"/>
      <c r="D84" s="19">
        <f>'qtrP&amp;L'!AT13</f>
        <v>2751.3049999999998</v>
      </c>
      <c r="E84" s="6"/>
      <c r="F84" s="19">
        <f>'qtrP&amp;L'!AT24</f>
        <v>2124.038</v>
      </c>
      <c r="G84" s="6"/>
      <c r="H84" s="15">
        <f>work!AP13</f>
        <v>1452.877</v>
      </c>
      <c r="I84" s="6"/>
      <c r="J84" s="19">
        <f>AVERAGE(H83:H84)</f>
        <v>1701.3035</v>
      </c>
      <c r="K84" s="6"/>
      <c r="L84" s="46">
        <f>(D84/D77-1)*100</f>
        <v>8.8790930993107651</v>
      </c>
      <c r="M84" s="70"/>
      <c r="N84" s="47">
        <f>(H84/H77-1)*100</f>
        <v>18.159756080700262</v>
      </c>
      <c r="O84" s="70"/>
      <c r="P84" s="23">
        <f>(H84/H83-1)*100</f>
        <v>-25.483169464489961</v>
      </c>
      <c r="Q84" s="70"/>
      <c r="R84" s="20">
        <f>F84/J84</f>
        <v>1.2484768296779498</v>
      </c>
      <c r="S84" s="6"/>
      <c r="T84" s="20">
        <f>F88/H84</f>
        <v>1.1608801020320372</v>
      </c>
      <c r="U84" s="6"/>
      <c r="V84" s="6">
        <f>qtrSales!J85</f>
        <v>1493</v>
      </c>
      <c r="W84" s="6"/>
      <c r="X84" s="16">
        <f>H84/V84</f>
        <v>0.97312592096450101</v>
      </c>
      <c r="Y84" s="6"/>
      <c r="Z84" s="47">
        <f>(X84/X77-1)*100</f>
        <v>7.396375754527984</v>
      </c>
      <c r="AA84" s="70"/>
      <c r="AB84" s="71">
        <f>qtrSales!Z85</f>
        <v>43.978999999999999</v>
      </c>
      <c r="AC84" s="6"/>
      <c r="AD84" s="76">
        <f>H84/AB84</f>
        <v>33.035698856272312</v>
      </c>
      <c r="AE84" s="6"/>
      <c r="AF84" s="47">
        <f>(AD84/AD77-1)*100</f>
        <v>7.9125628818601301</v>
      </c>
      <c r="AG84" s="70"/>
      <c r="AH84" s="89">
        <f>J84/(F84/(365/4))</f>
        <v>73.089061671683837</v>
      </c>
      <c r="AI84" s="134">
        <f>((F84-('yrP&amp;L'!$L$11/4))/J84)</f>
        <v>1.1910796633287359</v>
      </c>
      <c r="AJ84" s="137"/>
      <c r="AK84" s="89"/>
      <c r="AL84" s="6"/>
      <c r="AM84" s="89">
        <f>+H84*0.9</f>
        <v>1307.5893000000001</v>
      </c>
      <c r="AN84" s="19">
        <f>AVERAGE(AM83:AM84)</f>
        <v>1531.1731500000001</v>
      </c>
      <c r="AO84" s="6"/>
      <c r="AP84" s="121">
        <f>+F84/AN84</f>
        <v>1.3871964774199443</v>
      </c>
      <c r="AQ84" s="6"/>
    </row>
    <row r="85" spans="1:43" hidden="1" outlineLevel="1">
      <c r="A85" s="6"/>
      <c r="B85" s="6" t="s">
        <v>531</v>
      </c>
      <c r="C85" s="6"/>
      <c r="D85" s="14">
        <f>SUM(D81:D84)</f>
        <v>9579.0059999999994</v>
      </c>
      <c r="E85" s="6"/>
      <c r="F85" s="14">
        <f>SUM(F81:F84)</f>
        <v>7188.1239999999998</v>
      </c>
      <c r="G85" s="6"/>
      <c r="H85" s="6"/>
      <c r="I85" s="6"/>
      <c r="J85" s="14">
        <f>AVERAGE(J81:J84)</f>
        <v>1691.5521250000002</v>
      </c>
      <c r="K85" s="6"/>
      <c r="L85" s="23">
        <f>(D85/D78-1)*100</f>
        <v>8.9099270330096125</v>
      </c>
      <c r="M85" s="70"/>
      <c r="N85" s="6"/>
      <c r="O85" s="70"/>
      <c r="P85" s="6"/>
      <c r="Q85" s="70"/>
      <c r="R85" s="48">
        <f>F85/J85</f>
        <v>4.2494250657513728</v>
      </c>
      <c r="S85" s="45" t="s">
        <v>598</v>
      </c>
      <c r="T85" s="20"/>
      <c r="U85" s="6"/>
      <c r="V85" s="6"/>
      <c r="W85" s="6"/>
      <c r="X85" s="6"/>
      <c r="Y85" s="6"/>
      <c r="Z85" s="6"/>
      <c r="AA85" s="70"/>
      <c r="AB85" s="71"/>
      <c r="AC85" s="6"/>
      <c r="AD85" s="6"/>
      <c r="AE85" s="6"/>
      <c r="AF85" s="6"/>
      <c r="AG85" s="70"/>
      <c r="AH85" s="6"/>
      <c r="AI85" s="135">
        <f>((F85-('yrP&amp;L'!$L$11))/J85)</f>
        <v>4.0185128791109515</v>
      </c>
      <c r="AJ85" s="136" t="s">
        <v>598</v>
      </c>
      <c r="AK85" s="6"/>
      <c r="AL85" s="6"/>
      <c r="AM85" s="6"/>
      <c r="AN85" s="14">
        <f>AVERAGE(AN81:AN84)</f>
        <v>1471.9972499999999</v>
      </c>
      <c r="AO85" s="6"/>
      <c r="AP85" s="48">
        <f>+F85/AN85</f>
        <v>4.8832455359546358</v>
      </c>
      <c r="AQ85" s="45" t="s">
        <v>598</v>
      </c>
    </row>
    <row r="86" spans="1:43" hidden="1" outlineLevel="1">
      <c r="A86" s="6"/>
      <c r="B86" s="6"/>
      <c r="C86" s="6"/>
      <c r="D86" s="6"/>
      <c r="E86" s="6"/>
      <c r="F86" s="6"/>
      <c r="G86" s="6"/>
      <c r="H86" s="6"/>
      <c r="I86" s="6"/>
      <c r="J86" s="6"/>
      <c r="K86" s="6"/>
      <c r="L86" s="6"/>
      <c r="M86" s="70"/>
      <c r="N86" s="6"/>
      <c r="O86" s="70"/>
      <c r="P86" s="6"/>
      <c r="Q86" s="70"/>
      <c r="R86" s="6"/>
      <c r="S86" s="6"/>
      <c r="T86" s="20"/>
      <c r="U86" s="6"/>
      <c r="V86" s="6"/>
      <c r="W86" s="6"/>
      <c r="X86" s="6"/>
      <c r="Y86" s="6"/>
      <c r="Z86" s="6"/>
      <c r="AA86" s="70"/>
      <c r="AB86" s="71"/>
      <c r="AC86" s="6"/>
      <c r="AD86" s="6"/>
      <c r="AE86" s="6"/>
      <c r="AF86" s="6"/>
      <c r="AG86" s="70"/>
      <c r="AH86" s="6"/>
      <c r="AI86" s="6"/>
      <c r="AJ86" s="6"/>
      <c r="AK86" s="6"/>
      <c r="AL86" s="6"/>
      <c r="AM86" s="6"/>
      <c r="AN86" s="6"/>
      <c r="AO86" s="6"/>
      <c r="AP86" s="6"/>
      <c r="AQ86" s="6"/>
    </row>
    <row r="87" spans="1:43" hidden="1" outlineLevel="1" collapsed="1">
      <c r="A87" s="6"/>
      <c r="B87" s="40">
        <f>B80+1</f>
        <v>2001</v>
      </c>
      <c r="C87" s="6"/>
      <c r="D87" s="6"/>
      <c r="E87" s="6"/>
      <c r="F87" s="6"/>
      <c r="G87" s="6"/>
      <c r="H87" s="6"/>
      <c r="I87" s="6"/>
      <c r="J87" s="6"/>
      <c r="K87" s="6"/>
      <c r="L87" s="6"/>
      <c r="M87" s="70"/>
      <c r="N87" s="6"/>
      <c r="O87" s="70"/>
      <c r="P87" s="6"/>
      <c r="Q87" s="70"/>
      <c r="R87" s="6"/>
      <c r="S87" s="6"/>
      <c r="T87" s="20"/>
      <c r="U87" s="6"/>
      <c r="V87" s="6"/>
      <c r="W87" s="6"/>
      <c r="X87" s="6"/>
      <c r="Y87" s="6"/>
      <c r="Z87" s="6"/>
      <c r="AA87" s="70"/>
      <c r="AB87" s="71"/>
      <c r="AC87" s="6"/>
      <c r="AD87" s="6"/>
      <c r="AE87" s="6"/>
      <c r="AF87" s="6"/>
      <c r="AG87" s="70"/>
      <c r="AH87" s="6"/>
      <c r="AI87" s="6"/>
      <c r="AJ87" s="6"/>
      <c r="AK87" s="6"/>
      <c r="AL87" s="6"/>
      <c r="AM87" s="6"/>
      <c r="AN87" s="6"/>
      <c r="AO87" s="6"/>
      <c r="AP87" s="6"/>
      <c r="AQ87" s="6"/>
    </row>
    <row r="88" spans="1:43" hidden="1" outlineLevel="1">
      <c r="A88" s="6" t="s">
        <v>527</v>
      </c>
      <c r="B88" s="6" t="s">
        <v>514</v>
      </c>
      <c r="C88" s="70"/>
      <c r="D88" s="14">
        <f>'qtrP&amp;L'!$AX10</f>
        <v>2270.895</v>
      </c>
      <c r="E88" s="6"/>
      <c r="F88" s="14">
        <f>'qtrP&amp;L'!$AX21</f>
        <v>1686.616</v>
      </c>
      <c r="G88" s="6"/>
      <c r="H88" s="14">
        <f>work!AT10</f>
        <v>1642.749</v>
      </c>
      <c r="I88" s="6"/>
      <c r="J88" s="14">
        <f>AVERAGE(H88,H84)</f>
        <v>1547.8130000000001</v>
      </c>
      <c r="K88" s="6"/>
      <c r="L88" s="23">
        <f>(D88/D81-1)*100</f>
        <v>7.7215390424435926</v>
      </c>
      <c r="M88" s="70" t="s">
        <v>190</v>
      </c>
      <c r="N88" s="23">
        <f>(H88/H81-1)*100</f>
        <v>5.2831639765047456</v>
      </c>
      <c r="O88" s="70" t="s">
        <v>190</v>
      </c>
      <c r="P88" s="23">
        <f>(H88/H84-1)*100</f>
        <v>13.068690604916998</v>
      </c>
      <c r="Q88" s="70" t="s">
        <v>190</v>
      </c>
      <c r="R88" s="20">
        <f>F88/J88</f>
        <v>1.0896768537284542</v>
      </c>
      <c r="S88" s="6" t="s">
        <v>598</v>
      </c>
      <c r="T88" s="20">
        <f>F89/H88</f>
        <v>1.1533740090543352</v>
      </c>
      <c r="U88" s="6"/>
      <c r="V88" s="6">
        <f>qtrSales!J89</f>
        <v>1535</v>
      </c>
      <c r="W88" s="6"/>
      <c r="X88" s="16">
        <f>H88/V88</f>
        <v>1.0701947882736156</v>
      </c>
      <c r="Y88" s="6"/>
      <c r="Z88" s="47">
        <f>(X88/X81-1)*100</f>
        <v>-5.2108582309253855</v>
      </c>
      <c r="AA88" s="70" t="s">
        <v>190</v>
      </c>
      <c r="AB88" s="71">
        <f>qtrSales!Z89</f>
        <v>45.125000000000014</v>
      </c>
      <c r="AC88" s="6"/>
      <c r="AD88" s="75">
        <f>H88/AB88</f>
        <v>36.404409972299156</v>
      </c>
      <c r="AE88" s="6"/>
      <c r="AF88" s="90">
        <f>(AD88/AD81-1)*100</f>
        <v>-4.8123540406994518</v>
      </c>
      <c r="AG88" s="70" t="s">
        <v>190</v>
      </c>
      <c r="AH88" s="89">
        <f>J88/(F88/(365/4))</f>
        <v>83.74042239015877</v>
      </c>
      <c r="AI88" s="134">
        <f>((F88-('yrP&amp;L'!$M$16/4))/J88)</f>
        <v>1.0896768537284542</v>
      </c>
      <c r="AJ88" s="117" t="s">
        <v>598</v>
      </c>
      <c r="AK88" s="89"/>
      <c r="AL88" s="6"/>
      <c r="AM88" s="89">
        <f>+H88*0.9</f>
        <v>1478.4741000000001</v>
      </c>
      <c r="AN88" s="14">
        <f>AVERAGE(AM88,AM84)</f>
        <v>1393.0317</v>
      </c>
      <c r="AO88" s="6"/>
      <c r="AP88" s="121">
        <f>+F88/AN88</f>
        <v>1.2107520596982826</v>
      </c>
      <c r="AQ88" s="6"/>
    </row>
    <row r="89" spans="1:43" hidden="1" outlineLevel="1">
      <c r="A89" s="6" t="s">
        <v>528</v>
      </c>
      <c r="B89" s="6" t="s">
        <v>515</v>
      </c>
      <c r="C89" s="70"/>
      <c r="D89" s="15">
        <f>'qtrP&amp;L'!AX11</f>
        <v>2487.6219999999998</v>
      </c>
      <c r="E89" s="6"/>
      <c r="F89" s="15">
        <f>'qtrP&amp;L'!$AX22</f>
        <v>1894.704</v>
      </c>
      <c r="G89" s="6"/>
      <c r="H89" s="15">
        <f>work!AT11</f>
        <v>1854.626</v>
      </c>
      <c r="I89" s="6"/>
      <c r="J89" s="15">
        <f>AVERAGE(H88:H89)</f>
        <v>1748.6875</v>
      </c>
      <c r="K89" s="6"/>
      <c r="L89" s="23">
        <f>(D89/D82-1)*100</f>
        <v>10.160775918950439</v>
      </c>
      <c r="M89" s="70"/>
      <c r="N89" s="23">
        <f>(H89/H82-1)*100</f>
        <v>9.6806319351505863</v>
      </c>
      <c r="O89" s="70"/>
      <c r="P89" s="23">
        <f>(H89/H88-1)*100</f>
        <v>12.897709875337004</v>
      </c>
      <c r="Q89" s="70"/>
      <c r="R89" s="20">
        <f>F89/J89</f>
        <v>1.0835006254691018</v>
      </c>
      <c r="S89" s="6"/>
      <c r="T89" s="20">
        <f>F90/H89</f>
        <v>1.1107339161642293</v>
      </c>
      <c r="U89" s="6"/>
      <c r="V89" s="6">
        <f>qtrSales!J90</f>
        <v>1559</v>
      </c>
      <c r="W89" s="6"/>
      <c r="X89" s="16">
        <f>H89/V89</f>
        <v>1.1896254008980116</v>
      </c>
      <c r="Y89" s="6"/>
      <c r="Z89" s="47">
        <f>(X89/X82-1)*100</f>
        <v>-1.0130537955375996</v>
      </c>
      <c r="AA89" s="70"/>
      <c r="AB89" s="71">
        <f>qtrSales!Z90</f>
        <v>45.894000000000005</v>
      </c>
      <c r="AC89" s="6"/>
      <c r="AD89" s="76">
        <f>H89/AB89</f>
        <v>40.411077700788766</v>
      </c>
      <c r="AE89" s="6"/>
      <c r="AF89" s="88">
        <f>(AD89/AD82-1)*100</f>
        <v>-0.7057372283602148</v>
      </c>
      <c r="AG89" s="70"/>
      <c r="AH89" s="89">
        <f>J89/(F89/(365/4))</f>
        <v>84.217764028048705</v>
      </c>
      <c r="AI89" s="134">
        <f>((F89-('yrP&amp;L'!$M$16/4))/J89)</f>
        <v>1.0835006254691018</v>
      </c>
      <c r="AJ89" s="117"/>
      <c r="AK89" s="89"/>
      <c r="AL89" s="6"/>
      <c r="AM89" s="89">
        <f>+H89*0.9</f>
        <v>1669.1633999999999</v>
      </c>
      <c r="AN89" s="15">
        <f>AVERAGE(AM88:AM89)</f>
        <v>1573.8187499999999</v>
      </c>
      <c r="AO89" s="6"/>
      <c r="AP89" s="121">
        <f>+F89/AN89</f>
        <v>1.2038895838545576</v>
      </c>
      <c r="AQ89" s="6"/>
    </row>
    <row r="90" spans="1:43" hidden="1" outlineLevel="1">
      <c r="A90" s="6" t="s">
        <v>529</v>
      </c>
      <c r="B90" s="6" t="s">
        <v>516</v>
      </c>
      <c r="C90" s="70"/>
      <c r="D90" s="15">
        <f>'qtrP&amp;L'!AX12</f>
        <v>2741.7689999999998</v>
      </c>
      <c r="E90" s="6"/>
      <c r="F90" s="15">
        <f>'qtrP&amp;L'!$AX23</f>
        <v>2059.9960000000001</v>
      </c>
      <c r="G90" s="6"/>
      <c r="H90" s="15">
        <f>work!AT12</f>
        <v>1990.92</v>
      </c>
      <c r="I90" s="6"/>
      <c r="J90" s="15">
        <f>AVERAGE(H89:H90)</f>
        <v>1922.7730000000001</v>
      </c>
      <c r="K90" s="6"/>
      <c r="L90" s="23">
        <f>(D90/D83-1)*100</f>
        <v>11.390133545352633</v>
      </c>
      <c r="M90" s="70"/>
      <c r="N90" s="23">
        <f>(H90/H83-1)*100</f>
        <v>2.1126002061824023</v>
      </c>
      <c r="O90" s="70"/>
      <c r="P90" s="23">
        <f>(H90/H89-1)*100</f>
        <v>7.3488671031248343</v>
      </c>
      <c r="Q90" s="70"/>
      <c r="R90" s="20">
        <f>F90/J90</f>
        <v>1.0713672388784323</v>
      </c>
      <c r="S90" s="6"/>
      <c r="T90" s="20">
        <f>F91/H90</f>
        <v>1.2464619371948646</v>
      </c>
      <c r="U90" s="6"/>
      <c r="V90" s="6">
        <f>qtrSales!J91</f>
        <v>1638</v>
      </c>
      <c r="W90" s="6"/>
      <c r="X90" s="16">
        <f>H90/V90</f>
        <v>1.2154578754578755</v>
      </c>
      <c r="Y90" s="6"/>
      <c r="Z90" s="47">
        <f>(X90/X83-1)*100</f>
        <v>-8.6098462135144054</v>
      </c>
      <c r="AA90" s="70"/>
      <c r="AB90" s="71">
        <f>qtrSales!Z91</f>
        <v>48.143999999999991</v>
      </c>
      <c r="AC90" s="6"/>
      <c r="AD90" s="76">
        <f>H90/AB90</f>
        <v>41.353439680957138</v>
      </c>
      <c r="AE90" s="6"/>
      <c r="AF90" s="88">
        <f>(AD90/AD83-1)*100</f>
        <v>-8.4117168888465876</v>
      </c>
      <c r="AG90" s="70"/>
      <c r="AH90" s="89">
        <f>J90/(F90/(365/4))</f>
        <v>85.171542202023687</v>
      </c>
      <c r="AI90" s="134">
        <f>((F90-('yrP&amp;L'!$M$16/4))/J90)</f>
        <v>1.0713672388784323</v>
      </c>
      <c r="AJ90" s="117"/>
      <c r="AK90" s="89"/>
      <c r="AL90" s="6"/>
      <c r="AM90" s="89">
        <f>+H90*0.9</f>
        <v>1791.8280000000002</v>
      </c>
      <c r="AN90" s="15">
        <f>AVERAGE(AM89:AM90)</f>
        <v>1730.4956999999999</v>
      </c>
      <c r="AO90" s="6"/>
      <c r="AP90" s="121">
        <f>+F90/AN90</f>
        <v>1.1904080431982582</v>
      </c>
      <c r="AQ90" s="6"/>
    </row>
    <row r="91" spans="1:43" hidden="1" outlineLevel="1">
      <c r="A91" s="6" t="s">
        <v>530</v>
      </c>
      <c r="B91" s="6" t="s">
        <v>517</v>
      </c>
      <c r="C91" s="6"/>
      <c r="D91" s="19">
        <f>'qtrP&amp;L'!AX13</f>
        <v>3208.712</v>
      </c>
      <c r="E91" s="6"/>
      <c r="F91" s="19">
        <f>'qtrP&amp;L'!$AX24</f>
        <v>2481.6060000000002</v>
      </c>
      <c r="G91" s="6"/>
      <c r="H91" s="15">
        <f>work!AT13</f>
        <v>1456.9760000000001</v>
      </c>
      <c r="I91" s="6"/>
      <c r="J91" s="19">
        <f>AVERAGE(H90:H91)</f>
        <v>1723.9480000000001</v>
      </c>
      <c r="K91" s="6"/>
      <c r="L91" s="46">
        <f>(D91/D84-1)*100</f>
        <v>16.62509245612538</v>
      </c>
      <c r="M91" s="70"/>
      <c r="N91" s="47">
        <f>(H91/H84-1)*100</f>
        <v>0.28212987059470507</v>
      </c>
      <c r="O91" s="70"/>
      <c r="P91" s="23">
        <f>(H91/H90-1)*100</f>
        <v>-26.818958069636146</v>
      </c>
      <c r="Q91" s="70"/>
      <c r="R91" s="20">
        <f>F91/J91</f>
        <v>1.4394900542243734</v>
      </c>
      <c r="S91" s="6"/>
      <c r="T91" s="20">
        <f>F95/H91</f>
        <v>1.3650396437552847</v>
      </c>
      <c r="U91" s="6"/>
      <c r="V91" s="6">
        <f>qtrSales!J92</f>
        <v>1665</v>
      </c>
      <c r="W91" s="6"/>
      <c r="X91" s="16">
        <f>H91/V91</f>
        <v>0.87506066066066068</v>
      </c>
      <c r="Y91" s="6"/>
      <c r="Z91" s="47">
        <f>(X91/X84-1)*100</f>
        <v>-10.077345407328608</v>
      </c>
      <c r="AA91" s="70"/>
      <c r="AB91" s="71">
        <f>qtrSales!Z92</f>
        <v>48.988999999999997</v>
      </c>
      <c r="AC91" s="6"/>
      <c r="AD91" s="76">
        <f>H91/AB91</f>
        <v>29.740880605850297</v>
      </c>
      <c r="AE91" s="6"/>
      <c r="AF91" s="47">
        <f>(AD91/AD84-1)*100</f>
        <v>-9.9735085513302124</v>
      </c>
      <c r="AG91" s="70"/>
      <c r="AH91" s="89">
        <f>J91/(F91/(365/4))</f>
        <v>63.390503972024561</v>
      </c>
      <c r="AI91" s="134">
        <f>((F91-('yrP&amp;L'!$M$16/4))/J91)</f>
        <v>1.4394900542243734</v>
      </c>
      <c r="AJ91" s="137"/>
      <c r="AK91" s="89"/>
      <c r="AL91" s="6"/>
      <c r="AM91" s="89">
        <f>+H91*0.9</f>
        <v>1311.2784000000001</v>
      </c>
      <c r="AN91" s="19">
        <f>AVERAGE(AM90:AM91)</f>
        <v>1551.5532000000003</v>
      </c>
      <c r="AO91" s="6"/>
      <c r="AP91" s="121">
        <f>+F91/AN91</f>
        <v>1.5994333935826368</v>
      </c>
      <c r="AQ91" s="6"/>
    </row>
    <row r="92" spans="1:43" hidden="1" outlineLevel="1">
      <c r="A92" s="6"/>
      <c r="B92" s="6" t="s">
        <v>531</v>
      </c>
      <c r="C92" s="6"/>
      <c r="D92" s="14">
        <f>SUM(D88:D91)</f>
        <v>10708.998</v>
      </c>
      <c r="E92" s="6"/>
      <c r="F92" s="14">
        <f>SUM(F88:F91)</f>
        <v>8122.9220000000005</v>
      </c>
      <c r="G92" s="6"/>
      <c r="H92" s="6"/>
      <c r="I92" s="6"/>
      <c r="J92" s="14">
        <f>AVERAGE(J88:J91)</f>
        <v>1735.8053750000001</v>
      </c>
      <c r="K92" s="6"/>
      <c r="L92" s="23">
        <f>(D92/D85-1)*100</f>
        <v>11.796547574978034</v>
      </c>
      <c r="M92" s="70"/>
      <c r="N92" s="6"/>
      <c r="O92" s="70"/>
      <c r="P92" s="6"/>
      <c r="Q92" s="70"/>
      <c r="R92" s="48">
        <f>F92/J92</f>
        <v>4.6796271730636851</v>
      </c>
      <c r="S92" s="45" t="s">
        <v>598</v>
      </c>
      <c r="T92" s="20"/>
      <c r="U92" s="6"/>
      <c r="V92" s="6"/>
      <c r="W92" s="6"/>
      <c r="X92" s="6"/>
      <c r="Y92" s="6"/>
      <c r="Z92" s="6"/>
      <c r="AA92" s="70"/>
      <c r="AB92" s="71"/>
      <c r="AC92" s="6"/>
      <c r="AD92" s="6"/>
      <c r="AE92" s="6"/>
      <c r="AF92" s="6"/>
      <c r="AG92" s="70"/>
      <c r="AH92" s="6"/>
      <c r="AI92" s="135">
        <f>((F92-('yrP&amp;L'!$M$16))/J92)</f>
        <v>4.6796271730636851</v>
      </c>
      <c r="AJ92" s="136" t="s">
        <v>598</v>
      </c>
      <c r="AK92" s="6"/>
      <c r="AL92" s="6"/>
      <c r="AM92" s="6"/>
      <c r="AN92" s="14">
        <f>AVERAGE(AN88:AN91)</f>
        <v>1562.2248374999999</v>
      </c>
      <c r="AO92" s="6"/>
      <c r="AP92" s="48">
        <f>+F92/AN92</f>
        <v>5.1995857478485394</v>
      </c>
      <c r="AQ92" s="45" t="s">
        <v>598</v>
      </c>
    </row>
    <row r="93" spans="1:43" hidden="1" outlineLevel="1">
      <c r="A93" s="6"/>
      <c r="B93" s="6"/>
      <c r="C93" s="6"/>
      <c r="D93" s="6"/>
      <c r="E93" s="6"/>
      <c r="F93" s="6"/>
      <c r="G93" s="6"/>
      <c r="H93" s="6"/>
      <c r="I93" s="6"/>
      <c r="J93" s="6"/>
      <c r="K93" s="6"/>
      <c r="L93" s="6"/>
      <c r="M93" s="70"/>
      <c r="N93" s="6"/>
      <c r="O93" s="70"/>
      <c r="P93" s="6"/>
      <c r="Q93" s="70"/>
      <c r="R93" s="6"/>
      <c r="S93" s="6"/>
      <c r="T93" s="20"/>
      <c r="U93" s="6"/>
      <c r="V93" s="6"/>
      <c r="W93" s="6"/>
      <c r="X93" s="6"/>
      <c r="Y93" s="6"/>
      <c r="Z93" s="6"/>
      <c r="AA93" s="70"/>
      <c r="AB93" s="71"/>
      <c r="AC93" s="6"/>
      <c r="AD93" s="6"/>
      <c r="AE93" s="6"/>
      <c r="AF93" s="6"/>
      <c r="AG93" s="70"/>
      <c r="AH93" s="6"/>
      <c r="AI93" s="6"/>
      <c r="AJ93" s="6"/>
      <c r="AK93" s="6"/>
      <c r="AL93" s="6"/>
      <c r="AM93" s="6"/>
      <c r="AN93" s="6"/>
      <c r="AO93" s="6"/>
      <c r="AP93" s="6"/>
      <c r="AQ93" s="6"/>
    </row>
    <row r="94" spans="1:43" hidden="1" outlineLevel="1">
      <c r="A94" s="6"/>
      <c r="B94" s="40">
        <f>+B87+1</f>
        <v>2002</v>
      </c>
      <c r="C94" s="6"/>
      <c r="D94" s="6"/>
      <c r="E94" s="6"/>
      <c r="F94" s="6"/>
      <c r="G94" s="6"/>
      <c r="H94" s="6"/>
      <c r="I94" s="6"/>
      <c r="J94" s="6"/>
      <c r="K94" s="6"/>
      <c r="L94" s="6"/>
      <c r="M94" s="70"/>
      <c r="N94" s="6"/>
      <c r="O94" s="70"/>
      <c r="P94" s="6"/>
      <c r="Q94" s="70"/>
      <c r="R94" s="6"/>
      <c r="S94" s="6"/>
      <c r="T94" s="20"/>
      <c r="U94" s="6"/>
      <c r="V94" s="6"/>
      <c r="W94" s="6"/>
      <c r="X94" s="6"/>
      <c r="Y94" s="6"/>
      <c r="Z94" s="6"/>
      <c r="AA94" s="70"/>
      <c r="AB94" s="71"/>
      <c r="AC94" s="6"/>
      <c r="AD94" s="6"/>
      <c r="AE94" s="6"/>
      <c r="AF94" s="6"/>
      <c r="AG94" s="70"/>
      <c r="AH94" s="6"/>
      <c r="AI94" s="6"/>
      <c r="AJ94" s="6"/>
      <c r="AK94" s="6"/>
      <c r="AL94" s="6"/>
      <c r="AM94" s="6"/>
      <c r="AN94" s="6"/>
      <c r="AO94" s="6"/>
      <c r="AP94" s="6"/>
      <c r="AQ94" s="6"/>
    </row>
    <row r="95" spans="1:43" hidden="1" outlineLevel="1">
      <c r="A95" s="6" t="s">
        <v>527</v>
      </c>
      <c r="B95" s="6" t="s">
        <v>514</v>
      </c>
      <c r="C95" s="70"/>
      <c r="D95" s="14">
        <f>'qtrP&amp;L'!$BB$10</f>
        <v>2665.6869999999999</v>
      </c>
      <c r="E95" s="6"/>
      <c r="F95" s="14">
        <f>'qtrP&amp;L'!$BB$21</f>
        <v>1988.83</v>
      </c>
      <c r="G95" s="6"/>
      <c r="H95" s="14">
        <f>work!AX$10</f>
        <v>1528.7660000000001</v>
      </c>
      <c r="I95" s="6"/>
      <c r="J95" s="14">
        <f>AVERAGE(H95,H91)</f>
        <v>1492.8710000000001</v>
      </c>
      <c r="K95" s="6"/>
      <c r="L95" s="23">
        <f>(D95/D88-1)*100</f>
        <v>17.384863677096462</v>
      </c>
      <c r="M95" s="70" t="s">
        <v>190</v>
      </c>
      <c r="N95" s="23">
        <f>(H95/H88-1)*100</f>
        <v>-6.938552389926878</v>
      </c>
      <c r="O95" s="70" t="s">
        <v>190</v>
      </c>
      <c r="P95" s="23">
        <f>(H95/H91-1)*100</f>
        <v>4.9273289333523707</v>
      </c>
      <c r="Q95" s="70" t="s">
        <v>190</v>
      </c>
      <c r="R95" s="20">
        <f>F95/J95</f>
        <v>1.3322182559645139</v>
      </c>
      <c r="S95" s="6" t="s">
        <v>598</v>
      </c>
      <c r="T95" s="20">
        <f>F96/H95</f>
        <v>1.3597476657644139</v>
      </c>
      <c r="U95" s="6"/>
      <c r="V95" s="6">
        <f>qtrSales!J96</f>
        <v>1720</v>
      </c>
      <c r="W95" s="6"/>
      <c r="X95" s="16">
        <f>H95/V95</f>
        <v>0.88881744186046518</v>
      </c>
      <c r="Y95" s="6"/>
      <c r="Z95" s="47">
        <f>(X95/X88-1)*100</f>
        <v>-16.948068557289385</v>
      </c>
      <c r="AA95" s="70" t="s">
        <v>190</v>
      </c>
      <c r="AB95" s="71">
        <f>qtrSales!Z96</f>
        <v>50.465999999999994</v>
      </c>
      <c r="AC95" s="6"/>
      <c r="AD95" s="75">
        <f>H95/AB95</f>
        <v>30.292989339357195</v>
      </c>
      <c r="AE95" s="6"/>
      <c r="AF95" s="105">
        <f>(AD95/AD88-1)*100</f>
        <v>-16.787583255963391</v>
      </c>
      <c r="AG95" s="70" t="s">
        <v>190</v>
      </c>
      <c r="AH95" s="89">
        <f>J95/(F95/(365/4))</f>
        <v>68.494782736583829</v>
      </c>
      <c r="AI95" s="134">
        <f>((F95-('yrP&amp;L'!$N$16/4))/J95)</f>
        <v>1.2153461350645836</v>
      </c>
      <c r="AJ95" s="117" t="s">
        <v>598</v>
      </c>
      <c r="AK95" s="89"/>
      <c r="AL95" s="6"/>
      <c r="AM95" s="89">
        <f>+H95*0.9</f>
        <v>1375.8894</v>
      </c>
      <c r="AN95" s="14">
        <f>AVERAGE(AM95,AM91)</f>
        <v>1343.5839000000001</v>
      </c>
      <c r="AO95" s="6"/>
      <c r="AP95" s="121">
        <f>+F95/AN95</f>
        <v>1.4802425066272376</v>
      </c>
      <c r="AQ95" s="6"/>
    </row>
    <row r="96" spans="1:43" hidden="1" outlineLevel="1">
      <c r="A96" s="6" t="s">
        <v>528</v>
      </c>
      <c r="B96" s="6" t="s">
        <v>515</v>
      </c>
      <c r="C96" s="6"/>
      <c r="D96" s="15">
        <f>'qtrP&amp;L'!$BB$11</f>
        <v>2765.0889999999999</v>
      </c>
      <c r="E96" s="6"/>
      <c r="F96" s="15">
        <f>'qtrP&amp;L'!$BB$22</f>
        <v>2078.7359999999999</v>
      </c>
      <c r="G96" s="6"/>
      <c r="H96" s="15">
        <f>work!AX$11</f>
        <v>1771.3779999999999</v>
      </c>
      <c r="I96" s="6"/>
      <c r="J96" s="15">
        <f>AVERAGE(H95:H96)</f>
        <v>1650.0720000000001</v>
      </c>
      <c r="K96" s="6"/>
      <c r="L96" s="23">
        <f>(D96/D89-1)*100</f>
        <v>11.153905215503013</v>
      </c>
      <c r="M96" s="70"/>
      <c r="N96" s="23">
        <f>(H96/H89-1)*100</f>
        <v>-4.4886677960947363</v>
      </c>
      <c r="O96" s="70"/>
      <c r="P96" s="23">
        <f>(H96/H95-1)*100</f>
        <v>15.869793022607759</v>
      </c>
      <c r="Q96" s="70"/>
      <c r="R96" s="20">
        <f>F96/J96</f>
        <v>1.2597850275624334</v>
      </c>
      <c r="S96" s="6"/>
      <c r="T96" s="20">
        <f>F97/H96</f>
        <v>1.2928556186200799</v>
      </c>
      <c r="U96" s="6"/>
      <c r="V96" s="6">
        <f>qtrSales!J97</f>
        <v>1749</v>
      </c>
      <c r="W96" s="6"/>
      <c r="X96" s="16">
        <f>H96/V96</f>
        <v>1.0127947398513435</v>
      </c>
      <c r="Y96" s="6"/>
      <c r="Z96" s="47">
        <f>(X96/X89-1)*100</f>
        <v>-14.864398567245129</v>
      </c>
      <c r="AA96" s="70"/>
      <c r="AB96" s="71">
        <f>qtrSales!Z97</f>
        <v>51.216000000000001</v>
      </c>
      <c r="AC96" s="6"/>
      <c r="AD96" s="76">
        <f>H96/AB96</f>
        <v>34.58641830677913</v>
      </c>
      <c r="AE96" s="6"/>
      <c r="AF96" s="105">
        <f>(AD96/AD89-1)*100</f>
        <v>-14.413521552522091</v>
      </c>
      <c r="AG96" s="70"/>
      <c r="AH96" s="89">
        <f>J96/(F96/(365/4))</f>
        <v>72.432992934167686</v>
      </c>
      <c r="AI96" s="134">
        <f>((F96-('yrP&amp;L'!$N$16/4))/J96)</f>
        <v>1.1540472173335465</v>
      </c>
      <c r="AJ96" s="117"/>
      <c r="AK96" s="89"/>
      <c r="AL96" s="6"/>
      <c r="AM96" s="89">
        <f>+H96*0.9</f>
        <v>1594.2402</v>
      </c>
      <c r="AN96" s="15">
        <f>AVERAGE(AM95:AM96)</f>
        <v>1485.0648000000001</v>
      </c>
      <c r="AO96" s="6"/>
      <c r="AP96" s="121">
        <f>+F96/AN96</f>
        <v>1.3997611417360372</v>
      </c>
      <c r="AQ96" s="6"/>
    </row>
    <row r="97" spans="1:43" hidden="1" outlineLevel="1">
      <c r="A97" s="6" t="s">
        <v>529</v>
      </c>
      <c r="B97" s="6" t="s">
        <v>516</v>
      </c>
      <c r="C97" s="6"/>
      <c r="D97" s="15">
        <f>'qtrP&amp;L'!$BB$12</f>
        <v>3044.95</v>
      </c>
      <c r="E97" s="6"/>
      <c r="F97" s="15">
        <f>'qtrP&amp;L'!$BB$23</f>
        <v>2290.136</v>
      </c>
      <c r="G97" s="6"/>
      <c r="H97" s="15">
        <f>work!AX$12</f>
        <v>2001.5139999999999</v>
      </c>
      <c r="I97" s="6"/>
      <c r="J97" s="15">
        <f>AVERAGE(H96:H97)</f>
        <v>1886.4459999999999</v>
      </c>
      <c r="K97" s="6"/>
      <c r="L97" s="23">
        <f>(D97/D90-1)*100</f>
        <v>11.057860819055154</v>
      </c>
      <c r="M97" s="70"/>
      <c r="N97" s="23">
        <f>(H97/H90-1)*100</f>
        <v>0.53211580575813766</v>
      </c>
      <c r="O97" s="70"/>
      <c r="P97" s="23">
        <f>(H97/H96-1)*100</f>
        <v>12.991919285437659</v>
      </c>
      <c r="Q97" s="70"/>
      <c r="R97" s="20">
        <f>F97/J97</f>
        <v>1.2139949937607544</v>
      </c>
      <c r="S97" s="6"/>
      <c r="T97" s="20">
        <f>F98/H97</f>
        <v>1.3599090488500205</v>
      </c>
      <c r="U97" s="6"/>
      <c r="V97" s="6">
        <f>qtrSales!J98</f>
        <v>1826</v>
      </c>
      <c r="W97" s="6"/>
      <c r="X97" s="16">
        <f>H97/V97</f>
        <v>1.0961193866374588</v>
      </c>
      <c r="Y97" s="6"/>
      <c r="Z97" s="47">
        <f>(X97/X90-1)*100</f>
        <v>-9.8183977602235508</v>
      </c>
      <c r="AA97" s="70"/>
      <c r="AB97" s="71">
        <f>qtrSales!Z98</f>
        <v>53.49</v>
      </c>
      <c r="AC97" s="6"/>
      <c r="AD97" s="76">
        <f>H97/AB97</f>
        <v>37.418470742194799</v>
      </c>
      <c r="AE97" s="6"/>
      <c r="AF97" s="105">
        <f>(AD97/AD90-1)*100</f>
        <v>-9.5154574060119952</v>
      </c>
      <c r="AG97" s="70"/>
      <c r="AH97" s="89">
        <f>J97/(F97/(365/4))</f>
        <v>75.165054608110609</v>
      </c>
      <c r="AI97" s="134">
        <f>((F97-('yrP&amp;L'!$N$16/4))/J97)</f>
        <v>1.1215062609796411</v>
      </c>
      <c r="AJ97" s="117"/>
      <c r="AK97" s="89"/>
      <c r="AL97" s="6"/>
      <c r="AM97" s="89">
        <f>+H97*0.9</f>
        <v>1801.3625999999999</v>
      </c>
      <c r="AN97" s="15">
        <f>AVERAGE(AM96:AM97)</f>
        <v>1697.8013999999998</v>
      </c>
      <c r="AO97" s="6"/>
      <c r="AP97" s="121">
        <f>+F97/AN97</f>
        <v>1.3488833264008382</v>
      </c>
      <c r="AQ97" s="6"/>
    </row>
    <row r="98" spans="1:43" hidden="1" outlineLevel="1">
      <c r="A98" s="6" t="s">
        <v>530</v>
      </c>
      <c r="B98" s="6" t="s">
        <v>517</v>
      </c>
      <c r="C98" s="6"/>
      <c r="D98" s="19">
        <f>'qtrP&amp;L'!$BB$13</f>
        <v>3505.4810000000002</v>
      </c>
      <c r="E98" s="6"/>
      <c r="F98" s="19">
        <f>'qtrP&amp;L'!$BB$24</f>
        <v>2721.877</v>
      </c>
      <c r="G98" s="6"/>
      <c r="H98" s="15">
        <f>bal!AD$12</f>
        <v>1563.45</v>
      </c>
      <c r="I98" s="6"/>
      <c r="J98" s="19">
        <f>AVERAGE(H97:H98)</f>
        <v>1782.482</v>
      </c>
      <c r="K98" s="6"/>
      <c r="L98" s="46">
        <f>(D98/D91-1)*100</f>
        <v>9.2488512524651725</v>
      </c>
      <c r="M98" s="70"/>
      <c r="N98" s="47">
        <f>(H98/H91-1)*100</f>
        <v>7.3078760391385833</v>
      </c>
      <c r="O98" s="70"/>
      <c r="P98" s="23">
        <f>(H98/H97-1)*100</f>
        <v>-21.886631819712477</v>
      </c>
      <c r="Q98" s="70"/>
      <c r="R98" s="20">
        <f>F98/J98</f>
        <v>1.5270151395638216</v>
      </c>
      <c r="S98" s="6"/>
      <c r="T98" s="20">
        <f>F102/H98</f>
        <v>1.3560870723933183</v>
      </c>
      <c r="U98" s="6"/>
      <c r="V98" s="6">
        <f>qtrSales!J99</f>
        <v>1843</v>
      </c>
      <c r="W98" s="6"/>
      <c r="X98" s="16">
        <f>H98/V98</f>
        <v>0.84831795984807379</v>
      </c>
      <c r="Y98" s="6"/>
      <c r="Z98" s="47">
        <f>(X98/X91-1)*100</f>
        <v>-3.0560967958948693</v>
      </c>
      <c r="AA98" s="70"/>
      <c r="AB98" s="71">
        <f>qtrSales!Z99</f>
        <v>53.826000000000001</v>
      </c>
      <c r="AC98" s="6"/>
      <c r="AD98" s="76">
        <f>H98/AB98</f>
        <v>29.046371641957418</v>
      </c>
      <c r="AE98" s="6"/>
      <c r="AF98" s="105">
        <f>(AD98/AD91-1)*100</f>
        <v>-2.3351997309597583</v>
      </c>
      <c r="AG98" s="70"/>
      <c r="AH98" s="89">
        <f>J98/(F98/(365/4))</f>
        <v>59.757102359878857</v>
      </c>
      <c r="AI98" s="134">
        <f>((F98-('yrP&amp;L'!$N$16/4))/J98)</f>
        <v>1.4291319631839201</v>
      </c>
      <c r="AJ98" s="137"/>
      <c r="AK98" s="89"/>
      <c r="AL98" s="6"/>
      <c r="AM98" s="89">
        <f>+H98*0.9</f>
        <v>1407.105</v>
      </c>
      <c r="AN98" s="19">
        <f>AVERAGE(AM97:AM98)</f>
        <v>1604.2338</v>
      </c>
      <c r="AO98" s="6"/>
      <c r="AP98" s="121">
        <f>+F98/AN98</f>
        <v>1.6966834884042463</v>
      </c>
      <c r="AQ98" s="6"/>
    </row>
    <row r="99" spans="1:43" hidden="1" outlineLevel="1">
      <c r="A99" s="6"/>
      <c r="B99" s="6" t="s">
        <v>531</v>
      </c>
      <c r="C99" s="6"/>
      <c r="D99" s="14">
        <f>SUM(D95:D98)</f>
        <v>11981.206999999999</v>
      </c>
      <c r="E99" s="6"/>
      <c r="F99" s="14">
        <f>SUM(F95:F98)</f>
        <v>9079.5789999999997</v>
      </c>
      <c r="G99" s="6"/>
      <c r="H99" s="6"/>
      <c r="I99" s="6"/>
      <c r="J99" s="14">
        <f>AVERAGE(J95:J98)</f>
        <v>1702.96775</v>
      </c>
      <c r="K99" s="6"/>
      <c r="L99" s="23">
        <f>(D99/D92-1)*100</f>
        <v>11.879813592270704</v>
      </c>
      <c r="M99" s="70"/>
      <c r="N99" s="6"/>
      <c r="O99" s="70"/>
      <c r="P99" s="6"/>
      <c r="Q99" s="70"/>
      <c r="R99" s="48">
        <f>F99/J99</f>
        <v>5.3316212241834879</v>
      </c>
      <c r="S99" s="45" t="s">
        <v>598</v>
      </c>
      <c r="T99" s="20"/>
      <c r="U99" s="6"/>
      <c r="V99" s="6"/>
      <c r="W99" s="6"/>
      <c r="X99" s="6"/>
      <c r="Y99" s="6"/>
      <c r="Z99" s="6"/>
      <c r="AA99" s="70"/>
      <c r="AB99" s="6"/>
      <c r="AC99" s="6"/>
      <c r="AD99" s="6"/>
      <c r="AE99" s="6"/>
      <c r="AF99" s="6"/>
      <c r="AG99" s="70"/>
      <c r="AH99" s="6"/>
      <c r="AI99" s="135">
        <f>((F99-('yrP&amp;L'!$N$16))/J99)</f>
        <v>4.9218072391564665</v>
      </c>
      <c r="AJ99" s="136" t="s">
        <v>598</v>
      </c>
      <c r="AK99" s="6"/>
      <c r="AL99" s="6"/>
      <c r="AM99" s="6"/>
      <c r="AN99" s="14">
        <f>AVERAGE(AN95:AN98)</f>
        <v>1532.670975</v>
      </c>
      <c r="AO99" s="6"/>
      <c r="AP99" s="48">
        <f>+F99/AN99</f>
        <v>5.9240235824260976</v>
      </c>
      <c r="AQ99" s="45" t="s">
        <v>598</v>
      </c>
    </row>
    <row r="100" spans="1:43" hidden="1" outlineLevel="1">
      <c r="A100" s="6"/>
      <c r="B100" s="6"/>
      <c r="C100" s="6"/>
      <c r="D100" s="6"/>
      <c r="E100" s="6"/>
      <c r="F100" s="6"/>
      <c r="G100" s="6"/>
      <c r="H100" s="6"/>
      <c r="I100" s="6"/>
      <c r="J100" s="6"/>
      <c r="K100" s="6"/>
      <c r="L100" s="6"/>
      <c r="M100" s="70"/>
      <c r="N100" s="6"/>
      <c r="O100" s="70"/>
      <c r="P100" s="6"/>
      <c r="Q100" s="70"/>
      <c r="R100" s="6"/>
      <c r="S100" s="6"/>
      <c r="T100" s="20"/>
      <c r="U100" s="6"/>
      <c r="V100" s="6"/>
      <c r="W100" s="6"/>
      <c r="X100" s="6"/>
      <c r="Y100" s="6"/>
      <c r="Z100" s="6"/>
      <c r="AA100" s="70"/>
      <c r="AB100" s="71"/>
      <c r="AC100" s="6"/>
      <c r="AD100" s="6"/>
      <c r="AE100" s="6"/>
      <c r="AF100" s="6"/>
      <c r="AG100" s="70"/>
      <c r="AH100" s="6"/>
      <c r="AI100" s="6"/>
      <c r="AJ100" s="6"/>
      <c r="AK100" s="6"/>
      <c r="AL100" s="6"/>
      <c r="AM100" s="6"/>
      <c r="AN100" s="6"/>
      <c r="AO100" s="6"/>
      <c r="AP100" s="6"/>
      <c r="AQ100" s="6"/>
    </row>
    <row r="101" spans="1:43" hidden="1" outlineLevel="1">
      <c r="A101" s="6"/>
      <c r="B101" s="40">
        <f>+B94+1</f>
        <v>2003</v>
      </c>
      <c r="C101" s="6"/>
      <c r="D101" s="6"/>
      <c r="E101" s="6"/>
      <c r="F101" s="6"/>
      <c r="G101" s="6"/>
      <c r="H101" s="6"/>
      <c r="I101" s="6"/>
      <c r="J101" s="6"/>
      <c r="K101" s="6"/>
      <c r="L101" s="6"/>
      <c r="M101" s="70"/>
      <c r="N101" s="6"/>
      <c r="O101" s="70"/>
      <c r="P101" s="6"/>
      <c r="Q101" s="70"/>
      <c r="R101" s="6"/>
      <c r="S101" s="6"/>
      <c r="T101" s="20"/>
      <c r="U101" s="6"/>
      <c r="V101" s="6"/>
      <c r="W101" s="6"/>
      <c r="X101" s="6"/>
      <c r="Y101" s="6"/>
      <c r="Z101" s="6"/>
      <c r="AA101" s="70"/>
      <c r="AB101" s="71"/>
      <c r="AC101" s="6"/>
      <c r="AD101" s="6"/>
      <c r="AE101" s="6"/>
      <c r="AF101" s="6"/>
      <c r="AG101" s="70"/>
      <c r="AH101" s="6"/>
      <c r="AI101" s="6"/>
      <c r="AJ101" s="6"/>
      <c r="AK101" s="6"/>
      <c r="AL101" s="6"/>
      <c r="AM101" s="6"/>
      <c r="AN101" s="6"/>
      <c r="AO101" s="6"/>
      <c r="AP101" s="6"/>
      <c r="AQ101" s="6"/>
    </row>
    <row r="102" spans="1:43" hidden="1" outlineLevel="1">
      <c r="A102" s="6" t="s">
        <v>527</v>
      </c>
      <c r="B102" s="6" t="s">
        <v>514</v>
      </c>
      <c r="C102" s="70"/>
      <c r="D102" s="14">
        <f>'qtrP&amp;L'!$BF$10</f>
        <v>2788.7049999999999</v>
      </c>
      <c r="E102" s="6"/>
      <c r="F102" s="14">
        <f>'qtrP&amp;L'!$BF$21</f>
        <v>2120.1743333333334</v>
      </c>
      <c r="G102" s="6"/>
      <c r="H102" s="14">
        <f>work!BB10</f>
        <v>1882.5820000000001</v>
      </c>
      <c r="I102" s="6"/>
      <c r="J102" s="14">
        <f>AVERAGE(H102,H98)</f>
        <v>1723.0160000000001</v>
      </c>
      <c r="K102" s="6"/>
      <c r="L102" s="23">
        <f>(D102/D95-1)*100</f>
        <v>4.6148703880087849</v>
      </c>
      <c r="M102" s="70" t="s">
        <v>190</v>
      </c>
      <c r="N102" s="23">
        <f>(H102/H95-1)*100</f>
        <v>23.14389514157169</v>
      </c>
      <c r="O102" s="70" t="s">
        <v>190</v>
      </c>
      <c r="P102" s="23">
        <f>(H102/H98-1)*100</f>
        <v>20.412037481211431</v>
      </c>
      <c r="Q102" s="70" t="s">
        <v>190</v>
      </c>
      <c r="R102" s="20">
        <f>F102/J102</f>
        <v>1.2305018254812103</v>
      </c>
      <c r="S102" s="6" t="s">
        <v>598</v>
      </c>
      <c r="T102" s="20">
        <f>F103/H102</f>
        <v>1.2395725657634038</v>
      </c>
      <c r="U102" s="6"/>
      <c r="V102" s="6">
        <f>qtrSales!J103</f>
        <v>1883</v>
      </c>
      <c r="W102" s="6"/>
      <c r="X102" s="16">
        <f>H102/V102</f>
        <v>0.99977801380775366</v>
      </c>
      <c r="Y102" s="6"/>
      <c r="Z102" s="47">
        <f>(X102/X95-1)*100</f>
        <v>12.484067787309261</v>
      </c>
      <c r="AA102" s="70" t="s">
        <v>190</v>
      </c>
      <c r="AB102" s="71">
        <f>qtrSales!Z103</f>
        <v>54.983999999999995</v>
      </c>
      <c r="AC102" s="6"/>
      <c r="AD102" s="75">
        <f>H102/AB102</f>
        <v>34.238723992434167</v>
      </c>
      <c r="AE102" s="6"/>
      <c r="AF102" s="105">
        <f>(AD102/AD95-1)*100</f>
        <v>13.025240291985973</v>
      </c>
      <c r="AG102" s="70" t="s">
        <v>190</v>
      </c>
      <c r="AH102" s="89">
        <f>J102/(F102/(365/4))</f>
        <v>74.156736796643926</v>
      </c>
      <c r="AI102" s="134">
        <f>((F102-('yrP&amp;L'!$O$16/4))/J102)</f>
        <v>1.1151372554481984</v>
      </c>
      <c r="AJ102" s="117" t="s">
        <v>598</v>
      </c>
      <c r="AK102" s="89"/>
      <c r="AL102" s="6"/>
      <c r="AM102" s="89">
        <f>+H102*0.9</f>
        <v>1694.3238000000001</v>
      </c>
      <c r="AN102" s="14">
        <f>AVERAGE(AM102,AM98)</f>
        <v>1550.7144000000001</v>
      </c>
      <c r="AO102" s="6"/>
      <c r="AP102" s="6"/>
      <c r="AQ102" s="6"/>
    </row>
    <row r="103" spans="1:43" hidden="1" outlineLevel="1">
      <c r="A103" s="6" t="s">
        <v>528</v>
      </c>
      <c r="B103" s="6" t="s">
        <v>515</v>
      </c>
      <c r="C103" s="6"/>
      <c r="D103" s="15">
        <f>'qtrP&amp;L'!$BF$11</f>
        <v>3046.1840000000002</v>
      </c>
      <c r="E103" s="6"/>
      <c r="F103" s="15">
        <f>'qtrP&amp;L'!$BF$22</f>
        <v>2333.5970000000002</v>
      </c>
      <c r="G103" s="6"/>
      <c r="H103" s="15">
        <f>work!BB11</f>
        <v>2017.932</v>
      </c>
      <c r="I103" s="6"/>
      <c r="J103" s="15">
        <f>AVERAGE(H102:H103)</f>
        <v>1950.2570000000001</v>
      </c>
      <c r="K103" s="6"/>
      <c r="L103" s="23">
        <f>(D103/D96-1)*100</f>
        <v>10.165857229188656</v>
      </c>
      <c r="M103" s="70"/>
      <c r="N103" s="23">
        <f>(H103/H96-1)*100</f>
        <v>13.918768326128017</v>
      </c>
      <c r="O103" s="70"/>
      <c r="P103" s="23">
        <f>(H103/H102-1)*100</f>
        <v>7.1895938662963843</v>
      </c>
      <c r="Q103" s="70"/>
      <c r="R103" s="20">
        <f>F103/J103</f>
        <v>1.1965587099546369</v>
      </c>
      <c r="S103" s="6"/>
      <c r="T103" s="20">
        <f>F104/H103</f>
        <v>1.2563773209404481</v>
      </c>
      <c r="U103" s="6"/>
      <c r="V103" s="6">
        <f>qtrSales!J104</f>
        <v>1927</v>
      </c>
      <c r="W103" s="6"/>
      <c r="X103" s="16">
        <f>H103/V103</f>
        <v>1.0471883757135443</v>
      </c>
      <c r="Y103" s="6"/>
      <c r="Z103" s="47">
        <f>(X103/X96-1)*100</f>
        <v>3.395913753190416</v>
      </c>
      <c r="AA103" s="70"/>
      <c r="AB103" s="71">
        <f>qtrSales!Z104</f>
        <v>56.17799999999999</v>
      </c>
      <c r="AC103" s="6"/>
      <c r="AD103" s="76">
        <f>H103/AB103</f>
        <v>35.920324682259967</v>
      </c>
      <c r="AE103" s="6"/>
      <c r="AF103" s="105">
        <f>(AD103/AD96-1)*100</f>
        <v>3.8567346397339497</v>
      </c>
      <c r="AG103" s="70"/>
      <c r="AH103" s="89">
        <f>J103/(F103/(365/4))</f>
        <v>76.260361686272304</v>
      </c>
      <c r="AI103" s="134">
        <f>((F103-('yrP&amp;L'!$O$16/4))/J103)</f>
        <v>1.0946362453768914</v>
      </c>
      <c r="AJ103" s="117"/>
      <c r="AK103" s="89"/>
      <c r="AL103" s="6"/>
      <c r="AM103" s="89">
        <f>+H103*0.9</f>
        <v>1816.1387999999999</v>
      </c>
      <c r="AN103" s="15">
        <f>AVERAGE(AM102:AM103)</f>
        <v>1755.2312999999999</v>
      </c>
      <c r="AO103" s="6"/>
      <c r="AP103" s="6"/>
      <c r="AQ103" s="6"/>
    </row>
    <row r="104" spans="1:43" hidden="1" outlineLevel="1">
      <c r="A104" s="6" t="s">
        <v>529</v>
      </c>
      <c r="B104" s="6" t="s">
        <v>516</v>
      </c>
      <c r="C104" s="6"/>
      <c r="D104" s="15">
        <f>'qtrP&amp;L'!$BF$12</f>
        <v>3387.4520000000002</v>
      </c>
      <c r="E104" s="6"/>
      <c r="F104" s="15">
        <f>'qtrP&amp;L'!$BF$23</f>
        <v>2535.2840000000001</v>
      </c>
      <c r="G104" s="6"/>
      <c r="H104" s="15">
        <f>work!BB12</f>
        <v>2242.9</v>
      </c>
      <c r="I104" s="6"/>
      <c r="J104" s="15">
        <f>AVERAGE(H103:H104)</f>
        <v>2130.4160000000002</v>
      </c>
      <c r="K104" s="6"/>
      <c r="L104" s="23">
        <f>(D104/D97-1)*100</f>
        <v>11.248197835760854</v>
      </c>
      <c r="M104" s="70"/>
      <c r="N104" s="23">
        <f>(H104/H97-1)*100</f>
        <v>12.060170450968632</v>
      </c>
      <c r="O104" s="70"/>
      <c r="P104" s="23">
        <f>(H104/H103-1)*100</f>
        <v>11.148443059528269</v>
      </c>
      <c r="Q104" s="70"/>
      <c r="R104" s="20">
        <f>F104/J104</f>
        <v>1.1900417571028381</v>
      </c>
      <c r="S104" s="6"/>
      <c r="T104" s="20">
        <f>F105/H104</f>
        <v>1.3889761766760296</v>
      </c>
      <c r="U104" s="6"/>
      <c r="V104" s="6">
        <f>qtrSales!J105</f>
        <v>2004</v>
      </c>
      <c r="W104" s="6"/>
      <c r="X104" s="16">
        <f>H104/V104</f>
        <v>1.1192115768463073</v>
      </c>
      <c r="Y104" s="6"/>
      <c r="Z104" s="47">
        <f>(X104/X97-1)*100</f>
        <v>2.1067221773795941</v>
      </c>
      <c r="AA104" s="70"/>
      <c r="AB104" s="71">
        <f>qtrSales!Z105</f>
        <v>58.358000000000004</v>
      </c>
      <c r="AC104" s="6"/>
      <c r="AD104" s="76">
        <f>H104/AB104</f>
        <v>38.433462421604581</v>
      </c>
      <c r="AE104" s="6"/>
      <c r="AF104" s="105">
        <f>(AD104/AD97-1)*100</f>
        <v>2.7125418523991973</v>
      </c>
      <c r="AG104" s="70"/>
      <c r="AH104" s="89">
        <f>J104/(F104/(365/4))</f>
        <v>76.677981638348996</v>
      </c>
      <c r="AI104" s="134">
        <f>((F104-('yrP&amp;L'!$O$16/4))/J104)</f>
        <v>1.0967383834894218</v>
      </c>
      <c r="AJ104" s="117"/>
      <c r="AK104" s="89"/>
      <c r="AL104" s="6"/>
      <c r="AM104" s="89">
        <f>+H104*0.9</f>
        <v>2018.6100000000001</v>
      </c>
      <c r="AN104" s="15">
        <f>AVERAGE(AM103:AM104)</f>
        <v>1917.3744000000002</v>
      </c>
      <c r="AO104" s="6"/>
      <c r="AP104" s="6"/>
      <c r="AQ104" s="6"/>
    </row>
    <row r="105" spans="1:43" hidden="1" outlineLevel="1">
      <c r="A105" s="6" t="s">
        <v>530</v>
      </c>
      <c r="B105" s="6" t="s">
        <v>517</v>
      </c>
      <c r="C105" s="6"/>
      <c r="D105" s="19">
        <f>'qtrP&amp;L'!$BF$13</f>
        <v>4105.5969999999998</v>
      </c>
      <c r="E105" s="6"/>
      <c r="F105" s="19">
        <f>'qtrP&amp;L'!$BF$24</f>
        <v>3115.3346666666666</v>
      </c>
      <c r="G105" s="6"/>
      <c r="H105" s="15">
        <f>bal!AF$12</f>
        <v>1941.6980000000001</v>
      </c>
      <c r="I105" s="6"/>
      <c r="J105" s="19">
        <f>AVERAGE(H104:H105)</f>
        <v>2092.299</v>
      </c>
      <c r="K105" s="6"/>
      <c r="L105" s="46">
        <f>(D105/D98-1)*100</f>
        <v>17.119362506885636</v>
      </c>
      <c r="M105" s="70"/>
      <c r="N105" s="47">
        <f>(H105/H98-1)*100</f>
        <v>24.193162557165238</v>
      </c>
      <c r="O105" s="70"/>
      <c r="P105" s="23">
        <f>(H105/H104-1)*100</f>
        <v>-13.429131927415394</v>
      </c>
      <c r="Q105" s="70"/>
      <c r="R105" s="20">
        <f>F105/J105</f>
        <v>1.4889529014097251</v>
      </c>
      <c r="S105" s="6"/>
      <c r="T105" s="20">
        <f>F109/H105</f>
        <v>1.3007544599280285</v>
      </c>
      <c r="U105" s="6"/>
      <c r="V105" s="76">
        <f>qtrSales!J106</f>
        <v>2062</v>
      </c>
      <c r="W105" s="6"/>
      <c r="X105" s="16">
        <f>H105/V105</f>
        <v>0.9416576139670223</v>
      </c>
      <c r="Y105" s="6"/>
      <c r="Z105" s="47">
        <f>(X105/X98-1)*100</f>
        <v>11.002909113896964</v>
      </c>
      <c r="AA105" s="70"/>
      <c r="AB105" s="71">
        <f>qtrSales!Z106</f>
        <v>59.405000000000001</v>
      </c>
      <c r="AC105" s="6"/>
      <c r="AD105" s="76">
        <f>H105/AB105</f>
        <v>32.685767191313865</v>
      </c>
      <c r="AE105" s="6"/>
      <c r="AF105" s="105">
        <f>(AD105/AD98-1)*100</f>
        <v>12.529604710074516</v>
      </c>
      <c r="AG105" s="70"/>
      <c r="AH105" s="89">
        <f>J105/(F105/(365/4))</f>
        <v>61.284678590978558</v>
      </c>
      <c r="AI105" s="134">
        <f>((F105-('yrP&amp;L'!$O$16/4))/J105)</f>
        <v>1.3939497493745714</v>
      </c>
      <c r="AJ105" s="137"/>
      <c r="AK105" s="89"/>
      <c r="AL105" s="6"/>
      <c r="AM105" s="89">
        <f>+H105*0.9</f>
        <v>1747.5282000000002</v>
      </c>
      <c r="AN105" s="19">
        <f>AVERAGE(AM104:AM105)</f>
        <v>1883.0691000000002</v>
      </c>
      <c r="AO105" s="6"/>
      <c r="AP105" s="6"/>
      <c r="AQ105" s="6"/>
    </row>
    <row r="106" spans="1:43" hidden="1" outlineLevel="1">
      <c r="A106" s="6"/>
      <c r="B106" s="6" t="s">
        <v>531</v>
      </c>
      <c r="C106" s="6"/>
      <c r="D106" s="14">
        <f>SUM(D102:D105)</f>
        <v>13327.938</v>
      </c>
      <c r="E106" s="6"/>
      <c r="F106" s="14">
        <f>SUM(F102:F105)</f>
        <v>10104.39</v>
      </c>
      <c r="G106" s="6"/>
      <c r="H106" s="6"/>
      <c r="I106" s="6"/>
      <c r="J106" s="14">
        <f>AVERAGE(J102:J105)</f>
        <v>1973.9970000000001</v>
      </c>
      <c r="K106" s="6"/>
      <c r="L106" s="23">
        <f>(D106/D99-1)*100</f>
        <v>11.240361676415421</v>
      </c>
      <c r="M106" s="70"/>
      <c r="N106" s="6"/>
      <c r="O106" s="70"/>
      <c r="P106" s="6"/>
      <c r="Q106" s="70"/>
      <c r="R106" s="48">
        <f>F106/J106</f>
        <v>5.1187463810735272</v>
      </c>
      <c r="S106" s="45" t="s">
        <v>598</v>
      </c>
      <c r="T106" s="20"/>
      <c r="U106" s="6"/>
      <c r="V106" s="6"/>
      <c r="W106" s="6"/>
      <c r="X106" s="6"/>
      <c r="Y106" s="6"/>
      <c r="Z106" s="6"/>
      <c r="AA106" s="70"/>
      <c r="AB106" s="6"/>
      <c r="AC106" s="6"/>
      <c r="AD106" s="6"/>
      <c r="AE106" s="6"/>
      <c r="AF106" s="6"/>
      <c r="AG106" s="70"/>
      <c r="AH106" s="6"/>
      <c r="AI106" s="135">
        <f>((F106-('yrP&amp;L'!$O$16))/J106)</f>
        <v>4.7159595480641556</v>
      </c>
      <c r="AJ106" s="136" t="s">
        <v>598</v>
      </c>
      <c r="AK106" s="6"/>
      <c r="AL106" s="6"/>
      <c r="AM106" s="6"/>
      <c r="AN106" s="14">
        <f>AVERAGE(AN102:AN105)</f>
        <v>1776.5973000000004</v>
      </c>
      <c r="AO106" s="6"/>
      <c r="AP106" s="6"/>
      <c r="AQ106" s="6"/>
    </row>
    <row r="107" spans="1:43" hidden="1" outlineLevel="1">
      <c r="A107" s="6"/>
      <c r="B107" s="6"/>
      <c r="C107" s="6"/>
      <c r="D107" s="6"/>
      <c r="E107" s="6"/>
      <c r="F107" s="6"/>
      <c r="G107" s="6"/>
      <c r="H107" s="6"/>
      <c r="I107" s="6"/>
      <c r="J107" s="6"/>
      <c r="K107" s="6"/>
      <c r="L107" s="6"/>
      <c r="M107" s="70"/>
      <c r="N107" s="6"/>
      <c r="O107" s="70"/>
      <c r="P107" s="6"/>
      <c r="Q107" s="70"/>
      <c r="R107" s="6"/>
      <c r="S107" s="6"/>
      <c r="T107" s="20"/>
      <c r="U107" s="6"/>
      <c r="V107" s="6"/>
      <c r="W107" s="6"/>
      <c r="X107" s="6"/>
      <c r="Y107" s="6"/>
      <c r="Z107" s="6"/>
      <c r="AA107" s="70"/>
      <c r="AB107" s="71"/>
      <c r="AC107" s="6"/>
      <c r="AD107" s="6"/>
      <c r="AE107" s="6"/>
      <c r="AF107" s="6"/>
      <c r="AG107" s="70"/>
      <c r="AH107" s="6"/>
      <c r="AI107" s="6"/>
      <c r="AJ107" s="6"/>
      <c r="AK107" s="6"/>
      <c r="AL107" s="6"/>
      <c r="AM107" s="6"/>
      <c r="AN107" s="6"/>
      <c r="AO107" s="6"/>
      <c r="AP107" s="6"/>
      <c r="AQ107" s="6"/>
    </row>
    <row r="108" spans="1:43" hidden="1" outlineLevel="1" collapsed="1">
      <c r="A108" s="6"/>
      <c r="B108" s="139">
        <f>+B101+1</f>
        <v>2004</v>
      </c>
      <c r="C108" s="6"/>
      <c r="D108" s="6"/>
      <c r="E108" s="6"/>
      <c r="F108" s="6"/>
      <c r="G108" s="6"/>
      <c r="H108" s="6"/>
      <c r="I108" s="6"/>
      <c r="J108" s="6"/>
      <c r="K108" s="6"/>
      <c r="L108" s="6"/>
      <c r="M108" s="70"/>
      <c r="N108" s="6"/>
      <c r="O108" s="70"/>
      <c r="P108" s="6"/>
      <c r="Q108" s="70"/>
      <c r="R108" s="6"/>
      <c r="S108" s="6"/>
      <c r="T108" s="20"/>
      <c r="U108" s="6"/>
      <c r="V108" s="6"/>
      <c r="W108" s="6"/>
      <c r="X108" s="6"/>
      <c r="Y108" s="6"/>
      <c r="Z108" s="6"/>
      <c r="AA108" s="70"/>
      <c r="AB108" s="71"/>
      <c r="AC108" s="6"/>
      <c r="AD108" s="6"/>
      <c r="AE108" s="6"/>
      <c r="AF108" s="6"/>
      <c r="AG108" s="70"/>
      <c r="AH108" s="6"/>
      <c r="AI108" s="6"/>
      <c r="AJ108" s="6"/>
      <c r="AK108" s="6"/>
      <c r="AL108" s="6"/>
      <c r="AM108" s="6"/>
      <c r="AN108" s="6"/>
      <c r="AO108" s="6"/>
      <c r="AP108" s="6"/>
      <c r="AQ108" s="6"/>
    </row>
    <row r="109" spans="1:43" hidden="1" outlineLevel="1">
      <c r="A109" s="6" t="s">
        <v>527</v>
      </c>
      <c r="B109" s="6" t="s">
        <v>514</v>
      </c>
      <c r="C109" s="70"/>
      <c r="D109" s="14">
        <f>'qtrP&amp;L'!$BJ$10</f>
        <v>3352.7370000000001</v>
      </c>
      <c r="E109" s="6"/>
      <c r="F109" s="14">
        <f>'qtrP&amp;L'!$BJ$21</f>
        <v>2525.6723333333334</v>
      </c>
      <c r="G109" s="6"/>
      <c r="H109" s="14">
        <f>work!BF10</f>
        <v>2010.1780000000001</v>
      </c>
      <c r="I109" s="6"/>
      <c r="J109" s="14">
        <f>AVERAGE(H109,H105)</f>
        <v>1975.9380000000001</v>
      </c>
      <c r="K109" s="6"/>
      <c r="L109" s="23">
        <f>(D109/D102-1)*100</f>
        <v>20.225588579645404</v>
      </c>
      <c r="M109" s="70" t="s">
        <v>190</v>
      </c>
      <c r="N109" s="23">
        <f>(H109/H102-1)*100</f>
        <v>6.7777127370812984</v>
      </c>
      <c r="O109" s="70" t="s">
        <v>190</v>
      </c>
      <c r="P109" s="23">
        <f>(H109/H105-1)*100</f>
        <v>3.5268100394603152</v>
      </c>
      <c r="Q109" s="70" t="s">
        <v>190</v>
      </c>
      <c r="R109" s="20">
        <f>F109/J109</f>
        <v>1.2782143636760532</v>
      </c>
      <c r="S109" s="6" t="s">
        <v>598</v>
      </c>
      <c r="T109" s="20">
        <f>F110/H109</f>
        <v>1.3114271472476564</v>
      </c>
      <c r="U109" s="6"/>
      <c r="V109" s="76">
        <f>qtrSales!J110</f>
        <v>2091</v>
      </c>
      <c r="W109" s="6"/>
      <c r="X109" s="16">
        <f>H109/V109</f>
        <v>0.96134768053562891</v>
      </c>
      <c r="Y109" s="6"/>
      <c r="Z109" s="47">
        <f>(X109/X102-1)*100</f>
        <v>-3.8438866169659969</v>
      </c>
      <c r="AA109" s="70" t="s">
        <v>190</v>
      </c>
      <c r="AB109" s="71">
        <f>qtrSales!Z110</f>
        <v>61.759642821891049</v>
      </c>
      <c r="AC109" s="6"/>
      <c r="AD109" s="75">
        <f>H109/AB109</f>
        <v>32.548407149911192</v>
      </c>
      <c r="AE109" s="6"/>
      <c r="AF109" s="105">
        <f>(AD109/AD102-1)*100</f>
        <v>-4.9368570011443458</v>
      </c>
      <c r="AG109" s="70" t="s">
        <v>190</v>
      </c>
      <c r="AH109" s="89">
        <f>J109/(F109/(365/4))</f>
        <v>71.388651694987615</v>
      </c>
      <c r="AI109" s="134">
        <f>((F109-('yrP&amp;L'!$P$16/4))/J109)</f>
        <v>1.1581827634942661</v>
      </c>
      <c r="AJ109" s="117" t="s">
        <v>598</v>
      </c>
      <c r="AK109" s="89"/>
      <c r="AL109" s="6"/>
      <c r="AM109" s="89">
        <f>+H109*0.9</f>
        <v>1809.1602</v>
      </c>
      <c r="AN109" s="14">
        <f>AVERAGE(AM109,AM105)</f>
        <v>1778.3442</v>
      </c>
      <c r="AO109" s="6"/>
      <c r="AP109" s="6"/>
      <c r="AQ109" s="6"/>
    </row>
    <row r="110" spans="1:43" hidden="1" outlineLevel="1">
      <c r="A110" s="6" t="s">
        <v>528</v>
      </c>
      <c r="B110" s="6" t="s">
        <v>515</v>
      </c>
      <c r="C110" s="6"/>
      <c r="D110" s="15">
        <f>'qtrP&amp;L'!$BJ$11</f>
        <v>3414.2869999999998</v>
      </c>
      <c r="E110" s="6"/>
      <c r="F110" s="15">
        <f>'qtrP&amp;L'!$BJ$22</f>
        <v>2636.2019999999998</v>
      </c>
      <c r="G110" s="6"/>
      <c r="H110" s="15">
        <f>work!BF11</f>
        <v>2217</v>
      </c>
      <c r="I110" s="6"/>
      <c r="J110" s="15">
        <f>AVERAGE(H109:H110)</f>
        <v>2113.5889999999999</v>
      </c>
      <c r="K110" s="6"/>
      <c r="L110" s="23">
        <f>(D110/D103-1)*100</f>
        <v>12.084069773854743</v>
      </c>
      <c r="M110" s="70"/>
      <c r="N110" s="23">
        <f>(H110/H103-1)*100</f>
        <v>9.8649508506728711</v>
      </c>
      <c r="O110" s="70"/>
      <c r="P110" s="23">
        <f>(H110/H109-1)*100</f>
        <v>10.288740599091216</v>
      </c>
      <c r="Q110" s="70"/>
      <c r="R110" s="20">
        <f>F110/J110</f>
        <v>1.2472633042658718</v>
      </c>
      <c r="S110" s="6"/>
      <c r="T110" s="20">
        <f>F111/H110</f>
        <v>1.2927588332581565</v>
      </c>
      <c r="U110" s="6"/>
      <c r="V110" s="76">
        <f>qtrSales!J111</f>
        <v>2116</v>
      </c>
      <c r="W110" s="6"/>
      <c r="X110" s="16">
        <f>H110/V110</f>
        <v>1.0477315689981097</v>
      </c>
      <c r="Y110" s="6"/>
      <c r="Z110" s="47">
        <f>(X110/X103-1)*100</f>
        <v>5.1871592271579559E-2</v>
      </c>
      <c r="AA110" s="70"/>
      <c r="AB110" s="71">
        <f>qtrSales!Z111</f>
        <v>62.439078551011711</v>
      </c>
      <c r="AC110" s="6"/>
      <c r="AD110" s="76">
        <f>H110/AB110</f>
        <v>35.5066098259081</v>
      </c>
      <c r="AE110" s="6"/>
      <c r="AF110" s="105">
        <f>(AD110/AD103-1)*100</f>
        <v>-1.1517570066848171</v>
      </c>
      <c r="AG110" s="70"/>
      <c r="AH110" s="89">
        <f>J110/(F110/(365/4))</f>
        <v>73.160173708236329</v>
      </c>
      <c r="AI110" s="134">
        <f>((F110-('yrP&amp;L'!$P$16/4))/J110)</f>
        <v>1.1350489617423254</v>
      </c>
      <c r="AJ110" s="117"/>
      <c r="AK110" s="89"/>
      <c r="AL110" s="6"/>
      <c r="AM110" s="89">
        <f>+H110*0.9</f>
        <v>1995.3</v>
      </c>
      <c r="AN110" s="15">
        <f>AVERAGE(AM109:AM110)</f>
        <v>1902.2301</v>
      </c>
      <c r="AO110" s="6"/>
      <c r="AP110" s="6"/>
      <c r="AQ110" s="6"/>
    </row>
    <row r="111" spans="1:43" hidden="1" outlineLevel="1">
      <c r="A111" s="6" t="s">
        <v>529</v>
      </c>
      <c r="B111" s="6" t="s">
        <v>516</v>
      </c>
      <c r="C111" s="6"/>
      <c r="D111" s="15">
        <f>'qtrP&amp;L'!$BJ$12</f>
        <v>3817.35</v>
      </c>
      <c r="E111" s="6"/>
      <c r="F111" s="15">
        <f>'qtrP&amp;L'!$BJ$23</f>
        <v>2866.0463333333332</v>
      </c>
      <c r="G111" s="6"/>
      <c r="H111" s="15">
        <f>work!BF12</f>
        <v>2785.4</v>
      </c>
      <c r="I111" s="6"/>
      <c r="J111" s="15">
        <f>AVERAGE(H110:H111)</f>
        <v>2501.1999999999998</v>
      </c>
      <c r="K111" s="6"/>
      <c r="L111" s="23">
        <f>(D111/D104-1)*100</f>
        <v>12.690895693872562</v>
      </c>
      <c r="M111" s="70"/>
      <c r="N111" s="23">
        <f>(H111/H104-1)*100</f>
        <v>24.187435908867982</v>
      </c>
      <c r="O111" s="70"/>
      <c r="P111" s="23">
        <f>(H111/H110-1)*100</f>
        <v>25.638249887234998</v>
      </c>
      <c r="Q111" s="70"/>
      <c r="R111" s="20">
        <f>F111/J111</f>
        <v>1.1458685164454396</v>
      </c>
      <c r="S111" s="6"/>
      <c r="T111" s="20">
        <f>F112/H111</f>
        <v>1.2110659151288863</v>
      </c>
      <c r="U111" s="6"/>
      <c r="V111" s="76">
        <f>qtrSales!J112</f>
        <v>2188</v>
      </c>
      <c r="W111" s="6"/>
      <c r="X111" s="16">
        <f>H111/V111</f>
        <v>1.2730347349177331</v>
      </c>
      <c r="Y111" s="6"/>
      <c r="Z111" s="47">
        <f>(X111/X104-1)*100</f>
        <v>13.74388553993211</v>
      </c>
      <c r="AA111" s="70"/>
      <c r="AB111" s="71">
        <f>qtrSales!Z112</f>
        <v>64.455907542124834</v>
      </c>
      <c r="AC111" s="6"/>
      <c r="AD111" s="76">
        <f>H111/AB111</f>
        <v>43.2140374127789</v>
      </c>
      <c r="AE111" s="6"/>
      <c r="AF111" s="105">
        <f>(AD111/AD104-1)*100</f>
        <v>12.438574851083462</v>
      </c>
      <c r="AG111" s="70"/>
      <c r="AH111" s="89">
        <f>J111/(F111/(365/4))</f>
        <v>79.633918456075193</v>
      </c>
      <c r="AI111" s="134">
        <f>((F111-('yrP&amp;L'!$P$16/4))/J111)</f>
        <v>1.0510440321978782</v>
      </c>
      <c r="AJ111" s="117"/>
      <c r="AK111" s="89"/>
      <c r="AL111" s="6"/>
      <c r="AM111" s="89">
        <f>+H111*0.9</f>
        <v>2506.86</v>
      </c>
      <c r="AN111" s="15">
        <f>AVERAGE(AM110:AM111)</f>
        <v>2251.08</v>
      </c>
      <c r="AO111" s="6"/>
      <c r="AP111" s="6"/>
      <c r="AQ111" s="6"/>
    </row>
    <row r="112" spans="1:43" hidden="1" outlineLevel="1">
      <c r="A112" s="6" t="s">
        <v>530</v>
      </c>
      <c r="B112" s="6" t="s">
        <v>517</v>
      </c>
      <c r="C112" s="6"/>
      <c r="D112" s="19">
        <f>'qtrP&amp;L'!$BJ$13</f>
        <v>4329.1090000000004</v>
      </c>
      <c r="E112" s="6"/>
      <c r="F112" s="19">
        <f>'qtrP&amp;L'!$BJ$24</f>
        <v>3373.3029999999999</v>
      </c>
      <c r="G112" s="6"/>
      <c r="H112" s="15">
        <f>work!BF13</f>
        <v>2352</v>
      </c>
      <c r="I112" s="6"/>
      <c r="J112" s="19">
        <f>AVERAGE(H111:H112)</f>
        <v>2568.6999999999998</v>
      </c>
      <c r="K112" s="6"/>
      <c r="L112" s="46">
        <f>(D112/D105-1)*100</f>
        <v>5.4440803615162681</v>
      </c>
      <c r="M112" s="70"/>
      <c r="N112" s="47">
        <f>(H112/H105-1)*100</f>
        <v>21.131092476790926</v>
      </c>
      <c r="O112" s="70"/>
      <c r="P112" s="23">
        <f>(H112/H111-1)*100</f>
        <v>-15.559704171752708</v>
      </c>
      <c r="Q112" s="70"/>
      <c r="R112" s="20">
        <f>F112/J112</f>
        <v>1.3132335422587302</v>
      </c>
      <c r="S112" s="6"/>
      <c r="T112" s="20">
        <f>F116/H112</f>
        <v>1.1857011054421769</v>
      </c>
      <c r="U112" s="6"/>
      <c r="V112" s="76">
        <f>qtrSales!J113</f>
        <v>2224</v>
      </c>
      <c r="W112" s="6"/>
      <c r="X112" s="16">
        <f>H112/V112</f>
        <v>1.0575539568345325</v>
      </c>
      <c r="Y112" s="6"/>
      <c r="Z112" s="47">
        <f>(X112/X105-1)*100</f>
        <v>12.307694553571459</v>
      </c>
      <c r="AA112" s="70"/>
      <c r="AB112" s="71">
        <f>qtrSales!Z113</f>
        <v>65.408555980019372</v>
      </c>
      <c r="AC112" s="6"/>
      <c r="AD112" s="76">
        <f>H112/AB112</f>
        <v>35.958598454894421</v>
      </c>
      <c r="AE112" s="6"/>
      <c r="AF112" s="105">
        <f>(AD112/AD105-1)*100</f>
        <v>10.013016504781014</v>
      </c>
      <c r="AG112" s="70"/>
      <c r="AH112" s="89">
        <f>J112/(F112/(365/4))</f>
        <v>69.484975111930339</v>
      </c>
      <c r="AI112" s="134">
        <f>((F112-('yrP&amp;L'!$P$16/4))/J112)</f>
        <v>1.2209008447853</v>
      </c>
      <c r="AJ112" s="137"/>
      <c r="AK112" s="89"/>
      <c r="AL112" s="6"/>
      <c r="AM112" s="89">
        <f>+H112*0.9</f>
        <v>2116.8000000000002</v>
      </c>
      <c r="AN112" s="19">
        <f>AVERAGE(AM111:AM112)</f>
        <v>2311.83</v>
      </c>
      <c r="AO112" s="6"/>
      <c r="AP112" s="6"/>
      <c r="AQ112" s="6"/>
    </row>
    <row r="113" spans="1:43" hidden="1" outlineLevel="1">
      <c r="A113" s="6"/>
      <c r="B113" s="6" t="s">
        <v>531</v>
      </c>
      <c r="C113" s="6"/>
      <c r="D113" s="14">
        <f>SUM(D109:D112)</f>
        <v>14913.483</v>
      </c>
      <c r="E113" s="6"/>
      <c r="F113" s="14">
        <f>SUM(F109:F112)</f>
        <v>11401.223666666667</v>
      </c>
      <c r="G113" s="6"/>
      <c r="H113" s="6"/>
      <c r="I113" s="6"/>
      <c r="J113" s="14">
        <f>AVERAGE(J109:J112)</f>
        <v>2289.8567499999999</v>
      </c>
      <c r="K113" s="6"/>
      <c r="L113" s="23">
        <f>(D113/D106-1)*100</f>
        <v>11.896401378817934</v>
      </c>
      <c r="M113" s="70"/>
      <c r="N113" s="6"/>
      <c r="O113" s="70"/>
      <c r="P113" s="6"/>
      <c r="Q113" s="70"/>
      <c r="R113" s="48">
        <f>F113/J113</f>
        <v>4.9790117511353786</v>
      </c>
      <c r="S113" s="45" t="s">
        <v>598</v>
      </c>
      <c r="T113" s="20"/>
      <c r="U113" s="6"/>
      <c r="V113" s="6"/>
      <c r="W113" s="6"/>
      <c r="X113" s="6"/>
      <c r="Y113" s="6"/>
      <c r="Z113" s="6"/>
      <c r="AA113" s="70"/>
      <c r="AB113" s="6"/>
      <c r="AC113" s="6"/>
      <c r="AD113" s="6"/>
      <c r="AE113" s="6"/>
      <c r="AF113" s="6"/>
      <c r="AG113" s="70"/>
      <c r="AH113" s="6"/>
      <c r="AI113" s="135">
        <f>((F113-('yrP&amp;L'!$P$16))/J113)</f>
        <v>4.5647063584508798</v>
      </c>
      <c r="AJ113" s="136" t="s">
        <v>598</v>
      </c>
      <c r="AK113" s="6"/>
      <c r="AL113" s="6"/>
      <c r="AM113" s="6"/>
      <c r="AN113" s="14">
        <f>AVERAGE(AN109:AN112)</f>
        <v>2060.871075</v>
      </c>
      <c r="AO113" s="6"/>
      <c r="AP113" s="6"/>
      <c r="AQ113" s="6"/>
    </row>
    <row r="114" spans="1:43" hidden="1" outlineLevel="1">
      <c r="A114" s="6"/>
      <c r="B114" s="6"/>
      <c r="C114" s="6"/>
      <c r="D114" s="6"/>
      <c r="E114" s="6"/>
      <c r="F114" s="6"/>
      <c r="G114" s="6"/>
      <c r="H114" s="6"/>
      <c r="I114" s="6"/>
      <c r="J114" s="6"/>
      <c r="K114" s="6"/>
      <c r="L114" s="6"/>
      <c r="M114" s="70"/>
      <c r="N114" s="6"/>
      <c r="O114" s="70"/>
      <c r="P114" s="6"/>
      <c r="Q114" s="70"/>
      <c r="R114" s="6"/>
      <c r="S114" s="6"/>
      <c r="T114" s="20"/>
      <c r="U114" s="6"/>
      <c r="V114" s="6"/>
      <c r="W114" s="6"/>
      <c r="X114" s="6"/>
      <c r="Y114" s="6"/>
      <c r="Z114" s="6"/>
      <c r="AA114" s="70"/>
      <c r="AB114" s="71"/>
      <c r="AC114" s="6"/>
      <c r="AD114" s="6"/>
      <c r="AE114" s="6"/>
      <c r="AF114" s="6"/>
      <c r="AG114" s="70"/>
      <c r="AH114" s="6"/>
      <c r="AI114" s="6"/>
      <c r="AJ114" s="6"/>
      <c r="AK114" s="6"/>
      <c r="AL114" s="6"/>
      <c r="AM114" s="6"/>
      <c r="AN114" s="6"/>
      <c r="AO114" s="6"/>
      <c r="AP114" s="6"/>
      <c r="AQ114" s="6"/>
    </row>
    <row r="115" spans="1:43" collapsed="1">
      <c r="A115" s="6"/>
      <c r="B115" s="139">
        <f>+B108+1</f>
        <v>2005</v>
      </c>
      <c r="C115" s="6"/>
      <c r="D115" s="6"/>
      <c r="E115" s="6"/>
      <c r="F115" s="6"/>
      <c r="G115" s="6"/>
      <c r="H115" s="6"/>
      <c r="I115" s="6"/>
      <c r="J115" s="6"/>
      <c r="K115" s="6"/>
      <c r="L115" s="6"/>
      <c r="M115" s="70"/>
      <c r="N115" s="6"/>
      <c r="O115" s="70"/>
      <c r="P115" s="6"/>
      <c r="Q115" s="70"/>
      <c r="R115" s="6"/>
      <c r="S115" s="6"/>
      <c r="T115" s="20"/>
      <c r="U115" s="6"/>
      <c r="V115" s="6"/>
      <c r="W115" s="6"/>
      <c r="X115" s="6"/>
      <c r="Y115" s="6"/>
      <c r="Z115" s="6"/>
      <c r="AA115" s="70"/>
      <c r="AB115" s="71"/>
      <c r="AC115" s="6"/>
      <c r="AD115" s="6"/>
      <c r="AE115" s="6"/>
      <c r="AF115" s="6"/>
      <c r="AG115" s="70"/>
      <c r="AH115" s="6"/>
      <c r="AI115" s="6"/>
      <c r="AJ115" s="6"/>
      <c r="AK115" s="6"/>
      <c r="AL115" s="6"/>
      <c r="AM115" s="6"/>
      <c r="AN115" s="6"/>
      <c r="AO115" s="6"/>
      <c r="AP115" s="6"/>
      <c r="AQ115" s="6"/>
    </row>
    <row r="116" spans="1:43">
      <c r="A116" s="6" t="s">
        <v>527</v>
      </c>
      <c r="B116" s="6" t="s">
        <v>514</v>
      </c>
      <c r="C116" s="70"/>
      <c r="D116" s="14">
        <f>'qtrP&amp;L'!$BN$10</f>
        <v>3651.83</v>
      </c>
      <c r="E116" s="6"/>
      <c r="F116" s="14">
        <f>'qtrP&amp;L'!$BN$21</f>
        <v>2788.7689999999998</v>
      </c>
      <c r="G116" s="6"/>
      <c r="H116" s="14">
        <f>+work!BJ10</f>
        <v>2460.4</v>
      </c>
      <c r="I116" s="6"/>
      <c r="J116" s="14">
        <f>AVERAGE(H116,H112)</f>
        <v>2406.1999999999998</v>
      </c>
      <c r="K116" s="6"/>
      <c r="L116" s="23">
        <f>(D116/D109-1)*100</f>
        <v>8.9208607773290751</v>
      </c>
      <c r="M116" s="70" t="s">
        <v>190</v>
      </c>
      <c r="N116" s="23">
        <f>(H116/H109-1)*100</f>
        <v>22.397121050971602</v>
      </c>
      <c r="O116" s="70" t="s">
        <v>190</v>
      </c>
      <c r="P116" s="23">
        <f>(H116/H112-1)*100</f>
        <v>4.608843537414975</v>
      </c>
      <c r="Q116" s="70" t="s">
        <v>190</v>
      </c>
      <c r="R116" s="20">
        <f>F116/J116</f>
        <v>1.1589930180367385</v>
      </c>
      <c r="S116" s="6" t="s">
        <v>598</v>
      </c>
      <c r="T116" s="20">
        <f>F117/H116</f>
        <v>1.1412213461225815</v>
      </c>
      <c r="U116" s="6"/>
      <c r="V116" s="76">
        <f>qtrSales!J117</f>
        <v>2251</v>
      </c>
      <c r="W116" s="6"/>
      <c r="X116" s="16">
        <f>H116/V116</f>
        <v>1.093025322079076</v>
      </c>
      <c r="Y116" s="6"/>
      <c r="Z116" s="47">
        <f>(X116/X109-1)*100</f>
        <v>13.697192411186855</v>
      </c>
      <c r="AA116" s="70" t="s">
        <v>190</v>
      </c>
      <c r="AB116" s="71">
        <f>qtrSales!Z117</f>
        <v>66.483042579757083</v>
      </c>
      <c r="AC116" s="6"/>
      <c r="AD116" s="75">
        <f>H116/AB116</f>
        <v>37.007933219186761</v>
      </c>
      <c r="AE116" s="6"/>
      <c r="AF116" s="105">
        <f>(AD116/AD109-1)*100</f>
        <v>13.701211394880008</v>
      </c>
      <c r="AG116" s="70" t="s">
        <v>190</v>
      </c>
      <c r="AH116" s="89">
        <f>J116/(F116/(365/4))</f>
        <v>78.732139521057505</v>
      </c>
      <c r="AI116" s="134">
        <f>((F116-('yrP&amp;L'!$Q$16/4))/J116)</f>
        <v>1.0519154683733687</v>
      </c>
      <c r="AJ116" s="117" t="s">
        <v>598</v>
      </c>
      <c r="AK116" s="89"/>
      <c r="AL116" s="6"/>
      <c r="AM116" s="89">
        <f>+H116*0.9</f>
        <v>2214.36</v>
      </c>
      <c r="AN116" s="14">
        <f>AVERAGE(AM116,AM112)</f>
        <v>2165.58</v>
      </c>
      <c r="AO116" s="6"/>
      <c r="AP116" s="6"/>
      <c r="AQ116" s="6"/>
    </row>
    <row r="117" spans="1:43">
      <c r="A117" s="6" t="s">
        <v>528</v>
      </c>
      <c r="B117" s="6" t="s">
        <v>515</v>
      </c>
      <c r="C117" s="6"/>
      <c r="D117" s="15">
        <f>'qtrP&amp;L'!$BN$11</f>
        <v>3647.866</v>
      </c>
      <c r="E117" s="6"/>
      <c r="F117" s="15">
        <f>'qtrP&amp;L'!$BN$22</f>
        <v>2807.8609999999999</v>
      </c>
      <c r="G117" s="6"/>
      <c r="H117" s="15">
        <f>+work!BJ11</f>
        <v>2814.6909999999998</v>
      </c>
      <c r="I117" s="6"/>
      <c r="J117" s="15">
        <f>AVERAGE(H116:H117)</f>
        <v>2637.5455000000002</v>
      </c>
      <c r="K117" s="6"/>
      <c r="L117" s="23">
        <f>(D117/D110-1)*100</f>
        <v>6.8412233652296983</v>
      </c>
      <c r="M117" s="70"/>
      <c r="N117" s="23">
        <f>(H117/H110-1)*100</f>
        <v>26.95944970681099</v>
      </c>
      <c r="O117" s="70"/>
      <c r="P117" s="23">
        <f>(H117/H116-1)*100</f>
        <v>14.399731750934786</v>
      </c>
      <c r="Q117" s="70"/>
      <c r="R117" s="20">
        <f>F117/J117</f>
        <v>1.0645734831873042</v>
      </c>
      <c r="S117" s="6"/>
      <c r="T117" s="20">
        <f>F118/H117</f>
        <v>1.0914221134753337</v>
      </c>
      <c r="U117" s="6"/>
      <c r="V117" s="76">
        <f>qtrSales!J118</f>
        <v>2282</v>
      </c>
      <c r="W117" s="6"/>
      <c r="X117" s="16">
        <f>H117/V117</f>
        <v>1.2334316389132338</v>
      </c>
      <c r="Y117" s="6"/>
      <c r="Z117" s="47">
        <f>(X117/X110-1)*100</f>
        <v>17.724012085719565</v>
      </c>
      <c r="AA117" s="70"/>
      <c r="AB117" s="71">
        <f>qtrSales!Z118</f>
        <v>67.315692340815303</v>
      </c>
      <c r="AC117" s="6"/>
      <c r="AD117" s="76">
        <f>H117/AB117</f>
        <v>41.813296456187189</v>
      </c>
      <c r="AE117" s="6"/>
      <c r="AF117" s="105">
        <f>(AD117/AD110-1)*100</f>
        <v>17.762007302869254</v>
      </c>
      <c r="AG117" s="70"/>
      <c r="AH117" s="89">
        <f>J117/(F117/(365/4))</f>
        <v>85.715078800197034</v>
      </c>
      <c r="AI117" s="134">
        <f>((F117-('yrP&amp;L'!$Q$16/4))/J117)</f>
        <v>0.96688796458677195</v>
      </c>
      <c r="AJ117" s="117"/>
      <c r="AK117" s="89"/>
      <c r="AL117" s="6"/>
      <c r="AM117" s="89">
        <f>+H117*0.9</f>
        <v>2533.2219</v>
      </c>
      <c r="AN117" s="15">
        <f>AVERAGE(AM116:AM117)</f>
        <v>2373.7909500000001</v>
      </c>
      <c r="AO117" s="6"/>
      <c r="AP117" s="6"/>
      <c r="AQ117" s="6"/>
    </row>
    <row r="118" spans="1:43">
      <c r="A118" s="6" t="s">
        <v>529</v>
      </c>
      <c r="B118" s="6" t="s">
        <v>516</v>
      </c>
      <c r="C118" s="6"/>
      <c r="D118" s="15">
        <f>'qtrP&amp;L'!$BN$12</f>
        <v>4041.9119999999998</v>
      </c>
      <c r="E118" s="6"/>
      <c r="F118" s="15">
        <f>'qtrP&amp;L'!$BN$23</f>
        <v>3072.0160000000001</v>
      </c>
      <c r="G118" s="6"/>
      <c r="H118" s="15">
        <f>+work!BJ12</f>
        <v>2913.5</v>
      </c>
      <c r="I118" s="6"/>
      <c r="J118" s="15">
        <f>AVERAGE(H117:H118)</f>
        <v>2864.0954999999999</v>
      </c>
      <c r="K118" s="6"/>
      <c r="L118" s="23">
        <f>(D118/D111-1)*100</f>
        <v>5.8826672953750547</v>
      </c>
      <c r="M118" s="70"/>
      <c r="N118" s="23">
        <f>(H118/H111-1)*100</f>
        <v>4.5989803977884547</v>
      </c>
      <c r="O118" s="70"/>
      <c r="P118" s="23">
        <f>(H118/H117-1)*100</f>
        <v>3.5104741515143312</v>
      </c>
      <c r="Q118" s="70"/>
      <c r="R118" s="20">
        <f>F118/J118</f>
        <v>1.0725955192485725</v>
      </c>
      <c r="S118" s="6"/>
      <c r="T118" s="20">
        <f>F119/H118</f>
        <v>1.2446782220696757</v>
      </c>
      <c r="U118" s="6"/>
      <c r="V118" s="76">
        <f>qtrSales!J119</f>
        <v>2371</v>
      </c>
      <c r="W118" s="6"/>
      <c r="X118" s="16">
        <f>H118/V118</f>
        <v>1.2288064107971319</v>
      </c>
      <c r="Y118" s="6"/>
      <c r="Z118" s="47">
        <f>(X118/X111-1)*100</f>
        <v>-3.4742433106869863</v>
      </c>
      <c r="AA118" s="70"/>
      <c r="AB118" s="71">
        <f>qtrSales!Z119</f>
        <v>69.855357762568985</v>
      </c>
      <c r="AC118" s="6"/>
      <c r="AD118" s="76">
        <f>H118/AB118</f>
        <v>41.707609742729829</v>
      </c>
      <c r="AE118" s="6"/>
      <c r="AF118" s="105">
        <f>(AD118/AD111-1)*100</f>
        <v>-3.4859683571329625</v>
      </c>
      <c r="AG118" s="70"/>
      <c r="AH118" s="89">
        <f>J118/(F118/(365/4))</f>
        <v>85.074008200152591</v>
      </c>
      <c r="AI118" s="134">
        <f>((F118-('yrP&amp;L'!$Q$16/4))/J118)</f>
        <v>0.98263692673655612</v>
      </c>
      <c r="AJ118" s="117"/>
      <c r="AK118" s="89"/>
      <c r="AL118" s="6"/>
      <c r="AM118" s="89">
        <f>+H118*0.9</f>
        <v>2622.15</v>
      </c>
      <c r="AN118" s="15">
        <f>AVERAGE(AM117:AM118)</f>
        <v>2577.68595</v>
      </c>
      <c r="AO118" s="6"/>
      <c r="AP118" s="6"/>
      <c r="AQ118" s="6"/>
    </row>
    <row r="119" spans="1:43">
      <c r="A119" s="6" t="s">
        <v>530</v>
      </c>
      <c r="B119" s="6" t="s">
        <v>517</v>
      </c>
      <c r="C119" s="6"/>
      <c r="D119" s="19">
        <f>'qtrP&amp;L'!$BN$13</f>
        <v>4716.3270000000002</v>
      </c>
      <c r="E119" s="6"/>
      <c r="F119" s="19">
        <f>'qtrP&amp;L'!$BN$24</f>
        <v>3626.37</v>
      </c>
      <c r="G119" s="6"/>
      <c r="H119" s="15">
        <f>bal!AJ$12</f>
        <v>2365.8609999999999</v>
      </c>
      <c r="I119" s="6"/>
      <c r="J119" s="19">
        <f>AVERAGE(H118:H119)</f>
        <v>2639.6804999999999</v>
      </c>
      <c r="K119" s="6"/>
      <c r="L119" s="46">
        <f>(D119/D112-1)*100</f>
        <v>8.9445195304622693</v>
      </c>
      <c r="M119" s="70"/>
      <c r="N119" s="47">
        <f>(H119/H112-1)*100</f>
        <v>0.58932823129251855</v>
      </c>
      <c r="O119" s="70"/>
      <c r="P119" s="23">
        <f>(H119/H118-1)*100</f>
        <v>-18.796602025055776</v>
      </c>
      <c r="Q119" s="70"/>
      <c r="R119" s="20">
        <f>F119/J119</f>
        <v>1.3737912599649844</v>
      </c>
      <c r="S119" s="6"/>
      <c r="T119" s="20">
        <f>F123/H119</f>
        <v>1.2354271869733684</v>
      </c>
      <c r="U119" s="6"/>
      <c r="V119" s="76">
        <f>qtrSales!J120</f>
        <v>2381</v>
      </c>
      <c r="W119" s="6"/>
      <c r="X119" s="16">
        <f>H119/V119</f>
        <v>0.9936417471650566</v>
      </c>
      <c r="Y119" s="6"/>
      <c r="Z119" s="47">
        <f>(X119/X112-1)*100</f>
        <v>-6.0433994177259471</v>
      </c>
      <c r="AA119" s="70"/>
      <c r="AB119" s="71">
        <f>qtrSales!Z120</f>
        <v>70.575000000000017</v>
      </c>
      <c r="AC119" s="6"/>
      <c r="AD119" s="76">
        <f>H119/AB119</f>
        <v>33.52264966347856</v>
      </c>
      <c r="AE119" s="6"/>
      <c r="AF119" s="105">
        <f>(AD119/AD112-1)*100</f>
        <v>-6.7743151738003711</v>
      </c>
      <c r="AG119" s="70"/>
      <c r="AH119" s="89">
        <f>J119/(F119/(365/4))</f>
        <v>66.422026882254158</v>
      </c>
      <c r="AI119" s="134">
        <f>((F119-('yrP&amp;L'!$Q$16/4))/J119)</f>
        <v>1.2761847503892989</v>
      </c>
      <c r="AJ119" s="137"/>
      <c r="AK119" s="89"/>
      <c r="AL119" s="6"/>
      <c r="AM119" s="89">
        <f>+H119*0.9</f>
        <v>2129.2748999999999</v>
      </c>
      <c r="AN119" s="19">
        <f>AVERAGE(AM118:AM119)</f>
        <v>2375.71245</v>
      </c>
      <c r="AO119" s="6"/>
      <c r="AP119" s="6"/>
      <c r="AQ119" s="6"/>
    </row>
    <row r="120" spans="1:43">
      <c r="A120" s="6"/>
      <c r="B120" s="6" t="s">
        <v>531</v>
      </c>
      <c r="C120" s="6"/>
      <c r="D120" s="14">
        <f>SUM(D116:D119)</f>
        <v>16057.935000000001</v>
      </c>
      <c r="E120" s="6"/>
      <c r="F120" s="14">
        <f>SUM(F116:F119)</f>
        <v>12295.016</v>
      </c>
      <c r="G120" s="6"/>
      <c r="H120" s="6"/>
      <c r="I120" s="6"/>
      <c r="J120" s="14">
        <f>AVERAGE(J116:J119)</f>
        <v>2636.8803750000002</v>
      </c>
      <c r="K120" s="6"/>
      <c r="L120" s="23">
        <f>(D120/D113-1)*100</f>
        <v>7.6739417612907701</v>
      </c>
      <c r="M120" s="70"/>
      <c r="N120" s="6"/>
      <c r="O120" s="70"/>
      <c r="P120" s="6"/>
      <c r="Q120" s="70"/>
      <c r="R120" s="48">
        <f>F120/J120</f>
        <v>4.6627128468048156</v>
      </c>
      <c r="S120" s="45" t="s">
        <v>598</v>
      </c>
      <c r="T120" s="20"/>
      <c r="U120" s="6"/>
      <c r="V120" s="6"/>
      <c r="W120" s="6"/>
      <c r="X120" s="6"/>
      <c r="Y120" s="6"/>
      <c r="Z120" s="6"/>
      <c r="AA120" s="70"/>
      <c r="AB120" s="6"/>
      <c r="AC120" s="6"/>
      <c r="AD120" s="6"/>
      <c r="AE120" s="6"/>
      <c r="AF120" s="6"/>
      <c r="AG120" s="70"/>
      <c r="AH120" s="6"/>
      <c r="AI120" s="135">
        <f>((F120-('yrP&amp;L'!$Q$16))/J120)</f>
        <v>4.2718722118746086</v>
      </c>
      <c r="AJ120" s="136" t="s">
        <v>598</v>
      </c>
      <c r="AK120" s="6"/>
      <c r="AL120" s="6"/>
      <c r="AM120" s="6"/>
      <c r="AN120" s="14">
        <f>AVERAGE(AN116:AN119)</f>
        <v>2373.1923375000001</v>
      </c>
      <c r="AO120" s="6"/>
      <c r="AP120" s="6"/>
      <c r="AQ120" s="6"/>
    </row>
    <row r="121" spans="1:43">
      <c r="A121" s="6"/>
      <c r="B121" s="6"/>
      <c r="C121" s="6"/>
      <c r="D121" s="14"/>
      <c r="E121" s="6"/>
      <c r="F121" s="14"/>
      <c r="G121" s="6"/>
      <c r="H121" s="14"/>
      <c r="I121" s="6"/>
      <c r="J121" s="14"/>
      <c r="K121" s="6"/>
      <c r="L121" s="23"/>
      <c r="M121" s="6"/>
      <c r="N121" s="23"/>
      <c r="O121" s="6"/>
      <c r="P121" s="23"/>
      <c r="Q121" s="6"/>
      <c r="R121" s="20"/>
      <c r="S121" s="6"/>
      <c r="T121" s="60"/>
      <c r="U121" s="6"/>
      <c r="V121" s="6"/>
      <c r="W121" s="6"/>
      <c r="X121" s="16"/>
      <c r="Y121" s="6"/>
      <c r="Z121" s="47"/>
      <c r="AA121" s="70"/>
      <c r="AB121" s="72"/>
      <c r="AC121" s="6"/>
      <c r="AD121" s="75"/>
      <c r="AE121" s="6"/>
      <c r="AF121" s="47"/>
      <c r="AG121" s="70"/>
      <c r="AH121" s="6"/>
      <c r="AI121" s="6"/>
      <c r="AJ121" s="6"/>
      <c r="AK121" s="6"/>
      <c r="AL121" s="6"/>
      <c r="AM121" s="6"/>
      <c r="AN121" s="6"/>
      <c r="AO121" s="6"/>
      <c r="AP121" s="6"/>
      <c r="AQ121" s="6"/>
    </row>
    <row r="122" spans="1:43">
      <c r="A122" s="6"/>
      <c r="B122" s="139">
        <f>+B115+1</f>
        <v>2006</v>
      </c>
      <c r="C122" s="6"/>
      <c r="D122" s="6"/>
      <c r="E122" s="6"/>
      <c r="F122" s="6"/>
      <c r="G122" s="6"/>
      <c r="H122" s="61"/>
      <c r="I122" s="6"/>
      <c r="J122" s="6"/>
      <c r="K122" s="6"/>
      <c r="L122" s="6"/>
      <c r="M122" s="70"/>
      <c r="N122" s="6"/>
      <c r="O122" s="70"/>
      <c r="P122" s="6"/>
      <c r="Q122" s="70"/>
      <c r="R122" s="6"/>
      <c r="S122" s="6"/>
      <c r="T122" s="20"/>
      <c r="U122" s="6"/>
      <c r="V122" s="76"/>
      <c r="W122" s="6"/>
      <c r="X122" s="6"/>
      <c r="Y122" s="6"/>
      <c r="Z122" s="6"/>
      <c r="AA122" s="70"/>
      <c r="AB122" s="71"/>
      <c r="AC122" s="6"/>
      <c r="AD122" s="6"/>
      <c r="AE122" s="6"/>
      <c r="AF122" s="6"/>
      <c r="AG122" s="70"/>
      <c r="AH122" s="6"/>
      <c r="AI122" s="6"/>
      <c r="AJ122" s="6"/>
      <c r="AK122" s="6"/>
      <c r="AL122" s="6"/>
      <c r="AM122" s="6"/>
      <c r="AN122" s="6"/>
      <c r="AO122" s="6"/>
      <c r="AP122" s="6"/>
      <c r="AQ122" s="6"/>
    </row>
    <row r="123" spans="1:43">
      <c r="A123" s="6" t="s">
        <v>527</v>
      </c>
      <c r="B123" s="6" t="s">
        <v>514</v>
      </c>
      <c r="C123" s="70"/>
      <c r="D123" s="14">
        <f>+'qtrP&amp;L'!BR10</f>
        <v>3871.2559999999999</v>
      </c>
      <c r="E123" s="6"/>
      <c r="F123" s="14">
        <f>+'qtrP&amp;L'!BR21</f>
        <v>2922.8490000000002</v>
      </c>
      <c r="G123" s="6"/>
      <c r="H123" s="14">
        <f>+work!BN10</f>
        <v>2555.3000000000002</v>
      </c>
      <c r="I123" s="6"/>
      <c r="J123" s="14">
        <f>AVERAGE(H123,H119)</f>
        <v>2460.5805</v>
      </c>
      <c r="K123" s="6"/>
      <c r="L123" s="23">
        <f>(D123/D116-1)*100</f>
        <v>6.008658672501177</v>
      </c>
      <c r="M123" s="70" t="s">
        <v>190</v>
      </c>
      <c r="N123" s="23">
        <f>(H123/H116-1)*100</f>
        <v>3.8570964070882896</v>
      </c>
      <c r="O123" s="70" t="s">
        <v>190</v>
      </c>
      <c r="P123" s="23">
        <f>(H123/H119-1)*100</f>
        <v>8.0071906168621254</v>
      </c>
      <c r="Q123" s="70" t="s">
        <v>190</v>
      </c>
      <c r="R123" s="20">
        <f>F123/J123</f>
        <v>1.1878696917251843</v>
      </c>
      <c r="S123" s="6" t="s">
        <v>598</v>
      </c>
      <c r="T123" s="20">
        <f>F124/H123</f>
        <v>1.1874625288615817</v>
      </c>
      <c r="U123" s="6"/>
      <c r="V123" s="143">
        <f>qtrSales!J124</f>
        <v>2380</v>
      </c>
      <c r="W123" s="6"/>
      <c r="X123" s="16">
        <f>H123/V123</f>
        <v>1.073655462184874</v>
      </c>
      <c r="Y123" s="6"/>
      <c r="Z123" s="47">
        <f>(X123/X116-1)*100</f>
        <v>-1.7721327679177667</v>
      </c>
      <c r="AA123" s="70" t="s">
        <v>190</v>
      </c>
      <c r="AB123" s="144">
        <f>qtrSales!Z124</f>
        <v>71.7</v>
      </c>
      <c r="AC123" s="6"/>
      <c r="AD123" s="145">
        <f>H123/AB123</f>
        <v>35.638772663877269</v>
      </c>
      <c r="AE123" s="6"/>
      <c r="AF123" s="105">
        <f>(AD123/AD116-1)*100</f>
        <v>-3.699640688390704</v>
      </c>
      <c r="AG123" s="70" t="s">
        <v>190</v>
      </c>
      <c r="AH123" s="89">
        <f>J123/(F123/(365/4))</f>
        <v>76.818190274283737</v>
      </c>
      <c r="AI123" s="134">
        <f>((F123-('yrP&amp;L'!$R$16/4))/J123)</f>
        <v>1.0746850184336583</v>
      </c>
      <c r="AJ123" s="117" t="s">
        <v>598</v>
      </c>
      <c r="AK123" s="89"/>
      <c r="AL123" s="6"/>
      <c r="AM123" s="89">
        <f>+H123*0.9</f>
        <v>2299.7700000000004</v>
      </c>
      <c r="AN123" s="14">
        <f>AVERAGE(AM123,AM119)</f>
        <v>2214.5224500000004</v>
      </c>
      <c r="AO123" s="6"/>
      <c r="AP123" s="6"/>
      <c r="AQ123" s="6"/>
    </row>
    <row r="124" spans="1:43">
      <c r="A124" s="6" t="s">
        <v>528</v>
      </c>
      <c r="B124" s="6" t="s">
        <v>515</v>
      </c>
      <c r="C124" s="6"/>
      <c r="D124" s="15">
        <f>+'qtrP&amp;L'!BR11</f>
        <v>3963.6590000000001</v>
      </c>
      <c r="E124" s="6"/>
      <c r="F124" s="15">
        <f>+'qtrP&amp;L'!BR22</f>
        <v>3034.3229999999999</v>
      </c>
      <c r="G124" s="6"/>
      <c r="H124" s="15">
        <f>+work!BN11</f>
        <v>2923.4340000000002</v>
      </c>
      <c r="I124" s="6"/>
      <c r="J124" s="15">
        <f>AVERAGE(H123:H124)</f>
        <v>2739.3670000000002</v>
      </c>
      <c r="K124" s="6"/>
      <c r="L124" s="23">
        <f>(D124/D117-1)*100</f>
        <v>8.6569243497431216</v>
      </c>
      <c r="M124" s="70"/>
      <c r="N124" s="23">
        <f>(H124/H117-1)*100</f>
        <v>3.8634080970167073</v>
      </c>
      <c r="O124" s="70"/>
      <c r="P124" s="23">
        <f>(H124/H123-1)*100</f>
        <v>14.406684146675541</v>
      </c>
      <c r="Q124" s="70"/>
      <c r="R124" s="20">
        <f>F124/J124</f>
        <v>1.1076730500148391</v>
      </c>
      <c r="S124" s="6"/>
      <c r="T124" s="20">
        <f>F125/H124</f>
        <v>1.1404687090592776</v>
      </c>
      <c r="U124" s="6"/>
      <c r="V124" s="76">
        <f>qtrSales!J125</f>
        <v>2395</v>
      </c>
      <c r="W124" s="6"/>
      <c r="X124" s="16">
        <f>H124/V124</f>
        <v>1.2206405010438415</v>
      </c>
      <c r="Y124" s="6"/>
      <c r="Z124" s="47">
        <f>(X124/X117-1)*100</f>
        <v>-1.0370366273936726</v>
      </c>
      <c r="AA124" s="70"/>
      <c r="AB124" s="71">
        <f>qtrSales!Z125</f>
        <v>72.099999999999994</v>
      </c>
      <c r="AC124" s="6"/>
      <c r="AD124" s="76">
        <f>H124/AB124</f>
        <v>40.546934812760064</v>
      </c>
      <c r="AE124" s="6"/>
      <c r="AF124" s="105">
        <f>(AD124/AD117-1)*100</f>
        <v>-3.0286099177902481</v>
      </c>
      <c r="AG124" s="70"/>
      <c r="AH124" s="89">
        <f>J124/(F124/(365/4))</f>
        <v>82.379904430082107</v>
      </c>
      <c r="AI124" s="134">
        <f>((F124-('yrP&amp;L'!$R$16/4))/J124)</f>
        <v>1.0060072272170906</v>
      </c>
      <c r="AJ124" s="117"/>
      <c r="AK124" s="89"/>
      <c r="AL124" s="6"/>
      <c r="AM124" s="89">
        <f>+H124*0.9</f>
        <v>2631.0906000000004</v>
      </c>
      <c r="AN124" s="15">
        <f>AVERAGE(AM123:AM124)</f>
        <v>2465.4303000000004</v>
      </c>
      <c r="AO124" s="6"/>
      <c r="AP124" s="6"/>
      <c r="AQ124" s="6"/>
    </row>
    <row r="125" spans="1:43">
      <c r="A125" s="6" t="s">
        <v>529</v>
      </c>
      <c r="B125" s="6" t="s">
        <v>516</v>
      </c>
      <c r="C125" s="6"/>
      <c r="D125" s="15">
        <f>+'qtrP&amp;L'!BR12</f>
        <v>4472.9430000000002</v>
      </c>
      <c r="E125" s="6"/>
      <c r="F125" s="15">
        <f>+'qtrP&amp;L'!BR23</f>
        <v>3334.085</v>
      </c>
      <c r="G125" s="6"/>
      <c r="H125" s="15">
        <f>+work!BN12</f>
        <v>3246.3</v>
      </c>
      <c r="I125" s="6"/>
      <c r="J125" s="15">
        <f>AVERAGE(H124:H125)</f>
        <v>3084.8670000000002</v>
      </c>
      <c r="K125" s="6"/>
      <c r="L125" s="23">
        <f>(D125/D118-1)*100</f>
        <v>10.664037218029488</v>
      </c>
      <c r="M125" s="70"/>
      <c r="N125" s="23">
        <f>(H125/H118-1)*100</f>
        <v>11.422687489274086</v>
      </c>
      <c r="O125" s="70"/>
      <c r="P125" s="23">
        <f>(H125/H124-1)*100</f>
        <v>11.044066669540008</v>
      </c>
      <c r="Q125" s="70"/>
      <c r="R125" s="20">
        <f>F125/J125</f>
        <v>1.0807872754319716</v>
      </c>
      <c r="S125" s="6"/>
      <c r="T125" s="20">
        <f>F126/H125</f>
        <v>1.2082820441733666</v>
      </c>
      <c r="U125" s="6"/>
      <c r="V125" s="76">
        <f>qtrSales!J126</f>
        <v>2471</v>
      </c>
      <c r="W125" s="6"/>
      <c r="X125" s="16">
        <f>H125/V125</f>
        <v>1.3137596114933225</v>
      </c>
      <c r="Y125" s="6"/>
      <c r="Z125" s="47">
        <f>(X125/X118-1)*100</f>
        <v>6.9134731028202445</v>
      </c>
      <c r="AA125" s="70"/>
      <c r="AB125" s="71">
        <f>qtrSales!Z126</f>
        <v>74.599999999999994</v>
      </c>
      <c r="AC125" s="6"/>
      <c r="AD125" s="76">
        <f>H125/AB125</f>
        <v>43.516085790884723</v>
      </c>
      <c r="AE125" s="6"/>
      <c r="AF125" s="105">
        <f>(AD125/AD118-1)*100</f>
        <v>4.3360817349887393</v>
      </c>
      <c r="AG125" s="70"/>
      <c r="AH125" s="89">
        <f>J125/(F125/(365/4))</f>
        <v>84.429195341450509</v>
      </c>
      <c r="AI125" s="134">
        <f>((F125-('yrP&amp;L'!$R$16/4))/J125)</f>
        <v>0.99050785657858176</v>
      </c>
      <c r="AJ125" s="117"/>
      <c r="AK125" s="89"/>
      <c r="AL125" s="6"/>
      <c r="AM125" s="89">
        <f>+H125*0.9</f>
        <v>2921.67</v>
      </c>
      <c r="AN125" s="15">
        <f>AVERAGE(AM124:AM125)</f>
        <v>2776.3803000000003</v>
      </c>
      <c r="AO125" s="6"/>
      <c r="AP125" s="6"/>
      <c r="AQ125" s="6"/>
    </row>
    <row r="126" spans="1:43">
      <c r="A126" s="6" t="s">
        <v>530</v>
      </c>
      <c r="B126" s="6" t="s">
        <v>517</v>
      </c>
      <c r="C126" s="6"/>
      <c r="D126" s="19">
        <f>+'qtrP&amp;L'!BR13</f>
        <v>5096.7790000000005</v>
      </c>
      <c r="E126" s="6"/>
      <c r="F126" s="19">
        <f>+'qtrP&amp;L'!BR24</f>
        <v>3922.4459999999999</v>
      </c>
      <c r="G126" s="6"/>
      <c r="H126" s="15">
        <f>bal!AL$12</f>
        <v>2581.9690000000001</v>
      </c>
      <c r="I126" s="6"/>
      <c r="J126" s="19">
        <f>AVERAGE(H125:H126)</f>
        <v>2914.1345000000001</v>
      </c>
      <c r="K126" s="6"/>
      <c r="L126" s="46">
        <f>(D126/D119-1)*100</f>
        <v>8.0667010578358891</v>
      </c>
      <c r="M126" s="70"/>
      <c r="N126" s="47">
        <f>(H126/H119-1)*100</f>
        <v>9.1344335106754002</v>
      </c>
      <c r="O126" s="70"/>
      <c r="P126" s="23">
        <f>(H126/H125-1)*100</f>
        <v>-20.464251609524698</v>
      </c>
      <c r="Q126" s="70"/>
      <c r="R126" s="20">
        <f>F126/J126</f>
        <v>1.3460071935595286</v>
      </c>
      <c r="S126" s="6"/>
      <c r="T126" s="20">
        <f>F130/H126</f>
        <v>1.2060330701104467</v>
      </c>
      <c r="U126" s="6"/>
      <c r="V126" s="76">
        <f>qtrSales!J127</f>
        <v>2466</v>
      </c>
      <c r="W126" s="6"/>
      <c r="X126" s="16">
        <f>H126/V126</f>
        <v>1.0470271695052717</v>
      </c>
      <c r="Y126" s="6"/>
      <c r="Z126" s="47">
        <f>(X126/X119-1)*100</f>
        <v>5.3727032396261754</v>
      </c>
      <c r="AA126" s="70"/>
      <c r="AB126" s="71">
        <f>qtrSales!Z127</f>
        <v>73.699999999999989</v>
      </c>
      <c r="AC126" s="6"/>
      <c r="AD126" s="76">
        <f>H126/AB126</f>
        <v>35.033500678426059</v>
      </c>
      <c r="AE126" s="6"/>
      <c r="AF126" s="105">
        <f>(AD126/AD119-1)*100</f>
        <v>4.5069558346800376</v>
      </c>
      <c r="AG126" s="70"/>
      <c r="AH126" s="89">
        <f>J126/(F126/(365/4))</f>
        <v>67.793099796657501</v>
      </c>
      <c r="AI126" s="134">
        <f>((F126-('yrP&amp;L'!$R$16/4))/J126)</f>
        <v>1.2504385092726502</v>
      </c>
      <c r="AJ126" s="137"/>
      <c r="AK126" s="89"/>
      <c r="AL126" s="6"/>
      <c r="AM126" s="89">
        <f>+H126*0.9</f>
        <v>2323.7721000000001</v>
      </c>
      <c r="AN126" s="19">
        <f>AVERAGE(AM125:AM126)</f>
        <v>2622.7210500000001</v>
      </c>
      <c r="AO126" s="6"/>
      <c r="AP126" s="6"/>
      <c r="AQ126" s="6"/>
    </row>
    <row r="127" spans="1:43">
      <c r="A127" s="6"/>
      <c r="B127" s="6" t="s">
        <v>531</v>
      </c>
      <c r="C127" s="6"/>
      <c r="D127" s="14">
        <f>SUM(D123:D126)</f>
        <v>17404.637000000002</v>
      </c>
      <c r="E127" s="6"/>
      <c r="F127" s="14">
        <f>SUM(F123:F126)</f>
        <v>13213.703000000001</v>
      </c>
      <c r="G127" s="6"/>
      <c r="H127" s="6"/>
      <c r="I127" s="6"/>
      <c r="J127" s="14">
        <f>AVERAGE(J123:J126)</f>
        <v>2799.7372500000001</v>
      </c>
      <c r="K127" s="6"/>
      <c r="L127" s="23">
        <f>(D127/D120-1)*100</f>
        <v>8.3865204336672328</v>
      </c>
      <c r="M127" s="70"/>
      <c r="N127" s="6"/>
      <c r="O127" s="70"/>
      <c r="P127" s="6"/>
      <c r="Q127" s="70"/>
      <c r="R127" s="48">
        <f>F127/J127</f>
        <v>4.7196225288640932</v>
      </c>
      <c r="S127" s="45" t="s">
        <v>598</v>
      </c>
      <c r="T127" s="20"/>
      <c r="U127" s="6"/>
      <c r="V127" s="76"/>
      <c r="W127" s="6"/>
      <c r="X127" s="6"/>
      <c r="Y127" s="6"/>
      <c r="Z127" s="6"/>
      <c r="AA127" s="70"/>
      <c r="AB127" s="6"/>
      <c r="AC127" s="6"/>
      <c r="AD127" s="6"/>
      <c r="AE127" s="6"/>
      <c r="AF127" s="6"/>
      <c r="AG127" s="70"/>
      <c r="AH127" s="6"/>
      <c r="AI127" s="135">
        <f>((F127-('yrP&amp;L'!$R$16))/J127)</f>
        <v>4.321728047873064</v>
      </c>
      <c r="AJ127" s="136" t="s">
        <v>598</v>
      </c>
      <c r="AK127" s="6"/>
      <c r="AL127" s="6"/>
      <c r="AM127" s="6"/>
      <c r="AN127" s="14">
        <f>AVERAGE(AN123:AN126)</f>
        <v>2519.7635250000003</v>
      </c>
      <c r="AO127" s="6"/>
      <c r="AP127" s="6"/>
      <c r="AQ127" s="6"/>
    </row>
    <row r="128" spans="1:43">
      <c r="A128" s="6"/>
      <c r="B128" s="6"/>
      <c r="C128" s="6"/>
      <c r="D128" s="14"/>
      <c r="E128" s="6"/>
      <c r="F128" s="14"/>
      <c r="G128" s="6"/>
      <c r="H128" s="6"/>
      <c r="I128" s="6"/>
      <c r="J128" s="14"/>
      <c r="K128" s="6"/>
      <c r="L128" s="23"/>
      <c r="M128" s="70"/>
      <c r="N128" s="6"/>
      <c r="O128" s="70"/>
      <c r="P128" s="6"/>
      <c r="Q128" s="70"/>
      <c r="R128" s="140"/>
      <c r="S128" s="11"/>
      <c r="T128" s="20"/>
      <c r="U128" s="6"/>
      <c r="V128" s="6"/>
      <c r="W128" s="6"/>
      <c r="X128" s="6"/>
      <c r="Y128" s="6"/>
      <c r="Z128" s="6"/>
      <c r="AA128" s="70"/>
      <c r="AB128" s="6"/>
      <c r="AC128" s="6"/>
      <c r="AD128" s="6"/>
      <c r="AE128" s="6"/>
      <c r="AF128" s="6"/>
      <c r="AG128" s="70"/>
      <c r="AH128" s="6"/>
      <c r="AI128" s="134"/>
      <c r="AJ128" s="137"/>
      <c r="AK128" s="6"/>
      <c r="AL128" s="6"/>
      <c r="AM128" s="6"/>
      <c r="AN128" s="14"/>
      <c r="AO128" s="6"/>
      <c r="AP128" s="6"/>
      <c r="AQ128" s="6"/>
    </row>
    <row r="129" spans="1:43">
      <c r="A129" s="6"/>
      <c r="B129" s="139">
        <f>+B122+1</f>
        <v>2007</v>
      </c>
      <c r="C129" s="6"/>
      <c r="D129" s="6"/>
      <c r="E129" s="6"/>
      <c r="F129" s="6"/>
      <c r="G129" s="6"/>
      <c r="H129" s="61"/>
      <c r="I129" s="6"/>
      <c r="J129" s="6"/>
      <c r="K129" s="6"/>
      <c r="L129" s="6"/>
      <c r="M129" s="70"/>
      <c r="N129" s="6"/>
      <c r="O129" s="70"/>
      <c r="P129" s="6"/>
      <c r="Q129" s="70"/>
      <c r="R129" s="6"/>
      <c r="S129" s="6"/>
      <c r="T129" s="20"/>
      <c r="U129" s="6"/>
      <c r="V129" s="76">
        <f>V130-V126</f>
        <v>25</v>
      </c>
      <c r="W129" s="6"/>
      <c r="X129" s="6"/>
      <c r="Y129" s="6"/>
      <c r="Z129" s="6"/>
      <c r="AA129" s="70"/>
      <c r="AB129" s="71"/>
      <c r="AC129" s="6"/>
      <c r="AD129" s="6"/>
      <c r="AE129" s="6"/>
      <c r="AF129" s="6"/>
      <c r="AG129" s="70"/>
      <c r="AH129" s="6"/>
      <c r="AI129" s="6"/>
      <c r="AJ129" s="6"/>
      <c r="AK129" s="6"/>
      <c r="AL129" s="6"/>
      <c r="AM129" s="6"/>
      <c r="AN129" s="6"/>
      <c r="AO129" s="6"/>
      <c r="AP129" s="6"/>
      <c r="AQ129" s="6"/>
    </row>
    <row r="130" spans="1:43">
      <c r="A130" s="6" t="s">
        <v>527</v>
      </c>
      <c r="B130" s="6" t="s">
        <v>514</v>
      </c>
      <c r="C130" s="70"/>
      <c r="D130" s="14">
        <f>'qtrP&amp;L'!BV10</f>
        <v>4108.0810000000001</v>
      </c>
      <c r="E130" s="6"/>
      <c r="F130" s="14">
        <f>'qtrP&amp;L'!BV21</f>
        <v>3113.94</v>
      </c>
      <c r="G130" s="6"/>
      <c r="H130" s="104">
        <f>work!BR10</f>
        <v>2829.3</v>
      </c>
      <c r="I130" s="6"/>
      <c r="J130" s="14">
        <f>AVERAGE(H130,H126)</f>
        <v>2705.6345000000001</v>
      </c>
      <c r="K130" s="6"/>
      <c r="L130" s="23">
        <f>(D130/D123-1)*100</f>
        <v>6.1175236150748047</v>
      </c>
      <c r="M130" s="70" t="s">
        <v>190</v>
      </c>
      <c r="N130" s="23">
        <f>(H130/H123-1)*100</f>
        <v>10.72281141157594</v>
      </c>
      <c r="O130" s="70" t="s">
        <v>190</v>
      </c>
      <c r="P130" s="23">
        <f>(H130/H126-1)*100</f>
        <v>9.5791622595004178</v>
      </c>
      <c r="Q130" s="70" t="s">
        <v>190</v>
      </c>
      <c r="R130" s="20">
        <f>F130/J130</f>
        <v>1.1509093338364809</v>
      </c>
      <c r="S130" s="6" t="s">
        <v>598</v>
      </c>
      <c r="T130" s="20">
        <f>F131/H130</f>
        <v>1.1578648428940019</v>
      </c>
      <c r="U130" s="6"/>
      <c r="V130" s="143">
        <f>qtrSales!J131</f>
        <v>2491</v>
      </c>
      <c r="W130" s="6"/>
      <c r="X130" s="16">
        <f>H130/V130</f>
        <v>1.1358089120835007</v>
      </c>
      <c r="Y130" s="6"/>
      <c r="Z130" s="47">
        <f>(X130/X123-1)*100</f>
        <v>5.7889567079689952</v>
      </c>
      <c r="AA130" s="70" t="s">
        <v>190</v>
      </c>
      <c r="AB130" s="144">
        <f>qtrSales!Z131</f>
        <v>74.499999999999986</v>
      </c>
      <c r="AC130" s="6"/>
      <c r="AD130" s="145">
        <f>H130/AB130</f>
        <v>37.9771812080537</v>
      </c>
      <c r="AE130" s="6"/>
      <c r="AF130" s="105">
        <f>(AD130/AD123-1)*100</f>
        <v>6.5614171571811486</v>
      </c>
      <c r="AG130" s="70" t="s">
        <v>190</v>
      </c>
      <c r="AH130" s="89">
        <f>J130/(F130/(365/4))</f>
        <v>79.285133343930838</v>
      </c>
      <c r="AI130" s="134">
        <f>((F130-('yrP&amp;L'!$S$16/4))/J130)</f>
        <v>1.0407226105373804</v>
      </c>
      <c r="AJ130" s="117" t="s">
        <v>598</v>
      </c>
      <c r="AK130" s="89"/>
      <c r="AL130" s="6"/>
      <c r="AM130" s="89">
        <f>+H130*0.9</f>
        <v>2546.3700000000003</v>
      </c>
      <c r="AN130" s="14">
        <f>AVERAGE(AM130,AM126)</f>
        <v>2435.0710500000005</v>
      </c>
      <c r="AO130" s="6"/>
      <c r="AP130" s="6"/>
      <c r="AQ130" s="6"/>
    </row>
    <row r="131" spans="1:43">
      <c r="A131" s="6" t="s">
        <v>528</v>
      </c>
      <c r="B131" s="6" t="s">
        <v>515</v>
      </c>
      <c r="C131" s="6"/>
      <c r="D131" s="15">
        <f>'qtrP&amp;L'!BV11</f>
        <v>4313.2979999999998</v>
      </c>
      <c r="E131" s="6"/>
      <c r="F131" s="15">
        <f>'qtrP&amp;L'!BV22</f>
        <v>3275.9470000000001</v>
      </c>
      <c r="G131" s="6"/>
      <c r="H131" s="15">
        <f>+work!BR11</f>
        <v>3050.2</v>
      </c>
      <c r="I131" s="6"/>
      <c r="J131" s="15">
        <f>AVERAGE(H130:H131)</f>
        <v>2939.75</v>
      </c>
      <c r="K131" s="6"/>
      <c r="L131" s="23">
        <f>(D131/D124-1)*100</f>
        <v>8.821117053712225</v>
      </c>
      <c r="M131" s="70"/>
      <c r="N131" s="23">
        <f>(H131/H124-1)*100</f>
        <v>4.3362018776548217</v>
      </c>
      <c r="O131" s="70"/>
      <c r="P131" s="23">
        <f>(H131/H130-1)*100</f>
        <v>7.8075849149966237</v>
      </c>
      <c r="Q131" s="70"/>
      <c r="R131" s="20">
        <f>F131/J131</f>
        <v>1.1143624457862062</v>
      </c>
      <c r="S131" s="6"/>
      <c r="T131" s="20">
        <f>F132/H131</f>
        <v>1.1411077962100846</v>
      </c>
      <c r="U131" s="6"/>
      <c r="V131" s="76">
        <f>qtrSales!J132</f>
        <v>2496</v>
      </c>
      <c r="W131" s="6"/>
      <c r="X131" s="16">
        <f>H131/V131</f>
        <v>1.2220352564102563</v>
      </c>
      <c r="Y131" s="6"/>
      <c r="Z131" s="47">
        <f>(X131/X124-1)*100</f>
        <v>0.11426422154778848</v>
      </c>
      <c r="AA131" s="70"/>
      <c r="AB131" s="71">
        <f>qtrSales!Z132</f>
        <v>74.599999999999994</v>
      </c>
      <c r="AC131" s="6"/>
      <c r="AD131" s="76">
        <f>H131/AB131</f>
        <v>40.887399463806972</v>
      </c>
      <c r="AE131" s="6"/>
      <c r="AF131" s="105">
        <f>(AD131/AD124-1)*100</f>
        <v>0.83968036700954318</v>
      </c>
      <c r="AG131" s="70"/>
      <c r="AH131" s="89">
        <f>J131/(F131/(365/4))</f>
        <v>81.885386882022203</v>
      </c>
      <c r="AI131" s="134">
        <f>((F131-('yrP&amp;L'!$S$16/4))/J131)</f>
        <v>1.0129507611191428</v>
      </c>
      <c r="AJ131" s="117"/>
      <c r="AK131" s="89"/>
      <c r="AL131" s="6"/>
      <c r="AM131" s="89">
        <f>+H131*0.9</f>
        <v>2745.18</v>
      </c>
      <c r="AN131" s="15">
        <f>AVERAGE(AM130:AM131)</f>
        <v>2645.7750000000001</v>
      </c>
      <c r="AO131" s="6"/>
      <c r="AP131" s="6"/>
      <c r="AQ131" s="6"/>
    </row>
    <row r="132" spans="1:43">
      <c r="A132" s="6" t="s">
        <v>529</v>
      </c>
      <c r="B132" s="6" t="s">
        <v>516</v>
      </c>
      <c r="C132" s="6"/>
      <c r="D132" s="15">
        <f>'qtrP&amp;L'!BV12</f>
        <v>4658.7179999999998</v>
      </c>
      <c r="E132" s="6"/>
      <c r="F132" s="15">
        <f>'qtrP&amp;L'!BV23</f>
        <v>3480.607</v>
      </c>
      <c r="G132" s="6"/>
      <c r="H132" s="15">
        <f>+work!BR12</f>
        <v>3364.5</v>
      </c>
      <c r="I132" s="6"/>
      <c r="J132" s="15">
        <f>AVERAGE(H131:H132)</f>
        <v>3207.35</v>
      </c>
      <c r="K132" s="6"/>
      <c r="L132" s="23">
        <f>(D132/D125-1)*100</f>
        <v>4.1533057765323456</v>
      </c>
      <c r="M132" s="70"/>
      <c r="N132" s="23">
        <f>(H132/H125-1)*100</f>
        <v>3.6410682931337091</v>
      </c>
      <c r="O132" s="70"/>
      <c r="P132" s="23">
        <f>(H132/H131-1)*100</f>
        <v>10.30424234476428</v>
      </c>
      <c r="Q132" s="70"/>
      <c r="R132" s="20">
        <f>F132/J132</f>
        <v>1.0851971253527055</v>
      </c>
      <c r="S132" s="6"/>
      <c r="T132" s="20">
        <f>F133/H132</f>
        <v>1.2105207311636201</v>
      </c>
      <c r="U132" s="6"/>
      <c r="V132" s="76">
        <f>qtrSales!J133</f>
        <v>2565</v>
      </c>
      <c r="W132" s="6"/>
      <c r="X132" s="16">
        <f>H132/V132</f>
        <v>1.3116959064327485</v>
      </c>
      <c r="Y132" s="6"/>
      <c r="Z132" s="47">
        <f>(X132/X125-1)*100</f>
        <v>-0.15708391721894754</v>
      </c>
      <c r="AA132" s="70"/>
      <c r="AB132" s="71">
        <f>qtrSales!Z133</f>
        <v>76.899999999999991</v>
      </c>
      <c r="AC132" s="6"/>
      <c r="AD132" s="76">
        <f>H132/AB132</f>
        <v>43.751625487646301</v>
      </c>
      <c r="AE132" s="6"/>
      <c r="AF132" s="105">
        <f>(AD132/AD125-1)*100</f>
        <v>0.54127041180462854</v>
      </c>
      <c r="AG132" s="70"/>
      <c r="AH132" s="89">
        <f>J132/(F132/(365/4))</f>
        <v>84.086105526995723</v>
      </c>
      <c r="AI132" s="134">
        <f>((F132-('yrP&amp;L'!$S$16/4))/J132)</f>
        <v>0.99224655868551925</v>
      </c>
      <c r="AJ132" s="117"/>
      <c r="AK132" s="89"/>
      <c r="AL132" s="6"/>
      <c r="AM132" s="89">
        <f>+H132*0.9</f>
        <v>3028.05</v>
      </c>
      <c r="AN132" s="15">
        <f>AVERAGE(AM131:AM132)</f>
        <v>2886.6149999999998</v>
      </c>
      <c r="AO132" s="6"/>
      <c r="AP132" s="6"/>
      <c r="AQ132" s="6"/>
    </row>
    <row r="133" spans="1:43">
      <c r="A133" s="6" t="s">
        <v>530</v>
      </c>
      <c r="B133" s="6" t="s">
        <v>517</v>
      </c>
      <c r="C133" s="6"/>
      <c r="D133" s="19">
        <f>'qtrP&amp;L'!BV13</f>
        <v>5391.8760000000002</v>
      </c>
      <c r="E133" s="6"/>
      <c r="F133" s="19">
        <f>'qtrP&amp;L'!BV24</f>
        <v>4072.797</v>
      </c>
      <c r="G133" s="6"/>
      <c r="H133" s="15">
        <f>bal!$AN$12</f>
        <v>2737.3780000000002</v>
      </c>
      <c r="I133" s="6"/>
      <c r="J133" s="19">
        <f>AVERAGE(H132:H133)</f>
        <v>3050.9390000000003</v>
      </c>
      <c r="K133" s="6"/>
      <c r="L133" s="46">
        <f>(D133/D126-1)*100</f>
        <v>5.7898723880317249</v>
      </c>
      <c r="M133" s="70"/>
      <c r="N133" s="47">
        <f>(H133/H126-1)*100</f>
        <v>6.0190110725574231</v>
      </c>
      <c r="O133" s="70"/>
      <c r="P133" s="23">
        <f>(H133/H132-1)*100</f>
        <v>-18.639381780353691</v>
      </c>
      <c r="Q133" s="70"/>
      <c r="R133" s="20">
        <f>F133/J133</f>
        <v>1.334932294614871</v>
      </c>
      <c r="S133" s="6"/>
      <c r="T133" s="20">
        <f>F137/H133</f>
        <v>1.1971101543155531</v>
      </c>
      <c r="U133" s="6"/>
      <c r="V133" s="76">
        <f>qtrSales!J134</f>
        <v>2563</v>
      </c>
      <c r="W133" s="6"/>
      <c r="X133" s="16">
        <f>H133/V133</f>
        <v>1.0680366757705815</v>
      </c>
      <c r="Y133" s="6"/>
      <c r="Z133" s="47">
        <f>(X133/X126-1)*100</f>
        <v>2.0065865411340589</v>
      </c>
      <c r="AA133" s="70"/>
      <c r="AB133" s="71">
        <f>qtrSales!Z134</f>
        <v>76.240000000000009</v>
      </c>
      <c r="AC133" s="6"/>
      <c r="AD133" s="76">
        <f>H133/AB133</f>
        <v>35.904748163693597</v>
      </c>
      <c r="AE133" s="6"/>
      <c r="AF133" s="105">
        <f>(AD133/AD126-1)*100</f>
        <v>2.4868981643163535</v>
      </c>
      <c r="AG133" s="70"/>
      <c r="AH133" s="89">
        <f>J133/(F133/(365/4))</f>
        <v>68.355526619667032</v>
      </c>
      <c r="AI133" s="134">
        <f>((F133-('yrP&amp;L'!$S$16/4))/J133)</f>
        <v>1.237216476632276</v>
      </c>
      <c r="AJ133" s="137"/>
      <c r="AK133" s="89"/>
      <c r="AL133" s="6"/>
      <c r="AM133" s="89">
        <f>+H133*0.9</f>
        <v>2463.6402000000003</v>
      </c>
      <c r="AN133" s="19">
        <f>AVERAGE(AM132:AM133)</f>
        <v>2745.8451000000005</v>
      </c>
      <c r="AO133" s="6"/>
      <c r="AP133" s="6"/>
      <c r="AQ133" s="6"/>
    </row>
    <row r="134" spans="1:43">
      <c r="A134" s="6"/>
      <c r="B134" s="6" t="s">
        <v>531</v>
      </c>
      <c r="C134" s="6"/>
      <c r="D134" s="14">
        <f>SUM(D130:D133)</f>
        <v>18471.973000000002</v>
      </c>
      <c r="E134" s="6"/>
      <c r="F134" s="14">
        <f>SUM(F130:F133)</f>
        <v>13943.291000000001</v>
      </c>
      <c r="G134" s="6"/>
      <c r="H134" s="6"/>
      <c r="I134" s="6"/>
      <c r="J134" s="14">
        <f>AVERAGE(J130:J133)</f>
        <v>2975.9183750000002</v>
      </c>
      <c r="K134" s="6"/>
      <c r="L134" s="23">
        <f>(D134/D127-1)*100</f>
        <v>6.1324806716738678</v>
      </c>
      <c r="M134" s="70"/>
      <c r="N134" s="6"/>
      <c r="O134" s="70"/>
      <c r="P134" s="6"/>
      <c r="Q134" s="70"/>
      <c r="R134" s="48">
        <f>F134/J134</f>
        <v>4.6853741410162169</v>
      </c>
      <c r="S134" s="45" t="s">
        <v>598</v>
      </c>
      <c r="T134" s="20"/>
      <c r="U134" s="6"/>
      <c r="V134" s="76"/>
      <c r="W134" s="6"/>
      <c r="X134" s="6"/>
      <c r="Y134" s="6"/>
      <c r="Z134" s="6"/>
      <c r="AA134" s="70"/>
      <c r="AB134" s="62"/>
      <c r="AC134" s="6"/>
      <c r="AD134" s="6"/>
      <c r="AE134" s="6"/>
      <c r="AF134" s="6"/>
      <c r="AG134" s="70"/>
      <c r="AH134" s="6"/>
      <c r="AI134" s="135">
        <f>((F134-('yrP&amp;L'!$S$16))/J134)</f>
        <v>4.2846575050970612</v>
      </c>
      <c r="AJ134" s="136" t="s">
        <v>598</v>
      </c>
      <c r="AK134" s="6"/>
      <c r="AL134" s="6"/>
      <c r="AM134" s="6"/>
      <c r="AN134" s="14">
        <f>AVERAGE(AN130:AN133)</f>
        <v>2678.3265375000001</v>
      </c>
      <c r="AO134" s="6"/>
      <c r="AP134" s="6"/>
      <c r="AQ134" s="6"/>
    </row>
    <row r="135" spans="1:43">
      <c r="A135" s="6"/>
      <c r="B135" s="6"/>
      <c r="C135" s="6"/>
      <c r="D135" s="14"/>
      <c r="E135" s="6"/>
      <c r="F135" s="14"/>
      <c r="G135" s="6"/>
      <c r="H135" s="6"/>
      <c r="I135" s="6"/>
      <c r="J135" s="14"/>
      <c r="K135" s="6"/>
      <c r="L135" s="23"/>
      <c r="M135" s="70"/>
      <c r="N135" s="6"/>
      <c r="O135" s="70"/>
      <c r="P135" s="6"/>
      <c r="Q135" s="70"/>
      <c r="R135" s="140"/>
      <c r="S135" s="11"/>
      <c r="T135" s="20"/>
      <c r="U135" s="6"/>
      <c r="V135" s="76"/>
      <c r="W135" s="6"/>
      <c r="X135" s="6"/>
      <c r="Y135" s="6"/>
      <c r="Z135" s="6"/>
      <c r="AA135" s="70"/>
      <c r="AB135" s="62"/>
      <c r="AC135" s="6"/>
      <c r="AD135" s="6"/>
      <c r="AE135" s="6"/>
      <c r="AF135" s="6"/>
      <c r="AG135" s="70"/>
      <c r="AH135" s="6"/>
      <c r="AI135" s="134"/>
      <c r="AJ135" s="137"/>
      <c r="AK135" s="6"/>
      <c r="AL135" s="6"/>
      <c r="AM135" s="6"/>
      <c r="AN135" s="14"/>
      <c r="AO135" s="6"/>
      <c r="AP135" s="6"/>
      <c r="AQ135" s="6"/>
    </row>
    <row r="136" spans="1:43">
      <c r="A136" s="6"/>
      <c r="B136" s="139">
        <f>+B129+1</f>
        <v>2008</v>
      </c>
      <c r="C136" s="6"/>
      <c r="D136" s="6"/>
      <c r="E136" s="6"/>
      <c r="F136" s="6"/>
      <c r="G136" s="6"/>
      <c r="H136" s="61"/>
      <c r="I136" s="6"/>
      <c r="J136" s="6"/>
      <c r="K136" s="6"/>
      <c r="L136" s="6"/>
      <c r="M136" s="70"/>
      <c r="N136" s="6"/>
      <c r="O136" s="70"/>
      <c r="P136" s="6"/>
      <c r="Q136" s="70"/>
      <c r="R136" s="62"/>
      <c r="S136" s="6"/>
      <c r="T136" s="20"/>
      <c r="U136" s="6"/>
      <c r="V136" s="76"/>
      <c r="W136" s="6"/>
      <c r="X136" s="6"/>
      <c r="Y136" s="6"/>
      <c r="Z136" s="6"/>
      <c r="AA136" s="70"/>
      <c r="AB136" s="62"/>
      <c r="AC136" s="6"/>
      <c r="AD136" s="6"/>
      <c r="AE136" s="6"/>
      <c r="AF136" s="6"/>
      <c r="AG136" s="70"/>
      <c r="AH136" s="6"/>
      <c r="AI136" s="6"/>
      <c r="AJ136" s="6"/>
      <c r="AK136" s="6"/>
      <c r="AL136" s="6"/>
      <c r="AM136" s="6"/>
      <c r="AN136" s="6"/>
      <c r="AO136" s="6"/>
      <c r="AP136" s="6"/>
      <c r="AQ136" s="6"/>
    </row>
    <row r="137" spans="1:43">
      <c r="A137" s="6" t="s">
        <v>527</v>
      </c>
      <c r="B137" s="6" t="s">
        <v>514</v>
      </c>
      <c r="C137" s="70"/>
      <c r="D137" s="14">
        <f>'qtrP&amp;L'!$BZ10</f>
        <v>4303.5550000000003</v>
      </c>
      <c r="E137" s="6"/>
      <c r="F137" s="14">
        <f>'qtrP&amp;L'!BZ21</f>
        <v>3276.9430000000002</v>
      </c>
      <c r="G137" s="6"/>
      <c r="H137" s="104">
        <f>work!BV10</f>
        <v>2899.8</v>
      </c>
      <c r="I137" s="6"/>
      <c r="J137" s="14">
        <f>AVERAGE(H137,H133)</f>
        <v>2818.5889999999999</v>
      </c>
      <c r="K137" s="6"/>
      <c r="L137" s="23">
        <f>(D137/D130-1)*100</f>
        <v>4.7582800825981764</v>
      </c>
      <c r="M137" s="70" t="s">
        <v>190</v>
      </c>
      <c r="N137" s="23">
        <f>(H137/H130-1)*100</f>
        <v>2.4917824196797778</v>
      </c>
      <c r="O137" s="70" t="s">
        <v>190</v>
      </c>
      <c r="P137" s="23">
        <f>(H137/H133-1)*100</f>
        <v>5.9334881773726478</v>
      </c>
      <c r="Q137" s="70" t="s">
        <v>190</v>
      </c>
      <c r="R137" s="20">
        <f>F137/J137</f>
        <v>1.1626182462217798</v>
      </c>
      <c r="S137" s="6" t="s">
        <v>598</v>
      </c>
      <c r="T137" s="20">
        <f>F138/H137</f>
        <v>1.1888554383060901</v>
      </c>
      <c r="U137" s="6"/>
      <c r="V137" s="143">
        <f>qtrSales!J138</f>
        <v>2562</v>
      </c>
      <c r="W137" s="6"/>
      <c r="X137" s="16">
        <f>H137/V137</f>
        <v>1.1318501170960189</v>
      </c>
      <c r="Y137" s="6"/>
      <c r="Z137" s="47">
        <f>(X137/X130-1)*100</f>
        <v>-0.34854410326996543</v>
      </c>
      <c r="AA137" s="70" t="s">
        <v>190</v>
      </c>
      <c r="AB137" s="144">
        <f>qtrSales!Z138</f>
        <v>77.099999999999994</v>
      </c>
      <c r="AC137" s="6"/>
      <c r="AD137" s="145">
        <f>H137/AB137</f>
        <v>37.61089494163425</v>
      </c>
      <c r="AE137" s="6"/>
      <c r="AF137" s="105">
        <f>(AD137/AD130-1)*100</f>
        <v>-0.96449039862329666</v>
      </c>
      <c r="AG137" s="70" t="s">
        <v>190</v>
      </c>
      <c r="AH137" s="89">
        <f>J137/(F137/(365/4))</f>
        <v>78.486640216201494</v>
      </c>
      <c r="AI137" s="134">
        <f>((F137-('yrP&amp;L'!$T$16/4))/J137)</f>
        <v>1.0521285650373291</v>
      </c>
      <c r="AJ137" s="117" t="s">
        <v>598</v>
      </c>
      <c r="AK137" s="89"/>
      <c r="AL137" s="6"/>
      <c r="AM137" s="89">
        <f>+H137*0.9</f>
        <v>2609.8200000000002</v>
      </c>
      <c r="AN137" s="14">
        <f>AVERAGE(AM137,AM133)</f>
        <v>2536.7301000000002</v>
      </c>
      <c r="AO137" s="6"/>
      <c r="AP137" s="6"/>
      <c r="AQ137" s="6"/>
    </row>
    <row r="138" spans="1:43">
      <c r="A138" s="6" t="s">
        <v>528</v>
      </c>
      <c r="B138" s="6" t="s">
        <v>515</v>
      </c>
      <c r="C138" s="6"/>
      <c r="D138" s="15">
        <f>'qtrP&amp;L'!$BZ11</f>
        <v>4554.3950000000004</v>
      </c>
      <c r="E138" s="6"/>
      <c r="F138" s="15">
        <f>'qtrP&amp;L'!BZ22</f>
        <v>3447.4430000000002</v>
      </c>
      <c r="G138" s="6"/>
      <c r="H138" s="15">
        <f>work!BV11</f>
        <v>3104.8</v>
      </c>
      <c r="I138" s="6"/>
      <c r="J138" s="15">
        <f>AVERAGE(H137:H138)</f>
        <v>3002.3</v>
      </c>
      <c r="K138" s="6"/>
      <c r="L138" s="23">
        <f>(D138/D131-1)*100</f>
        <v>5.5896207495981232</v>
      </c>
      <c r="M138" s="70"/>
      <c r="N138" s="23">
        <f>(H138/H131-1)*100</f>
        <v>1.7900465543243094</v>
      </c>
      <c r="O138" s="70"/>
      <c r="P138" s="23">
        <f>(H138/H137-1)*100</f>
        <v>7.0694530657286814</v>
      </c>
      <c r="Q138" s="70"/>
      <c r="R138" s="20">
        <f>F138/J138</f>
        <v>1.1482673283815741</v>
      </c>
      <c r="S138" s="6"/>
      <c r="T138" s="20">
        <f>F139/H138</f>
        <v>1.1392005926307651</v>
      </c>
      <c r="U138" s="6"/>
      <c r="V138" s="76">
        <f>qtrSales!J139</f>
        <v>2580</v>
      </c>
      <c r="W138" s="6"/>
      <c r="X138" s="16">
        <f>H138/V138</f>
        <v>1.2034108527131784</v>
      </c>
      <c r="Y138" s="6"/>
      <c r="Z138" s="47">
        <f>(X138/X131-1)*100</f>
        <v>-1.524047984653687</v>
      </c>
      <c r="AA138" s="70"/>
      <c r="AB138" s="71">
        <f>qtrSales!Z139</f>
        <v>76.100000000000009</v>
      </c>
      <c r="AC138" s="6"/>
      <c r="AD138" s="76">
        <f>H138/AB138</f>
        <v>40.798948751642577</v>
      </c>
      <c r="AE138" s="6"/>
      <c r="AF138" s="105">
        <f>(AD138/AD131-1)*100</f>
        <v>-0.21632755647051916</v>
      </c>
      <c r="AG138" s="70"/>
      <c r="AH138" s="89">
        <f>J138/(F138/(365/4))</f>
        <v>79.467557549174856</v>
      </c>
      <c r="AI138" s="134">
        <f>((F138-('yrP&amp;L'!$T$16/4))/J138)</f>
        <v>1.0445385204676414</v>
      </c>
      <c r="AJ138" s="117"/>
      <c r="AK138" s="89"/>
      <c r="AL138" s="6"/>
      <c r="AM138" s="89">
        <f>+H138*0.9</f>
        <v>2794.32</v>
      </c>
      <c r="AN138" s="15">
        <f>AVERAGE(AM137:AM138)</f>
        <v>2702.07</v>
      </c>
      <c r="AO138" s="6"/>
      <c r="AP138" s="6"/>
      <c r="AQ138" s="6"/>
    </row>
    <row r="139" spans="1:43">
      <c r="A139" s="6" t="s">
        <v>529</v>
      </c>
      <c r="B139" s="6" t="s">
        <v>516</v>
      </c>
      <c r="C139" s="6"/>
      <c r="D139" s="15">
        <f>'qtrP&amp;L'!$BZ12</f>
        <v>4761.53</v>
      </c>
      <c r="E139" s="6"/>
      <c r="F139" s="15">
        <f>'qtrP&amp;L'!BZ23</f>
        <v>3536.99</v>
      </c>
      <c r="G139" s="6"/>
      <c r="H139" s="15">
        <f>work!BV12</f>
        <v>3279.3</v>
      </c>
      <c r="I139" s="6"/>
      <c r="J139" s="15">
        <f>AVERAGE(H138:H139)</f>
        <v>3192.05</v>
      </c>
      <c r="K139" s="6"/>
      <c r="L139" s="23">
        <f>(D139/D132-1)*100</f>
        <v>2.2068732213454512</v>
      </c>
      <c r="M139" s="70"/>
      <c r="N139" s="23">
        <f>(H139/H132-1)*100</f>
        <v>-2.5323227819884053</v>
      </c>
      <c r="O139" s="70"/>
      <c r="P139" s="23">
        <f>(H139/H138-1)*100</f>
        <v>5.6203298119041456</v>
      </c>
      <c r="Q139" s="70"/>
      <c r="R139" s="20">
        <f>F139/J139</f>
        <v>1.1080622170705345</v>
      </c>
      <c r="S139" s="6"/>
      <c r="T139" s="20">
        <f>F140/H139</f>
        <v>1.2709447138108743</v>
      </c>
      <c r="U139" s="6"/>
      <c r="V139" s="76">
        <f>qtrSales!J140</f>
        <v>2648</v>
      </c>
      <c r="W139" s="6"/>
      <c r="X139" s="16">
        <f>H139/V139</f>
        <v>1.2384063444108762</v>
      </c>
      <c r="Y139" s="6"/>
      <c r="Z139" s="47">
        <f>(X139/X132-1)*100</f>
        <v>-5.5873897038520521</v>
      </c>
      <c r="AA139" s="70"/>
      <c r="AB139" s="71">
        <f>qtrSales!Z140</f>
        <v>77.999999999999986</v>
      </c>
      <c r="AC139" s="6"/>
      <c r="AD139" s="76">
        <f>H139/AB139</f>
        <v>42.042307692307702</v>
      </c>
      <c r="AE139" s="6"/>
      <c r="AF139" s="105">
        <f>(AD139/AD132-1)*100</f>
        <v>-3.9068669478834361</v>
      </c>
      <c r="AG139" s="70"/>
      <c r="AH139" s="89">
        <f>J139/(F139/(365/4))</f>
        <v>82.350971447473711</v>
      </c>
      <c r="AI139" s="134">
        <f>((F139-('yrP&amp;L'!$T$16/4))/J139)</f>
        <v>1.010499522250591</v>
      </c>
      <c r="AJ139" s="117"/>
      <c r="AK139" s="89"/>
      <c r="AL139" s="6"/>
      <c r="AM139" s="89">
        <f>+H139*0.9</f>
        <v>2951.3700000000003</v>
      </c>
      <c r="AN139" s="15">
        <f>AVERAGE(AM138:AM139)</f>
        <v>2872.8450000000003</v>
      </c>
      <c r="AO139" s="6"/>
      <c r="AP139" s="6"/>
      <c r="AQ139" s="6"/>
    </row>
    <row r="140" spans="1:43">
      <c r="A140" s="6" t="s">
        <v>530</v>
      </c>
      <c r="B140" s="6" t="s">
        <v>517</v>
      </c>
      <c r="C140" s="6"/>
      <c r="D140" s="19">
        <f>'qtrP&amp;L'!$BZ13</f>
        <v>5380.0249999999996</v>
      </c>
      <c r="E140" s="6"/>
      <c r="F140" s="19">
        <f>'qtrP&amp;L'!BZ24</f>
        <v>4167.8090000000002</v>
      </c>
      <c r="G140" s="6"/>
      <c r="H140" s="15">
        <f>bal!$AP$12</f>
        <v>2619.3359999999998</v>
      </c>
      <c r="I140" s="6"/>
      <c r="J140" s="19">
        <f>AVERAGE(H139:H140)</f>
        <v>2949.3180000000002</v>
      </c>
      <c r="K140" s="6"/>
      <c r="L140" s="46">
        <f>(D140/D133-1)*100</f>
        <v>-0.2197936302689607</v>
      </c>
      <c r="M140" s="70"/>
      <c r="N140" s="47">
        <f>(H140/H133-1)*100</f>
        <v>-4.3122287093708023</v>
      </c>
      <c r="O140" s="70"/>
      <c r="P140" s="23">
        <f>(H140/H139-1)*100</f>
        <v>-20.125148659774961</v>
      </c>
      <c r="Q140" s="70"/>
      <c r="R140" s="20">
        <f>F140/J140</f>
        <v>1.4131433097414385</v>
      </c>
      <c r="S140" s="6"/>
      <c r="T140" s="20">
        <f>F144/H140</f>
        <v>1.24968541645669</v>
      </c>
      <c r="U140" s="6"/>
      <c r="V140" s="76">
        <f>qtrSales!J141</f>
        <v>2652</v>
      </c>
      <c r="W140" s="6"/>
      <c r="X140" s="16">
        <f>H140/V140</f>
        <v>0.98768325791855194</v>
      </c>
      <c r="Y140" s="6"/>
      <c r="Z140" s="47">
        <f>(X140/X133-1)*100</f>
        <v>-7.523469902759194</v>
      </c>
      <c r="AA140" s="70"/>
      <c r="AB140" s="71">
        <f>qtrSales!Z141</f>
        <v>78</v>
      </c>
      <c r="AC140" s="6"/>
      <c r="AD140" s="76">
        <f>H140/AB140</f>
        <v>33.581230769230764</v>
      </c>
      <c r="AE140" s="6"/>
      <c r="AF140" s="105">
        <f>(AD140/AD133-1)*100</f>
        <v>-6.4713373949029425</v>
      </c>
      <c r="AG140" s="70"/>
      <c r="AH140" s="89">
        <f>J140/(F140/(365/4))</f>
        <v>64.572361041496862</v>
      </c>
      <c r="AI140" s="134">
        <f>((F140-('yrP&amp;L'!$T$16/4))/J140)</f>
        <v>1.3075511016445156</v>
      </c>
      <c r="AJ140" s="137"/>
      <c r="AK140" s="89"/>
      <c r="AL140" s="6"/>
      <c r="AM140" s="89">
        <f>+H140*0.9</f>
        <v>2357.4023999999999</v>
      </c>
      <c r="AN140" s="19">
        <f>AVERAGE(AM139:AM140)</f>
        <v>2654.3861999999999</v>
      </c>
      <c r="AO140" s="6"/>
      <c r="AP140" s="6"/>
      <c r="AQ140" s="6"/>
    </row>
    <row r="141" spans="1:43">
      <c r="A141" s="6"/>
      <c r="B141" s="6" t="s">
        <v>531</v>
      </c>
      <c r="C141" s="6"/>
      <c r="D141" s="14">
        <f>SUM(D137:D140)</f>
        <v>18999.504999999997</v>
      </c>
      <c r="E141" s="6"/>
      <c r="F141" s="14">
        <f>SUM(F137:F140)</f>
        <v>14429.185000000001</v>
      </c>
      <c r="G141" s="6"/>
      <c r="H141" s="6"/>
      <c r="I141" s="6"/>
      <c r="J141" s="14">
        <f>AVERAGE(J137:J140)</f>
        <v>2990.5642500000004</v>
      </c>
      <c r="K141" s="6"/>
      <c r="L141" s="23">
        <f>(D141/D134-1)*100</f>
        <v>2.8558508611938427</v>
      </c>
      <c r="M141" s="70"/>
      <c r="N141" s="6"/>
      <c r="O141" s="70"/>
      <c r="P141" s="6"/>
      <c r="Q141" s="70"/>
      <c r="R141" s="48">
        <f>F141/J141</f>
        <v>4.8249038622059368</v>
      </c>
      <c r="S141" s="45" t="s">
        <v>598</v>
      </c>
      <c r="T141" s="20"/>
      <c r="U141" s="6"/>
      <c r="V141" s="76"/>
      <c r="W141" s="6"/>
      <c r="X141" s="6"/>
      <c r="Y141" s="6"/>
      <c r="Z141" s="6"/>
      <c r="AA141" s="70"/>
      <c r="AB141" s="62"/>
      <c r="AC141" s="6"/>
      <c r="AD141" s="6"/>
      <c r="AE141" s="6"/>
      <c r="AF141" s="6"/>
      <c r="AG141" s="70"/>
      <c r="AH141" s="6"/>
      <c r="AI141" s="135">
        <f>((F141-('yrP&amp;L'!$T$16))/J141)</f>
        <v>4.4083603955340536</v>
      </c>
      <c r="AJ141" s="136" t="s">
        <v>598</v>
      </c>
      <c r="AK141" s="6"/>
      <c r="AL141" s="6"/>
      <c r="AM141" s="6"/>
      <c r="AN141" s="14">
        <f>AVERAGE(AN137:AN140)</f>
        <v>2691.5078250000001</v>
      </c>
      <c r="AO141" s="6"/>
      <c r="AP141" s="6"/>
      <c r="AQ141" s="6"/>
    </row>
    <row r="142" spans="1:43">
      <c r="A142" s="6"/>
      <c r="B142" s="6"/>
      <c r="C142" s="6"/>
      <c r="D142" s="14"/>
      <c r="E142" s="6"/>
      <c r="F142" s="14"/>
      <c r="G142" s="6"/>
      <c r="H142" s="6"/>
      <c r="I142" s="6"/>
      <c r="J142" s="14"/>
      <c r="K142" s="6"/>
      <c r="L142" s="23"/>
      <c r="M142" s="70"/>
      <c r="N142" s="6"/>
      <c r="O142" s="70"/>
      <c r="P142" s="6"/>
      <c r="Q142" s="70"/>
      <c r="R142" s="155"/>
      <c r="S142" s="11"/>
      <c r="T142" s="20"/>
      <c r="U142" s="6"/>
      <c r="V142" s="76"/>
      <c r="W142" s="6"/>
      <c r="X142" s="6"/>
      <c r="Y142" s="6"/>
      <c r="Z142" s="6"/>
      <c r="AA142" s="70"/>
      <c r="AB142" s="62"/>
      <c r="AC142" s="6"/>
      <c r="AD142" s="6"/>
      <c r="AE142" s="6"/>
      <c r="AF142" s="6"/>
      <c r="AG142" s="70"/>
      <c r="AH142" s="6"/>
      <c r="AI142" s="134"/>
      <c r="AJ142" s="137"/>
      <c r="AK142" s="6"/>
      <c r="AL142" s="6"/>
      <c r="AM142" s="6"/>
      <c r="AN142" s="14"/>
      <c r="AO142" s="6"/>
      <c r="AP142" s="6"/>
      <c r="AQ142" s="6"/>
    </row>
    <row r="143" spans="1:43">
      <c r="A143" s="6"/>
      <c r="B143" s="139">
        <f>+B136+1</f>
        <v>2009</v>
      </c>
      <c r="C143" s="6"/>
      <c r="D143" s="6"/>
      <c r="E143" s="6"/>
      <c r="F143" s="6"/>
      <c r="G143" s="6"/>
      <c r="H143" s="61"/>
      <c r="I143" s="6"/>
      <c r="J143" s="6"/>
      <c r="K143" s="6"/>
      <c r="L143" s="6"/>
      <c r="M143" s="70"/>
      <c r="N143" s="6"/>
      <c r="O143" s="70"/>
      <c r="P143" s="6"/>
      <c r="Q143" s="70"/>
      <c r="R143" s="62"/>
      <c r="S143" s="6"/>
      <c r="T143" s="20"/>
      <c r="U143" s="6"/>
      <c r="V143" s="76"/>
      <c r="W143" s="6"/>
      <c r="X143" s="6"/>
      <c r="Y143" s="6"/>
      <c r="Z143" s="6"/>
      <c r="AA143" s="70"/>
      <c r="AB143" s="62"/>
      <c r="AC143" s="6"/>
      <c r="AD143" s="6"/>
      <c r="AE143" s="6"/>
      <c r="AF143" s="6"/>
      <c r="AG143" s="70"/>
      <c r="AH143" s="6"/>
      <c r="AI143" s="6"/>
      <c r="AJ143" s="6"/>
      <c r="AK143" s="6"/>
      <c r="AL143" s="6"/>
      <c r="AM143" s="6"/>
      <c r="AN143" s="6"/>
      <c r="AO143" s="6"/>
      <c r="AP143" s="6"/>
      <c r="AQ143" s="6"/>
    </row>
    <row r="144" spans="1:43">
      <c r="A144" s="6" t="s">
        <v>527</v>
      </c>
      <c r="B144" s="6" t="s">
        <v>514</v>
      </c>
      <c r="C144" s="70"/>
      <c r="D144" s="14">
        <f>'qtrP&amp;L'!CD10</f>
        <v>4354.2240000000002</v>
      </c>
      <c r="E144" s="6"/>
      <c r="F144" s="14">
        <f>'qtrP&amp;L'!CD21</f>
        <v>3273.346</v>
      </c>
      <c r="G144" s="6"/>
      <c r="H144" s="104">
        <f>work!BZ10</f>
        <v>2817.7</v>
      </c>
      <c r="I144" s="6"/>
      <c r="J144" s="14">
        <f>AVERAGE(H144,H140)</f>
        <v>2718.518</v>
      </c>
      <c r="K144" s="6"/>
      <c r="L144" s="23">
        <f>(D144/D137-1)*100</f>
        <v>1.1773754489021293</v>
      </c>
      <c r="M144" s="70" t="s">
        <v>190</v>
      </c>
      <c r="N144" s="23">
        <f>(H144/H137-1)*100</f>
        <v>-2.8312297399820774</v>
      </c>
      <c r="O144" s="70" t="s">
        <v>190</v>
      </c>
      <c r="P144" s="23">
        <f>(H144/H140-1)*100</f>
        <v>7.573064318590661</v>
      </c>
      <c r="Q144" s="70" t="s">
        <v>190</v>
      </c>
      <c r="R144" s="20">
        <f>F144/J144</f>
        <v>1.2040920825243755</v>
      </c>
      <c r="S144" s="6" t="s">
        <v>598</v>
      </c>
      <c r="T144" s="20">
        <f>F145/H144</f>
        <v>1.2543216098236152</v>
      </c>
      <c r="U144" s="6"/>
      <c r="V144" s="143">
        <f>qtrSales!J145</f>
        <v>2680</v>
      </c>
      <c r="W144" s="6"/>
      <c r="X144" s="16">
        <f>H144/V144</f>
        <v>1.0513805970149253</v>
      </c>
      <c r="Y144" s="6"/>
      <c r="Z144" s="47">
        <f>(X144/X137-1)*100</f>
        <v>-7.1095561917291494</v>
      </c>
      <c r="AA144" s="70" t="s">
        <v>190</v>
      </c>
      <c r="AB144" s="144">
        <f>qtrSales!Z145</f>
        <v>78.8</v>
      </c>
      <c r="AC144" s="6"/>
      <c r="AD144" s="145">
        <f>H144/AB144</f>
        <v>35.757614213197968</v>
      </c>
      <c r="AE144" s="6"/>
      <c r="AF144" s="105">
        <f>(AD144/AD137-1)*100</f>
        <v>-4.9275103166576013</v>
      </c>
      <c r="AG144" s="70" t="s">
        <v>190</v>
      </c>
      <c r="AH144" s="89">
        <f>J144/(F144/(365/4))</f>
        <v>75.783240604567936</v>
      </c>
      <c r="AI144" s="134">
        <f>((F144-('yrP&amp;L'!$U$16/4))/J144)</f>
        <v>1.0864268693457244</v>
      </c>
      <c r="AJ144" s="117" t="s">
        <v>598</v>
      </c>
      <c r="AK144" s="89"/>
      <c r="AL144" s="6"/>
      <c r="AM144" s="89">
        <f>+H144*0.9</f>
        <v>2535.9299999999998</v>
      </c>
      <c r="AN144" s="14">
        <f>AVERAGE(AM144,AM140)</f>
        <v>2446.6661999999997</v>
      </c>
      <c r="AO144" s="6"/>
      <c r="AP144" s="6"/>
      <c r="AQ144" s="6"/>
    </row>
    <row r="145" spans="1:43">
      <c r="A145" s="6" t="s">
        <v>528</v>
      </c>
      <c r="B145" s="6" t="s">
        <v>515</v>
      </c>
      <c r="C145" s="6"/>
      <c r="D145" s="15">
        <f>'qtrP&amp;L'!CD11</f>
        <v>4747.5280000000002</v>
      </c>
      <c r="E145" s="6"/>
      <c r="F145" s="15">
        <f>'qtrP&amp;L'!CD22</f>
        <v>3534.3020000000001</v>
      </c>
      <c r="G145" s="6"/>
      <c r="H145" s="15">
        <f>work!BZ11</f>
        <v>3100.2</v>
      </c>
      <c r="I145" s="6"/>
      <c r="J145" s="15">
        <f>AVERAGE(H144:H145)</f>
        <v>2958.95</v>
      </c>
      <c r="K145" s="6"/>
      <c r="L145" s="23">
        <f>(D145/D138-1)*100</f>
        <v>4.2405851929839145</v>
      </c>
      <c r="M145" s="70"/>
      <c r="N145" s="23">
        <f>(H145/H138-1)*100</f>
        <v>-0.14815769131668599</v>
      </c>
      <c r="O145" s="70"/>
      <c r="P145" s="23">
        <f>(H145/H144-1)*100</f>
        <v>10.025907655179767</v>
      </c>
      <c r="Q145" s="70"/>
      <c r="R145" s="20">
        <f>F145/J145</f>
        <v>1.1944446509741633</v>
      </c>
      <c r="S145" s="6"/>
      <c r="T145" s="20">
        <f>F146/H145</f>
        <v>1.2264302303077221</v>
      </c>
      <c r="U145" s="6"/>
      <c r="V145" s="76">
        <f>qtrSales!J146</f>
        <v>2690</v>
      </c>
      <c r="W145" s="6"/>
      <c r="X145" s="16">
        <f>H145/V145</f>
        <v>1.1524907063197025</v>
      </c>
      <c r="Y145" s="6"/>
      <c r="Z145" s="47">
        <f>(X145/X138-1)*100</f>
        <v>-4.2313185292182309</v>
      </c>
      <c r="AA145" s="70"/>
      <c r="AB145" s="71">
        <f>qtrSales!Z146</f>
        <v>79.2</v>
      </c>
      <c r="AC145" s="6"/>
      <c r="AD145" s="76">
        <f>H145/AB145</f>
        <v>39.143939393939391</v>
      </c>
      <c r="AE145" s="6"/>
      <c r="AF145" s="105">
        <f>(AD145/AD138-1)*100</f>
        <v>-4.0565000039040289</v>
      </c>
      <c r="AG145" s="70"/>
      <c r="AH145" s="89">
        <f>J145/(F145/(365/4))</f>
        <v>76.39533562779863</v>
      </c>
      <c r="AI145" s="134">
        <f>((F145-('yrP&amp;L'!$U$16/4))/J145)</f>
        <v>1.0863404248128561</v>
      </c>
      <c r="AJ145" s="117"/>
      <c r="AK145" s="89"/>
      <c r="AL145" s="6"/>
      <c r="AM145" s="89">
        <f>+H145*0.9</f>
        <v>2790.18</v>
      </c>
      <c r="AN145" s="15">
        <f>AVERAGE(AM144:AM145)</f>
        <v>2663.0549999999998</v>
      </c>
      <c r="AO145" s="6"/>
      <c r="AP145" s="6"/>
      <c r="AQ145" s="6"/>
    </row>
    <row r="146" spans="1:43">
      <c r="A146" s="6" t="s">
        <v>529</v>
      </c>
      <c r="B146" s="6" t="s">
        <v>516</v>
      </c>
      <c r="C146" s="6"/>
      <c r="D146" s="15">
        <f>'qtrP&amp;L'!CD12</f>
        <v>5244.9459999999999</v>
      </c>
      <c r="E146" s="6"/>
      <c r="F146" s="15">
        <f>'qtrP&amp;L'!CD23</f>
        <v>3802.1790000000001</v>
      </c>
      <c r="G146" s="6"/>
      <c r="H146" s="15">
        <f>work!BZ12</f>
        <v>3267.7</v>
      </c>
      <c r="I146" s="6"/>
      <c r="J146" s="15">
        <f>AVERAGE(H145:H146)</f>
        <v>3183.95</v>
      </c>
      <c r="K146" s="6"/>
      <c r="L146" s="23">
        <f>(D146/D139-1)*100</f>
        <v>10.152535004504859</v>
      </c>
      <c r="M146" s="70"/>
      <c r="N146" s="23">
        <f>(H146/H139-1)*100</f>
        <v>-0.35373402860368053</v>
      </c>
      <c r="O146" s="70"/>
      <c r="P146" s="23">
        <f>(H146/H145-1)*100</f>
        <v>5.4028772337268549</v>
      </c>
      <c r="Q146" s="70"/>
      <c r="R146" s="20">
        <f>F146/J146</f>
        <v>1.194170448656543</v>
      </c>
      <c r="S146" s="6"/>
      <c r="T146" s="20">
        <f>F147/H146</f>
        <v>1.333843988126205</v>
      </c>
      <c r="U146" s="6"/>
      <c r="V146" s="76">
        <f>qtrSales!J147</f>
        <v>2747</v>
      </c>
      <c r="W146" s="6"/>
      <c r="X146" s="16">
        <f>H146/V146</f>
        <v>1.1895522388059701</v>
      </c>
      <c r="Y146" s="6"/>
      <c r="Z146" s="47">
        <f>(X146/X139-1)*100</f>
        <v>-3.9449172580060199</v>
      </c>
      <c r="AA146" s="70"/>
      <c r="AB146" s="71">
        <f>qtrSales!Z147</f>
        <v>81.5</v>
      </c>
      <c r="AC146" s="6"/>
      <c r="AD146" s="76">
        <f>H146/AB146</f>
        <v>40.094478527607357</v>
      </c>
      <c r="AE146" s="6"/>
      <c r="AF146" s="105">
        <f>(AD146/AD139-1)*100</f>
        <v>-4.6330215243078339</v>
      </c>
      <c r="AG146" s="70"/>
      <c r="AH146" s="89">
        <f>J146/(F146/(365/4))</f>
        <v>76.412877326396256</v>
      </c>
      <c r="AI146" s="134">
        <f>((F146-('yrP&amp;L'!$U$16/4))/J146)</f>
        <v>1.0937056172364517</v>
      </c>
      <c r="AJ146" s="117"/>
      <c r="AK146" s="89"/>
      <c r="AL146" s="6"/>
      <c r="AM146" s="89">
        <f>+H146*0.9</f>
        <v>2940.93</v>
      </c>
      <c r="AN146" s="15">
        <f>AVERAGE(AM145:AM146)</f>
        <v>2865.5549999999998</v>
      </c>
      <c r="AO146" s="6"/>
      <c r="AP146" s="6"/>
      <c r="AQ146" s="6"/>
    </row>
    <row r="147" spans="1:43">
      <c r="A147" s="6" t="s">
        <v>530</v>
      </c>
      <c r="B147" s="6" t="s">
        <v>517</v>
      </c>
      <c r="C147" s="6"/>
      <c r="D147" s="19">
        <f>'qtrP&amp;L'!CD13</f>
        <v>5941.7460000000001</v>
      </c>
      <c r="E147" s="6"/>
      <c r="F147" s="19">
        <f>'qtrP&amp;L'!CD24</f>
        <v>4358.6019999999999</v>
      </c>
      <c r="G147" s="6"/>
      <c r="H147" s="15">
        <f>bal!$AR$12</f>
        <v>2532.3180000000002</v>
      </c>
      <c r="I147" s="6"/>
      <c r="J147" s="19">
        <f>AVERAGE(H146:H147)</f>
        <v>2900.009</v>
      </c>
      <c r="K147" s="6"/>
      <c r="L147" s="46">
        <f>(D147/D140-1)*100</f>
        <v>10.440862263651196</v>
      </c>
      <c r="M147" s="70"/>
      <c r="N147" s="47">
        <f>(H147/H140-1)*100</f>
        <v>-3.322139656767964</v>
      </c>
      <c r="O147" s="70"/>
      <c r="P147" s="23">
        <f>(H147/H146-1)*100</f>
        <v>-22.504575083391977</v>
      </c>
      <c r="Q147" s="70"/>
      <c r="R147" s="20">
        <f>F147/J147</f>
        <v>1.5029615425331437</v>
      </c>
      <c r="S147" s="6"/>
      <c r="T147" s="128">
        <f>F151/H147</f>
        <v>1.440843527550647</v>
      </c>
      <c r="U147" s="6"/>
      <c r="V147" s="76">
        <f>qtrSales!J148</f>
        <v>2743</v>
      </c>
      <c r="W147" s="6"/>
      <c r="X147" s="16">
        <f>H147/V147</f>
        <v>0.92319285453882616</v>
      </c>
      <c r="Y147" s="6"/>
      <c r="Z147" s="47">
        <f>(X147/X140-1)*100</f>
        <v>-6.5294620378230528</v>
      </c>
      <c r="AA147" s="70"/>
      <c r="AB147" s="71">
        <f>qtrSales!Z148</f>
        <v>80.7</v>
      </c>
      <c r="AC147" s="6"/>
      <c r="AD147" s="76">
        <f>H147/AB147</f>
        <v>31.379405204460969</v>
      </c>
      <c r="AE147" s="6"/>
      <c r="AF147" s="105">
        <f>(AD147/AD140-1)*100</f>
        <v>-6.5567149098872406</v>
      </c>
      <c r="AG147" s="70"/>
      <c r="AH147" s="89">
        <f>J147/(F147/(365/4))</f>
        <v>60.713462997997986</v>
      </c>
      <c r="AI147" s="134">
        <f>((F147-('yrP&amp;L'!$U$16/4))/J147)</f>
        <v>1.3926601607098461</v>
      </c>
      <c r="AJ147" s="137"/>
      <c r="AK147" s="89"/>
      <c r="AL147" s="6"/>
      <c r="AM147" s="89">
        <f>+H147*0.9</f>
        <v>2279.0862000000002</v>
      </c>
      <c r="AN147" s="19">
        <f>AVERAGE(AM146:AM147)</f>
        <v>2610.0081</v>
      </c>
      <c r="AO147" s="6"/>
      <c r="AP147" s="6"/>
      <c r="AQ147" s="6"/>
    </row>
    <row r="148" spans="1:43">
      <c r="A148" s="6"/>
      <c r="B148" s="6" t="s">
        <v>531</v>
      </c>
      <c r="C148" s="6"/>
      <c r="D148" s="14">
        <f>SUM(D144:D147)</f>
        <v>20288.444</v>
      </c>
      <c r="E148" s="6"/>
      <c r="F148" s="14">
        <f>SUM(F144:F147)</f>
        <v>14968.429</v>
      </c>
      <c r="G148" s="6"/>
      <c r="H148" s="6"/>
      <c r="I148" s="6"/>
      <c r="J148" s="14">
        <f>AVERAGE(J144:J147)</f>
        <v>2940.3567499999999</v>
      </c>
      <c r="K148" s="6"/>
      <c r="L148" s="23">
        <f>(D148/D141-1)*100</f>
        <v>6.7840662164619703</v>
      </c>
      <c r="M148" s="70"/>
      <c r="N148" s="6"/>
      <c r="O148" s="70"/>
      <c r="P148" s="6"/>
      <c r="Q148" s="70"/>
      <c r="R148" s="48">
        <f>F148/J148</f>
        <v>5.0906846592679615</v>
      </c>
      <c r="S148" s="45" t="s">
        <v>598</v>
      </c>
      <c r="T148" s="20"/>
      <c r="U148" s="6"/>
      <c r="V148" s="76"/>
      <c r="W148" s="6"/>
      <c r="X148" s="6"/>
      <c r="Y148" s="6"/>
      <c r="Z148" s="6"/>
      <c r="AA148" s="70"/>
      <c r="AB148" s="62"/>
      <c r="AC148" s="6"/>
      <c r="AD148" s="145"/>
      <c r="AE148" s="6"/>
      <c r="AF148" s="6"/>
      <c r="AG148" s="70"/>
      <c r="AH148" s="6"/>
      <c r="AI148" s="135">
        <f>((F148-('yrP&amp;L'!$U$16))/J148)</f>
        <v>4.6555333804307928</v>
      </c>
      <c r="AJ148" s="136" t="s">
        <v>598</v>
      </c>
      <c r="AK148" s="6"/>
      <c r="AL148" s="6"/>
      <c r="AM148" s="6"/>
      <c r="AN148" s="14">
        <f>AVERAGE(AN144:AN147)</f>
        <v>2646.3210749999998</v>
      </c>
      <c r="AO148" s="6"/>
      <c r="AP148" s="6"/>
      <c r="AQ148" s="6"/>
    </row>
    <row r="149" spans="1:43">
      <c r="A149" s="6"/>
      <c r="B149" s="6"/>
      <c r="C149" s="6"/>
      <c r="D149" s="14"/>
      <c r="E149" s="6"/>
      <c r="F149" s="14"/>
      <c r="G149" s="6"/>
      <c r="H149" s="6"/>
      <c r="I149" s="6"/>
      <c r="J149" s="14"/>
      <c r="K149" s="6"/>
      <c r="L149" s="23"/>
      <c r="M149" s="70"/>
      <c r="N149" s="6"/>
      <c r="O149" s="70"/>
      <c r="P149" s="6"/>
      <c r="Q149" s="70"/>
      <c r="R149" s="155">
        <f>R151/R144-1</f>
        <v>0.17737800951964977</v>
      </c>
      <c r="S149" s="11"/>
      <c r="T149" s="20"/>
      <c r="U149" s="6"/>
      <c r="V149" s="76"/>
      <c r="W149" s="6"/>
      <c r="X149" s="6"/>
      <c r="Y149" s="6"/>
      <c r="Z149" s="6"/>
      <c r="AA149" s="70"/>
      <c r="AB149" s="62"/>
      <c r="AC149" s="6"/>
      <c r="AD149" s="6"/>
      <c r="AE149" s="6"/>
      <c r="AF149" s="6"/>
      <c r="AG149" s="70"/>
      <c r="AH149" s="6"/>
      <c r="AI149" s="134"/>
      <c r="AJ149" s="137"/>
      <c r="AK149" s="6"/>
      <c r="AL149" s="6"/>
      <c r="AM149" s="6"/>
      <c r="AN149" s="14"/>
      <c r="AO149" s="6"/>
      <c r="AP149" s="6"/>
      <c r="AQ149" s="6"/>
    </row>
    <row r="150" spans="1:43">
      <c r="A150" s="6"/>
      <c r="B150" s="139">
        <f>+B143+1</f>
        <v>2010</v>
      </c>
      <c r="C150" s="6"/>
      <c r="D150" s="6"/>
      <c r="E150" s="6"/>
      <c r="F150" s="6"/>
      <c r="G150" s="6"/>
      <c r="H150" s="61"/>
      <c r="I150" s="6"/>
      <c r="J150" s="6"/>
      <c r="K150" s="6"/>
      <c r="L150" s="6"/>
      <c r="M150" s="70"/>
      <c r="N150" s="6"/>
      <c r="O150" s="70"/>
      <c r="P150" s="6"/>
      <c r="Q150" s="70"/>
      <c r="R150" s="62"/>
      <c r="S150" s="6"/>
      <c r="T150" s="20"/>
      <c r="U150" s="6"/>
      <c r="V150" s="76"/>
      <c r="W150" s="6"/>
      <c r="X150" s="6"/>
      <c r="Y150" s="6"/>
      <c r="Z150" s="6"/>
      <c r="AA150" s="70"/>
      <c r="AB150" s="62"/>
      <c r="AC150" s="6"/>
      <c r="AD150" s="6"/>
      <c r="AE150" s="6"/>
      <c r="AF150" s="6"/>
      <c r="AG150" s="70"/>
      <c r="AH150" s="6"/>
      <c r="AI150" s="6"/>
      <c r="AJ150" s="6"/>
      <c r="AK150" s="6"/>
      <c r="AL150" s="6"/>
      <c r="AM150" s="6"/>
      <c r="AN150" s="6"/>
      <c r="AO150" s="6"/>
      <c r="AP150" s="6"/>
      <c r="AQ150" s="6"/>
    </row>
    <row r="151" spans="1:43">
      <c r="A151" s="6" t="s">
        <v>527</v>
      </c>
      <c r="B151" s="6" t="s">
        <v>514</v>
      </c>
      <c r="C151" s="70"/>
      <c r="D151" s="14">
        <f>'qtrP&amp;L'!CH10</f>
        <v>5016.54</v>
      </c>
      <c r="E151" s="6"/>
      <c r="F151" s="14">
        <f>'qtrP&amp;L'!CH21</f>
        <v>3648.674</v>
      </c>
      <c r="G151" s="6"/>
      <c r="H151" s="104">
        <f>work!CD10</f>
        <v>2615.1</v>
      </c>
      <c r="I151" s="6"/>
      <c r="J151" s="14">
        <f>AVERAGE(H151,H147)</f>
        <v>2573.7089999999998</v>
      </c>
      <c r="K151" s="6"/>
      <c r="L151" s="23">
        <f>(D151/D144-1)*100</f>
        <v>15.210884878683316</v>
      </c>
      <c r="M151" s="70" t="s">
        <v>190</v>
      </c>
      <c r="N151" s="23">
        <f>(H151/H144-1)*100</f>
        <v>-7.1902615608474996</v>
      </c>
      <c r="O151" s="70" t="s">
        <v>190</v>
      </c>
      <c r="P151" s="23">
        <f>(H151/H147-1)*100</f>
        <v>3.2690207154077777</v>
      </c>
      <c r="Q151" s="70" t="s">
        <v>190</v>
      </c>
      <c r="R151" s="20">
        <f>F151/J151</f>
        <v>1.4176715394009192</v>
      </c>
      <c r="S151" s="6" t="s">
        <v>598</v>
      </c>
      <c r="T151" s="20">
        <f>F152/H151</f>
        <v>1.4222056517915185</v>
      </c>
      <c r="U151" s="6"/>
      <c r="V151" s="143">
        <f>qtrSales!J152</f>
        <v>2766</v>
      </c>
      <c r="W151" s="6"/>
      <c r="X151" s="16">
        <f>H151/V151</f>
        <v>0.94544468546637739</v>
      </c>
      <c r="Y151" s="6"/>
      <c r="Z151" s="47">
        <f>(X151/X144-1)*100</f>
        <v>-10.075886111016374</v>
      </c>
      <c r="AA151" s="70" t="s">
        <v>190</v>
      </c>
      <c r="AB151" s="144">
        <f>qtrSales!Z152</f>
        <v>81.099999999999994</v>
      </c>
      <c r="AC151" s="6"/>
      <c r="AD151" s="145">
        <f>H151/AB151</f>
        <v>32.245376078914923</v>
      </c>
      <c r="AE151" s="6"/>
      <c r="AF151" s="105">
        <f>(AD151/AD144-1)*100</f>
        <v>-9.8223503205275176</v>
      </c>
      <c r="AG151" s="70" t="s">
        <v>190</v>
      </c>
      <c r="AH151" s="89">
        <f>J151/(F151/(365/4))</f>
        <v>64.366108413631906</v>
      </c>
      <c r="AI151" s="134">
        <f>((F151-('yrP&amp;L'!$V$16/4))/J151)</f>
        <v>1.2844591210583638</v>
      </c>
      <c r="AJ151" s="117" t="s">
        <v>598</v>
      </c>
      <c r="AK151" s="89"/>
      <c r="AL151" s="6"/>
      <c r="AM151" s="89">
        <f>+H151*0.9</f>
        <v>2353.59</v>
      </c>
      <c r="AN151" s="14">
        <f>AVERAGE(AM151,AM147)</f>
        <v>2316.3380999999999</v>
      </c>
      <c r="AO151" s="6"/>
      <c r="AP151" s="6"/>
      <c r="AQ151" s="6"/>
    </row>
    <row r="152" spans="1:43">
      <c r="A152" s="6" t="s">
        <v>528</v>
      </c>
      <c r="B152" s="6" t="s">
        <v>515</v>
      </c>
      <c r="C152" s="6"/>
      <c r="D152" s="15">
        <f>'qtrP&amp;L'!CH11</f>
        <v>5068.08</v>
      </c>
      <c r="E152" s="6"/>
      <c r="F152" s="15">
        <f>'qtrP&amp;L'!CH22</f>
        <v>3719.21</v>
      </c>
      <c r="G152" s="6"/>
      <c r="H152" s="15">
        <f>work!CD11</f>
        <v>2884.6</v>
      </c>
      <c r="I152" s="6"/>
      <c r="J152" s="15">
        <f>AVERAGE(H151:H152)</f>
        <v>2749.85</v>
      </c>
      <c r="K152" s="6"/>
      <c r="L152" s="23">
        <f>(D152/D145-1)*100</f>
        <v>6.751977028887457</v>
      </c>
      <c r="M152" s="70"/>
      <c r="N152" s="23">
        <f>(H152/H145-1)*100</f>
        <v>-6.9543900393522984</v>
      </c>
      <c r="O152" s="70"/>
      <c r="P152" s="23">
        <f>(H152/H151-1)*100</f>
        <v>10.305533249206533</v>
      </c>
      <c r="Q152" s="70"/>
      <c r="R152" s="20">
        <f>F152/J152</f>
        <v>1.3525137734785535</v>
      </c>
      <c r="S152" s="6"/>
      <c r="T152" s="20">
        <f>F153/H152</f>
        <v>1.3888941274353463</v>
      </c>
      <c r="U152" s="6"/>
      <c r="V152" s="76">
        <f>qtrSales!J153</f>
        <v>2799</v>
      </c>
      <c r="W152" s="6"/>
      <c r="X152" s="16">
        <f>H152/V152</f>
        <v>1.0305823508395855</v>
      </c>
      <c r="Y152" s="6"/>
      <c r="Z152" s="47">
        <f>(X152/X145-1)*100</f>
        <v>-10.577816793804107</v>
      </c>
      <c r="AA152" s="70"/>
      <c r="AB152" s="71">
        <f>qtrSales!Z153</f>
        <v>82.2</v>
      </c>
      <c r="AC152" s="6"/>
      <c r="AD152" s="76">
        <f>H152/AB152</f>
        <v>35.092457420924575</v>
      </c>
      <c r="AE152" s="6"/>
      <c r="AF152" s="105">
        <f>(AD152/AD145-1)*100</f>
        <v>-10.350215220397828</v>
      </c>
      <c r="AG152" s="70"/>
      <c r="AH152" s="89">
        <f>J152/(F152/(365/4))</f>
        <v>67.46696543083074</v>
      </c>
      <c r="AI152" s="134">
        <f>((F152-('yrP&amp;L'!$V$16/4))/J152)</f>
        <v>1.2278342455043003</v>
      </c>
      <c r="AJ152" s="117"/>
      <c r="AK152" s="89"/>
      <c r="AL152" s="6"/>
      <c r="AM152" s="89">
        <f>+H152*0.9</f>
        <v>2596.14</v>
      </c>
      <c r="AN152" s="15">
        <f>AVERAGE(AM151:AM152)</f>
        <v>2474.8649999999998</v>
      </c>
      <c r="AO152" s="6"/>
      <c r="AP152" s="6"/>
      <c r="AQ152" s="6"/>
    </row>
    <row r="153" spans="1:43">
      <c r="A153" s="6" t="s">
        <v>529</v>
      </c>
      <c r="B153" s="6" t="s">
        <v>516</v>
      </c>
      <c r="C153" s="6"/>
      <c r="D153" s="15">
        <f>'qtrP&amp;L'!CH12</f>
        <v>5525.8469999999998</v>
      </c>
      <c r="E153" s="6"/>
      <c r="F153" s="15">
        <f>'qtrP&amp;L'!CH23</f>
        <v>4006.404</v>
      </c>
      <c r="G153" s="6"/>
      <c r="H153" s="15">
        <f>work!CD12</f>
        <v>3273</v>
      </c>
      <c r="I153" s="6"/>
      <c r="J153" s="15">
        <f>AVERAGE(H152:H153)</f>
        <v>3078.8</v>
      </c>
      <c r="K153" s="6"/>
      <c r="L153" s="23">
        <f>(D153/D146-1)*100</f>
        <v>5.355650944738044</v>
      </c>
      <c r="M153" s="70"/>
      <c r="N153" s="23">
        <f>(H153/H146-1)*100</f>
        <v>0.16219359182298998</v>
      </c>
      <c r="O153" s="70"/>
      <c r="P153" s="23">
        <f>(H153/H152-1)*100</f>
        <v>13.464605144560782</v>
      </c>
      <c r="Q153" s="70"/>
      <c r="R153" s="20">
        <f>F153/J153</f>
        <v>1.3012875146160841</v>
      </c>
      <c r="S153" s="6"/>
      <c r="T153" s="20">
        <f>F154/H153</f>
        <v>1.3514735716468071</v>
      </c>
      <c r="U153" s="6"/>
      <c r="V153" s="76">
        <f>qtrSales!J154</f>
        <v>2873</v>
      </c>
      <c r="W153" s="6"/>
      <c r="X153" s="16">
        <f>H153/V153</f>
        <v>1.1392272885485555</v>
      </c>
      <c r="Y153" s="6"/>
      <c r="Z153" s="47">
        <f>(X153/X146-1)*100</f>
        <v>-4.2305792562694844</v>
      </c>
      <c r="AA153" s="70"/>
      <c r="AB153" s="71">
        <f>qtrSales!Z154</f>
        <v>84.3</v>
      </c>
      <c r="AC153" s="6"/>
      <c r="AD153" s="76">
        <f>H153/AB153</f>
        <v>38.82562277580071</v>
      </c>
      <c r="AE153" s="6"/>
      <c r="AF153" s="105">
        <f>(AD153/AD146-1)*100</f>
        <v>-3.1646645583205846</v>
      </c>
      <c r="AG153" s="70"/>
      <c r="AH153" s="89">
        <f>J153/(F153/(365/4))</f>
        <v>70.122858303855537</v>
      </c>
      <c r="AI153" s="134">
        <f>((F153-('yrP&amp;L'!$V$16/4))/J153)</f>
        <v>1.1899291931921527</v>
      </c>
      <c r="AJ153" s="117"/>
      <c r="AK153" s="89"/>
      <c r="AL153" s="6"/>
      <c r="AM153" s="89">
        <f>+H153*0.9</f>
        <v>2945.7000000000003</v>
      </c>
      <c r="AN153" s="15">
        <f>AVERAGE(AM152:AM153)</f>
        <v>2770.92</v>
      </c>
      <c r="AO153" s="6"/>
      <c r="AP153" s="6"/>
      <c r="AQ153" s="6"/>
    </row>
    <row r="154" spans="1:43">
      <c r="A154" s="6" t="s">
        <v>530</v>
      </c>
      <c r="B154" s="6" t="s">
        <v>517</v>
      </c>
      <c r="C154" s="6"/>
      <c r="D154" s="19">
        <f>'qtrP&amp;L'!CH13</f>
        <v>6052.7839999999997</v>
      </c>
      <c r="E154" s="6"/>
      <c r="F154" s="19">
        <f>'qtrP&amp;L'!CH24</f>
        <v>4423.3729999999996</v>
      </c>
      <c r="G154" s="6"/>
      <c r="H154" s="108">
        <f>work!CD13</f>
        <v>2765.5</v>
      </c>
      <c r="I154" s="6"/>
      <c r="J154" s="19">
        <f>AVERAGE(H153:H154)</f>
        <v>3019.25</v>
      </c>
      <c r="K154" s="6"/>
      <c r="L154" s="46">
        <f>(D154/D147-1)*100</f>
        <v>1.8687772920619627</v>
      </c>
      <c r="M154" s="70"/>
      <c r="N154" s="47">
        <f>(H154/H147-1)*100</f>
        <v>9.2082431985240234</v>
      </c>
      <c r="O154" s="70"/>
      <c r="P154" s="23">
        <f>(H154/H153-1)*100</f>
        <v>-15.505652306752216</v>
      </c>
      <c r="Q154" s="70"/>
      <c r="R154" s="20">
        <f>F154/J154</f>
        <v>1.4650568849879935</v>
      </c>
      <c r="S154" s="6"/>
      <c r="T154" s="128">
        <f>F158/H154</f>
        <v>1.3781442777074668</v>
      </c>
      <c r="U154" s="6"/>
      <c r="V154" s="76">
        <f>qtrSales!J155</f>
        <v>2859</v>
      </c>
      <c r="W154" s="6"/>
      <c r="X154" s="16">
        <f>H154/V154</f>
        <v>0.96729625743266878</v>
      </c>
      <c r="Y154" s="6"/>
      <c r="Z154" s="47">
        <f>(X154/X147-1)*100</f>
        <v>4.7772686581152302</v>
      </c>
      <c r="AA154" s="70"/>
      <c r="AB154" s="71">
        <f>qtrSales!Z155</f>
        <v>84</v>
      </c>
      <c r="AC154" s="6"/>
      <c r="AD154" s="76">
        <f>H154/AB154</f>
        <v>32.922619047619051</v>
      </c>
      <c r="AE154" s="6"/>
      <c r="AF154" s="105">
        <f>(AD154/AD147-1)*100</f>
        <v>4.9179193585820347</v>
      </c>
      <c r="AG154" s="70"/>
      <c r="AH154" s="89">
        <f>J154/(F154/(365/4))</f>
        <v>62.28427096245332</v>
      </c>
      <c r="AI154" s="134">
        <f>((F154-('yrP&amp;L'!$V$16/4))/J154)</f>
        <v>1.3515021942535397</v>
      </c>
      <c r="AJ154" s="137"/>
      <c r="AK154" s="89"/>
      <c r="AL154" s="6"/>
      <c r="AM154" s="89">
        <f>+H154*0.9</f>
        <v>2488.9500000000003</v>
      </c>
      <c r="AN154" s="19">
        <f>AVERAGE(AM153:AM154)</f>
        <v>2717.3250000000003</v>
      </c>
      <c r="AO154" s="6"/>
      <c r="AP154" s="6"/>
      <c r="AQ154" s="6"/>
    </row>
    <row r="155" spans="1:43">
      <c r="A155" s="6"/>
      <c r="B155" s="6" t="s">
        <v>531</v>
      </c>
      <c r="C155" s="6"/>
      <c r="D155" s="14">
        <f>SUM(D151:D154)</f>
        <v>21663.250999999997</v>
      </c>
      <c r="E155" s="6"/>
      <c r="F155" s="14">
        <f>SUM(F151:F154)</f>
        <v>15797.661</v>
      </c>
      <c r="G155" s="6"/>
      <c r="H155" s="6"/>
      <c r="I155" s="6"/>
      <c r="J155" s="14">
        <f>AVERAGE(J151:J154)</f>
        <v>2855.4022500000001</v>
      </c>
      <c r="K155" s="6"/>
      <c r="L155" s="23">
        <f>(D155/D148-1)*100</f>
        <v>6.7763057630245038</v>
      </c>
      <c r="M155" s="70"/>
      <c r="N155" s="6"/>
      <c r="O155" s="70"/>
      <c r="P155" s="6"/>
      <c r="Q155" s="70"/>
      <c r="R155" s="48">
        <f>F155/J155</f>
        <v>5.5325518497437622</v>
      </c>
      <c r="S155" s="45" t="s">
        <v>598</v>
      </c>
      <c r="T155" s="20"/>
      <c r="U155" s="6"/>
      <c r="V155" s="76">
        <f>V154-V153</f>
        <v>-14</v>
      </c>
      <c r="W155" s="6"/>
      <c r="X155" s="6"/>
      <c r="Y155" s="6"/>
      <c r="Z155" s="6"/>
      <c r="AA155" s="70"/>
      <c r="AB155" s="62"/>
      <c r="AC155" s="6"/>
      <c r="AD155" s="145"/>
      <c r="AE155" s="6"/>
      <c r="AF155" s="6"/>
      <c r="AG155" s="70"/>
      <c r="AH155" s="6"/>
      <c r="AI155" s="135">
        <f>((F155-('yrP&amp;L'!$V$16))/J155)</f>
        <v>5.0522692555838677</v>
      </c>
      <c r="AJ155" s="136" t="s">
        <v>598</v>
      </c>
      <c r="AK155" s="6"/>
      <c r="AL155" s="6"/>
      <c r="AM155" s="6"/>
      <c r="AN155" s="14">
        <f>AVERAGE(AN151:AN154)</f>
        <v>2569.8620249999999</v>
      </c>
      <c r="AO155" s="6"/>
      <c r="AP155" s="6"/>
      <c r="AQ155" s="6"/>
    </row>
    <row r="156" spans="1:43">
      <c r="A156" s="6"/>
      <c r="B156" s="6"/>
      <c r="C156" s="6"/>
      <c r="D156" s="14"/>
      <c r="E156" s="6"/>
      <c r="F156" s="14"/>
      <c r="G156" s="6"/>
      <c r="H156" s="6"/>
      <c r="I156" s="6"/>
      <c r="J156" s="14"/>
      <c r="K156" s="6"/>
      <c r="L156" s="23"/>
      <c r="M156" s="70"/>
      <c r="N156" s="6"/>
      <c r="O156" s="70"/>
      <c r="P156" s="6"/>
      <c r="Q156" s="70"/>
      <c r="R156" s="140"/>
      <c r="S156" s="11"/>
      <c r="T156" s="20"/>
      <c r="U156" s="6"/>
      <c r="V156" s="76"/>
      <c r="W156" s="6"/>
      <c r="X156" s="6"/>
      <c r="Y156" s="6"/>
      <c r="Z156" s="6"/>
      <c r="AA156" s="70"/>
      <c r="AB156" s="62"/>
      <c r="AC156" s="6"/>
      <c r="AD156" s="6"/>
      <c r="AE156" s="6"/>
      <c r="AF156" s="6"/>
      <c r="AG156" s="70"/>
      <c r="AH156" s="6"/>
      <c r="AI156" s="134"/>
      <c r="AJ156" s="137"/>
      <c r="AK156" s="6"/>
      <c r="AL156" s="6"/>
      <c r="AM156" s="6"/>
      <c r="AN156" s="14"/>
      <c r="AO156" s="6"/>
      <c r="AP156" s="6"/>
      <c r="AQ156" s="6"/>
    </row>
    <row r="157" spans="1:43">
      <c r="A157" s="87"/>
      <c r="B157" s="139">
        <f>+B150+1</f>
        <v>2011</v>
      </c>
      <c r="C157" s="87"/>
      <c r="D157" s="87"/>
      <c r="E157" s="87"/>
      <c r="F157" s="372"/>
      <c r="G157" s="373"/>
      <c r="H157" s="374"/>
      <c r="I157" s="373"/>
      <c r="J157" s="372"/>
      <c r="K157" s="373"/>
      <c r="L157" s="373"/>
      <c r="M157" s="375"/>
      <c r="N157" s="373"/>
      <c r="O157" s="375"/>
      <c r="P157" s="373"/>
      <c r="Q157" s="375"/>
      <c r="R157" s="376"/>
      <c r="S157" s="87"/>
      <c r="T157" s="363"/>
      <c r="U157" s="87"/>
      <c r="V157" s="143"/>
      <c r="W157" s="87"/>
      <c r="X157" s="87"/>
      <c r="Y157" s="87"/>
      <c r="Z157" s="87"/>
      <c r="AA157" s="107"/>
      <c r="AB157" s="125"/>
      <c r="AC157" s="87"/>
      <c r="AD157" s="87"/>
      <c r="AE157" s="87"/>
      <c r="AF157" s="87"/>
      <c r="AG157" s="107"/>
      <c r="AH157" s="6"/>
      <c r="AI157" s="6"/>
      <c r="AJ157" s="6"/>
      <c r="AK157" s="6"/>
      <c r="AL157" s="6"/>
      <c r="AM157" s="6"/>
      <c r="AN157" s="6"/>
      <c r="AO157" s="6"/>
      <c r="AP157" s="6"/>
      <c r="AQ157" s="6"/>
    </row>
    <row r="158" spans="1:43">
      <c r="A158" s="87" t="s">
        <v>527</v>
      </c>
      <c r="B158" s="87" t="s">
        <v>514</v>
      </c>
      <c r="C158" s="107"/>
      <c r="D158" s="104">
        <f>'qtrP&amp;L'!CL10</f>
        <v>5211.0659999999998</v>
      </c>
      <c r="E158" s="87"/>
      <c r="F158" s="101">
        <f>'qtrP&amp;L'!CL21</f>
        <v>3811.2579999999998</v>
      </c>
      <c r="G158" s="87"/>
      <c r="H158" s="104">
        <f>+work!CH10</f>
        <v>3014.8</v>
      </c>
      <c r="I158" s="87"/>
      <c r="J158" s="104">
        <f>AVERAGE(H158,H154)</f>
        <v>2890.15</v>
      </c>
      <c r="K158" s="87"/>
      <c r="L158" s="102">
        <f>(D158/D151-1)*100</f>
        <v>3.8776925929026707</v>
      </c>
      <c r="M158" s="107" t="s">
        <v>190</v>
      </c>
      <c r="N158" s="102">
        <f>(H158/H151-1)*100</f>
        <v>15.284310351420615</v>
      </c>
      <c r="O158" s="107" t="s">
        <v>190</v>
      </c>
      <c r="P158" s="102">
        <f>(H158/H154-1)*100</f>
        <v>9.0146447297053012</v>
      </c>
      <c r="Q158" s="107" t="s">
        <v>190</v>
      </c>
      <c r="R158" s="363">
        <f>F158/J158</f>
        <v>1.318705949518191</v>
      </c>
      <c r="S158" s="87" t="s">
        <v>598</v>
      </c>
      <c r="T158" s="363">
        <f>F159/H158</f>
        <v>1.3188387289372427</v>
      </c>
      <c r="U158" s="87"/>
      <c r="V158" s="143">
        <f>qtrSales!J159</f>
        <v>2821</v>
      </c>
      <c r="W158" s="87"/>
      <c r="X158" s="364">
        <f>H158/V158</f>
        <v>1.0686990428925913</v>
      </c>
      <c r="Y158" s="87"/>
      <c r="Z158" s="356">
        <f>(X158/X151-1)*100</f>
        <v>13.03665453102778</v>
      </c>
      <c r="AA158" s="107" t="s">
        <v>190</v>
      </c>
      <c r="AB158" s="144">
        <f>qtrSales!Z159</f>
        <v>83.1</v>
      </c>
      <c r="AC158" s="87"/>
      <c r="AD158" s="145">
        <f>H158/AB158</f>
        <v>36.279181708784598</v>
      </c>
      <c r="AE158" s="87"/>
      <c r="AF158" s="105">
        <f>(AD158/AD151-1)*100</f>
        <v>12.509718044527185</v>
      </c>
      <c r="AG158" s="107" t="s">
        <v>190</v>
      </c>
      <c r="AH158" s="89">
        <f>J158/(F158/(365/4))</f>
        <v>69.196624185505158</v>
      </c>
      <c r="AI158" s="134">
        <f>((F158-('yrP&amp;L'!$W$16/4))/J158)</f>
        <v>1.1937660675051467</v>
      </c>
      <c r="AJ158" s="117" t="s">
        <v>598</v>
      </c>
      <c r="AK158" s="89"/>
      <c r="AL158" s="6"/>
      <c r="AM158" s="89">
        <f>+H158*0.9</f>
        <v>2713.32</v>
      </c>
      <c r="AN158" s="14">
        <f>AVERAGE(AM158,AM154)</f>
        <v>2601.1350000000002</v>
      </c>
      <c r="AO158" s="6"/>
      <c r="AP158" s="6"/>
      <c r="AQ158" s="6"/>
    </row>
    <row r="159" spans="1:43">
      <c r="A159" s="87" t="s">
        <v>528</v>
      </c>
      <c r="B159" s="87" t="s">
        <v>515</v>
      </c>
      <c r="C159" s="87"/>
      <c r="D159" s="15">
        <f>'qtrP&amp;L'!CL11</f>
        <v>5468.2740000000003</v>
      </c>
      <c r="E159" s="87"/>
      <c r="F159" s="15">
        <f>'qtrP&amp;L'!CL22</f>
        <v>3976.0349999999999</v>
      </c>
      <c r="G159" s="87"/>
      <c r="H159" s="15">
        <f>+work!CH11</f>
        <v>3368.1</v>
      </c>
      <c r="I159" s="87"/>
      <c r="J159" s="108">
        <f>AVERAGE(H158:H159)</f>
        <v>3191.45</v>
      </c>
      <c r="K159" s="87"/>
      <c r="L159" s="102">
        <f>(D159/D152-1)*100</f>
        <v>7.8963631197613404</v>
      </c>
      <c r="M159" s="107"/>
      <c r="N159" s="102">
        <f>(H159/H152-1)*100</f>
        <v>16.76142272758787</v>
      </c>
      <c r="O159" s="107"/>
      <c r="P159" s="102">
        <f>(H159/H158-1)*100</f>
        <v>11.718853655300499</v>
      </c>
      <c r="Q159" s="107"/>
      <c r="R159" s="363">
        <f>F159/J159</f>
        <v>1.2458396653558728</v>
      </c>
      <c r="S159" s="87"/>
      <c r="T159" s="363">
        <f>F160/H159</f>
        <v>1.2370734241857428</v>
      </c>
      <c r="U159" s="87"/>
      <c r="V159" s="143">
        <f>qtrSales!J160</f>
        <v>2853</v>
      </c>
      <c r="W159" s="87"/>
      <c r="X159" s="364">
        <f>H159/V159</f>
        <v>1.180546792849632</v>
      </c>
      <c r="Y159" s="87"/>
      <c r="Z159" s="356">
        <f>(X159/X152-1)*100</f>
        <v>14.551427344731337</v>
      </c>
      <c r="AA159" s="107"/>
      <c r="AB159" s="144">
        <f>qtrSales!Z160</f>
        <v>83.9</v>
      </c>
      <c r="AC159" s="87"/>
      <c r="AD159" s="143">
        <f>H159/AB159</f>
        <v>40.144219308700833</v>
      </c>
      <c r="AE159" s="87"/>
      <c r="AF159" s="105">
        <f>(AD159/AD152-1)*100</f>
        <v>14.395577451820296</v>
      </c>
      <c r="AG159" s="107"/>
      <c r="AH159" s="89">
        <f>J159/(F159/(365/4))</f>
        <v>73.243774891317614</v>
      </c>
      <c r="AI159" s="134">
        <f>((F159-('yrP&amp;L'!$W$16/4))/J159)</f>
        <v>1.1326951699070955</v>
      </c>
      <c r="AJ159" s="117"/>
      <c r="AK159" s="89"/>
      <c r="AL159" s="6"/>
      <c r="AM159" s="89">
        <f>+H159*0.9</f>
        <v>3031.29</v>
      </c>
      <c r="AN159" s="15">
        <f>AVERAGE(AM158:AM159)</f>
        <v>2872.3050000000003</v>
      </c>
      <c r="AO159" s="6"/>
      <c r="AP159" s="6"/>
      <c r="AQ159" s="6"/>
    </row>
    <row r="160" spans="1:43">
      <c r="A160" s="87" t="s">
        <v>529</v>
      </c>
      <c r="B160" s="87" t="s">
        <v>516</v>
      </c>
      <c r="C160" s="87"/>
      <c r="D160" s="15">
        <f>'qtrP&amp;L'!CL12</f>
        <v>5793.1279999999997</v>
      </c>
      <c r="E160" s="87"/>
      <c r="F160" s="15">
        <f>'qtrP&amp;L'!CL23</f>
        <v>4166.5870000000004</v>
      </c>
      <c r="G160" s="87"/>
      <c r="H160" s="15">
        <f>+work!CH12</f>
        <v>3706</v>
      </c>
      <c r="I160" s="87"/>
      <c r="J160" s="108">
        <f>AVERAGE(H159:H160)</f>
        <v>3537.05</v>
      </c>
      <c r="K160" s="87"/>
      <c r="L160" s="102">
        <f>(D160/D153-1)*100</f>
        <v>4.8369236426560436</v>
      </c>
      <c r="M160" s="107"/>
      <c r="N160" s="102">
        <f>(H160/H153-1)*100</f>
        <v>13.229453101130462</v>
      </c>
      <c r="O160" s="107"/>
      <c r="P160" s="102">
        <f>(H160/H159-1)*100</f>
        <v>10.032362459546928</v>
      </c>
      <c r="Q160" s="107"/>
      <c r="R160" s="363">
        <f>F160/J160</f>
        <v>1.1779836304264855</v>
      </c>
      <c r="S160" s="87"/>
      <c r="T160" s="363">
        <f>F161/H160</f>
        <v>1.3179624932541822</v>
      </c>
      <c r="U160" s="87"/>
      <c r="V160" s="143">
        <f>qtrSales!J161</f>
        <v>2905</v>
      </c>
      <c r="W160" s="87"/>
      <c r="X160" s="364">
        <f>H160/V160</f>
        <v>1.2757314974182443</v>
      </c>
      <c r="Y160" s="87"/>
      <c r="Z160" s="356">
        <f>(X160/X153-1)*100</f>
        <v>11.982175132374451</v>
      </c>
      <c r="AA160" s="107"/>
      <c r="AB160" s="144">
        <f>qtrSales!Z161</f>
        <v>85.3</v>
      </c>
      <c r="AC160" s="87"/>
      <c r="AD160" s="143">
        <f>H160/AB160</f>
        <v>43.446658851113718</v>
      </c>
      <c r="AE160" s="87"/>
      <c r="AF160" s="105">
        <f>(AD160/AD153-1)*100</f>
        <v>11.902026921750286</v>
      </c>
      <c r="AG160" s="107"/>
      <c r="AH160" s="89">
        <f>J160/(F160/(365/4))</f>
        <v>77.462876090190846</v>
      </c>
      <c r="AI160" s="134">
        <f>((F160-('yrP&amp;L'!$W$16/4))/J160)</f>
        <v>1.075894318711921</v>
      </c>
      <c r="AJ160" s="117"/>
      <c r="AK160" s="89"/>
      <c r="AL160" s="6"/>
      <c r="AM160" s="89">
        <f>+H160*0.9</f>
        <v>3335.4</v>
      </c>
      <c r="AN160" s="15">
        <f>AVERAGE(AM159:AM160)</f>
        <v>3183.3450000000003</v>
      </c>
      <c r="AO160" s="6"/>
      <c r="AP160" s="6"/>
      <c r="AQ160" s="6"/>
    </row>
    <row r="161" spans="1:43">
      <c r="A161" s="87" t="s">
        <v>530</v>
      </c>
      <c r="B161" s="87" t="s">
        <v>517</v>
      </c>
      <c r="C161" s="87"/>
      <c r="D161" s="19">
        <f>'qtrP&amp;L'!CL13</f>
        <v>6709.7579999999998</v>
      </c>
      <c r="E161" s="87"/>
      <c r="F161" s="19">
        <f>'qtrP&amp;L'!CL24</f>
        <v>4884.3689999999997</v>
      </c>
      <c r="G161" s="87"/>
      <c r="H161" s="15">
        <f>+bal!AV12</f>
        <v>2950.5230000000001</v>
      </c>
      <c r="I161" s="87"/>
      <c r="J161" s="109">
        <f>AVERAGE(H160:H161)</f>
        <v>3328.2615000000001</v>
      </c>
      <c r="K161" s="87"/>
      <c r="L161" s="357">
        <f>(D161/D154-1)*100</f>
        <v>10.854079709436192</v>
      </c>
      <c r="M161" s="107"/>
      <c r="N161" s="356">
        <f>(H161/H154-1)*100</f>
        <v>6.6903995660820836</v>
      </c>
      <c r="O161" s="107"/>
      <c r="P161" s="102">
        <f>(H161/H160-1)*100</f>
        <v>-20.385240151106309</v>
      </c>
      <c r="Q161" s="107"/>
      <c r="R161" s="363">
        <f>F161/J161</f>
        <v>1.4675436410270044</v>
      </c>
      <c r="S161" s="87"/>
      <c r="T161" s="128">
        <f>F165/H161</f>
        <v>1.4118608802575001</v>
      </c>
      <c r="U161" s="87"/>
      <c r="V161" s="143">
        <f>qtrSales!J162</f>
        <v>2905</v>
      </c>
      <c r="W161" s="87"/>
      <c r="X161" s="364">
        <f>H161/V161</f>
        <v>1.0156705679862308</v>
      </c>
      <c r="Y161" s="87"/>
      <c r="Z161" s="356">
        <f>(X161/X154-1)*100</f>
        <v>5.0009818793214089</v>
      </c>
      <c r="AA161" s="107"/>
      <c r="AB161" s="144">
        <f>qtrSales!Z162</f>
        <v>85.3</v>
      </c>
      <c r="AC161" s="87"/>
      <c r="AD161" s="143">
        <f>H161/AB161</f>
        <v>34.589953106682302</v>
      </c>
      <c r="AE161" s="87"/>
      <c r="AF161" s="105">
        <f>+(AD161/AD154-1)*100</f>
        <v>5.064402855227379</v>
      </c>
      <c r="AG161" s="107"/>
      <c r="AH161" s="89">
        <f>J161/(F161/(365/4))</f>
        <v>62.178730123584032</v>
      </c>
      <c r="AI161" s="134">
        <f>((F161-('yrP&amp;L'!$W$16/4))/J161)</f>
        <v>1.3590500626227835</v>
      </c>
      <c r="AJ161" s="137"/>
      <c r="AK161" s="89"/>
      <c r="AL161" s="6"/>
      <c r="AM161" s="89">
        <f>+H161*0.9</f>
        <v>2655.4707000000003</v>
      </c>
      <c r="AN161" s="19">
        <f>AVERAGE(AM160:AM161)</f>
        <v>2995.4353500000002</v>
      </c>
      <c r="AO161" s="6"/>
      <c r="AP161" s="6"/>
      <c r="AQ161" s="6"/>
    </row>
    <row r="162" spans="1:43">
      <c r="A162" s="87"/>
      <c r="B162" s="87" t="s">
        <v>531</v>
      </c>
      <c r="C162" s="87"/>
      <c r="D162" s="14">
        <f>SUM(D158:D161)</f>
        <v>23182.226000000002</v>
      </c>
      <c r="E162" s="87"/>
      <c r="F162" s="14">
        <f>SUM(F158:F161)</f>
        <v>16838.249</v>
      </c>
      <c r="G162" s="87"/>
      <c r="H162" s="87"/>
      <c r="I162" s="87"/>
      <c r="J162" s="104">
        <f>AVERAGE(J158:J161)</f>
        <v>3236.7278750000005</v>
      </c>
      <c r="K162" s="87"/>
      <c r="L162" s="102">
        <f>(D162/D155-1)*100</f>
        <v>7.0117592230270809</v>
      </c>
      <c r="M162" s="107"/>
      <c r="N162" s="87"/>
      <c r="O162" s="107"/>
      <c r="P162" s="87"/>
      <c r="Q162" s="107"/>
      <c r="R162" s="366">
        <f>F162/J162</f>
        <v>5.2022442572500776</v>
      </c>
      <c r="S162" s="367" t="s">
        <v>598</v>
      </c>
      <c r="T162" s="363"/>
      <c r="U162" s="87"/>
      <c r="V162" s="143"/>
      <c r="W162" s="87"/>
      <c r="X162" s="87"/>
      <c r="Y162" s="87"/>
      <c r="Z162" s="87"/>
      <c r="AA162" s="107"/>
      <c r="AB162" s="125"/>
      <c r="AC162" s="87"/>
      <c r="AD162" s="145"/>
      <c r="AE162" s="87"/>
      <c r="AF162" s="87"/>
      <c r="AG162" s="107"/>
      <c r="AH162" s="6"/>
      <c r="AI162" s="135">
        <f>((F162-('yrP&amp;L'!$W$16))/J162)</f>
        <v>4.7559972893921447</v>
      </c>
      <c r="AJ162" s="136" t="s">
        <v>598</v>
      </c>
      <c r="AK162" s="6"/>
      <c r="AL162" s="6"/>
      <c r="AM162" s="6"/>
      <c r="AN162" s="14">
        <f>AVERAGE(AN158:AN161)</f>
        <v>2913.0550874999999</v>
      </c>
      <c r="AO162" s="6"/>
      <c r="AP162" s="6"/>
      <c r="AQ162" s="6"/>
    </row>
    <row r="163" spans="1:43">
      <c r="A163" s="6"/>
      <c r="B163" s="6"/>
      <c r="C163" s="6"/>
      <c r="D163" s="14"/>
      <c r="E163" s="6"/>
      <c r="F163" s="14"/>
      <c r="G163" s="6"/>
      <c r="H163" s="6"/>
      <c r="I163" s="6"/>
      <c r="J163" s="14"/>
      <c r="K163" s="6"/>
      <c r="L163" s="23"/>
      <c r="M163" s="70"/>
      <c r="N163" s="6"/>
      <c r="O163" s="70"/>
      <c r="P163" s="6"/>
      <c r="Q163" s="70"/>
      <c r="R163" s="142"/>
      <c r="S163" s="11"/>
      <c r="T163" s="20"/>
      <c r="U163" s="6"/>
      <c r="V163" s="76"/>
      <c r="W163" s="6"/>
      <c r="X163" s="6"/>
      <c r="Y163" s="6"/>
      <c r="Z163" s="6"/>
      <c r="AA163" s="70"/>
      <c r="AB163" s="62"/>
      <c r="AC163" s="6"/>
      <c r="AD163" s="6"/>
      <c r="AE163" s="6"/>
      <c r="AF163" s="6"/>
      <c r="AG163" s="70"/>
      <c r="AH163" s="6"/>
      <c r="AI163" s="134"/>
      <c r="AJ163" s="137"/>
      <c r="AK163" s="6"/>
      <c r="AL163" s="6"/>
      <c r="AM163" s="6"/>
      <c r="AN163" s="14"/>
      <c r="AO163" s="6"/>
      <c r="AP163" s="6"/>
      <c r="AQ163" s="6"/>
    </row>
    <row r="164" spans="1:43">
      <c r="A164" s="87"/>
      <c r="B164" s="139">
        <f>+B157+1</f>
        <v>2012</v>
      </c>
      <c r="C164" s="87"/>
      <c r="D164" s="87"/>
      <c r="E164" s="87"/>
      <c r="F164" s="372"/>
      <c r="G164" s="373"/>
      <c r="H164" s="374"/>
      <c r="I164" s="373"/>
      <c r="J164" s="372"/>
      <c r="K164" s="373"/>
      <c r="L164" s="373"/>
      <c r="M164" s="375"/>
      <c r="N164" s="373"/>
      <c r="O164" s="375"/>
      <c r="P164" s="373"/>
      <c r="Q164" s="375"/>
      <c r="R164" s="376"/>
      <c r="S164" s="87"/>
      <c r="T164" s="363"/>
      <c r="U164" s="87"/>
      <c r="V164" s="143"/>
      <c r="W164" s="87"/>
      <c r="X164" s="87"/>
      <c r="Y164" s="87"/>
      <c r="Z164" s="87"/>
      <c r="AA164" s="107"/>
      <c r="AB164" s="125"/>
      <c r="AC164" s="87"/>
      <c r="AD164" s="87"/>
      <c r="AE164" s="87"/>
      <c r="AF164" s="87"/>
      <c r="AG164" s="107"/>
      <c r="AH164" s="6"/>
      <c r="AI164" s="6"/>
      <c r="AJ164" s="6"/>
      <c r="AK164" s="6"/>
      <c r="AL164" s="6"/>
      <c r="AM164" s="6"/>
      <c r="AN164" s="6"/>
      <c r="AO164" s="6"/>
      <c r="AP164" s="6"/>
      <c r="AQ164" s="6"/>
    </row>
    <row r="165" spans="1:43">
      <c r="A165" s="87" t="s">
        <v>527</v>
      </c>
      <c r="B165" s="87" t="s">
        <v>514</v>
      </c>
      <c r="C165" s="107"/>
      <c r="D165" s="104">
        <f>'qtrP&amp;L'!CP$10</f>
        <v>5798.0860000000002</v>
      </c>
      <c r="E165" s="87"/>
      <c r="F165" s="371">
        <f>'qtrP&amp;L'!CP$21</f>
        <v>4165.7280000000001</v>
      </c>
      <c r="G165" s="87"/>
      <c r="H165" s="104">
        <f>+work!CL$10</f>
        <v>2909.8</v>
      </c>
      <c r="I165" s="87"/>
      <c r="J165" s="370">
        <f>AVERAGE(H165,H161)</f>
        <v>2930.1615000000002</v>
      </c>
      <c r="K165" s="87"/>
      <c r="L165" s="102">
        <f>(D165/D158-1)*100</f>
        <v>11.264873636219551</v>
      </c>
      <c r="M165" s="107" t="s">
        <v>190</v>
      </c>
      <c r="N165" s="102">
        <f>(H165/H158-1)*100</f>
        <v>-3.482818097386231</v>
      </c>
      <c r="O165" s="107" t="s">
        <v>190</v>
      </c>
      <c r="P165" s="102">
        <f>(H165/H161-1)*100</f>
        <v>-1.3801959855930579</v>
      </c>
      <c r="Q165" s="107" t="s">
        <v>190</v>
      </c>
      <c r="R165" s="363">
        <f>F165/J165</f>
        <v>1.4216718088746985</v>
      </c>
      <c r="S165" s="87" t="s">
        <v>598</v>
      </c>
      <c r="T165" s="363">
        <f>F166/H165</f>
        <v>1.4691982266822463</v>
      </c>
      <c r="U165" s="87"/>
      <c r="V165" s="143">
        <f>qtrSales!J166</f>
        <v>2938</v>
      </c>
      <c r="W165" s="87"/>
      <c r="X165" s="364">
        <f>H165/V165</f>
        <v>0.99040163376446566</v>
      </c>
      <c r="Y165" s="87"/>
      <c r="Z165" s="356">
        <f>(X165/X158-1)*100</f>
        <v>-7.3264226864283692</v>
      </c>
      <c r="AA165" s="107" t="s">
        <v>190</v>
      </c>
      <c r="AB165" s="144">
        <f>qtrSales!Z166</f>
        <v>86.1</v>
      </c>
      <c r="AC165" s="87"/>
      <c r="AD165" s="145">
        <f>H165/AB165</f>
        <v>33.79558652729385</v>
      </c>
      <c r="AE165" s="87"/>
      <c r="AF165" s="105">
        <f>(AD165/AD158-1)*100</f>
        <v>-6.8457861079302518</v>
      </c>
      <c r="AG165" s="107" t="s">
        <v>190</v>
      </c>
      <c r="AH165" s="89">
        <f>J165/(F165/(365/4))</f>
        <v>64.18499644599936</v>
      </c>
      <c r="AI165" s="134">
        <f>((F165-('yrP&amp;L'!$X$16/4))/J165)</f>
        <v>1.2887245293476144</v>
      </c>
      <c r="AJ165" s="117" t="s">
        <v>598</v>
      </c>
      <c r="AK165" s="89"/>
      <c r="AL165" s="6"/>
      <c r="AM165" s="89">
        <f>+H165*0.9</f>
        <v>2618.8200000000002</v>
      </c>
      <c r="AN165" s="14">
        <f>AVERAGE(AM165,AM161)</f>
        <v>2637.1453500000002</v>
      </c>
      <c r="AO165" s="6"/>
      <c r="AP165" s="6"/>
      <c r="AQ165" s="6"/>
    </row>
    <row r="166" spans="1:43">
      <c r="A166" s="87" t="s">
        <v>528</v>
      </c>
      <c r="B166" s="87" t="s">
        <v>515</v>
      </c>
      <c r="C166" s="87"/>
      <c r="D166" s="15">
        <f>'qtrP&amp;L'!CP$11</f>
        <v>5945.5590000000002</v>
      </c>
      <c r="E166" s="87"/>
      <c r="F166" s="15">
        <f>'qtrP&amp;L'!CP$22</f>
        <v>4275.0730000000003</v>
      </c>
      <c r="G166" s="87"/>
      <c r="H166" s="15">
        <f>+work!CL$11</f>
        <v>3007.7</v>
      </c>
      <c r="I166" s="87"/>
      <c r="J166" s="108">
        <f>AVERAGE(H165:H166)</f>
        <v>2958.75</v>
      </c>
      <c r="K166" s="87"/>
      <c r="L166" s="102">
        <f>(D166/D159-1)*100</f>
        <v>8.7282568503333824</v>
      </c>
      <c r="M166" s="107"/>
      <c r="N166" s="102">
        <f>(H166/H159-1)*100</f>
        <v>-10.700394881387131</v>
      </c>
      <c r="O166" s="107"/>
      <c r="P166" s="102">
        <f>(H166/H165-1)*100</f>
        <v>3.3644924049762714</v>
      </c>
      <c r="Q166" s="107"/>
      <c r="R166" s="363">
        <f>F166/J166</f>
        <v>1.4448915927334178</v>
      </c>
      <c r="S166" s="87"/>
      <c r="T166" s="363">
        <f>F167/H166</f>
        <v>1.5181278052997309</v>
      </c>
      <c r="U166" s="87"/>
      <c r="V166" s="143">
        <f>qtrSales!J167</f>
        <v>2970</v>
      </c>
      <c r="W166" s="87"/>
      <c r="X166" s="364">
        <f>H166/V166</f>
        <v>1.0126936026936026</v>
      </c>
      <c r="Y166" s="87"/>
      <c r="Z166" s="356">
        <f>(X166/X159-1)*100</f>
        <v>-14.218258113332494</v>
      </c>
      <c r="AA166" s="107"/>
      <c r="AB166" s="144">
        <f>qtrSales!Z167</f>
        <v>87</v>
      </c>
      <c r="AC166" s="87"/>
      <c r="AD166" s="143">
        <f>H166/AB166</f>
        <v>34.571264367816092</v>
      </c>
      <c r="AE166" s="87"/>
      <c r="AF166" s="105">
        <f>(AD166/AD159-1)*100</f>
        <v>-13.882334833889431</v>
      </c>
      <c r="AG166" s="107"/>
      <c r="AH166" s="89">
        <f>J166/(F166/(365/4))</f>
        <v>63.153526852056089</v>
      </c>
      <c r="AI166" s="134">
        <f>((F166-('yrP&amp;L'!$X$16/4))/J166)</f>
        <v>1.3132288973384032</v>
      </c>
      <c r="AJ166" s="117"/>
      <c r="AK166" s="89"/>
      <c r="AL166" s="6"/>
      <c r="AM166" s="89">
        <f>+H166*0.9</f>
        <v>2706.93</v>
      </c>
      <c r="AN166" s="15">
        <f>AVERAGE(AM165:AM166)</f>
        <v>2662.875</v>
      </c>
      <c r="AO166" s="6"/>
      <c r="AP166" s="6"/>
      <c r="AQ166" s="6"/>
    </row>
    <row r="167" spans="1:43">
      <c r="A167" s="87" t="s">
        <v>529</v>
      </c>
      <c r="B167" s="87" t="s">
        <v>516</v>
      </c>
      <c r="C167" s="87"/>
      <c r="D167" s="15">
        <f>'qtrP&amp;L'!CP$12</f>
        <v>6410.9129999999996</v>
      </c>
      <c r="E167" s="87"/>
      <c r="F167" s="15">
        <f>'qtrP&amp;L'!CP$23</f>
        <v>4566.0730000000003</v>
      </c>
      <c r="G167" s="87"/>
      <c r="H167" s="15">
        <f>+work!CL$12</f>
        <v>3297.1</v>
      </c>
      <c r="I167" s="87"/>
      <c r="J167" s="108">
        <f>AVERAGE(H166:H167)</f>
        <v>3152.3999999999996</v>
      </c>
      <c r="K167" s="87"/>
      <c r="L167" s="102">
        <f>(D167/D160-1)*100</f>
        <v>10.664100637859208</v>
      </c>
      <c r="M167" s="107"/>
      <c r="N167" s="102">
        <f>(H167/H160-1)*100</f>
        <v>-11.033459255261736</v>
      </c>
      <c r="O167" s="107"/>
      <c r="P167" s="102">
        <f>(H167/H166-1)*100</f>
        <v>9.6219702762908597</v>
      </c>
      <c r="Q167" s="107"/>
      <c r="R167" s="363">
        <f>F167/J167</f>
        <v>1.4484434081969295</v>
      </c>
      <c r="S167" s="87"/>
      <c r="T167" s="363">
        <f>F168/H167</f>
        <v>1.6725382912256226</v>
      </c>
      <c r="U167" s="87"/>
      <c r="V167" s="143">
        <f>qtrSales!J168</f>
        <v>3046</v>
      </c>
      <c r="W167" s="87"/>
      <c r="X167" s="364">
        <f>H167/V167</f>
        <v>1.0824359816152331</v>
      </c>
      <c r="Y167" s="87"/>
      <c r="Z167" s="356">
        <f>(X167/X160-1)*100</f>
        <v>-15.151739703393075</v>
      </c>
      <c r="AA167" s="107"/>
      <c r="AB167" s="144">
        <f>qtrSales!Z168</f>
        <v>88.9</v>
      </c>
      <c r="AC167" s="87"/>
      <c r="AD167" s="143">
        <f>H167/AB167</f>
        <v>37.087739032620917</v>
      </c>
      <c r="AE167" s="87"/>
      <c r="AF167" s="105">
        <f>(AD167/AD160-1)*100</f>
        <v>-14.636153818603237</v>
      </c>
      <c r="AG167" s="107"/>
      <c r="AH167" s="89">
        <f>J167/(F167/(365/4))</f>
        <v>62.998664278910994</v>
      </c>
      <c r="AI167" s="134">
        <f>((F167-('yrP&amp;L'!$X$16/4))/J167)</f>
        <v>1.3248686714883902</v>
      </c>
      <c r="AJ167" s="117"/>
      <c r="AK167" s="89"/>
      <c r="AL167" s="6"/>
      <c r="AM167" s="89">
        <f>+H167*0.9</f>
        <v>2967.39</v>
      </c>
      <c r="AN167" s="15">
        <f>AVERAGE(AM166:AM167)</f>
        <v>2837.16</v>
      </c>
      <c r="AO167" s="6"/>
      <c r="AP167" s="6"/>
      <c r="AQ167" s="6"/>
    </row>
    <row r="168" spans="1:43">
      <c r="A168" s="87" t="s">
        <v>530</v>
      </c>
      <c r="B168" s="87" t="s">
        <v>517</v>
      </c>
      <c r="C168" s="87"/>
      <c r="D168" s="19">
        <f>'qtrP&amp;L'!CP$13</f>
        <v>7723.8140000000003</v>
      </c>
      <c r="E168" s="87"/>
      <c r="F168" s="19">
        <f>'qtrP&amp;L'!CP$24</f>
        <v>5514.5259999999998</v>
      </c>
      <c r="G168" s="87"/>
      <c r="H168" s="15">
        <f>+bal!AX12</f>
        <v>3014.2139999999999</v>
      </c>
      <c r="I168" s="87"/>
      <c r="J168" s="109">
        <f>AVERAGE(H167:H168)</f>
        <v>3155.6570000000002</v>
      </c>
      <c r="K168" s="87"/>
      <c r="L168" s="357">
        <f>(D168/D161-1)*100</f>
        <v>15.113153112228495</v>
      </c>
      <c r="M168" s="107"/>
      <c r="N168" s="356">
        <f>(H168/H161-1)*100</f>
        <v>2.1586342489111177</v>
      </c>
      <c r="O168" s="107"/>
      <c r="P168" s="102">
        <f>(H168/H167-1)*100</f>
        <v>-8.5798428922386307</v>
      </c>
      <c r="Q168" s="107"/>
      <c r="R168" s="363">
        <f>F168/J168</f>
        <v>1.7475048777481201</v>
      </c>
      <c r="S168" s="87"/>
      <c r="T168" s="128">
        <f>F172/H168</f>
        <v>1.4708753260385627</v>
      </c>
      <c r="U168" s="87"/>
      <c r="V168" s="143">
        <f>qtrSales!J169</f>
        <v>3050</v>
      </c>
      <c r="W168" s="87"/>
      <c r="X168" s="364">
        <f>H168/V168</f>
        <v>0.98826688524590167</v>
      </c>
      <c r="Y168" s="87"/>
      <c r="Z168" s="356">
        <f>(X168/X161-1)*100</f>
        <v>-2.6980877071846598</v>
      </c>
      <c r="AA168" s="107"/>
      <c r="AB168" s="144">
        <f>qtrSales!Z169</f>
        <v>89.1</v>
      </c>
      <c r="AC168" s="87"/>
      <c r="AD168" s="143">
        <f>H168/AB168</f>
        <v>33.82956228956229</v>
      </c>
      <c r="AE168" s="87"/>
      <c r="AF168" s="105">
        <f>(AD168/AD161-1)*100</f>
        <v>-2.1982996472265093</v>
      </c>
      <c r="AG168" s="107"/>
      <c r="AH168" s="89">
        <f>J168/(F168/(365/4))</f>
        <v>52.217307752289138</v>
      </c>
      <c r="AI168" s="134">
        <f>((F168-('yrP&amp;L'!$X$16/4))/J168)</f>
        <v>1.6240576843427532</v>
      </c>
      <c r="AJ168" s="137"/>
      <c r="AK168" s="89"/>
      <c r="AL168" s="6"/>
      <c r="AM168" s="89">
        <f>+H168*0.9</f>
        <v>2712.7926000000002</v>
      </c>
      <c r="AN168" s="19">
        <f>AVERAGE(AM167:AM168)</f>
        <v>2840.0913</v>
      </c>
      <c r="AO168" s="6"/>
      <c r="AP168" s="6"/>
      <c r="AQ168" s="6"/>
    </row>
    <row r="169" spans="1:43">
      <c r="A169" s="87"/>
      <c r="B169" s="87" t="s">
        <v>531</v>
      </c>
      <c r="C169" s="87"/>
      <c r="D169" s="14">
        <f>SUM(D165:D168)</f>
        <v>25878.372000000003</v>
      </c>
      <c r="E169" s="87"/>
      <c r="F169" s="14">
        <f>SUM(F165:F168)</f>
        <v>18521.400000000001</v>
      </c>
      <c r="G169" s="87"/>
      <c r="H169" s="87"/>
      <c r="I169" s="87"/>
      <c r="J169" s="104">
        <f>AVERAGE(J165:J168)</f>
        <v>3049.2421249999998</v>
      </c>
      <c r="K169" s="87"/>
      <c r="L169" s="102">
        <f>(D169/D162-1)*100</f>
        <v>11.630229124675084</v>
      </c>
      <c r="M169" s="107"/>
      <c r="N169" s="87"/>
      <c r="O169" s="107"/>
      <c r="P169" s="87"/>
      <c r="Q169" s="107"/>
      <c r="R169" s="366">
        <f>F169/J169</f>
        <v>6.0740994780793285</v>
      </c>
      <c r="S169" s="367" t="s">
        <v>598</v>
      </c>
      <c r="T169" s="363"/>
      <c r="U169" s="87"/>
      <c r="V169" s="143"/>
      <c r="W169" s="87"/>
      <c r="X169" s="87"/>
      <c r="Y169" s="87"/>
      <c r="Z169" s="87"/>
      <c r="AA169" s="107"/>
      <c r="AB169" s="125"/>
      <c r="AC169" s="87"/>
      <c r="AD169" s="145"/>
      <c r="AE169" s="87"/>
      <c r="AF169" s="87"/>
      <c r="AG169" s="107"/>
      <c r="AH169" s="6"/>
      <c r="AI169" s="135">
        <f>((F169-('yrP&amp;L'!$X$16))/J169)</f>
        <v>5.5630780714076629</v>
      </c>
      <c r="AJ169" s="136" t="s">
        <v>598</v>
      </c>
      <c r="AK169" s="6"/>
      <c r="AL169" s="6"/>
      <c r="AM169" s="6"/>
      <c r="AN169" s="14">
        <f>AVERAGE(AN165:AN168)</f>
        <v>2744.3179125000001</v>
      </c>
      <c r="AO169" s="6"/>
      <c r="AP169" s="6"/>
      <c r="AQ169" s="6"/>
    </row>
    <row r="170" spans="1:43">
      <c r="A170" s="6"/>
      <c r="B170" s="6"/>
      <c r="C170" s="6"/>
      <c r="D170" s="14"/>
      <c r="E170" s="6"/>
      <c r="F170" s="14"/>
      <c r="G170" s="6"/>
      <c r="H170" s="6"/>
      <c r="I170" s="6"/>
      <c r="J170" s="14"/>
      <c r="K170" s="6"/>
      <c r="L170" s="23"/>
      <c r="M170" s="70"/>
      <c r="N170" s="6"/>
      <c r="O170" s="70"/>
      <c r="P170" s="6"/>
      <c r="Q170" s="70"/>
      <c r="R170" s="142"/>
      <c r="S170" s="11"/>
      <c r="T170" s="20"/>
      <c r="U170" s="6"/>
      <c r="V170" s="76"/>
      <c r="W170" s="6"/>
      <c r="X170" s="6"/>
      <c r="Y170" s="6"/>
      <c r="Z170" s="6"/>
      <c r="AA170" s="70"/>
      <c r="AB170" s="62"/>
      <c r="AC170" s="6"/>
      <c r="AD170" s="6"/>
      <c r="AE170" s="6"/>
      <c r="AF170" s="6"/>
      <c r="AG170" s="70"/>
      <c r="AH170" s="6"/>
      <c r="AI170" s="134"/>
      <c r="AJ170" s="137"/>
      <c r="AK170" s="6"/>
      <c r="AL170" s="6"/>
      <c r="AM170" s="6"/>
      <c r="AN170" s="14"/>
      <c r="AO170" s="6"/>
      <c r="AP170" s="6"/>
      <c r="AQ170" s="6"/>
    </row>
    <row r="171" spans="1:43">
      <c r="A171" s="87"/>
      <c r="B171" s="139">
        <f>+B164+1</f>
        <v>2013</v>
      </c>
      <c r="C171" s="87"/>
      <c r="D171" s="87"/>
      <c r="E171" s="87"/>
      <c r="F171" s="372"/>
      <c r="G171" s="373"/>
      <c r="H171" s="374"/>
      <c r="I171" s="373"/>
      <c r="J171" s="372"/>
      <c r="K171" s="373"/>
      <c r="L171" s="373"/>
      <c r="M171" s="375"/>
      <c r="N171" s="373"/>
      <c r="O171" s="375"/>
      <c r="P171" s="373"/>
      <c r="Q171" s="375"/>
      <c r="R171" s="376"/>
      <c r="S171" s="87"/>
      <c r="T171" s="363"/>
      <c r="U171" s="87"/>
      <c r="V171" s="143"/>
      <c r="W171" s="87"/>
      <c r="X171" s="87"/>
      <c r="Y171" s="87"/>
      <c r="Z171" s="87"/>
      <c r="AA171" s="107"/>
      <c r="AB171" s="125"/>
      <c r="AC171" s="87"/>
      <c r="AD171" s="87"/>
      <c r="AE171" s="87"/>
      <c r="AF171" s="87"/>
      <c r="AG171" s="107"/>
      <c r="AH171" s="6"/>
      <c r="AI171" s="6"/>
      <c r="AJ171" s="6"/>
      <c r="AK171" s="6"/>
      <c r="AL171" s="6"/>
      <c r="AM171" s="6"/>
      <c r="AN171" s="6"/>
      <c r="AO171" s="6"/>
      <c r="AP171" s="6"/>
      <c r="AQ171" s="6"/>
    </row>
    <row r="172" spans="1:43">
      <c r="A172" s="87" t="s">
        <v>527</v>
      </c>
      <c r="B172" s="87" t="s">
        <v>514</v>
      </c>
      <c r="C172" s="107"/>
      <c r="D172" s="104">
        <f>'qtrP&amp;L'!CT$10</f>
        <v>6189.6090000000004</v>
      </c>
      <c r="E172" s="87"/>
      <c r="F172" s="371">
        <f>'qtrP&amp;L'!CT$21</f>
        <v>4433.5330000000004</v>
      </c>
      <c r="G172" s="373"/>
      <c r="H172" s="104">
        <f>+work!CP$10</f>
        <v>3091.5</v>
      </c>
      <c r="I172" s="373"/>
      <c r="J172" s="370">
        <f>AVERAGE(H172,H168)</f>
        <v>3052.857</v>
      </c>
      <c r="K172" s="373"/>
      <c r="L172" s="102">
        <f>(D172/D165-1)*100</f>
        <v>6.7526249179470588</v>
      </c>
      <c r="M172" s="107" t="s">
        <v>190</v>
      </c>
      <c r="N172" s="102">
        <f>(H172/H165-1)*100</f>
        <v>6.244415423740457</v>
      </c>
      <c r="O172" s="107" t="s">
        <v>190</v>
      </c>
      <c r="P172" s="102">
        <f>(H172/H168-1)*100</f>
        <v>2.5640515238798622</v>
      </c>
      <c r="Q172" s="107" t="s">
        <v>190</v>
      </c>
      <c r="R172" s="363">
        <f>F172/J172</f>
        <v>1.4522570169516622</v>
      </c>
      <c r="S172" s="87" t="s">
        <v>598</v>
      </c>
      <c r="T172" s="363">
        <f>F173/H172</f>
        <v>1.4836613294517222</v>
      </c>
      <c r="U172" s="87"/>
      <c r="V172" s="143">
        <f>qtrSales!J173</f>
        <v>3100</v>
      </c>
      <c r="W172" s="87"/>
      <c r="X172" s="364">
        <f>H172/V172</f>
        <v>0.99725806451612908</v>
      </c>
      <c r="Y172" s="87"/>
      <c r="Z172" s="356">
        <f>(X172/X165-1)*100</f>
        <v>0.69228790804822804</v>
      </c>
      <c r="AA172" s="107" t="s">
        <v>190</v>
      </c>
      <c r="AB172" s="144">
        <f>qtrSales!Z173</f>
        <v>90.4</v>
      </c>
      <c r="AC172" s="87"/>
      <c r="AD172" s="145">
        <f>H172/AB172</f>
        <v>34.198008849557517</v>
      </c>
      <c r="AE172" s="87"/>
      <c r="AF172" s="105">
        <f>(AD172/AD165-1)*100</f>
        <v>1.190754070620037</v>
      </c>
      <c r="AG172" s="107" t="s">
        <v>190</v>
      </c>
      <c r="AH172" s="89">
        <f>J172/(F172/(365/4))</f>
        <v>62.83323057480343</v>
      </c>
      <c r="AI172" s="134">
        <f>((F172-('yrP&amp;L'!$Y$16/4))/J172)</f>
        <v>1.3173992427421266</v>
      </c>
      <c r="AJ172" s="117" t="s">
        <v>598</v>
      </c>
      <c r="AK172" s="379"/>
      <c r="AL172" s="87"/>
      <c r="AM172" s="89">
        <f>+H172*0.9</f>
        <v>2782.35</v>
      </c>
      <c r="AN172" s="104">
        <f>AVERAGE(AM172,AM168)</f>
        <v>2747.5713000000001</v>
      </c>
      <c r="AO172" s="6"/>
      <c r="AP172" s="6"/>
      <c r="AQ172" s="6"/>
    </row>
    <row r="173" spans="1:43">
      <c r="A173" s="87" t="s">
        <v>528</v>
      </c>
      <c r="B173" s="87" t="s">
        <v>515</v>
      </c>
      <c r="C173" s="87"/>
      <c r="D173" s="15">
        <f>'qtrP&amp;L'!CT$11</f>
        <v>6442.424</v>
      </c>
      <c r="E173" s="87"/>
      <c r="F173" s="15">
        <f>'qtrP&amp;L'!CT$22</f>
        <v>4586.7389999999996</v>
      </c>
      <c r="G173" s="373"/>
      <c r="H173" s="108">
        <f>+work!CP$11</f>
        <v>3188.5</v>
      </c>
      <c r="I173" s="373"/>
      <c r="J173" s="108">
        <f>AVERAGE(H172:H173)</f>
        <v>3140</v>
      </c>
      <c r="K173" s="373"/>
      <c r="L173" s="102">
        <f>(D173/D166-1)*100</f>
        <v>8.3569097539861303</v>
      </c>
      <c r="M173" s="107"/>
      <c r="N173" s="102">
        <f>(H173/H166-1)*100</f>
        <v>6.0112378229211672</v>
      </c>
      <c r="O173" s="107"/>
      <c r="P173" s="102">
        <f>(H173/H172-1)*100</f>
        <v>3.1376354520459282</v>
      </c>
      <c r="Q173" s="107"/>
      <c r="R173" s="363">
        <f>F173/J173</f>
        <v>1.4607449044585985</v>
      </c>
      <c r="S173" s="87"/>
      <c r="T173" s="363">
        <f>F174/H173</f>
        <v>1.5475819350791908</v>
      </c>
      <c r="U173" s="87"/>
      <c r="V173" s="143">
        <f>qtrSales!J174</f>
        <v>3119</v>
      </c>
      <c r="W173" s="87"/>
      <c r="X173" s="364">
        <f>H173/V173</f>
        <v>1.022282782943251</v>
      </c>
      <c r="Y173" s="87"/>
      <c r="Z173" s="356">
        <f>(X173/X166-1)*100</f>
        <v>0.94689847197046983</v>
      </c>
      <c r="AA173" s="107"/>
      <c r="AB173" s="144">
        <f>qtrSales!Z174</f>
        <v>90.9</v>
      </c>
      <c r="AC173" s="87"/>
      <c r="AD173" s="143">
        <f>H173/AB173</f>
        <v>35.077007700770075</v>
      </c>
      <c r="AE173" s="87"/>
      <c r="AF173" s="105">
        <f>(AD173/AD166-1)*100</f>
        <v>1.4629008866242188</v>
      </c>
      <c r="AG173" s="107"/>
      <c r="AH173" s="89">
        <f>J173/(F173/(365/4))</f>
        <v>62.468128227919664</v>
      </c>
      <c r="AI173" s="134">
        <f>((F173-('yrP&amp;L'!$Y$16/4))/J173)</f>
        <v>1.3296297770700636</v>
      </c>
      <c r="AJ173" s="117"/>
      <c r="AK173" s="379"/>
      <c r="AL173" s="87"/>
      <c r="AM173" s="89">
        <f>+H173*0.9</f>
        <v>2869.65</v>
      </c>
      <c r="AN173" s="108">
        <f>AVERAGE(AM172:AM173)</f>
        <v>2826</v>
      </c>
      <c r="AO173" s="6"/>
      <c r="AP173" s="6"/>
      <c r="AQ173" s="6"/>
    </row>
    <row r="174" spans="1:43">
      <c r="A174" s="87" t="s">
        <v>529</v>
      </c>
      <c r="B174" s="87" t="s">
        <v>516</v>
      </c>
      <c r="C174" s="87"/>
      <c r="D174" s="15">
        <f>'qtrP&amp;L'!CT$12</f>
        <v>6981.8760000000002</v>
      </c>
      <c r="E174" s="87"/>
      <c r="F174" s="15">
        <f>'qtrP&amp;L'!CT$23</f>
        <v>4934.4650000000001</v>
      </c>
      <c r="G174" s="373"/>
      <c r="H174" s="108">
        <f>+work!CP$12</f>
        <v>3663.2</v>
      </c>
      <c r="I174" s="373"/>
      <c r="J174" s="108">
        <f>AVERAGE(H173:H174)</f>
        <v>3425.85</v>
      </c>
      <c r="K174" s="373"/>
      <c r="L174" s="102">
        <f>(D174/D167-1)*100</f>
        <v>8.9061105649070669</v>
      </c>
      <c r="M174" s="107"/>
      <c r="N174" s="102">
        <f>(H174/H167-1)*100</f>
        <v>11.103697188438332</v>
      </c>
      <c r="O174" s="107"/>
      <c r="P174" s="102">
        <f>(H174/H173-1)*100</f>
        <v>14.887878312686208</v>
      </c>
      <c r="Q174" s="107"/>
      <c r="R174" s="363">
        <f>F174/J174</f>
        <v>1.4403622458659895</v>
      </c>
      <c r="S174" s="87"/>
      <c r="T174" s="363">
        <f>F175/H174</f>
        <v>1.5424492247215551</v>
      </c>
      <c r="U174" s="87"/>
      <c r="V174" s="143">
        <f>qtrSales!J175</f>
        <v>3212</v>
      </c>
      <c r="W174" s="87"/>
      <c r="X174" s="364">
        <f>H174/V174</f>
        <v>1.1404732254047323</v>
      </c>
      <c r="Y174" s="87"/>
      <c r="Z174" s="356">
        <f>(X174/X167-1)*100</f>
        <v>5.3617252914019753</v>
      </c>
      <c r="AA174" s="107"/>
      <c r="AB174" s="144">
        <f>qtrSales!Z175</f>
        <v>93.1</v>
      </c>
      <c r="AC174" s="87"/>
      <c r="AD174" s="143">
        <f>+AD167*(1+AF174/100)</f>
        <v>34.120719910011246</v>
      </c>
      <c r="AE174" s="87"/>
      <c r="AF174" s="368">
        <v>-8</v>
      </c>
      <c r="AG174" s="107"/>
      <c r="AH174" s="89">
        <f>J174/(F174/(365/4))</f>
        <v>63.352118720063878</v>
      </c>
      <c r="AI174" s="134">
        <f>((F174-('yrP&amp;L'!$Y$16/4))/J174)</f>
        <v>1.3201872527985756</v>
      </c>
      <c r="AJ174" s="117"/>
      <c r="AK174" s="379"/>
      <c r="AL174" s="87"/>
      <c r="AM174" s="89">
        <f>+H174*0.9</f>
        <v>3296.88</v>
      </c>
      <c r="AN174" s="108">
        <f>AVERAGE(AM173:AM174)</f>
        <v>3083.2650000000003</v>
      </c>
      <c r="AO174" s="6"/>
      <c r="AP174" s="6"/>
      <c r="AQ174" s="6"/>
    </row>
    <row r="175" spans="1:43">
      <c r="A175" s="87" t="s">
        <v>530</v>
      </c>
      <c r="B175" s="87" t="s">
        <v>517</v>
      </c>
      <c r="C175" s="87"/>
      <c r="D175" s="19">
        <f>'qtrP&amp;L'!CT$13</f>
        <v>7808.7870000000003</v>
      </c>
      <c r="E175" s="87"/>
      <c r="F175" s="19">
        <f>'qtrP&amp;L'!CT$24</f>
        <v>5650.3</v>
      </c>
      <c r="G175" s="373"/>
      <c r="H175" s="108">
        <f>+bal!AZ12</f>
        <v>2966.49</v>
      </c>
      <c r="I175" s="373"/>
      <c r="J175" s="109">
        <f>AVERAGE(H174:H175)</f>
        <v>3314.8449999999998</v>
      </c>
      <c r="K175" s="373"/>
      <c r="L175" s="357">
        <f>(D175/D168-1)*100</f>
        <v>1.1001430122475675</v>
      </c>
      <c r="M175" s="107"/>
      <c r="N175" s="356">
        <f>(H175/H168-1)*100</f>
        <v>-1.5832983325006156</v>
      </c>
      <c r="O175" s="107"/>
      <c r="P175" s="102">
        <f>(H175/H174-1)*100</f>
        <v>-19.019163572832497</v>
      </c>
      <c r="Q175" s="107"/>
      <c r="R175" s="363">
        <f>F175/J175</f>
        <v>1.7045442547087422</v>
      </c>
      <c r="S175" s="87"/>
      <c r="T175" s="365" t="s">
        <v>120</v>
      </c>
      <c r="U175" s="87"/>
      <c r="V175" s="143">
        <f>qtrSales!J176</f>
        <v>3219</v>
      </c>
      <c r="W175" s="87"/>
      <c r="X175" s="364">
        <f>H175/V175</f>
        <v>0.92155638397017703</v>
      </c>
      <c r="Y175" s="87"/>
      <c r="Z175" s="356">
        <f>(X175/X168-1)*100</f>
        <v>-6.750251604264335</v>
      </c>
      <c r="AA175" s="107"/>
      <c r="AB175" s="144">
        <f>qtrSales!Z176</f>
        <v>93.3</v>
      </c>
      <c r="AC175" s="87"/>
      <c r="AD175" s="143">
        <f>H175/AB175</f>
        <v>31.795176848874597</v>
      </c>
      <c r="AE175" s="87"/>
      <c r="AF175" s="105">
        <f>+(AD175/AD168-1)*100</f>
        <v>-6.0136321696227739</v>
      </c>
      <c r="AG175" s="107"/>
      <c r="AH175" s="89">
        <f>J175/(F175/(365/4))</f>
        <v>53.533371015698279</v>
      </c>
      <c r="AI175" s="134">
        <f>((F175-('yrP&amp;L'!$Y$16/4))/J175)</f>
        <v>1.5803449331718378</v>
      </c>
      <c r="AJ175" s="137"/>
      <c r="AK175" s="379"/>
      <c r="AL175" s="87"/>
      <c r="AM175" s="89">
        <f>+H175*0.9</f>
        <v>2669.8409999999999</v>
      </c>
      <c r="AN175" s="109">
        <f>AVERAGE(AM174:AM175)</f>
        <v>2983.3604999999998</v>
      </c>
      <c r="AO175" s="6"/>
      <c r="AP175" s="6"/>
      <c r="AQ175" s="6"/>
    </row>
    <row r="176" spans="1:43">
      <c r="A176" s="87"/>
      <c r="B176" s="87" t="s">
        <v>531</v>
      </c>
      <c r="C176" s="87"/>
      <c r="D176" s="14">
        <f>SUM(D172:D175)</f>
        <v>27422.696</v>
      </c>
      <c r="E176" s="87"/>
      <c r="F176" s="14">
        <f>SUM(F172:F175)</f>
        <v>19605.037</v>
      </c>
      <c r="G176" s="373"/>
      <c r="H176" s="15"/>
      <c r="I176" s="373"/>
      <c r="J176" s="104">
        <f>AVERAGE(J172:J175)</f>
        <v>3233.3879999999999</v>
      </c>
      <c r="K176" s="373"/>
      <c r="L176" s="102">
        <f>(D176/D169-1)*100</f>
        <v>5.9676242384953504</v>
      </c>
      <c r="M176" s="107"/>
      <c r="N176" s="87"/>
      <c r="O176" s="107"/>
      <c r="P176" s="87"/>
      <c r="Q176" s="107"/>
      <c r="R176" s="366">
        <f>F176/J176</f>
        <v>6.0633109914430312</v>
      </c>
      <c r="S176" s="367" t="s">
        <v>598</v>
      </c>
      <c r="T176" s="363"/>
      <c r="U176" s="87"/>
      <c r="V176" s="143"/>
      <c r="W176" s="87"/>
      <c r="X176" s="87"/>
      <c r="Y176" s="87"/>
      <c r="Z176" s="87"/>
      <c r="AA176" s="107"/>
      <c r="AB176" s="125"/>
      <c r="AC176" s="87"/>
      <c r="AD176" s="145"/>
      <c r="AE176" s="87"/>
      <c r="AF176" s="87"/>
      <c r="AG176" s="107"/>
      <c r="AH176" s="107"/>
      <c r="AI176" s="135">
        <f>((F176-('yrP&amp;L'!$Y$16))/J176)</f>
        <v>5.5539981592063805</v>
      </c>
      <c r="AJ176" s="136" t="s">
        <v>598</v>
      </c>
      <c r="AK176" s="87"/>
      <c r="AL176" s="87"/>
      <c r="AM176" s="87"/>
      <c r="AN176" s="104">
        <f>AVERAGE(AN172:AN175)</f>
        <v>2910.0491999999995</v>
      </c>
      <c r="AO176" s="6"/>
      <c r="AP176" s="6"/>
      <c r="AQ176" s="6"/>
    </row>
    <row r="177" spans="1:43">
      <c r="A177" s="6"/>
      <c r="B177" s="6"/>
      <c r="C177" s="6"/>
      <c r="D177" s="14"/>
      <c r="E177" s="6"/>
      <c r="F177" s="14"/>
      <c r="G177" s="6"/>
      <c r="H177" s="6"/>
      <c r="I177" s="6"/>
      <c r="J177" s="14"/>
      <c r="K177" s="6"/>
      <c r="L177" s="23"/>
      <c r="M177" s="70"/>
      <c r="N177" s="6"/>
      <c r="O177" s="70"/>
      <c r="P177" s="6"/>
      <c r="Q177" s="70"/>
      <c r="R177" s="142"/>
      <c r="S177" s="11"/>
      <c r="T177" s="20"/>
      <c r="U177" s="6"/>
      <c r="V177" s="76"/>
      <c r="W177" s="6"/>
      <c r="X177" s="6"/>
      <c r="Y177" s="6"/>
      <c r="Z177" s="6"/>
      <c r="AA177" s="70"/>
      <c r="AB177" s="62"/>
      <c r="AC177" s="6"/>
      <c r="AD177" s="6"/>
      <c r="AE177" s="6"/>
      <c r="AF177" s="6"/>
      <c r="AG177" s="70"/>
      <c r="AH177" s="6"/>
      <c r="AI177" s="134"/>
      <c r="AJ177" s="137"/>
      <c r="AK177" s="6"/>
      <c r="AL177" s="6"/>
      <c r="AM177" s="6"/>
      <c r="AN177" s="14"/>
      <c r="AO177" s="6"/>
      <c r="AP177" s="6"/>
      <c r="AQ177" s="6"/>
    </row>
    <row r="178" spans="1:43">
      <c r="A178" s="87"/>
      <c r="B178" s="139">
        <f>+B171+1</f>
        <v>2014</v>
      </c>
      <c r="C178" s="87"/>
      <c r="D178" s="87"/>
      <c r="E178" s="87"/>
      <c r="F178" s="372"/>
      <c r="G178" s="373"/>
      <c r="H178" s="374"/>
      <c r="I178" s="373"/>
      <c r="J178" s="372"/>
      <c r="K178" s="373"/>
      <c r="L178" s="373"/>
      <c r="M178" s="375"/>
      <c r="N178" s="373"/>
      <c r="O178" s="375"/>
      <c r="P178" s="373"/>
      <c r="Q178" s="375"/>
      <c r="R178" s="376"/>
      <c r="S178" s="87"/>
      <c r="T178" s="363"/>
      <c r="U178" s="87"/>
      <c r="V178" s="143"/>
      <c r="W178" s="87"/>
      <c r="X178" s="87"/>
      <c r="Y178" s="87"/>
      <c r="Z178" s="87"/>
      <c r="AA178" s="107"/>
      <c r="AB178" s="125"/>
      <c r="AC178" s="87"/>
      <c r="AD178" s="87"/>
      <c r="AE178" s="87"/>
      <c r="AF178" s="87"/>
      <c r="AG178" s="107"/>
      <c r="AH178" s="6"/>
      <c r="AI178" s="6"/>
      <c r="AJ178" s="6"/>
      <c r="AK178" s="6"/>
      <c r="AL178" s="6"/>
      <c r="AM178" s="6"/>
      <c r="AN178" s="6"/>
      <c r="AO178" s="6"/>
      <c r="AP178" s="6"/>
      <c r="AQ178" s="6"/>
    </row>
    <row r="179" spans="1:43">
      <c r="A179" s="87" t="s">
        <v>527</v>
      </c>
      <c r="B179" s="87" t="s">
        <v>514</v>
      </c>
      <c r="C179" s="107"/>
      <c r="D179" s="104">
        <f>'qtrP&amp;L'!CX$10</f>
        <v>6491.1760000000004</v>
      </c>
      <c r="E179" s="87"/>
      <c r="F179" s="371">
        <f>'qtrP&amp;L'!CX$21</f>
        <v>4678</v>
      </c>
      <c r="G179" s="373"/>
      <c r="H179" s="104">
        <f>+work!CT$10</f>
        <v>3208.5</v>
      </c>
      <c r="I179" s="373"/>
      <c r="J179" s="370">
        <f>AVERAGE(H179,H175)</f>
        <v>3087.4949999999999</v>
      </c>
      <c r="K179" s="373"/>
      <c r="L179" s="102">
        <f>(D179/D172-1)*100</f>
        <v>4.8721494362568007</v>
      </c>
      <c r="M179" s="107" t="s">
        <v>190</v>
      </c>
      <c r="N179" s="102">
        <f>(H179/H172-1)*100</f>
        <v>3.7845705967976651</v>
      </c>
      <c r="O179" s="107" t="s">
        <v>190</v>
      </c>
      <c r="P179" s="102">
        <f>(H179/H175-1)*100</f>
        <v>8.1581262704408353</v>
      </c>
      <c r="Q179" s="107" t="s">
        <v>190</v>
      </c>
      <c r="R179" s="363">
        <f>F179/J179</f>
        <v>1.5151441540796018</v>
      </c>
      <c r="S179" s="87" t="s">
        <v>598</v>
      </c>
      <c r="T179" s="363">
        <f>F180/H179</f>
        <v>1.5383687081190587</v>
      </c>
      <c r="U179" s="87"/>
      <c r="V179" s="143">
        <f>qtrSales!J180</f>
        <v>3256</v>
      </c>
      <c r="W179" s="87"/>
      <c r="X179" s="364">
        <f>H179/V179</f>
        <v>0.98541154791154795</v>
      </c>
      <c r="Y179" s="87"/>
      <c r="Z179" s="356">
        <f>(X179/X172-1)*100</f>
        <v>-1.1879088298302309</v>
      </c>
      <c r="AA179" s="107" t="s">
        <v>190</v>
      </c>
      <c r="AB179" s="144">
        <f>qtrSales!Z180</f>
        <v>94.3</v>
      </c>
      <c r="AC179" s="87"/>
      <c r="AD179" s="145">
        <f>H179/AB179</f>
        <v>34.024390243902438</v>
      </c>
      <c r="AE179" s="87"/>
      <c r="AF179" s="105">
        <f>(AD179/AD172-1)*100</f>
        <v>-0.50768629957040901</v>
      </c>
      <c r="AG179" s="107" t="s">
        <v>190</v>
      </c>
      <c r="AH179" s="89">
        <f>J179/(F179/(365/4))</f>
        <v>60.22529259298846</v>
      </c>
      <c r="AI179" s="134">
        <f>((F179-('yrP&amp;L'!$Z$16/4))/J179)</f>
        <v>1.3728177697453763</v>
      </c>
      <c r="AJ179" s="117" t="s">
        <v>598</v>
      </c>
      <c r="AK179" s="379"/>
      <c r="AL179" s="87"/>
      <c r="AM179" s="89">
        <f>+H179*0.9</f>
        <v>2887.65</v>
      </c>
      <c r="AN179" s="104">
        <f>AVERAGE(AM179,AM175)</f>
        <v>2778.7455</v>
      </c>
      <c r="AO179" s="6"/>
      <c r="AP179" s="6"/>
      <c r="AQ179" s="6"/>
    </row>
    <row r="180" spans="1:43">
      <c r="A180" s="87" t="s">
        <v>528</v>
      </c>
      <c r="B180" s="87" t="s">
        <v>515</v>
      </c>
      <c r="C180" s="87"/>
      <c r="D180" s="15">
        <f>'qtrP&amp;L'!CX$11</f>
        <v>6917.2120000000004</v>
      </c>
      <c r="E180" s="87"/>
      <c r="F180" s="15">
        <f>'qtrP&amp;L'!CX$22</f>
        <v>4935.8559999999998</v>
      </c>
      <c r="G180" s="373"/>
      <c r="H180" s="108">
        <f>+work!CT$11</f>
        <v>3388.2</v>
      </c>
      <c r="I180" s="373"/>
      <c r="J180" s="108">
        <f>AVERAGE(H179:H180)</f>
        <v>3298.35</v>
      </c>
      <c r="K180" s="373"/>
      <c r="L180" s="102">
        <f>(D180/D173-1)*100</f>
        <v>7.3697105313155431</v>
      </c>
      <c r="M180" s="107"/>
      <c r="N180" s="102">
        <f>(H180/H173-1)*100</f>
        <v>6.2631331347028363</v>
      </c>
      <c r="O180" s="107"/>
      <c r="P180" s="102">
        <f>(H180/H179-1)*100</f>
        <v>5.6007480130902287</v>
      </c>
      <c r="Q180" s="107"/>
      <c r="R180" s="363">
        <f>F180/J180</f>
        <v>1.496462170479179</v>
      </c>
      <c r="S180" s="87"/>
      <c r="T180" s="363">
        <f>F181/H180</f>
        <v>1.5358092792633258</v>
      </c>
      <c r="U180" s="87"/>
      <c r="V180" s="143">
        <f>qtrSales!J181</f>
        <v>3279</v>
      </c>
      <c r="W180" s="87"/>
      <c r="X180" s="364">
        <f>H180/V180</f>
        <v>1.0333028362305581</v>
      </c>
      <c r="Y180" s="87"/>
      <c r="Z180" s="356">
        <f>(X180/X173-1)*100</f>
        <v>1.0779848268185788</v>
      </c>
      <c r="AA180" s="107"/>
      <c r="AB180" s="144">
        <f>qtrSales!Z181</f>
        <v>94.8</v>
      </c>
      <c r="AC180" s="87"/>
      <c r="AD180" s="143">
        <f>H180/AB180</f>
        <v>35.74050632911392</v>
      </c>
      <c r="AE180" s="87"/>
      <c r="AF180" s="105">
        <f>(AD180/AD173-1)*100</f>
        <v>1.8915485437182245</v>
      </c>
      <c r="AG180" s="107"/>
      <c r="AH180" s="89">
        <f>J180/(F180/(365/4))</f>
        <v>60.977151177019749</v>
      </c>
      <c r="AI180" s="134">
        <f>((F180-('yrP&amp;L'!$Z$16/4))/J180)</f>
        <v>1.3632343444449497</v>
      </c>
      <c r="AJ180" s="117"/>
      <c r="AK180" s="379"/>
      <c r="AL180" s="87"/>
      <c r="AM180" s="89">
        <f>+H180*0.9</f>
        <v>3049.38</v>
      </c>
      <c r="AN180" s="108">
        <f>AVERAGE(AM179:AM180)</f>
        <v>2968.5150000000003</v>
      </c>
      <c r="AO180" s="6"/>
      <c r="AP180" s="6"/>
      <c r="AQ180" s="6"/>
    </row>
    <row r="181" spans="1:43">
      <c r="A181" s="87" t="s">
        <v>529</v>
      </c>
      <c r="B181" s="87" t="s">
        <v>516</v>
      </c>
      <c r="C181" s="87"/>
      <c r="D181" s="15">
        <f>'qtrP&amp;L'!CX$12</f>
        <v>7366.0659999999998</v>
      </c>
      <c r="E181" s="87"/>
      <c r="F181" s="15">
        <f>'qtrP&amp;L'!CX$23</f>
        <v>5203.6289999999999</v>
      </c>
      <c r="G181" s="373"/>
      <c r="H181" s="108">
        <f>+work!CT$12</f>
        <v>3958.6</v>
      </c>
      <c r="I181" s="373"/>
      <c r="J181" s="108">
        <f>AVERAGE(H180:H181)</f>
        <v>3673.3999999999996</v>
      </c>
      <c r="K181" s="373"/>
      <c r="L181" s="102">
        <f>(D181/D174-1)*100</f>
        <v>5.5026757851328156</v>
      </c>
      <c r="M181" s="107"/>
      <c r="N181" s="102">
        <f>(H181/H174-1)*100</f>
        <v>8.0639877702555207</v>
      </c>
      <c r="O181" s="107"/>
      <c r="P181" s="102">
        <f>(H181/H180-1)*100</f>
        <v>16.834897585738752</v>
      </c>
      <c r="Q181" s="107"/>
      <c r="R181" s="363">
        <f>F181/J181</f>
        <v>1.4165702074372517</v>
      </c>
      <c r="S181" s="87"/>
      <c r="T181" s="363">
        <f>F182/H181</f>
        <v>1.5053395139695853</v>
      </c>
      <c r="U181" s="87"/>
      <c r="V181" s="143">
        <f>qtrSales!J182</f>
        <v>3385</v>
      </c>
      <c r="W181" s="87"/>
      <c r="X181" s="364">
        <f>H181/V181</f>
        <v>1.1694534711964548</v>
      </c>
      <c r="Y181" s="87"/>
      <c r="Z181" s="356">
        <f>(X181/X174-1)*100</f>
        <v>2.5410719994270803</v>
      </c>
      <c r="AA181" s="107"/>
      <c r="AB181" s="144">
        <f>qtrSales!Z182</f>
        <v>97.3</v>
      </c>
      <c r="AC181" s="87"/>
      <c r="AD181" s="143">
        <f>H181/AB181</f>
        <v>40.684480986639258</v>
      </c>
      <c r="AE181" s="87"/>
      <c r="AF181" s="105">
        <f>(AD181/AD174-1)*100</f>
        <v>19.236877457272406</v>
      </c>
      <c r="AG181" s="107"/>
      <c r="AH181" s="89">
        <f>J181/(F181/(365/4))</f>
        <v>64.416150728654941</v>
      </c>
      <c r="AI181" s="134">
        <f>((F181-('yrP&amp;L'!$Z$16/4))/J181)</f>
        <v>1.2969447922905213</v>
      </c>
      <c r="AJ181" s="117"/>
      <c r="AK181" s="379"/>
      <c r="AL181" s="87"/>
      <c r="AM181" s="89">
        <f>+H181*0.9</f>
        <v>3562.74</v>
      </c>
      <c r="AN181" s="108">
        <f>AVERAGE(AM180:AM181)</f>
        <v>3306.06</v>
      </c>
      <c r="AO181" s="6"/>
      <c r="AP181" s="6"/>
      <c r="AQ181" s="6"/>
    </row>
    <row r="182" spans="1:43">
      <c r="A182" s="87" t="s">
        <v>530</v>
      </c>
      <c r="B182" s="87" t="s">
        <v>517</v>
      </c>
      <c r="C182" s="87"/>
      <c r="D182" s="19">
        <f>'qtrP&amp;L'!CX$13</f>
        <v>8303.9529999999995</v>
      </c>
      <c r="E182" s="87"/>
      <c r="F182" s="19">
        <f>'qtrP&amp;L'!CX$24</f>
        <v>5959.0370000000003</v>
      </c>
      <c r="G182" s="373"/>
      <c r="H182" s="108">
        <f>+bal!BB12</f>
        <v>3217.9</v>
      </c>
      <c r="I182" s="373"/>
      <c r="J182" s="109">
        <f>AVERAGE(H181:H182)</f>
        <v>3588.25</v>
      </c>
      <c r="K182" s="373"/>
      <c r="L182" s="357">
        <f>(D182/D175-1)*100</f>
        <v>6.3411385148551158</v>
      </c>
      <c r="M182" s="107"/>
      <c r="N182" s="356">
        <f>(H182/H175-1)*100</f>
        <v>8.4749990729785054</v>
      </c>
      <c r="O182" s="107"/>
      <c r="P182" s="102">
        <f>(H182/H181-1)*100</f>
        <v>-18.711160511291869</v>
      </c>
      <c r="Q182" s="107"/>
      <c r="R182" s="363">
        <f>F182/J182</f>
        <v>1.660708423326134</v>
      </c>
      <c r="S182" s="87"/>
      <c r="T182" s="365" t="s">
        <v>120</v>
      </c>
      <c r="U182" s="87"/>
      <c r="V182" s="143">
        <f>qtrSales!J183</f>
        <v>3395</v>
      </c>
      <c r="W182" s="87"/>
      <c r="X182" s="364">
        <f>H182/V182</f>
        <v>0.9478350515463918</v>
      </c>
      <c r="Y182" s="87"/>
      <c r="Z182" s="356">
        <f>(X182/X175-1)*100</f>
        <v>2.8515528765590048</v>
      </c>
      <c r="AA182" s="107"/>
      <c r="AB182" s="144">
        <f>qtrSales!Z183</f>
        <v>97.5</v>
      </c>
      <c r="AC182" s="87"/>
      <c r="AD182" s="143">
        <f>H182/AB182</f>
        <v>33.004102564102567</v>
      </c>
      <c r="AE182" s="87"/>
      <c r="AF182" s="105">
        <f>+(AD182/AD175-1)*100</f>
        <v>3.802229882142516</v>
      </c>
      <c r="AG182" s="107"/>
      <c r="AH182" s="89">
        <f>J182/(F182/(365/4))</f>
        <v>54.946430522247127</v>
      </c>
      <c r="AI182" s="134">
        <f>((F182-('yrP&amp;L'!$Z$16/4))/J182)</f>
        <v>1.538244269490699</v>
      </c>
      <c r="AJ182" s="137"/>
      <c r="AK182" s="379"/>
      <c r="AL182" s="87"/>
      <c r="AM182" s="89">
        <f>+H182*0.9</f>
        <v>2896.11</v>
      </c>
      <c r="AN182" s="109">
        <f>AVERAGE(AM181:AM182)</f>
        <v>3229.4250000000002</v>
      </c>
      <c r="AO182" s="6"/>
      <c r="AP182" s="6"/>
      <c r="AQ182" s="6"/>
    </row>
    <row r="183" spans="1:43">
      <c r="A183" s="87"/>
      <c r="B183" s="87" t="s">
        <v>531</v>
      </c>
      <c r="C183" s="87"/>
      <c r="D183" s="14">
        <f>SUM(D179:D182)</f>
        <v>29078.406999999999</v>
      </c>
      <c r="E183" s="87"/>
      <c r="F183" s="14">
        <f>SUM(F179:F182)</f>
        <v>20776.522000000001</v>
      </c>
      <c r="G183" s="373"/>
      <c r="H183" s="15"/>
      <c r="I183" s="373"/>
      <c r="J183" s="104">
        <f>AVERAGE(J179:J182)</f>
        <v>3411.8737499999997</v>
      </c>
      <c r="K183" s="373"/>
      <c r="L183" s="102">
        <f>(D183/D176-1)*100</f>
        <v>6.0377396883223966</v>
      </c>
      <c r="M183" s="107"/>
      <c r="N183" s="87"/>
      <c r="O183" s="107"/>
      <c r="P183" s="87"/>
      <c r="Q183" s="107"/>
      <c r="R183" s="366">
        <f>F183/J183</f>
        <v>6.0894756143893076</v>
      </c>
      <c r="S183" s="367" t="s">
        <v>598</v>
      </c>
      <c r="T183" s="363"/>
      <c r="U183" s="87"/>
      <c r="V183" s="143"/>
      <c r="W183" s="87"/>
      <c r="X183" s="87"/>
      <c r="Y183" s="87"/>
      <c r="Z183" s="87"/>
      <c r="AA183" s="107"/>
      <c r="AB183" s="125"/>
      <c r="AC183" s="87"/>
      <c r="AD183" s="145"/>
      <c r="AE183" s="87"/>
      <c r="AF183" s="87"/>
      <c r="AG183" s="107"/>
      <c r="AH183" s="107"/>
      <c r="AI183" s="135">
        <f>((F183-('yrP&amp;L'!$Z$16))/J183)</f>
        <v>5.5742959422223644</v>
      </c>
      <c r="AJ183" s="136" t="s">
        <v>598</v>
      </c>
      <c r="AK183" s="87"/>
      <c r="AL183" s="87"/>
      <c r="AM183" s="87"/>
      <c r="AN183" s="104">
        <f>AVERAGE(AN179:AN182)</f>
        <v>3070.6863750000002</v>
      </c>
      <c r="AO183" s="6"/>
      <c r="AP183" s="6"/>
      <c r="AQ183" s="6"/>
    </row>
    <row r="184" spans="1:43">
      <c r="A184" s="6"/>
      <c r="B184" s="6"/>
      <c r="C184" s="6"/>
      <c r="D184" s="14"/>
      <c r="E184" s="6"/>
      <c r="F184" s="14"/>
      <c r="G184" s="6"/>
      <c r="H184" s="6"/>
      <c r="I184" s="6"/>
      <c r="J184" s="14"/>
      <c r="K184" s="6"/>
      <c r="L184" s="23"/>
      <c r="M184" s="70"/>
      <c r="N184" s="6"/>
      <c r="O184" s="70"/>
      <c r="P184" s="6"/>
      <c r="Q184" s="70"/>
      <c r="R184" s="142"/>
      <c r="S184" s="11"/>
      <c r="T184" s="20"/>
      <c r="U184" s="6"/>
      <c r="V184" s="76"/>
      <c r="W184" s="6"/>
      <c r="X184" s="6"/>
      <c r="Y184" s="6"/>
      <c r="Z184" s="6"/>
      <c r="AA184" s="70"/>
      <c r="AB184" s="62"/>
      <c r="AC184" s="6"/>
      <c r="AD184" s="6"/>
      <c r="AE184" s="6"/>
      <c r="AF184" s="6"/>
      <c r="AG184" s="70"/>
      <c r="AH184" s="6"/>
      <c r="AI184" s="134"/>
      <c r="AJ184" s="137"/>
      <c r="AK184" s="6"/>
      <c r="AL184" s="6"/>
      <c r="AM184" s="6"/>
      <c r="AN184" s="14"/>
      <c r="AO184" s="6"/>
      <c r="AP184" s="6"/>
      <c r="AQ184" s="6"/>
    </row>
    <row r="185" spans="1:43">
      <c r="A185" s="87"/>
      <c r="B185" s="1926">
        <f>+B178+1</f>
        <v>2015</v>
      </c>
      <c r="C185" s="87"/>
      <c r="D185" s="87"/>
      <c r="E185" s="87"/>
      <c r="F185" s="372"/>
      <c r="G185" s="373"/>
      <c r="H185" s="374"/>
      <c r="I185" s="373"/>
      <c r="J185" s="372"/>
      <c r="K185" s="373"/>
      <c r="L185" s="373"/>
      <c r="M185" s="375"/>
      <c r="N185" s="373"/>
      <c r="O185" s="375"/>
      <c r="P185" s="373"/>
      <c r="Q185" s="375"/>
      <c r="R185" s="376"/>
      <c r="S185" s="87"/>
      <c r="T185" s="363"/>
      <c r="U185" s="87"/>
      <c r="V185" s="143"/>
      <c r="W185" s="87"/>
      <c r="X185" s="87"/>
      <c r="Y185" s="87"/>
      <c r="Z185" s="87"/>
      <c r="AA185" s="107"/>
      <c r="AB185" s="125"/>
      <c r="AC185" s="87"/>
      <c r="AD185" s="87"/>
      <c r="AE185" s="87"/>
      <c r="AF185" s="87"/>
      <c r="AG185" s="107"/>
      <c r="AH185" s="6"/>
      <c r="AI185" s="6"/>
      <c r="AJ185" s="6"/>
      <c r="AK185" s="6"/>
      <c r="AL185" s="6"/>
      <c r="AM185" s="6"/>
      <c r="AN185" s="6"/>
      <c r="AO185" s="6"/>
      <c r="AP185" s="6"/>
      <c r="AQ185" s="6"/>
    </row>
    <row r="186" spans="1:43">
      <c r="A186" s="87" t="s">
        <v>527</v>
      </c>
      <c r="B186" s="87" t="s">
        <v>514</v>
      </c>
      <c r="C186" s="107"/>
      <c r="D186" s="104">
        <f>'qtrP&amp;L'!DB$10</f>
        <v>6865.6369999999997</v>
      </c>
      <c r="E186" s="87"/>
      <c r="F186" s="371">
        <f>'qtrP&amp;L'!DB$21</f>
        <v>4920.241</v>
      </c>
      <c r="G186" s="373"/>
      <c r="H186" s="104">
        <f>+work!CX$10</f>
        <v>3531.6</v>
      </c>
      <c r="I186" s="373"/>
      <c r="J186" s="370">
        <f>AVERAGE(H186,H182)</f>
        <v>3374.75</v>
      </c>
      <c r="K186" s="373"/>
      <c r="L186" s="102">
        <f>(D186/D179-1)*100</f>
        <v>5.7687697884019729</v>
      </c>
      <c r="M186" s="107" t="s">
        <v>190</v>
      </c>
      <c r="N186" s="102">
        <f>(H186/H179-1)*100</f>
        <v>10.070126227208975</v>
      </c>
      <c r="O186" s="107" t="s">
        <v>190</v>
      </c>
      <c r="P186" s="102">
        <f>(H186/H182-1)*100</f>
        <v>9.7485938034121524</v>
      </c>
      <c r="Q186" s="107" t="s">
        <v>190</v>
      </c>
      <c r="R186" s="363">
        <f>F186/J186</f>
        <v>1.4579571820134825</v>
      </c>
      <c r="S186" s="87" t="s">
        <v>598</v>
      </c>
      <c r="T186" s="363">
        <f>F187/H186</f>
        <v>1.3976260052101031</v>
      </c>
      <c r="U186" s="87"/>
      <c r="V186" s="143">
        <f>qtrSales!J187</f>
        <v>3441</v>
      </c>
      <c r="W186" s="87"/>
      <c r="X186" s="364">
        <f>H186/V186</f>
        <v>1.0263295553618135</v>
      </c>
      <c r="Y186" s="87"/>
      <c r="Z186" s="356">
        <f>(X186/X179-1)*100</f>
        <v>4.1523775053160294</v>
      </c>
      <c r="AA186" s="107" t="s">
        <v>190</v>
      </c>
      <c r="AB186" s="144">
        <f>qtrSales!Z187</f>
        <v>98.7</v>
      </c>
      <c r="AC186" s="87"/>
      <c r="AD186" s="145">
        <f>H186/AB186</f>
        <v>35.781155015197569</v>
      </c>
      <c r="AE186" s="87"/>
      <c r="AF186" s="105">
        <f>(AD186/AD179-1)*100</f>
        <v>5.163251299146987</v>
      </c>
      <c r="AG186" s="107" t="s">
        <v>190</v>
      </c>
      <c r="AH186" s="89">
        <f>J186/(F186/(365/4))</f>
        <v>62.587571929911562</v>
      </c>
      <c r="AI186" s="134">
        <f>((F186-('yrP&amp;L'!$AA$16/4))/J186)</f>
        <v>1.3234103266908661</v>
      </c>
      <c r="AJ186" s="117" t="s">
        <v>598</v>
      </c>
      <c r="AK186" s="379"/>
      <c r="AL186" s="87"/>
      <c r="AM186" s="89">
        <f>+H186*0.9</f>
        <v>3178.44</v>
      </c>
      <c r="AN186" s="104">
        <f>AVERAGE(AM186,AM182)</f>
        <v>3037.2750000000001</v>
      </c>
      <c r="AO186" s="6"/>
      <c r="AP186" s="6"/>
      <c r="AQ186" s="6"/>
    </row>
    <row r="187" spans="1:43">
      <c r="A187" s="87" t="s">
        <v>528</v>
      </c>
      <c r="B187" s="87" t="s">
        <v>515</v>
      </c>
      <c r="C187" s="87"/>
      <c r="D187" s="15">
        <f>'qtrP&amp;L'!DB$11</f>
        <v>7363.7309999999998</v>
      </c>
      <c r="E187" s="87"/>
      <c r="F187" s="15">
        <f>'qtrP&amp;L'!CX$22</f>
        <v>4935.8559999999998</v>
      </c>
      <c r="G187" s="373"/>
      <c r="H187" s="104">
        <f>work!$CX$11</f>
        <v>3749.6</v>
      </c>
      <c r="I187" s="373"/>
      <c r="J187" s="108">
        <f>AVERAGE(H186:H187)</f>
        <v>3640.6</v>
      </c>
      <c r="K187" s="373"/>
      <c r="L187" s="102">
        <f>(D187/D180-1)*100</f>
        <v>6.4551874367881013</v>
      </c>
      <c r="M187" s="107"/>
      <c r="N187" s="102">
        <f>(H187/H180-1)*100</f>
        <v>10.66643055309604</v>
      </c>
      <c r="O187" s="107"/>
      <c r="P187" s="102">
        <f>(H187/H186-1)*100</f>
        <v>6.1728395061728447</v>
      </c>
      <c r="Q187" s="107"/>
      <c r="R187" s="363">
        <f>F187/J187</f>
        <v>1.3557809152337525</v>
      </c>
      <c r="S187" s="87"/>
      <c r="T187" s="363">
        <f>F188/H187</f>
        <v>1.3877824301258801</v>
      </c>
      <c r="U187" s="87"/>
      <c r="V187" s="143">
        <f>qtrSales!J188</f>
        <v>3461</v>
      </c>
      <c r="W187" s="87"/>
      <c r="X187" s="364">
        <f>H187/V187</f>
        <v>1.0833863045362613</v>
      </c>
      <c r="Y187" s="87"/>
      <c r="Z187" s="356">
        <f>(X187/X180-1)*100</f>
        <v>4.8469303044212486</v>
      </c>
      <c r="AA187" s="107"/>
      <c r="AB187" s="144">
        <f>qtrSales!Z188</f>
        <v>99.000000000000014</v>
      </c>
      <c r="AC187" s="87"/>
      <c r="AD187" s="143">
        <f>H187/AB187</f>
        <v>37.874747474747466</v>
      </c>
      <c r="AE187" s="87"/>
      <c r="AF187" s="105">
        <f>(AD187/AD180-1)*100</f>
        <v>5.9714910750858996</v>
      </c>
      <c r="AG187" s="107"/>
      <c r="AH187" s="89">
        <f>J187/(F187/(365/4))</f>
        <v>67.304384487716007</v>
      </c>
      <c r="AI187" s="134">
        <f>((F187-('yrP&amp;L'!$AA$16/4))/J187)</f>
        <v>1.2310591660715267</v>
      </c>
      <c r="AJ187" s="117"/>
      <c r="AK187" s="379"/>
      <c r="AL187" s="87"/>
      <c r="AM187" s="89">
        <f>+H187*0.9</f>
        <v>3374.64</v>
      </c>
      <c r="AN187" s="108">
        <f>AVERAGE(AM186:AM187)</f>
        <v>3276.54</v>
      </c>
      <c r="AO187" s="6"/>
      <c r="AP187" s="6"/>
      <c r="AQ187" s="6"/>
    </row>
    <row r="188" spans="1:43">
      <c r="A188" s="87" t="s">
        <v>529</v>
      </c>
      <c r="B188" s="87" t="s">
        <v>516</v>
      </c>
      <c r="C188" s="87"/>
      <c r="D188" s="15">
        <f>'qtrP&amp;L'!DB$12</f>
        <v>7753.4949999999999</v>
      </c>
      <c r="E188" s="87"/>
      <c r="F188" s="15">
        <f>'qtrP&amp;L'!CX$23</f>
        <v>5203.6289999999999</v>
      </c>
      <c r="G188" s="373"/>
      <c r="H188" s="108">
        <f>work!$CX$12</f>
        <v>4442</v>
      </c>
      <c r="I188" s="373"/>
      <c r="J188" s="108">
        <f>AVERAGE(H187:H188)</f>
        <v>4095.8</v>
      </c>
      <c r="K188" s="373"/>
      <c r="L188" s="102">
        <f>(D188/D181-1)*100</f>
        <v>5.2596460580179416</v>
      </c>
      <c r="M188" s="107"/>
      <c r="N188" s="102">
        <f>(H188/H181-1)*100</f>
        <v>12.211387864396507</v>
      </c>
      <c r="O188" s="107"/>
      <c r="P188" s="102">
        <f>(H188/H187-1)*100</f>
        <v>18.465969703435036</v>
      </c>
      <c r="Q188" s="107"/>
      <c r="R188" s="363">
        <f>F188/J188</f>
        <v>1.2704792714488011</v>
      </c>
      <c r="S188" s="87"/>
      <c r="T188" s="363">
        <f>F189/H188</f>
        <v>1.3415211616389016</v>
      </c>
      <c r="U188" s="87"/>
      <c r="V188" s="143">
        <f>qtrSales!J189</f>
        <v>3594</v>
      </c>
      <c r="W188" s="87"/>
      <c r="X188" s="364">
        <f>H188/V188</f>
        <v>1.2359488035614914</v>
      </c>
      <c r="Y188" s="87"/>
      <c r="Z188" s="356">
        <f>(X188/X181-1)*100</f>
        <v>5.6860177854708427</v>
      </c>
      <c r="AA188" s="107"/>
      <c r="AB188" s="144">
        <f>qtrSales!Z189</f>
        <v>102.10000000000001</v>
      </c>
      <c r="AC188" s="87"/>
      <c r="AD188" s="143">
        <f>H188/AB188</f>
        <v>43.506366307541619</v>
      </c>
      <c r="AE188" s="87"/>
      <c r="AF188" s="105">
        <f>(AD188/AD181-1)*100</f>
        <v>6.9360238903602101</v>
      </c>
      <c r="AG188" s="107"/>
      <c r="AH188" s="89">
        <f>J188/(F188/(365/4))</f>
        <v>71.8232890930541</v>
      </c>
      <c r="AI188" s="134">
        <f>((F188-('yrP&amp;L'!$AA$16/4))/J188)</f>
        <v>1.1596188778748961</v>
      </c>
      <c r="AJ188" s="117"/>
      <c r="AK188" s="379"/>
      <c r="AL188" s="87"/>
      <c r="AM188" s="89">
        <f>+H188*0.9</f>
        <v>3997.8</v>
      </c>
      <c r="AN188" s="108">
        <f>AVERAGE(AM187:AM188)</f>
        <v>3686.2200000000003</v>
      </c>
      <c r="AO188" s="6"/>
      <c r="AP188" s="6"/>
      <c r="AQ188" s="6"/>
    </row>
    <row r="189" spans="1:43">
      <c r="A189" s="87" t="s">
        <v>530</v>
      </c>
      <c r="B189" s="87" t="s">
        <v>517</v>
      </c>
      <c r="C189" s="87"/>
      <c r="D189" s="19">
        <f>'qtrP&amp;L'!DB$13</f>
        <v>8962.0750000000007</v>
      </c>
      <c r="E189" s="87"/>
      <c r="F189" s="19">
        <f>'qtrP&amp;L'!CX$24</f>
        <v>5959.0370000000003</v>
      </c>
      <c r="G189" s="373"/>
      <c r="H189" s="108">
        <f>+bal!BD12</f>
        <v>3695.1129999999998</v>
      </c>
      <c r="I189" s="373"/>
      <c r="J189" s="109">
        <f>AVERAGE(H188:H189)</f>
        <v>4068.5564999999997</v>
      </c>
      <c r="K189" s="373"/>
      <c r="L189" s="357">
        <f>(D189/D182-1)*100</f>
        <v>7.9254061288641875</v>
      </c>
      <c r="M189" s="107"/>
      <c r="N189" s="356">
        <f>(H189/H182-1)*100</f>
        <v>14.829951210416725</v>
      </c>
      <c r="O189" s="107"/>
      <c r="P189" s="102">
        <f>(H189/H188-1)*100</f>
        <v>-16.814205312922116</v>
      </c>
      <c r="Q189" s="107"/>
      <c r="R189" s="363">
        <f>F189/J189</f>
        <v>1.4646563222115756</v>
      </c>
      <c r="S189" s="87"/>
      <c r="T189" s="365" t="s">
        <v>120</v>
      </c>
      <c r="U189" s="87"/>
      <c r="V189" s="143">
        <f>qtrSales!J190</f>
        <v>3614</v>
      </c>
      <c r="W189" s="87"/>
      <c r="X189" s="364">
        <f>H189/V189</f>
        <v>1.0224441062534588</v>
      </c>
      <c r="Y189" s="87"/>
      <c r="Z189" s="356">
        <f>(X189/X182-1)*100</f>
        <v>7.8715230656792423</v>
      </c>
      <c r="AA189" s="107"/>
      <c r="AB189" s="144">
        <f>qtrSales!Z190</f>
        <v>102.4</v>
      </c>
      <c r="AC189" s="87"/>
      <c r="AD189" s="143">
        <f>H189/AB189</f>
        <v>36.085087890624997</v>
      </c>
      <c r="AE189" s="87"/>
      <c r="AF189" s="105">
        <f>+(AD189/AD182-1)*100</f>
        <v>9.3351586231995132</v>
      </c>
      <c r="AG189" s="107"/>
      <c r="AH189" s="89">
        <f>J189/(F189/(365/4))</f>
        <v>62.301304829119189</v>
      </c>
      <c r="AI189" s="134">
        <f>((F189-('yrP&amp;L'!$AA$16/4))/J189)</f>
        <v>1.3530535952984801</v>
      </c>
      <c r="AJ189" s="137"/>
      <c r="AK189" s="379"/>
      <c r="AL189" s="87"/>
      <c r="AM189" s="89">
        <f>+H189*0.9</f>
        <v>3325.6016999999997</v>
      </c>
      <c r="AN189" s="109">
        <f>AVERAGE(AM188:AM189)</f>
        <v>3661.7008500000002</v>
      </c>
      <c r="AO189" s="6"/>
      <c r="AP189" s="6"/>
      <c r="AQ189" s="6"/>
    </row>
    <row r="190" spans="1:43">
      <c r="A190" s="87"/>
      <c r="B190" s="87" t="s">
        <v>531</v>
      </c>
      <c r="C190" s="87"/>
      <c r="D190" s="14">
        <f>SUM(D186:D189)</f>
        <v>30944.937999999998</v>
      </c>
      <c r="E190" s="87"/>
      <c r="F190" s="14">
        <f>SUM(F186:F189)</f>
        <v>21018.762999999999</v>
      </c>
      <c r="G190" s="373"/>
      <c r="H190" s="15"/>
      <c r="I190" s="373"/>
      <c r="J190" s="104">
        <f>AVERAGE(J186:J189)</f>
        <v>3794.9266250000001</v>
      </c>
      <c r="K190" s="373"/>
      <c r="L190" s="102">
        <f>(D190/D183-1)*100</f>
        <v>6.4189589202737318</v>
      </c>
      <c r="M190" s="107"/>
      <c r="N190" s="87"/>
      <c r="O190" s="107"/>
      <c r="P190" s="87"/>
      <c r="Q190" s="107"/>
      <c r="R190" s="366">
        <f>F190/J190</f>
        <v>5.5386480627935724</v>
      </c>
      <c r="S190" s="367" t="s">
        <v>598</v>
      </c>
      <c r="T190" s="363"/>
      <c r="U190" s="87"/>
      <c r="V190" s="143"/>
      <c r="W190" s="87"/>
      <c r="X190" s="87"/>
      <c r="Y190" s="87"/>
      <c r="Z190" s="87"/>
      <c r="AA190" s="107"/>
      <c r="AB190" s="125"/>
      <c r="AC190" s="87"/>
      <c r="AD190" s="145"/>
      <c r="AE190" s="87"/>
      <c r="AF190" s="87"/>
      <c r="AG190" s="107"/>
      <c r="AH190" s="107"/>
      <c r="AI190" s="135">
        <f>((F190-('yrP&amp;L'!$AA$16))/J190)</f>
        <v>5.0600490859292959</v>
      </c>
      <c r="AJ190" s="136" t="s">
        <v>598</v>
      </c>
      <c r="AK190" s="87"/>
      <c r="AL190" s="87"/>
      <c r="AM190" s="87"/>
      <c r="AN190" s="104">
        <f>AVERAGE(AN186:AN189)</f>
        <v>3415.4339625000002</v>
      </c>
      <c r="AO190" s="6"/>
      <c r="AP190" s="6"/>
      <c r="AQ190" s="6"/>
    </row>
    <row r="191" spans="1:43">
      <c r="A191" s="87"/>
      <c r="B191" s="87"/>
      <c r="C191" s="87"/>
      <c r="D191" s="14"/>
      <c r="E191" s="87"/>
      <c r="F191" s="14"/>
      <c r="G191" s="87"/>
      <c r="H191" s="87"/>
      <c r="I191" s="87"/>
      <c r="J191" s="104"/>
      <c r="K191" s="87"/>
      <c r="L191" s="102"/>
      <c r="M191" s="107"/>
      <c r="N191" s="87"/>
      <c r="O191" s="107"/>
      <c r="P191" s="87"/>
      <c r="Q191" s="107"/>
      <c r="R191" s="378"/>
      <c r="S191" s="100"/>
      <c r="T191" s="363"/>
      <c r="U191" s="87"/>
      <c r="V191" s="143"/>
      <c r="W191" s="87"/>
      <c r="X191" s="87"/>
      <c r="Y191" s="87"/>
      <c r="Z191" s="87"/>
      <c r="AA191" s="107"/>
      <c r="AB191" s="62"/>
      <c r="AC191" s="6"/>
      <c r="AD191" s="145"/>
      <c r="AE191" s="87"/>
      <c r="AF191" s="87"/>
      <c r="AG191" s="107"/>
      <c r="AH191" s="6"/>
      <c r="AI191" s="134"/>
      <c r="AJ191" s="137"/>
      <c r="AK191" s="6"/>
      <c r="AL191" s="6"/>
      <c r="AM191" s="6"/>
      <c r="AN191" s="14"/>
      <c r="AO191" s="6"/>
      <c r="AP191" s="6"/>
      <c r="AQ191" s="6"/>
    </row>
    <row r="192" spans="1:43">
      <c r="A192" s="87"/>
      <c r="B192" s="1926">
        <f>+B185+1</f>
        <v>2016</v>
      </c>
      <c r="C192" s="87"/>
      <c r="D192" s="87"/>
      <c r="E192" s="87"/>
      <c r="F192" s="372"/>
      <c r="G192" s="373"/>
      <c r="H192" s="374"/>
      <c r="I192" s="373"/>
      <c r="J192" s="372"/>
      <c r="K192" s="373"/>
      <c r="L192" s="373"/>
      <c r="M192" s="375"/>
      <c r="N192" s="373"/>
      <c r="O192" s="375"/>
      <c r="P192" s="373"/>
      <c r="Q192" s="375"/>
      <c r="R192" s="376"/>
      <c r="S192" s="87"/>
      <c r="T192" s="363"/>
      <c r="U192" s="87"/>
      <c r="V192" s="143"/>
      <c r="W192" s="87"/>
      <c r="X192" s="87"/>
      <c r="Y192" s="87"/>
      <c r="Z192" s="87"/>
      <c r="AA192" s="107"/>
      <c r="AB192" s="125"/>
      <c r="AC192" s="87"/>
      <c r="AD192" s="87"/>
      <c r="AE192" s="87"/>
      <c r="AF192" s="87"/>
      <c r="AG192" s="107"/>
      <c r="AH192" s="6"/>
      <c r="AI192" s="6"/>
      <c r="AJ192" s="6"/>
      <c r="AK192" s="6"/>
      <c r="AL192" s="6"/>
      <c r="AM192" s="6"/>
      <c r="AN192" s="6"/>
      <c r="AO192" s="6"/>
      <c r="AP192" s="6"/>
      <c r="AQ192" s="6"/>
    </row>
    <row r="193" spans="1:43">
      <c r="A193" s="87" t="s">
        <v>527</v>
      </c>
      <c r="B193" s="87" t="s">
        <v>514</v>
      </c>
      <c r="C193" s="107"/>
      <c r="D193" s="104">
        <f>'qtrP&amp;L'!DF10</f>
        <v>7542.3559999999998</v>
      </c>
      <c r="E193" s="87"/>
      <c r="F193" s="371">
        <f>'qtrP&amp;L'!DF21</f>
        <v>5372.143</v>
      </c>
      <c r="G193" s="373"/>
      <c r="H193" s="104">
        <f>work!DB10</f>
        <v>3905</v>
      </c>
      <c r="I193" s="373"/>
      <c r="J193" s="370">
        <f>AVERAGE(H193,H189)</f>
        <v>3800.0564999999997</v>
      </c>
      <c r="K193" s="373"/>
      <c r="L193" s="102">
        <f>(D193/D186-1)*100</f>
        <v>9.8566090808471341</v>
      </c>
      <c r="M193" s="107" t="s">
        <v>190</v>
      </c>
      <c r="N193" s="102">
        <f>(H193/H186-1)*100</f>
        <v>10.573111337637343</v>
      </c>
      <c r="O193" s="107" t="s">
        <v>190</v>
      </c>
      <c r="P193" s="102">
        <f>(H193/H189-1)*100</f>
        <v>5.6801239907954049</v>
      </c>
      <c r="Q193" s="107" t="s">
        <v>190</v>
      </c>
      <c r="R193" s="363">
        <f>F193/J193</f>
        <v>1.4137008226061902</v>
      </c>
      <c r="S193" s="87" t="s">
        <v>598</v>
      </c>
      <c r="T193" s="363">
        <f>F194/H193</f>
        <v>1.4245738796414853</v>
      </c>
      <c r="U193" s="87"/>
      <c r="V193" s="143">
        <f>qtrSales!J194</f>
        <v>3661</v>
      </c>
      <c r="W193" s="87"/>
      <c r="X193" s="364">
        <f>H193/V193</f>
        <v>1.0666484567058181</v>
      </c>
      <c r="Y193" s="87"/>
      <c r="Z193" s="356">
        <f>(X193/X186-1)*100</f>
        <v>3.9284556440344343</v>
      </c>
      <c r="AA193" s="107" t="s">
        <v>190</v>
      </c>
      <c r="AB193" s="144">
        <f>qtrSales!Z194</f>
        <v>103.6</v>
      </c>
      <c r="AC193" s="87"/>
      <c r="AD193" s="145">
        <f>H193/AB193</f>
        <v>37.693050193050198</v>
      </c>
      <c r="AE193" s="87"/>
      <c r="AF193" s="105">
        <f>(AD193/AD186-1)*100</f>
        <v>5.343302017613949</v>
      </c>
      <c r="AG193" s="107" t="s">
        <v>190</v>
      </c>
      <c r="AH193" s="89">
        <f>J193/(F193/(365/4))</f>
        <v>64.546896019893737</v>
      </c>
      <c r="AI193" s="134">
        <f>((F193-('yrP&amp;L'!$AB$16/4))/J193)</f>
        <v>1.2881226897547446</v>
      </c>
      <c r="AJ193" s="117" t="s">
        <v>598</v>
      </c>
      <c r="AK193" s="379"/>
      <c r="AL193" s="87"/>
      <c r="AM193" s="89">
        <f>+H193*0.9</f>
        <v>3514.5</v>
      </c>
      <c r="AN193" s="104">
        <f>AVERAGE(AM193,AM189)</f>
        <v>3420.0508499999996</v>
      </c>
      <c r="AO193" s="6"/>
      <c r="AP193" s="6"/>
      <c r="AQ193" s="6"/>
    </row>
    <row r="194" spans="1:43">
      <c r="A194" s="87" t="s">
        <v>528</v>
      </c>
      <c r="B194" s="87" t="s">
        <v>515</v>
      </c>
      <c r="C194" s="87"/>
      <c r="D194" s="15">
        <f>'qtrP&amp;L'!DF11</f>
        <v>7882.0529999999999</v>
      </c>
      <c r="E194" s="87"/>
      <c r="F194" s="15">
        <f>'qtrP&amp;L'!DF22</f>
        <v>5562.9610000000002</v>
      </c>
      <c r="G194" s="373"/>
      <c r="H194" s="108">
        <f>work!DB11</f>
        <v>3870.6</v>
      </c>
      <c r="I194" s="373"/>
      <c r="J194" s="108">
        <f>AVERAGE(H193:H194)</f>
        <v>3887.8</v>
      </c>
      <c r="K194" s="373"/>
      <c r="L194" s="102">
        <f>(D194/D187-1)*100</f>
        <v>7.0388502784797469</v>
      </c>
      <c r="M194" s="107"/>
      <c r="N194" s="102">
        <f>(H194/H187-1)*100</f>
        <v>3.2270108811606635</v>
      </c>
      <c r="O194" s="107"/>
      <c r="P194" s="102">
        <f>(H194/H193-1)*100</f>
        <v>-0.8809218950064035</v>
      </c>
      <c r="Q194" s="107"/>
      <c r="R194" s="363">
        <f>F194/J194</f>
        <v>1.4308763310869901</v>
      </c>
      <c r="S194" s="87"/>
      <c r="T194" s="363">
        <f>F195/H194</f>
        <v>1.5098106236759159</v>
      </c>
      <c r="U194" s="87"/>
      <c r="V194" s="143">
        <f>qtrSales!J195</f>
        <v>3675</v>
      </c>
      <c r="W194" s="87"/>
      <c r="X194" s="364">
        <f>H194/V194</f>
        <v>1.0532244897959184</v>
      </c>
      <c r="Y194" s="87"/>
      <c r="Z194" s="356">
        <f>(X194/X187-1)*100</f>
        <v>-2.7840313851164589</v>
      </c>
      <c r="AA194" s="107"/>
      <c r="AB194" s="144">
        <f>qtrSales!Z195</f>
        <v>103.9</v>
      </c>
      <c r="AC194" s="87"/>
      <c r="AD194" s="143">
        <f>H194/AB194</f>
        <v>37.253128007699708</v>
      </c>
      <c r="AE194" s="87"/>
      <c r="AF194" s="105">
        <f>(AD194/AD187-1)*100</f>
        <v>-1.6412504597217881</v>
      </c>
      <c r="AG194" s="107"/>
      <c r="AH194" s="89">
        <f>J194/(F194/(365/4))</f>
        <v>63.772108055404303</v>
      </c>
      <c r="AI194" s="134">
        <f>((F194-('yrP&amp;L'!$AB$16/4))/J194)</f>
        <v>1.308132362775863</v>
      </c>
      <c r="AJ194" s="117"/>
      <c r="AK194" s="379"/>
      <c r="AL194" s="87"/>
      <c r="AM194" s="89">
        <f>+H194*0.9</f>
        <v>3483.54</v>
      </c>
      <c r="AN194" s="108">
        <f>AVERAGE(AM193:AM194)</f>
        <v>3499.02</v>
      </c>
      <c r="AO194" s="6"/>
      <c r="AP194" s="6"/>
      <c r="AQ194" s="6"/>
    </row>
    <row r="195" spans="1:43">
      <c r="A195" s="87" t="s">
        <v>529</v>
      </c>
      <c r="B195" s="87" t="s">
        <v>516</v>
      </c>
      <c r="C195" s="87"/>
      <c r="D195" s="15">
        <f>'qtrP&amp;L'!DF12</f>
        <v>8291.6880000000001</v>
      </c>
      <c r="E195" s="87"/>
      <c r="F195" s="15">
        <f>'qtrP&amp;L'!DF23</f>
        <v>5843.8729999999996</v>
      </c>
      <c r="G195" s="373"/>
      <c r="H195" s="108">
        <f>work!DB12</f>
        <v>4384.2</v>
      </c>
      <c r="I195" s="373"/>
      <c r="J195" s="108">
        <f>AVERAGE(H194:H195)</f>
        <v>4127.3999999999996</v>
      </c>
      <c r="K195" s="373"/>
      <c r="L195" s="102">
        <f>(D195/D188-1)*100</f>
        <v>6.9412955060911274</v>
      </c>
      <c r="M195" s="107"/>
      <c r="N195" s="102">
        <f>(H195/H188-1)*100</f>
        <v>-1.301215668617739</v>
      </c>
      <c r="O195" s="107"/>
      <c r="P195" s="102">
        <f>(H195/H194-1)*100</f>
        <v>13.269260579755082</v>
      </c>
      <c r="Q195" s="107"/>
      <c r="R195" s="363">
        <f>F195/J195</f>
        <v>1.4158727043659447</v>
      </c>
      <c r="S195" s="87"/>
      <c r="T195" s="363">
        <f>F196/H195</f>
        <v>1.5480080744491584</v>
      </c>
      <c r="U195" s="87"/>
      <c r="V195" s="143">
        <f>qtrSales!J196</f>
        <v>3785</v>
      </c>
      <c r="W195" s="87"/>
      <c r="X195" s="364">
        <f>H195/V195</f>
        <v>1.1583091149273448</v>
      </c>
      <c r="Y195" s="87"/>
      <c r="Z195" s="356">
        <f>(X195/X188-1)*100</f>
        <v>-6.2817884050230255</v>
      </c>
      <c r="AA195" s="107"/>
      <c r="AB195" s="144">
        <f>qtrSales!Z196</f>
        <v>106.3</v>
      </c>
      <c r="AC195" s="87"/>
      <c r="AD195" s="143">
        <f>H195/AB195</f>
        <v>41.243650047036688</v>
      </c>
      <c r="AE195" s="87"/>
      <c r="AF195" s="105">
        <f>(AD195/AD188-1)*100</f>
        <v>-5.2008854164239837</v>
      </c>
      <c r="AG195" s="107"/>
      <c r="AH195" s="89">
        <f>J195/(F195/(365/4))</f>
        <v>64.447884134374576</v>
      </c>
      <c r="AI195" s="134">
        <f>((F195-('yrP&amp;L'!$AB$16/4))/J195)</f>
        <v>1.300254155158211</v>
      </c>
      <c r="AJ195" s="117"/>
      <c r="AK195" s="379"/>
      <c r="AL195" s="87"/>
      <c r="AM195" s="89">
        <f>+H195*0.9</f>
        <v>3945.7799999999997</v>
      </c>
      <c r="AN195" s="108">
        <f>AVERAGE(AM194:AM195)</f>
        <v>3714.66</v>
      </c>
      <c r="AO195" s="6"/>
      <c r="AP195" s="6"/>
      <c r="AQ195" s="6"/>
    </row>
    <row r="196" spans="1:43">
      <c r="A196" s="87" t="s">
        <v>530</v>
      </c>
      <c r="B196" s="87" t="s">
        <v>517</v>
      </c>
      <c r="C196" s="87"/>
      <c r="D196" s="19">
        <f>'qtrP&amp;L'!DF13</f>
        <v>9467.6470000000008</v>
      </c>
      <c r="E196" s="87"/>
      <c r="F196" s="19">
        <f>'qtrP&amp;L'!DF24</f>
        <v>6786.777</v>
      </c>
      <c r="G196" s="373"/>
      <c r="H196" s="108">
        <f>work!DB13</f>
        <v>3645</v>
      </c>
      <c r="I196" s="373"/>
      <c r="J196" s="109">
        <f>AVERAGE(H195:H196)</f>
        <v>4014.6</v>
      </c>
      <c r="K196" s="373"/>
      <c r="L196" s="357">
        <f>(D196/D189-1)*100</f>
        <v>5.6412382177118525</v>
      </c>
      <c r="M196" s="107"/>
      <c r="N196" s="356">
        <f>(H196/H189-1)*100</f>
        <v>-1.35619668464807</v>
      </c>
      <c r="O196" s="107"/>
      <c r="P196" s="102">
        <f>(H196/H195-1)*100</f>
        <v>-16.86054468318051</v>
      </c>
      <c r="Q196" s="107"/>
      <c r="R196" s="363">
        <f>F196/J196</f>
        <v>1.6905238379913317</v>
      </c>
      <c r="S196" s="87"/>
      <c r="T196" s="365" t="s">
        <v>120</v>
      </c>
      <c r="U196" s="87"/>
      <c r="V196" s="143">
        <f>qtrSales!J197</f>
        <v>3812</v>
      </c>
      <c r="W196" s="87"/>
      <c r="X196" s="364">
        <f>H196/V196</f>
        <v>0.95619097586568735</v>
      </c>
      <c r="Y196" s="87"/>
      <c r="Z196" s="356">
        <f>(X196/X189-1)*100</f>
        <v>-6.4798779691285784</v>
      </c>
      <c r="AA196" s="107"/>
      <c r="AB196" s="144">
        <f>qtrSales!Z197</f>
        <v>106.9</v>
      </c>
      <c r="AC196" s="87"/>
      <c r="AD196" s="143">
        <f>H196/AB196</f>
        <v>34.097287184284376</v>
      </c>
      <c r="AE196" s="87"/>
      <c r="AF196" s="105">
        <f>+(AD196/AD189-1)*100</f>
        <v>-5.508648648343895</v>
      </c>
      <c r="AG196" s="107"/>
      <c r="AH196" s="89">
        <f>J196/(F196/(365/4))</f>
        <v>53.977351841676835</v>
      </c>
      <c r="AI196" s="134">
        <f>((F196-('yrP&amp;L'!$AB$16/4))/J196)</f>
        <v>1.5716567030339263</v>
      </c>
      <c r="AJ196" s="137"/>
      <c r="AK196" s="379"/>
      <c r="AL196" s="87"/>
      <c r="AM196" s="89">
        <f>+H196*0.9</f>
        <v>3280.5</v>
      </c>
      <c r="AN196" s="109">
        <f>AVERAGE(AM195:AM196)</f>
        <v>3613.14</v>
      </c>
      <c r="AO196" s="6"/>
      <c r="AP196" s="6"/>
      <c r="AQ196" s="6"/>
    </row>
    <row r="197" spans="1:43">
      <c r="A197" s="87"/>
      <c r="B197" s="87" t="s">
        <v>531</v>
      </c>
      <c r="C197" s="87"/>
      <c r="D197" s="14">
        <f>SUM(D193:D196)</f>
        <v>33183.744000000006</v>
      </c>
      <c r="E197" s="87"/>
      <c r="F197" s="14">
        <f>SUM(F193:F196)</f>
        <v>23565.754000000001</v>
      </c>
      <c r="G197" s="373"/>
      <c r="H197" s="15"/>
      <c r="I197" s="373"/>
      <c r="J197" s="104">
        <f>AVERAGE(J193:J196)</f>
        <v>3957.464125</v>
      </c>
      <c r="K197" s="373"/>
      <c r="L197" s="102">
        <f>(D197/D190-1)*100</f>
        <v>7.2348052531241436</v>
      </c>
      <c r="M197" s="107"/>
      <c r="N197" s="87"/>
      <c r="O197" s="107"/>
      <c r="P197" s="87"/>
      <c r="Q197" s="107"/>
      <c r="R197" s="366">
        <f>F197/J197</f>
        <v>5.9547612449929668</v>
      </c>
      <c r="S197" s="367" t="s">
        <v>598</v>
      </c>
      <c r="T197" s="363"/>
      <c r="U197" s="87"/>
      <c r="V197" s="143"/>
      <c r="W197" s="87"/>
      <c r="X197" s="87"/>
      <c r="Y197" s="87"/>
      <c r="Z197" s="87"/>
      <c r="AA197" s="107"/>
      <c r="AB197" s="125"/>
      <c r="AC197" s="87"/>
      <c r="AD197" s="145"/>
      <c r="AE197" s="87"/>
      <c r="AF197" s="87"/>
      <c r="AG197" s="107"/>
      <c r="AH197" s="107"/>
      <c r="AI197" s="135">
        <f>((F197-('yrP&amp;L'!$AB$16))/J197)</f>
        <v>5.4724281297180433</v>
      </c>
      <c r="AJ197" s="136" t="s">
        <v>598</v>
      </c>
      <c r="AK197" s="87"/>
      <c r="AL197" s="87"/>
      <c r="AM197" s="87"/>
      <c r="AN197" s="104">
        <f>AVERAGE(AN193:AN196)</f>
        <v>3561.7177124999998</v>
      </c>
      <c r="AO197" s="6"/>
      <c r="AP197" s="6"/>
      <c r="AQ197" s="6"/>
    </row>
    <row r="198" spans="1:43">
      <c r="A198" s="87"/>
      <c r="B198" s="87"/>
      <c r="C198" s="87"/>
      <c r="D198" s="14"/>
      <c r="E198" s="87"/>
      <c r="F198" s="14"/>
      <c r="G198" s="87"/>
      <c r="H198" s="87"/>
      <c r="I198" s="87"/>
      <c r="J198" s="104"/>
      <c r="K198" s="87"/>
      <c r="L198" s="102"/>
      <c r="M198" s="107"/>
      <c r="N198" s="87"/>
      <c r="O198" s="107"/>
      <c r="P198" s="87"/>
      <c r="Q198" s="107"/>
      <c r="R198" s="378"/>
      <c r="S198" s="100"/>
      <c r="T198" s="363"/>
      <c r="U198" s="87"/>
      <c r="V198" s="143"/>
      <c r="W198" s="87"/>
      <c r="X198" s="87"/>
      <c r="Y198" s="87"/>
      <c r="Z198" s="87"/>
      <c r="AA198" s="107"/>
      <c r="AB198" s="62"/>
      <c r="AC198" s="6"/>
      <c r="AD198" s="145"/>
      <c r="AE198" s="87"/>
      <c r="AF198" s="87"/>
      <c r="AG198" s="107"/>
      <c r="AH198" s="6"/>
      <c r="AI198" s="134"/>
      <c r="AJ198" s="137"/>
      <c r="AK198" s="6"/>
      <c r="AL198" s="6"/>
      <c r="AM198" s="6"/>
      <c r="AN198" s="14"/>
      <c r="AO198" s="6"/>
      <c r="AP198" s="6"/>
      <c r="AQ198" s="6"/>
    </row>
    <row r="199" spans="1:43">
      <c r="A199" s="87"/>
      <c r="B199" s="1926">
        <f>+B192+1</f>
        <v>2017</v>
      </c>
      <c r="C199" s="87"/>
      <c r="D199" s="87"/>
      <c r="E199" s="87"/>
      <c r="F199" s="372"/>
      <c r="G199" s="373"/>
      <c r="H199" s="374"/>
      <c r="I199" s="373"/>
      <c r="J199" s="372"/>
      <c r="K199" s="373"/>
      <c r="L199" s="373"/>
      <c r="M199" s="375"/>
      <c r="N199" s="373"/>
      <c r="O199" s="375"/>
      <c r="P199" s="373"/>
      <c r="Q199" s="375"/>
      <c r="R199" s="376"/>
      <c r="S199" s="87"/>
      <c r="T199" s="363"/>
      <c r="U199" s="87"/>
      <c r="V199" s="143"/>
      <c r="W199" s="87"/>
      <c r="X199" s="87"/>
      <c r="Y199" s="87"/>
      <c r="Z199" s="87"/>
      <c r="AA199" s="107"/>
      <c r="AB199" s="125"/>
      <c r="AC199" s="87"/>
      <c r="AD199" s="87"/>
      <c r="AE199" s="87"/>
      <c r="AF199" s="87"/>
      <c r="AG199" s="107"/>
      <c r="AH199" s="6"/>
      <c r="AI199" s="6"/>
      <c r="AJ199" s="6"/>
      <c r="AK199" s="6"/>
      <c r="AL199" s="6"/>
      <c r="AM199" s="6"/>
      <c r="AN199" s="6"/>
      <c r="AO199" s="6"/>
      <c r="AP199" s="6"/>
      <c r="AQ199" s="6"/>
    </row>
    <row r="200" spans="1:43">
      <c r="A200" s="87" t="s">
        <v>527</v>
      </c>
      <c r="B200" s="87" t="s">
        <v>514</v>
      </c>
      <c r="C200" s="107"/>
      <c r="D200" s="104">
        <f>'qtrP&amp;L'!DJ10</f>
        <v>7784.0240000000003</v>
      </c>
      <c r="E200" s="87"/>
      <c r="F200" s="371">
        <f>'qtrP&amp;L'!DJ21</f>
        <v>5530.0720000000001</v>
      </c>
      <c r="G200" s="373"/>
      <c r="H200" s="104">
        <f>work!DF10</f>
        <v>3736.1</v>
      </c>
      <c r="I200" s="373"/>
      <c r="J200" s="370">
        <f>AVERAGE(H200,H196)</f>
        <v>3690.55</v>
      </c>
      <c r="K200" s="373"/>
      <c r="L200" s="102">
        <f>(D200/D193-1)*100</f>
        <v>3.2041446996137646</v>
      </c>
      <c r="M200" s="107" t="s">
        <v>190</v>
      </c>
      <c r="N200" s="102">
        <f>(H200/H193-1)*100</f>
        <v>-4.3252240717029489</v>
      </c>
      <c r="O200" s="107" t="s">
        <v>190</v>
      </c>
      <c r="P200" s="102">
        <f>(H200/H196-1)*100</f>
        <v>2.4993141289437526</v>
      </c>
      <c r="Q200" s="107" t="s">
        <v>190</v>
      </c>
      <c r="R200" s="363">
        <f>F200/J200</f>
        <v>1.4984411537575699</v>
      </c>
      <c r="S200" s="87" t="s">
        <v>598</v>
      </c>
      <c r="T200" s="363">
        <f>F201/H200</f>
        <v>1.5986389550600895</v>
      </c>
      <c r="U200" s="87"/>
      <c r="V200" s="143">
        <f>qtrSales!J201</f>
        <v>3862</v>
      </c>
      <c r="W200" s="87"/>
      <c r="X200" s="364">
        <f>H200/V200</f>
        <v>0.96740031071983423</v>
      </c>
      <c r="Y200" s="87"/>
      <c r="Z200" s="356">
        <f>(X200/X193-1)*100</f>
        <v>-9.3046725340508836</v>
      </c>
      <c r="AA200" s="107" t="s">
        <v>190</v>
      </c>
      <c r="AB200" s="144">
        <f>qtrSales!Z201</f>
        <v>107.8</v>
      </c>
      <c r="AC200" s="87"/>
      <c r="AD200" s="145">
        <f>H200/AB200</f>
        <v>34.657699443413726</v>
      </c>
      <c r="AE200" s="87"/>
      <c r="AF200" s="105">
        <f>(AD200/AD193-1)*100</f>
        <v>-8.0528127442340178</v>
      </c>
      <c r="AG200" s="107" t="s">
        <v>190</v>
      </c>
      <c r="AH200" s="89">
        <f>J200/(F200/(365/4))</f>
        <v>60.89661897711278</v>
      </c>
      <c r="AI200" s="134">
        <f>((F200-('yrP&amp;L'!$AC$16/4))/J200)</f>
        <v>1.4984411537575699</v>
      </c>
      <c r="AJ200" s="117" t="s">
        <v>598</v>
      </c>
      <c r="AK200" s="379"/>
      <c r="AL200" s="87"/>
      <c r="AM200" s="89">
        <f>+H200*0.9</f>
        <v>3362.49</v>
      </c>
      <c r="AN200" s="104">
        <f>AVERAGE(AM200,AM196)</f>
        <v>3321.4949999999999</v>
      </c>
      <c r="AO200" s="6"/>
      <c r="AP200" s="6"/>
      <c r="AQ200" s="6"/>
    </row>
    <row r="201" spans="1:43">
      <c r="A201" s="87" t="s">
        <v>528</v>
      </c>
      <c r="B201" s="87" t="s">
        <v>515</v>
      </c>
      <c r="C201" s="87"/>
      <c r="D201" s="104">
        <f>'qtrP&amp;L'!DJ11</f>
        <v>8357.7000000000007</v>
      </c>
      <c r="E201" s="87"/>
      <c r="F201" s="15">
        <f>'qtrP&amp;L'!DJ22</f>
        <v>5972.6750000000002</v>
      </c>
      <c r="G201" s="373"/>
      <c r="H201" s="104">
        <f>work!DF11</f>
        <v>3864.4</v>
      </c>
      <c r="I201" s="373"/>
      <c r="J201" s="108">
        <f>AVERAGE(H200:H201)</f>
        <v>3800.25</v>
      </c>
      <c r="K201" s="373"/>
      <c r="L201" s="102">
        <f>(D201/D194-1)*100</f>
        <v>6.0345572403535108</v>
      </c>
      <c r="M201" s="107"/>
      <c r="N201" s="102">
        <f>(H201/H194-1)*100</f>
        <v>-0.16018188394563149</v>
      </c>
      <c r="O201" s="107"/>
      <c r="P201" s="102">
        <f>(H201/H200-1)*100</f>
        <v>3.4340622574342339</v>
      </c>
      <c r="Q201" s="107"/>
      <c r="R201" s="363">
        <f>F201/J201</f>
        <v>1.5716531807117953</v>
      </c>
      <c r="S201" s="87"/>
      <c r="T201" s="363">
        <f>F202/H201</f>
        <v>1.5914553358865542</v>
      </c>
      <c r="U201" s="87"/>
      <c r="V201" s="143">
        <f>qtrSales!J202</f>
        <v>3913</v>
      </c>
      <c r="W201" s="87"/>
      <c r="X201" s="364">
        <f>H201/V201</f>
        <v>0.9875798619984667</v>
      </c>
      <c r="Y201" s="87"/>
      <c r="Z201" s="356">
        <f>(X201/X194-1)*100</f>
        <v>-6.2327289607718495</v>
      </c>
      <c r="AA201" s="107"/>
      <c r="AB201" s="144">
        <f>qtrSales!Z202</f>
        <v>108.7</v>
      </c>
      <c r="AC201" s="87"/>
      <c r="AD201" s="143">
        <f>H201/AB201</f>
        <v>35.551057957681692</v>
      </c>
      <c r="AE201" s="87"/>
      <c r="AF201" s="105">
        <f>(AD201/AD194-1)*100</f>
        <v>-4.5689319019498686</v>
      </c>
      <c r="AG201" s="107"/>
      <c r="AH201" s="89">
        <f>J201/(F201/(365/4))</f>
        <v>58.059883134441435</v>
      </c>
      <c r="AI201" s="134">
        <f>((F201-('yrP&amp;L'!$AC$16/4))/J201)</f>
        <v>1.5716531807117953</v>
      </c>
      <c r="AJ201" s="117"/>
      <c r="AK201" s="379"/>
      <c r="AL201" s="87"/>
      <c r="AM201" s="89">
        <f>+H201*0.9</f>
        <v>3477.96</v>
      </c>
      <c r="AN201" s="108">
        <f>AVERAGE(AM200:AM201)</f>
        <v>3420.2249999999999</v>
      </c>
      <c r="AO201" s="6"/>
      <c r="AP201" s="6"/>
      <c r="AQ201" s="6"/>
    </row>
    <row r="202" spans="1:43">
      <c r="A202" s="87" t="s">
        <v>529</v>
      </c>
      <c r="B202" s="87" t="s">
        <v>516</v>
      </c>
      <c r="C202" s="87"/>
      <c r="D202" s="104">
        <f>'qtrP&amp;L'!DJ12</f>
        <v>8762.2199999999993</v>
      </c>
      <c r="E202" s="87"/>
      <c r="F202" s="15">
        <f>'qtrP&amp;L'!DJ23</f>
        <v>6150.02</v>
      </c>
      <c r="G202" s="373"/>
      <c r="H202" s="104">
        <f>work!DF12</f>
        <v>4725.8999999999996</v>
      </c>
      <c r="I202" s="373"/>
      <c r="J202" s="108">
        <f>AVERAGE(H201:H202)</f>
        <v>4295.1499999999996</v>
      </c>
      <c r="K202" s="373"/>
      <c r="L202" s="102">
        <f>(D202/D195-1)*100</f>
        <v>5.6747431886004396</v>
      </c>
      <c r="M202" s="107"/>
      <c r="N202" s="102">
        <f>(H202/H195-1)*100</f>
        <v>7.7938962638565812</v>
      </c>
      <c r="O202" s="107"/>
      <c r="P202" s="102">
        <f>(H202/H201-1)*100</f>
        <v>22.293240865334841</v>
      </c>
      <c r="Q202" s="107"/>
      <c r="R202" s="363">
        <f>F202/J202</f>
        <v>1.4318522053944567</v>
      </c>
      <c r="S202" s="87"/>
      <c r="T202" s="363">
        <f>F203/H202</f>
        <v>1.6609323091897841</v>
      </c>
      <c r="U202" s="87"/>
      <c r="V202" s="143">
        <f>qtrSales!J203</f>
        <v>4052</v>
      </c>
      <c r="W202" s="87"/>
      <c r="X202" s="364">
        <f>H202/V202</f>
        <v>1.1663129318854886</v>
      </c>
      <c r="Y202" s="87"/>
      <c r="Z202" s="356">
        <f>(X202/X195-1)*100</f>
        <v>0.69099145081370494</v>
      </c>
      <c r="AA202" s="107"/>
      <c r="AB202" s="144">
        <f>qtrSales!Z203</f>
        <v>111.3</v>
      </c>
      <c r="AC202" s="87"/>
      <c r="AD202" s="143">
        <f>H202/AB202</f>
        <v>42.460916442048514</v>
      </c>
      <c r="AE202" s="87"/>
      <c r="AF202" s="105">
        <f>(AD202/AD195-1)*100</f>
        <v>2.9514031702421617</v>
      </c>
      <c r="AG202" s="107"/>
      <c r="AH202" s="89">
        <f>J202/(F202/(365/4))</f>
        <v>63.728644378392261</v>
      </c>
      <c r="AI202" s="134">
        <f>((F202-('yrP&amp;L'!$AC$16/4))/J202)</f>
        <v>1.4318522053944567</v>
      </c>
      <c r="AJ202" s="117"/>
      <c r="AK202" s="379"/>
      <c r="AL202" s="87"/>
      <c r="AM202" s="89">
        <f>+H202*0.9</f>
        <v>4253.3099999999995</v>
      </c>
      <c r="AN202" s="108">
        <f>AVERAGE(AM201:AM202)</f>
        <v>3865.6349999999998</v>
      </c>
      <c r="AO202" s="6"/>
      <c r="AP202" s="6"/>
      <c r="AQ202" s="6"/>
    </row>
    <row r="203" spans="1:43">
      <c r="A203" s="87" t="s">
        <v>530</v>
      </c>
      <c r="B203" s="87" t="s">
        <v>517</v>
      </c>
      <c r="C203" s="87"/>
      <c r="D203" s="462">
        <f>'qtrP&amp;L'!DJ13</f>
        <v>10960.72</v>
      </c>
      <c r="E203" s="87"/>
      <c r="F203" s="19">
        <f>'qtrP&amp;L'!DJ24</f>
        <v>7849.4</v>
      </c>
      <c r="G203" s="373"/>
      <c r="H203" s="108">
        <f>bal!BH12</f>
        <v>4187.2</v>
      </c>
      <c r="I203" s="373"/>
      <c r="J203" s="109">
        <f>AVERAGE(H202:H203)</f>
        <v>4456.5499999999993</v>
      </c>
      <c r="K203" s="373"/>
      <c r="L203" s="357">
        <f>(D203/D196-1)*100</f>
        <v>15.770264776453935</v>
      </c>
      <c r="M203" s="107"/>
      <c r="N203" s="356">
        <f>(H203/H196-1)*100</f>
        <v>14.875171467764048</v>
      </c>
      <c r="O203" s="107"/>
      <c r="P203" s="102">
        <f>(H203/H202-1)*100</f>
        <v>-11.398886984489721</v>
      </c>
      <c r="Q203" s="107"/>
      <c r="R203" s="363">
        <f>F203/J203</f>
        <v>1.7613176111566125</v>
      </c>
      <c r="S203" s="87"/>
      <c r="T203" s="365" t="s">
        <v>120</v>
      </c>
      <c r="U203" s="87"/>
      <c r="V203" s="143">
        <f>qtrSales!J204</f>
        <v>4070</v>
      </c>
      <c r="W203" s="87"/>
      <c r="X203" s="364">
        <f>H203/V203</f>
        <v>1.0287960687960687</v>
      </c>
      <c r="Y203" s="87"/>
      <c r="Z203" s="356">
        <f>(X203/X196-1)*100</f>
        <v>7.5931581413062776</v>
      </c>
      <c r="AA203" s="107"/>
      <c r="AB203" s="144">
        <f>qtrSales!Z204</f>
        <v>110.8</v>
      </c>
      <c r="AC203" s="87"/>
      <c r="AD203" s="143">
        <f>H203/AB203</f>
        <v>37.790613718411549</v>
      </c>
      <c r="AE203" s="87"/>
      <c r="AF203" s="105">
        <f>(AD203/AD196-1)*100</f>
        <v>10.831731316822912</v>
      </c>
      <c r="AG203" s="107"/>
      <c r="AH203" s="89">
        <f>J203/(F203/(365/4))</f>
        <v>51.807805373659122</v>
      </c>
      <c r="AI203" s="134">
        <f>((F203-('yrP&amp;L'!$AC$16/4))/J203)</f>
        <v>1.7613176111566125</v>
      </c>
      <c r="AJ203" s="137"/>
      <c r="AK203" s="379"/>
      <c r="AL203" s="87"/>
      <c r="AM203" s="89">
        <f>+H203*0.9</f>
        <v>3768.48</v>
      </c>
      <c r="AN203" s="109">
        <f>AVERAGE(AM202:AM203)</f>
        <v>4010.8949999999995</v>
      </c>
      <c r="AO203" s="6"/>
      <c r="AP203" s="6"/>
      <c r="AQ203" s="6"/>
    </row>
    <row r="204" spans="1:43">
      <c r="A204" s="87"/>
      <c r="B204" s="87" t="s">
        <v>531</v>
      </c>
      <c r="C204" s="87"/>
      <c r="D204" s="14">
        <f>SUM(D200:D203)</f>
        <v>35864.664000000004</v>
      </c>
      <c r="E204" s="87"/>
      <c r="F204" s="14">
        <f>SUM(F200:F203)</f>
        <v>25502.167000000001</v>
      </c>
      <c r="G204" s="373"/>
      <c r="H204" s="15"/>
      <c r="I204" s="373"/>
      <c r="J204" s="104">
        <f>AVERAGE(J200:J203)</f>
        <v>4060.625</v>
      </c>
      <c r="K204" s="373"/>
      <c r="L204" s="102">
        <f>(D204/D197-1)*100</f>
        <v>8.0790160386965404</v>
      </c>
      <c r="M204" s="107"/>
      <c r="N204" s="87"/>
      <c r="O204" s="107"/>
      <c r="P204" s="87"/>
      <c r="Q204" s="107"/>
      <c r="R204" s="366">
        <f>F204/J204</f>
        <v>6.2803551177466526</v>
      </c>
      <c r="S204" s="367" t="s">
        <v>598</v>
      </c>
      <c r="T204" s="363"/>
      <c r="U204" s="87"/>
      <c r="V204" s="143"/>
      <c r="W204" s="87"/>
      <c r="X204" s="87"/>
      <c r="Y204" s="87"/>
      <c r="Z204" s="87"/>
      <c r="AA204" s="107"/>
      <c r="AB204" s="125"/>
      <c r="AC204" s="87"/>
      <c r="AD204" s="145"/>
      <c r="AE204" s="87"/>
      <c r="AF204" s="87"/>
      <c r="AG204" s="107"/>
      <c r="AH204" s="107"/>
      <c r="AI204" s="135">
        <f>((F204-('yrP&amp;L'!$AC$16))/J204)</f>
        <v>6.2803551177466526</v>
      </c>
      <c r="AJ204" s="136" t="s">
        <v>598</v>
      </c>
      <c r="AK204" s="87"/>
      <c r="AL204" s="87"/>
      <c r="AM204" s="87"/>
      <c r="AN204" s="104">
        <f>AVERAGE(AN200:AN203)</f>
        <v>3654.5625</v>
      </c>
      <c r="AO204" s="6"/>
      <c r="AP204" s="6"/>
      <c r="AQ204" s="6"/>
    </row>
    <row r="205" spans="1:43">
      <c r="A205" s="87"/>
      <c r="B205" s="87"/>
      <c r="C205" s="87"/>
      <c r="D205" s="14"/>
      <c r="E205" s="87"/>
      <c r="F205" s="14"/>
      <c r="G205" s="87"/>
      <c r="H205" s="87"/>
      <c r="I205" s="87"/>
      <c r="J205" s="104"/>
      <c r="K205" s="87"/>
      <c r="L205" s="102"/>
      <c r="M205" s="107"/>
      <c r="N205" s="87"/>
      <c r="O205" s="107"/>
      <c r="P205" s="87"/>
      <c r="Q205" s="107"/>
      <c r="R205" s="378"/>
      <c r="S205" s="100"/>
      <c r="T205" s="363"/>
      <c r="U205" s="87"/>
      <c r="V205" s="143"/>
      <c r="W205" s="87"/>
      <c r="X205" s="87"/>
      <c r="Y205" s="87"/>
      <c r="Z205" s="87"/>
      <c r="AA205" s="107"/>
      <c r="AB205" s="62"/>
      <c r="AC205" s="6"/>
      <c r="AD205" s="145"/>
      <c r="AE205" s="87"/>
      <c r="AF205" s="87"/>
      <c r="AG205" s="107"/>
      <c r="AH205" s="6"/>
      <c r="AI205" s="134"/>
      <c r="AJ205" s="137"/>
      <c r="AK205" s="6"/>
      <c r="AL205" s="6"/>
      <c r="AM205" s="6"/>
      <c r="AN205" s="14"/>
      <c r="AO205" s="6"/>
      <c r="AP205" s="6"/>
      <c r="AQ205" s="6"/>
    </row>
    <row r="206" spans="1:43">
      <c r="A206" s="87"/>
      <c r="B206" s="362">
        <f>+B199+1</f>
        <v>2018</v>
      </c>
      <c r="C206" s="87"/>
      <c r="D206" s="87"/>
      <c r="E206" s="87"/>
      <c r="F206" s="372"/>
      <c r="G206" s="373"/>
      <c r="H206" s="374"/>
      <c r="I206" s="373"/>
      <c r="J206" s="372"/>
      <c r="K206" s="373"/>
      <c r="L206" s="373"/>
      <c r="M206" s="375"/>
      <c r="N206" s="373"/>
      <c r="O206" s="375"/>
      <c r="P206" s="373"/>
      <c r="Q206" s="375"/>
      <c r="R206" s="376"/>
      <c r="S206" s="87"/>
      <c r="T206" s="363"/>
      <c r="U206" s="87"/>
      <c r="V206" s="143"/>
      <c r="W206" s="87"/>
      <c r="X206" s="87"/>
      <c r="Y206" s="87"/>
      <c r="Z206" s="87"/>
      <c r="AA206" s="107"/>
      <c r="AB206" s="125"/>
      <c r="AC206" s="87"/>
      <c r="AD206" s="87"/>
      <c r="AE206" s="87"/>
      <c r="AF206" s="87"/>
      <c r="AG206" s="107"/>
      <c r="AH206" s="6"/>
      <c r="AI206" s="6"/>
      <c r="AJ206" s="6"/>
      <c r="AK206" s="6"/>
      <c r="AL206" s="6"/>
      <c r="AM206" s="6"/>
      <c r="AN206" s="6"/>
      <c r="AO206" s="6"/>
      <c r="AP206" s="6"/>
      <c r="AQ206" s="6"/>
    </row>
    <row r="207" spans="1:43">
      <c r="A207" s="87" t="s">
        <v>527</v>
      </c>
      <c r="B207" s="87" t="s">
        <v>514</v>
      </c>
      <c r="C207" s="107"/>
      <c r="D207" s="104">
        <f>'qtrP&amp;L'!DN10</f>
        <v>8507.9634800000003</v>
      </c>
      <c r="E207" s="87"/>
      <c r="F207" s="371">
        <f>'qtrP&amp;L'!DN21</f>
        <v>6078.0891101120005</v>
      </c>
      <c r="G207" s="373"/>
      <c r="H207" s="104">
        <f>AD207*AB207</f>
        <v>3936.954784947914</v>
      </c>
      <c r="I207" s="373"/>
      <c r="J207" s="370">
        <f>AVERAGE(H207,H203)</f>
        <v>4062.0773924739569</v>
      </c>
      <c r="K207" s="373"/>
      <c r="L207" s="102">
        <f>(D207/D200-1)*100</f>
        <v>9.3003243566566631</v>
      </c>
      <c r="M207" s="107" t="s">
        <v>190</v>
      </c>
      <c r="N207" s="102">
        <f>(H207/H200-1)*100</f>
        <v>5.3760548418916532</v>
      </c>
      <c r="O207" s="107" t="s">
        <v>190</v>
      </c>
      <c r="P207" s="102">
        <f>(H207/H203-1)*100</f>
        <v>-5.9764332979577279</v>
      </c>
      <c r="Q207" s="107" t="s">
        <v>190</v>
      </c>
      <c r="R207" s="363">
        <f>F207/J207</f>
        <v>1.4963006665932126</v>
      </c>
      <c r="S207" s="87" t="s">
        <v>598</v>
      </c>
      <c r="T207" s="363">
        <f>F208/H207</f>
        <v>1.625425345978329</v>
      </c>
      <c r="U207" s="87"/>
      <c r="V207" s="143">
        <f>qtrSales!J208</f>
        <v>4126</v>
      </c>
      <c r="W207" s="87"/>
      <c r="X207" s="364">
        <f>H207/V207</f>
        <v>0.95418196435964953</v>
      </c>
      <c r="Y207" s="87"/>
      <c r="Z207" s="356">
        <f>(X207/X200-1)*100</f>
        <v>-1.3663781387819762</v>
      </c>
      <c r="AA207" s="107" t="s">
        <v>190</v>
      </c>
      <c r="AB207" s="144">
        <f>qtrSales!Z208</f>
        <v>115.91366032608083</v>
      </c>
      <c r="AC207" s="87"/>
      <c r="AD207" s="145">
        <f>AD200*(1+AF207/100)</f>
        <v>33.964545454545451</v>
      </c>
      <c r="AE207" s="87"/>
      <c r="AF207" s="1915">
        <v>-2</v>
      </c>
      <c r="AG207" s="107" t="s">
        <v>190</v>
      </c>
      <c r="AH207" s="89">
        <f>J207/(F207/(365/4))</f>
        <v>60.983732773279193</v>
      </c>
      <c r="AI207" s="134">
        <f>((F207-('yrP&amp;L'!$AD$16/4))/J207)</f>
        <v>1.4963006665932126</v>
      </c>
      <c r="AJ207" s="117" t="s">
        <v>598</v>
      </c>
      <c r="AK207" s="379"/>
      <c r="AL207" s="87"/>
      <c r="AM207" s="89">
        <f>+H207*0.9</f>
        <v>3543.2593064531229</v>
      </c>
      <c r="AN207" s="104">
        <f>AVERAGE(AM207,AM203)</f>
        <v>3655.8696532265612</v>
      </c>
      <c r="AO207" s="6"/>
      <c r="AP207" s="6"/>
      <c r="AQ207" s="6"/>
    </row>
    <row r="208" spans="1:43">
      <c r="A208" s="87" t="s">
        <v>528</v>
      </c>
      <c r="B208" s="87" t="s">
        <v>515</v>
      </c>
      <c r="C208" s="87"/>
      <c r="D208" s="104">
        <f>'qtrP&amp;L'!DN11</f>
        <v>8925.0015250000015</v>
      </c>
      <c r="E208" s="87"/>
      <c r="F208" s="15">
        <f>'qtrP&amp;L'!DN22</f>
        <v>6399.2260934250007</v>
      </c>
      <c r="G208" s="373"/>
      <c r="H208" s="104">
        <f>AD208*AB208</f>
        <v>4094.723900021821</v>
      </c>
      <c r="I208" s="373"/>
      <c r="J208" s="108">
        <f>AVERAGE(H207:H208)</f>
        <v>4015.8393424848673</v>
      </c>
      <c r="K208" s="373"/>
      <c r="L208" s="102">
        <f>(D208/D201-1)*100</f>
        <v>6.7877708580111884</v>
      </c>
      <c r="M208" s="107"/>
      <c r="N208" s="102">
        <f>(H208/H201-1)*100</f>
        <v>5.9601464657339065</v>
      </c>
      <c r="O208" s="107"/>
      <c r="P208" s="102">
        <f>(H208/H207-1)*100</f>
        <v>4.0073895610156063</v>
      </c>
      <c r="Q208" s="107"/>
      <c r="R208" s="363">
        <f>F208/J208</f>
        <v>1.5934965389988369</v>
      </c>
      <c r="S208" s="87"/>
      <c r="T208" s="363">
        <f>F209/H208</f>
        <v>1.6056108592050773</v>
      </c>
      <c r="U208" s="87"/>
      <c r="V208" s="143">
        <f>qtrSales!J209</f>
        <v>4186</v>
      </c>
      <c r="W208" s="87"/>
      <c r="X208" s="364">
        <f>H208/V208</f>
        <v>0.97819491161534189</v>
      </c>
      <c r="Y208" s="87"/>
      <c r="Z208" s="356">
        <f>(X208/X201-1)*100</f>
        <v>-0.9502978689878705</v>
      </c>
      <c r="AA208" s="107"/>
      <c r="AB208" s="144">
        <f>qtrSales!Z209</f>
        <v>117.52926449821709</v>
      </c>
      <c r="AC208" s="87"/>
      <c r="AD208" s="143">
        <f>AD201*(1+AF208/100)</f>
        <v>34.840036798528061</v>
      </c>
      <c r="AE208" s="87"/>
      <c r="AF208" s="1915">
        <v>-2</v>
      </c>
      <c r="AG208" s="107"/>
      <c r="AH208" s="89">
        <f>J208/(F208/(365/4))</f>
        <v>57.264008905429193</v>
      </c>
      <c r="AI208" s="134">
        <f>((F208-('yrP&amp;L'!$AD$16/4))/J208)</f>
        <v>1.5934965389988369</v>
      </c>
      <c r="AJ208" s="117"/>
      <c r="AK208" s="379"/>
      <c r="AL208" s="87"/>
      <c r="AM208" s="89">
        <f>+H208*0.9</f>
        <v>3685.2515100196388</v>
      </c>
      <c r="AN208" s="108">
        <f>AVERAGE(AM207:AM208)</f>
        <v>3614.2554082363808</v>
      </c>
      <c r="AO208" s="6"/>
      <c r="AP208" s="6"/>
      <c r="AQ208" s="6"/>
    </row>
    <row r="209" spans="1:43">
      <c r="A209" s="87" t="s">
        <v>529</v>
      </c>
      <c r="B209" s="87" t="s">
        <v>516</v>
      </c>
      <c r="C209" s="87"/>
      <c r="D209" s="104">
        <f>'qtrP&amp;L'!DN12</f>
        <v>9338.8255104000018</v>
      </c>
      <c r="E209" s="87"/>
      <c r="F209" s="15">
        <f>'qtrP&amp;L'!DN23</f>
        <v>6574.5331593216006</v>
      </c>
      <c r="G209" s="373"/>
      <c r="H209" s="108">
        <f>AD209*AB209</f>
        <v>5005.7919028061024</v>
      </c>
      <c r="I209" s="373"/>
      <c r="J209" s="108">
        <f>AVERAGE(H208:H209)</f>
        <v>4550.2579014139619</v>
      </c>
      <c r="K209" s="373"/>
      <c r="L209" s="102">
        <f>(D209/D202-1)*100</f>
        <v>6.5805870019241874</v>
      </c>
      <c r="M209" s="107"/>
      <c r="N209" s="102">
        <f>(H209/H202-1)*100</f>
        <v>5.9225100574727074</v>
      </c>
      <c r="O209" s="107"/>
      <c r="P209" s="102">
        <f>(H209/H208-1)*100</f>
        <v>22.249803039941863</v>
      </c>
      <c r="Q209" s="107"/>
      <c r="R209" s="363">
        <f>F209/J209</f>
        <v>1.4448704450968832</v>
      </c>
      <c r="S209" s="87"/>
      <c r="T209" s="363">
        <f>F210/H209</f>
        <v>1.5833921291288273</v>
      </c>
      <c r="U209" s="87"/>
      <c r="V209" s="143">
        <f>qtrSales!J210</f>
        <v>4289</v>
      </c>
      <c r="W209" s="87"/>
      <c r="X209" s="364">
        <f>H209/V209</f>
        <v>1.1671233161124044</v>
      </c>
      <c r="Y209" s="87"/>
      <c r="Z209" s="356">
        <f>(X209/X202-1)*100</f>
        <v>6.9482572366386108E-2</v>
      </c>
      <c r="AA209" s="107"/>
      <c r="AB209" s="144">
        <f>qtrSales!Z210</f>
        <v>120.29770785098687</v>
      </c>
      <c r="AC209" s="87"/>
      <c r="AD209" s="143">
        <f>AD202*(1+AF209/100)</f>
        <v>41.611698113207545</v>
      </c>
      <c r="AE209" s="87"/>
      <c r="AF209" s="1915">
        <v>-2</v>
      </c>
      <c r="AG209" s="107"/>
      <c r="AH209" s="89">
        <f>J209/(F209/(365/4))</f>
        <v>63.154451189484604</v>
      </c>
      <c r="AI209" s="134">
        <f>((F209-('yrP&amp;L'!$AD$16/4))/J209)</f>
        <v>1.4448704450968832</v>
      </c>
      <c r="AJ209" s="117"/>
      <c r="AK209" s="379"/>
      <c r="AL209" s="87"/>
      <c r="AM209" s="89">
        <f>+H209*0.9</f>
        <v>4505.212712525492</v>
      </c>
      <c r="AN209" s="108">
        <f>AVERAGE(AM208:AM209)</f>
        <v>4095.2321112725654</v>
      </c>
      <c r="AO209" s="6"/>
      <c r="AP209" s="6"/>
      <c r="AQ209" s="6"/>
    </row>
    <row r="210" spans="1:43">
      <c r="A210" s="87" t="s">
        <v>530</v>
      </c>
      <c r="B210" s="87" t="s">
        <v>517</v>
      </c>
      <c r="C210" s="87"/>
      <c r="D210" s="462">
        <f>'qtrP&amp;L'!DN13</f>
        <v>11070.016059999998</v>
      </c>
      <c r="E210" s="87"/>
      <c r="F210" s="19">
        <f>'qtrP&amp;L'!DN24</f>
        <v>7926.1314989599987</v>
      </c>
      <c r="G210" s="373"/>
      <c r="H210" s="108">
        <f>bal!BJ12</f>
        <v>4200.4405298694001</v>
      </c>
      <c r="I210" s="373"/>
      <c r="J210" s="109">
        <f>AVERAGE(H209:H210)</f>
        <v>4603.1162163377512</v>
      </c>
      <c r="K210" s="373"/>
      <c r="L210" s="357">
        <f>(D210/D203-1)*100</f>
        <v>0.99716131786962148</v>
      </c>
      <c r="M210" s="107"/>
      <c r="N210" s="356">
        <f>(H210/H203-1)*100</f>
        <v>0.31621441224207736</v>
      </c>
      <c r="O210" s="107"/>
      <c r="P210" s="102">
        <f>(H210/H209-1)*100</f>
        <v>-16.088390979362245</v>
      </c>
      <c r="Q210" s="107"/>
      <c r="R210" s="363">
        <f>F210/J210</f>
        <v>1.7219055801432808</v>
      </c>
      <c r="S210" s="87"/>
      <c r="T210" s="365" t="s">
        <v>120</v>
      </c>
      <c r="U210" s="87"/>
      <c r="V210" s="143">
        <f>qtrSales!J211</f>
        <v>4308</v>
      </c>
      <c r="W210" s="87"/>
      <c r="X210" s="364">
        <f>H210/V210</f>
        <v>0.97503262067534824</v>
      </c>
      <c r="Y210" s="87"/>
      <c r="Z210" s="356">
        <f>(X210/X203-1)*100</f>
        <v>-5.2258605715354456</v>
      </c>
      <c r="AA210" s="107"/>
      <c r="AB210" s="144">
        <f>qtrSales!Z211</f>
        <v>120.82306914457638</v>
      </c>
      <c r="AC210" s="87"/>
      <c r="AD210" s="143">
        <f>H210/AB210</f>
        <v>34.765219586030966</v>
      </c>
      <c r="AE210" s="87"/>
      <c r="AF210" s="105">
        <f>(AD210/AD203-1)*100</f>
        <v>-8.0056761049810969</v>
      </c>
      <c r="AG210" s="107"/>
      <c r="AH210" s="89">
        <f>J210/(F210/(365/4))</f>
        <v>52.99361419829247</v>
      </c>
      <c r="AI210" s="134">
        <f>((F210-('yrP&amp;L'!$AD$16/4))/J210)</f>
        <v>1.7219055801432808</v>
      </c>
      <c r="AJ210" s="137"/>
      <c r="AK210" s="379"/>
      <c r="AL210" s="87"/>
      <c r="AM210" s="89">
        <f>+H210*0.9</f>
        <v>3780.3964768824603</v>
      </c>
      <c r="AN210" s="109">
        <f>AVERAGE(AM209:AM210)</f>
        <v>4142.8045947039764</v>
      </c>
      <c r="AO210" s="6"/>
      <c r="AP210" s="6"/>
      <c r="AQ210" s="6"/>
    </row>
    <row r="211" spans="1:43">
      <c r="A211" s="87"/>
      <c r="B211" s="87" t="s">
        <v>531</v>
      </c>
      <c r="C211" s="87"/>
      <c r="D211" s="14">
        <f>'qtrP&amp;L'!DN14</f>
        <v>37841.806575399998</v>
      </c>
      <c r="E211" s="87"/>
      <c r="F211" s="14">
        <f>'qtrP&amp;L'!DN25</f>
        <v>26977.9798618186</v>
      </c>
      <c r="G211" s="373"/>
      <c r="H211" s="15"/>
      <c r="I211" s="373"/>
      <c r="J211" s="104">
        <f>AVERAGE(J207:J210)</f>
        <v>4307.8227131776348</v>
      </c>
      <c r="K211" s="373"/>
      <c r="L211" s="102">
        <f>(D211/D204-1)*100</f>
        <v>5.5127871138008988</v>
      </c>
      <c r="M211" s="107"/>
      <c r="N211" s="87"/>
      <c r="O211" s="107"/>
      <c r="P211" s="87"/>
      <c r="Q211" s="107"/>
      <c r="R211" s="366">
        <f>F211/J211</f>
        <v>6.2625557405816465</v>
      </c>
      <c r="S211" s="367" t="s">
        <v>598</v>
      </c>
      <c r="T211" s="363"/>
      <c r="U211" s="87"/>
      <c r="V211" s="143"/>
      <c r="W211" s="87"/>
      <c r="X211" s="87"/>
      <c r="Y211" s="87"/>
      <c r="Z211" s="87"/>
      <c r="AA211" s="107"/>
      <c r="AB211" s="125"/>
      <c r="AC211" s="87"/>
      <c r="AD211" s="145"/>
      <c r="AE211" s="87"/>
      <c r="AF211" s="87"/>
      <c r="AG211" s="107"/>
      <c r="AH211" s="107"/>
      <c r="AI211" s="135">
        <f>((F211-('yrP&amp;L'!$AD$16))/J211)</f>
        <v>6.2625557405816465</v>
      </c>
      <c r="AJ211" s="136" t="s">
        <v>598</v>
      </c>
      <c r="AK211" s="87"/>
      <c r="AL211" s="87"/>
      <c r="AM211" s="87"/>
      <c r="AN211" s="104">
        <f>AVERAGE(AN207:AN210)</f>
        <v>3877.040441859871</v>
      </c>
      <c r="AO211" s="6"/>
      <c r="AP211" s="6"/>
      <c r="AQ211" s="6"/>
    </row>
    <row r="212" spans="1:43">
      <c r="A212" s="6"/>
      <c r="B212" s="6"/>
      <c r="C212" s="6"/>
      <c r="D212" s="14"/>
      <c r="E212" s="6"/>
      <c r="F212" s="14"/>
      <c r="G212" s="6"/>
      <c r="H212" s="6"/>
      <c r="I212" s="6"/>
      <c r="J212" s="14"/>
      <c r="K212" s="6"/>
      <c r="L212" s="23"/>
      <c r="M212" s="70"/>
      <c r="N212" s="6"/>
      <c r="O212" s="70"/>
      <c r="P212" s="6"/>
      <c r="Q212" s="70"/>
      <c r="S212" s="11"/>
      <c r="T212" s="61"/>
      <c r="U212" s="6"/>
      <c r="V212" s="76"/>
      <c r="W212" s="6"/>
      <c r="X212" s="6"/>
      <c r="Y212" s="6"/>
      <c r="Z212" s="6"/>
      <c r="AA212" s="70"/>
      <c r="AB212" s="62"/>
      <c r="AC212" s="6"/>
      <c r="AD212" s="6"/>
      <c r="AE212" s="6"/>
      <c r="AF212" s="6"/>
      <c r="AG212" s="70"/>
      <c r="AH212" s="6"/>
      <c r="AI212" s="134"/>
      <c r="AJ212" s="137"/>
      <c r="AK212" s="6"/>
      <c r="AL212" s="6"/>
      <c r="AM212" s="6"/>
      <c r="AN212" s="14"/>
      <c r="AO212" s="6"/>
      <c r="AP212" s="6"/>
      <c r="AQ212" s="6"/>
    </row>
    <row r="213" spans="1:43">
      <c r="A213" s="6"/>
      <c r="B213" s="6"/>
      <c r="C213" s="6"/>
      <c r="D213" s="14"/>
      <c r="E213" s="6"/>
      <c r="F213" s="14"/>
      <c r="G213" s="6"/>
      <c r="H213" s="6"/>
      <c r="I213" s="6"/>
      <c r="J213" s="14"/>
      <c r="K213" s="6"/>
      <c r="L213" s="23"/>
      <c r="M213" s="70"/>
      <c r="N213" s="6"/>
      <c r="O213" s="70"/>
      <c r="P213" s="6"/>
      <c r="Q213" s="70"/>
      <c r="S213" s="11"/>
      <c r="T213" s="61"/>
      <c r="U213" s="6"/>
      <c r="V213" s="76"/>
      <c r="W213" s="6"/>
      <c r="X213" s="6"/>
      <c r="Y213" s="6"/>
      <c r="Z213" s="6"/>
      <c r="AA213" s="70"/>
      <c r="AB213" s="62"/>
      <c r="AC213" s="6"/>
      <c r="AD213" s="6"/>
      <c r="AE213" s="6"/>
      <c r="AF213" s="6"/>
      <c r="AG213" s="70"/>
      <c r="AH213" s="6"/>
      <c r="AI213" s="134"/>
      <c r="AJ213" s="137"/>
      <c r="AK213" s="6"/>
      <c r="AL213" s="6"/>
      <c r="AM213" s="6"/>
      <c r="AN213" s="14"/>
      <c r="AO213" s="6"/>
      <c r="AP213" s="6"/>
      <c r="AQ213" s="6"/>
    </row>
    <row r="214" spans="1:43">
      <c r="A214" s="6"/>
      <c r="B214" s="6"/>
      <c r="C214" s="6"/>
      <c r="D214" s="14"/>
      <c r="E214" s="6"/>
      <c r="F214" s="14"/>
      <c r="G214" s="6"/>
      <c r="H214" s="6"/>
      <c r="I214" s="6"/>
      <c r="J214" s="14"/>
      <c r="K214" s="6"/>
      <c r="L214" s="23"/>
      <c r="M214" s="70"/>
      <c r="N214" s="6"/>
      <c r="O214" s="70"/>
      <c r="P214" s="6"/>
      <c r="Q214" s="70"/>
      <c r="S214" s="11"/>
      <c r="T214" s="61"/>
      <c r="U214" s="6"/>
      <c r="V214" s="76"/>
      <c r="W214" s="6"/>
      <c r="X214" s="6"/>
      <c r="Y214" s="6"/>
      <c r="Z214" s="6"/>
      <c r="AA214" s="70"/>
      <c r="AB214" s="62"/>
      <c r="AC214" s="6"/>
      <c r="AD214" s="6"/>
      <c r="AE214" s="6"/>
      <c r="AF214" s="6"/>
      <c r="AG214" s="70"/>
      <c r="AH214" s="6"/>
      <c r="AI214" s="134"/>
      <c r="AJ214" s="137"/>
      <c r="AK214" s="6"/>
      <c r="AL214" s="6"/>
      <c r="AM214" s="6"/>
      <c r="AN214" s="14"/>
      <c r="AO214" s="6"/>
      <c r="AP214" s="6"/>
      <c r="AQ214" s="6"/>
    </row>
    <row r="215" spans="1:43" ht="10.5" customHeight="1">
      <c r="A215" s="34" t="s">
        <v>608</v>
      </c>
      <c r="B215" s="29"/>
      <c r="C215" s="29"/>
      <c r="D215" s="29"/>
      <c r="E215" s="29"/>
      <c r="F215" s="29"/>
      <c r="G215" s="29"/>
      <c r="H215" s="29"/>
      <c r="I215" s="29"/>
      <c r="J215" s="29"/>
      <c r="K215" s="29"/>
      <c r="L215" s="29"/>
      <c r="M215" s="29"/>
      <c r="N215" s="29"/>
      <c r="O215" s="29"/>
      <c r="P215" s="29"/>
      <c r="Q215" s="29"/>
      <c r="R215" s="377"/>
      <c r="S215" s="29"/>
      <c r="T215" s="20"/>
      <c r="U215" s="29"/>
      <c r="V215" s="29"/>
      <c r="W215" s="29"/>
      <c r="X215" s="35"/>
      <c r="Y215" s="29"/>
      <c r="Z215" s="29"/>
      <c r="AA215" s="29"/>
      <c r="AB215" s="62"/>
      <c r="AC215" s="29"/>
      <c r="AD215" s="35"/>
      <c r="AE215" s="29"/>
      <c r="AF215" s="29"/>
      <c r="AG215" s="29"/>
      <c r="AH215" s="29"/>
      <c r="AI215" s="29"/>
      <c r="AJ215" s="29"/>
      <c r="AK215" s="29"/>
      <c r="AL215" s="29"/>
      <c r="AM215" s="29"/>
      <c r="AN215" s="29"/>
      <c r="AO215" s="29"/>
      <c r="AP215" s="29"/>
      <c r="AQ215" s="29"/>
    </row>
    <row r="216" spans="1:43" ht="10.5" customHeight="1">
      <c r="A216" s="34" t="s">
        <v>609</v>
      </c>
      <c r="B216" s="29"/>
      <c r="C216" s="29"/>
      <c r="D216" s="29"/>
      <c r="E216" s="29"/>
      <c r="F216" s="29"/>
      <c r="G216" s="29"/>
      <c r="H216" s="29"/>
      <c r="I216" s="29"/>
      <c r="J216" s="29"/>
      <c r="K216" s="29"/>
      <c r="L216" s="29"/>
      <c r="M216" s="29"/>
      <c r="N216" s="29"/>
      <c r="O216" s="29"/>
      <c r="P216" s="29"/>
      <c r="Q216" s="29"/>
      <c r="R216" s="369"/>
      <c r="S216" s="29"/>
      <c r="T216" s="20"/>
      <c r="U216" s="29"/>
      <c r="V216" s="29"/>
      <c r="W216" s="29"/>
      <c r="X216" s="35"/>
      <c r="Y216" s="29"/>
      <c r="Z216" s="29"/>
      <c r="AA216" s="29"/>
      <c r="AB216" s="29"/>
      <c r="AC216" s="29"/>
      <c r="AD216" s="35"/>
      <c r="AE216" s="29"/>
      <c r="AF216" s="29"/>
      <c r="AG216" s="29"/>
      <c r="AH216" s="29"/>
      <c r="AI216" s="29"/>
      <c r="AJ216" s="29"/>
      <c r="AK216" s="29"/>
      <c r="AL216" s="29"/>
      <c r="AM216" s="29"/>
      <c r="AN216" s="29"/>
      <c r="AO216" s="29"/>
      <c r="AP216" s="29"/>
      <c r="AQ216" s="29"/>
    </row>
    <row r="217" spans="1:43" ht="10.5" customHeight="1">
      <c r="A217" s="32"/>
      <c r="B217" s="31"/>
      <c r="C217" s="31"/>
      <c r="D217" s="31"/>
      <c r="E217" s="31"/>
      <c r="F217" s="31"/>
      <c r="G217" s="31"/>
      <c r="H217" s="31"/>
      <c r="I217" s="31"/>
      <c r="J217" s="31"/>
      <c r="K217" s="31"/>
      <c r="L217" s="31"/>
      <c r="M217" s="31"/>
      <c r="N217" s="31"/>
      <c r="O217" s="31"/>
      <c r="P217" s="31"/>
      <c r="Q217" s="31"/>
      <c r="R217" s="369"/>
      <c r="S217" s="31"/>
      <c r="T217" s="20"/>
      <c r="U217" s="31"/>
      <c r="V217" s="31"/>
      <c r="W217" s="31"/>
      <c r="X217" s="33"/>
      <c r="Y217" s="31"/>
      <c r="Z217" s="31"/>
      <c r="AA217" s="31"/>
      <c r="AB217" s="31"/>
      <c r="AC217" s="31"/>
      <c r="AD217" s="33"/>
      <c r="AE217" s="31"/>
      <c r="AF217" s="31"/>
      <c r="AG217" s="31"/>
      <c r="AH217" s="31"/>
      <c r="AI217" s="31"/>
      <c r="AJ217" s="31"/>
      <c r="AK217" s="31"/>
      <c r="AL217" s="31"/>
      <c r="AM217" s="31"/>
      <c r="AN217" s="31"/>
      <c r="AO217" s="31"/>
      <c r="AP217" s="31"/>
      <c r="AQ217" s="31"/>
    </row>
    <row r="218" spans="1:43" ht="10.5" customHeight="1">
      <c r="A218" s="141" t="s">
        <v>497</v>
      </c>
      <c r="B218" s="31"/>
      <c r="C218" s="31"/>
      <c r="D218" s="31"/>
      <c r="E218" s="31"/>
      <c r="F218" s="31"/>
      <c r="G218" s="31"/>
      <c r="H218" s="31"/>
      <c r="I218" s="31"/>
      <c r="J218" s="31"/>
      <c r="K218" s="31"/>
      <c r="L218" s="31"/>
      <c r="M218" s="31"/>
      <c r="N218" s="31"/>
      <c r="O218" s="31"/>
      <c r="P218" s="36"/>
      <c r="Q218" s="31"/>
      <c r="R218" s="377"/>
      <c r="S218" s="31"/>
      <c r="T218" s="20"/>
      <c r="U218" s="31"/>
      <c r="V218" s="31"/>
      <c r="W218" s="31"/>
      <c r="X218" s="33"/>
      <c r="Y218" s="31"/>
      <c r="Z218" s="31"/>
      <c r="AA218" s="31"/>
      <c r="AB218" s="31"/>
      <c r="AC218" s="31"/>
      <c r="AD218" s="33"/>
      <c r="AE218" s="31"/>
      <c r="AF218" s="31"/>
      <c r="AG218" s="31"/>
      <c r="AH218" s="31"/>
      <c r="AI218" s="31"/>
      <c r="AJ218" s="31"/>
      <c r="AK218" s="31"/>
      <c r="AL218" s="31"/>
      <c r="AM218" s="31"/>
      <c r="AN218" s="31"/>
      <c r="AO218" s="31"/>
      <c r="AP218" s="31"/>
      <c r="AQ218" s="31"/>
    </row>
  </sheetData>
  <phoneticPr fontId="0" type="noConversion"/>
  <dataValidations count="1">
    <dataValidation type="custom" allowBlank="1" showInputMessage="1" showErrorMessage="1" sqref="B107 AB169:AB171 AI171:AJ171 D211:D214 H169:H171 F169:F171 D169:D171 V169:V171 AB211:AB215 F211:F214 A164 H212:H214 A171 AB162:AB164 AI157:AJ157 A157 V162:V164 D162:D164 V155:V157 AB155:AB157 AI150:AJ150 F162:F164 H146:H150 V148:V150 AB148:AB150 F148:F150 AI164:AJ164 H162:H164 A136 D148:D150 A150 A143 D141:D143 H139:H143 AI143:AJ143 V141:V143 AB141:AB143 F141:F143 B93 B86 G82:G120 AB92:AB94 D99:D101 AM81:AN120 H92:H94 D92:D94 F99:F101 AB106:AB108 D85:D87 F92:F94 W82:AA120 F85:F87 H85:H87 F113:F115 H113:H115 AB99:AB101 V85:V87 V92:V94 H98:H101 AB85:AB87 B100 V106:V108 D106:D108 F106:F108 C82:C120 A100:A101 AB113:AB115 V113:V115 A107:A108 D113:D115 AP81:AQ120 A86:A87 A93:A94 AO82:AO120 AM74:AM77 H105:H109 D120 E82:E120 B114 F120 AB120 I82:U120 V120 A114:A115 AJ5:AJ8 AI114:AJ115 AK82:AL120 AI86:AJ87 AI93:AJ94 AI100:AJ101 AI107:AJ108 H119:H120 F122 AB122 V122 D122 D155:D157 AC82:AH120 A122 AI122:AJ122 H122 H124:H129 AI129:AJ129 AB134:AB136 AB127:AB129 F127:F129 D127:D129 H154:H157 A129 V99:V101 F155:F157 H131:H136 V134:V136 V127:V129 F134:F136 D134:D136 AI136:AJ136 D176:D178 V176:V178 F176:F178 AB176:AB178 A178 AI178:AJ178 H177:H178 H184:H185 D183:D185 V183:V185 I122:U183 F183:F185 AB183:AB185 A185 AI185:AJ185 AB190:AB192 H191:H192 D190:D192 V190:V192 F190:F192 AI192:AJ192 A192 F197:F199 V211:V214 A199 AB197:AB199 D197:D199 V197:V199 H198:H199 AI199:AJ199 AI206:AJ206 V204:V206 G122:G214 E122:E214 W122:AA214 C122:C214 AK122:IV214 S184:U214 I184:Q214 F204:F206 AB204:AB206 D204:D206 R184:R211 A206 H205:H206 AC122:AH214">
      <formula1>-1</formula1>
    </dataValidation>
  </dataValidations>
  <printOptions horizontalCentered="1"/>
  <pageMargins left="0.25" right="0.25" top="0.25" bottom="0" header="0.5" footer="0.5"/>
  <pageSetup scale="41" orientation="landscape" r:id="rId1"/>
  <headerFooter alignWithMargins="0">
    <oddFooter>&amp;R&amp;8&amp;D/&amp;T
&amp;F/&amp;A</oddFooter>
  </headerFooter>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AD2"/>
  <sheetViews>
    <sheetView workbookViewId="0"/>
  </sheetViews>
  <sheetFormatPr defaultRowHeight="12.75"/>
  <sheetData>
    <row r="1" spans="1:30">
      <c r="A1" t="s">
        <v>793</v>
      </c>
    </row>
    <row r="2" spans="1:30">
      <c r="A2" s="352" t="s">
        <v>3</v>
      </c>
      <c r="B2" s="352" t="s">
        <v>748</v>
      </c>
      <c r="C2" s="352" t="s">
        <v>263</v>
      </c>
      <c r="D2" s="352" t="s">
        <v>748</v>
      </c>
      <c r="E2" s="352" t="s">
        <v>22</v>
      </c>
      <c r="F2" s="352" t="s">
        <v>23</v>
      </c>
      <c r="G2" s="352" t="s">
        <v>566</v>
      </c>
      <c r="H2" s="352" t="s">
        <v>567</v>
      </c>
      <c r="I2" s="352" t="s">
        <v>480</v>
      </c>
      <c r="J2" s="352" t="s">
        <v>120</v>
      </c>
      <c r="K2" s="352" t="s">
        <v>479</v>
      </c>
      <c r="L2" s="352" t="s">
        <v>120</v>
      </c>
      <c r="M2" s="352" t="s">
        <v>262</v>
      </c>
      <c r="N2" s="352" t="s">
        <v>498</v>
      </c>
      <c r="O2" s="352" t="s">
        <v>563</v>
      </c>
      <c r="P2" s="352" t="s">
        <v>564</v>
      </c>
      <c r="Q2" s="352" t="s">
        <v>561</v>
      </c>
      <c r="R2" s="352" t="s">
        <v>120</v>
      </c>
      <c r="S2" s="352" t="s">
        <v>2</v>
      </c>
      <c r="T2" s="352" t="s">
        <v>120</v>
      </c>
      <c r="U2" s="352" t="s">
        <v>481</v>
      </c>
      <c r="V2" s="352" t="s">
        <v>120</v>
      </c>
      <c r="W2" s="352" t="s">
        <v>565</v>
      </c>
      <c r="X2" s="352" t="s">
        <v>562</v>
      </c>
      <c r="Y2" s="352" t="s">
        <v>261</v>
      </c>
      <c r="Z2" s="352" t="s">
        <v>863</v>
      </c>
      <c r="AA2" s="352" t="s">
        <v>482</v>
      </c>
      <c r="AB2" s="352" t="s">
        <v>503</v>
      </c>
      <c r="AC2" s="352" t="s">
        <v>792</v>
      </c>
      <c r="AD2" s="352" t="s">
        <v>794</v>
      </c>
    </row>
  </sheetData>
  <phoneticPr fontId="56" type="noConversion"/>
  <pageMargins left="0.75" right="0.75" top="1" bottom="1" header="0.5" footer="0.5"/>
  <pageSetup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EG260"/>
  <sheetViews>
    <sheetView zoomScaleNormal="100" workbookViewId="0">
      <pane xSplit="3" ySplit="6" topLeftCell="D189" activePane="bottomRight" state="frozen"/>
      <selection pane="topRight" activeCell="D1" sqref="D1"/>
      <selection pane="bottomLeft" activeCell="A7" sqref="A7"/>
      <selection pane="bottomRight" activeCell="V205" sqref="V205"/>
    </sheetView>
  </sheetViews>
  <sheetFormatPr defaultRowHeight="12.75" outlineLevelRow="2" outlineLevelCol="1"/>
  <cols>
    <col min="1" max="1" width="3.7109375" style="451" customWidth="1"/>
    <col min="2" max="2" width="5.140625" style="451" customWidth="1"/>
    <col min="3" max="3" width="4.7109375" style="451" customWidth="1"/>
    <col min="4" max="4" width="8.85546875" style="451" customWidth="1"/>
    <col min="5" max="6" width="4.7109375" style="451" customWidth="1"/>
    <col min="7" max="7" width="9.140625" style="451"/>
    <col min="8" max="8" width="5.7109375" style="451" bestFit="1" customWidth="1"/>
    <col min="9" max="9" width="4.7109375" style="451" customWidth="1"/>
    <col min="10" max="10" width="5.7109375" style="451" customWidth="1"/>
    <col min="11" max="11" width="8.85546875" style="451" customWidth="1" outlineLevel="1"/>
    <col min="12" max="13" width="4.7109375" style="451" customWidth="1" outlineLevel="1"/>
    <col min="14" max="14" width="9.140625" style="451" customWidth="1" outlineLevel="1"/>
    <col min="15" max="15" width="5.7109375" style="451" customWidth="1" outlineLevel="1"/>
    <col min="16" max="16" width="4.7109375" style="451" customWidth="1" outlineLevel="1"/>
    <col min="17" max="17" width="3.28515625" style="451" customWidth="1" outlineLevel="1"/>
    <col min="18" max="18" width="8.85546875" style="451" customWidth="1" outlineLevel="1"/>
    <col min="19" max="20" width="4.7109375" style="451" customWidth="1" outlineLevel="1"/>
    <col min="21" max="21" width="9.140625" style="451" customWidth="1" outlineLevel="1"/>
    <col min="22" max="22" width="5.5703125" style="451" customWidth="1" outlineLevel="1"/>
    <col min="23" max="24" width="4.7109375" style="451" customWidth="1" outlineLevel="1"/>
    <col min="25" max="25" width="8.85546875" style="451" customWidth="1"/>
    <col min="26" max="27" width="4.7109375" style="451" customWidth="1"/>
    <col min="28" max="28" width="9.42578125" style="451" bestFit="1" customWidth="1"/>
    <col min="29" max="29" width="5.5703125" style="451" customWidth="1"/>
    <col min="30" max="31" width="4.7109375" style="451" customWidth="1"/>
    <col min="32" max="32" width="8.85546875" style="451" customWidth="1"/>
    <col min="33" max="34" width="4.7109375" style="451" customWidth="1"/>
    <col min="35" max="35" width="9.5703125" style="451" bestFit="1" customWidth="1"/>
    <col min="36" max="36" width="5.7109375" style="451" bestFit="1" customWidth="1"/>
    <col min="37" max="38" width="4.7109375" style="451" customWidth="1"/>
    <col min="39" max="39" width="8.85546875" style="451" customWidth="1"/>
    <col min="40" max="41" width="4.7109375" style="451" customWidth="1"/>
    <col min="42" max="42" width="9.140625" style="451"/>
    <col min="43" max="43" width="5.5703125" style="451" customWidth="1"/>
    <col min="44" max="45" width="4.7109375" style="451" customWidth="1"/>
    <col min="46" max="46" width="8.85546875" style="451" hidden="1" customWidth="1" outlineLevel="1"/>
    <col min="47" max="47" width="5.7109375" style="451" hidden="1" customWidth="1" outlineLevel="1"/>
    <col min="48" max="48" width="6" style="451" hidden="1" customWidth="1" outlineLevel="1"/>
    <col min="49" max="49" width="9.140625" style="451" hidden="1" customWidth="1" outlineLevel="1"/>
    <col min="50" max="50" width="6.42578125" style="451" hidden="1" customWidth="1" outlineLevel="1"/>
    <col min="51" max="51" width="5.28515625" style="451" hidden="1" customWidth="1" outlineLevel="1"/>
    <col min="52" max="52" width="4.7109375" style="451" hidden="1" customWidth="1" outlineLevel="1"/>
    <col min="53" max="53" width="9.140625" style="451" collapsed="1"/>
    <col min="54" max="55" width="4.7109375" style="451" customWidth="1"/>
    <col min="56" max="56" width="9.140625" style="451"/>
    <col min="57" max="57" width="5.7109375" style="451" customWidth="1"/>
    <col min="58" max="59" width="4.7109375" style="451" customWidth="1"/>
    <col min="60" max="60" width="9.140625" style="451"/>
    <col min="61" max="61" width="5" style="451" customWidth="1"/>
    <col min="62" max="62" width="6.85546875" style="451" customWidth="1"/>
    <col min="63" max="63" width="9.140625" style="451"/>
    <col min="64" max="64" width="5.7109375" style="451" customWidth="1"/>
    <col min="65" max="65" width="8.85546875" style="451" customWidth="1"/>
    <col min="66" max="66" width="4.7109375" style="451" customWidth="1"/>
    <col min="67" max="67" width="9.140625" style="451"/>
    <col min="68" max="68" width="4.7109375" style="451" customWidth="1"/>
    <col min="69" max="69" width="6.85546875" style="451" customWidth="1"/>
    <col min="70" max="70" width="9.140625" style="451"/>
    <col min="71" max="71" width="5.7109375" style="451" bestFit="1" customWidth="1"/>
    <col min="72" max="72" width="4.42578125" style="451" customWidth="1"/>
    <col min="73" max="73" width="4.7109375" style="451" hidden="1" customWidth="1" outlineLevel="1"/>
    <col min="74" max="74" width="9.140625" style="451" hidden="1" customWidth="1" outlineLevel="1"/>
    <col min="75" max="75" width="4.7109375" style="451" hidden="1" customWidth="1" outlineLevel="1"/>
    <col min="76" max="76" width="6.85546875" style="451" hidden="1" customWidth="1" outlineLevel="1"/>
    <col min="77" max="77" width="9.140625" style="451" hidden="1" customWidth="1" outlineLevel="1"/>
    <col min="78" max="78" width="4.7109375" style="451" hidden="1" customWidth="1" outlineLevel="1"/>
    <col min="79" max="79" width="6" style="451" hidden="1" customWidth="1" outlineLevel="1"/>
    <col min="80" max="80" width="4.7109375" style="451" customWidth="1" collapsed="1"/>
    <col min="81" max="81" width="9.140625" style="451" hidden="1" customWidth="1" outlineLevel="1"/>
    <col min="82" max="83" width="4.7109375" style="451" hidden="1" customWidth="1" outlineLevel="1"/>
    <col min="84" max="84" width="9.140625" style="451" hidden="1" customWidth="1" outlineLevel="1"/>
    <col min="85" max="85" width="5.28515625" style="451" hidden="1" customWidth="1" outlineLevel="1"/>
    <col min="86" max="86" width="4.7109375" style="451" hidden="1" customWidth="1" outlineLevel="1"/>
    <col min="87" max="87" width="9.140625" style="451" collapsed="1"/>
    <col min="88" max="88" width="4.7109375" style="451" customWidth="1"/>
    <col min="89" max="89" width="6.85546875" style="451" customWidth="1"/>
    <col min="90" max="90" width="9.140625" style="451"/>
    <col min="91" max="91" width="5.7109375" style="451" bestFit="1" customWidth="1"/>
    <col min="92" max="93" width="4.42578125" style="451" customWidth="1"/>
    <col min="94" max="94" width="9.140625" style="451"/>
    <col min="95" max="95" width="4.7109375" style="451" customWidth="1"/>
    <col min="96" max="96" width="6.85546875" style="451" customWidth="1"/>
    <col min="97" max="97" width="9.140625" style="451"/>
    <col min="98" max="98" width="5.7109375" style="451" bestFit="1" customWidth="1"/>
    <col min="99" max="99" width="4.42578125" style="451" customWidth="1"/>
    <col min="100" max="100" width="7.140625" style="451" customWidth="1" collapsed="1"/>
    <col min="101" max="101" width="9.140625" style="451"/>
    <col min="102" max="102" width="6" style="451" bestFit="1" customWidth="1"/>
    <col min="103" max="105" width="4.7109375" style="451" customWidth="1"/>
    <col min="106" max="106" width="9.140625" style="451"/>
    <col min="107" max="107" width="6" style="451" customWidth="1"/>
    <col min="108" max="108" width="4.7109375" style="451" customWidth="1"/>
    <col min="109" max="110" width="9.140625" style="451"/>
    <col min="111" max="112" width="9.140625" style="451" hidden="1" customWidth="1" outlineLevel="1"/>
    <col min="113" max="113" width="9.140625" style="451" collapsed="1"/>
    <col min="114" max="16384" width="9.140625" style="451"/>
  </cols>
  <sheetData>
    <row r="1" spans="1:121" ht="14.25">
      <c r="A1" s="1257" t="s">
        <v>385</v>
      </c>
      <c r="B1" s="1257"/>
      <c r="C1" s="1257"/>
      <c r="D1" s="1258"/>
      <c r="E1" s="1259"/>
      <c r="F1" s="1258"/>
      <c r="G1" s="1257"/>
      <c r="H1" s="1258"/>
      <c r="I1" s="1260"/>
      <c r="J1" s="1257"/>
      <c r="K1" s="1258"/>
      <c r="L1" s="1259"/>
      <c r="M1" s="1258"/>
      <c r="N1" s="1257"/>
      <c r="O1" s="1258"/>
      <c r="P1" s="1260"/>
      <c r="Q1" s="1258"/>
      <c r="R1" s="1258"/>
      <c r="S1" s="1259"/>
      <c r="T1" s="1258"/>
      <c r="U1" s="1257"/>
      <c r="V1" s="1258"/>
      <c r="W1" s="1260"/>
      <c r="X1" s="1258"/>
      <c r="Y1" s="1258"/>
      <c r="Z1" s="1259"/>
      <c r="AA1" s="1258"/>
      <c r="AB1" s="1257"/>
      <c r="AC1" s="1258"/>
      <c r="AD1" s="1260"/>
      <c r="AE1" s="1258"/>
      <c r="AF1" s="1258"/>
      <c r="AG1" s="1259"/>
      <c r="AH1" s="1260"/>
      <c r="AI1" s="1257"/>
      <c r="AJ1" s="1258"/>
      <c r="AK1" s="1258"/>
      <c r="AL1" s="1258"/>
      <c r="AM1" s="1258"/>
      <c r="AN1" s="1259"/>
      <c r="AO1" s="1258"/>
      <c r="AP1" s="1257"/>
      <c r="AQ1" s="1258"/>
      <c r="AR1" s="1260"/>
      <c r="AS1" s="1258"/>
      <c r="AT1" s="1258"/>
      <c r="AU1" s="1259"/>
      <c r="AV1" s="1257"/>
      <c r="AW1" s="1257"/>
      <c r="AX1" s="1258"/>
      <c r="AY1" s="1260"/>
      <c r="AZ1" s="1257"/>
      <c r="BA1" s="1258"/>
      <c r="BB1" s="1259"/>
      <c r="BC1" s="1257"/>
      <c r="BD1" s="1257"/>
      <c r="BE1" s="1258"/>
      <c r="BF1" s="1260"/>
      <c r="BG1" s="1260"/>
      <c r="BH1" s="1258"/>
      <c r="BI1" s="1259"/>
      <c r="BJ1" s="1257"/>
      <c r="BK1" s="1257"/>
      <c r="BL1" s="1258"/>
      <c r="BM1" s="1260"/>
      <c r="BN1" s="1260"/>
      <c r="BO1" s="1258"/>
      <c r="BP1" s="1259"/>
      <c r="BQ1" s="1257"/>
      <c r="BR1" s="1257"/>
      <c r="BS1" s="1258"/>
      <c r="BT1" s="1260"/>
      <c r="BU1" s="1260"/>
      <c r="BV1" s="1258"/>
      <c r="BW1" s="1259"/>
      <c r="BX1" s="1257"/>
      <c r="BY1" s="1257"/>
      <c r="BZ1" s="1258"/>
      <c r="CA1" s="1260"/>
      <c r="CB1" s="1257"/>
      <c r="CC1" s="1258"/>
      <c r="CD1" s="1259"/>
      <c r="CE1" s="1257"/>
      <c r="CF1" s="1257"/>
      <c r="CG1" s="1258"/>
      <c r="CH1" s="1260"/>
      <c r="CI1" s="1258"/>
      <c r="CJ1" s="1259"/>
      <c r="CK1" s="1257"/>
      <c r="CL1" s="1257"/>
      <c r="CM1" s="1258"/>
      <c r="CN1" s="1260"/>
      <c r="CO1" s="1260"/>
      <c r="CP1" s="1258"/>
      <c r="CQ1" s="1259"/>
      <c r="CR1" s="1257"/>
      <c r="CS1" s="1257"/>
      <c r="CT1" s="1258"/>
      <c r="CU1" s="1260"/>
      <c r="CV1" s="1257"/>
      <c r="CW1" s="1257"/>
      <c r="CX1" s="1257"/>
      <c r="CY1" s="1257"/>
      <c r="CZ1" s="1257"/>
      <c r="DA1" s="1257"/>
      <c r="DB1" s="1257"/>
      <c r="DC1" s="1258"/>
      <c r="DD1" s="1258"/>
      <c r="DE1" s="1257"/>
      <c r="DF1" s="1257"/>
      <c r="DG1" s="1257"/>
      <c r="DH1" s="1257"/>
      <c r="DI1" s="1257"/>
      <c r="DJ1" s="1257"/>
      <c r="DK1" s="1257"/>
      <c r="DL1" s="1257"/>
      <c r="DM1" s="1257"/>
      <c r="DN1" s="1257"/>
      <c r="DO1" s="1257"/>
      <c r="DP1" s="1257"/>
      <c r="DQ1" s="1257"/>
    </row>
    <row r="2" spans="1:121" ht="14.25">
      <c r="A2" s="1261" t="s">
        <v>525</v>
      </c>
      <c r="B2" s="1261"/>
      <c r="C2" s="1261"/>
      <c r="D2" s="1262"/>
      <c r="E2" s="1263"/>
      <c r="F2" s="1262"/>
      <c r="G2" s="1261"/>
      <c r="H2" s="1262"/>
      <c r="I2" s="1264"/>
      <c r="J2" s="1261"/>
      <c r="K2" s="1262"/>
      <c r="L2" s="1263"/>
      <c r="M2" s="1262"/>
      <c r="N2" s="1261"/>
      <c r="O2" s="1262"/>
      <c r="P2" s="1264"/>
      <c r="Q2" s="1262"/>
      <c r="R2" s="1262"/>
      <c r="S2" s="1263"/>
      <c r="T2" s="1262"/>
      <c r="U2" s="1261"/>
      <c r="V2" s="1262"/>
      <c r="W2" s="1264"/>
      <c r="X2" s="1262"/>
      <c r="Y2" s="1262"/>
      <c r="Z2" s="1263"/>
      <c r="AA2" s="1262"/>
      <c r="AB2" s="1261"/>
      <c r="AC2" s="1262"/>
      <c r="AD2" s="1264"/>
      <c r="AE2" s="1262"/>
      <c r="AF2" s="1262"/>
      <c r="AG2" s="1263"/>
      <c r="AH2" s="1264"/>
      <c r="AI2" s="1261"/>
      <c r="AJ2" s="1262"/>
      <c r="AK2" s="1262"/>
      <c r="AL2" s="1262"/>
      <c r="AM2" s="1262"/>
      <c r="AN2" s="1263"/>
      <c r="AO2" s="1262"/>
      <c r="AP2" s="1261"/>
      <c r="AQ2" s="1262"/>
      <c r="AR2" s="1264"/>
      <c r="AS2" s="1262"/>
      <c r="AT2" s="1262"/>
      <c r="AU2" s="1263"/>
      <c r="AV2" s="1261"/>
      <c r="AW2" s="1261"/>
      <c r="AX2" s="1262"/>
      <c r="AY2" s="1264"/>
      <c r="AZ2" s="1261"/>
      <c r="BA2" s="1262"/>
      <c r="BB2" s="1263"/>
      <c r="BC2" s="1261"/>
      <c r="BD2" s="1261"/>
      <c r="BE2" s="1262"/>
      <c r="BF2" s="1264"/>
      <c r="BG2" s="1264"/>
      <c r="BH2" s="1262"/>
      <c r="BI2" s="1263"/>
      <c r="BJ2" s="1261"/>
      <c r="BK2" s="1261"/>
      <c r="BL2" s="1262"/>
      <c r="BM2" s="1264"/>
      <c r="BN2" s="1264"/>
      <c r="BO2" s="1262"/>
      <c r="BP2" s="1263"/>
      <c r="BQ2" s="1261"/>
      <c r="BR2" s="1261"/>
      <c r="BS2" s="1262"/>
      <c r="BT2" s="1264"/>
      <c r="BU2" s="1264"/>
      <c r="BV2" s="1262"/>
      <c r="BW2" s="1263"/>
      <c r="BX2" s="1261"/>
      <c r="BY2" s="1261"/>
      <c r="BZ2" s="1262"/>
      <c r="CA2" s="1264"/>
      <c r="CB2" s="1261"/>
      <c r="CC2" s="1262"/>
      <c r="CD2" s="1263"/>
      <c r="CE2" s="1261"/>
      <c r="CF2" s="1261"/>
      <c r="CG2" s="1262"/>
      <c r="CH2" s="1264"/>
      <c r="CI2" s="1262"/>
      <c r="CJ2" s="1263"/>
      <c r="CK2" s="1261"/>
      <c r="CL2" s="1261"/>
      <c r="CM2" s="1262"/>
      <c r="CN2" s="1264"/>
      <c r="CO2" s="1264"/>
      <c r="CP2" s="1262"/>
      <c r="CQ2" s="1263"/>
      <c r="CR2" s="1261"/>
      <c r="CS2" s="1261"/>
      <c r="CT2" s="1262"/>
      <c r="CU2" s="1264"/>
      <c r="CV2" s="1261"/>
      <c r="CW2" s="1261"/>
      <c r="CX2" s="1261"/>
      <c r="CY2" s="1261"/>
      <c r="CZ2" s="1261"/>
      <c r="DA2" s="1261"/>
      <c r="DB2" s="1261"/>
      <c r="DC2" s="1262"/>
      <c r="DD2" s="1262"/>
      <c r="DE2" s="1261"/>
      <c r="DF2" s="1261"/>
      <c r="DG2" s="1261"/>
      <c r="DH2" s="1261"/>
      <c r="DI2" s="1261"/>
      <c r="DJ2" s="1261"/>
      <c r="DK2" s="1261"/>
      <c r="DL2" s="1261"/>
      <c r="DM2" s="1261"/>
      <c r="DN2" s="1261"/>
      <c r="DO2" s="1261"/>
      <c r="DP2" s="1261"/>
      <c r="DQ2" s="1261"/>
    </row>
    <row r="3" spans="1:121" ht="14.25">
      <c r="A3" s="1265"/>
      <c r="B3" s="1266"/>
      <c r="C3" s="1267"/>
      <c r="D3" s="1268"/>
      <c r="E3" s="1269"/>
      <c r="F3" s="1268"/>
      <c r="G3" s="1266"/>
      <c r="H3" s="1268"/>
      <c r="I3" s="1270"/>
      <c r="J3" s="1266"/>
      <c r="K3" s="1268"/>
      <c r="L3" s="1269"/>
      <c r="M3" s="1268"/>
      <c r="N3" s="1266"/>
      <c r="O3" s="1268"/>
      <c r="P3" s="1270"/>
      <c r="Q3" s="1268"/>
      <c r="R3" s="1268"/>
      <c r="S3" s="1269"/>
      <c r="T3" s="1268"/>
      <c r="U3" s="1266"/>
      <c r="V3" s="1268"/>
      <c r="W3" s="1270"/>
      <c r="X3" s="1268"/>
      <c r="Y3" s="1268"/>
      <c r="Z3" s="1269"/>
      <c r="AA3" s="1268"/>
      <c r="AB3" s="1266"/>
      <c r="AC3" s="1268"/>
      <c r="AD3" s="1270"/>
      <c r="AE3" s="1268"/>
      <c r="AF3" s="1268"/>
      <c r="AG3" s="1269"/>
      <c r="AH3" s="1270"/>
      <c r="AI3" s="1266"/>
      <c r="AJ3" s="1268"/>
      <c r="AK3" s="1268"/>
      <c r="AL3" s="1268"/>
      <c r="AM3" s="1268"/>
      <c r="AN3" s="1269"/>
      <c r="AO3" s="1268"/>
      <c r="AP3" s="1266"/>
      <c r="AQ3" s="1268"/>
      <c r="AR3" s="1270"/>
      <c r="AS3" s="1268"/>
      <c r="AT3" s="1268"/>
      <c r="AU3" s="1269"/>
      <c r="AV3" s="1266"/>
      <c r="AW3" s="1266"/>
      <c r="AX3" s="1268"/>
      <c r="AY3" s="1270"/>
      <c r="AZ3" s="1266"/>
      <c r="BA3" s="1268"/>
      <c r="BB3" s="1269"/>
      <c r="BC3" s="1266"/>
      <c r="BD3" s="1266"/>
      <c r="BE3" s="1268"/>
      <c r="BF3" s="1270"/>
      <c r="BG3" s="1270"/>
      <c r="BH3" s="1268"/>
      <c r="BI3" s="1269"/>
      <c r="BJ3" s="1266"/>
      <c r="BK3" s="1266"/>
      <c r="BL3" s="1268"/>
      <c r="BM3" s="1270"/>
      <c r="BN3" s="1270"/>
      <c r="BO3" s="1268"/>
      <c r="BP3" s="1269"/>
      <c r="BQ3" s="1266"/>
      <c r="BR3" s="1266"/>
      <c r="BS3" s="1268"/>
      <c r="BT3" s="1270"/>
      <c r="BU3" s="1270"/>
      <c r="BV3" s="1268"/>
      <c r="BW3" s="1269"/>
      <c r="BX3" s="1266"/>
      <c r="BY3" s="1266"/>
      <c r="BZ3" s="1268"/>
      <c r="CA3" s="1270"/>
      <c r="CB3" s="1266"/>
      <c r="CC3" s="1268"/>
      <c r="CD3" s="1269"/>
      <c r="CE3" s="1266"/>
      <c r="CF3" s="1266"/>
      <c r="CG3" s="1268"/>
      <c r="CH3" s="1270"/>
      <c r="CI3" s="1268"/>
      <c r="CJ3" s="1269"/>
      <c r="CK3" s="1266"/>
      <c r="CL3" s="1266"/>
      <c r="CM3" s="1268"/>
      <c r="CN3" s="1270"/>
      <c r="CO3" s="1270"/>
      <c r="CP3" s="1268"/>
      <c r="CQ3" s="1269"/>
      <c r="CR3" s="1266"/>
      <c r="CS3" s="1266"/>
      <c r="CT3" s="1268"/>
      <c r="CU3" s="1270"/>
      <c r="CV3" s="1266"/>
      <c r="CW3" s="1257"/>
      <c r="CX3" s="1266"/>
      <c r="CY3" s="1266"/>
      <c r="CZ3" s="1266"/>
      <c r="DA3" s="1266"/>
      <c r="DB3" s="1257"/>
      <c r="DC3" s="1268"/>
      <c r="DD3" s="1268"/>
      <c r="DE3" s="1266"/>
      <c r="DF3" s="1266"/>
      <c r="DG3" s="1266"/>
      <c r="DH3" s="1266"/>
      <c r="DI3" s="1266"/>
      <c r="DJ3" s="1266"/>
      <c r="DK3" s="1266"/>
      <c r="DL3" s="1266"/>
      <c r="DM3" s="1266"/>
      <c r="DN3" s="1266"/>
      <c r="DO3" s="1266"/>
      <c r="DP3" s="1266"/>
      <c r="DQ3" s="1266"/>
    </row>
    <row r="4" spans="1:121" ht="14.25">
      <c r="A4" s="1271"/>
      <c r="B4" s="1272"/>
      <c r="C4" s="1266"/>
      <c r="D4" s="1268"/>
      <c r="E4" s="1269"/>
      <c r="F4" s="1268"/>
      <c r="G4" s="1266"/>
      <c r="H4" s="1268"/>
      <c r="I4" s="1270"/>
      <c r="J4" s="1266"/>
      <c r="K4" s="1268"/>
      <c r="L4" s="1269"/>
      <c r="M4" s="1268"/>
      <c r="N4" s="1266"/>
      <c r="O4" s="1268"/>
      <c r="P4" s="1270"/>
      <c r="Q4" s="1268"/>
      <c r="R4" s="1268"/>
      <c r="S4" s="1269"/>
      <c r="T4" s="1268"/>
      <c r="U4" s="1266"/>
      <c r="V4" s="1268"/>
      <c r="W4" s="1270"/>
      <c r="X4" s="1268"/>
      <c r="Y4" s="1268"/>
      <c r="Z4" s="1269"/>
      <c r="AA4" s="1268"/>
      <c r="AB4" s="1266"/>
      <c r="AC4" s="1268"/>
      <c r="AD4" s="1270"/>
      <c r="AE4" s="1268"/>
      <c r="AF4" s="1268"/>
      <c r="AG4" s="1269"/>
      <c r="AH4" s="1270"/>
      <c r="AI4" s="1266"/>
      <c r="AJ4" s="1268"/>
      <c r="AK4" s="1268"/>
      <c r="AL4" s="1268"/>
      <c r="AM4" s="1268"/>
      <c r="AN4" s="1269"/>
      <c r="AO4" s="1268"/>
      <c r="AP4" s="1266"/>
      <c r="AQ4" s="1268"/>
      <c r="AR4" s="1270"/>
      <c r="AS4" s="1268"/>
      <c r="AT4" s="1268"/>
      <c r="AU4" s="1269"/>
      <c r="AV4" s="1266"/>
      <c r="AW4" s="1266"/>
      <c r="AX4" s="1268"/>
      <c r="AY4" s="1270"/>
      <c r="AZ4" s="1266"/>
      <c r="BA4" s="1268"/>
      <c r="BB4" s="1269"/>
      <c r="BC4" s="1266"/>
      <c r="BD4" s="1266"/>
      <c r="BE4" s="1268"/>
      <c r="BF4" s="1270"/>
      <c r="BG4" s="1270"/>
      <c r="BH4" s="1268"/>
      <c r="BI4" s="1269"/>
      <c r="BJ4" s="1266"/>
      <c r="BK4" s="1266"/>
      <c r="BL4" s="1268"/>
      <c r="BM4" s="1270"/>
      <c r="BN4" s="1270"/>
      <c r="BO4" s="1268"/>
      <c r="BP4" s="1269"/>
      <c r="BQ4" s="1266"/>
      <c r="BR4" s="1266"/>
      <c r="BS4" s="1268"/>
      <c r="BT4" s="1270"/>
      <c r="BU4" s="1270"/>
      <c r="BV4" s="1270" t="s">
        <v>502</v>
      </c>
      <c r="BW4" s="1269"/>
      <c r="BX4" s="1266"/>
      <c r="BY4" s="1266"/>
      <c r="BZ4" s="1268"/>
      <c r="CA4" s="1270"/>
      <c r="CB4" s="1266"/>
      <c r="CC4" s="1268"/>
      <c r="CD4" s="1269"/>
      <c r="CE4" s="1266"/>
      <c r="CF4" s="1266"/>
      <c r="CG4" s="1268"/>
      <c r="CH4" s="1270"/>
      <c r="CI4" s="1268"/>
      <c r="CJ4" s="1269"/>
      <c r="CK4" s="1266"/>
      <c r="CL4" s="1266"/>
      <c r="CM4" s="1268"/>
      <c r="CN4" s="1270"/>
      <c r="CO4" s="1270"/>
      <c r="CP4" s="1268"/>
      <c r="CQ4" s="1269"/>
      <c r="CR4" s="1266"/>
      <c r="CS4" s="1266"/>
      <c r="CT4" s="1268"/>
      <c r="CU4" s="1270"/>
      <c r="CV4" s="1266"/>
      <c r="CW4" s="1273"/>
      <c r="CX4" s="1266"/>
      <c r="CY4" s="1266"/>
      <c r="CZ4" s="1266"/>
      <c r="DA4" s="1266"/>
      <c r="DB4" s="1273"/>
      <c r="DC4" s="1268"/>
      <c r="DD4" s="1268"/>
      <c r="DE4" s="1266"/>
      <c r="DF4" s="1266"/>
      <c r="DG4" s="1266"/>
      <c r="DH4" s="1266"/>
      <c r="DI4" s="1266"/>
      <c r="DJ4" s="1266"/>
      <c r="DK4" s="1266"/>
      <c r="DL4" s="1266"/>
      <c r="DM4" s="1266"/>
      <c r="DN4" s="1266"/>
      <c r="DO4" s="1266"/>
      <c r="DP4" s="1266"/>
      <c r="DQ4" s="1266"/>
    </row>
    <row r="5" spans="1:121" ht="14.25">
      <c r="A5" s="1268"/>
      <c r="B5" s="1274"/>
      <c r="C5" s="1268"/>
      <c r="D5" s="1419" t="s">
        <v>74</v>
      </c>
      <c r="E5" s="1420"/>
      <c r="F5" s="1419"/>
      <c r="G5" s="1419"/>
      <c r="H5" s="1419"/>
      <c r="I5" s="1419"/>
      <c r="J5" s="1262"/>
      <c r="K5" s="1419" t="s">
        <v>75</v>
      </c>
      <c r="L5" s="1420"/>
      <c r="M5" s="1419"/>
      <c r="N5" s="1419"/>
      <c r="O5" s="1419"/>
      <c r="P5" s="1419"/>
      <c r="Q5" s="1262"/>
      <c r="R5" s="1419" t="s">
        <v>76</v>
      </c>
      <c r="S5" s="1420"/>
      <c r="T5" s="1419"/>
      <c r="U5" s="1419"/>
      <c r="V5" s="1419"/>
      <c r="W5" s="1419"/>
      <c r="X5" s="1262"/>
      <c r="Y5" s="1419" t="s">
        <v>121</v>
      </c>
      <c r="Z5" s="1420"/>
      <c r="AA5" s="1419"/>
      <c r="AB5" s="1419"/>
      <c r="AC5" s="1419"/>
      <c r="AD5" s="1419"/>
      <c r="AE5" s="1262"/>
      <c r="AF5" s="1419" t="s">
        <v>77</v>
      </c>
      <c r="AG5" s="1420"/>
      <c r="AH5" s="1419"/>
      <c r="AI5" s="1419"/>
      <c r="AJ5" s="1419"/>
      <c r="AK5" s="1419"/>
      <c r="AL5" s="1262"/>
      <c r="AM5" s="1419" t="s">
        <v>78</v>
      </c>
      <c r="AN5" s="1420"/>
      <c r="AO5" s="1419"/>
      <c r="AP5" s="1419"/>
      <c r="AQ5" s="1419"/>
      <c r="AR5" s="1419"/>
      <c r="AS5" s="1262"/>
      <c r="AT5" s="1419" t="s">
        <v>79</v>
      </c>
      <c r="AU5" s="1420"/>
      <c r="AV5" s="1419"/>
      <c r="AW5" s="1419"/>
      <c r="AX5" s="1419"/>
      <c r="AY5" s="1419"/>
      <c r="AZ5" s="1262"/>
      <c r="BA5" s="1419" t="s">
        <v>356</v>
      </c>
      <c r="BB5" s="1420"/>
      <c r="BC5" s="1419"/>
      <c r="BD5" s="1419"/>
      <c r="BE5" s="1419"/>
      <c r="BF5" s="1419"/>
      <c r="BG5" s="1264"/>
      <c r="BH5" s="1419" t="s">
        <v>80</v>
      </c>
      <c r="BI5" s="1420"/>
      <c r="BJ5" s="1419"/>
      <c r="BK5" s="1419"/>
      <c r="BL5" s="1419"/>
      <c r="BM5" s="1419"/>
      <c r="BN5" s="1264"/>
      <c r="BO5" s="1419" t="s">
        <v>411</v>
      </c>
      <c r="BP5" s="1420"/>
      <c r="BQ5" s="1419"/>
      <c r="BR5" s="1419"/>
      <c r="BS5" s="1419"/>
      <c r="BT5" s="1419"/>
      <c r="BU5" s="1264"/>
      <c r="BV5" s="1275" t="s">
        <v>81</v>
      </c>
      <c r="BW5" s="1276"/>
      <c r="BX5" s="1276"/>
      <c r="BY5" s="1275"/>
      <c r="BZ5" s="1275"/>
      <c r="CA5" s="1264"/>
      <c r="CB5" s="1262"/>
      <c r="CC5" s="1275" t="s">
        <v>352</v>
      </c>
      <c r="CD5" s="1276"/>
      <c r="CE5" s="1276"/>
      <c r="CF5" s="1275"/>
      <c r="CG5" s="1275"/>
      <c r="CH5" s="1264"/>
      <c r="CI5" s="1275" t="s">
        <v>647</v>
      </c>
      <c r="CJ5" s="1419"/>
      <c r="CK5" s="1420"/>
      <c r="CL5" s="1419"/>
      <c r="CM5" s="1419"/>
      <c r="CN5" s="1419"/>
      <c r="CO5" s="1419"/>
      <c r="CP5" s="1275" t="s">
        <v>852</v>
      </c>
      <c r="CQ5" s="1419"/>
      <c r="CR5" s="1420"/>
      <c r="CS5" s="1419"/>
      <c r="CT5" s="1419"/>
      <c r="CU5" s="1419"/>
      <c r="CV5" s="1419"/>
      <c r="CW5" s="1275" t="s">
        <v>636</v>
      </c>
      <c r="CX5" s="1419"/>
      <c r="CY5" s="1420"/>
      <c r="CZ5" s="1419"/>
      <c r="DA5" s="1419"/>
      <c r="DB5" s="1419"/>
      <c r="DC5" s="1419"/>
      <c r="DD5" s="1275"/>
      <c r="DE5" s="1268"/>
      <c r="DF5" s="1275" t="s">
        <v>643</v>
      </c>
      <c r="DG5" s="1275"/>
      <c r="DH5" s="1275"/>
      <c r="DI5" s="1275"/>
      <c r="DJ5" s="1275"/>
      <c r="DK5" s="1275"/>
      <c r="DL5" s="1275"/>
      <c r="DM5" s="1275"/>
      <c r="DN5" s="1275"/>
      <c r="DO5" s="1275"/>
      <c r="DP5" s="1275"/>
      <c r="DQ5" s="1275"/>
    </row>
    <row r="6" spans="1:121" ht="51.75">
      <c r="A6" s="1277"/>
      <c r="B6" s="1277"/>
      <c r="C6" s="1278"/>
      <c r="D6" s="1279" t="s">
        <v>165</v>
      </c>
      <c r="E6" s="1280" t="s">
        <v>362</v>
      </c>
      <c r="F6" s="1280" t="s">
        <v>388</v>
      </c>
      <c r="G6" s="1281" t="s">
        <v>692</v>
      </c>
      <c r="H6" s="1280" t="s">
        <v>638</v>
      </c>
      <c r="I6" s="1282" t="s">
        <v>388</v>
      </c>
      <c r="J6" s="1280"/>
      <c r="K6" s="1279" t="s">
        <v>165</v>
      </c>
      <c r="L6" s="1283"/>
      <c r="M6" s="1280" t="s">
        <v>388</v>
      </c>
      <c r="N6" s="1281" t="s">
        <v>692</v>
      </c>
      <c r="O6" s="1280" t="s">
        <v>638</v>
      </c>
      <c r="P6" s="1282" t="s">
        <v>388</v>
      </c>
      <c r="Q6" s="1280"/>
      <c r="R6" s="1279" t="s">
        <v>165</v>
      </c>
      <c r="S6" s="1283"/>
      <c r="T6" s="1280" t="s">
        <v>388</v>
      </c>
      <c r="U6" s="1281" t="s">
        <v>692</v>
      </c>
      <c r="V6" s="1280" t="s">
        <v>638</v>
      </c>
      <c r="W6" s="1282" t="s">
        <v>388</v>
      </c>
      <c r="X6" s="1280"/>
      <c r="Y6" s="1279" t="s">
        <v>165</v>
      </c>
      <c r="Z6" s="1283"/>
      <c r="AA6" s="1280" t="s">
        <v>388</v>
      </c>
      <c r="AB6" s="1281" t="s">
        <v>692</v>
      </c>
      <c r="AC6" s="1280" t="s">
        <v>638</v>
      </c>
      <c r="AD6" s="1282" t="s">
        <v>388</v>
      </c>
      <c r="AE6" s="1280"/>
      <c r="AF6" s="1279" t="s">
        <v>165</v>
      </c>
      <c r="AG6" s="1283"/>
      <c r="AH6" s="1282" t="s">
        <v>388</v>
      </c>
      <c r="AI6" s="1281" t="s">
        <v>692</v>
      </c>
      <c r="AJ6" s="1280" t="s">
        <v>638</v>
      </c>
      <c r="AK6" s="1280" t="s">
        <v>388</v>
      </c>
      <c r="AL6" s="1280"/>
      <c r="AM6" s="1279" t="s">
        <v>165</v>
      </c>
      <c r="AN6" s="1283"/>
      <c r="AO6" s="1280" t="s">
        <v>388</v>
      </c>
      <c r="AP6" s="1281" t="s">
        <v>692</v>
      </c>
      <c r="AQ6" s="1280" t="s">
        <v>638</v>
      </c>
      <c r="AR6" s="1282" t="s">
        <v>388</v>
      </c>
      <c r="AS6" s="1280"/>
      <c r="AT6" s="1279" t="s">
        <v>165</v>
      </c>
      <c r="AU6" s="1283"/>
      <c r="AV6" s="1280" t="s">
        <v>388</v>
      </c>
      <c r="AW6" s="1281" t="s">
        <v>692</v>
      </c>
      <c r="AX6" s="1280" t="s">
        <v>638</v>
      </c>
      <c r="AY6" s="1282" t="s">
        <v>388</v>
      </c>
      <c r="AZ6" s="1280"/>
      <c r="BA6" s="1279" t="s">
        <v>165</v>
      </c>
      <c r="BB6" s="1283"/>
      <c r="BC6" s="1280" t="s">
        <v>388</v>
      </c>
      <c r="BD6" s="1281" t="s">
        <v>692</v>
      </c>
      <c r="BE6" s="1280" t="s">
        <v>638</v>
      </c>
      <c r="BF6" s="1282" t="s">
        <v>388</v>
      </c>
      <c r="BG6" s="1282"/>
      <c r="BH6" s="1279" t="s">
        <v>165</v>
      </c>
      <c r="BI6" s="1283"/>
      <c r="BJ6" s="1280" t="s">
        <v>388</v>
      </c>
      <c r="BK6" s="1281" t="s">
        <v>692</v>
      </c>
      <c r="BL6" s="1280" t="s">
        <v>638</v>
      </c>
      <c r="BM6" s="1282" t="s">
        <v>388</v>
      </c>
      <c r="BN6" s="1282"/>
      <c r="BO6" s="1279" t="s">
        <v>165</v>
      </c>
      <c r="BP6" s="1283"/>
      <c r="BQ6" s="1280" t="s">
        <v>388</v>
      </c>
      <c r="BR6" s="1281" t="s">
        <v>692</v>
      </c>
      <c r="BS6" s="1280" t="s">
        <v>638</v>
      </c>
      <c r="BT6" s="1282" t="s">
        <v>388</v>
      </c>
      <c r="BU6" s="1282"/>
      <c r="BV6" s="1279"/>
      <c r="BW6" s="1283"/>
      <c r="BX6" s="1280"/>
      <c r="BY6" s="1281"/>
      <c r="BZ6" s="1280"/>
      <c r="CA6" s="1282"/>
      <c r="CB6" s="1280"/>
      <c r="CC6" s="1279" t="s">
        <v>165</v>
      </c>
      <c r="CD6" s="1283"/>
      <c r="CE6" s="1280" t="s">
        <v>388</v>
      </c>
      <c r="CF6" s="1281" t="s">
        <v>692</v>
      </c>
      <c r="CG6" s="1280" t="s">
        <v>638</v>
      </c>
      <c r="CH6" s="1282" t="s">
        <v>388</v>
      </c>
      <c r="CI6" s="1279" t="s">
        <v>165</v>
      </c>
      <c r="CJ6" s="1283"/>
      <c r="CK6" s="1280" t="s">
        <v>388</v>
      </c>
      <c r="CL6" s="1281" t="s">
        <v>692</v>
      </c>
      <c r="CM6" s="1280" t="s">
        <v>638</v>
      </c>
      <c r="CN6" s="1282" t="s">
        <v>388</v>
      </c>
      <c r="CO6" s="1282"/>
      <c r="CP6" s="1279" t="s">
        <v>165</v>
      </c>
      <c r="CQ6" s="1283"/>
      <c r="CR6" s="1280" t="s">
        <v>388</v>
      </c>
      <c r="CS6" s="1281" t="s">
        <v>692</v>
      </c>
      <c r="CT6" s="1280" t="s">
        <v>638</v>
      </c>
      <c r="CU6" s="1282" t="s">
        <v>388</v>
      </c>
      <c r="CV6" s="1280"/>
      <c r="CW6" s="1279" t="s">
        <v>165</v>
      </c>
      <c r="CX6" s="1280" t="s">
        <v>641</v>
      </c>
      <c r="CY6" s="1280" t="s">
        <v>388</v>
      </c>
      <c r="CZ6" s="1280" t="s">
        <v>644</v>
      </c>
      <c r="DA6" s="1282" t="s">
        <v>645</v>
      </c>
      <c r="DB6" s="1281" t="s">
        <v>692</v>
      </c>
      <c r="DC6" s="1280" t="s">
        <v>638</v>
      </c>
      <c r="DD6" s="1280" t="s">
        <v>388</v>
      </c>
      <c r="DE6" s="1277"/>
      <c r="DF6" s="1284" t="s">
        <v>377</v>
      </c>
      <c r="DG6" s="1284" t="s">
        <v>386</v>
      </c>
      <c r="DH6" s="1284" t="s">
        <v>370</v>
      </c>
      <c r="DI6" s="1284" t="s">
        <v>383</v>
      </c>
      <c r="DJ6" s="1284" t="s">
        <v>380</v>
      </c>
      <c r="DK6" s="1284" t="s">
        <v>635</v>
      </c>
      <c r="DL6" s="1284" t="s">
        <v>374</v>
      </c>
      <c r="DM6" s="1284" t="s">
        <v>649</v>
      </c>
      <c r="DN6" s="1284" t="s">
        <v>650</v>
      </c>
      <c r="DO6" s="1284" t="s">
        <v>627</v>
      </c>
      <c r="DP6" s="1284" t="s">
        <v>648</v>
      </c>
      <c r="DQ6" s="1284" t="str">
        <f>$CP$5</f>
        <v>Trade Secret (TK Maxx Australia)</v>
      </c>
    </row>
    <row r="7" spans="1:121" ht="15">
      <c r="A7" s="1285"/>
      <c r="B7" s="1285"/>
      <c r="C7" s="1285"/>
      <c r="D7" s="1286"/>
      <c r="E7" s="1269"/>
      <c r="F7" s="1268"/>
      <c r="G7" s="1285"/>
      <c r="H7" s="1286"/>
      <c r="I7" s="1270"/>
      <c r="J7" s="1285"/>
      <c r="K7" s="1286"/>
      <c r="L7" s="1269"/>
      <c r="M7" s="1286"/>
      <c r="N7" s="1285"/>
      <c r="O7" s="1286"/>
      <c r="P7" s="1270"/>
      <c r="Q7" s="1286"/>
      <c r="R7" s="1286"/>
      <c r="S7" s="1269"/>
      <c r="T7" s="1286"/>
      <c r="U7" s="1285"/>
      <c r="V7" s="1286"/>
      <c r="W7" s="1270"/>
      <c r="X7" s="1286"/>
      <c r="Y7" s="1286"/>
      <c r="Z7" s="1269"/>
      <c r="AA7" s="1268"/>
      <c r="AB7" s="1285"/>
      <c r="AC7" s="1286"/>
      <c r="AD7" s="1270"/>
      <c r="AE7" s="1268"/>
      <c r="AF7" s="1286"/>
      <c r="AG7" s="1269"/>
      <c r="AH7" s="1270"/>
      <c r="AI7" s="1285"/>
      <c r="AJ7" s="1286"/>
      <c r="AK7" s="1268"/>
      <c r="AL7" s="1268"/>
      <c r="AM7" s="1286"/>
      <c r="AN7" s="1269"/>
      <c r="AO7" s="1268"/>
      <c r="AP7" s="1285"/>
      <c r="AQ7" s="1286"/>
      <c r="AR7" s="1270"/>
      <c r="AS7" s="1268"/>
      <c r="AT7" s="1286"/>
      <c r="AU7" s="1269"/>
      <c r="AV7" s="1266"/>
      <c r="AW7" s="1285"/>
      <c r="AX7" s="1286"/>
      <c r="AY7" s="1270"/>
      <c r="AZ7" s="1266"/>
      <c r="BA7" s="1286"/>
      <c r="BB7" s="1269"/>
      <c r="BC7" s="1266"/>
      <c r="BD7" s="1285"/>
      <c r="BE7" s="1286"/>
      <c r="BF7" s="1270"/>
      <c r="BG7" s="1270"/>
      <c r="BH7" s="1286"/>
      <c r="BI7" s="1269"/>
      <c r="BJ7" s="1266"/>
      <c r="BK7" s="1285"/>
      <c r="BL7" s="1286"/>
      <c r="BM7" s="1270"/>
      <c r="BN7" s="1270"/>
      <c r="BO7" s="1286"/>
      <c r="BP7" s="1269"/>
      <c r="BQ7" s="1266"/>
      <c r="BR7" s="1285"/>
      <c r="BS7" s="1286"/>
      <c r="BT7" s="1270"/>
      <c r="BU7" s="1270"/>
      <c r="BV7" s="1286"/>
      <c r="BW7" s="1269"/>
      <c r="BX7" s="1266"/>
      <c r="BY7" s="1285"/>
      <c r="BZ7" s="1286"/>
      <c r="CA7" s="1270"/>
      <c r="CB7" s="1266"/>
      <c r="CC7" s="1286"/>
      <c r="CD7" s="1269"/>
      <c r="CE7" s="1266"/>
      <c r="CF7" s="1285"/>
      <c r="CG7" s="1286"/>
      <c r="CH7" s="1270"/>
      <c r="CI7" s="1286"/>
      <c r="CJ7" s="1269"/>
      <c r="CK7" s="1266"/>
      <c r="CL7" s="1285"/>
      <c r="CM7" s="1286"/>
      <c r="CN7" s="1270"/>
      <c r="CO7" s="1270"/>
      <c r="CP7" s="1286"/>
      <c r="CQ7" s="1269"/>
      <c r="CR7" s="1266"/>
      <c r="CS7" s="1285"/>
      <c r="CT7" s="1286"/>
      <c r="CU7" s="1270"/>
      <c r="CV7" s="1266"/>
      <c r="CW7" s="1287"/>
      <c r="CX7" s="1266"/>
      <c r="CY7" s="1266"/>
      <c r="CZ7" s="1288"/>
      <c r="DA7" s="1289"/>
      <c r="DB7" s="1287"/>
      <c r="DC7" s="1286"/>
      <c r="DD7" s="1268"/>
      <c r="DE7" s="1285"/>
      <c r="DF7" s="1285"/>
      <c r="DG7" s="1285"/>
      <c r="DH7" s="1285"/>
      <c r="DI7" s="1285"/>
      <c r="DJ7" s="1285"/>
      <c r="DK7" s="1285"/>
      <c r="DL7" s="1285"/>
      <c r="DM7" s="1285"/>
      <c r="DN7" s="1285"/>
      <c r="DO7" s="1285"/>
      <c r="DP7" s="1285"/>
      <c r="DQ7" s="1285"/>
    </row>
    <row r="8" spans="1:121" ht="14.25" hidden="1" outlineLevel="1">
      <c r="A8" s="2119">
        <v>1989</v>
      </c>
      <c r="B8" s="2119"/>
      <c r="C8" s="1266"/>
      <c r="D8" s="1268"/>
      <c r="E8" s="1269"/>
      <c r="F8" s="1268"/>
      <c r="G8" s="1266"/>
      <c r="H8" s="1268"/>
      <c r="I8" s="1270"/>
      <c r="J8" s="1266"/>
      <c r="K8" s="1268"/>
      <c r="L8" s="1269"/>
      <c r="M8" s="1268"/>
      <c r="N8" s="1266"/>
      <c r="O8" s="1268"/>
      <c r="P8" s="1270"/>
      <c r="Q8" s="1268"/>
      <c r="R8" s="1268"/>
      <c r="S8" s="1269"/>
      <c r="T8" s="1268"/>
      <c r="U8" s="1266"/>
      <c r="V8" s="1268"/>
      <c r="W8" s="1270"/>
      <c r="X8" s="1268"/>
      <c r="Y8" s="1268"/>
      <c r="Z8" s="1269"/>
      <c r="AA8" s="1268"/>
      <c r="AB8" s="1266"/>
      <c r="AC8" s="1268"/>
      <c r="AD8" s="1270"/>
      <c r="AE8" s="1268"/>
      <c r="AF8" s="1290"/>
      <c r="AG8" s="1269"/>
      <c r="AH8" s="1291"/>
      <c r="AI8" s="1266"/>
      <c r="AJ8" s="1268"/>
      <c r="AK8" s="1268"/>
      <c r="AL8" s="1268"/>
      <c r="AM8" s="1268"/>
      <c r="AN8" s="1269"/>
      <c r="AO8" s="1268"/>
      <c r="AP8" s="1266"/>
      <c r="AQ8" s="1268"/>
      <c r="AR8" s="1270"/>
      <c r="AS8" s="1268"/>
      <c r="AT8" s="1268"/>
      <c r="AU8" s="1269"/>
      <c r="AV8" s="1266"/>
      <c r="AW8" s="1266"/>
      <c r="AX8" s="1268"/>
      <c r="AY8" s="1270"/>
      <c r="AZ8" s="1266"/>
      <c r="BA8" s="1290"/>
      <c r="BB8" s="1292"/>
      <c r="BC8" s="1293"/>
      <c r="BD8" s="1266"/>
      <c r="BE8" s="1290"/>
      <c r="BF8" s="1291"/>
      <c r="BG8" s="1291"/>
      <c r="BH8" s="1290"/>
      <c r="BI8" s="1292"/>
      <c r="BJ8" s="1293"/>
      <c r="BK8" s="1293"/>
      <c r="BL8" s="1290"/>
      <c r="BM8" s="1291"/>
      <c r="BN8" s="1291"/>
      <c r="BO8" s="1290"/>
      <c r="BP8" s="1292"/>
      <c r="BQ8" s="1293"/>
      <c r="BR8" s="1293"/>
      <c r="BS8" s="1290"/>
      <c r="BT8" s="1291"/>
      <c r="BU8" s="1291"/>
      <c r="BV8" s="1290"/>
      <c r="BW8" s="1292"/>
      <c r="BX8" s="1293"/>
      <c r="BY8" s="1293"/>
      <c r="BZ8" s="1290"/>
      <c r="CA8" s="1291"/>
      <c r="CB8" s="1266"/>
      <c r="CC8" s="1290"/>
      <c r="CD8" s="1292"/>
      <c r="CE8" s="1293"/>
      <c r="CF8" s="1293"/>
      <c r="CG8" s="1290"/>
      <c r="CH8" s="1291"/>
      <c r="CI8" s="1290"/>
      <c r="CJ8" s="1292"/>
      <c r="CK8" s="1293"/>
      <c r="CL8" s="1293"/>
      <c r="CM8" s="1290"/>
      <c r="CN8" s="1291"/>
      <c r="CO8" s="1291"/>
      <c r="CP8" s="1290"/>
      <c r="CQ8" s="1292"/>
      <c r="CR8" s="1293"/>
      <c r="CS8" s="1293"/>
      <c r="CT8" s="1290"/>
      <c r="CU8" s="1291"/>
      <c r="CV8" s="1266"/>
      <c r="CW8" s="1293"/>
      <c r="CX8" s="1266"/>
      <c r="CY8" s="1266"/>
      <c r="CZ8" s="1269"/>
      <c r="DA8" s="1270"/>
      <c r="DB8" s="1293"/>
      <c r="DC8" s="1268"/>
      <c r="DD8" s="1268"/>
      <c r="DE8" s="1266"/>
      <c r="DF8" s="1266"/>
      <c r="DG8" s="1266"/>
      <c r="DH8" s="1266"/>
      <c r="DI8" s="1266"/>
      <c r="DJ8" s="1266"/>
      <c r="DK8" s="1266"/>
      <c r="DL8" s="1266"/>
      <c r="DM8" s="1266"/>
      <c r="DN8" s="1266"/>
      <c r="DO8" s="1266"/>
      <c r="DP8" s="1266"/>
      <c r="DQ8" s="1266"/>
    </row>
    <row r="9" spans="1:121" ht="13.5" hidden="1" outlineLevel="1">
      <c r="A9" s="1266" t="s">
        <v>527</v>
      </c>
      <c r="B9" s="1266" t="s">
        <v>514</v>
      </c>
      <c r="C9" s="1266"/>
      <c r="D9" s="1294">
        <f>+K9+R9</f>
        <v>0</v>
      </c>
      <c r="E9" s="1255"/>
      <c r="F9" s="1295"/>
      <c r="G9" s="1296">
        <f>+N9+U9</f>
        <v>0</v>
      </c>
      <c r="H9" s="1297"/>
      <c r="I9" s="1295"/>
      <c r="J9" s="1266"/>
      <c r="K9" s="1298"/>
      <c r="L9" s="1255"/>
      <c r="M9" s="1295"/>
      <c r="N9" s="1296">
        <f>+K9*O13/1000</f>
        <v>0</v>
      </c>
      <c r="O9" s="1297"/>
      <c r="P9" s="1295"/>
      <c r="Q9" s="1299"/>
      <c r="R9" s="1300"/>
      <c r="S9" s="1255"/>
      <c r="T9" s="1297"/>
      <c r="U9" s="1296"/>
      <c r="V9" s="1297"/>
      <c r="W9" s="1295"/>
      <c r="X9" s="1299"/>
      <c r="Y9" s="1298"/>
      <c r="Z9" s="1255"/>
      <c r="AA9" s="1297"/>
      <c r="AB9" s="1296"/>
      <c r="AC9" s="1297"/>
      <c r="AD9" s="1295"/>
      <c r="AE9" s="1299"/>
      <c r="AF9" s="1300"/>
      <c r="AG9" s="1255"/>
      <c r="AH9" s="1301"/>
      <c r="AI9" s="1296"/>
      <c r="AJ9" s="1297"/>
      <c r="AK9" s="1302"/>
      <c r="AL9" s="1299"/>
      <c r="AM9" s="1298"/>
      <c r="AN9" s="1255"/>
      <c r="AO9" s="1297"/>
      <c r="AP9" s="1296"/>
      <c r="AQ9" s="1297"/>
      <c r="AR9" s="1295"/>
      <c r="AS9" s="1299"/>
      <c r="AT9" s="1300"/>
      <c r="AU9" s="1255"/>
      <c r="AV9" s="1303"/>
      <c r="AW9" s="1296"/>
      <c r="AX9" s="1297"/>
      <c r="AY9" s="1295"/>
      <c r="AZ9" s="1299"/>
      <c r="BA9" s="1300"/>
      <c r="BB9" s="1304"/>
      <c r="BC9" s="1303"/>
      <c r="BD9" s="1296"/>
      <c r="BE9" s="1303"/>
      <c r="BF9" s="1305"/>
      <c r="BG9" s="1305"/>
      <c r="BH9" s="1300"/>
      <c r="BI9" s="1304"/>
      <c r="BJ9" s="1303"/>
      <c r="BK9" s="1300"/>
      <c r="BL9" s="1303"/>
      <c r="BM9" s="1305"/>
      <c r="BN9" s="1305"/>
      <c r="BO9" s="1300"/>
      <c r="BP9" s="1304"/>
      <c r="BQ9" s="1303"/>
      <c r="BR9" s="1300"/>
      <c r="BS9" s="1303"/>
      <c r="BT9" s="1305"/>
      <c r="BU9" s="1305"/>
      <c r="BV9" s="1300"/>
      <c r="BW9" s="1304"/>
      <c r="BX9" s="1303"/>
      <c r="BY9" s="1300"/>
      <c r="BZ9" s="1303"/>
      <c r="CA9" s="1305"/>
      <c r="CB9" s="1299"/>
      <c r="CC9" s="1300"/>
      <c r="CD9" s="1304"/>
      <c r="CE9" s="1303"/>
      <c r="CF9" s="1300"/>
      <c r="CG9" s="1303"/>
      <c r="CH9" s="1305"/>
      <c r="CI9" s="1300"/>
      <c r="CJ9" s="1304"/>
      <c r="CK9" s="1303"/>
      <c r="CL9" s="1300"/>
      <c r="CM9" s="1303"/>
      <c r="CN9" s="1305"/>
      <c r="CO9" s="1305"/>
      <c r="CP9" s="1300"/>
      <c r="CQ9" s="1304"/>
      <c r="CR9" s="1303"/>
      <c r="CS9" s="1300"/>
      <c r="CT9" s="1303"/>
      <c r="CU9" s="1305"/>
      <c r="CV9" s="1299"/>
      <c r="CW9" s="1306">
        <f>+D9+Y9+AF9+AM9+AT9+BA9</f>
        <v>0</v>
      </c>
      <c r="CX9" s="1307"/>
      <c r="CY9" s="1297"/>
      <c r="CZ9" s="1255"/>
      <c r="DA9" s="1308"/>
      <c r="DB9" s="1296">
        <f>+G9+AB9+AI9+AP9+AW9</f>
        <v>0</v>
      </c>
      <c r="DC9" s="1297"/>
      <c r="DD9" s="1302"/>
      <c r="DE9" s="1266"/>
      <c r="DF9" s="1266"/>
      <c r="DG9" s="1266"/>
      <c r="DH9" s="1266"/>
      <c r="DI9" s="1266"/>
      <c r="DJ9" s="1266"/>
      <c r="DK9" s="1266"/>
      <c r="DL9" s="1266"/>
      <c r="DM9" s="1266"/>
      <c r="DN9" s="1266"/>
      <c r="DO9" s="1266"/>
      <c r="DP9" s="1266"/>
      <c r="DQ9" s="1266"/>
    </row>
    <row r="10" spans="1:121" ht="13.5" hidden="1" outlineLevel="1">
      <c r="A10" s="1266" t="s">
        <v>528</v>
      </c>
      <c r="B10" s="1266" t="s">
        <v>515</v>
      </c>
      <c r="C10" s="1266"/>
      <c r="D10" s="1294">
        <f>+K10+R10</f>
        <v>0</v>
      </c>
      <c r="E10" s="1255"/>
      <c r="F10" s="1295"/>
      <c r="G10" s="1296">
        <f>+N10+U10</f>
        <v>0</v>
      </c>
      <c r="H10" s="1297"/>
      <c r="I10" s="1295"/>
      <c r="J10" s="1309"/>
      <c r="K10" s="1300"/>
      <c r="L10" s="1255"/>
      <c r="M10" s="1295"/>
      <c r="N10" s="1296">
        <f>K10*O13/1000</f>
        <v>0</v>
      </c>
      <c r="O10" s="1297"/>
      <c r="P10" s="1295"/>
      <c r="Q10" s="1299"/>
      <c r="R10" s="1300"/>
      <c r="S10" s="1255"/>
      <c r="T10" s="1297"/>
      <c r="U10" s="1296"/>
      <c r="V10" s="1297"/>
      <c r="W10" s="1295"/>
      <c r="X10" s="1299"/>
      <c r="Y10" s="1300"/>
      <c r="Z10" s="1255"/>
      <c r="AA10" s="1297"/>
      <c r="AB10" s="1296"/>
      <c r="AC10" s="1297"/>
      <c r="AD10" s="1295"/>
      <c r="AE10" s="1299"/>
      <c r="AF10" s="1300"/>
      <c r="AG10" s="1255"/>
      <c r="AH10" s="1301"/>
      <c r="AI10" s="1296"/>
      <c r="AJ10" s="1297"/>
      <c r="AK10" s="1302"/>
      <c r="AL10" s="1299"/>
      <c r="AM10" s="1300"/>
      <c r="AN10" s="1255"/>
      <c r="AO10" s="1297"/>
      <c r="AP10" s="1296"/>
      <c r="AQ10" s="1297"/>
      <c r="AR10" s="1295"/>
      <c r="AS10" s="1299"/>
      <c r="AT10" s="1300"/>
      <c r="AU10" s="1255"/>
      <c r="AV10" s="1303"/>
      <c r="AW10" s="1296"/>
      <c r="AX10" s="1297"/>
      <c r="AY10" s="1295"/>
      <c r="AZ10" s="1299"/>
      <c r="BA10" s="1300"/>
      <c r="BB10" s="1304"/>
      <c r="BC10" s="1303"/>
      <c r="BD10" s="1296"/>
      <c r="BE10" s="1303"/>
      <c r="BF10" s="1305"/>
      <c r="BG10" s="1305"/>
      <c r="BH10" s="1300"/>
      <c r="BI10" s="1304"/>
      <c r="BJ10" s="1303"/>
      <c r="BK10" s="1300"/>
      <c r="BL10" s="1303"/>
      <c r="BM10" s="1305"/>
      <c r="BN10" s="1305"/>
      <c r="BO10" s="1300"/>
      <c r="BP10" s="1304"/>
      <c r="BQ10" s="1303"/>
      <c r="BR10" s="1300"/>
      <c r="BS10" s="1303"/>
      <c r="BT10" s="1305"/>
      <c r="BU10" s="1305"/>
      <c r="BV10" s="1300"/>
      <c r="BW10" s="1304"/>
      <c r="BX10" s="1303"/>
      <c r="BY10" s="1300"/>
      <c r="BZ10" s="1303"/>
      <c r="CA10" s="1305"/>
      <c r="CB10" s="1299"/>
      <c r="CC10" s="1300"/>
      <c r="CD10" s="1304"/>
      <c r="CE10" s="1303"/>
      <c r="CF10" s="1300"/>
      <c r="CG10" s="1303"/>
      <c r="CH10" s="1305"/>
      <c r="CI10" s="1300"/>
      <c r="CJ10" s="1304"/>
      <c r="CK10" s="1303"/>
      <c r="CL10" s="1300"/>
      <c r="CM10" s="1303"/>
      <c r="CN10" s="1305"/>
      <c r="CO10" s="1305"/>
      <c r="CP10" s="1300"/>
      <c r="CQ10" s="1304"/>
      <c r="CR10" s="1303"/>
      <c r="CS10" s="1300"/>
      <c r="CT10" s="1303"/>
      <c r="CU10" s="1305"/>
      <c r="CV10" s="1299"/>
      <c r="CW10" s="1306">
        <f>+D10+Y10+AF10+AM10+AT10+BA10</f>
        <v>0</v>
      </c>
      <c r="CX10" s="1307"/>
      <c r="CY10" s="1297"/>
      <c r="CZ10" s="1255"/>
      <c r="DA10" s="1308"/>
      <c r="DB10" s="1310">
        <f>+G10+AB10+AI10+AP10+AW10</f>
        <v>0</v>
      </c>
      <c r="DC10" s="1297"/>
      <c r="DD10" s="1302"/>
      <c r="DE10" s="1266"/>
      <c r="DF10" s="1266"/>
      <c r="DG10" s="1266"/>
      <c r="DH10" s="1266"/>
      <c r="DI10" s="1266"/>
      <c r="DJ10" s="1266"/>
      <c r="DK10" s="1266"/>
      <c r="DL10" s="1266"/>
      <c r="DM10" s="1266"/>
      <c r="DN10" s="1266"/>
      <c r="DO10" s="1266"/>
      <c r="DP10" s="1266"/>
      <c r="DQ10" s="1266"/>
    </row>
    <row r="11" spans="1:121" ht="13.5" hidden="1" outlineLevel="1">
      <c r="A11" s="1266" t="s">
        <v>529</v>
      </c>
      <c r="B11" s="1266" t="s">
        <v>516</v>
      </c>
      <c r="C11" s="1266"/>
      <c r="D11" s="1294">
        <f>+K11+R11</f>
        <v>0</v>
      </c>
      <c r="E11" s="1255"/>
      <c r="F11" s="1295"/>
      <c r="G11" s="1296">
        <f>+N11+U11</f>
        <v>0</v>
      </c>
      <c r="H11" s="1297"/>
      <c r="I11" s="1295"/>
      <c r="J11" s="1266"/>
      <c r="K11" s="1300"/>
      <c r="L11" s="1255"/>
      <c r="M11" s="1295"/>
      <c r="N11" s="1296">
        <f>+K11*O13/1000</f>
        <v>0</v>
      </c>
      <c r="O11" s="1297"/>
      <c r="P11" s="1295"/>
      <c r="Q11" s="1299"/>
      <c r="R11" s="1300"/>
      <c r="S11" s="1304"/>
      <c r="T11" s="1303"/>
      <c r="U11" s="1296"/>
      <c r="V11" s="1297"/>
      <c r="W11" s="1295"/>
      <c r="X11" s="1299"/>
      <c r="Y11" s="1300"/>
      <c r="Z11" s="1304"/>
      <c r="AA11" s="1297"/>
      <c r="AB11" s="1296"/>
      <c r="AC11" s="1297"/>
      <c r="AD11" s="1295"/>
      <c r="AE11" s="1299"/>
      <c r="AF11" s="1300"/>
      <c r="AG11" s="1304"/>
      <c r="AH11" s="1301"/>
      <c r="AI11" s="1296"/>
      <c r="AJ11" s="1297"/>
      <c r="AK11" s="1302"/>
      <c r="AL11" s="1299"/>
      <c r="AM11" s="1300"/>
      <c r="AN11" s="1304"/>
      <c r="AO11" s="1297"/>
      <c r="AP11" s="1296"/>
      <c r="AQ11" s="1297"/>
      <c r="AR11" s="1295"/>
      <c r="AS11" s="1299"/>
      <c r="AT11" s="1300"/>
      <c r="AU11" s="1304"/>
      <c r="AV11" s="1303"/>
      <c r="AW11" s="1296"/>
      <c r="AX11" s="1297"/>
      <c r="AY11" s="1295"/>
      <c r="AZ11" s="1299"/>
      <c r="BA11" s="1300"/>
      <c r="BB11" s="1304"/>
      <c r="BC11" s="1303"/>
      <c r="BD11" s="1296"/>
      <c r="BE11" s="1303"/>
      <c r="BF11" s="1305"/>
      <c r="BG11" s="1305"/>
      <c r="BH11" s="1300"/>
      <c r="BI11" s="1304"/>
      <c r="BJ11" s="1303"/>
      <c r="BK11" s="1300"/>
      <c r="BL11" s="1303"/>
      <c r="BM11" s="1305"/>
      <c r="BN11" s="1305"/>
      <c r="BO11" s="1300"/>
      <c r="BP11" s="1304"/>
      <c r="BQ11" s="1303"/>
      <c r="BR11" s="1300"/>
      <c r="BS11" s="1303"/>
      <c r="BT11" s="1305"/>
      <c r="BU11" s="1305"/>
      <c r="BV11" s="1300"/>
      <c r="BW11" s="1304"/>
      <c r="BX11" s="1303"/>
      <c r="BY11" s="1300"/>
      <c r="BZ11" s="1303"/>
      <c r="CA11" s="1305"/>
      <c r="CB11" s="1299"/>
      <c r="CC11" s="1300"/>
      <c r="CD11" s="1304"/>
      <c r="CE11" s="1303"/>
      <c r="CF11" s="1300"/>
      <c r="CG11" s="1303"/>
      <c r="CH11" s="1305"/>
      <c r="CI11" s="1300"/>
      <c r="CJ11" s="1304"/>
      <c r="CK11" s="1303"/>
      <c r="CL11" s="1300"/>
      <c r="CM11" s="1303"/>
      <c r="CN11" s="1305"/>
      <c r="CO11" s="1305"/>
      <c r="CP11" s="1300"/>
      <c r="CQ11" s="1304"/>
      <c r="CR11" s="1303"/>
      <c r="CS11" s="1300"/>
      <c r="CT11" s="1303"/>
      <c r="CU11" s="1305"/>
      <c r="CV11" s="1299"/>
      <c r="CW11" s="1306">
        <f>+D11+Y11+AF11+AM11+AT11+BA11</f>
        <v>0</v>
      </c>
      <c r="CX11" s="1307"/>
      <c r="CY11" s="1297"/>
      <c r="CZ11" s="1304"/>
      <c r="DA11" s="1311"/>
      <c r="DB11" s="1310">
        <f>+G11+AB11+AI11+AP11+AW11</f>
        <v>0</v>
      </c>
      <c r="DC11" s="1297"/>
      <c r="DD11" s="1302"/>
      <c r="DE11" s="1266"/>
      <c r="DF11" s="1266"/>
      <c r="DG11" s="1266"/>
      <c r="DH11" s="1266"/>
      <c r="DI11" s="1266"/>
      <c r="DJ11" s="1266"/>
      <c r="DK11" s="1266"/>
      <c r="DL11" s="1266"/>
      <c r="DM11" s="1266"/>
      <c r="DN11" s="1266"/>
      <c r="DO11" s="1266"/>
      <c r="DP11" s="1266"/>
      <c r="DQ11" s="1266"/>
    </row>
    <row r="12" spans="1:121" ht="13.5" hidden="1" outlineLevel="1">
      <c r="A12" s="1266" t="s">
        <v>530</v>
      </c>
      <c r="B12" s="1266" t="s">
        <v>517</v>
      </c>
      <c r="C12" s="1266"/>
      <c r="D12" s="1312">
        <f>+K12+R12</f>
        <v>352</v>
      </c>
      <c r="E12" s="1255"/>
      <c r="F12" s="1295"/>
      <c r="G12" s="1313">
        <f>+N12+U12</f>
        <v>8.6850000000000005</v>
      </c>
      <c r="H12" s="1297"/>
      <c r="I12" s="1295"/>
      <c r="J12" s="1266"/>
      <c r="K12" s="1314">
        <v>352</v>
      </c>
      <c r="L12" s="1255"/>
      <c r="M12" s="1295"/>
      <c r="N12" s="1313">
        <f>+K12*O13/1000</f>
        <v>8.6850000000000005</v>
      </c>
      <c r="O12" s="1297"/>
      <c r="P12" s="1295"/>
      <c r="Q12" s="1299"/>
      <c r="R12" s="1300"/>
      <c r="S12" s="1304"/>
      <c r="T12" s="1303"/>
      <c r="U12" s="1313"/>
      <c r="V12" s="1297"/>
      <c r="W12" s="1295"/>
      <c r="X12" s="1299"/>
      <c r="Y12" s="1294"/>
      <c r="Z12" s="1304"/>
      <c r="AA12" s="1297"/>
      <c r="AB12" s="1313"/>
      <c r="AC12" s="1297"/>
      <c r="AD12" s="1295"/>
      <c r="AE12" s="1299"/>
      <c r="AF12" s="1294"/>
      <c r="AG12" s="1304"/>
      <c r="AH12" s="1301"/>
      <c r="AI12" s="1313"/>
      <c r="AJ12" s="1303"/>
      <c r="AK12" s="1315"/>
      <c r="AL12" s="1316"/>
      <c r="AM12" s="1294"/>
      <c r="AN12" s="1304"/>
      <c r="AO12" s="1303"/>
      <c r="AP12" s="1313"/>
      <c r="AQ12" s="1297"/>
      <c r="AR12" s="1295"/>
      <c r="AS12" s="1299"/>
      <c r="AT12" s="1294"/>
      <c r="AU12" s="1304"/>
      <c r="AV12" s="1303"/>
      <c r="AW12" s="1313"/>
      <c r="AX12" s="1297"/>
      <c r="AY12" s="1295"/>
      <c r="AZ12" s="1299"/>
      <c r="BA12" s="1294"/>
      <c r="BB12" s="1304"/>
      <c r="BC12" s="1303"/>
      <c r="BD12" s="1313"/>
      <c r="BE12" s="1303"/>
      <c r="BF12" s="1305"/>
      <c r="BG12" s="1305"/>
      <c r="BH12" s="1294"/>
      <c r="BI12" s="1304"/>
      <c r="BJ12" s="1303"/>
      <c r="BK12" s="1294"/>
      <c r="BL12" s="1303"/>
      <c r="BM12" s="1305"/>
      <c r="BN12" s="1305"/>
      <c r="BO12" s="1294"/>
      <c r="BP12" s="1304"/>
      <c r="BQ12" s="1303"/>
      <c r="BR12" s="1294"/>
      <c r="BS12" s="1303"/>
      <c r="BT12" s="1305"/>
      <c r="BU12" s="1305"/>
      <c r="BV12" s="1294"/>
      <c r="BW12" s="1304"/>
      <c r="BX12" s="1303"/>
      <c r="BY12" s="1294"/>
      <c r="BZ12" s="1303"/>
      <c r="CA12" s="1305"/>
      <c r="CB12" s="1299"/>
      <c r="CC12" s="1294"/>
      <c r="CD12" s="1304"/>
      <c r="CE12" s="1303"/>
      <c r="CF12" s="1294"/>
      <c r="CG12" s="1303"/>
      <c r="CH12" s="1305"/>
      <c r="CI12" s="1294"/>
      <c r="CJ12" s="1304"/>
      <c r="CK12" s="1303"/>
      <c r="CL12" s="1294"/>
      <c r="CM12" s="1303"/>
      <c r="CN12" s="1305"/>
      <c r="CO12" s="1305"/>
      <c r="CP12" s="1294"/>
      <c r="CQ12" s="1304"/>
      <c r="CR12" s="1303"/>
      <c r="CS12" s="1294"/>
      <c r="CT12" s="1303"/>
      <c r="CU12" s="1305"/>
      <c r="CV12" s="1299"/>
      <c r="CW12" s="1312">
        <f>+D12+Y12+AF12+AM12+AT12+BA12</f>
        <v>352</v>
      </c>
      <c r="CX12" s="1307"/>
      <c r="CY12" s="1297"/>
      <c r="CZ12" s="1304"/>
      <c r="DA12" s="1311"/>
      <c r="DB12" s="1313">
        <f>+G12+AB12+AI12+AP12+AW12</f>
        <v>8.6850000000000005</v>
      </c>
      <c r="DC12" s="1297"/>
      <c r="DD12" s="1302"/>
      <c r="DE12" s="1266"/>
      <c r="DF12" s="1266"/>
      <c r="DG12" s="1266"/>
      <c r="DH12" s="1266"/>
      <c r="DI12" s="1266"/>
      <c r="DJ12" s="1266"/>
      <c r="DK12" s="1266"/>
      <c r="DL12" s="1266"/>
      <c r="DM12" s="1266"/>
      <c r="DN12" s="1266"/>
      <c r="DO12" s="1266"/>
      <c r="DP12" s="1266"/>
      <c r="DQ12" s="1266"/>
    </row>
    <row r="13" spans="1:121" ht="13.5" hidden="1" outlineLevel="1">
      <c r="A13" s="1266"/>
      <c r="B13" s="1266" t="s">
        <v>531</v>
      </c>
      <c r="C13" s="1266"/>
      <c r="D13" s="1306">
        <f>+D12</f>
        <v>352</v>
      </c>
      <c r="E13" s="1317"/>
      <c r="F13" s="1295"/>
      <c r="G13" s="1296">
        <f>+N13+U13</f>
        <v>8.6850000000000005</v>
      </c>
      <c r="H13" s="1297">
        <f>+G13/D13*1000</f>
        <v>24.673295454545453</v>
      </c>
      <c r="I13" s="1295"/>
      <c r="J13" s="1266"/>
      <c r="K13" s="1306">
        <f>+K12</f>
        <v>352</v>
      </c>
      <c r="L13" s="1317"/>
      <c r="M13" s="1295"/>
      <c r="N13" s="1318">
        <v>8.6850000000000005</v>
      </c>
      <c r="O13" s="1297">
        <f>+N13/K13*1000</f>
        <v>24.673295454545453</v>
      </c>
      <c r="P13" s="1295"/>
      <c r="Q13" s="1299"/>
      <c r="R13" s="1319"/>
      <c r="S13" s="1320"/>
      <c r="T13" s="1305"/>
      <c r="U13" s="1318"/>
      <c r="V13" s="1297"/>
      <c r="W13" s="1295"/>
      <c r="X13" s="1299"/>
      <c r="Y13" s="1300"/>
      <c r="Z13" s="1320"/>
      <c r="AA13" s="1295"/>
      <c r="AB13" s="1318"/>
      <c r="AC13" s="1321"/>
      <c r="AD13" s="1295"/>
      <c r="AE13" s="1299"/>
      <c r="AF13" s="1300"/>
      <c r="AG13" s="1320"/>
      <c r="AH13" s="1305"/>
      <c r="AI13" s="1318"/>
      <c r="AJ13" s="1303"/>
      <c r="AK13" s="1305"/>
      <c r="AL13" s="1316"/>
      <c r="AM13" s="1300"/>
      <c r="AN13" s="1320"/>
      <c r="AO13" s="1305"/>
      <c r="AP13" s="1318"/>
      <c r="AQ13" s="1297"/>
      <c r="AR13" s="1295"/>
      <c r="AS13" s="1299"/>
      <c r="AT13" s="1300"/>
      <c r="AU13" s="1320"/>
      <c r="AV13" s="1305"/>
      <c r="AW13" s="1318"/>
      <c r="AX13" s="1297"/>
      <c r="AY13" s="1295"/>
      <c r="AZ13" s="1299"/>
      <c r="BA13" s="1300"/>
      <c r="BB13" s="1320"/>
      <c r="BC13" s="1303"/>
      <c r="BD13" s="1318"/>
      <c r="BE13" s="1303"/>
      <c r="BF13" s="1305"/>
      <c r="BG13" s="1305"/>
      <c r="BH13" s="1300"/>
      <c r="BI13" s="1320"/>
      <c r="BJ13" s="1303"/>
      <c r="BK13" s="1300"/>
      <c r="BL13" s="1303"/>
      <c r="BM13" s="1305"/>
      <c r="BN13" s="1305"/>
      <c r="BO13" s="1300"/>
      <c r="BP13" s="1320"/>
      <c r="BQ13" s="1303"/>
      <c r="BR13" s="1300"/>
      <c r="BS13" s="1303"/>
      <c r="BT13" s="1305"/>
      <c r="BU13" s="1305"/>
      <c r="BV13" s="1300"/>
      <c r="BW13" s="1320"/>
      <c r="BX13" s="1303"/>
      <c r="BY13" s="1300"/>
      <c r="BZ13" s="1303"/>
      <c r="CA13" s="1305"/>
      <c r="CB13" s="1299"/>
      <c r="CC13" s="1300"/>
      <c r="CD13" s="1320"/>
      <c r="CE13" s="1303"/>
      <c r="CF13" s="1300"/>
      <c r="CG13" s="1303"/>
      <c r="CH13" s="1305"/>
      <c r="CI13" s="1300"/>
      <c r="CJ13" s="1320"/>
      <c r="CK13" s="1303"/>
      <c r="CL13" s="1300"/>
      <c r="CM13" s="1303"/>
      <c r="CN13" s="1305"/>
      <c r="CO13" s="1305"/>
      <c r="CP13" s="1300"/>
      <c r="CQ13" s="1320"/>
      <c r="CR13" s="1303"/>
      <c r="CS13" s="1300"/>
      <c r="CT13" s="1303"/>
      <c r="CU13" s="1305"/>
      <c r="CV13" s="1299"/>
      <c r="CW13" s="1306">
        <f>+D13+Y13+AF13+AM13+AT13+BA13</f>
        <v>352</v>
      </c>
      <c r="CX13" s="1317">
        <f>+CW13-352</f>
        <v>0</v>
      </c>
      <c r="CY13" s="1295">
        <f>+CW13/352-1</f>
        <v>0</v>
      </c>
      <c r="CZ13" s="1320"/>
      <c r="DA13" s="1322"/>
      <c r="DB13" s="1296">
        <f>+G13+AB13+AI13+AP13+AW13</f>
        <v>8.6850000000000005</v>
      </c>
      <c r="DC13" s="1297"/>
      <c r="DD13" s="1302"/>
      <c r="DE13" s="1266"/>
      <c r="DF13" s="1266"/>
      <c r="DG13" s="1266"/>
      <c r="DH13" s="1266"/>
      <c r="DI13" s="1266"/>
      <c r="DJ13" s="1266"/>
      <c r="DK13" s="1266"/>
      <c r="DL13" s="1266"/>
      <c r="DM13" s="1266"/>
      <c r="DN13" s="1266"/>
      <c r="DO13" s="1266"/>
      <c r="DP13" s="1266"/>
      <c r="DQ13" s="1266"/>
    </row>
    <row r="14" spans="1:121" ht="13.5" hidden="1" outlineLevel="1">
      <c r="A14" s="1266"/>
      <c r="B14" s="1266" t="s">
        <v>646</v>
      </c>
      <c r="C14" s="1266"/>
      <c r="D14" s="1306"/>
      <c r="E14" s="1317"/>
      <c r="F14" s="1323"/>
      <c r="G14" s="1296"/>
      <c r="H14" s="1297"/>
      <c r="I14" s="1295"/>
      <c r="J14" s="1266"/>
      <c r="K14" s="1306"/>
      <c r="L14" s="1256">
        <v>41</v>
      </c>
      <c r="M14" s="1324">
        <v>0</v>
      </c>
      <c r="N14" s="1325"/>
      <c r="O14" s="1297"/>
      <c r="P14" s="1295"/>
      <c r="Q14" s="1299"/>
      <c r="R14" s="1294"/>
      <c r="S14" s="1256"/>
      <c r="T14" s="1324"/>
      <c r="U14" s="1325"/>
      <c r="V14" s="1297"/>
      <c r="W14" s="1295"/>
      <c r="X14" s="1299"/>
      <c r="Y14" s="1298"/>
      <c r="Z14" s="1256"/>
      <c r="AA14" s="1324"/>
      <c r="AB14" s="1325"/>
      <c r="AC14" s="1297"/>
      <c r="AD14" s="1295"/>
      <c r="AE14" s="1299"/>
      <c r="AF14" s="1300"/>
      <c r="AG14" s="1326"/>
      <c r="AH14" s="1327"/>
      <c r="AI14" s="1325"/>
      <c r="AJ14" s="1303"/>
      <c r="AK14" s="1305"/>
      <c r="AL14" s="1316"/>
      <c r="AM14" s="1300"/>
      <c r="AN14" s="1326"/>
      <c r="AO14" s="1327"/>
      <c r="AP14" s="1325"/>
      <c r="AQ14" s="1297"/>
      <c r="AR14" s="1295"/>
      <c r="AS14" s="1299"/>
      <c r="AT14" s="1300"/>
      <c r="AU14" s="1256"/>
      <c r="AV14" s="1324"/>
      <c r="AW14" s="1325"/>
      <c r="AX14" s="1297"/>
      <c r="AY14" s="1295"/>
      <c r="AZ14" s="1299"/>
      <c r="BA14" s="1300"/>
      <c r="BB14" s="1256"/>
      <c r="BC14" s="1324"/>
      <c r="BD14" s="1325"/>
      <c r="BE14" s="1303"/>
      <c r="BF14" s="1305"/>
      <c r="BG14" s="1305"/>
      <c r="BH14" s="1300"/>
      <c r="BI14" s="1256"/>
      <c r="BJ14" s="1324"/>
      <c r="BK14" s="1300"/>
      <c r="BL14" s="1303"/>
      <c r="BM14" s="1305"/>
      <c r="BN14" s="1305"/>
      <c r="BO14" s="1300"/>
      <c r="BP14" s="1256"/>
      <c r="BQ14" s="1324"/>
      <c r="BR14" s="1300"/>
      <c r="BS14" s="1303"/>
      <c r="BT14" s="1305"/>
      <c r="BU14" s="1305"/>
      <c r="BV14" s="1300"/>
      <c r="BW14" s="1256"/>
      <c r="BX14" s="1324"/>
      <c r="BY14" s="1300"/>
      <c r="BZ14" s="1303"/>
      <c r="CA14" s="1305"/>
      <c r="CB14" s="1299"/>
      <c r="CC14" s="1300"/>
      <c r="CD14" s="1256"/>
      <c r="CE14" s="1324"/>
      <c r="CF14" s="1300"/>
      <c r="CG14" s="1303"/>
      <c r="CH14" s="1305"/>
      <c r="CI14" s="1300"/>
      <c r="CJ14" s="1256"/>
      <c r="CK14" s="1324"/>
      <c r="CL14" s="1300"/>
      <c r="CM14" s="1303"/>
      <c r="CN14" s="1305"/>
      <c r="CO14" s="1305"/>
      <c r="CP14" s="1300"/>
      <c r="CQ14" s="1256"/>
      <c r="CR14" s="1324"/>
      <c r="CS14" s="1300"/>
      <c r="CT14" s="1303"/>
      <c r="CU14" s="1305"/>
      <c r="CV14" s="1299"/>
      <c r="CW14" s="1306"/>
      <c r="CX14" s="1317">
        <f>+L14+S14+Z14+AG14+AN14+AU14</f>
        <v>41</v>
      </c>
      <c r="CY14" s="1323">
        <f>+M14+T14+AA14+AH14+AO14+AV14</f>
        <v>0</v>
      </c>
      <c r="CZ14" s="1320"/>
      <c r="DA14" s="1322"/>
      <c r="DB14" s="1296"/>
      <c r="DC14" s="1297"/>
      <c r="DD14" s="1302"/>
      <c r="DE14" s="1266"/>
      <c r="DF14" s="1266"/>
      <c r="DG14" s="1266"/>
      <c r="DH14" s="1266"/>
      <c r="DI14" s="1266"/>
      <c r="DJ14" s="1266"/>
      <c r="DK14" s="1266"/>
      <c r="DL14" s="1266"/>
      <c r="DM14" s="1266"/>
      <c r="DN14" s="1266"/>
      <c r="DO14" s="1266"/>
      <c r="DP14" s="1266"/>
      <c r="DQ14" s="1266"/>
    </row>
    <row r="15" spans="1:121" ht="13.5" hidden="1" outlineLevel="1">
      <c r="A15" s="1328"/>
      <c r="B15" s="1328"/>
      <c r="C15" s="1266"/>
      <c r="D15" s="1290"/>
      <c r="E15" s="1292"/>
      <c r="F15" s="1290"/>
      <c r="G15" s="1293"/>
      <c r="H15" s="1268"/>
      <c r="I15" s="1270"/>
      <c r="J15" s="1266"/>
      <c r="K15" s="1268"/>
      <c r="L15" s="1292"/>
      <c r="M15" s="1268"/>
      <c r="N15" s="1266"/>
      <c r="O15" s="1268"/>
      <c r="P15" s="1270"/>
      <c r="Q15" s="1268"/>
      <c r="R15" s="1290"/>
      <c r="S15" s="1292"/>
      <c r="T15" s="1290"/>
      <c r="U15" s="1266"/>
      <c r="V15" s="1268"/>
      <c r="W15" s="1270"/>
      <c r="X15" s="1268"/>
      <c r="Y15" s="1268"/>
      <c r="Z15" s="1292"/>
      <c r="AA15" s="1268"/>
      <c r="AB15" s="1266"/>
      <c r="AC15" s="1268"/>
      <c r="AD15" s="1270"/>
      <c r="AE15" s="1268"/>
      <c r="AF15" s="1290"/>
      <c r="AG15" s="1292"/>
      <c r="AH15" s="1291"/>
      <c r="AI15" s="1266"/>
      <c r="AJ15" s="1290"/>
      <c r="AK15" s="1290"/>
      <c r="AL15" s="1290"/>
      <c r="AM15" s="1290"/>
      <c r="AN15" s="1292"/>
      <c r="AO15" s="1290"/>
      <c r="AP15" s="1266"/>
      <c r="AQ15" s="1268"/>
      <c r="AR15" s="1270"/>
      <c r="AS15" s="1268"/>
      <c r="AT15" s="1290"/>
      <c r="AU15" s="1292"/>
      <c r="AV15" s="1293"/>
      <c r="AW15" s="1266"/>
      <c r="AX15" s="1268"/>
      <c r="AY15" s="1270"/>
      <c r="AZ15" s="1266"/>
      <c r="BA15" s="1290"/>
      <c r="BB15" s="1292"/>
      <c r="BC15" s="1293"/>
      <c r="BD15" s="1266"/>
      <c r="BE15" s="1290"/>
      <c r="BF15" s="1291"/>
      <c r="BG15" s="1291"/>
      <c r="BH15" s="1290"/>
      <c r="BI15" s="1292"/>
      <c r="BJ15" s="1293"/>
      <c r="BK15" s="1293"/>
      <c r="BL15" s="1290"/>
      <c r="BM15" s="1291"/>
      <c r="BN15" s="1291"/>
      <c r="BO15" s="1290"/>
      <c r="BP15" s="1292"/>
      <c r="BQ15" s="1293"/>
      <c r="BR15" s="1293"/>
      <c r="BS15" s="1290"/>
      <c r="BT15" s="1291"/>
      <c r="BU15" s="1291"/>
      <c r="BV15" s="1290"/>
      <c r="BW15" s="1292"/>
      <c r="BX15" s="1293"/>
      <c r="BY15" s="1293"/>
      <c r="BZ15" s="1290"/>
      <c r="CA15" s="1291"/>
      <c r="CB15" s="1266"/>
      <c r="CC15" s="1290"/>
      <c r="CD15" s="1292"/>
      <c r="CE15" s="1293"/>
      <c r="CF15" s="1293"/>
      <c r="CG15" s="1290"/>
      <c r="CH15" s="1291"/>
      <c r="CI15" s="1290"/>
      <c r="CJ15" s="1292"/>
      <c r="CK15" s="1293"/>
      <c r="CL15" s="1293"/>
      <c r="CM15" s="1290"/>
      <c r="CN15" s="1291"/>
      <c r="CO15" s="1291"/>
      <c r="CP15" s="1290"/>
      <c r="CQ15" s="1292"/>
      <c r="CR15" s="1293"/>
      <c r="CS15" s="1293"/>
      <c r="CT15" s="1290"/>
      <c r="CU15" s="1291"/>
      <c r="CV15" s="1266"/>
      <c r="CW15" s="1293"/>
      <c r="CX15" s="1266"/>
      <c r="CY15" s="1266"/>
      <c r="CZ15" s="1292"/>
      <c r="DA15" s="1291"/>
      <c r="DB15" s="1293"/>
      <c r="DC15" s="1268"/>
      <c r="DD15" s="1268"/>
      <c r="DE15" s="1266"/>
      <c r="DF15" s="1266"/>
      <c r="DG15" s="1266"/>
      <c r="DH15" s="1266"/>
      <c r="DI15" s="1266"/>
      <c r="DJ15" s="1266"/>
      <c r="DK15" s="1266"/>
      <c r="DL15" s="1266"/>
      <c r="DM15" s="1266"/>
      <c r="DN15" s="1266"/>
      <c r="DO15" s="1266"/>
      <c r="DP15" s="1266"/>
      <c r="DQ15" s="1266"/>
    </row>
    <row r="16" spans="1:121" ht="14.25" hidden="1" outlineLevel="1">
      <c r="A16" s="2119">
        <v>1990</v>
      </c>
      <c r="B16" s="2119"/>
      <c r="C16" s="1266"/>
      <c r="D16" s="1268"/>
      <c r="E16" s="1269"/>
      <c r="F16" s="1268"/>
      <c r="G16" s="1266"/>
      <c r="H16" s="1268"/>
      <c r="I16" s="1270"/>
      <c r="J16" s="1266"/>
      <c r="K16" s="1268"/>
      <c r="L16" s="1269"/>
      <c r="M16" s="1268"/>
      <c r="N16" s="1266"/>
      <c r="O16" s="1268"/>
      <c r="P16" s="1270"/>
      <c r="Q16" s="1268"/>
      <c r="R16" s="1268"/>
      <c r="S16" s="1269"/>
      <c r="T16" s="1268"/>
      <c r="U16" s="1266"/>
      <c r="V16" s="1268"/>
      <c r="W16" s="1270"/>
      <c r="X16" s="1268"/>
      <c r="Y16" s="1268"/>
      <c r="Z16" s="1269"/>
      <c r="AA16" s="1268"/>
      <c r="AB16" s="1266"/>
      <c r="AC16" s="1268"/>
      <c r="AD16" s="1270"/>
      <c r="AE16" s="1268"/>
      <c r="AF16" s="1290"/>
      <c r="AG16" s="1269"/>
      <c r="AH16" s="1291"/>
      <c r="AI16" s="1266"/>
      <c r="AJ16" s="1268"/>
      <c r="AK16" s="1268"/>
      <c r="AL16" s="1268"/>
      <c r="AM16" s="1268"/>
      <c r="AN16" s="1269"/>
      <c r="AO16" s="1268"/>
      <c r="AP16" s="1266"/>
      <c r="AQ16" s="1268"/>
      <c r="AR16" s="1270"/>
      <c r="AS16" s="1268"/>
      <c r="AT16" s="1268"/>
      <c r="AU16" s="1269"/>
      <c r="AV16" s="1266"/>
      <c r="AW16" s="1266"/>
      <c r="AX16" s="1268"/>
      <c r="AY16" s="1270"/>
      <c r="AZ16" s="1266"/>
      <c r="BA16" s="1290"/>
      <c r="BB16" s="1292"/>
      <c r="BC16" s="1293"/>
      <c r="BD16" s="1266"/>
      <c r="BE16" s="1290"/>
      <c r="BF16" s="1291"/>
      <c r="BG16" s="1291"/>
      <c r="BH16" s="1290"/>
      <c r="BI16" s="1292"/>
      <c r="BJ16" s="1293"/>
      <c r="BK16" s="1293"/>
      <c r="BL16" s="1290"/>
      <c r="BM16" s="1291"/>
      <c r="BN16" s="1291"/>
      <c r="BO16" s="1290"/>
      <c r="BP16" s="1292"/>
      <c r="BQ16" s="1293"/>
      <c r="BR16" s="1293"/>
      <c r="BS16" s="1290"/>
      <c r="BT16" s="1291"/>
      <c r="BU16" s="1291"/>
      <c r="BV16" s="1290"/>
      <c r="BW16" s="1292"/>
      <c r="BX16" s="1293"/>
      <c r="BY16" s="1293"/>
      <c r="BZ16" s="1290"/>
      <c r="CA16" s="1291"/>
      <c r="CB16" s="1266"/>
      <c r="CC16" s="1290"/>
      <c r="CD16" s="1292"/>
      <c r="CE16" s="1293"/>
      <c r="CF16" s="1293"/>
      <c r="CG16" s="1290"/>
      <c r="CH16" s="1291"/>
      <c r="CI16" s="1290"/>
      <c r="CJ16" s="1292"/>
      <c r="CK16" s="1293"/>
      <c r="CL16" s="1293"/>
      <c r="CM16" s="1290"/>
      <c r="CN16" s="1291"/>
      <c r="CO16" s="1291"/>
      <c r="CP16" s="1290"/>
      <c r="CQ16" s="1292"/>
      <c r="CR16" s="1293"/>
      <c r="CS16" s="1293"/>
      <c r="CT16" s="1290"/>
      <c r="CU16" s="1291"/>
      <c r="CV16" s="1266"/>
      <c r="CW16" s="1293"/>
      <c r="CX16" s="1266"/>
      <c r="CY16" s="1266"/>
      <c r="CZ16" s="1269"/>
      <c r="DA16" s="1270"/>
      <c r="DB16" s="1293"/>
      <c r="DC16" s="1268"/>
      <c r="DD16" s="1268"/>
      <c r="DE16" s="1266"/>
      <c r="DF16" s="1266"/>
      <c r="DG16" s="1266"/>
      <c r="DH16" s="1266"/>
      <c r="DI16" s="1266"/>
      <c r="DJ16" s="1266"/>
      <c r="DK16" s="1266"/>
      <c r="DL16" s="1266"/>
      <c r="DM16" s="1266"/>
      <c r="DN16" s="1266"/>
      <c r="DO16" s="1266"/>
      <c r="DP16" s="1266"/>
      <c r="DQ16" s="1266"/>
    </row>
    <row r="17" spans="1:121" ht="13.5" hidden="1" outlineLevel="1">
      <c r="A17" s="1266" t="s">
        <v>527</v>
      </c>
      <c r="B17" s="1266" t="s">
        <v>514</v>
      </c>
      <c r="C17" s="1266"/>
      <c r="D17" s="1294">
        <f>+K17+R17</f>
        <v>357</v>
      </c>
      <c r="E17" s="1255"/>
      <c r="F17" s="1295"/>
      <c r="G17" s="1296">
        <f>+N17+U17</f>
        <v>8.9168244274809165</v>
      </c>
      <c r="H17" s="1297"/>
      <c r="I17" s="1295"/>
      <c r="J17" s="1266"/>
      <c r="K17" s="1298">
        <v>357</v>
      </c>
      <c r="L17" s="1255"/>
      <c r="M17" s="1295"/>
      <c r="N17" s="1296">
        <f>+K17*O21/1000</f>
        <v>8.9168244274809165</v>
      </c>
      <c r="O17" s="1297"/>
      <c r="P17" s="1295"/>
      <c r="Q17" s="1299"/>
      <c r="R17" s="1300"/>
      <c r="S17" s="1255"/>
      <c r="T17" s="1297"/>
      <c r="U17" s="1296"/>
      <c r="V17" s="1297"/>
      <c r="W17" s="1295"/>
      <c r="X17" s="1299"/>
      <c r="Y17" s="1298"/>
      <c r="Z17" s="1255"/>
      <c r="AA17" s="1297"/>
      <c r="AB17" s="1296"/>
      <c r="AC17" s="1297"/>
      <c r="AD17" s="1295"/>
      <c r="AE17" s="1299"/>
      <c r="AF17" s="1300"/>
      <c r="AG17" s="1255"/>
      <c r="AH17" s="1301"/>
      <c r="AI17" s="1296"/>
      <c r="AJ17" s="1297"/>
      <c r="AK17" s="1302"/>
      <c r="AL17" s="1299"/>
      <c r="AM17" s="1298"/>
      <c r="AN17" s="1255"/>
      <c r="AO17" s="1297"/>
      <c r="AP17" s="1296"/>
      <c r="AQ17" s="1297"/>
      <c r="AR17" s="1295"/>
      <c r="AS17" s="1299"/>
      <c r="AT17" s="1300"/>
      <c r="AU17" s="1255"/>
      <c r="AV17" s="1303"/>
      <c r="AW17" s="1296"/>
      <c r="AX17" s="1297"/>
      <c r="AY17" s="1295"/>
      <c r="AZ17" s="1299"/>
      <c r="BA17" s="1300"/>
      <c r="BB17" s="1304"/>
      <c r="BC17" s="1303"/>
      <c r="BD17" s="1296"/>
      <c r="BE17" s="1303"/>
      <c r="BF17" s="1305"/>
      <c r="BG17" s="1305"/>
      <c r="BH17" s="1300"/>
      <c r="BI17" s="1304"/>
      <c r="BJ17" s="1303"/>
      <c r="BK17" s="1300"/>
      <c r="BL17" s="1303"/>
      <c r="BM17" s="1305"/>
      <c r="BN17" s="1305"/>
      <c r="BO17" s="1300"/>
      <c r="BP17" s="1304"/>
      <c r="BQ17" s="1303"/>
      <c r="BR17" s="1300"/>
      <c r="BS17" s="1303"/>
      <c r="BT17" s="1305"/>
      <c r="BU17" s="1305"/>
      <c r="BV17" s="1300"/>
      <c r="BW17" s="1304"/>
      <c r="BX17" s="1303"/>
      <c r="BY17" s="1300"/>
      <c r="BZ17" s="1303"/>
      <c r="CA17" s="1305"/>
      <c r="CB17" s="1299"/>
      <c r="CC17" s="1300"/>
      <c r="CD17" s="1304"/>
      <c r="CE17" s="1303"/>
      <c r="CF17" s="1300"/>
      <c r="CG17" s="1303"/>
      <c r="CH17" s="1305"/>
      <c r="CI17" s="1300"/>
      <c r="CJ17" s="1304"/>
      <c r="CK17" s="1303"/>
      <c r="CL17" s="1300"/>
      <c r="CM17" s="1303"/>
      <c r="CN17" s="1305"/>
      <c r="CO17" s="1305"/>
      <c r="CP17" s="1300"/>
      <c r="CQ17" s="1304"/>
      <c r="CR17" s="1303"/>
      <c r="CS17" s="1300"/>
      <c r="CT17" s="1303"/>
      <c r="CU17" s="1305"/>
      <c r="CV17" s="1299"/>
      <c r="CW17" s="1306">
        <f>+D17+Y17+AF17+AM17+AT17+BA17</f>
        <v>357</v>
      </c>
      <c r="CX17" s="1307"/>
      <c r="CY17" s="1297"/>
      <c r="CZ17" s="1255"/>
      <c r="DA17" s="1308"/>
      <c r="DB17" s="1296">
        <f>+G17+AB17+AI17+AP17+AW17</f>
        <v>8.9168244274809165</v>
      </c>
      <c r="DC17" s="1297"/>
      <c r="DD17" s="1302"/>
      <c r="DE17" s="1266"/>
      <c r="DF17" s="1266"/>
      <c r="DG17" s="1266"/>
      <c r="DH17" s="1266"/>
      <c r="DI17" s="1266"/>
      <c r="DJ17" s="1266"/>
      <c r="DK17" s="1266"/>
      <c r="DL17" s="1266"/>
      <c r="DM17" s="1266"/>
      <c r="DN17" s="1266"/>
      <c r="DO17" s="1266"/>
      <c r="DP17" s="1266"/>
      <c r="DQ17" s="1266"/>
    </row>
    <row r="18" spans="1:121" ht="13.5" hidden="1" outlineLevel="1">
      <c r="A18" s="1266" t="s">
        <v>528</v>
      </c>
      <c r="B18" s="1266" t="s">
        <v>515</v>
      </c>
      <c r="C18" s="1266"/>
      <c r="D18" s="1294">
        <f>+K18+R18</f>
        <v>372</v>
      </c>
      <c r="E18" s="1255"/>
      <c r="F18" s="1295"/>
      <c r="G18" s="1296">
        <f>+N18+U18</f>
        <v>9.2914809160305349</v>
      </c>
      <c r="H18" s="1297"/>
      <c r="I18" s="1295"/>
      <c r="J18" s="1309"/>
      <c r="K18" s="1300">
        <v>372</v>
      </c>
      <c r="L18" s="1255"/>
      <c r="M18" s="1295"/>
      <c r="N18" s="1296">
        <f>K18*O21/1000</f>
        <v>9.2914809160305349</v>
      </c>
      <c r="O18" s="1297"/>
      <c r="P18" s="1295"/>
      <c r="Q18" s="1299"/>
      <c r="R18" s="1300"/>
      <c r="S18" s="1255"/>
      <c r="T18" s="1297"/>
      <c r="U18" s="1296"/>
      <c r="V18" s="1297"/>
      <c r="W18" s="1295"/>
      <c r="X18" s="1299"/>
      <c r="Y18" s="1300"/>
      <c r="Z18" s="1255"/>
      <c r="AA18" s="1297"/>
      <c r="AB18" s="1296"/>
      <c r="AC18" s="1297"/>
      <c r="AD18" s="1295"/>
      <c r="AE18" s="1299"/>
      <c r="AF18" s="1300"/>
      <c r="AG18" s="1255"/>
      <c r="AH18" s="1301"/>
      <c r="AI18" s="1296"/>
      <c r="AJ18" s="1297"/>
      <c r="AK18" s="1302"/>
      <c r="AL18" s="1299"/>
      <c r="AM18" s="1300"/>
      <c r="AN18" s="1255"/>
      <c r="AO18" s="1297"/>
      <c r="AP18" s="1296"/>
      <c r="AQ18" s="1297"/>
      <c r="AR18" s="1295"/>
      <c r="AS18" s="1299"/>
      <c r="AT18" s="1300"/>
      <c r="AU18" s="1255"/>
      <c r="AV18" s="1303"/>
      <c r="AW18" s="1296"/>
      <c r="AX18" s="1297"/>
      <c r="AY18" s="1295"/>
      <c r="AZ18" s="1299"/>
      <c r="BA18" s="1300"/>
      <c r="BB18" s="1304"/>
      <c r="BC18" s="1303"/>
      <c r="BD18" s="1296"/>
      <c r="BE18" s="1303"/>
      <c r="BF18" s="1305"/>
      <c r="BG18" s="1305"/>
      <c r="BH18" s="1300"/>
      <c r="BI18" s="1304"/>
      <c r="BJ18" s="1303"/>
      <c r="BK18" s="1300"/>
      <c r="BL18" s="1303"/>
      <c r="BM18" s="1305"/>
      <c r="BN18" s="1305"/>
      <c r="BO18" s="1300"/>
      <c r="BP18" s="1304"/>
      <c r="BQ18" s="1303"/>
      <c r="BR18" s="1300"/>
      <c r="BS18" s="1303"/>
      <c r="BT18" s="1305"/>
      <c r="BU18" s="1305"/>
      <c r="BV18" s="1300"/>
      <c r="BW18" s="1304"/>
      <c r="BX18" s="1303"/>
      <c r="BY18" s="1300"/>
      <c r="BZ18" s="1303"/>
      <c r="CA18" s="1305"/>
      <c r="CB18" s="1299"/>
      <c r="CC18" s="1300"/>
      <c r="CD18" s="1304"/>
      <c r="CE18" s="1303"/>
      <c r="CF18" s="1300"/>
      <c r="CG18" s="1303"/>
      <c r="CH18" s="1305"/>
      <c r="CI18" s="1300"/>
      <c r="CJ18" s="1304"/>
      <c r="CK18" s="1303"/>
      <c r="CL18" s="1300"/>
      <c r="CM18" s="1303"/>
      <c r="CN18" s="1305"/>
      <c r="CO18" s="1305"/>
      <c r="CP18" s="1300"/>
      <c r="CQ18" s="1304"/>
      <c r="CR18" s="1303"/>
      <c r="CS18" s="1300"/>
      <c r="CT18" s="1303"/>
      <c r="CU18" s="1305"/>
      <c r="CV18" s="1299"/>
      <c r="CW18" s="1306">
        <f>+D18+Y18+AF18+AM18+AT18+BA18</f>
        <v>372</v>
      </c>
      <c r="CX18" s="1307"/>
      <c r="CY18" s="1297"/>
      <c r="CZ18" s="1255"/>
      <c r="DA18" s="1308"/>
      <c r="DB18" s="1310">
        <f>+G18+AB18+AI18+AP18+AW18</f>
        <v>9.2914809160305349</v>
      </c>
      <c r="DC18" s="1297"/>
      <c r="DD18" s="1302"/>
      <c r="DE18" s="1266"/>
      <c r="DF18" s="1266"/>
      <c r="DG18" s="1266"/>
      <c r="DH18" s="1266"/>
      <c r="DI18" s="1266"/>
      <c r="DJ18" s="1266"/>
      <c r="DK18" s="1266"/>
      <c r="DL18" s="1266"/>
      <c r="DM18" s="1266"/>
      <c r="DN18" s="1266"/>
      <c r="DO18" s="1266"/>
      <c r="DP18" s="1266"/>
      <c r="DQ18" s="1266"/>
    </row>
    <row r="19" spans="1:121" ht="13.5" hidden="1" outlineLevel="1">
      <c r="A19" s="1266" t="s">
        <v>529</v>
      </c>
      <c r="B19" s="1266" t="s">
        <v>516</v>
      </c>
      <c r="C19" s="1266"/>
      <c r="D19" s="1294">
        <f>+K19+R19</f>
        <v>384</v>
      </c>
      <c r="E19" s="1255"/>
      <c r="F19" s="1295"/>
      <c r="G19" s="1296">
        <f>+N19+U19</f>
        <v>9.5912061068702297</v>
      </c>
      <c r="H19" s="1297"/>
      <c r="I19" s="1295"/>
      <c r="J19" s="1266"/>
      <c r="K19" s="1300">
        <v>384</v>
      </c>
      <c r="L19" s="1255"/>
      <c r="M19" s="1295"/>
      <c r="N19" s="1296">
        <f>+K19*O21/1000</f>
        <v>9.5912061068702297</v>
      </c>
      <c r="O19" s="1297"/>
      <c r="P19" s="1295"/>
      <c r="Q19" s="1299"/>
      <c r="R19" s="1300"/>
      <c r="S19" s="1304"/>
      <c r="T19" s="1303"/>
      <c r="U19" s="1296"/>
      <c r="V19" s="1297"/>
      <c r="W19" s="1295"/>
      <c r="X19" s="1299"/>
      <c r="Y19" s="1300"/>
      <c r="Z19" s="1304"/>
      <c r="AA19" s="1297"/>
      <c r="AB19" s="1296"/>
      <c r="AC19" s="1297"/>
      <c r="AD19" s="1295"/>
      <c r="AE19" s="1299"/>
      <c r="AF19" s="1300"/>
      <c r="AG19" s="1304"/>
      <c r="AH19" s="1301"/>
      <c r="AI19" s="1296"/>
      <c r="AJ19" s="1297"/>
      <c r="AK19" s="1302"/>
      <c r="AL19" s="1299"/>
      <c r="AM19" s="1300"/>
      <c r="AN19" s="1304"/>
      <c r="AO19" s="1297"/>
      <c r="AP19" s="1296"/>
      <c r="AQ19" s="1297"/>
      <c r="AR19" s="1295"/>
      <c r="AS19" s="1299"/>
      <c r="AT19" s="1300"/>
      <c r="AU19" s="1304"/>
      <c r="AV19" s="1303"/>
      <c r="AW19" s="1296"/>
      <c r="AX19" s="1297"/>
      <c r="AY19" s="1295"/>
      <c r="AZ19" s="1299"/>
      <c r="BA19" s="1300"/>
      <c r="BB19" s="1304"/>
      <c r="BC19" s="1303"/>
      <c r="BD19" s="1296"/>
      <c r="BE19" s="1303"/>
      <c r="BF19" s="1305"/>
      <c r="BG19" s="1305"/>
      <c r="BH19" s="1300"/>
      <c r="BI19" s="1304"/>
      <c r="BJ19" s="1303"/>
      <c r="BK19" s="1300"/>
      <c r="BL19" s="1303"/>
      <c r="BM19" s="1305"/>
      <c r="BN19" s="1305"/>
      <c r="BO19" s="1300"/>
      <c r="BP19" s="1304"/>
      <c r="BQ19" s="1303"/>
      <c r="BR19" s="1300"/>
      <c r="BS19" s="1303"/>
      <c r="BT19" s="1305"/>
      <c r="BU19" s="1305"/>
      <c r="BV19" s="1300"/>
      <c r="BW19" s="1304"/>
      <c r="BX19" s="1303"/>
      <c r="BY19" s="1300"/>
      <c r="BZ19" s="1303"/>
      <c r="CA19" s="1305"/>
      <c r="CB19" s="1299"/>
      <c r="CC19" s="1300"/>
      <c r="CD19" s="1304"/>
      <c r="CE19" s="1303"/>
      <c r="CF19" s="1300"/>
      <c r="CG19" s="1303"/>
      <c r="CH19" s="1305"/>
      <c r="CI19" s="1300"/>
      <c r="CJ19" s="1304"/>
      <c r="CK19" s="1303"/>
      <c r="CL19" s="1300"/>
      <c r="CM19" s="1303"/>
      <c r="CN19" s="1305"/>
      <c r="CO19" s="1305"/>
      <c r="CP19" s="1300"/>
      <c r="CQ19" s="1304"/>
      <c r="CR19" s="1303"/>
      <c r="CS19" s="1300"/>
      <c r="CT19" s="1303"/>
      <c r="CU19" s="1305"/>
      <c r="CV19" s="1299"/>
      <c r="CW19" s="1306">
        <f>+D19+Y19+AF19+AM19+AT19+BA19</f>
        <v>384</v>
      </c>
      <c r="CX19" s="1307"/>
      <c r="CY19" s="1297"/>
      <c r="CZ19" s="1304"/>
      <c r="DA19" s="1311"/>
      <c r="DB19" s="1310">
        <f>+G19+AB19+AI19+AP19+AW19</f>
        <v>9.5912061068702297</v>
      </c>
      <c r="DC19" s="1297"/>
      <c r="DD19" s="1302"/>
      <c r="DE19" s="1266"/>
      <c r="DF19" s="1266"/>
      <c r="DG19" s="1266"/>
      <c r="DH19" s="1266"/>
      <c r="DI19" s="1266"/>
      <c r="DJ19" s="1266"/>
      <c r="DK19" s="1266"/>
      <c r="DL19" s="1266"/>
      <c r="DM19" s="1266"/>
      <c r="DN19" s="1266"/>
      <c r="DO19" s="1266"/>
      <c r="DP19" s="1266"/>
      <c r="DQ19" s="1266"/>
    </row>
    <row r="20" spans="1:121" ht="13.5" hidden="1" outlineLevel="1">
      <c r="A20" s="1266" t="s">
        <v>530</v>
      </c>
      <c r="B20" s="1266" t="s">
        <v>517</v>
      </c>
      <c r="C20" s="1266"/>
      <c r="D20" s="1312">
        <f>+K20+R20</f>
        <v>393</v>
      </c>
      <c r="E20" s="1255"/>
      <c r="F20" s="1295"/>
      <c r="G20" s="1313">
        <f>+N20+U20</f>
        <v>9.8160000000000007</v>
      </c>
      <c r="H20" s="1297"/>
      <c r="I20" s="1295"/>
      <c r="J20" s="1266"/>
      <c r="K20" s="1314">
        <v>393</v>
      </c>
      <c r="L20" s="1255"/>
      <c r="M20" s="1295"/>
      <c r="N20" s="1313">
        <f>+K20*O21/1000</f>
        <v>9.8160000000000007</v>
      </c>
      <c r="O20" s="1297"/>
      <c r="P20" s="1295"/>
      <c r="Q20" s="1299"/>
      <c r="R20" s="1300"/>
      <c r="S20" s="1304"/>
      <c r="T20" s="1303"/>
      <c r="U20" s="1313"/>
      <c r="V20" s="1297"/>
      <c r="W20" s="1295"/>
      <c r="X20" s="1299"/>
      <c r="Y20" s="1294"/>
      <c r="Z20" s="1304"/>
      <c r="AA20" s="1297"/>
      <c r="AB20" s="1313"/>
      <c r="AC20" s="1297"/>
      <c r="AD20" s="1295"/>
      <c r="AE20" s="1299"/>
      <c r="AF20" s="1294"/>
      <c r="AG20" s="1304"/>
      <c r="AH20" s="1301"/>
      <c r="AI20" s="1313"/>
      <c r="AJ20" s="1303"/>
      <c r="AK20" s="1315"/>
      <c r="AL20" s="1316"/>
      <c r="AM20" s="1294"/>
      <c r="AN20" s="1304"/>
      <c r="AO20" s="1303"/>
      <c r="AP20" s="1313"/>
      <c r="AQ20" s="1297"/>
      <c r="AR20" s="1295"/>
      <c r="AS20" s="1299"/>
      <c r="AT20" s="1294"/>
      <c r="AU20" s="1304"/>
      <c r="AV20" s="1303"/>
      <c r="AW20" s="1313"/>
      <c r="AX20" s="1297"/>
      <c r="AY20" s="1295"/>
      <c r="AZ20" s="1299"/>
      <c r="BA20" s="1294"/>
      <c r="BB20" s="1304"/>
      <c r="BC20" s="1303"/>
      <c r="BD20" s="1313"/>
      <c r="BE20" s="1303"/>
      <c r="BF20" s="1305"/>
      <c r="BG20" s="1305"/>
      <c r="BH20" s="1294"/>
      <c r="BI20" s="1304"/>
      <c r="BJ20" s="1303"/>
      <c r="BK20" s="1294"/>
      <c r="BL20" s="1303"/>
      <c r="BM20" s="1305"/>
      <c r="BN20" s="1305"/>
      <c r="BO20" s="1294"/>
      <c r="BP20" s="1304"/>
      <c r="BQ20" s="1303"/>
      <c r="BR20" s="1294"/>
      <c r="BS20" s="1303"/>
      <c r="BT20" s="1305"/>
      <c r="BU20" s="1305"/>
      <c r="BV20" s="1294"/>
      <c r="BW20" s="1304"/>
      <c r="BX20" s="1303"/>
      <c r="BY20" s="1294"/>
      <c r="BZ20" s="1303"/>
      <c r="CA20" s="1305"/>
      <c r="CB20" s="1299"/>
      <c r="CC20" s="1294"/>
      <c r="CD20" s="1304"/>
      <c r="CE20" s="1303"/>
      <c r="CF20" s="1294"/>
      <c r="CG20" s="1303"/>
      <c r="CH20" s="1305"/>
      <c r="CI20" s="1294"/>
      <c r="CJ20" s="1304"/>
      <c r="CK20" s="1303"/>
      <c r="CL20" s="1294"/>
      <c r="CM20" s="1303"/>
      <c r="CN20" s="1305"/>
      <c r="CO20" s="1305"/>
      <c r="CP20" s="1294"/>
      <c r="CQ20" s="1304"/>
      <c r="CR20" s="1303"/>
      <c r="CS20" s="1294"/>
      <c r="CT20" s="1303"/>
      <c r="CU20" s="1305"/>
      <c r="CV20" s="1299"/>
      <c r="CW20" s="1312">
        <f>+D20+Y20+AF20+AM20+AT20+BA20</f>
        <v>393</v>
      </c>
      <c r="CX20" s="1307"/>
      <c r="CY20" s="1297"/>
      <c r="CZ20" s="1304"/>
      <c r="DA20" s="1311"/>
      <c r="DB20" s="1313">
        <f>+G20+AB20+AI20+AP20+AW20</f>
        <v>9.8160000000000007</v>
      </c>
      <c r="DC20" s="1297"/>
      <c r="DD20" s="1302"/>
      <c r="DE20" s="1266"/>
      <c r="DF20" s="1266"/>
      <c r="DG20" s="1266"/>
      <c r="DH20" s="1266"/>
      <c r="DI20" s="1266"/>
      <c r="DJ20" s="1266"/>
      <c r="DK20" s="1266"/>
      <c r="DL20" s="1266"/>
      <c r="DM20" s="1266"/>
      <c r="DN20" s="1266"/>
      <c r="DO20" s="1266"/>
      <c r="DP20" s="1266"/>
      <c r="DQ20" s="1266"/>
    </row>
    <row r="21" spans="1:121" ht="13.5" hidden="1" outlineLevel="1">
      <c r="A21" s="1266"/>
      <c r="B21" s="1266" t="s">
        <v>531</v>
      </c>
      <c r="C21" s="1266"/>
      <c r="D21" s="1306">
        <f>+D20</f>
        <v>393</v>
      </c>
      <c r="E21" s="1317"/>
      <c r="F21" s="1295"/>
      <c r="G21" s="1296">
        <f>+N21+U21</f>
        <v>9.8160000000000007</v>
      </c>
      <c r="H21" s="1297">
        <f>+G21/D21*1000</f>
        <v>24.977099236641223</v>
      </c>
      <c r="I21" s="1295"/>
      <c r="J21" s="1266"/>
      <c r="K21" s="1306">
        <f>+K20</f>
        <v>393</v>
      </c>
      <c r="L21" s="1317"/>
      <c r="M21" s="1295"/>
      <c r="N21" s="1318">
        <v>9.8160000000000007</v>
      </c>
      <c r="O21" s="1297">
        <f>+N21/K21*1000</f>
        <v>24.977099236641223</v>
      </c>
      <c r="P21" s="1295"/>
      <c r="Q21" s="1299"/>
      <c r="R21" s="1294"/>
      <c r="S21" s="1320"/>
      <c r="T21" s="1305"/>
      <c r="U21" s="1318"/>
      <c r="V21" s="1297"/>
      <c r="W21" s="1295"/>
      <c r="X21" s="1299"/>
      <c r="Y21" s="1300">
        <v>5</v>
      </c>
      <c r="Z21" s="1320"/>
      <c r="AA21" s="1295"/>
      <c r="AB21" s="1318">
        <v>7.3999999999999996E-2</v>
      </c>
      <c r="AC21" s="1297">
        <f>+AB21/Y21*1000</f>
        <v>14.799999999999999</v>
      </c>
      <c r="AD21" s="1295"/>
      <c r="AE21" s="1299"/>
      <c r="AF21" s="1300"/>
      <c r="AG21" s="1320"/>
      <c r="AH21" s="1305"/>
      <c r="AI21" s="1318"/>
      <c r="AJ21" s="1303"/>
      <c r="AK21" s="1305"/>
      <c r="AL21" s="1316"/>
      <c r="AM21" s="1300"/>
      <c r="AN21" s="1320"/>
      <c r="AO21" s="1305"/>
      <c r="AP21" s="1318"/>
      <c r="AQ21" s="1297"/>
      <c r="AR21" s="1295"/>
      <c r="AS21" s="1299"/>
      <c r="AT21" s="1300"/>
      <c r="AU21" s="1320"/>
      <c r="AV21" s="1305"/>
      <c r="AW21" s="1318"/>
      <c r="AX21" s="1297"/>
      <c r="AY21" s="1295"/>
      <c r="AZ21" s="1299"/>
      <c r="BA21" s="1300"/>
      <c r="BB21" s="1320"/>
      <c r="BC21" s="1303"/>
      <c r="BD21" s="1318"/>
      <c r="BE21" s="1303"/>
      <c r="BF21" s="1305"/>
      <c r="BG21" s="1305"/>
      <c r="BH21" s="1300"/>
      <c r="BI21" s="1320"/>
      <c r="BJ21" s="1303"/>
      <c r="BK21" s="1300"/>
      <c r="BL21" s="1303"/>
      <c r="BM21" s="1305"/>
      <c r="BN21" s="1305"/>
      <c r="BO21" s="1300"/>
      <c r="BP21" s="1320"/>
      <c r="BQ21" s="1303"/>
      <c r="BR21" s="1300"/>
      <c r="BS21" s="1303"/>
      <c r="BT21" s="1305"/>
      <c r="BU21" s="1305"/>
      <c r="BV21" s="1300"/>
      <c r="BW21" s="1320"/>
      <c r="BX21" s="1303"/>
      <c r="BY21" s="1300"/>
      <c r="BZ21" s="1303"/>
      <c r="CA21" s="1305"/>
      <c r="CB21" s="1299"/>
      <c r="CC21" s="1300"/>
      <c r="CD21" s="1320"/>
      <c r="CE21" s="1303"/>
      <c r="CF21" s="1300"/>
      <c r="CG21" s="1303"/>
      <c r="CH21" s="1305"/>
      <c r="CI21" s="1300"/>
      <c r="CJ21" s="1320"/>
      <c r="CK21" s="1303"/>
      <c r="CL21" s="1300"/>
      <c r="CM21" s="1303"/>
      <c r="CN21" s="1305"/>
      <c r="CO21" s="1305"/>
      <c r="CP21" s="1300"/>
      <c r="CQ21" s="1320"/>
      <c r="CR21" s="1303"/>
      <c r="CS21" s="1300"/>
      <c r="CT21" s="1303"/>
      <c r="CU21" s="1305"/>
      <c r="CV21" s="1299"/>
      <c r="CW21" s="1306">
        <f>+D21+Y21+AF21+AM21+AT21+BA21</f>
        <v>398</v>
      </c>
      <c r="CX21" s="1317">
        <f>+CW21-352</f>
        <v>46</v>
      </c>
      <c r="CY21" s="1295">
        <f>+CW21/352-1</f>
        <v>0.13068181818181812</v>
      </c>
      <c r="CZ21" s="1320"/>
      <c r="DA21" s="1322"/>
      <c r="DB21" s="1296">
        <f>+G21+AB21+AI21+AP21+AW21</f>
        <v>9.89</v>
      </c>
      <c r="DC21" s="1297"/>
      <c r="DD21" s="1302"/>
      <c r="DE21" s="1266"/>
      <c r="DF21" s="1266"/>
      <c r="DG21" s="1266"/>
      <c r="DH21" s="1266"/>
      <c r="DI21" s="1266"/>
      <c r="DJ21" s="1266"/>
      <c r="DK21" s="1266"/>
      <c r="DL21" s="1266"/>
      <c r="DM21" s="1266"/>
      <c r="DN21" s="1266"/>
      <c r="DO21" s="1266"/>
      <c r="DP21" s="1266"/>
      <c r="DQ21" s="1266"/>
    </row>
    <row r="22" spans="1:121" ht="13.5" hidden="1" outlineLevel="1">
      <c r="A22" s="1266"/>
      <c r="B22" s="1266" t="s">
        <v>646</v>
      </c>
      <c r="C22" s="1266"/>
      <c r="D22" s="1306"/>
      <c r="E22" s="1317"/>
      <c r="F22" s="1323"/>
      <c r="G22" s="1296"/>
      <c r="H22" s="1297"/>
      <c r="I22" s="1295"/>
      <c r="J22" s="1266"/>
      <c r="K22" s="1306"/>
      <c r="L22" s="1256">
        <v>41</v>
      </c>
      <c r="M22" s="1324">
        <v>0</v>
      </c>
      <c r="N22" s="1325"/>
      <c r="O22" s="1297"/>
      <c r="P22" s="1295"/>
      <c r="Q22" s="1299"/>
      <c r="R22" s="1294"/>
      <c r="S22" s="1256"/>
      <c r="T22" s="1324"/>
      <c r="U22" s="1325"/>
      <c r="V22" s="1297"/>
      <c r="W22" s="1295"/>
      <c r="X22" s="1299"/>
      <c r="Y22" s="1298"/>
      <c r="Z22" s="1256"/>
      <c r="AA22" s="1324"/>
      <c r="AB22" s="1325"/>
      <c r="AC22" s="1297"/>
      <c r="AD22" s="1295"/>
      <c r="AE22" s="1299"/>
      <c r="AF22" s="1300"/>
      <c r="AG22" s="1326"/>
      <c r="AH22" s="1327"/>
      <c r="AI22" s="1325"/>
      <c r="AJ22" s="1303"/>
      <c r="AK22" s="1305"/>
      <c r="AL22" s="1316"/>
      <c r="AM22" s="1300"/>
      <c r="AN22" s="1326"/>
      <c r="AO22" s="1327"/>
      <c r="AP22" s="1325"/>
      <c r="AQ22" s="1297"/>
      <c r="AR22" s="1295"/>
      <c r="AS22" s="1299"/>
      <c r="AT22" s="1300"/>
      <c r="AU22" s="1256"/>
      <c r="AV22" s="1324"/>
      <c r="AW22" s="1325"/>
      <c r="AX22" s="1297"/>
      <c r="AY22" s="1295"/>
      <c r="AZ22" s="1299"/>
      <c r="BA22" s="1300"/>
      <c r="BB22" s="1256"/>
      <c r="BC22" s="1324"/>
      <c r="BD22" s="1325"/>
      <c r="BE22" s="1303"/>
      <c r="BF22" s="1305"/>
      <c r="BG22" s="1305"/>
      <c r="BH22" s="1300"/>
      <c r="BI22" s="1256"/>
      <c r="BJ22" s="1324"/>
      <c r="BK22" s="1300"/>
      <c r="BL22" s="1303"/>
      <c r="BM22" s="1305"/>
      <c r="BN22" s="1305"/>
      <c r="BO22" s="1300"/>
      <c r="BP22" s="1256"/>
      <c r="BQ22" s="1324"/>
      <c r="BR22" s="1300"/>
      <c r="BS22" s="1303"/>
      <c r="BT22" s="1305"/>
      <c r="BU22" s="1305"/>
      <c r="BV22" s="1300"/>
      <c r="BW22" s="1256"/>
      <c r="BX22" s="1324"/>
      <c r="BY22" s="1300"/>
      <c r="BZ22" s="1303"/>
      <c r="CA22" s="1305"/>
      <c r="CB22" s="1299"/>
      <c r="CC22" s="1300"/>
      <c r="CD22" s="1256"/>
      <c r="CE22" s="1324"/>
      <c r="CF22" s="1300"/>
      <c r="CG22" s="1303"/>
      <c r="CH22" s="1305"/>
      <c r="CI22" s="1300"/>
      <c r="CJ22" s="1256"/>
      <c r="CK22" s="1324"/>
      <c r="CL22" s="1300"/>
      <c r="CM22" s="1303"/>
      <c r="CN22" s="1305"/>
      <c r="CO22" s="1305"/>
      <c r="CP22" s="1300"/>
      <c r="CQ22" s="1256"/>
      <c r="CR22" s="1324"/>
      <c r="CS22" s="1300"/>
      <c r="CT22" s="1303"/>
      <c r="CU22" s="1305"/>
      <c r="CV22" s="1299"/>
      <c r="CW22" s="1306"/>
      <c r="CX22" s="1317">
        <f>+L22+S22+Z22+AG22+AN22+AU22</f>
        <v>41</v>
      </c>
      <c r="CY22" s="1323">
        <f>+M22+T22+AA22+AH22+AO22+AV22</f>
        <v>0</v>
      </c>
      <c r="CZ22" s="1320"/>
      <c r="DA22" s="1322"/>
      <c r="DB22" s="1296"/>
      <c r="DC22" s="1297"/>
      <c r="DD22" s="1302"/>
      <c r="DE22" s="1266"/>
      <c r="DF22" s="1266"/>
      <c r="DG22" s="1266"/>
      <c r="DH22" s="1266"/>
      <c r="DI22" s="1266"/>
      <c r="DJ22" s="1266"/>
      <c r="DK22" s="1266"/>
      <c r="DL22" s="1266"/>
      <c r="DM22" s="1266"/>
      <c r="DN22" s="1266"/>
      <c r="DO22" s="1266"/>
      <c r="DP22" s="1266"/>
      <c r="DQ22" s="1266"/>
    </row>
    <row r="23" spans="1:121" ht="13.5" hidden="1" outlineLevel="1">
      <c r="A23" s="1328"/>
      <c r="B23" s="1328"/>
      <c r="C23" s="1266"/>
      <c r="D23" s="1290"/>
      <c r="E23" s="1292"/>
      <c r="F23" s="1290"/>
      <c r="G23" s="1293"/>
      <c r="H23" s="1268"/>
      <c r="I23" s="1270"/>
      <c r="J23" s="1266"/>
      <c r="K23" s="1268"/>
      <c r="L23" s="1292"/>
      <c r="M23" s="1268"/>
      <c r="N23" s="1266"/>
      <c r="O23" s="1268"/>
      <c r="P23" s="1270"/>
      <c r="Q23" s="1268"/>
      <c r="R23" s="1290"/>
      <c r="S23" s="1292"/>
      <c r="T23" s="1290"/>
      <c r="U23" s="1266"/>
      <c r="V23" s="1268"/>
      <c r="W23" s="1270"/>
      <c r="X23" s="1268"/>
      <c r="Y23" s="1268"/>
      <c r="Z23" s="1292"/>
      <c r="AA23" s="1268"/>
      <c r="AB23" s="1266"/>
      <c r="AC23" s="1268"/>
      <c r="AD23" s="1270"/>
      <c r="AE23" s="1268"/>
      <c r="AF23" s="1290"/>
      <c r="AG23" s="1292"/>
      <c r="AH23" s="1291"/>
      <c r="AI23" s="1266"/>
      <c r="AJ23" s="1290"/>
      <c r="AK23" s="1290"/>
      <c r="AL23" s="1290"/>
      <c r="AM23" s="1290"/>
      <c r="AN23" s="1292"/>
      <c r="AO23" s="1290"/>
      <c r="AP23" s="1266"/>
      <c r="AQ23" s="1268"/>
      <c r="AR23" s="1270"/>
      <c r="AS23" s="1268"/>
      <c r="AT23" s="1290"/>
      <c r="AU23" s="1292"/>
      <c r="AV23" s="1293"/>
      <c r="AW23" s="1266"/>
      <c r="AX23" s="1268"/>
      <c r="AY23" s="1270"/>
      <c r="AZ23" s="1266"/>
      <c r="BA23" s="1290"/>
      <c r="BB23" s="1292"/>
      <c r="BC23" s="1293"/>
      <c r="BD23" s="1266"/>
      <c r="BE23" s="1290"/>
      <c r="BF23" s="1291"/>
      <c r="BG23" s="1291"/>
      <c r="BH23" s="1290"/>
      <c r="BI23" s="1292"/>
      <c r="BJ23" s="1293"/>
      <c r="BK23" s="1293"/>
      <c r="BL23" s="1290"/>
      <c r="BM23" s="1291"/>
      <c r="BN23" s="1291"/>
      <c r="BO23" s="1290"/>
      <c r="BP23" s="1292"/>
      <c r="BQ23" s="1293"/>
      <c r="BR23" s="1293"/>
      <c r="BS23" s="1290"/>
      <c r="BT23" s="1291"/>
      <c r="BU23" s="1291"/>
      <c r="BV23" s="1290"/>
      <c r="BW23" s="1292"/>
      <c r="BX23" s="1293"/>
      <c r="BY23" s="1293"/>
      <c r="BZ23" s="1290"/>
      <c r="CA23" s="1291"/>
      <c r="CB23" s="1266"/>
      <c r="CC23" s="1290"/>
      <c r="CD23" s="1292"/>
      <c r="CE23" s="1293"/>
      <c r="CF23" s="1293"/>
      <c r="CG23" s="1290"/>
      <c r="CH23" s="1291"/>
      <c r="CI23" s="1290"/>
      <c r="CJ23" s="1292"/>
      <c r="CK23" s="1293"/>
      <c r="CL23" s="1293"/>
      <c r="CM23" s="1290"/>
      <c r="CN23" s="1291"/>
      <c r="CO23" s="1291"/>
      <c r="CP23" s="1290"/>
      <c r="CQ23" s="1292"/>
      <c r="CR23" s="1293"/>
      <c r="CS23" s="1293"/>
      <c r="CT23" s="1290"/>
      <c r="CU23" s="1291"/>
      <c r="CV23" s="1266"/>
      <c r="CW23" s="1293"/>
      <c r="CX23" s="1266"/>
      <c r="CY23" s="1266"/>
      <c r="CZ23" s="1292"/>
      <c r="DA23" s="1291"/>
      <c r="DB23" s="1293"/>
      <c r="DC23" s="1268"/>
      <c r="DD23" s="1268"/>
      <c r="DE23" s="1266"/>
      <c r="DF23" s="1266"/>
      <c r="DG23" s="1266"/>
      <c r="DH23" s="1266"/>
      <c r="DI23" s="1266"/>
      <c r="DJ23" s="1266"/>
      <c r="DK23" s="1266"/>
      <c r="DL23" s="1266"/>
      <c r="DM23" s="1266"/>
      <c r="DN23" s="1266"/>
      <c r="DO23" s="1266"/>
      <c r="DP23" s="1266"/>
      <c r="DQ23" s="1266"/>
    </row>
    <row r="24" spans="1:121" ht="14.25" hidden="1" outlineLevel="1">
      <c r="A24" s="2119">
        <f>+A16+1</f>
        <v>1991</v>
      </c>
      <c r="B24" s="2119"/>
      <c r="C24" s="1266"/>
      <c r="D24" s="1290"/>
      <c r="E24" s="1292"/>
      <c r="F24" s="1290"/>
      <c r="G24" s="1293"/>
      <c r="H24" s="1268"/>
      <c r="I24" s="1270"/>
      <c r="J24" s="1266"/>
      <c r="K24" s="1268"/>
      <c r="L24" s="1292"/>
      <c r="M24" s="1268"/>
      <c r="N24" s="1266"/>
      <c r="O24" s="1268"/>
      <c r="P24" s="1270"/>
      <c r="Q24" s="1268"/>
      <c r="R24" s="1290"/>
      <c r="S24" s="1292"/>
      <c r="T24" s="1290"/>
      <c r="U24" s="1266"/>
      <c r="V24" s="1268"/>
      <c r="W24" s="1270"/>
      <c r="X24" s="1268"/>
      <c r="Y24" s="1329" t="s">
        <v>652</v>
      </c>
      <c r="Z24" s="1292"/>
      <c r="AA24" s="1268"/>
      <c r="AB24" s="1266"/>
      <c r="AC24" s="1268"/>
      <c r="AD24" s="1270"/>
      <c r="AE24" s="1268"/>
      <c r="AF24" s="1290"/>
      <c r="AG24" s="1292"/>
      <c r="AH24" s="1291"/>
      <c r="AI24" s="1266"/>
      <c r="AJ24" s="1290"/>
      <c r="AK24" s="1290"/>
      <c r="AL24" s="1290"/>
      <c r="AM24" s="1290"/>
      <c r="AN24" s="1292"/>
      <c r="AO24" s="1290"/>
      <c r="AP24" s="1266"/>
      <c r="AQ24" s="1268"/>
      <c r="AR24" s="1270"/>
      <c r="AS24" s="1268"/>
      <c r="AT24" s="1290"/>
      <c r="AU24" s="1292"/>
      <c r="AV24" s="1293"/>
      <c r="AW24" s="1266"/>
      <c r="AX24" s="1290"/>
      <c r="AY24" s="1291"/>
      <c r="AZ24" s="1293"/>
      <c r="BA24" s="1290"/>
      <c r="BB24" s="1292"/>
      <c r="BC24" s="1293"/>
      <c r="BD24" s="1266"/>
      <c r="BE24" s="1290"/>
      <c r="BF24" s="1291"/>
      <c r="BG24" s="1291"/>
      <c r="BH24" s="1290"/>
      <c r="BI24" s="1292"/>
      <c r="BJ24" s="1293"/>
      <c r="BK24" s="1293"/>
      <c r="BL24" s="1290"/>
      <c r="BM24" s="1291"/>
      <c r="BN24" s="1291"/>
      <c r="BO24" s="1290"/>
      <c r="BP24" s="1292"/>
      <c r="BQ24" s="1293"/>
      <c r="BR24" s="1293"/>
      <c r="BS24" s="1290"/>
      <c r="BT24" s="1291"/>
      <c r="BU24" s="1291"/>
      <c r="BV24" s="1290"/>
      <c r="BW24" s="1292"/>
      <c r="BX24" s="1293"/>
      <c r="BY24" s="1293"/>
      <c r="BZ24" s="1290"/>
      <c r="CA24" s="1291"/>
      <c r="CB24" s="1266"/>
      <c r="CC24" s="1290"/>
      <c r="CD24" s="1292"/>
      <c r="CE24" s="1293"/>
      <c r="CF24" s="1293"/>
      <c r="CG24" s="1290"/>
      <c r="CH24" s="1291"/>
      <c r="CI24" s="1290"/>
      <c r="CJ24" s="1292"/>
      <c r="CK24" s="1293"/>
      <c r="CL24" s="1293"/>
      <c r="CM24" s="1290"/>
      <c r="CN24" s="1291"/>
      <c r="CO24" s="1291"/>
      <c r="CP24" s="1290"/>
      <c r="CQ24" s="1292"/>
      <c r="CR24" s="1293"/>
      <c r="CS24" s="1293"/>
      <c r="CT24" s="1290"/>
      <c r="CU24" s="1291"/>
      <c r="CV24" s="1266"/>
      <c r="CW24" s="1293"/>
      <c r="CX24" s="1266"/>
      <c r="CY24" s="1266"/>
      <c r="CZ24" s="1292"/>
      <c r="DA24" s="1291"/>
      <c r="DB24" s="1293"/>
      <c r="DC24" s="1268"/>
      <c r="DD24" s="1268"/>
      <c r="DE24" s="1266"/>
      <c r="DF24" s="1266"/>
      <c r="DG24" s="1266"/>
      <c r="DH24" s="1266"/>
      <c r="DI24" s="1266"/>
      <c r="DJ24" s="1266"/>
      <c r="DK24" s="1266"/>
      <c r="DL24" s="1266"/>
      <c r="DM24" s="1266"/>
      <c r="DN24" s="1266"/>
      <c r="DO24" s="1266"/>
      <c r="DP24" s="1266"/>
      <c r="DQ24" s="1266"/>
    </row>
    <row r="25" spans="1:121" ht="13.5" hidden="1" outlineLevel="1">
      <c r="A25" s="1266" t="str">
        <f>$A$17</f>
        <v>1Q</v>
      </c>
      <c r="B25" s="1266" t="str">
        <f>$B$17</f>
        <v>Apr</v>
      </c>
      <c r="C25" s="1266"/>
      <c r="D25" s="1294">
        <f>+K25+R25</f>
        <v>400</v>
      </c>
      <c r="E25" s="1255">
        <f>+D25-D20</f>
        <v>7</v>
      </c>
      <c r="F25" s="1295">
        <f>+(D25/D17-1)*100</f>
        <v>12.04481792717087</v>
      </c>
      <c r="G25" s="1296">
        <f>+N25+U25</f>
        <v>10.172082379862699</v>
      </c>
      <c r="H25" s="1297"/>
      <c r="I25" s="1295">
        <f>+(G25/G17-1)*100</f>
        <v>14.077410210222174</v>
      </c>
      <c r="J25" s="1266"/>
      <c r="K25" s="1298">
        <v>400</v>
      </c>
      <c r="L25" s="1255">
        <f>+K25-K20</f>
        <v>7</v>
      </c>
      <c r="M25" s="1295">
        <f>+(K25/K17-1)*100</f>
        <v>12.04481792717087</v>
      </c>
      <c r="N25" s="1296">
        <f>+K25*O29/1000</f>
        <v>10.172082379862699</v>
      </c>
      <c r="O25" s="1297"/>
      <c r="P25" s="1295">
        <f>+(N25/N17-1)*100</f>
        <v>14.077410210222174</v>
      </c>
      <c r="Q25" s="1299"/>
      <c r="R25" s="1300"/>
      <c r="S25" s="1304"/>
      <c r="T25" s="1303"/>
      <c r="U25" s="1296"/>
      <c r="V25" s="1297"/>
      <c r="W25" s="1295"/>
      <c r="X25" s="1299"/>
      <c r="Y25" s="1298">
        <v>7</v>
      </c>
      <c r="Z25" s="1255">
        <f>+Y25-Y20</f>
        <v>7</v>
      </c>
      <c r="AA25" s="1297"/>
      <c r="AB25" s="1296">
        <f>+Y25*AC29/1000</f>
        <v>0.11277777777777777</v>
      </c>
      <c r="AC25" s="1297"/>
      <c r="AD25" s="1295"/>
      <c r="AE25" s="1299"/>
      <c r="AF25" s="1300"/>
      <c r="AG25" s="1304"/>
      <c r="AH25" s="1301"/>
      <c r="AI25" s="1296"/>
      <c r="AJ25" s="1303"/>
      <c r="AK25" s="1315"/>
      <c r="AL25" s="1316"/>
      <c r="AM25" s="1300"/>
      <c r="AN25" s="1304"/>
      <c r="AO25" s="1303"/>
      <c r="AP25" s="1296"/>
      <c r="AQ25" s="1297"/>
      <c r="AR25" s="1295"/>
      <c r="AS25" s="1299"/>
      <c r="AT25" s="1300"/>
      <c r="AU25" s="1304"/>
      <c r="AV25" s="1303"/>
      <c r="AW25" s="1296"/>
      <c r="AX25" s="1303"/>
      <c r="AY25" s="1305"/>
      <c r="AZ25" s="1316"/>
      <c r="BA25" s="1300"/>
      <c r="BB25" s="1304"/>
      <c r="BC25" s="1303"/>
      <c r="BD25" s="1296"/>
      <c r="BE25" s="1303"/>
      <c r="BF25" s="1305"/>
      <c r="BG25" s="1305"/>
      <c r="BH25" s="1300"/>
      <c r="BI25" s="1304"/>
      <c r="BJ25" s="1303"/>
      <c r="BK25" s="1300"/>
      <c r="BL25" s="1303"/>
      <c r="BM25" s="1305"/>
      <c r="BN25" s="1305"/>
      <c r="BO25" s="1300"/>
      <c r="BP25" s="1304"/>
      <c r="BQ25" s="1303"/>
      <c r="BR25" s="1300"/>
      <c r="BS25" s="1303"/>
      <c r="BT25" s="1305"/>
      <c r="BU25" s="1305"/>
      <c r="BV25" s="1300"/>
      <c r="BW25" s="1304"/>
      <c r="BX25" s="1303"/>
      <c r="BY25" s="1300"/>
      <c r="BZ25" s="1303"/>
      <c r="CA25" s="1305"/>
      <c r="CB25" s="1299"/>
      <c r="CC25" s="1300"/>
      <c r="CD25" s="1304"/>
      <c r="CE25" s="1303"/>
      <c r="CF25" s="1300"/>
      <c r="CG25" s="1303"/>
      <c r="CH25" s="1305"/>
      <c r="CI25" s="1300"/>
      <c r="CJ25" s="1304"/>
      <c r="CK25" s="1303"/>
      <c r="CL25" s="1300"/>
      <c r="CM25" s="1303"/>
      <c r="CN25" s="1305"/>
      <c r="CO25" s="1305"/>
      <c r="CP25" s="1300"/>
      <c r="CQ25" s="1304"/>
      <c r="CR25" s="1303"/>
      <c r="CS25" s="1300"/>
      <c r="CT25" s="1303"/>
      <c r="CU25" s="1305"/>
      <c r="CV25" s="1299"/>
      <c r="CW25" s="1306">
        <f>+D25+Y25+AF25+AM25+AT25+BA25</f>
        <v>407</v>
      </c>
      <c r="CX25" s="1307">
        <f>+CW25-CW20</f>
        <v>14</v>
      </c>
      <c r="CY25" s="1295">
        <f>+(CW25/CW17-1)*100</f>
        <v>14.005602240896353</v>
      </c>
      <c r="CZ25" s="1304"/>
      <c r="DA25" s="1311"/>
      <c r="DB25" s="1296">
        <f>+G25+AB25+AI25+AP25+AW25</f>
        <v>10.284860157640477</v>
      </c>
      <c r="DC25" s="1297"/>
      <c r="DD25" s="1302"/>
      <c r="DE25" s="1266"/>
      <c r="DF25" s="1266"/>
      <c r="DG25" s="1266"/>
      <c r="DH25" s="1266"/>
      <c r="DI25" s="1266"/>
      <c r="DJ25" s="1266"/>
      <c r="DK25" s="1266"/>
      <c r="DL25" s="1266"/>
      <c r="DM25" s="1266"/>
      <c r="DN25" s="1266"/>
      <c r="DO25" s="1266"/>
      <c r="DP25" s="1266"/>
      <c r="DQ25" s="1266"/>
    </row>
    <row r="26" spans="1:121" ht="13.5" hidden="1" outlineLevel="1">
      <c r="A26" s="1266" t="str">
        <f>$A$18</f>
        <v>2Q</v>
      </c>
      <c r="B26" s="1266" t="str">
        <f>$B$18</f>
        <v>Jul</v>
      </c>
      <c r="C26" s="1266"/>
      <c r="D26" s="1294">
        <f>+K26+R26</f>
        <v>409</v>
      </c>
      <c r="E26" s="1255">
        <f>+D26-D25</f>
        <v>9</v>
      </c>
      <c r="F26" s="1295">
        <f>+(D26/D18-1)*100</f>
        <v>9.946236559139777</v>
      </c>
      <c r="G26" s="1296">
        <f>+N26+U26</f>
        <v>10.40095423340961</v>
      </c>
      <c r="H26" s="1297"/>
      <c r="I26" s="1295">
        <f>+(G26/G18-1)*100</f>
        <v>11.94075871656699</v>
      </c>
      <c r="J26" s="1309"/>
      <c r="K26" s="1300">
        <v>409</v>
      </c>
      <c r="L26" s="1255">
        <f>+K26-K25</f>
        <v>9</v>
      </c>
      <c r="M26" s="1295">
        <f>+(K26/K18-1)*100</f>
        <v>9.946236559139777</v>
      </c>
      <c r="N26" s="1296">
        <f>K26*O29/1000</f>
        <v>10.40095423340961</v>
      </c>
      <c r="O26" s="1297"/>
      <c r="P26" s="1295">
        <f>+(N26/N18-1)*100</f>
        <v>11.94075871656699</v>
      </c>
      <c r="Q26" s="1299"/>
      <c r="R26" s="1300"/>
      <c r="S26" s="1304"/>
      <c r="T26" s="1303"/>
      <c r="U26" s="1296"/>
      <c r="V26" s="1297"/>
      <c r="W26" s="1295"/>
      <c r="X26" s="1299"/>
      <c r="Y26" s="1300">
        <v>7</v>
      </c>
      <c r="Z26" s="1255">
        <f>+Y26-Y25</f>
        <v>0</v>
      </c>
      <c r="AA26" s="1297"/>
      <c r="AB26" s="1296">
        <f>Y26*AC29/1000</f>
        <v>0.11277777777777777</v>
      </c>
      <c r="AC26" s="1297"/>
      <c r="AD26" s="1295"/>
      <c r="AE26" s="1299"/>
      <c r="AF26" s="1300"/>
      <c r="AG26" s="1304"/>
      <c r="AH26" s="1301"/>
      <c r="AI26" s="1296"/>
      <c r="AJ26" s="1303"/>
      <c r="AK26" s="1315"/>
      <c r="AL26" s="1316"/>
      <c r="AM26" s="1300"/>
      <c r="AN26" s="1304"/>
      <c r="AO26" s="1303"/>
      <c r="AP26" s="1296"/>
      <c r="AQ26" s="1297"/>
      <c r="AR26" s="1295"/>
      <c r="AS26" s="1299"/>
      <c r="AT26" s="1300"/>
      <c r="AU26" s="1304"/>
      <c r="AV26" s="1303"/>
      <c r="AW26" s="1296"/>
      <c r="AX26" s="1303"/>
      <c r="AY26" s="1305"/>
      <c r="AZ26" s="1316"/>
      <c r="BA26" s="1300"/>
      <c r="BB26" s="1304"/>
      <c r="BC26" s="1303"/>
      <c r="BD26" s="1296"/>
      <c r="BE26" s="1303"/>
      <c r="BF26" s="1305"/>
      <c r="BG26" s="1305"/>
      <c r="BH26" s="1300"/>
      <c r="BI26" s="1304"/>
      <c r="BJ26" s="1303"/>
      <c r="BK26" s="1300"/>
      <c r="BL26" s="1303"/>
      <c r="BM26" s="1305"/>
      <c r="BN26" s="1305"/>
      <c r="BO26" s="1300"/>
      <c r="BP26" s="1304"/>
      <c r="BQ26" s="1303"/>
      <c r="BR26" s="1300"/>
      <c r="BS26" s="1303"/>
      <c r="BT26" s="1305"/>
      <c r="BU26" s="1305"/>
      <c r="BV26" s="1300"/>
      <c r="BW26" s="1304"/>
      <c r="BX26" s="1303"/>
      <c r="BY26" s="1300"/>
      <c r="BZ26" s="1303"/>
      <c r="CA26" s="1305"/>
      <c r="CB26" s="1299"/>
      <c r="CC26" s="1300"/>
      <c r="CD26" s="1304"/>
      <c r="CE26" s="1303"/>
      <c r="CF26" s="1300"/>
      <c r="CG26" s="1303"/>
      <c r="CH26" s="1305"/>
      <c r="CI26" s="1300"/>
      <c r="CJ26" s="1304"/>
      <c r="CK26" s="1303"/>
      <c r="CL26" s="1300"/>
      <c r="CM26" s="1303"/>
      <c r="CN26" s="1305"/>
      <c r="CO26" s="1305"/>
      <c r="CP26" s="1300"/>
      <c r="CQ26" s="1304"/>
      <c r="CR26" s="1303"/>
      <c r="CS26" s="1300"/>
      <c r="CT26" s="1303"/>
      <c r="CU26" s="1305"/>
      <c r="CV26" s="1299"/>
      <c r="CW26" s="1306">
        <f>+D26+Y26+AF26+AM26+AT26+BA26</f>
        <v>416</v>
      </c>
      <c r="CX26" s="1307">
        <f>+CW26-CW25</f>
        <v>9</v>
      </c>
      <c r="CY26" s="1295">
        <f>+(CW26/CW18-1)*100</f>
        <v>11.827956989247301</v>
      </c>
      <c r="CZ26" s="1304"/>
      <c r="DA26" s="1311"/>
      <c r="DB26" s="1310">
        <f>+G26+AB26+AI26+AP26+AW26</f>
        <v>10.513732011187388</v>
      </c>
      <c r="DC26" s="1297"/>
      <c r="DD26" s="1302"/>
      <c r="DE26" s="1266"/>
      <c r="DF26" s="1266"/>
      <c r="DG26" s="1266"/>
      <c r="DH26" s="1266"/>
      <c r="DI26" s="1266"/>
      <c r="DJ26" s="1266"/>
      <c r="DK26" s="1266"/>
      <c r="DL26" s="1266"/>
      <c r="DM26" s="1266"/>
      <c r="DN26" s="1266"/>
      <c r="DO26" s="1266"/>
      <c r="DP26" s="1266"/>
      <c r="DQ26" s="1266"/>
    </row>
    <row r="27" spans="1:121" ht="13.5" hidden="1" outlineLevel="1">
      <c r="A27" s="1266" t="str">
        <f>$A$19</f>
        <v>3Q</v>
      </c>
      <c r="B27" s="1266" t="str">
        <f>$B$19</f>
        <v>Oct</v>
      </c>
      <c r="C27" s="1266"/>
      <c r="D27" s="1294">
        <f>+K27+R27</f>
        <v>423</v>
      </c>
      <c r="E27" s="1255">
        <f>+D27-D26</f>
        <v>14</v>
      </c>
      <c r="F27" s="1295">
        <f>+(D27/D19-1)*100</f>
        <v>10.15625</v>
      </c>
      <c r="G27" s="1296">
        <f>+N27+U27</f>
        <v>10.756977116704803</v>
      </c>
      <c r="H27" s="1297"/>
      <c r="I27" s="1295">
        <f>+(G27/G19-1)*100</f>
        <v>12.154581987342826</v>
      </c>
      <c r="J27" s="1266"/>
      <c r="K27" s="1300">
        <v>423</v>
      </c>
      <c r="L27" s="1255">
        <f>+K27-K26</f>
        <v>14</v>
      </c>
      <c r="M27" s="1295">
        <f>+(K27/K19-1)*100</f>
        <v>10.15625</v>
      </c>
      <c r="N27" s="1296">
        <f>+K27*O29/1000</f>
        <v>10.756977116704803</v>
      </c>
      <c r="O27" s="1297"/>
      <c r="P27" s="1295">
        <f>+(N27/N19-1)*100</f>
        <v>12.154581987342826</v>
      </c>
      <c r="Q27" s="1299"/>
      <c r="R27" s="1300"/>
      <c r="S27" s="1304"/>
      <c r="T27" s="1303"/>
      <c r="U27" s="1296"/>
      <c r="V27" s="1297"/>
      <c r="W27" s="1295"/>
      <c r="X27" s="1299"/>
      <c r="Y27" s="1300">
        <v>9</v>
      </c>
      <c r="Z27" s="1255">
        <f>+Y27-Y26</f>
        <v>2</v>
      </c>
      <c r="AA27" s="1297"/>
      <c r="AB27" s="1296">
        <f>+Y27*AC29/1000</f>
        <v>0.14499999999999999</v>
      </c>
      <c r="AC27" s="1297"/>
      <c r="AD27" s="1295"/>
      <c r="AE27" s="1299"/>
      <c r="AF27" s="1300"/>
      <c r="AG27" s="1304"/>
      <c r="AH27" s="1301"/>
      <c r="AI27" s="1296"/>
      <c r="AJ27" s="1303"/>
      <c r="AK27" s="1315"/>
      <c r="AL27" s="1316"/>
      <c r="AM27" s="1300"/>
      <c r="AN27" s="1304"/>
      <c r="AO27" s="1303"/>
      <c r="AP27" s="1296"/>
      <c r="AQ27" s="1297"/>
      <c r="AR27" s="1295"/>
      <c r="AS27" s="1299"/>
      <c r="AT27" s="1300"/>
      <c r="AU27" s="1304"/>
      <c r="AV27" s="1303"/>
      <c r="AW27" s="1296"/>
      <c r="AX27" s="1303"/>
      <c r="AY27" s="1305"/>
      <c r="AZ27" s="1316"/>
      <c r="BA27" s="1300"/>
      <c r="BB27" s="1304"/>
      <c r="BC27" s="1303"/>
      <c r="BD27" s="1296"/>
      <c r="BE27" s="1303"/>
      <c r="BF27" s="1305"/>
      <c r="BG27" s="1305"/>
      <c r="BH27" s="1300"/>
      <c r="BI27" s="1304"/>
      <c r="BJ27" s="1303"/>
      <c r="BK27" s="1300"/>
      <c r="BL27" s="1303"/>
      <c r="BM27" s="1305"/>
      <c r="BN27" s="1305"/>
      <c r="BO27" s="1300"/>
      <c r="BP27" s="1304"/>
      <c r="BQ27" s="1303"/>
      <c r="BR27" s="1300"/>
      <c r="BS27" s="1303"/>
      <c r="BT27" s="1305"/>
      <c r="BU27" s="1305"/>
      <c r="BV27" s="1300"/>
      <c r="BW27" s="1304"/>
      <c r="BX27" s="1303"/>
      <c r="BY27" s="1300"/>
      <c r="BZ27" s="1303"/>
      <c r="CA27" s="1305"/>
      <c r="CB27" s="1299"/>
      <c r="CC27" s="1300"/>
      <c r="CD27" s="1304"/>
      <c r="CE27" s="1303"/>
      <c r="CF27" s="1300"/>
      <c r="CG27" s="1303"/>
      <c r="CH27" s="1305"/>
      <c r="CI27" s="1300"/>
      <c r="CJ27" s="1304"/>
      <c r="CK27" s="1303"/>
      <c r="CL27" s="1300"/>
      <c r="CM27" s="1303"/>
      <c r="CN27" s="1305"/>
      <c r="CO27" s="1305"/>
      <c r="CP27" s="1300"/>
      <c r="CQ27" s="1304"/>
      <c r="CR27" s="1303"/>
      <c r="CS27" s="1300"/>
      <c r="CT27" s="1303"/>
      <c r="CU27" s="1305"/>
      <c r="CV27" s="1299"/>
      <c r="CW27" s="1306">
        <f>+D27+Y27+AF27+AM27+AT27+BA27</f>
        <v>432</v>
      </c>
      <c r="CX27" s="1307">
        <f>+CW27-CW26</f>
        <v>16</v>
      </c>
      <c r="CY27" s="1295">
        <f>+(CW27/CW19-1)*100</f>
        <v>12.5</v>
      </c>
      <c r="CZ27" s="1304"/>
      <c r="DA27" s="1311"/>
      <c r="DB27" s="1310">
        <f>+G27+AB27+AI27+AP27+AW27</f>
        <v>10.901977116704803</v>
      </c>
      <c r="DC27" s="1297"/>
      <c r="DD27" s="1302"/>
      <c r="DE27" s="1266"/>
      <c r="DF27" s="1266"/>
      <c r="DG27" s="1266"/>
      <c r="DH27" s="1266"/>
      <c r="DI27" s="1266"/>
      <c r="DJ27" s="1266"/>
      <c r="DK27" s="1266"/>
      <c r="DL27" s="1266"/>
      <c r="DM27" s="1266"/>
      <c r="DN27" s="1266"/>
      <c r="DO27" s="1266"/>
      <c r="DP27" s="1266"/>
      <c r="DQ27" s="1266"/>
    </row>
    <row r="28" spans="1:121" ht="13.5" hidden="1" outlineLevel="1">
      <c r="A28" s="1266" t="str">
        <f>$A$20</f>
        <v>4Q</v>
      </c>
      <c r="B28" s="1266" t="str">
        <f>$B$20</f>
        <v>Jan</v>
      </c>
      <c r="C28" s="1266"/>
      <c r="D28" s="1312">
        <f>+K28+R28</f>
        <v>437</v>
      </c>
      <c r="E28" s="1255">
        <f>+D28-D27</f>
        <v>14</v>
      </c>
      <c r="F28" s="1295">
        <f>+(D28/D20-1)*100</f>
        <v>11.195928753180651</v>
      </c>
      <c r="G28" s="1313">
        <f>+N28+U28</f>
        <v>11.113</v>
      </c>
      <c r="H28" s="1297"/>
      <c r="I28" s="1295">
        <f>+(G28/G20-1)*100</f>
        <v>13.213121434392816</v>
      </c>
      <c r="J28" s="1266"/>
      <c r="K28" s="1314">
        <v>437</v>
      </c>
      <c r="L28" s="1255">
        <f>+K28-K27</f>
        <v>14</v>
      </c>
      <c r="M28" s="1295">
        <f>+(K28/K20-1)*100</f>
        <v>11.195928753180651</v>
      </c>
      <c r="N28" s="1313">
        <f>+K28*O29/1000</f>
        <v>11.113</v>
      </c>
      <c r="O28" s="1297"/>
      <c r="P28" s="1295">
        <f>+(N28/N20-1)*100</f>
        <v>13.213121434392816</v>
      </c>
      <c r="Q28" s="1299"/>
      <c r="R28" s="1300"/>
      <c r="S28" s="1304"/>
      <c r="T28" s="1303"/>
      <c r="U28" s="1313"/>
      <c r="V28" s="1297"/>
      <c r="W28" s="1295"/>
      <c r="X28" s="1299"/>
      <c r="Y28" s="1314">
        <v>9</v>
      </c>
      <c r="Z28" s="1255">
        <f>+Y28-Y27</f>
        <v>0</v>
      </c>
      <c r="AA28" s="1297"/>
      <c r="AB28" s="1313">
        <f>+Y28*AC29/1000</f>
        <v>0.14499999999999999</v>
      </c>
      <c r="AC28" s="1297"/>
      <c r="AD28" s="1295"/>
      <c r="AE28" s="1299"/>
      <c r="AF28" s="1300"/>
      <c r="AG28" s="1304"/>
      <c r="AH28" s="1301"/>
      <c r="AI28" s="1313"/>
      <c r="AJ28" s="1303"/>
      <c r="AK28" s="1315"/>
      <c r="AL28" s="1316"/>
      <c r="AM28" s="1300"/>
      <c r="AN28" s="1304"/>
      <c r="AO28" s="1303"/>
      <c r="AP28" s="1313"/>
      <c r="AQ28" s="1297"/>
      <c r="AR28" s="1295"/>
      <c r="AS28" s="1299"/>
      <c r="AT28" s="1300"/>
      <c r="AU28" s="1304"/>
      <c r="AV28" s="1303"/>
      <c r="AW28" s="1313"/>
      <c r="AX28" s="1303"/>
      <c r="AY28" s="1305"/>
      <c r="AZ28" s="1316"/>
      <c r="BA28" s="1300"/>
      <c r="BB28" s="1304"/>
      <c r="BC28" s="1303"/>
      <c r="BD28" s="1313"/>
      <c r="BE28" s="1303"/>
      <c r="BF28" s="1305"/>
      <c r="BG28" s="1305"/>
      <c r="BH28" s="1300"/>
      <c r="BI28" s="1304"/>
      <c r="BJ28" s="1303"/>
      <c r="BK28" s="1294"/>
      <c r="BL28" s="1303"/>
      <c r="BM28" s="1305"/>
      <c r="BN28" s="1305"/>
      <c r="BO28" s="1300"/>
      <c r="BP28" s="1304"/>
      <c r="BQ28" s="1303"/>
      <c r="BR28" s="1294"/>
      <c r="BS28" s="1303"/>
      <c r="BT28" s="1305"/>
      <c r="BU28" s="1305"/>
      <c r="BV28" s="1300"/>
      <c r="BW28" s="1304"/>
      <c r="BX28" s="1303"/>
      <c r="BY28" s="1294"/>
      <c r="BZ28" s="1303"/>
      <c r="CA28" s="1305"/>
      <c r="CB28" s="1299"/>
      <c r="CC28" s="1300"/>
      <c r="CD28" s="1304"/>
      <c r="CE28" s="1303"/>
      <c r="CF28" s="1294"/>
      <c r="CG28" s="1303"/>
      <c r="CH28" s="1305"/>
      <c r="CI28" s="1300"/>
      <c r="CJ28" s="1304"/>
      <c r="CK28" s="1303"/>
      <c r="CL28" s="1294"/>
      <c r="CM28" s="1303"/>
      <c r="CN28" s="1305"/>
      <c r="CO28" s="1305"/>
      <c r="CP28" s="1300"/>
      <c r="CQ28" s="1304"/>
      <c r="CR28" s="1303"/>
      <c r="CS28" s="1294"/>
      <c r="CT28" s="1303"/>
      <c r="CU28" s="1305"/>
      <c r="CV28" s="1299"/>
      <c r="CW28" s="1312">
        <f>+D28+Y28+AF28+AM28+AT28+BA28</f>
        <v>446</v>
      </c>
      <c r="CX28" s="1307">
        <f>+CW28-CW27</f>
        <v>14</v>
      </c>
      <c r="CY28" s="1295">
        <f>+(CW28/CW20-1)*100</f>
        <v>13.486005089058528</v>
      </c>
      <c r="CZ28" s="1304"/>
      <c r="DA28" s="1311"/>
      <c r="DB28" s="1313">
        <f>+G28+AB28+AI28+AP28+AW28</f>
        <v>11.257999999999999</v>
      </c>
      <c r="DC28" s="1297"/>
      <c r="DD28" s="1302"/>
      <c r="DE28" s="1266"/>
      <c r="DF28" s="1266"/>
      <c r="DG28" s="1266"/>
      <c r="DH28" s="1266"/>
      <c r="DI28" s="1266"/>
      <c r="DJ28" s="1266"/>
      <c r="DK28" s="1266"/>
      <c r="DL28" s="1266"/>
      <c r="DM28" s="1266"/>
      <c r="DN28" s="1266"/>
      <c r="DO28" s="1266"/>
      <c r="DP28" s="1266"/>
      <c r="DQ28" s="1266"/>
    </row>
    <row r="29" spans="1:121" ht="13.5" hidden="1" outlineLevel="1">
      <c r="A29" s="1266"/>
      <c r="B29" s="1266" t="str">
        <f>$B$21</f>
        <v>Year</v>
      </c>
      <c r="C29" s="1266"/>
      <c r="D29" s="1306">
        <f>+D28</f>
        <v>437</v>
      </c>
      <c r="E29" s="1317">
        <f>+D29-D21</f>
        <v>44</v>
      </c>
      <c r="F29" s="1295">
        <f>+(D29/D21-1)*100</f>
        <v>11.195928753180651</v>
      </c>
      <c r="G29" s="1296">
        <f>+N29+U29</f>
        <v>11.113</v>
      </c>
      <c r="H29" s="1297">
        <f>+G29/D29*1000</f>
        <v>25.430205949656749</v>
      </c>
      <c r="I29" s="1295">
        <f>+(G29/G21-1)*100</f>
        <v>13.213121434392816</v>
      </c>
      <c r="J29" s="1266"/>
      <c r="K29" s="1306">
        <f>+K28</f>
        <v>437</v>
      </c>
      <c r="L29" s="1317">
        <f>+K29-K21</f>
        <v>44</v>
      </c>
      <c r="M29" s="1295">
        <f>+(K29/K21-1)*100</f>
        <v>11.195928753180651</v>
      </c>
      <c r="N29" s="1318">
        <v>11.113</v>
      </c>
      <c r="O29" s="1297">
        <f>+N29/K29*1000</f>
        <v>25.430205949656749</v>
      </c>
      <c r="P29" s="1295">
        <f>+(N29/N21-1)*100</f>
        <v>13.213121434392816</v>
      </c>
      <c r="Q29" s="1299"/>
      <c r="R29" s="1294"/>
      <c r="S29" s="1320"/>
      <c r="T29" s="1305"/>
      <c r="U29" s="1318"/>
      <c r="V29" s="1297"/>
      <c r="W29" s="1295"/>
      <c r="X29" s="1299"/>
      <c r="Y29" s="1306">
        <f>+Y28</f>
        <v>9</v>
      </c>
      <c r="Z29" s="1317">
        <f>+Y29-Y21</f>
        <v>4</v>
      </c>
      <c r="AA29" s="1295"/>
      <c r="AB29" s="1318">
        <v>0.14499999999999999</v>
      </c>
      <c r="AC29" s="1297">
        <f>+AB29/Y29*1000</f>
        <v>16.111111111111111</v>
      </c>
      <c r="AD29" s="1295"/>
      <c r="AE29" s="1299"/>
      <c r="AF29" s="1294"/>
      <c r="AG29" s="1320"/>
      <c r="AH29" s="1305"/>
      <c r="AI29" s="1318"/>
      <c r="AJ29" s="1303"/>
      <c r="AK29" s="1305"/>
      <c r="AL29" s="1316"/>
      <c r="AM29" s="1294"/>
      <c r="AN29" s="1320"/>
      <c r="AO29" s="1305"/>
      <c r="AP29" s="1318"/>
      <c r="AQ29" s="1297"/>
      <c r="AR29" s="1295"/>
      <c r="AS29" s="1299"/>
      <c r="AT29" s="1294"/>
      <c r="AU29" s="1320"/>
      <c r="AV29" s="1305"/>
      <c r="AW29" s="1318"/>
      <c r="AX29" s="1303"/>
      <c r="AY29" s="1305"/>
      <c r="AZ29" s="1316"/>
      <c r="BA29" s="1294"/>
      <c r="BB29" s="1320"/>
      <c r="BC29" s="1303"/>
      <c r="BD29" s="1318"/>
      <c r="BE29" s="1303"/>
      <c r="BF29" s="1305"/>
      <c r="BG29" s="1305"/>
      <c r="BH29" s="1294"/>
      <c r="BI29" s="1320"/>
      <c r="BJ29" s="1303"/>
      <c r="BK29" s="1300"/>
      <c r="BL29" s="1303"/>
      <c r="BM29" s="1305"/>
      <c r="BN29" s="1305"/>
      <c r="BO29" s="1294"/>
      <c r="BP29" s="1320"/>
      <c r="BQ29" s="1303"/>
      <c r="BR29" s="1300"/>
      <c r="BS29" s="1303"/>
      <c r="BT29" s="1305"/>
      <c r="BU29" s="1305"/>
      <c r="BV29" s="1294"/>
      <c r="BW29" s="1320"/>
      <c r="BX29" s="1303"/>
      <c r="BY29" s="1300"/>
      <c r="BZ29" s="1303"/>
      <c r="CA29" s="1305"/>
      <c r="CB29" s="1299"/>
      <c r="CC29" s="1294"/>
      <c r="CD29" s="1320"/>
      <c r="CE29" s="1303"/>
      <c r="CF29" s="1300"/>
      <c r="CG29" s="1303"/>
      <c r="CH29" s="1305"/>
      <c r="CI29" s="1294"/>
      <c r="CJ29" s="1320"/>
      <c r="CK29" s="1303"/>
      <c r="CL29" s="1300"/>
      <c r="CM29" s="1303"/>
      <c r="CN29" s="1305"/>
      <c r="CO29" s="1305"/>
      <c r="CP29" s="1294"/>
      <c r="CQ29" s="1320"/>
      <c r="CR29" s="1303"/>
      <c r="CS29" s="1300"/>
      <c r="CT29" s="1303"/>
      <c r="CU29" s="1305"/>
      <c r="CV29" s="1299"/>
      <c r="CW29" s="1306">
        <f>+D29+Y29+AF29+AM29+AT29+BA29</f>
        <v>446</v>
      </c>
      <c r="CX29" s="1317">
        <f>+CW29-CW21</f>
        <v>48</v>
      </c>
      <c r="CY29" s="1295">
        <f>+(CW29/CW21-1)*100</f>
        <v>12.060301507537696</v>
      </c>
      <c r="CZ29" s="1317"/>
      <c r="DA29" s="1330"/>
      <c r="DB29" s="1296">
        <f>+G29+AB29+AI29+AP29+AW29</f>
        <v>11.257999999999999</v>
      </c>
      <c r="DC29" s="1297"/>
      <c r="DD29" s="1302"/>
      <c r="DE29" s="1266"/>
      <c r="DF29" s="1266"/>
      <c r="DG29" s="1266"/>
      <c r="DH29" s="1266"/>
      <c r="DI29" s="1266"/>
      <c r="DJ29" s="1266"/>
      <c r="DK29" s="1266"/>
      <c r="DL29" s="1266"/>
      <c r="DM29" s="1266"/>
      <c r="DN29" s="1266"/>
      <c r="DO29" s="1266"/>
      <c r="DP29" s="1266"/>
      <c r="DQ29" s="1266"/>
    </row>
    <row r="30" spans="1:121" ht="13.5" hidden="1" outlineLevel="1">
      <c r="A30" s="1266"/>
      <c r="B30" s="1266" t="s">
        <v>646</v>
      </c>
      <c r="C30" s="1266"/>
      <c r="D30" s="1306"/>
      <c r="E30" s="1317"/>
      <c r="F30" s="1323"/>
      <c r="G30" s="1296"/>
      <c r="H30" s="1297"/>
      <c r="I30" s="1295"/>
      <c r="J30" s="1266"/>
      <c r="K30" s="1306"/>
      <c r="L30" s="1256">
        <v>45</v>
      </c>
      <c r="M30" s="1324">
        <v>-1</v>
      </c>
      <c r="N30" s="1325" t="str">
        <f>IF(SUM(L30:M30)=L29,"","N")</f>
        <v/>
      </c>
      <c r="O30" s="1297"/>
      <c r="P30" s="1295"/>
      <c r="Q30" s="1299"/>
      <c r="R30" s="1294"/>
      <c r="S30" s="1256"/>
      <c r="T30" s="1324"/>
      <c r="U30" s="1325"/>
      <c r="V30" s="1297"/>
      <c r="W30" s="1295"/>
      <c r="X30" s="1299"/>
      <c r="Y30" s="1306"/>
      <c r="Z30" s="1256">
        <v>4</v>
      </c>
      <c r="AA30" s="1324">
        <v>0</v>
      </c>
      <c r="AB30" s="1325"/>
      <c r="AC30" s="1297"/>
      <c r="AD30" s="1295"/>
      <c r="AE30" s="1299"/>
      <c r="AF30" s="1294"/>
      <c r="AG30" s="1326"/>
      <c r="AH30" s="1327"/>
      <c r="AI30" s="1325"/>
      <c r="AJ30" s="1303"/>
      <c r="AK30" s="1305"/>
      <c r="AL30" s="1316"/>
      <c r="AM30" s="1294"/>
      <c r="AN30" s="1326"/>
      <c r="AO30" s="1327"/>
      <c r="AP30" s="1325"/>
      <c r="AQ30" s="1297"/>
      <c r="AR30" s="1295"/>
      <c r="AS30" s="1299"/>
      <c r="AT30" s="1294"/>
      <c r="AU30" s="1326"/>
      <c r="AV30" s="1327"/>
      <c r="AW30" s="1325"/>
      <c r="AX30" s="1303"/>
      <c r="AY30" s="1305"/>
      <c r="AZ30" s="1316"/>
      <c r="BA30" s="1294"/>
      <c r="BB30" s="1256"/>
      <c r="BC30" s="1324"/>
      <c r="BD30" s="1325"/>
      <c r="BE30" s="1303"/>
      <c r="BF30" s="1305"/>
      <c r="BG30" s="1305"/>
      <c r="BH30" s="1294"/>
      <c r="BI30" s="1256"/>
      <c r="BJ30" s="1324"/>
      <c r="BK30" s="1300"/>
      <c r="BL30" s="1303"/>
      <c r="BM30" s="1305"/>
      <c r="BN30" s="1305"/>
      <c r="BO30" s="1294"/>
      <c r="BP30" s="1256"/>
      <c r="BQ30" s="1324"/>
      <c r="BR30" s="1300"/>
      <c r="BS30" s="1303"/>
      <c r="BT30" s="1305"/>
      <c r="BU30" s="1305"/>
      <c r="BV30" s="1294"/>
      <c r="BW30" s="1256"/>
      <c r="BX30" s="1324"/>
      <c r="BY30" s="1300"/>
      <c r="BZ30" s="1303"/>
      <c r="CA30" s="1305"/>
      <c r="CB30" s="1299"/>
      <c r="CC30" s="1294"/>
      <c r="CD30" s="1256"/>
      <c r="CE30" s="1324"/>
      <c r="CF30" s="1300"/>
      <c r="CG30" s="1303"/>
      <c r="CH30" s="1305"/>
      <c r="CI30" s="1294"/>
      <c r="CJ30" s="1256"/>
      <c r="CK30" s="1324"/>
      <c r="CL30" s="1300"/>
      <c r="CM30" s="1303"/>
      <c r="CN30" s="1305"/>
      <c r="CO30" s="1305"/>
      <c r="CP30" s="1294"/>
      <c r="CQ30" s="1256"/>
      <c r="CR30" s="1324"/>
      <c r="CS30" s="1300"/>
      <c r="CT30" s="1303"/>
      <c r="CU30" s="1305"/>
      <c r="CV30" s="1299"/>
      <c r="CW30" s="1306"/>
      <c r="CX30" s="1317">
        <f>+L30+S30+Z30+AG30+AN30+AU30</f>
        <v>49</v>
      </c>
      <c r="CY30" s="1323">
        <f>+M30+T30+AA30+AH30+AO30+AV30</f>
        <v>-1</v>
      </c>
      <c r="CZ30" s="1320"/>
      <c r="DA30" s="1322"/>
      <c r="DB30" s="1296"/>
      <c r="DC30" s="1297"/>
      <c r="DD30" s="1302"/>
      <c r="DE30" s="1266"/>
      <c r="DF30" s="1266"/>
      <c r="DG30" s="1266"/>
      <c r="DH30" s="1266"/>
      <c r="DI30" s="1266"/>
      <c r="DJ30" s="1266"/>
      <c r="DK30" s="1266"/>
      <c r="DL30" s="1266"/>
      <c r="DM30" s="1266"/>
      <c r="DN30" s="1266"/>
      <c r="DO30" s="1266"/>
      <c r="DP30" s="1266"/>
      <c r="DQ30" s="1266"/>
    </row>
    <row r="31" spans="1:121" ht="13.5" hidden="1" outlineLevel="1">
      <c r="A31" s="1266"/>
      <c r="B31" s="1266"/>
      <c r="C31" s="1266"/>
      <c r="D31" s="1290"/>
      <c r="E31" s="1292"/>
      <c r="F31" s="1290"/>
      <c r="G31" s="1293"/>
      <c r="H31" s="1268"/>
      <c r="I31" s="1270"/>
      <c r="J31" s="1266"/>
      <c r="K31" s="1268"/>
      <c r="L31" s="1292"/>
      <c r="M31" s="1268"/>
      <c r="N31" s="1266"/>
      <c r="O31" s="1268"/>
      <c r="P31" s="1270"/>
      <c r="Q31" s="1268"/>
      <c r="R31" s="1290"/>
      <c r="S31" s="1292"/>
      <c r="T31" s="1290"/>
      <c r="U31" s="1266"/>
      <c r="V31" s="1268"/>
      <c r="W31" s="1270"/>
      <c r="X31" s="1268"/>
      <c r="Y31" s="1268"/>
      <c r="Z31" s="1292"/>
      <c r="AA31" s="1268"/>
      <c r="AB31" s="1266"/>
      <c r="AC31" s="1268"/>
      <c r="AD31" s="1270"/>
      <c r="AE31" s="1268"/>
      <c r="AF31" s="1290"/>
      <c r="AG31" s="1292"/>
      <c r="AH31" s="1291"/>
      <c r="AI31" s="1266"/>
      <c r="AJ31" s="1290"/>
      <c r="AK31" s="1290"/>
      <c r="AL31" s="1290"/>
      <c r="AM31" s="1290"/>
      <c r="AN31" s="1292"/>
      <c r="AO31" s="1290"/>
      <c r="AP31" s="1266"/>
      <c r="AQ31" s="1268"/>
      <c r="AR31" s="1270"/>
      <c r="AS31" s="1268"/>
      <c r="AT31" s="1290"/>
      <c r="AU31" s="1292"/>
      <c r="AV31" s="1293"/>
      <c r="AW31" s="1266"/>
      <c r="AX31" s="1290"/>
      <c r="AY31" s="1291"/>
      <c r="AZ31" s="1293"/>
      <c r="BA31" s="1290"/>
      <c r="BB31" s="1292"/>
      <c r="BC31" s="1293"/>
      <c r="BD31" s="1266"/>
      <c r="BE31" s="1290"/>
      <c r="BF31" s="1291"/>
      <c r="BG31" s="1291"/>
      <c r="BH31" s="1290"/>
      <c r="BI31" s="1292"/>
      <c r="BJ31" s="1293"/>
      <c r="BK31" s="1293"/>
      <c r="BL31" s="1290"/>
      <c r="BM31" s="1291"/>
      <c r="BN31" s="1291"/>
      <c r="BO31" s="1290"/>
      <c r="BP31" s="1292"/>
      <c r="BQ31" s="1293"/>
      <c r="BR31" s="1293"/>
      <c r="BS31" s="1290"/>
      <c r="BT31" s="1291"/>
      <c r="BU31" s="1291"/>
      <c r="BV31" s="1290"/>
      <c r="BW31" s="1292"/>
      <c r="BX31" s="1293"/>
      <c r="BY31" s="1293"/>
      <c r="BZ31" s="1290"/>
      <c r="CA31" s="1291"/>
      <c r="CB31" s="1266"/>
      <c r="CC31" s="1290"/>
      <c r="CD31" s="1292"/>
      <c r="CE31" s="1293"/>
      <c r="CF31" s="1293"/>
      <c r="CG31" s="1290"/>
      <c r="CH31" s="1291"/>
      <c r="CI31" s="1290"/>
      <c r="CJ31" s="1292"/>
      <c r="CK31" s="1293"/>
      <c r="CL31" s="1293"/>
      <c r="CM31" s="1290"/>
      <c r="CN31" s="1291"/>
      <c r="CO31" s="1291"/>
      <c r="CP31" s="1290"/>
      <c r="CQ31" s="1292"/>
      <c r="CR31" s="1293"/>
      <c r="CS31" s="1293"/>
      <c r="CT31" s="1290"/>
      <c r="CU31" s="1291"/>
      <c r="CV31" s="1266"/>
      <c r="CW31" s="1293"/>
      <c r="CX31" s="1266"/>
      <c r="CY31" s="1266"/>
      <c r="CZ31" s="1292"/>
      <c r="DA31" s="1291"/>
      <c r="DB31" s="1293"/>
      <c r="DC31" s="1268"/>
      <c r="DD31" s="1268"/>
      <c r="DE31" s="1266"/>
      <c r="DF31" s="1266"/>
      <c r="DG31" s="1266"/>
      <c r="DH31" s="1266"/>
      <c r="DI31" s="1266"/>
      <c r="DJ31" s="1266"/>
      <c r="DK31" s="1266"/>
      <c r="DL31" s="1266"/>
      <c r="DM31" s="1266"/>
      <c r="DN31" s="1266"/>
      <c r="DO31" s="1266"/>
      <c r="DP31" s="1266"/>
      <c r="DQ31" s="1266"/>
    </row>
    <row r="32" spans="1:121" ht="14.25" hidden="1" outlineLevel="1">
      <c r="A32" s="2119">
        <f>+A24+1</f>
        <v>1992</v>
      </c>
      <c r="B32" s="2119"/>
      <c r="C32" s="1266"/>
      <c r="D32" s="1290"/>
      <c r="E32" s="1292"/>
      <c r="F32" s="1290"/>
      <c r="G32" s="1293"/>
      <c r="H32" s="1268"/>
      <c r="I32" s="1270"/>
      <c r="J32" s="1266"/>
      <c r="K32" s="1268"/>
      <c r="L32" s="1292"/>
      <c r="M32" s="1268"/>
      <c r="N32" s="1266"/>
      <c r="O32" s="1268"/>
      <c r="P32" s="1270"/>
      <c r="Q32" s="1268"/>
      <c r="R32" s="1290"/>
      <c r="S32" s="1292"/>
      <c r="T32" s="1290"/>
      <c r="U32" s="1266"/>
      <c r="V32" s="1268"/>
      <c r="W32" s="1270"/>
      <c r="X32" s="1268"/>
      <c r="Y32" s="1268"/>
      <c r="Z32" s="1292"/>
      <c r="AA32" s="1268"/>
      <c r="AB32" s="1266"/>
      <c r="AC32" s="1268"/>
      <c r="AD32" s="1270"/>
      <c r="AE32" s="1268"/>
      <c r="AF32" s="1290"/>
      <c r="AG32" s="1292"/>
      <c r="AH32" s="1291"/>
      <c r="AI32" s="1266"/>
      <c r="AJ32" s="1268"/>
      <c r="AK32" s="1268"/>
      <c r="AL32" s="1268"/>
      <c r="AM32" s="1268"/>
      <c r="AN32" s="1292"/>
      <c r="AO32" s="1268"/>
      <c r="AP32" s="1266"/>
      <c r="AQ32" s="1268"/>
      <c r="AR32" s="1270"/>
      <c r="AS32" s="1268"/>
      <c r="AT32" s="1290"/>
      <c r="AU32" s="1292"/>
      <c r="AV32" s="1293"/>
      <c r="AW32" s="1266"/>
      <c r="AX32" s="1290"/>
      <c r="AY32" s="1291"/>
      <c r="AZ32" s="1293"/>
      <c r="BA32" s="1290"/>
      <c r="BB32" s="1292"/>
      <c r="BC32" s="1293"/>
      <c r="BD32" s="1266"/>
      <c r="BE32" s="1290"/>
      <c r="BF32" s="1291"/>
      <c r="BG32" s="1291"/>
      <c r="BH32" s="1290"/>
      <c r="BI32" s="1292"/>
      <c r="BJ32" s="1293"/>
      <c r="BK32" s="1293"/>
      <c r="BL32" s="1290"/>
      <c r="BM32" s="1291"/>
      <c r="BN32" s="1291"/>
      <c r="BO32" s="1290"/>
      <c r="BP32" s="1292"/>
      <c r="BQ32" s="1293"/>
      <c r="BR32" s="1293"/>
      <c r="BS32" s="1290"/>
      <c r="BT32" s="1291"/>
      <c r="BU32" s="1291"/>
      <c r="BV32" s="1290"/>
      <c r="BW32" s="1292"/>
      <c r="BX32" s="1293"/>
      <c r="BY32" s="1293"/>
      <c r="BZ32" s="1290"/>
      <c r="CA32" s="1291"/>
      <c r="CB32" s="1266"/>
      <c r="CC32" s="1290"/>
      <c r="CD32" s="1292"/>
      <c r="CE32" s="1293"/>
      <c r="CF32" s="1293"/>
      <c r="CG32" s="1290"/>
      <c r="CH32" s="1291"/>
      <c r="CI32" s="1290"/>
      <c r="CJ32" s="1292"/>
      <c r="CK32" s="1293"/>
      <c r="CL32" s="1293"/>
      <c r="CM32" s="1290"/>
      <c r="CN32" s="1291"/>
      <c r="CO32" s="1291"/>
      <c r="CP32" s="1290"/>
      <c r="CQ32" s="1292"/>
      <c r="CR32" s="1293"/>
      <c r="CS32" s="1293"/>
      <c r="CT32" s="1290"/>
      <c r="CU32" s="1291"/>
      <c r="CV32" s="1266"/>
      <c r="CW32" s="1293"/>
      <c r="CX32" s="1266"/>
      <c r="CY32" s="1266"/>
      <c r="CZ32" s="1292"/>
      <c r="DA32" s="1291"/>
      <c r="DB32" s="1293"/>
      <c r="DC32" s="1268"/>
      <c r="DD32" s="1268"/>
      <c r="DE32" s="1266"/>
      <c r="DF32" s="1266"/>
      <c r="DG32" s="1266"/>
      <c r="DH32" s="1266"/>
      <c r="DI32" s="1266"/>
      <c r="DJ32" s="1266"/>
      <c r="DK32" s="1266"/>
      <c r="DL32" s="1266"/>
      <c r="DM32" s="1266"/>
      <c r="DN32" s="1266"/>
      <c r="DO32" s="1266"/>
      <c r="DP32" s="1266"/>
      <c r="DQ32" s="1266"/>
    </row>
    <row r="33" spans="1:121" ht="13.5" hidden="1" outlineLevel="1">
      <c r="A33" s="1266" t="str">
        <f>$A$17</f>
        <v>1Q</v>
      </c>
      <c r="B33" s="1266" t="str">
        <f>$B$17</f>
        <v>Apr</v>
      </c>
      <c r="C33" s="1266"/>
      <c r="D33" s="1294">
        <f>+K33+R33</f>
        <v>441</v>
      </c>
      <c r="E33" s="1255">
        <f>+D33-D28</f>
        <v>4</v>
      </c>
      <c r="F33" s="1295">
        <f>+(D33/D25-1)*100</f>
        <v>10.250000000000004</v>
      </c>
      <c r="G33" s="1296">
        <f>+N33+U33</f>
        <v>11.562670146137785</v>
      </c>
      <c r="H33" s="1297"/>
      <c r="I33" s="1295">
        <f>+(G33/G25-1)*100</f>
        <v>13.670630204764977</v>
      </c>
      <c r="J33" s="1266"/>
      <c r="K33" s="1298">
        <v>441</v>
      </c>
      <c r="L33" s="1255">
        <f>+K33-K28</f>
        <v>4</v>
      </c>
      <c r="M33" s="1295">
        <f>+(K33/K25-1)*100</f>
        <v>10.250000000000004</v>
      </c>
      <c r="N33" s="1296">
        <f>+K33*O37/1000</f>
        <v>11.562670146137785</v>
      </c>
      <c r="O33" s="1297"/>
      <c r="P33" s="1295">
        <f>+(N33/N25-1)*100</f>
        <v>13.670630204764977</v>
      </c>
      <c r="Q33" s="1299"/>
      <c r="R33" s="1300"/>
      <c r="S33" s="1304"/>
      <c r="T33" s="1303"/>
      <c r="U33" s="1296"/>
      <c r="V33" s="1297"/>
      <c r="W33" s="1295"/>
      <c r="X33" s="1299"/>
      <c r="Y33" s="1298">
        <v>11</v>
      </c>
      <c r="Z33" s="1255">
        <f>+Y33-Y28</f>
        <v>2</v>
      </c>
      <c r="AA33" s="1295">
        <f>+(Y33/Y25-1)*100</f>
        <v>57.142857142857139</v>
      </c>
      <c r="AB33" s="1296">
        <f>+Y33*AC37/1000</f>
        <v>0.20240000000000002</v>
      </c>
      <c r="AC33" s="1297"/>
      <c r="AD33" s="1295">
        <f>+(AB33/AB25-1)*100</f>
        <v>79.467980295566548</v>
      </c>
      <c r="AE33" s="1299"/>
      <c r="AF33" s="1300"/>
      <c r="AG33" s="1304"/>
      <c r="AH33" s="1301"/>
      <c r="AI33" s="1296"/>
      <c r="AJ33" s="1297"/>
      <c r="AK33" s="1302"/>
      <c r="AL33" s="1299"/>
      <c r="AM33" s="1298">
        <v>0</v>
      </c>
      <c r="AN33" s="1255">
        <f>+AM33-AM28</f>
        <v>0</v>
      </c>
      <c r="AO33" s="1297"/>
      <c r="AP33" s="1296">
        <f>+AM33*AQ37/1000</f>
        <v>0</v>
      </c>
      <c r="AQ33" s="1297"/>
      <c r="AR33" s="1295"/>
      <c r="AS33" s="1299"/>
      <c r="AT33" s="1300"/>
      <c r="AU33" s="1304"/>
      <c r="AV33" s="1303"/>
      <c r="AW33" s="1296"/>
      <c r="AX33" s="1303"/>
      <c r="AY33" s="1305"/>
      <c r="AZ33" s="1316"/>
      <c r="BA33" s="1300"/>
      <c r="BB33" s="1304"/>
      <c r="BC33" s="1303"/>
      <c r="BD33" s="1296"/>
      <c r="BE33" s="1303"/>
      <c r="BF33" s="1305"/>
      <c r="BG33" s="1305"/>
      <c r="BH33" s="1300"/>
      <c r="BI33" s="1304"/>
      <c r="BJ33" s="1303"/>
      <c r="BK33" s="1300"/>
      <c r="BL33" s="1303"/>
      <c r="BM33" s="1305"/>
      <c r="BN33" s="1305"/>
      <c r="BO33" s="1300"/>
      <c r="BP33" s="1304"/>
      <c r="BQ33" s="1303"/>
      <c r="BR33" s="1300"/>
      <c r="BS33" s="1303"/>
      <c r="BT33" s="1305"/>
      <c r="BU33" s="1305"/>
      <c r="BV33" s="1300"/>
      <c r="BW33" s="1304"/>
      <c r="BX33" s="1303"/>
      <c r="BY33" s="1300"/>
      <c r="BZ33" s="1303"/>
      <c r="CA33" s="1305"/>
      <c r="CB33" s="1299"/>
      <c r="CC33" s="1300"/>
      <c r="CD33" s="1304"/>
      <c r="CE33" s="1303"/>
      <c r="CF33" s="1300"/>
      <c r="CG33" s="1303"/>
      <c r="CH33" s="1305"/>
      <c r="CI33" s="1300"/>
      <c r="CJ33" s="1304"/>
      <c r="CK33" s="1303"/>
      <c r="CL33" s="1300"/>
      <c r="CM33" s="1303"/>
      <c r="CN33" s="1305"/>
      <c r="CO33" s="1305"/>
      <c r="CP33" s="1300"/>
      <c r="CQ33" s="1304"/>
      <c r="CR33" s="1303"/>
      <c r="CS33" s="1300"/>
      <c r="CT33" s="1303"/>
      <c r="CU33" s="1305"/>
      <c r="CV33" s="1299"/>
      <c r="CW33" s="1306">
        <f>+D33+Y33+AF33+AM33+AT33+BA33</f>
        <v>452</v>
      </c>
      <c r="CX33" s="1307">
        <f>+CW33-CW28</f>
        <v>6</v>
      </c>
      <c r="CY33" s="1295">
        <f>+(CW33/CW25-1)*100</f>
        <v>11.056511056511065</v>
      </c>
      <c r="CZ33" s="1304"/>
      <c r="DA33" s="1311"/>
      <c r="DB33" s="1296">
        <f>+G33+AB33+AI33+AP33+AW33</f>
        <v>11.765070146137786</v>
      </c>
      <c r="DC33" s="1297"/>
      <c r="DD33" s="1302"/>
      <c r="DE33" s="1266"/>
      <c r="DF33" s="1266"/>
      <c r="DG33" s="1266"/>
      <c r="DH33" s="1266"/>
      <c r="DI33" s="1266"/>
      <c r="DJ33" s="1266"/>
      <c r="DK33" s="1266"/>
      <c r="DL33" s="1266"/>
      <c r="DM33" s="1266"/>
      <c r="DN33" s="1266"/>
      <c r="DO33" s="1266"/>
      <c r="DP33" s="1266"/>
      <c r="DQ33" s="1266"/>
    </row>
    <row r="34" spans="1:121" ht="13.5" hidden="1" outlineLevel="1">
      <c r="A34" s="1266" t="str">
        <f>$A$18</f>
        <v>2Q</v>
      </c>
      <c r="B34" s="1266" t="str">
        <f>$B$18</f>
        <v>Jul</v>
      </c>
      <c r="C34" s="1266"/>
      <c r="D34" s="1294">
        <f>+K34+R34</f>
        <v>451</v>
      </c>
      <c r="E34" s="1255">
        <f>+D34-D33</f>
        <v>10</v>
      </c>
      <c r="F34" s="1295">
        <f>+(D34/D26-1)*100</f>
        <v>10.268948655256715</v>
      </c>
      <c r="G34" s="1296">
        <f>+N34+U34</f>
        <v>11.824862212943632</v>
      </c>
      <c r="H34" s="1297"/>
      <c r="I34" s="1295">
        <f>+(G34/G26-1)*100</f>
        <v>13.690166763355149</v>
      </c>
      <c r="J34" s="1309"/>
      <c r="K34" s="1300">
        <v>451</v>
      </c>
      <c r="L34" s="1255">
        <f>+K34-K33</f>
        <v>10</v>
      </c>
      <c r="M34" s="1295">
        <f>+(K34/K26-1)*100</f>
        <v>10.268948655256715</v>
      </c>
      <c r="N34" s="1296">
        <f>K34*O37/1000</f>
        <v>11.824862212943632</v>
      </c>
      <c r="O34" s="1297"/>
      <c r="P34" s="1295">
        <f>+(N34/N26-1)*100</f>
        <v>13.690166763355149</v>
      </c>
      <c r="Q34" s="1299"/>
      <c r="R34" s="1300"/>
      <c r="S34" s="1304"/>
      <c r="T34" s="1303"/>
      <c r="U34" s="1296"/>
      <c r="V34" s="1297"/>
      <c r="W34" s="1295"/>
      <c r="X34" s="1299"/>
      <c r="Y34" s="1300">
        <v>12</v>
      </c>
      <c r="Z34" s="1255">
        <f>+Y34-Y33</f>
        <v>1</v>
      </c>
      <c r="AA34" s="1295">
        <f>+(Y34/Y26-1)*100</f>
        <v>71.428571428571416</v>
      </c>
      <c r="AB34" s="1296">
        <f>Y34*AC37/1000</f>
        <v>0.22080000000000002</v>
      </c>
      <c r="AC34" s="1297"/>
      <c r="AD34" s="1295">
        <f>+(AB34/AB26-1)*100</f>
        <v>95.783251231527132</v>
      </c>
      <c r="AE34" s="1299"/>
      <c r="AF34" s="1300"/>
      <c r="AG34" s="1304"/>
      <c r="AH34" s="1301"/>
      <c r="AI34" s="1296"/>
      <c r="AJ34" s="1297"/>
      <c r="AK34" s="1302"/>
      <c r="AL34" s="1299"/>
      <c r="AM34" s="1300">
        <v>3</v>
      </c>
      <c r="AN34" s="1255">
        <f>+AM34-AM33</f>
        <v>3</v>
      </c>
      <c r="AO34" s="1297"/>
      <c r="AP34" s="1296">
        <f>AM34*AQ37/1000</f>
        <v>0.16200000000000001</v>
      </c>
      <c r="AQ34" s="1297"/>
      <c r="AR34" s="1295"/>
      <c r="AS34" s="1299"/>
      <c r="AT34" s="1300"/>
      <c r="AU34" s="1304"/>
      <c r="AV34" s="1303"/>
      <c r="AW34" s="1296"/>
      <c r="AX34" s="1303"/>
      <c r="AY34" s="1305"/>
      <c r="AZ34" s="1316"/>
      <c r="BA34" s="1300"/>
      <c r="BB34" s="1304"/>
      <c r="BC34" s="1303"/>
      <c r="BD34" s="1296"/>
      <c r="BE34" s="1303"/>
      <c r="BF34" s="1305"/>
      <c r="BG34" s="1305"/>
      <c r="BH34" s="1300"/>
      <c r="BI34" s="1304"/>
      <c r="BJ34" s="1303"/>
      <c r="BK34" s="1300"/>
      <c r="BL34" s="1303"/>
      <c r="BM34" s="1305"/>
      <c r="BN34" s="1305"/>
      <c r="BO34" s="1300"/>
      <c r="BP34" s="1304"/>
      <c r="BQ34" s="1303"/>
      <c r="BR34" s="1300"/>
      <c r="BS34" s="1303"/>
      <c r="BT34" s="1305"/>
      <c r="BU34" s="1305"/>
      <c r="BV34" s="1300"/>
      <c r="BW34" s="1304"/>
      <c r="BX34" s="1303"/>
      <c r="BY34" s="1300"/>
      <c r="BZ34" s="1303"/>
      <c r="CA34" s="1305"/>
      <c r="CB34" s="1299"/>
      <c r="CC34" s="1300"/>
      <c r="CD34" s="1304"/>
      <c r="CE34" s="1303"/>
      <c r="CF34" s="1300"/>
      <c r="CG34" s="1303"/>
      <c r="CH34" s="1305"/>
      <c r="CI34" s="1300"/>
      <c r="CJ34" s="1304"/>
      <c r="CK34" s="1303"/>
      <c r="CL34" s="1300"/>
      <c r="CM34" s="1303"/>
      <c r="CN34" s="1305"/>
      <c r="CO34" s="1305"/>
      <c r="CP34" s="1300"/>
      <c r="CQ34" s="1304"/>
      <c r="CR34" s="1303"/>
      <c r="CS34" s="1300"/>
      <c r="CT34" s="1303"/>
      <c r="CU34" s="1305"/>
      <c r="CV34" s="1299"/>
      <c r="CW34" s="1306">
        <f>+D34+Y34+AF34+AM34+AT34+BA34</f>
        <v>466</v>
      </c>
      <c r="CX34" s="1307">
        <f>+CW34-CW33</f>
        <v>14</v>
      </c>
      <c r="CY34" s="1295">
        <f>+(CW34/CW26-1)*100</f>
        <v>12.01923076923077</v>
      </c>
      <c r="CZ34" s="1304"/>
      <c r="DA34" s="1311"/>
      <c r="DB34" s="1310">
        <f>+G34+AB34+AI34+AP34+AW34</f>
        <v>12.207662212943633</v>
      </c>
      <c r="DC34" s="1297"/>
      <c r="DD34" s="1302"/>
      <c r="DE34" s="1266"/>
      <c r="DF34" s="1266"/>
      <c r="DG34" s="1266"/>
      <c r="DH34" s="1266"/>
      <c r="DI34" s="1266"/>
      <c r="DJ34" s="1266"/>
      <c r="DK34" s="1266"/>
      <c r="DL34" s="1266"/>
      <c r="DM34" s="1266"/>
      <c r="DN34" s="1266"/>
      <c r="DO34" s="1266"/>
      <c r="DP34" s="1266"/>
      <c r="DQ34" s="1266"/>
    </row>
    <row r="35" spans="1:121" ht="13.5" hidden="1" outlineLevel="1">
      <c r="A35" s="1266" t="str">
        <f>$A$19</f>
        <v>3Q</v>
      </c>
      <c r="B35" s="1266" t="str">
        <f>$B$19</f>
        <v>Oct</v>
      </c>
      <c r="C35" s="1266"/>
      <c r="D35" s="1294">
        <f>+K35+R35</f>
        <v>463</v>
      </c>
      <c r="E35" s="1255">
        <f>+D35-D34</f>
        <v>12</v>
      </c>
      <c r="F35" s="1295">
        <f>+(D35/D27-1)*100</f>
        <v>9.4562647754137039</v>
      </c>
      <c r="G35" s="1296">
        <f>+N35+U35</f>
        <v>12.139492693110645</v>
      </c>
      <c r="H35" s="1297"/>
      <c r="I35" s="1295">
        <f>+(G35/G27-1)*100</f>
        <v>12.852268452434433</v>
      </c>
      <c r="J35" s="1266"/>
      <c r="K35" s="1300">
        <v>463</v>
      </c>
      <c r="L35" s="1255">
        <f>+K35-K34</f>
        <v>12</v>
      </c>
      <c r="M35" s="1295">
        <f>+(K35/K27-1)*100</f>
        <v>9.4562647754137039</v>
      </c>
      <c r="N35" s="1296">
        <f>+K35*O37/1000</f>
        <v>12.139492693110645</v>
      </c>
      <c r="O35" s="1297"/>
      <c r="P35" s="1295">
        <f>+(N35/N27-1)*100</f>
        <v>12.852268452434433</v>
      </c>
      <c r="Q35" s="1299"/>
      <c r="R35" s="1300"/>
      <c r="S35" s="1304"/>
      <c r="T35" s="1303"/>
      <c r="U35" s="1296"/>
      <c r="V35" s="1297"/>
      <c r="W35" s="1295"/>
      <c r="X35" s="1299"/>
      <c r="Y35" s="1300">
        <v>14</v>
      </c>
      <c r="Z35" s="1255">
        <f>+Y35-Y34</f>
        <v>2</v>
      </c>
      <c r="AA35" s="1295">
        <f>+(Y35/Y27-1)*100</f>
        <v>55.555555555555557</v>
      </c>
      <c r="AB35" s="1296">
        <f>+Y35*AC37/1000</f>
        <v>0.2576</v>
      </c>
      <c r="AC35" s="1297"/>
      <c r="AD35" s="1295">
        <f>+(AB35/AB27-1)*100</f>
        <v>77.65517241379311</v>
      </c>
      <c r="AE35" s="1299"/>
      <c r="AF35" s="1300"/>
      <c r="AG35" s="1304"/>
      <c r="AH35" s="1301"/>
      <c r="AI35" s="1296"/>
      <c r="AJ35" s="1297"/>
      <c r="AK35" s="1302"/>
      <c r="AL35" s="1299"/>
      <c r="AM35" s="1300">
        <v>4</v>
      </c>
      <c r="AN35" s="1255">
        <f>+AM35-AM34</f>
        <v>1</v>
      </c>
      <c r="AO35" s="1297"/>
      <c r="AP35" s="1296">
        <f>+AM35*AQ37/1000</f>
        <v>0.216</v>
      </c>
      <c r="AQ35" s="1297"/>
      <c r="AR35" s="1295"/>
      <c r="AS35" s="1299"/>
      <c r="AT35" s="1300"/>
      <c r="AU35" s="1304"/>
      <c r="AV35" s="1303"/>
      <c r="AW35" s="1296"/>
      <c r="AX35" s="1303"/>
      <c r="AY35" s="1305"/>
      <c r="AZ35" s="1316"/>
      <c r="BA35" s="1300"/>
      <c r="BB35" s="1304"/>
      <c r="BC35" s="1303"/>
      <c r="BD35" s="1296"/>
      <c r="BE35" s="1303"/>
      <c r="BF35" s="1305"/>
      <c r="BG35" s="1305"/>
      <c r="BH35" s="1300"/>
      <c r="BI35" s="1304"/>
      <c r="BJ35" s="1303"/>
      <c r="BK35" s="1300"/>
      <c r="BL35" s="1303"/>
      <c r="BM35" s="1305"/>
      <c r="BN35" s="1305"/>
      <c r="BO35" s="1300"/>
      <c r="BP35" s="1304"/>
      <c r="BQ35" s="1303"/>
      <c r="BR35" s="1300"/>
      <c r="BS35" s="1303"/>
      <c r="BT35" s="1305"/>
      <c r="BU35" s="1305"/>
      <c r="BV35" s="1300"/>
      <c r="BW35" s="1304"/>
      <c r="BX35" s="1303"/>
      <c r="BY35" s="1300"/>
      <c r="BZ35" s="1303"/>
      <c r="CA35" s="1305"/>
      <c r="CB35" s="1299"/>
      <c r="CC35" s="1300"/>
      <c r="CD35" s="1304"/>
      <c r="CE35" s="1303"/>
      <c r="CF35" s="1300"/>
      <c r="CG35" s="1303"/>
      <c r="CH35" s="1305"/>
      <c r="CI35" s="1300"/>
      <c r="CJ35" s="1304"/>
      <c r="CK35" s="1303"/>
      <c r="CL35" s="1300"/>
      <c r="CM35" s="1303"/>
      <c r="CN35" s="1305"/>
      <c r="CO35" s="1305"/>
      <c r="CP35" s="1300"/>
      <c r="CQ35" s="1304"/>
      <c r="CR35" s="1303"/>
      <c r="CS35" s="1300"/>
      <c r="CT35" s="1303"/>
      <c r="CU35" s="1305"/>
      <c r="CV35" s="1299"/>
      <c r="CW35" s="1306">
        <f>+D35+Y35+AF35+AM35+AT35+BA35</f>
        <v>481</v>
      </c>
      <c r="CX35" s="1307">
        <f>+CW35-CW34</f>
        <v>15</v>
      </c>
      <c r="CY35" s="1295">
        <f>+(CW35/CW27-1)*100</f>
        <v>11.342592592592581</v>
      </c>
      <c r="CZ35" s="1304"/>
      <c r="DA35" s="1311"/>
      <c r="DB35" s="1310">
        <f>+G35+AB35+AI35+AP35+AW35</f>
        <v>12.613092693110644</v>
      </c>
      <c r="DC35" s="1297"/>
      <c r="DD35" s="1302"/>
      <c r="DE35" s="1266"/>
      <c r="DF35" s="1266"/>
      <c r="DG35" s="1266"/>
      <c r="DH35" s="1266"/>
      <c r="DI35" s="1266"/>
      <c r="DJ35" s="1266"/>
      <c r="DK35" s="1266"/>
      <c r="DL35" s="1266"/>
      <c r="DM35" s="1266"/>
      <c r="DN35" s="1266"/>
      <c r="DO35" s="1266"/>
      <c r="DP35" s="1266"/>
      <c r="DQ35" s="1266"/>
    </row>
    <row r="36" spans="1:121" ht="13.5" hidden="1" outlineLevel="1">
      <c r="A36" s="1266" t="str">
        <f>$A$20</f>
        <v>4Q</v>
      </c>
      <c r="B36" s="1266" t="str">
        <f>$B$20</f>
        <v>Jan</v>
      </c>
      <c r="C36" s="1266"/>
      <c r="D36" s="1312">
        <f>+K36+R36</f>
        <v>479</v>
      </c>
      <c r="E36" s="1255">
        <f>+D36-D35</f>
        <v>16</v>
      </c>
      <c r="F36" s="1295">
        <f>+(D36/D28-1)*100</f>
        <v>9.6109839816933551</v>
      </c>
      <c r="G36" s="1313">
        <f>+N36+U36</f>
        <v>12.558999999999997</v>
      </c>
      <c r="H36" s="1297"/>
      <c r="I36" s="1295">
        <f>+(G36/G28-1)*100</f>
        <v>13.011787996040658</v>
      </c>
      <c r="J36" s="1266"/>
      <c r="K36" s="1314">
        <v>479</v>
      </c>
      <c r="L36" s="1255">
        <f>+K36-K35</f>
        <v>16</v>
      </c>
      <c r="M36" s="1295">
        <f>+(K36/K28-1)*100</f>
        <v>9.6109839816933551</v>
      </c>
      <c r="N36" s="1313">
        <f>+K36*O37/1000</f>
        <v>12.558999999999997</v>
      </c>
      <c r="O36" s="1297"/>
      <c r="P36" s="1295">
        <f>+(N36/N28-1)*100</f>
        <v>13.011787996040658</v>
      </c>
      <c r="Q36" s="1299"/>
      <c r="R36" s="1300"/>
      <c r="S36" s="1304"/>
      <c r="T36" s="1303"/>
      <c r="U36" s="1313"/>
      <c r="V36" s="1297"/>
      <c r="W36" s="1295"/>
      <c r="X36" s="1299"/>
      <c r="Y36" s="1314">
        <v>15</v>
      </c>
      <c r="Z36" s="1255">
        <f>+Y36-Y35</f>
        <v>1</v>
      </c>
      <c r="AA36" s="1295">
        <f>+(Y36/Y28-1)*100</f>
        <v>66.666666666666671</v>
      </c>
      <c r="AB36" s="1313">
        <f>+Y36*AC37/1000</f>
        <v>0.27600000000000008</v>
      </c>
      <c r="AC36" s="1297"/>
      <c r="AD36" s="1295">
        <f>+(AB36/AB28-1)*100</f>
        <v>90.344827586206961</v>
      </c>
      <c r="AE36" s="1299"/>
      <c r="AF36" s="1300"/>
      <c r="AG36" s="1304"/>
      <c r="AH36" s="1301"/>
      <c r="AI36" s="1313"/>
      <c r="AJ36" s="1297"/>
      <c r="AK36" s="1302"/>
      <c r="AL36" s="1299"/>
      <c r="AM36" s="1314">
        <v>6</v>
      </c>
      <c r="AN36" s="1255">
        <f>+AM36-AM35</f>
        <v>2</v>
      </c>
      <c r="AO36" s="1297"/>
      <c r="AP36" s="1313">
        <f>+AM36*AQ37/1000</f>
        <v>0.32400000000000001</v>
      </c>
      <c r="AQ36" s="1297"/>
      <c r="AR36" s="1295"/>
      <c r="AS36" s="1299"/>
      <c r="AT36" s="1300"/>
      <c r="AU36" s="1304"/>
      <c r="AV36" s="1303"/>
      <c r="AW36" s="1313"/>
      <c r="AX36" s="1303"/>
      <c r="AY36" s="1305"/>
      <c r="AZ36" s="1316"/>
      <c r="BA36" s="1300"/>
      <c r="BB36" s="1304"/>
      <c r="BC36" s="1303"/>
      <c r="BD36" s="1313"/>
      <c r="BE36" s="1303"/>
      <c r="BF36" s="1305"/>
      <c r="BG36" s="1305"/>
      <c r="BH36" s="1300"/>
      <c r="BI36" s="1304"/>
      <c r="BJ36" s="1303"/>
      <c r="BK36" s="1294"/>
      <c r="BL36" s="1303"/>
      <c r="BM36" s="1305"/>
      <c r="BN36" s="1305"/>
      <c r="BO36" s="1300"/>
      <c r="BP36" s="1304"/>
      <c r="BQ36" s="1303"/>
      <c r="BR36" s="1294"/>
      <c r="BS36" s="1303"/>
      <c r="BT36" s="1305"/>
      <c r="BU36" s="1305"/>
      <c r="BV36" s="1300"/>
      <c r="BW36" s="1304"/>
      <c r="BX36" s="1303"/>
      <c r="BY36" s="1294"/>
      <c r="BZ36" s="1303"/>
      <c r="CA36" s="1305"/>
      <c r="CB36" s="1299"/>
      <c r="CC36" s="1300"/>
      <c r="CD36" s="1304"/>
      <c r="CE36" s="1303"/>
      <c r="CF36" s="1294"/>
      <c r="CG36" s="1303"/>
      <c r="CH36" s="1305"/>
      <c r="CI36" s="1300"/>
      <c r="CJ36" s="1304"/>
      <c r="CK36" s="1303"/>
      <c r="CL36" s="1294"/>
      <c r="CM36" s="1303"/>
      <c r="CN36" s="1305"/>
      <c r="CO36" s="1305"/>
      <c r="CP36" s="1300"/>
      <c r="CQ36" s="1304"/>
      <c r="CR36" s="1303"/>
      <c r="CS36" s="1294"/>
      <c r="CT36" s="1303"/>
      <c r="CU36" s="1305"/>
      <c r="CV36" s="1299"/>
      <c r="CW36" s="1312">
        <f>+D36+Y36+AF36+AM36+AT36+BA36</f>
        <v>500</v>
      </c>
      <c r="CX36" s="1307">
        <f>+CW36-CW35</f>
        <v>19</v>
      </c>
      <c r="CY36" s="1295">
        <f>+(CW36/CW28-1)*100</f>
        <v>12.107623318385642</v>
      </c>
      <c r="CZ36" s="1304"/>
      <c r="DA36" s="1311"/>
      <c r="DB36" s="1313">
        <f>+G36+AB36+AI36+AP36+AW36</f>
        <v>13.158999999999997</v>
      </c>
      <c r="DC36" s="1297"/>
      <c r="DD36" s="1302"/>
      <c r="DE36" s="1266"/>
      <c r="DF36" s="1266"/>
      <c r="DG36" s="1266"/>
      <c r="DH36" s="1266"/>
      <c r="DI36" s="1266"/>
      <c r="DJ36" s="1266"/>
      <c r="DK36" s="1266"/>
      <c r="DL36" s="1266"/>
      <c r="DM36" s="1266"/>
      <c r="DN36" s="1266"/>
      <c r="DO36" s="1266"/>
      <c r="DP36" s="1266"/>
      <c r="DQ36" s="1266"/>
    </row>
    <row r="37" spans="1:121" ht="13.5" hidden="1" outlineLevel="1">
      <c r="A37" s="1266"/>
      <c r="B37" s="1266" t="str">
        <f>$B$21</f>
        <v>Year</v>
      </c>
      <c r="C37" s="1266"/>
      <c r="D37" s="1306">
        <f>+D36</f>
        <v>479</v>
      </c>
      <c r="E37" s="1317">
        <f>+D37-D29</f>
        <v>42</v>
      </c>
      <c r="F37" s="1295">
        <f>+(D37/D29-1)*100</f>
        <v>9.6109839816933551</v>
      </c>
      <c r="G37" s="1296">
        <f>+N37+U37</f>
        <v>12.558999999999999</v>
      </c>
      <c r="H37" s="1297">
        <f>+G37/D37*1000</f>
        <v>26.219206680584549</v>
      </c>
      <c r="I37" s="1295">
        <f>+(G37/G29-1)*100</f>
        <v>13.011787996040681</v>
      </c>
      <c r="J37" s="1266"/>
      <c r="K37" s="1306">
        <f>+K36</f>
        <v>479</v>
      </c>
      <c r="L37" s="1317">
        <f>+K37-K29</f>
        <v>42</v>
      </c>
      <c r="M37" s="1295">
        <f>+(K37/K29-1)*100</f>
        <v>9.6109839816933551</v>
      </c>
      <c r="N37" s="1318">
        <v>12.558999999999999</v>
      </c>
      <c r="O37" s="1297">
        <f>+N37/K37*1000</f>
        <v>26.219206680584549</v>
      </c>
      <c r="P37" s="1295">
        <f>+(N37/N29-1)*100</f>
        <v>13.011787996040681</v>
      </c>
      <c r="Q37" s="1299"/>
      <c r="R37" s="1294"/>
      <c r="S37" s="1320"/>
      <c r="T37" s="1305"/>
      <c r="U37" s="1318"/>
      <c r="V37" s="1297"/>
      <c r="W37" s="1295"/>
      <c r="X37" s="1299"/>
      <c r="Y37" s="1306">
        <f>+Y36</f>
        <v>15</v>
      </c>
      <c r="Z37" s="1317">
        <f>+Y37-Y29</f>
        <v>6</v>
      </c>
      <c r="AA37" s="1295">
        <f>+(Y37/Y29-1)*100</f>
        <v>66.666666666666671</v>
      </c>
      <c r="AB37" s="1318">
        <v>0.27600000000000002</v>
      </c>
      <c r="AC37" s="1297">
        <f>+AB37/Y37*1000</f>
        <v>18.400000000000002</v>
      </c>
      <c r="AD37" s="1295">
        <f>+(AB37/AB29-1)*100</f>
        <v>90.344827586206918</v>
      </c>
      <c r="AE37" s="1299"/>
      <c r="AF37" s="1294"/>
      <c r="AG37" s="1320"/>
      <c r="AH37" s="1305"/>
      <c r="AI37" s="1318"/>
      <c r="AJ37" s="1297"/>
      <c r="AK37" s="1295"/>
      <c r="AL37" s="1299"/>
      <c r="AM37" s="1306">
        <f>+AM36</f>
        <v>6</v>
      </c>
      <c r="AN37" s="1317">
        <f>+AM37-AM29</f>
        <v>6</v>
      </c>
      <c r="AO37" s="1295"/>
      <c r="AP37" s="1318">
        <f>+AM37*AQ37/1000</f>
        <v>0.32400000000000001</v>
      </c>
      <c r="AQ37" s="1321">
        <v>54</v>
      </c>
      <c r="AR37" s="1295"/>
      <c r="AS37" s="1299"/>
      <c r="AT37" s="1294"/>
      <c r="AU37" s="1320"/>
      <c r="AV37" s="1305"/>
      <c r="AW37" s="1318"/>
      <c r="AX37" s="1303"/>
      <c r="AY37" s="1305"/>
      <c r="AZ37" s="1316"/>
      <c r="BA37" s="1294"/>
      <c r="BB37" s="1320"/>
      <c r="BC37" s="1303"/>
      <c r="BD37" s="1318"/>
      <c r="BE37" s="1303"/>
      <c r="BF37" s="1305"/>
      <c r="BG37" s="1305"/>
      <c r="BH37" s="1294"/>
      <c r="BI37" s="1320"/>
      <c r="BJ37" s="1303"/>
      <c r="BK37" s="1300"/>
      <c r="BL37" s="1303"/>
      <c r="BM37" s="1305"/>
      <c r="BN37" s="1305"/>
      <c r="BO37" s="1294"/>
      <c r="BP37" s="1320"/>
      <c r="BQ37" s="1303"/>
      <c r="BR37" s="1300"/>
      <c r="BS37" s="1303"/>
      <c r="BT37" s="1305"/>
      <c r="BU37" s="1305"/>
      <c r="BV37" s="1294"/>
      <c r="BW37" s="1320"/>
      <c r="BX37" s="1303"/>
      <c r="BY37" s="1300"/>
      <c r="BZ37" s="1303"/>
      <c r="CA37" s="1305"/>
      <c r="CB37" s="1299"/>
      <c r="CC37" s="1294"/>
      <c r="CD37" s="1320"/>
      <c r="CE37" s="1303"/>
      <c r="CF37" s="1300"/>
      <c r="CG37" s="1303"/>
      <c r="CH37" s="1305"/>
      <c r="CI37" s="1294"/>
      <c r="CJ37" s="1320"/>
      <c r="CK37" s="1303"/>
      <c r="CL37" s="1300"/>
      <c r="CM37" s="1303"/>
      <c r="CN37" s="1305"/>
      <c r="CO37" s="1305"/>
      <c r="CP37" s="1294"/>
      <c r="CQ37" s="1320"/>
      <c r="CR37" s="1303"/>
      <c r="CS37" s="1300"/>
      <c r="CT37" s="1303"/>
      <c r="CU37" s="1305"/>
      <c r="CV37" s="1299"/>
      <c r="CW37" s="1306">
        <f>+D37+Y37+AF37+AM37+AT37+BA37</f>
        <v>500</v>
      </c>
      <c r="CX37" s="1317">
        <f>+CW37-CW29</f>
        <v>54</v>
      </c>
      <c r="CY37" s="1295">
        <f>+(CW37/CW29-1)*100</f>
        <v>12.107623318385642</v>
      </c>
      <c r="CZ37" s="1317"/>
      <c r="DA37" s="1330"/>
      <c r="DB37" s="1296">
        <f>+G37+AB37+AI37+AP37+AW37</f>
        <v>13.158999999999999</v>
      </c>
      <c r="DC37" s="1297"/>
      <c r="DD37" s="1302"/>
      <c r="DE37" s="1266"/>
      <c r="DF37" s="1266"/>
      <c r="DG37" s="1266"/>
      <c r="DH37" s="1266"/>
      <c r="DI37" s="1266"/>
      <c r="DJ37" s="1266"/>
      <c r="DK37" s="1266"/>
      <c r="DL37" s="1266"/>
      <c r="DM37" s="1266"/>
      <c r="DN37" s="1266"/>
      <c r="DO37" s="1266"/>
      <c r="DP37" s="1266"/>
      <c r="DQ37" s="1266"/>
    </row>
    <row r="38" spans="1:121" ht="13.5" hidden="1" outlineLevel="1">
      <c r="A38" s="1266"/>
      <c r="B38" s="1266" t="s">
        <v>646</v>
      </c>
      <c r="C38" s="1266"/>
      <c r="D38" s="1306"/>
      <c r="E38" s="1317"/>
      <c r="F38" s="1323"/>
      <c r="G38" s="1296"/>
      <c r="H38" s="1297"/>
      <c r="I38" s="1295"/>
      <c r="J38" s="1266"/>
      <c r="K38" s="1306"/>
      <c r="L38" s="1256">
        <v>43</v>
      </c>
      <c r="M38" s="1324">
        <v>-1</v>
      </c>
      <c r="N38" s="1325" t="str">
        <f>IF(SUM(L38:M38)=L37,"","N")</f>
        <v/>
      </c>
      <c r="O38" s="1297"/>
      <c r="P38" s="1295"/>
      <c r="Q38" s="1299"/>
      <c r="R38" s="1294"/>
      <c r="S38" s="1256"/>
      <c r="T38" s="1324"/>
      <c r="U38" s="1325"/>
      <c r="V38" s="1297"/>
      <c r="W38" s="1295"/>
      <c r="X38" s="1299"/>
      <c r="Y38" s="1306"/>
      <c r="Z38" s="1256">
        <v>6</v>
      </c>
      <c r="AA38" s="1324">
        <v>0</v>
      </c>
      <c r="AB38" s="1325" t="str">
        <f>IF(SUM(Z38:AA38)=Z37,"","N")</f>
        <v/>
      </c>
      <c r="AC38" s="1297"/>
      <c r="AD38" s="1295"/>
      <c r="AE38" s="1299"/>
      <c r="AF38" s="1294"/>
      <c r="AG38" s="1326"/>
      <c r="AH38" s="1327"/>
      <c r="AI38" s="1325"/>
      <c r="AJ38" s="1297"/>
      <c r="AK38" s="1295"/>
      <c r="AL38" s="1299"/>
      <c r="AM38" s="1306"/>
      <c r="AN38" s="1256">
        <v>6</v>
      </c>
      <c r="AO38" s="1324">
        <v>0</v>
      </c>
      <c r="AP38" s="1325"/>
      <c r="AQ38" s="1297"/>
      <c r="AR38" s="1295"/>
      <c r="AS38" s="1299"/>
      <c r="AT38" s="1294"/>
      <c r="AU38" s="1326"/>
      <c r="AV38" s="1327"/>
      <c r="AW38" s="1325"/>
      <c r="AX38" s="1303"/>
      <c r="AY38" s="1305"/>
      <c r="AZ38" s="1316"/>
      <c r="BA38" s="1294"/>
      <c r="BB38" s="1256"/>
      <c r="BC38" s="1324"/>
      <c r="BD38" s="1325"/>
      <c r="BE38" s="1303"/>
      <c r="BF38" s="1305"/>
      <c r="BG38" s="1305"/>
      <c r="BH38" s="1294"/>
      <c r="BI38" s="1256"/>
      <c r="BJ38" s="1324"/>
      <c r="BK38" s="1300"/>
      <c r="BL38" s="1303"/>
      <c r="BM38" s="1305"/>
      <c r="BN38" s="1305"/>
      <c r="BO38" s="1294"/>
      <c r="BP38" s="1256"/>
      <c r="BQ38" s="1324"/>
      <c r="BR38" s="1300"/>
      <c r="BS38" s="1303"/>
      <c r="BT38" s="1305"/>
      <c r="BU38" s="1305"/>
      <c r="BV38" s="1294"/>
      <c r="BW38" s="1256"/>
      <c r="BX38" s="1324"/>
      <c r="BY38" s="1300"/>
      <c r="BZ38" s="1303"/>
      <c r="CA38" s="1305"/>
      <c r="CB38" s="1299"/>
      <c r="CC38" s="1294"/>
      <c r="CD38" s="1256"/>
      <c r="CE38" s="1324"/>
      <c r="CF38" s="1300"/>
      <c r="CG38" s="1303"/>
      <c r="CH38" s="1305"/>
      <c r="CI38" s="1294"/>
      <c r="CJ38" s="1256"/>
      <c r="CK38" s="1324"/>
      <c r="CL38" s="1300"/>
      <c r="CM38" s="1303"/>
      <c r="CN38" s="1305"/>
      <c r="CO38" s="1305"/>
      <c r="CP38" s="1294"/>
      <c r="CQ38" s="1256"/>
      <c r="CR38" s="1324"/>
      <c r="CS38" s="1300"/>
      <c r="CT38" s="1303"/>
      <c r="CU38" s="1305"/>
      <c r="CV38" s="1299"/>
      <c r="CW38" s="1306"/>
      <c r="CX38" s="1317">
        <f>+L38+S38+Z38+AG38+AN38+AU38</f>
        <v>55</v>
      </c>
      <c r="CY38" s="1323">
        <f>+M38+T38+AA38+AH38+AO38+AV38</f>
        <v>-1</v>
      </c>
      <c r="CZ38" s="1320"/>
      <c r="DA38" s="1322"/>
      <c r="DB38" s="1296"/>
      <c r="DC38" s="1297"/>
      <c r="DD38" s="1302"/>
      <c r="DE38" s="1266"/>
      <c r="DF38" s="1266"/>
      <c r="DG38" s="1266"/>
      <c r="DH38" s="1266"/>
      <c r="DI38" s="1266"/>
      <c r="DJ38" s="1266"/>
      <c r="DK38" s="1266"/>
      <c r="DL38" s="1266"/>
      <c r="DM38" s="1266"/>
      <c r="DN38" s="1266"/>
      <c r="DO38" s="1266"/>
      <c r="DP38" s="1266"/>
      <c r="DQ38" s="1266"/>
    </row>
    <row r="39" spans="1:121" ht="13.5" hidden="1" outlineLevel="1">
      <c r="A39" s="1266"/>
      <c r="B39" s="1266"/>
      <c r="C39" s="1266"/>
      <c r="D39" s="1290"/>
      <c r="E39" s="1292"/>
      <c r="F39" s="1290"/>
      <c r="G39" s="1293"/>
      <c r="H39" s="1268"/>
      <c r="I39" s="1270"/>
      <c r="J39" s="1266"/>
      <c r="K39" s="1268"/>
      <c r="L39" s="1292"/>
      <c r="M39" s="1268"/>
      <c r="N39" s="1266"/>
      <c r="O39" s="1268"/>
      <c r="P39" s="1270"/>
      <c r="Q39" s="1268"/>
      <c r="R39" s="1290"/>
      <c r="S39" s="1292"/>
      <c r="T39" s="1290"/>
      <c r="U39" s="1266"/>
      <c r="V39" s="1268"/>
      <c r="W39" s="1270"/>
      <c r="X39" s="1268"/>
      <c r="Y39" s="1268"/>
      <c r="Z39" s="1292"/>
      <c r="AA39" s="1268"/>
      <c r="AB39" s="1266"/>
      <c r="AC39" s="1268"/>
      <c r="AD39" s="1270"/>
      <c r="AE39" s="1268"/>
      <c r="AF39" s="1290"/>
      <c r="AG39" s="1292"/>
      <c r="AH39" s="1291"/>
      <c r="AI39" s="1266"/>
      <c r="AJ39" s="1268"/>
      <c r="AK39" s="1268"/>
      <c r="AL39" s="1268"/>
      <c r="AM39" s="1268"/>
      <c r="AN39" s="1292"/>
      <c r="AO39" s="1268"/>
      <c r="AP39" s="1266"/>
      <c r="AQ39" s="1268"/>
      <c r="AR39" s="1270"/>
      <c r="AS39" s="1268"/>
      <c r="AT39" s="1290"/>
      <c r="AU39" s="1292"/>
      <c r="AV39" s="1293"/>
      <c r="AW39" s="1266"/>
      <c r="AX39" s="1290"/>
      <c r="AY39" s="1291"/>
      <c r="AZ39" s="1293"/>
      <c r="BA39" s="1290"/>
      <c r="BB39" s="1292"/>
      <c r="BC39" s="1293"/>
      <c r="BD39" s="1266"/>
      <c r="BE39" s="1290"/>
      <c r="BF39" s="1291"/>
      <c r="BG39" s="1291"/>
      <c r="BH39" s="1290"/>
      <c r="BI39" s="1292"/>
      <c r="BJ39" s="1293"/>
      <c r="BK39" s="1293"/>
      <c r="BL39" s="1290"/>
      <c r="BM39" s="1291"/>
      <c r="BN39" s="1291"/>
      <c r="BO39" s="1290"/>
      <c r="BP39" s="1292"/>
      <c r="BQ39" s="1293"/>
      <c r="BR39" s="1293"/>
      <c r="BS39" s="1290"/>
      <c r="BT39" s="1291"/>
      <c r="BU39" s="1291"/>
      <c r="BV39" s="1290"/>
      <c r="BW39" s="1292"/>
      <c r="BX39" s="1293"/>
      <c r="BY39" s="1293"/>
      <c r="BZ39" s="1290"/>
      <c r="CA39" s="1291"/>
      <c r="CB39" s="1266"/>
      <c r="CC39" s="1290"/>
      <c r="CD39" s="1292"/>
      <c r="CE39" s="1293"/>
      <c r="CF39" s="1293"/>
      <c r="CG39" s="1290"/>
      <c r="CH39" s="1291"/>
      <c r="CI39" s="1290"/>
      <c r="CJ39" s="1292"/>
      <c r="CK39" s="1293"/>
      <c r="CL39" s="1293"/>
      <c r="CM39" s="1290"/>
      <c r="CN39" s="1291"/>
      <c r="CO39" s="1291"/>
      <c r="CP39" s="1290"/>
      <c r="CQ39" s="1292"/>
      <c r="CR39" s="1293"/>
      <c r="CS39" s="1293"/>
      <c r="CT39" s="1290"/>
      <c r="CU39" s="1291"/>
      <c r="CV39" s="1266"/>
      <c r="CW39" s="1293"/>
      <c r="CX39" s="1266"/>
      <c r="CY39" s="1266"/>
      <c r="CZ39" s="1292"/>
      <c r="DA39" s="1291"/>
      <c r="DB39" s="1293"/>
      <c r="DC39" s="1268"/>
      <c r="DD39" s="1268"/>
      <c r="DE39" s="1266"/>
      <c r="DF39" s="1266"/>
      <c r="DG39" s="1266"/>
      <c r="DH39" s="1266"/>
      <c r="DI39" s="1266"/>
      <c r="DJ39" s="1266"/>
      <c r="DK39" s="1266"/>
      <c r="DL39" s="1266"/>
      <c r="DM39" s="1266"/>
      <c r="DN39" s="1266"/>
      <c r="DO39" s="1266"/>
      <c r="DP39" s="1266"/>
      <c r="DQ39" s="1266"/>
    </row>
    <row r="40" spans="1:121" ht="14.25" hidden="1" outlineLevel="1">
      <c r="A40" s="2119">
        <f>+A32+1</f>
        <v>1993</v>
      </c>
      <c r="B40" s="2119"/>
      <c r="C40" s="1266"/>
      <c r="D40" s="1290"/>
      <c r="E40" s="1292"/>
      <c r="F40" s="1290"/>
      <c r="G40" s="1293"/>
      <c r="H40" s="1268"/>
      <c r="I40" s="1270"/>
      <c r="J40" s="1266"/>
      <c r="K40" s="1268"/>
      <c r="L40" s="1292"/>
      <c r="M40" s="1268"/>
      <c r="N40" s="1266"/>
      <c r="O40" s="1268"/>
      <c r="P40" s="1270"/>
      <c r="Q40" s="1268"/>
      <c r="R40" s="1290"/>
      <c r="S40" s="1292"/>
      <c r="T40" s="1290"/>
      <c r="U40" s="1266"/>
      <c r="V40" s="1268"/>
      <c r="W40" s="1270"/>
      <c r="X40" s="1268"/>
      <c r="Y40" s="1268"/>
      <c r="Z40" s="1292"/>
      <c r="AA40" s="1268"/>
      <c r="AB40" s="1266"/>
      <c r="AC40" s="1268"/>
      <c r="AD40" s="1270"/>
      <c r="AE40" s="1268"/>
      <c r="AF40" s="1290"/>
      <c r="AG40" s="1292"/>
      <c r="AH40" s="1291"/>
      <c r="AI40" s="1266"/>
      <c r="AJ40" s="1268"/>
      <c r="AK40" s="1268"/>
      <c r="AL40" s="1268"/>
      <c r="AM40" s="1268"/>
      <c r="AN40" s="1292"/>
      <c r="AO40" s="1268"/>
      <c r="AP40" s="1266"/>
      <c r="AQ40" s="1268"/>
      <c r="AR40" s="1270"/>
      <c r="AS40" s="1268"/>
      <c r="AT40" s="1290"/>
      <c r="AU40" s="1292"/>
      <c r="AV40" s="1293"/>
      <c r="AW40" s="1266"/>
      <c r="AX40" s="1290"/>
      <c r="AY40" s="1291"/>
      <c r="AZ40" s="1293"/>
      <c r="BA40" s="1290"/>
      <c r="BB40" s="1292"/>
      <c r="BC40" s="1293"/>
      <c r="BD40" s="1266"/>
      <c r="BE40" s="1290"/>
      <c r="BF40" s="1291"/>
      <c r="BG40" s="1291"/>
      <c r="BH40" s="1290"/>
      <c r="BI40" s="1292"/>
      <c r="BJ40" s="1293"/>
      <c r="BK40" s="1293"/>
      <c r="BL40" s="1290"/>
      <c r="BM40" s="1291"/>
      <c r="BN40" s="1291"/>
      <c r="BO40" s="1290"/>
      <c r="BP40" s="1292"/>
      <c r="BQ40" s="1293"/>
      <c r="BR40" s="1293"/>
      <c r="BS40" s="1290"/>
      <c r="BT40" s="1291"/>
      <c r="BU40" s="1291"/>
      <c r="BV40" s="1290"/>
      <c r="BW40" s="1292"/>
      <c r="BX40" s="1293"/>
      <c r="BY40" s="1293"/>
      <c r="BZ40" s="1290"/>
      <c r="CA40" s="1291"/>
      <c r="CB40" s="1266"/>
      <c r="CC40" s="1290"/>
      <c r="CD40" s="1292"/>
      <c r="CE40" s="1293"/>
      <c r="CF40" s="1293"/>
      <c r="CG40" s="1290"/>
      <c r="CH40" s="1291"/>
      <c r="CI40" s="1290"/>
      <c r="CJ40" s="1292"/>
      <c r="CK40" s="1293"/>
      <c r="CL40" s="1293"/>
      <c r="CM40" s="1290"/>
      <c r="CN40" s="1291"/>
      <c r="CO40" s="1291"/>
      <c r="CP40" s="1290"/>
      <c r="CQ40" s="1292"/>
      <c r="CR40" s="1293"/>
      <c r="CS40" s="1293"/>
      <c r="CT40" s="1290"/>
      <c r="CU40" s="1291"/>
      <c r="CV40" s="1266"/>
      <c r="CW40" s="1293"/>
      <c r="CX40" s="1266"/>
      <c r="CY40" s="1266"/>
      <c r="CZ40" s="1292"/>
      <c r="DA40" s="1291"/>
      <c r="DB40" s="1293"/>
      <c r="DC40" s="1268"/>
      <c r="DD40" s="1268"/>
      <c r="DE40" s="1266"/>
      <c r="DF40" s="1266"/>
      <c r="DG40" s="1266"/>
      <c r="DH40" s="1266"/>
      <c r="DI40" s="1266"/>
      <c r="DJ40" s="1266"/>
      <c r="DK40" s="1266"/>
      <c r="DL40" s="1266"/>
      <c r="DM40" s="1266"/>
      <c r="DN40" s="1266"/>
      <c r="DO40" s="1266"/>
      <c r="DP40" s="1266"/>
      <c r="DQ40" s="1266"/>
    </row>
    <row r="41" spans="1:121" ht="13.5" hidden="1" outlineLevel="1">
      <c r="A41" s="1266" t="str">
        <f>$A$17</f>
        <v>1Q</v>
      </c>
      <c r="B41" s="1266" t="str">
        <f>$B$17</f>
        <v>Apr</v>
      </c>
      <c r="C41" s="1266"/>
      <c r="D41" s="1294">
        <f>+K41+R41</f>
        <v>485</v>
      </c>
      <c r="E41" s="1255">
        <f>+D41-D36</f>
        <v>6</v>
      </c>
      <c r="F41" s="1295">
        <f>+(D41/D33-1)*100</f>
        <v>9.977324263038545</v>
      </c>
      <c r="G41" s="1296">
        <f>+N41+U41</f>
        <v>13.078896484375001</v>
      </c>
      <c r="H41" s="1297"/>
      <c r="I41" s="1295">
        <f>+(G41/G33-1)*100</f>
        <v>13.113115907260164</v>
      </c>
      <c r="J41" s="1266"/>
      <c r="K41" s="1298">
        <v>485</v>
      </c>
      <c r="L41" s="1255">
        <f>+K41-K36</f>
        <v>6</v>
      </c>
      <c r="M41" s="1295">
        <f>+(K41/K33-1)*100</f>
        <v>9.977324263038545</v>
      </c>
      <c r="N41" s="1296">
        <f>+K41*O$45/1000</f>
        <v>13.078896484375001</v>
      </c>
      <c r="O41" s="1297"/>
      <c r="P41" s="1295">
        <f>+(N41/N33-1)*100</f>
        <v>13.113115907260164</v>
      </c>
      <c r="Q41" s="1299"/>
      <c r="R41" s="1300"/>
      <c r="S41" s="1304"/>
      <c r="T41" s="1303"/>
      <c r="U41" s="1296"/>
      <c r="V41" s="1297"/>
      <c r="W41" s="1295"/>
      <c r="X41" s="1299"/>
      <c r="Y41" s="1298">
        <v>21</v>
      </c>
      <c r="Z41" s="1255">
        <f>+Y41-Y36</f>
        <v>6</v>
      </c>
      <c r="AA41" s="1295">
        <f>+(Y41/Y33-1)*100</f>
        <v>90.909090909090921</v>
      </c>
      <c r="AB41" s="1296">
        <f>+Y41*AC$45/1000</f>
        <v>0.44644444444444448</v>
      </c>
      <c r="AC41" s="1297"/>
      <c r="AD41" s="1295">
        <f>+(AB41/AB33-1)*100</f>
        <v>120.57531840140534</v>
      </c>
      <c r="AE41" s="1299"/>
      <c r="AF41" s="1300"/>
      <c r="AG41" s="1304"/>
      <c r="AH41" s="1301"/>
      <c r="AI41" s="1296"/>
      <c r="AJ41" s="1297"/>
      <c r="AK41" s="1302"/>
      <c r="AL41" s="1299"/>
      <c r="AM41" s="1298">
        <v>6</v>
      </c>
      <c r="AN41" s="1255">
        <f>+AM41-AM36</f>
        <v>0</v>
      </c>
      <c r="AO41" s="1297"/>
      <c r="AP41" s="1296">
        <f>+AM41*AQ$45/1000</f>
        <v>0.2964</v>
      </c>
      <c r="AQ41" s="1297"/>
      <c r="AR41" s="1295"/>
      <c r="AS41" s="1299"/>
      <c r="AT41" s="1300"/>
      <c r="AU41" s="1304"/>
      <c r="AV41" s="1303"/>
      <c r="AW41" s="1296"/>
      <c r="AX41" s="1303"/>
      <c r="AY41" s="1305"/>
      <c r="AZ41" s="1316"/>
      <c r="BA41" s="1300"/>
      <c r="BB41" s="1304"/>
      <c r="BC41" s="1303"/>
      <c r="BD41" s="1296"/>
      <c r="BE41" s="1303"/>
      <c r="BF41" s="1305"/>
      <c r="BG41" s="1305"/>
      <c r="BH41" s="1300"/>
      <c r="BI41" s="1304"/>
      <c r="BJ41" s="1303"/>
      <c r="BK41" s="1300"/>
      <c r="BL41" s="1303"/>
      <c r="BM41" s="1305"/>
      <c r="BN41" s="1305"/>
      <c r="BO41" s="1300"/>
      <c r="BP41" s="1304"/>
      <c r="BQ41" s="1303"/>
      <c r="BR41" s="1300"/>
      <c r="BS41" s="1303"/>
      <c r="BT41" s="1305"/>
      <c r="BU41" s="1305"/>
      <c r="BV41" s="1300"/>
      <c r="BW41" s="1304"/>
      <c r="BX41" s="1303"/>
      <c r="BY41" s="1300"/>
      <c r="BZ41" s="1303"/>
      <c r="CA41" s="1305"/>
      <c r="CB41" s="1299"/>
      <c r="CC41" s="1300"/>
      <c r="CD41" s="1304"/>
      <c r="CE41" s="1303"/>
      <c r="CF41" s="1300"/>
      <c r="CG41" s="1303"/>
      <c r="CH41" s="1305"/>
      <c r="CI41" s="1300"/>
      <c r="CJ41" s="1304"/>
      <c r="CK41" s="1303"/>
      <c r="CL41" s="1300"/>
      <c r="CM41" s="1303"/>
      <c r="CN41" s="1305"/>
      <c r="CO41" s="1305"/>
      <c r="CP41" s="1300"/>
      <c r="CQ41" s="1304"/>
      <c r="CR41" s="1303"/>
      <c r="CS41" s="1300"/>
      <c r="CT41" s="1303"/>
      <c r="CU41" s="1305"/>
      <c r="CV41" s="1299"/>
      <c r="CW41" s="1306">
        <f>+D41+Y41+AF41+AM41+AT41+BA41</f>
        <v>512</v>
      </c>
      <c r="CX41" s="1307">
        <f>+CW41-CW36</f>
        <v>12</v>
      </c>
      <c r="CY41" s="1295">
        <f>+(CW41/CW33-1)*100</f>
        <v>13.274336283185839</v>
      </c>
      <c r="CZ41" s="1304"/>
      <c r="DA41" s="1311"/>
      <c r="DB41" s="1296">
        <f>+G41+AB41+AI41+AP41+AW41</f>
        <v>13.821740928819446</v>
      </c>
      <c r="DC41" s="1297"/>
      <c r="DD41" s="1302"/>
      <c r="DE41" s="1266"/>
      <c r="DF41" s="1266"/>
      <c r="DG41" s="1266"/>
      <c r="DH41" s="1266"/>
      <c r="DI41" s="1266"/>
      <c r="DJ41" s="1266"/>
      <c r="DK41" s="1266"/>
      <c r="DL41" s="1266"/>
      <c r="DM41" s="1266"/>
      <c r="DN41" s="1266"/>
      <c r="DO41" s="1266"/>
      <c r="DP41" s="1266"/>
      <c r="DQ41" s="1266"/>
    </row>
    <row r="42" spans="1:121" ht="13.5" hidden="1" outlineLevel="1">
      <c r="A42" s="1266" t="str">
        <f>$A$18</f>
        <v>2Q</v>
      </c>
      <c r="B42" s="1266" t="str">
        <f>$B$18</f>
        <v>Jul</v>
      </c>
      <c r="C42" s="1266"/>
      <c r="D42" s="1294">
        <f>+K42+R42</f>
        <v>489</v>
      </c>
      <c r="E42" s="1255">
        <f>+D42-D41</f>
        <v>4</v>
      </c>
      <c r="F42" s="1295">
        <f>+(D42/D34-1)*100</f>
        <v>8.4257206208425686</v>
      </c>
      <c r="G42" s="1296">
        <f>+N42+U42</f>
        <v>13.186763671874999</v>
      </c>
      <c r="H42" s="1297"/>
      <c r="I42" s="1295">
        <f>+(G42/G34-1)*100</f>
        <v>11.517271274760521</v>
      </c>
      <c r="J42" s="1309"/>
      <c r="K42" s="1300">
        <v>489</v>
      </c>
      <c r="L42" s="1255">
        <f>+K42-K41</f>
        <v>4</v>
      </c>
      <c r="M42" s="1295">
        <f>+(K42/K34-1)*100</f>
        <v>8.4257206208425686</v>
      </c>
      <c r="N42" s="1296">
        <f>+K42*O$45/1000</f>
        <v>13.186763671874999</v>
      </c>
      <c r="O42" s="1297"/>
      <c r="P42" s="1295">
        <f>+(N42/N34-1)*100</f>
        <v>11.517271274760521</v>
      </c>
      <c r="Q42" s="1299"/>
      <c r="R42" s="1300"/>
      <c r="S42" s="1304"/>
      <c r="T42" s="1303"/>
      <c r="U42" s="1296"/>
      <c r="V42" s="1297"/>
      <c r="W42" s="1295"/>
      <c r="X42" s="1299"/>
      <c r="Y42" s="1300">
        <v>21</v>
      </c>
      <c r="Z42" s="1255">
        <f>+Y42-Y41</f>
        <v>0</v>
      </c>
      <c r="AA42" s="1295">
        <f>+(Y42/Y34-1)*100</f>
        <v>75</v>
      </c>
      <c r="AB42" s="1296">
        <f>+Y42*AC$45/1000</f>
        <v>0.44644444444444448</v>
      </c>
      <c r="AC42" s="1297"/>
      <c r="AD42" s="1295">
        <f>+(AB42/AB34-1)*100</f>
        <v>102.19404186795491</v>
      </c>
      <c r="AE42" s="1299"/>
      <c r="AF42" s="1300"/>
      <c r="AG42" s="1304"/>
      <c r="AH42" s="1301"/>
      <c r="AI42" s="1296"/>
      <c r="AJ42" s="1297"/>
      <c r="AK42" s="1302"/>
      <c r="AL42" s="1299"/>
      <c r="AM42" s="1300">
        <v>6</v>
      </c>
      <c r="AN42" s="1255">
        <f>+AM42-AM41</f>
        <v>0</v>
      </c>
      <c r="AO42" s="1297"/>
      <c r="AP42" s="1296">
        <f>+AM42*AQ$45/1000</f>
        <v>0.2964</v>
      </c>
      <c r="AQ42" s="1297"/>
      <c r="AR42" s="1295">
        <f>+(AP42/AP34-1)*100</f>
        <v>82.962962962962948</v>
      </c>
      <c r="AS42" s="1299"/>
      <c r="AT42" s="1300"/>
      <c r="AU42" s="1304"/>
      <c r="AV42" s="1303"/>
      <c r="AW42" s="1296"/>
      <c r="AX42" s="1303"/>
      <c r="AY42" s="1305"/>
      <c r="AZ42" s="1316"/>
      <c r="BA42" s="1300"/>
      <c r="BB42" s="1304"/>
      <c r="BC42" s="1303"/>
      <c r="BD42" s="1296"/>
      <c r="BE42" s="1303"/>
      <c r="BF42" s="1305"/>
      <c r="BG42" s="1305"/>
      <c r="BH42" s="1300"/>
      <c r="BI42" s="1304"/>
      <c r="BJ42" s="1303"/>
      <c r="BK42" s="1300"/>
      <c r="BL42" s="1303"/>
      <c r="BM42" s="1305"/>
      <c r="BN42" s="1305"/>
      <c r="BO42" s="1300"/>
      <c r="BP42" s="1304"/>
      <c r="BQ42" s="1303"/>
      <c r="BR42" s="1300"/>
      <c r="BS42" s="1303"/>
      <c r="BT42" s="1305"/>
      <c r="BU42" s="1305"/>
      <c r="BV42" s="1300"/>
      <c r="BW42" s="1304"/>
      <c r="BX42" s="1303"/>
      <c r="BY42" s="1300"/>
      <c r="BZ42" s="1303"/>
      <c r="CA42" s="1305"/>
      <c r="CB42" s="1299"/>
      <c r="CC42" s="1300"/>
      <c r="CD42" s="1304"/>
      <c r="CE42" s="1303"/>
      <c r="CF42" s="1300"/>
      <c r="CG42" s="1303"/>
      <c r="CH42" s="1305"/>
      <c r="CI42" s="1300"/>
      <c r="CJ42" s="1304"/>
      <c r="CK42" s="1303"/>
      <c r="CL42" s="1300"/>
      <c r="CM42" s="1303"/>
      <c r="CN42" s="1305"/>
      <c r="CO42" s="1305"/>
      <c r="CP42" s="1300"/>
      <c r="CQ42" s="1304"/>
      <c r="CR42" s="1303"/>
      <c r="CS42" s="1300"/>
      <c r="CT42" s="1303"/>
      <c r="CU42" s="1305"/>
      <c r="CV42" s="1299"/>
      <c r="CW42" s="1306">
        <f>+D42+Y42+AF42+AM42+AT42+BA42</f>
        <v>516</v>
      </c>
      <c r="CX42" s="1307">
        <f>+CW42-CW41</f>
        <v>4</v>
      </c>
      <c r="CY42" s="1295">
        <f>+(CW42/CW34-1)*100</f>
        <v>10.729613733905573</v>
      </c>
      <c r="CZ42" s="1304"/>
      <c r="DA42" s="1311"/>
      <c r="DB42" s="1310">
        <f>+G42+AB42+AI42+AP42+AW42</f>
        <v>13.929608116319445</v>
      </c>
      <c r="DC42" s="1297"/>
      <c r="DD42" s="1302"/>
      <c r="DE42" s="1266"/>
      <c r="DF42" s="1266"/>
      <c r="DG42" s="1266"/>
      <c r="DH42" s="1266"/>
      <c r="DI42" s="1266"/>
      <c r="DJ42" s="1266"/>
      <c r="DK42" s="1266"/>
      <c r="DL42" s="1266"/>
      <c r="DM42" s="1266"/>
      <c r="DN42" s="1266"/>
      <c r="DO42" s="1266"/>
      <c r="DP42" s="1266"/>
      <c r="DQ42" s="1266"/>
    </row>
    <row r="43" spans="1:121" ht="13.5" hidden="1" outlineLevel="1">
      <c r="A43" s="1266" t="str">
        <f>$A$19</f>
        <v>3Q</v>
      </c>
      <c r="B43" s="1266" t="str">
        <f>$B$19</f>
        <v>Oct</v>
      </c>
      <c r="C43" s="1266"/>
      <c r="D43" s="1294">
        <f>+K43+R43</f>
        <v>502</v>
      </c>
      <c r="E43" s="1255">
        <f>+D43-D42</f>
        <v>13</v>
      </c>
      <c r="F43" s="1295">
        <f>+(D43/D35-1)*100</f>
        <v>8.4233261339092813</v>
      </c>
      <c r="G43" s="1296">
        <f>+N43+U43</f>
        <v>13.537332031249999</v>
      </c>
      <c r="H43" s="1297"/>
      <c r="I43" s="1295">
        <f>+(G43/G35-1)*100</f>
        <v>11.514808513642837</v>
      </c>
      <c r="J43" s="1266"/>
      <c r="K43" s="1300">
        <v>502</v>
      </c>
      <c r="L43" s="1255">
        <f>+K43-K42</f>
        <v>13</v>
      </c>
      <c r="M43" s="1295">
        <f>+(K43/K35-1)*100</f>
        <v>8.4233261339092813</v>
      </c>
      <c r="N43" s="1296">
        <f>+K43*O$45/1000</f>
        <v>13.537332031249999</v>
      </c>
      <c r="O43" s="1297"/>
      <c r="P43" s="1295">
        <f>+(N43/N35-1)*100</f>
        <v>11.514808513642837</v>
      </c>
      <c r="Q43" s="1299"/>
      <c r="R43" s="1300"/>
      <c r="S43" s="1304"/>
      <c r="T43" s="1303"/>
      <c r="U43" s="1296"/>
      <c r="V43" s="1297"/>
      <c r="W43" s="1295"/>
      <c r="X43" s="1299"/>
      <c r="Y43" s="1300">
        <v>27</v>
      </c>
      <c r="Z43" s="1255">
        <f>+Y43-Y42</f>
        <v>6</v>
      </c>
      <c r="AA43" s="1295">
        <f>+(Y43/Y35-1)*100</f>
        <v>92.857142857142861</v>
      </c>
      <c r="AB43" s="1296">
        <f>+Y43*AC$45/1000</f>
        <v>0.57399999999999995</v>
      </c>
      <c r="AC43" s="1297"/>
      <c r="AD43" s="1295">
        <f>+(AB43/AB35-1)*100</f>
        <v>122.82608695652173</v>
      </c>
      <c r="AE43" s="1299"/>
      <c r="AF43" s="1300"/>
      <c r="AG43" s="1304"/>
      <c r="AH43" s="1301"/>
      <c r="AI43" s="1296"/>
      <c r="AJ43" s="1297"/>
      <c r="AK43" s="1302"/>
      <c r="AL43" s="1299"/>
      <c r="AM43" s="1300">
        <v>10</v>
      </c>
      <c r="AN43" s="1255">
        <f>+AM43-AM42</f>
        <v>4</v>
      </c>
      <c r="AO43" s="1297"/>
      <c r="AP43" s="1296">
        <f>+AM43*AQ$45/1000</f>
        <v>0.49399999999999999</v>
      </c>
      <c r="AQ43" s="1297"/>
      <c r="AR43" s="1295">
        <f>+(AP43/AP35-1)*100</f>
        <v>128.70370370370372</v>
      </c>
      <c r="AS43" s="1299"/>
      <c r="AT43" s="1300"/>
      <c r="AU43" s="1304"/>
      <c r="AV43" s="1303"/>
      <c r="AW43" s="1296"/>
      <c r="AX43" s="1303"/>
      <c r="AY43" s="1305"/>
      <c r="AZ43" s="1316"/>
      <c r="BA43" s="1300"/>
      <c r="BB43" s="1304"/>
      <c r="BC43" s="1303"/>
      <c r="BD43" s="1296"/>
      <c r="BE43" s="1303"/>
      <c r="BF43" s="1305"/>
      <c r="BG43" s="1305"/>
      <c r="BH43" s="1300"/>
      <c r="BI43" s="1304"/>
      <c r="BJ43" s="1303"/>
      <c r="BK43" s="1300"/>
      <c r="BL43" s="1303"/>
      <c r="BM43" s="1305"/>
      <c r="BN43" s="1305"/>
      <c r="BO43" s="1300"/>
      <c r="BP43" s="1304"/>
      <c r="BQ43" s="1303"/>
      <c r="BR43" s="1300"/>
      <c r="BS43" s="1303"/>
      <c r="BT43" s="1305"/>
      <c r="BU43" s="1305"/>
      <c r="BV43" s="1300"/>
      <c r="BW43" s="1304"/>
      <c r="BX43" s="1303"/>
      <c r="BY43" s="1300"/>
      <c r="BZ43" s="1303"/>
      <c r="CA43" s="1305"/>
      <c r="CB43" s="1299"/>
      <c r="CC43" s="1300"/>
      <c r="CD43" s="1304"/>
      <c r="CE43" s="1303"/>
      <c r="CF43" s="1300"/>
      <c r="CG43" s="1303"/>
      <c r="CH43" s="1305"/>
      <c r="CI43" s="1300"/>
      <c r="CJ43" s="1304"/>
      <c r="CK43" s="1303"/>
      <c r="CL43" s="1300"/>
      <c r="CM43" s="1303"/>
      <c r="CN43" s="1305"/>
      <c r="CO43" s="1305"/>
      <c r="CP43" s="1300"/>
      <c r="CQ43" s="1304"/>
      <c r="CR43" s="1303"/>
      <c r="CS43" s="1300"/>
      <c r="CT43" s="1303"/>
      <c r="CU43" s="1305"/>
      <c r="CV43" s="1299"/>
      <c r="CW43" s="1306">
        <f>+D43+Y43+AF43+AM43+AT43+BA43</f>
        <v>539</v>
      </c>
      <c r="CX43" s="1307">
        <f>+CW43-CW42</f>
        <v>23</v>
      </c>
      <c r="CY43" s="1295">
        <f>+(CW43/CW35-1)*100</f>
        <v>12.058212058212048</v>
      </c>
      <c r="CZ43" s="1304"/>
      <c r="DA43" s="1311"/>
      <c r="DB43" s="1310">
        <f>+G43+AB43+AI43+AP43+AW43</f>
        <v>14.605332031249999</v>
      </c>
      <c r="DC43" s="1297"/>
      <c r="DD43" s="1302"/>
      <c r="DE43" s="1266"/>
      <c r="DF43" s="1266"/>
      <c r="DG43" s="1266"/>
      <c r="DH43" s="1266"/>
      <c r="DI43" s="1266"/>
      <c r="DJ43" s="1266"/>
      <c r="DK43" s="1266"/>
      <c r="DL43" s="1266"/>
      <c r="DM43" s="1266"/>
      <c r="DN43" s="1266"/>
      <c r="DO43" s="1266"/>
      <c r="DP43" s="1266"/>
      <c r="DQ43" s="1266"/>
    </row>
    <row r="44" spans="1:121" ht="13.5" hidden="1" outlineLevel="1">
      <c r="A44" s="1266" t="str">
        <f>$A$20</f>
        <v>4Q</v>
      </c>
      <c r="B44" s="1266" t="str">
        <f>$B$20</f>
        <v>Jan</v>
      </c>
      <c r="C44" s="1266"/>
      <c r="D44" s="1312">
        <f>+K44+R44</f>
        <v>512</v>
      </c>
      <c r="E44" s="1255">
        <f>+D44-D43</f>
        <v>10</v>
      </c>
      <c r="F44" s="1295">
        <f>+(D44/D36-1)*100</f>
        <v>6.8893528183715969</v>
      </c>
      <c r="G44" s="1313">
        <f>+N44+U44</f>
        <v>13.807</v>
      </c>
      <c r="H44" s="1297"/>
      <c r="I44" s="1295">
        <f>+(G44/G36-1)*100</f>
        <v>9.9370969026196576</v>
      </c>
      <c r="J44" s="1266"/>
      <c r="K44" s="1314">
        <v>512</v>
      </c>
      <c r="L44" s="1255">
        <f>+K44-K43</f>
        <v>10</v>
      </c>
      <c r="M44" s="1295">
        <f>+(K44/K36-1)*100</f>
        <v>6.8893528183715969</v>
      </c>
      <c r="N44" s="1313">
        <f>+K44*O$45/1000</f>
        <v>13.807</v>
      </c>
      <c r="O44" s="1297"/>
      <c r="P44" s="1295">
        <f>+(N44/N36-1)*100</f>
        <v>9.9370969026196576</v>
      </c>
      <c r="Q44" s="1299"/>
      <c r="R44" s="1300"/>
      <c r="S44" s="1304"/>
      <c r="T44" s="1303"/>
      <c r="U44" s="1313"/>
      <c r="V44" s="1297"/>
      <c r="W44" s="1295"/>
      <c r="X44" s="1299"/>
      <c r="Y44" s="1314">
        <v>27</v>
      </c>
      <c r="Z44" s="1255">
        <f>+Y44-Y43</f>
        <v>0</v>
      </c>
      <c r="AA44" s="1295">
        <f>+(Y44/Y36-1)*100</f>
        <v>80</v>
      </c>
      <c r="AB44" s="1313">
        <f>+Y44*AC$45/1000</f>
        <v>0.57399999999999995</v>
      </c>
      <c r="AC44" s="1297"/>
      <c r="AD44" s="1295">
        <f>+(AB44/AB36-1)*100</f>
        <v>107.97101449275353</v>
      </c>
      <c r="AE44" s="1299"/>
      <c r="AF44" s="1300"/>
      <c r="AG44" s="1304"/>
      <c r="AH44" s="1301"/>
      <c r="AI44" s="1313"/>
      <c r="AJ44" s="1297"/>
      <c r="AK44" s="1302"/>
      <c r="AL44" s="1299"/>
      <c r="AM44" s="1314">
        <v>10</v>
      </c>
      <c r="AN44" s="1255">
        <f>+AM44-AM43</f>
        <v>0</v>
      </c>
      <c r="AO44" s="1297"/>
      <c r="AP44" s="1313">
        <f>+AM44*AQ$45/1000</f>
        <v>0.49399999999999999</v>
      </c>
      <c r="AQ44" s="1297"/>
      <c r="AR44" s="1295">
        <f>+(AP44/AP36-1)*100</f>
        <v>52.469135802469125</v>
      </c>
      <c r="AS44" s="1299"/>
      <c r="AT44" s="1300"/>
      <c r="AU44" s="1304"/>
      <c r="AV44" s="1303"/>
      <c r="AW44" s="1313"/>
      <c r="AX44" s="1303"/>
      <c r="AY44" s="1305"/>
      <c r="AZ44" s="1316"/>
      <c r="BA44" s="1300"/>
      <c r="BB44" s="1304"/>
      <c r="BC44" s="1303"/>
      <c r="BD44" s="1313"/>
      <c r="BE44" s="1303"/>
      <c r="BF44" s="1305"/>
      <c r="BG44" s="1305"/>
      <c r="BH44" s="1300"/>
      <c r="BI44" s="1304"/>
      <c r="BJ44" s="1303"/>
      <c r="BK44" s="1294"/>
      <c r="BL44" s="1303"/>
      <c r="BM44" s="1305"/>
      <c r="BN44" s="1305"/>
      <c r="BO44" s="1300"/>
      <c r="BP44" s="1304"/>
      <c r="BQ44" s="1303"/>
      <c r="BR44" s="1294"/>
      <c r="BS44" s="1303"/>
      <c r="BT44" s="1305"/>
      <c r="BU44" s="1305"/>
      <c r="BV44" s="1300"/>
      <c r="BW44" s="1304"/>
      <c r="BX44" s="1303"/>
      <c r="BY44" s="1294"/>
      <c r="BZ44" s="1303"/>
      <c r="CA44" s="1305"/>
      <c r="CB44" s="1299"/>
      <c r="CC44" s="1300"/>
      <c r="CD44" s="1304"/>
      <c r="CE44" s="1303"/>
      <c r="CF44" s="1294"/>
      <c r="CG44" s="1303"/>
      <c r="CH44" s="1305"/>
      <c r="CI44" s="1300"/>
      <c r="CJ44" s="1304"/>
      <c r="CK44" s="1303"/>
      <c r="CL44" s="1294"/>
      <c r="CM44" s="1303"/>
      <c r="CN44" s="1305"/>
      <c r="CO44" s="1305"/>
      <c r="CP44" s="1300"/>
      <c r="CQ44" s="1304"/>
      <c r="CR44" s="1303"/>
      <c r="CS44" s="1294"/>
      <c r="CT44" s="1303"/>
      <c r="CU44" s="1305"/>
      <c r="CV44" s="1299"/>
      <c r="CW44" s="1312">
        <f>+D44+Y44+AF44+AM44+AT44+BA44</f>
        <v>549</v>
      </c>
      <c r="CX44" s="1307">
        <f>+CW44-CW43</f>
        <v>10</v>
      </c>
      <c r="CY44" s="1295">
        <f>+(CW44/CW36-1)*100</f>
        <v>9.8000000000000078</v>
      </c>
      <c r="CZ44" s="1304"/>
      <c r="DA44" s="1311"/>
      <c r="DB44" s="1313">
        <f>+G44+AB44+AI44+AP44+AW44</f>
        <v>14.875</v>
      </c>
      <c r="DC44" s="1297"/>
      <c r="DD44" s="1302"/>
      <c r="DE44" s="1266"/>
      <c r="DF44" s="1266"/>
      <c r="DG44" s="1266"/>
      <c r="DH44" s="1266"/>
      <c r="DI44" s="1266"/>
      <c r="DJ44" s="1266"/>
      <c r="DK44" s="1266"/>
      <c r="DL44" s="1266"/>
      <c r="DM44" s="1266"/>
      <c r="DN44" s="1266"/>
      <c r="DO44" s="1266"/>
      <c r="DP44" s="1266"/>
      <c r="DQ44" s="1266"/>
    </row>
    <row r="45" spans="1:121" ht="13.5" hidden="1" outlineLevel="1">
      <c r="A45" s="1266"/>
      <c r="B45" s="1266" t="str">
        <f>$B$21</f>
        <v>Year</v>
      </c>
      <c r="C45" s="1266"/>
      <c r="D45" s="1306">
        <f>+D44</f>
        <v>512</v>
      </c>
      <c r="E45" s="1317">
        <f>+D45-D37</f>
        <v>33</v>
      </c>
      <c r="F45" s="1295">
        <f>+(D45/D37-1)*100</f>
        <v>6.8893528183715969</v>
      </c>
      <c r="G45" s="1296">
        <f>+N45+U45</f>
        <v>13.807</v>
      </c>
      <c r="H45" s="1297">
        <f>+G45/D45*1000</f>
        <v>26.966796875</v>
      </c>
      <c r="I45" s="1295">
        <f>+(G45/G37-1)*100</f>
        <v>9.9370969026196363</v>
      </c>
      <c r="J45" s="1266"/>
      <c r="K45" s="1306">
        <f>+K44</f>
        <v>512</v>
      </c>
      <c r="L45" s="1317">
        <f>+K45-K37</f>
        <v>33</v>
      </c>
      <c r="M45" s="1295">
        <f>+(K45/K37-1)*100</f>
        <v>6.8893528183715969</v>
      </c>
      <c r="N45" s="1318">
        <v>13.807</v>
      </c>
      <c r="O45" s="1297">
        <f>+N45/K45*1000</f>
        <v>26.966796875</v>
      </c>
      <c r="P45" s="1295">
        <f>+(N45/N37-1)*100</f>
        <v>9.9370969026196363</v>
      </c>
      <c r="Q45" s="1299"/>
      <c r="R45" s="1294"/>
      <c r="S45" s="1320"/>
      <c r="T45" s="1305"/>
      <c r="U45" s="1318"/>
      <c r="V45" s="1297"/>
      <c r="W45" s="1295"/>
      <c r="X45" s="1299"/>
      <c r="Y45" s="1306">
        <f>+Y44</f>
        <v>27</v>
      </c>
      <c r="Z45" s="1317">
        <f>+Y45-Y37</f>
        <v>12</v>
      </c>
      <c r="AA45" s="1295">
        <f>+(Y45/Y37-1)*100</f>
        <v>80</v>
      </c>
      <c r="AB45" s="1318">
        <v>0.57399999999999995</v>
      </c>
      <c r="AC45" s="1297">
        <f>+AB45/Y45*1000</f>
        <v>21.25925925925926</v>
      </c>
      <c r="AD45" s="1295">
        <f>+(AB45/AB37-1)*100</f>
        <v>107.97101449275357</v>
      </c>
      <c r="AE45" s="1299"/>
      <c r="AF45" s="1294"/>
      <c r="AG45" s="1320"/>
      <c r="AH45" s="1305"/>
      <c r="AI45" s="1318"/>
      <c r="AJ45" s="1297"/>
      <c r="AK45" s="1295"/>
      <c r="AL45" s="1299"/>
      <c r="AM45" s="1306">
        <f>+AM44</f>
        <v>10</v>
      </c>
      <c r="AN45" s="1317">
        <f>+AM45-AM37</f>
        <v>4</v>
      </c>
      <c r="AO45" s="1295"/>
      <c r="AP45" s="1318">
        <v>0.49399999999999999</v>
      </c>
      <c r="AQ45" s="1297">
        <f>+AP45/AM45*1000</f>
        <v>49.4</v>
      </c>
      <c r="AR45" s="1295">
        <f>+(AP45/AP37-1)*100</f>
        <v>52.469135802469125</v>
      </c>
      <c r="AS45" s="1299"/>
      <c r="AT45" s="1294"/>
      <c r="AU45" s="1320"/>
      <c r="AV45" s="1305"/>
      <c r="AW45" s="1318"/>
      <c r="AX45" s="1303"/>
      <c r="AY45" s="1305"/>
      <c r="AZ45" s="1316"/>
      <c r="BA45" s="1294"/>
      <c r="BB45" s="1320"/>
      <c r="BC45" s="1303"/>
      <c r="BD45" s="1318"/>
      <c r="BE45" s="1303"/>
      <c r="BF45" s="1305"/>
      <c r="BG45" s="1305"/>
      <c r="BH45" s="1294"/>
      <c r="BI45" s="1320"/>
      <c r="BJ45" s="1303"/>
      <c r="BK45" s="1300"/>
      <c r="BL45" s="1303"/>
      <c r="BM45" s="1305"/>
      <c r="BN45" s="1305"/>
      <c r="BO45" s="1294"/>
      <c r="BP45" s="1320"/>
      <c r="BQ45" s="1303"/>
      <c r="BR45" s="1300"/>
      <c r="BS45" s="1303"/>
      <c r="BT45" s="1305"/>
      <c r="BU45" s="1305"/>
      <c r="BV45" s="1294"/>
      <c r="BW45" s="1320"/>
      <c r="BX45" s="1303"/>
      <c r="BY45" s="1300"/>
      <c r="BZ45" s="1303"/>
      <c r="CA45" s="1305"/>
      <c r="CB45" s="1299"/>
      <c r="CC45" s="1294"/>
      <c r="CD45" s="1320"/>
      <c r="CE45" s="1303"/>
      <c r="CF45" s="1300"/>
      <c r="CG45" s="1303"/>
      <c r="CH45" s="1305"/>
      <c r="CI45" s="1294"/>
      <c r="CJ45" s="1320"/>
      <c r="CK45" s="1303"/>
      <c r="CL45" s="1300"/>
      <c r="CM45" s="1303"/>
      <c r="CN45" s="1305"/>
      <c r="CO45" s="1305"/>
      <c r="CP45" s="1294"/>
      <c r="CQ45" s="1320"/>
      <c r="CR45" s="1303"/>
      <c r="CS45" s="1300"/>
      <c r="CT45" s="1303"/>
      <c r="CU45" s="1305"/>
      <c r="CV45" s="1299"/>
      <c r="CW45" s="1306">
        <f>+D45+Y45+AF45+AM45+AT45+BA45</f>
        <v>549</v>
      </c>
      <c r="CX45" s="1317">
        <f>+CW45-CW37</f>
        <v>49</v>
      </c>
      <c r="CY45" s="1295">
        <f>+(CW45/CW37-1)*100</f>
        <v>9.8000000000000078</v>
      </c>
      <c r="CZ45" s="1317"/>
      <c r="DA45" s="1330"/>
      <c r="DB45" s="1296">
        <f>+G45+AB45+AI45+AP45+AW45</f>
        <v>14.875</v>
      </c>
      <c r="DC45" s="1297"/>
      <c r="DD45" s="1302"/>
      <c r="DE45" s="1266"/>
      <c r="DF45" s="1266"/>
      <c r="DG45" s="1266"/>
      <c r="DH45" s="1266"/>
      <c r="DI45" s="1266"/>
      <c r="DJ45" s="1266"/>
      <c r="DK45" s="1266"/>
      <c r="DL45" s="1266"/>
      <c r="DM45" s="1266"/>
      <c r="DN45" s="1266"/>
      <c r="DO45" s="1266"/>
      <c r="DP45" s="1266"/>
      <c r="DQ45" s="1266"/>
    </row>
    <row r="46" spans="1:121" ht="13.5" hidden="1" outlineLevel="1">
      <c r="A46" s="1266"/>
      <c r="B46" s="1266" t="s">
        <v>646</v>
      </c>
      <c r="C46" s="1266"/>
      <c r="D46" s="1306"/>
      <c r="E46" s="1317"/>
      <c r="F46" s="1323"/>
      <c r="G46" s="1296"/>
      <c r="H46" s="1297"/>
      <c r="I46" s="1295"/>
      <c r="J46" s="1266"/>
      <c r="K46" s="1306"/>
      <c r="L46" s="1256">
        <v>38</v>
      </c>
      <c r="M46" s="1324">
        <v>-5</v>
      </c>
      <c r="N46" s="1325" t="str">
        <f>IF(SUM(L46:M46)=L45,"","N")</f>
        <v/>
      </c>
      <c r="O46" s="1297"/>
      <c r="P46" s="1295"/>
      <c r="Q46" s="1299"/>
      <c r="R46" s="1294"/>
      <c r="S46" s="1256"/>
      <c r="T46" s="1324"/>
      <c r="U46" s="1325"/>
      <c r="V46" s="1297"/>
      <c r="W46" s="1295"/>
      <c r="X46" s="1299"/>
      <c r="Y46" s="1306"/>
      <c r="Z46" s="1256">
        <v>12</v>
      </c>
      <c r="AA46" s="1324">
        <v>0</v>
      </c>
      <c r="AB46" s="1325" t="str">
        <f>IF(SUM(Z46:AA46)=Z45,"","N")</f>
        <v/>
      </c>
      <c r="AC46" s="1297"/>
      <c r="AD46" s="1295"/>
      <c r="AE46" s="1299"/>
      <c r="AF46" s="1294"/>
      <c r="AG46" s="1326"/>
      <c r="AH46" s="1327"/>
      <c r="AI46" s="1325"/>
      <c r="AJ46" s="1297"/>
      <c r="AK46" s="1295"/>
      <c r="AL46" s="1299"/>
      <c r="AM46" s="1306"/>
      <c r="AN46" s="1256">
        <v>4</v>
      </c>
      <c r="AO46" s="1324">
        <v>0</v>
      </c>
      <c r="AP46" s="1325" t="str">
        <f>IF(SUM(AN46:AO46)=AN45,"","N")</f>
        <v/>
      </c>
      <c r="AQ46" s="1297"/>
      <c r="AR46" s="1295"/>
      <c r="AS46" s="1299"/>
      <c r="AT46" s="1294"/>
      <c r="AU46" s="1326"/>
      <c r="AV46" s="1327"/>
      <c r="AW46" s="1325"/>
      <c r="AX46" s="1303"/>
      <c r="AY46" s="1305"/>
      <c r="AZ46" s="1316"/>
      <c r="BA46" s="1294"/>
      <c r="BB46" s="1256"/>
      <c r="BC46" s="1324"/>
      <c r="BD46" s="1325"/>
      <c r="BE46" s="1303"/>
      <c r="BF46" s="1305"/>
      <c r="BG46" s="1305"/>
      <c r="BH46" s="1294"/>
      <c r="BI46" s="1256"/>
      <c r="BJ46" s="1324"/>
      <c r="BK46" s="1300"/>
      <c r="BL46" s="1303"/>
      <c r="BM46" s="1305"/>
      <c r="BN46" s="1305"/>
      <c r="BO46" s="1294"/>
      <c r="BP46" s="1256"/>
      <c r="BQ46" s="1324"/>
      <c r="BR46" s="1300"/>
      <c r="BS46" s="1303"/>
      <c r="BT46" s="1305"/>
      <c r="BU46" s="1305"/>
      <c r="BV46" s="1294"/>
      <c r="BW46" s="1256"/>
      <c r="BX46" s="1324"/>
      <c r="BY46" s="1300"/>
      <c r="BZ46" s="1303"/>
      <c r="CA46" s="1305"/>
      <c r="CB46" s="1299"/>
      <c r="CC46" s="1294"/>
      <c r="CD46" s="1256"/>
      <c r="CE46" s="1324"/>
      <c r="CF46" s="1300"/>
      <c r="CG46" s="1303"/>
      <c r="CH46" s="1305"/>
      <c r="CI46" s="1294"/>
      <c r="CJ46" s="1256"/>
      <c r="CK46" s="1324"/>
      <c r="CL46" s="1300"/>
      <c r="CM46" s="1303"/>
      <c r="CN46" s="1305"/>
      <c r="CO46" s="1305"/>
      <c r="CP46" s="1294"/>
      <c r="CQ46" s="1256"/>
      <c r="CR46" s="1324"/>
      <c r="CS46" s="1300"/>
      <c r="CT46" s="1303"/>
      <c r="CU46" s="1305"/>
      <c r="CV46" s="1299"/>
      <c r="CW46" s="1306"/>
      <c r="CX46" s="1317">
        <f>+L46+S46+Z46+AG46+AN46+AU46</f>
        <v>54</v>
      </c>
      <c r="CY46" s="1323">
        <f>+M46+T46+AA46+AH46+AO46+AV46</f>
        <v>-5</v>
      </c>
      <c r="CZ46" s="1320"/>
      <c r="DA46" s="1322"/>
      <c r="DB46" s="1296"/>
      <c r="DC46" s="1297"/>
      <c r="DD46" s="1302"/>
      <c r="DE46" s="1266"/>
      <c r="DF46" s="1266"/>
      <c r="DG46" s="1266"/>
      <c r="DH46" s="1266"/>
      <c r="DI46" s="1266"/>
      <c r="DJ46" s="1266"/>
      <c r="DK46" s="1266"/>
      <c r="DL46" s="1266"/>
      <c r="DM46" s="1266"/>
      <c r="DN46" s="1266"/>
      <c r="DO46" s="1266"/>
      <c r="DP46" s="1266"/>
      <c r="DQ46" s="1266"/>
    </row>
    <row r="47" spans="1:121" ht="13.5" hidden="1" outlineLevel="1">
      <c r="A47" s="1266"/>
      <c r="B47" s="1266"/>
      <c r="C47" s="1266"/>
      <c r="D47" s="1290"/>
      <c r="E47" s="1292"/>
      <c r="F47" s="1290"/>
      <c r="G47" s="1293"/>
      <c r="H47" s="1268"/>
      <c r="I47" s="1270"/>
      <c r="J47" s="1266"/>
      <c r="K47" s="1268"/>
      <c r="L47" s="1292"/>
      <c r="M47" s="1268"/>
      <c r="N47" s="1266"/>
      <c r="O47" s="1268"/>
      <c r="P47" s="1270"/>
      <c r="Q47" s="1268"/>
      <c r="R47" s="1290"/>
      <c r="S47" s="1292"/>
      <c r="T47" s="1290"/>
      <c r="U47" s="1266"/>
      <c r="V47" s="1268"/>
      <c r="W47" s="1270"/>
      <c r="X47" s="1268"/>
      <c r="Y47" s="1268"/>
      <c r="Z47" s="1292"/>
      <c r="AA47" s="1268"/>
      <c r="AB47" s="1266"/>
      <c r="AC47" s="1268"/>
      <c r="AD47" s="1270"/>
      <c r="AE47" s="1268"/>
      <c r="AF47" s="1268"/>
      <c r="AG47" s="1292"/>
      <c r="AH47" s="1270"/>
      <c r="AI47" s="1266"/>
      <c r="AJ47" s="1268"/>
      <c r="AK47" s="1268"/>
      <c r="AL47" s="1268"/>
      <c r="AM47" s="1268"/>
      <c r="AN47" s="1292"/>
      <c r="AO47" s="1268"/>
      <c r="AP47" s="1266"/>
      <c r="AQ47" s="1268"/>
      <c r="AR47" s="1270"/>
      <c r="AS47" s="1268"/>
      <c r="AT47" s="1290"/>
      <c r="AU47" s="1292"/>
      <c r="AV47" s="1293"/>
      <c r="AW47" s="1266"/>
      <c r="AX47" s="1290"/>
      <c r="AY47" s="1291"/>
      <c r="AZ47" s="1293"/>
      <c r="BA47" s="1290"/>
      <c r="BB47" s="1292"/>
      <c r="BC47" s="1293"/>
      <c r="BD47" s="1266"/>
      <c r="BE47" s="1290"/>
      <c r="BF47" s="1291"/>
      <c r="BG47" s="1291"/>
      <c r="BH47" s="1290"/>
      <c r="BI47" s="1292"/>
      <c r="BJ47" s="1293"/>
      <c r="BK47" s="1293"/>
      <c r="BL47" s="1290"/>
      <c r="BM47" s="1291"/>
      <c r="BN47" s="1291"/>
      <c r="BO47" s="1290"/>
      <c r="BP47" s="1292"/>
      <c r="BQ47" s="1293"/>
      <c r="BR47" s="1293"/>
      <c r="BS47" s="1290"/>
      <c r="BT47" s="1291"/>
      <c r="BU47" s="1291"/>
      <c r="BV47" s="1290"/>
      <c r="BW47" s="1292"/>
      <c r="BX47" s="1293"/>
      <c r="BY47" s="1293"/>
      <c r="BZ47" s="1290"/>
      <c r="CA47" s="1291"/>
      <c r="CB47" s="1266"/>
      <c r="CC47" s="1290"/>
      <c r="CD47" s="1292"/>
      <c r="CE47" s="1293"/>
      <c r="CF47" s="1293"/>
      <c r="CG47" s="1290"/>
      <c r="CH47" s="1291"/>
      <c r="CI47" s="1290"/>
      <c r="CJ47" s="1292"/>
      <c r="CK47" s="1293"/>
      <c r="CL47" s="1293"/>
      <c r="CM47" s="1290"/>
      <c r="CN47" s="1291"/>
      <c r="CO47" s="1291"/>
      <c r="CP47" s="1290"/>
      <c r="CQ47" s="1292"/>
      <c r="CR47" s="1293"/>
      <c r="CS47" s="1293"/>
      <c r="CT47" s="1290"/>
      <c r="CU47" s="1291"/>
      <c r="CV47" s="1266"/>
      <c r="CW47" s="1293"/>
      <c r="CX47" s="1266"/>
      <c r="CY47" s="1266"/>
      <c r="CZ47" s="1292"/>
      <c r="DA47" s="1291"/>
      <c r="DB47" s="1293"/>
      <c r="DC47" s="1268"/>
      <c r="DD47" s="1268"/>
      <c r="DE47" s="1266"/>
      <c r="DF47" s="1266"/>
      <c r="DG47" s="1266"/>
      <c r="DH47" s="1266"/>
      <c r="DI47" s="1266"/>
      <c r="DJ47" s="1266"/>
      <c r="DK47" s="1266"/>
      <c r="DL47" s="1266"/>
      <c r="DM47" s="1266"/>
      <c r="DN47" s="1266"/>
      <c r="DO47" s="1266"/>
      <c r="DP47" s="1266"/>
      <c r="DQ47" s="1266"/>
    </row>
    <row r="48" spans="1:121" ht="14.25" hidden="1" outlineLevel="1">
      <c r="A48" s="2119">
        <f>+A40+1</f>
        <v>1994</v>
      </c>
      <c r="B48" s="2119"/>
      <c r="C48" s="1266"/>
      <c r="D48" s="1290"/>
      <c r="E48" s="1292"/>
      <c r="F48" s="1290"/>
      <c r="G48" s="1293"/>
      <c r="H48" s="1268"/>
      <c r="I48" s="1270"/>
      <c r="J48" s="1266"/>
      <c r="K48" s="1268"/>
      <c r="L48" s="1292"/>
      <c r="M48" s="1268"/>
      <c r="N48" s="1266"/>
      <c r="O48" s="1268"/>
      <c r="P48" s="1270"/>
      <c r="Q48" s="1268"/>
      <c r="R48" s="1290"/>
      <c r="S48" s="1292"/>
      <c r="T48" s="1290"/>
      <c r="U48" s="1266"/>
      <c r="V48" s="1268"/>
      <c r="W48" s="1270"/>
      <c r="X48" s="1268"/>
      <c r="Y48" s="1268"/>
      <c r="Z48" s="1292"/>
      <c r="AA48" s="1268"/>
      <c r="AB48" s="1266"/>
      <c r="AC48" s="1268"/>
      <c r="AD48" s="1270"/>
      <c r="AE48" s="1268"/>
      <c r="AF48" s="1268"/>
      <c r="AG48" s="1292"/>
      <c r="AH48" s="1270"/>
      <c r="AI48" s="1266"/>
      <c r="AJ48" s="1268"/>
      <c r="AK48" s="1268"/>
      <c r="AL48" s="1268"/>
      <c r="AM48" s="1268"/>
      <c r="AN48" s="1292"/>
      <c r="AO48" s="1268"/>
      <c r="AP48" s="1266"/>
      <c r="AQ48" s="1268"/>
      <c r="AR48" s="1270"/>
      <c r="AS48" s="1268"/>
      <c r="AT48" s="1290"/>
      <c r="AU48" s="1292"/>
      <c r="AV48" s="1293"/>
      <c r="AW48" s="1266"/>
      <c r="AX48" s="1290"/>
      <c r="AY48" s="1291"/>
      <c r="AZ48" s="1293"/>
      <c r="BA48" s="1290"/>
      <c r="BB48" s="1292"/>
      <c r="BC48" s="1293"/>
      <c r="BD48" s="1266"/>
      <c r="BE48" s="1290"/>
      <c r="BF48" s="1291"/>
      <c r="BG48" s="1291"/>
      <c r="BH48" s="1290"/>
      <c r="BI48" s="1292"/>
      <c r="BJ48" s="1293"/>
      <c r="BK48" s="1293"/>
      <c r="BL48" s="1290"/>
      <c r="BM48" s="1291"/>
      <c r="BN48" s="1291"/>
      <c r="BO48" s="1290"/>
      <c r="BP48" s="1292"/>
      <c r="BQ48" s="1293"/>
      <c r="BR48" s="1293"/>
      <c r="BS48" s="1290"/>
      <c r="BT48" s="1291"/>
      <c r="BU48" s="1291"/>
      <c r="BV48" s="1290"/>
      <c r="BW48" s="1292"/>
      <c r="BX48" s="1293"/>
      <c r="BY48" s="1293"/>
      <c r="BZ48" s="1290"/>
      <c r="CA48" s="1291"/>
      <c r="CB48" s="1266"/>
      <c r="CC48" s="1290"/>
      <c r="CD48" s="1292"/>
      <c r="CE48" s="1293"/>
      <c r="CF48" s="1293"/>
      <c r="CG48" s="1290"/>
      <c r="CH48" s="1291"/>
      <c r="CI48" s="1290"/>
      <c r="CJ48" s="1292"/>
      <c r="CK48" s="1293"/>
      <c r="CL48" s="1293"/>
      <c r="CM48" s="1290"/>
      <c r="CN48" s="1291"/>
      <c r="CO48" s="1291"/>
      <c r="CP48" s="1290"/>
      <c r="CQ48" s="1292"/>
      <c r="CR48" s="1293"/>
      <c r="CS48" s="1293"/>
      <c r="CT48" s="1290"/>
      <c r="CU48" s="1291"/>
      <c r="CV48" s="1266"/>
      <c r="CW48" s="1293"/>
      <c r="CX48" s="1266"/>
      <c r="CY48" s="1266"/>
      <c r="CZ48" s="1292"/>
      <c r="DA48" s="1291"/>
      <c r="DB48" s="1293"/>
      <c r="DC48" s="1268"/>
      <c r="DD48" s="1268"/>
      <c r="DE48" s="1266"/>
      <c r="DF48" s="1266"/>
      <c r="DG48" s="1266"/>
      <c r="DH48" s="1266"/>
      <c r="DI48" s="1266"/>
      <c r="DJ48" s="1266"/>
      <c r="DK48" s="1266"/>
      <c r="DL48" s="1266"/>
      <c r="DM48" s="1266"/>
      <c r="DN48" s="1266"/>
      <c r="DO48" s="1266"/>
      <c r="DP48" s="1266"/>
      <c r="DQ48" s="1266"/>
    </row>
    <row r="49" spans="1:121" ht="13.5" hidden="1" outlineLevel="1">
      <c r="A49" s="1266" t="str">
        <f>$A$17</f>
        <v>1Q</v>
      </c>
      <c r="B49" s="1266" t="str">
        <f>$B$17</f>
        <v>Apr</v>
      </c>
      <c r="C49" s="1266"/>
      <c r="D49" s="1294">
        <f>+K49+R49</f>
        <v>513</v>
      </c>
      <c r="E49" s="1255">
        <f>+D49-D44</f>
        <v>1</v>
      </c>
      <c r="F49" s="1295">
        <f>+(D49/D41-1)*100</f>
        <v>5.7731958762886615</v>
      </c>
      <c r="G49" s="1296">
        <f>+N49+U49</f>
        <v>14.25693103448276</v>
      </c>
      <c r="H49" s="1297"/>
      <c r="I49" s="1295">
        <f>+(G49/G41-1)*100</f>
        <v>9.0071402546470622</v>
      </c>
      <c r="J49" s="1266"/>
      <c r="K49" s="1298">
        <v>513</v>
      </c>
      <c r="L49" s="1255">
        <f>+K49-K44</f>
        <v>1</v>
      </c>
      <c r="M49" s="1295">
        <f>+(K49/K41-1)*100</f>
        <v>5.7731958762886615</v>
      </c>
      <c r="N49" s="1296">
        <f>+K49*O$53/1000</f>
        <v>14.25693103448276</v>
      </c>
      <c r="O49" s="1297"/>
      <c r="P49" s="1295">
        <f>+(N49/N41-1)*100</f>
        <v>9.0071402546470622</v>
      </c>
      <c r="Q49" s="1299"/>
      <c r="R49" s="1300"/>
      <c r="S49" s="1304"/>
      <c r="T49" s="1303"/>
      <c r="U49" s="1296"/>
      <c r="V49" s="1297"/>
      <c r="W49" s="1295"/>
      <c r="X49" s="1299"/>
      <c r="Y49" s="1298">
        <v>28</v>
      </c>
      <c r="Z49" s="1255">
        <f>+Y49-Y44</f>
        <v>1</v>
      </c>
      <c r="AA49" s="1295">
        <f>+(Y49/Y41-1)*100</f>
        <v>33.333333333333329</v>
      </c>
      <c r="AB49" s="1296">
        <f>+Y49*AC$53/1000</f>
        <v>0.63416216216216215</v>
      </c>
      <c r="AC49" s="1297"/>
      <c r="AD49" s="1295">
        <f>+(AB49/AB41-1)*100</f>
        <v>42.047273754590805</v>
      </c>
      <c r="AE49" s="1299"/>
      <c r="AF49" s="1298">
        <v>2</v>
      </c>
      <c r="AG49" s="1255">
        <f>+AF49-AF44</f>
        <v>2</v>
      </c>
      <c r="AH49" s="1331"/>
      <c r="AI49" s="1296">
        <f>+AF49*AJ$53/1000</f>
        <v>5.2000000000000005E-2</v>
      </c>
      <c r="AJ49" s="1297"/>
      <c r="AK49" s="1302"/>
      <c r="AL49" s="1299"/>
      <c r="AM49" s="1298">
        <v>10</v>
      </c>
      <c r="AN49" s="1255">
        <f>+AM49-AM44</f>
        <v>0</v>
      </c>
      <c r="AO49" s="1295">
        <f>+(AM49/AM41-1)*100</f>
        <v>66.666666666666671</v>
      </c>
      <c r="AP49" s="1296">
        <f>+AM49*AQ$53/1000</f>
        <v>0.43266666666666664</v>
      </c>
      <c r="AQ49" s="1297"/>
      <c r="AR49" s="1295">
        <f>+(AP49/AP41-1)*100</f>
        <v>45.973909131803858</v>
      </c>
      <c r="AS49" s="1299"/>
      <c r="AT49" s="1300"/>
      <c r="AU49" s="1304"/>
      <c r="AV49" s="1303"/>
      <c r="AW49" s="1296"/>
      <c r="AX49" s="1303"/>
      <c r="AY49" s="1305"/>
      <c r="AZ49" s="1316"/>
      <c r="BA49" s="1300"/>
      <c r="BB49" s="1304"/>
      <c r="BC49" s="1303"/>
      <c r="BD49" s="1296"/>
      <c r="BE49" s="1303"/>
      <c r="BF49" s="1305"/>
      <c r="BG49" s="1305"/>
      <c r="BH49" s="1300"/>
      <c r="BI49" s="1304"/>
      <c r="BJ49" s="1303"/>
      <c r="BK49" s="1300"/>
      <c r="BL49" s="1303"/>
      <c r="BM49" s="1305"/>
      <c r="BN49" s="1305"/>
      <c r="BO49" s="1300"/>
      <c r="BP49" s="1304"/>
      <c r="BQ49" s="1303"/>
      <c r="BR49" s="1300"/>
      <c r="BS49" s="1303"/>
      <c r="BT49" s="1305"/>
      <c r="BU49" s="1305"/>
      <c r="BV49" s="1300"/>
      <c r="BW49" s="1304"/>
      <c r="BX49" s="1303"/>
      <c r="BY49" s="1300"/>
      <c r="BZ49" s="1303"/>
      <c r="CA49" s="1305"/>
      <c r="CB49" s="1299"/>
      <c r="CC49" s="1300"/>
      <c r="CD49" s="1304"/>
      <c r="CE49" s="1303"/>
      <c r="CF49" s="1300"/>
      <c r="CG49" s="1303"/>
      <c r="CH49" s="1305"/>
      <c r="CI49" s="1300"/>
      <c r="CJ49" s="1304"/>
      <c r="CK49" s="1303"/>
      <c r="CL49" s="1300"/>
      <c r="CM49" s="1303"/>
      <c r="CN49" s="1305"/>
      <c r="CO49" s="1305"/>
      <c r="CP49" s="1300"/>
      <c r="CQ49" s="1304"/>
      <c r="CR49" s="1303"/>
      <c r="CS49" s="1300"/>
      <c r="CT49" s="1303"/>
      <c r="CU49" s="1305"/>
      <c r="CV49" s="1299"/>
      <c r="CW49" s="1306">
        <f>+D49+Y49+AF49+AM49+AT49+BA49</f>
        <v>553</v>
      </c>
      <c r="CX49" s="1307">
        <f>+CW49-CW44</f>
        <v>4</v>
      </c>
      <c r="CY49" s="1295">
        <f>+(CW49/CW41-1)*100</f>
        <v>8.0078125</v>
      </c>
      <c r="CZ49" s="1304"/>
      <c r="DA49" s="1311"/>
      <c r="DB49" s="1296">
        <f>+G49+AB49+AI49+AP49+AW49</f>
        <v>15.375759863311588</v>
      </c>
      <c r="DC49" s="1297"/>
      <c r="DD49" s="1302"/>
      <c r="DE49" s="1266"/>
      <c r="DF49" s="1266"/>
      <c r="DG49" s="1266"/>
      <c r="DH49" s="1266"/>
      <c r="DI49" s="1266"/>
      <c r="DJ49" s="1266"/>
      <c r="DK49" s="1266"/>
      <c r="DL49" s="1266"/>
      <c r="DM49" s="1266"/>
      <c r="DN49" s="1266"/>
      <c r="DO49" s="1266"/>
      <c r="DP49" s="1266"/>
      <c r="DQ49" s="1266"/>
    </row>
    <row r="50" spans="1:121" ht="13.5" hidden="1" outlineLevel="1">
      <c r="A50" s="1266" t="str">
        <f>$A$18</f>
        <v>2Q</v>
      </c>
      <c r="B50" s="1266" t="str">
        <f>$B$18</f>
        <v>Jul</v>
      </c>
      <c r="C50" s="1266"/>
      <c r="D50" s="1294">
        <f>+K50+R50</f>
        <v>520</v>
      </c>
      <c r="E50" s="1255">
        <f>+D50-D49</f>
        <v>7</v>
      </c>
      <c r="F50" s="1295">
        <f>+(D50/D42-1)*100</f>
        <v>6.3394683026584797</v>
      </c>
      <c r="G50" s="1296">
        <f>+N50+U50</f>
        <v>14.451470054446462</v>
      </c>
      <c r="H50" s="1297"/>
      <c r="I50" s="1295">
        <f>+(G50/G42-1)*100</f>
        <v>9.5907260798861138</v>
      </c>
      <c r="J50" s="1309"/>
      <c r="K50" s="1300">
        <v>520</v>
      </c>
      <c r="L50" s="1255">
        <f>+K50-K49</f>
        <v>7</v>
      </c>
      <c r="M50" s="1295">
        <f>+(K50/K42-1)*100</f>
        <v>6.3394683026584797</v>
      </c>
      <c r="N50" s="1296">
        <f>+K50*O$53/1000</f>
        <v>14.451470054446462</v>
      </c>
      <c r="O50" s="1297"/>
      <c r="P50" s="1295">
        <f>+(N50/N42-1)*100</f>
        <v>9.5907260798861138</v>
      </c>
      <c r="Q50" s="1299"/>
      <c r="R50" s="1300"/>
      <c r="S50" s="1304"/>
      <c r="T50" s="1303"/>
      <c r="U50" s="1296"/>
      <c r="V50" s="1297"/>
      <c r="W50" s="1295"/>
      <c r="X50" s="1299"/>
      <c r="Y50" s="1300">
        <v>29</v>
      </c>
      <c r="Z50" s="1255">
        <f>+Y50-Y49</f>
        <v>1</v>
      </c>
      <c r="AA50" s="1295">
        <f>+(Y50/Y42-1)*100</f>
        <v>38.095238095238095</v>
      </c>
      <c r="AB50" s="1296">
        <f>+Y50*AC$53/1000</f>
        <v>0.65681081081081083</v>
      </c>
      <c r="AC50" s="1297"/>
      <c r="AD50" s="1295">
        <f>+(AB50/AB42-1)*100</f>
        <v>47.12039067439764</v>
      </c>
      <c r="AE50" s="1299"/>
      <c r="AF50" s="1300">
        <v>2</v>
      </c>
      <c r="AG50" s="1255">
        <f>+AF50-AF49</f>
        <v>0</v>
      </c>
      <c r="AH50" s="1331"/>
      <c r="AI50" s="1296">
        <f>+AF50*AJ$53/1000</f>
        <v>5.2000000000000005E-2</v>
      </c>
      <c r="AJ50" s="1297"/>
      <c r="AK50" s="1302"/>
      <c r="AL50" s="1299"/>
      <c r="AM50" s="1300">
        <v>10</v>
      </c>
      <c r="AN50" s="1255">
        <f>+AM50-AM49</f>
        <v>0</v>
      </c>
      <c r="AO50" s="1295">
        <f>+(AM50/AM42-1)*100</f>
        <v>66.666666666666671</v>
      </c>
      <c r="AP50" s="1296">
        <f>+AM50*AQ$53/1000</f>
        <v>0.43266666666666664</v>
      </c>
      <c r="AQ50" s="1297"/>
      <c r="AR50" s="1295">
        <f>+(AP50/AP42-1)*100</f>
        <v>45.973909131803858</v>
      </c>
      <c r="AS50" s="1299"/>
      <c r="AT50" s="1300"/>
      <c r="AU50" s="1304"/>
      <c r="AV50" s="1303"/>
      <c r="AW50" s="1296"/>
      <c r="AX50" s="1303"/>
      <c r="AY50" s="1305"/>
      <c r="AZ50" s="1316"/>
      <c r="BA50" s="1300"/>
      <c r="BB50" s="1304"/>
      <c r="BC50" s="1303"/>
      <c r="BD50" s="1296"/>
      <c r="BE50" s="1303"/>
      <c r="BF50" s="1305"/>
      <c r="BG50" s="1305"/>
      <c r="BH50" s="1300"/>
      <c r="BI50" s="1304"/>
      <c r="BJ50" s="1303"/>
      <c r="BK50" s="1300"/>
      <c r="BL50" s="1303"/>
      <c r="BM50" s="1305"/>
      <c r="BN50" s="1305"/>
      <c r="BO50" s="1300"/>
      <c r="BP50" s="1304"/>
      <c r="BQ50" s="1303"/>
      <c r="BR50" s="1300"/>
      <c r="BS50" s="1303"/>
      <c r="BT50" s="1305"/>
      <c r="BU50" s="1305"/>
      <c r="BV50" s="1300"/>
      <c r="BW50" s="1304"/>
      <c r="BX50" s="1303"/>
      <c r="BY50" s="1300"/>
      <c r="BZ50" s="1303"/>
      <c r="CA50" s="1305"/>
      <c r="CB50" s="1299"/>
      <c r="CC50" s="1300"/>
      <c r="CD50" s="1304"/>
      <c r="CE50" s="1303"/>
      <c r="CF50" s="1300"/>
      <c r="CG50" s="1303"/>
      <c r="CH50" s="1305"/>
      <c r="CI50" s="1300"/>
      <c r="CJ50" s="1304"/>
      <c r="CK50" s="1303"/>
      <c r="CL50" s="1300"/>
      <c r="CM50" s="1303"/>
      <c r="CN50" s="1305"/>
      <c r="CO50" s="1305"/>
      <c r="CP50" s="1300"/>
      <c r="CQ50" s="1304"/>
      <c r="CR50" s="1303"/>
      <c r="CS50" s="1300"/>
      <c r="CT50" s="1303"/>
      <c r="CU50" s="1305"/>
      <c r="CV50" s="1299"/>
      <c r="CW50" s="1306">
        <f>+D50+Y50+AF50+AM50+AT50+BA50</f>
        <v>561</v>
      </c>
      <c r="CX50" s="1307">
        <f>+CW50-CW49</f>
        <v>8</v>
      </c>
      <c r="CY50" s="1295">
        <f>+(CW50/CW42-1)*100</f>
        <v>8.7209302325581319</v>
      </c>
      <c r="CZ50" s="1304"/>
      <c r="DA50" s="1311"/>
      <c r="DB50" s="1310">
        <f>+G50+AB50+AI50+AP50+AW50</f>
        <v>15.592947531923938</v>
      </c>
      <c r="DC50" s="1297"/>
      <c r="DD50" s="1302"/>
      <c r="DE50" s="1266"/>
      <c r="DF50" s="1266"/>
      <c r="DG50" s="1266"/>
      <c r="DH50" s="1266"/>
      <c r="DI50" s="1266"/>
      <c r="DJ50" s="1266"/>
      <c r="DK50" s="1266"/>
      <c r="DL50" s="1266"/>
      <c r="DM50" s="1266"/>
      <c r="DN50" s="1266"/>
      <c r="DO50" s="1266"/>
      <c r="DP50" s="1266"/>
      <c r="DQ50" s="1266"/>
    </row>
    <row r="51" spans="1:121" ht="13.5" hidden="1" outlineLevel="1">
      <c r="A51" s="1266" t="str">
        <f>$A$19</f>
        <v>3Q</v>
      </c>
      <c r="B51" s="1266" t="str">
        <f>$B$19</f>
        <v>Oct</v>
      </c>
      <c r="C51" s="1266"/>
      <c r="D51" s="1294">
        <f>+K51+R51</f>
        <v>539</v>
      </c>
      <c r="E51" s="1255">
        <f>+D51-D50</f>
        <v>19</v>
      </c>
      <c r="F51" s="1295">
        <f>+(D51/D43-1)*100</f>
        <v>7.370517928286846</v>
      </c>
      <c r="G51" s="1296">
        <f>+N51+U51</f>
        <v>14.979504537205083</v>
      </c>
      <c r="H51" s="1297"/>
      <c r="I51" s="1295">
        <f>+(G51/G43-1)*100</f>
        <v>10.653299354894497</v>
      </c>
      <c r="J51" s="1266"/>
      <c r="K51" s="1300">
        <v>539</v>
      </c>
      <c r="L51" s="1255">
        <f>+K51-K50</f>
        <v>19</v>
      </c>
      <c r="M51" s="1295">
        <f>+(K51/K43-1)*100</f>
        <v>7.370517928286846</v>
      </c>
      <c r="N51" s="1296">
        <f>+K51*O$53/1000</f>
        <v>14.979504537205083</v>
      </c>
      <c r="O51" s="1297"/>
      <c r="P51" s="1295">
        <f>+(N51/N43-1)*100</f>
        <v>10.653299354894497</v>
      </c>
      <c r="Q51" s="1299"/>
      <c r="R51" s="1300"/>
      <c r="S51" s="1304"/>
      <c r="T51" s="1303"/>
      <c r="U51" s="1296"/>
      <c r="V51" s="1297"/>
      <c r="W51" s="1295"/>
      <c r="X51" s="1299"/>
      <c r="Y51" s="1300">
        <v>34</v>
      </c>
      <c r="Z51" s="1255">
        <f>+Y51-Y50</f>
        <v>5</v>
      </c>
      <c r="AA51" s="1295">
        <f>+(Y51/Y43-1)*100</f>
        <v>25.925925925925931</v>
      </c>
      <c r="AB51" s="1296">
        <f>+Y51*AC$53/1000</f>
        <v>0.77005405405405403</v>
      </c>
      <c r="AC51" s="1297"/>
      <c r="AD51" s="1295">
        <f>+(AB51/AB43-1)*100</f>
        <v>34.15575854600246</v>
      </c>
      <c r="AE51" s="1299"/>
      <c r="AF51" s="1300">
        <v>4</v>
      </c>
      <c r="AG51" s="1255">
        <f>+AF51-AF50</f>
        <v>2</v>
      </c>
      <c r="AH51" s="1331"/>
      <c r="AI51" s="1296">
        <f>+AF51*AJ$53/1000</f>
        <v>0.10400000000000001</v>
      </c>
      <c r="AJ51" s="1297"/>
      <c r="AK51" s="1302"/>
      <c r="AL51" s="1299"/>
      <c r="AM51" s="1300">
        <v>12</v>
      </c>
      <c r="AN51" s="1255">
        <f>+AM51-AM50</f>
        <v>2</v>
      </c>
      <c r="AO51" s="1295">
        <f>+(AM51/AM43-1)*100</f>
        <v>19.999999999999996</v>
      </c>
      <c r="AP51" s="1296">
        <f>+AM51*AQ$53/1000</f>
        <v>0.51919999999999999</v>
      </c>
      <c r="AQ51" s="1297"/>
      <c r="AR51" s="1295">
        <f>+(AP51/AP43-1)*100</f>
        <v>5.1012145748987825</v>
      </c>
      <c r="AS51" s="1299"/>
      <c r="AT51" s="1300"/>
      <c r="AU51" s="1304"/>
      <c r="AV51" s="1303"/>
      <c r="AW51" s="1296"/>
      <c r="AX51" s="1303"/>
      <c r="AY51" s="1305"/>
      <c r="AZ51" s="1316"/>
      <c r="BA51" s="1300"/>
      <c r="BB51" s="1304"/>
      <c r="BC51" s="1303"/>
      <c r="BD51" s="1296"/>
      <c r="BE51" s="1303"/>
      <c r="BF51" s="1305"/>
      <c r="BG51" s="1305"/>
      <c r="BH51" s="1300"/>
      <c r="BI51" s="1304"/>
      <c r="BJ51" s="1303"/>
      <c r="BK51" s="1300"/>
      <c r="BL51" s="1303"/>
      <c r="BM51" s="1305"/>
      <c r="BN51" s="1305"/>
      <c r="BO51" s="1300"/>
      <c r="BP51" s="1304"/>
      <c r="BQ51" s="1303"/>
      <c r="BR51" s="1300"/>
      <c r="BS51" s="1303"/>
      <c r="BT51" s="1305"/>
      <c r="BU51" s="1305"/>
      <c r="BV51" s="1300"/>
      <c r="BW51" s="1304"/>
      <c r="BX51" s="1303"/>
      <c r="BY51" s="1300"/>
      <c r="BZ51" s="1303"/>
      <c r="CA51" s="1305"/>
      <c r="CB51" s="1299"/>
      <c r="CC51" s="1300"/>
      <c r="CD51" s="1304"/>
      <c r="CE51" s="1303"/>
      <c r="CF51" s="1300"/>
      <c r="CG51" s="1303"/>
      <c r="CH51" s="1305"/>
      <c r="CI51" s="1300"/>
      <c r="CJ51" s="1304"/>
      <c r="CK51" s="1303"/>
      <c r="CL51" s="1300"/>
      <c r="CM51" s="1303"/>
      <c r="CN51" s="1305"/>
      <c r="CO51" s="1305"/>
      <c r="CP51" s="1300"/>
      <c r="CQ51" s="1304"/>
      <c r="CR51" s="1303"/>
      <c r="CS51" s="1300"/>
      <c r="CT51" s="1303"/>
      <c r="CU51" s="1305"/>
      <c r="CV51" s="1299"/>
      <c r="CW51" s="1306">
        <f>+D51+Y51+AF51+AM51+AT51+BA51</f>
        <v>589</v>
      </c>
      <c r="CX51" s="1307">
        <f>+CW51-CW50</f>
        <v>28</v>
      </c>
      <c r="CY51" s="1295">
        <f>+(CW51/CW43-1)*100</f>
        <v>9.2764378478664256</v>
      </c>
      <c r="CZ51" s="1304"/>
      <c r="DA51" s="1311"/>
      <c r="DB51" s="1310">
        <f>+G51+AB51+AI51+AP51+AW51</f>
        <v>16.372758591259135</v>
      </c>
      <c r="DC51" s="1297"/>
      <c r="DD51" s="1302"/>
      <c r="DE51" s="1266"/>
      <c r="DF51" s="1266"/>
      <c r="DG51" s="1266"/>
      <c r="DH51" s="1266"/>
      <c r="DI51" s="1266"/>
      <c r="DJ51" s="1266"/>
      <c r="DK51" s="1266"/>
      <c r="DL51" s="1266"/>
      <c r="DM51" s="1266"/>
      <c r="DN51" s="1266"/>
      <c r="DO51" s="1266"/>
      <c r="DP51" s="1266"/>
      <c r="DQ51" s="1266"/>
    </row>
    <row r="52" spans="1:121" ht="13.5" hidden="1" outlineLevel="1">
      <c r="A52" s="1266" t="str">
        <f>$A$20</f>
        <v>4Q</v>
      </c>
      <c r="B52" s="1266" t="str">
        <f>$B$20</f>
        <v>Jan</v>
      </c>
      <c r="C52" s="1266"/>
      <c r="D52" s="1312">
        <f>+K52+R52</f>
        <v>551</v>
      </c>
      <c r="E52" s="1255">
        <f>+D52-D51</f>
        <v>12</v>
      </c>
      <c r="F52" s="1295">
        <f>+(D52/D44-1)*100</f>
        <v>7.6171875</v>
      </c>
      <c r="G52" s="1313">
        <f>+N52+U52</f>
        <v>15.313000000000002</v>
      </c>
      <c r="H52" s="1297"/>
      <c r="I52" s="1295">
        <f>+(G52/G44-1)*100</f>
        <v>10.907510682986899</v>
      </c>
      <c r="J52" s="1266"/>
      <c r="K52" s="1314">
        <v>551</v>
      </c>
      <c r="L52" s="1255">
        <f>+K52-K51</f>
        <v>12</v>
      </c>
      <c r="M52" s="1295">
        <f>+(K52/K44-1)*100</f>
        <v>7.6171875</v>
      </c>
      <c r="N52" s="1313">
        <f>+K52*O$53/1000</f>
        <v>15.313000000000002</v>
      </c>
      <c r="O52" s="1297"/>
      <c r="P52" s="1295">
        <f>+(N52/N44-1)*100</f>
        <v>10.907510682986899</v>
      </c>
      <c r="Q52" s="1299"/>
      <c r="R52" s="1300"/>
      <c r="S52" s="1304"/>
      <c r="T52" s="1303"/>
      <c r="U52" s="1313"/>
      <c r="V52" s="1297"/>
      <c r="W52" s="1295"/>
      <c r="X52" s="1299"/>
      <c r="Y52" s="1314">
        <v>37</v>
      </c>
      <c r="Z52" s="1255">
        <f>+Y52-Y51</f>
        <v>3</v>
      </c>
      <c r="AA52" s="1295">
        <f>+(Y52/Y44-1)*100</f>
        <v>37.037037037037045</v>
      </c>
      <c r="AB52" s="1313">
        <f>+Y52*AC$53/1000</f>
        <v>0.83799999999999997</v>
      </c>
      <c r="AC52" s="1297"/>
      <c r="AD52" s="1295">
        <f>+(AB52/AB44-1)*100</f>
        <v>45.99303135888502</v>
      </c>
      <c r="AE52" s="1299"/>
      <c r="AF52" s="1314">
        <v>5</v>
      </c>
      <c r="AG52" s="1255">
        <f>+AF52-AF51</f>
        <v>1</v>
      </c>
      <c r="AH52" s="1331"/>
      <c r="AI52" s="1313">
        <f>+AF52*AJ$53/1000</f>
        <v>0.13000000000000003</v>
      </c>
      <c r="AJ52" s="1297"/>
      <c r="AK52" s="1302"/>
      <c r="AL52" s="1299"/>
      <c r="AM52" s="1314">
        <v>15</v>
      </c>
      <c r="AN52" s="1255">
        <f>+AM52-AM51</f>
        <v>3</v>
      </c>
      <c r="AO52" s="1295">
        <f>+(AM52/AM44-1)*100</f>
        <v>50</v>
      </c>
      <c r="AP52" s="1313">
        <f>+AM52*AQ$53/1000</f>
        <v>0.64900000000000002</v>
      </c>
      <c r="AQ52" s="1297"/>
      <c r="AR52" s="1295">
        <f>+(AP52/AP44-1)*100</f>
        <v>31.376518218623485</v>
      </c>
      <c r="AS52" s="1299"/>
      <c r="AT52" s="1300"/>
      <c r="AU52" s="1304"/>
      <c r="AV52" s="1303"/>
      <c r="AW52" s="1313"/>
      <c r="AX52" s="1303"/>
      <c r="AY52" s="1305"/>
      <c r="AZ52" s="1316"/>
      <c r="BA52" s="1300"/>
      <c r="BB52" s="1304"/>
      <c r="BC52" s="1303"/>
      <c r="BD52" s="1313"/>
      <c r="BE52" s="1303"/>
      <c r="BF52" s="1305"/>
      <c r="BG52" s="1305"/>
      <c r="BH52" s="1300"/>
      <c r="BI52" s="1304"/>
      <c r="BJ52" s="1303"/>
      <c r="BK52" s="1294"/>
      <c r="BL52" s="1303"/>
      <c r="BM52" s="1305"/>
      <c r="BN52" s="1305"/>
      <c r="BO52" s="1300"/>
      <c r="BP52" s="1304"/>
      <c r="BQ52" s="1303"/>
      <c r="BR52" s="1294"/>
      <c r="BS52" s="1303"/>
      <c r="BT52" s="1305"/>
      <c r="BU52" s="1305"/>
      <c r="BV52" s="1300"/>
      <c r="BW52" s="1304"/>
      <c r="BX52" s="1303"/>
      <c r="BY52" s="1294"/>
      <c r="BZ52" s="1303"/>
      <c r="CA52" s="1305"/>
      <c r="CB52" s="1299"/>
      <c r="CC52" s="1300"/>
      <c r="CD52" s="1304"/>
      <c r="CE52" s="1303"/>
      <c r="CF52" s="1294"/>
      <c r="CG52" s="1303"/>
      <c r="CH52" s="1305"/>
      <c r="CI52" s="1300"/>
      <c r="CJ52" s="1304"/>
      <c r="CK52" s="1303"/>
      <c r="CL52" s="1294"/>
      <c r="CM52" s="1303"/>
      <c r="CN52" s="1305"/>
      <c r="CO52" s="1305"/>
      <c r="CP52" s="1300"/>
      <c r="CQ52" s="1304"/>
      <c r="CR52" s="1303"/>
      <c r="CS52" s="1294"/>
      <c r="CT52" s="1303"/>
      <c r="CU52" s="1305"/>
      <c r="CV52" s="1299"/>
      <c r="CW52" s="1312">
        <f>+D52+Y52+AF52+AM52+AT52+BA52</f>
        <v>608</v>
      </c>
      <c r="CX52" s="1307">
        <f>+CW52-CW51</f>
        <v>19</v>
      </c>
      <c r="CY52" s="1295">
        <f>+(CW52/CW44-1)*100</f>
        <v>10.746812386156645</v>
      </c>
      <c r="CZ52" s="1304"/>
      <c r="DA52" s="1311"/>
      <c r="DB52" s="1313">
        <f>+G52+AB52+AI52+AP52+AW52</f>
        <v>16.930000000000003</v>
      </c>
      <c r="DC52" s="1297"/>
      <c r="DD52" s="1302"/>
      <c r="DE52" s="1266"/>
      <c r="DF52" s="1266"/>
      <c r="DG52" s="1266"/>
      <c r="DH52" s="1266"/>
      <c r="DI52" s="1266"/>
      <c r="DJ52" s="1266"/>
      <c r="DK52" s="1266"/>
      <c r="DL52" s="1266"/>
      <c r="DM52" s="1266"/>
      <c r="DN52" s="1266"/>
      <c r="DO52" s="1266"/>
      <c r="DP52" s="1266"/>
      <c r="DQ52" s="1266"/>
    </row>
    <row r="53" spans="1:121" ht="13.5" hidden="1" outlineLevel="1">
      <c r="A53" s="1266"/>
      <c r="B53" s="1266" t="str">
        <f>$B$21</f>
        <v>Year</v>
      </c>
      <c r="C53" s="1266"/>
      <c r="D53" s="1306">
        <f>+D52</f>
        <v>551</v>
      </c>
      <c r="E53" s="1317">
        <f>+D53-D45</f>
        <v>39</v>
      </c>
      <c r="F53" s="1295">
        <f>+(D53/D45-1)*100</f>
        <v>7.6171875</v>
      </c>
      <c r="G53" s="1296">
        <f>+N53+U53</f>
        <v>15.313000000000001</v>
      </c>
      <c r="H53" s="1297">
        <f>+G53/D53*1000</f>
        <v>27.791288566243196</v>
      </c>
      <c r="I53" s="1295">
        <f>+(G53/G45-1)*100</f>
        <v>10.907510682986899</v>
      </c>
      <c r="J53" s="1266"/>
      <c r="K53" s="1306">
        <f>+K52</f>
        <v>551</v>
      </c>
      <c r="L53" s="1317">
        <f>+K53-K45</f>
        <v>39</v>
      </c>
      <c r="M53" s="1295">
        <f>+(K53/K45-1)*100</f>
        <v>7.6171875</v>
      </c>
      <c r="N53" s="1318">
        <v>15.313000000000001</v>
      </c>
      <c r="O53" s="1297">
        <f>+N53/K53*1000</f>
        <v>27.791288566243196</v>
      </c>
      <c r="P53" s="1295">
        <f>+(N53/N45-1)*100</f>
        <v>10.907510682986899</v>
      </c>
      <c r="Q53" s="1299"/>
      <c r="R53" s="1294"/>
      <c r="S53" s="1320"/>
      <c r="T53" s="1305"/>
      <c r="U53" s="1318"/>
      <c r="V53" s="1297"/>
      <c r="W53" s="1295"/>
      <c r="X53" s="1299"/>
      <c r="Y53" s="1306">
        <f>+Y52</f>
        <v>37</v>
      </c>
      <c r="Z53" s="1317">
        <f>+Y53-Y45</f>
        <v>10</v>
      </c>
      <c r="AA53" s="1295">
        <f>+(Y53/Y45-1)*100</f>
        <v>37.037037037037045</v>
      </c>
      <c r="AB53" s="1318">
        <v>0.83799999999999997</v>
      </c>
      <c r="AC53" s="1297">
        <f>+AB53/Y53*1000</f>
        <v>22.648648648648649</v>
      </c>
      <c r="AD53" s="1295">
        <f>+(AB53/AB45-1)*100</f>
        <v>45.99303135888502</v>
      </c>
      <c r="AE53" s="1299"/>
      <c r="AF53" s="1306">
        <f>+AF52</f>
        <v>5</v>
      </c>
      <c r="AG53" s="1317">
        <f>+AF53-AF45</f>
        <v>5</v>
      </c>
      <c r="AH53" s="1295"/>
      <c r="AI53" s="1318">
        <v>0.13</v>
      </c>
      <c r="AJ53" s="1297">
        <f>+AI53/AF53*1000</f>
        <v>26.000000000000004</v>
      </c>
      <c r="AK53" s="1295"/>
      <c r="AL53" s="1299"/>
      <c r="AM53" s="1306">
        <f>+AM52</f>
        <v>15</v>
      </c>
      <c r="AN53" s="1317">
        <f>+AM53-AM45</f>
        <v>5</v>
      </c>
      <c r="AO53" s="1295">
        <f>+(AM53/AM45-1)*100</f>
        <v>50</v>
      </c>
      <c r="AP53" s="1318">
        <v>0.64900000000000002</v>
      </c>
      <c r="AQ53" s="1297">
        <f>+AP53/AM53*1000</f>
        <v>43.266666666666666</v>
      </c>
      <c r="AR53" s="1295">
        <f>+(AP53/AP45-1)*100</f>
        <v>31.376518218623485</v>
      </c>
      <c r="AS53" s="1299"/>
      <c r="AT53" s="1294"/>
      <c r="AU53" s="1320"/>
      <c r="AV53" s="1305"/>
      <c r="AW53" s="1318"/>
      <c r="AX53" s="1303"/>
      <c r="AY53" s="1305"/>
      <c r="AZ53" s="1316"/>
      <c r="BA53" s="1294"/>
      <c r="BB53" s="1320"/>
      <c r="BC53" s="1303"/>
      <c r="BD53" s="1318"/>
      <c r="BE53" s="1303"/>
      <c r="BF53" s="1305"/>
      <c r="BG53" s="1305"/>
      <c r="BH53" s="1294"/>
      <c r="BI53" s="1320"/>
      <c r="BJ53" s="1303"/>
      <c r="BK53" s="1300"/>
      <c r="BL53" s="1303"/>
      <c r="BM53" s="1305"/>
      <c r="BN53" s="1305"/>
      <c r="BO53" s="1294"/>
      <c r="BP53" s="1320"/>
      <c r="BQ53" s="1303"/>
      <c r="BR53" s="1300"/>
      <c r="BS53" s="1303"/>
      <c r="BT53" s="1305"/>
      <c r="BU53" s="1305"/>
      <c r="BV53" s="1294"/>
      <c r="BW53" s="1320"/>
      <c r="BX53" s="1303"/>
      <c r="BY53" s="1300"/>
      <c r="BZ53" s="1303"/>
      <c r="CA53" s="1305"/>
      <c r="CB53" s="1299"/>
      <c r="CC53" s="1294"/>
      <c r="CD53" s="1320"/>
      <c r="CE53" s="1303"/>
      <c r="CF53" s="1300"/>
      <c r="CG53" s="1303"/>
      <c r="CH53" s="1305"/>
      <c r="CI53" s="1294"/>
      <c r="CJ53" s="1320"/>
      <c r="CK53" s="1303"/>
      <c r="CL53" s="1300"/>
      <c r="CM53" s="1303"/>
      <c r="CN53" s="1305"/>
      <c r="CO53" s="1305"/>
      <c r="CP53" s="1294"/>
      <c r="CQ53" s="1320"/>
      <c r="CR53" s="1303"/>
      <c r="CS53" s="1300"/>
      <c r="CT53" s="1303"/>
      <c r="CU53" s="1305"/>
      <c r="CV53" s="1299"/>
      <c r="CW53" s="1306">
        <f>+D53+Y53+AF53+AM53+AT53+BA53</f>
        <v>608</v>
      </c>
      <c r="CX53" s="1317">
        <f>+CW53-CW45</f>
        <v>59</v>
      </c>
      <c r="CY53" s="1295">
        <f>+(CW53/CW45-1)*100</f>
        <v>10.746812386156645</v>
      </c>
      <c r="CZ53" s="1317"/>
      <c r="DA53" s="1330"/>
      <c r="DB53" s="1296">
        <f>+G53+AB53+AI53+AP53+AW53</f>
        <v>16.93</v>
      </c>
      <c r="DC53" s="1297"/>
      <c r="DD53" s="1302"/>
      <c r="DE53" s="1266"/>
      <c r="DF53" s="1266"/>
      <c r="DG53" s="1266"/>
      <c r="DH53" s="1266"/>
      <c r="DI53" s="1266"/>
      <c r="DJ53" s="1266"/>
      <c r="DK53" s="1266"/>
      <c r="DL53" s="1266"/>
      <c r="DM53" s="1266"/>
      <c r="DN53" s="1266"/>
      <c r="DO53" s="1266"/>
      <c r="DP53" s="1266"/>
      <c r="DQ53" s="1266"/>
    </row>
    <row r="54" spans="1:121" ht="13.5" hidden="1" outlineLevel="1">
      <c r="A54" s="1266"/>
      <c r="B54" s="1266" t="s">
        <v>646</v>
      </c>
      <c r="C54" s="1266"/>
      <c r="D54" s="1306"/>
      <c r="E54" s="1317"/>
      <c r="F54" s="1323"/>
      <c r="G54" s="1296"/>
      <c r="H54" s="1297"/>
      <c r="I54" s="1295"/>
      <c r="J54" s="1266"/>
      <c r="K54" s="1306"/>
      <c r="L54" s="1256">
        <v>46</v>
      </c>
      <c r="M54" s="1324">
        <v>-7</v>
      </c>
      <c r="N54" s="1325" t="str">
        <f>IF(SUM(L54:M54)=L53,"","N")</f>
        <v/>
      </c>
      <c r="O54" s="1297"/>
      <c r="P54" s="1295"/>
      <c r="Q54" s="1299"/>
      <c r="R54" s="1294"/>
      <c r="S54" s="1256"/>
      <c r="T54" s="1324"/>
      <c r="U54" s="1325"/>
      <c r="V54" s="1297"/>
      <c r="W54" s="1295"/>
      <c r="X54" s="1299"/>
      <c r="Y54" s="1306"/>
      <c r="Z54" s="1256">
        <v>10</v>
      </c>
      <c r="AA54" s="1324">
        <v>0</v>
      </c>
      <c r="AB54" s="1325" t="str">
        <f>IF(SUM(Z54:AA54)=Z53,"","N")</f>
        <v/>
      </c>
      <c r="AC54" s="1297"/>
      <c r="AD54" s="1295"/>
      <c r="AE54" s="1299"/>
      <c r="AF54" s="1306"/>
      <c r="AG54" s="1256">
        <v>5</v>
      </c>
      <c r="AH54" s="1324">
        <v>0</v>
      </c>
      <c r="AI54" s="1325"/>
      <c r="AJ54" s="1297"/>
      <c r="AK54" s="1295"/>
      <c r="AL54" s="1299"/>
      <c r="AM54" s="1306"/>
      <c r="AN54" s="1256">
        <v>5</v>
      </c>
      <c r="AO54" s="1324">
        <v>0</v>
      </c>
      <c r="AP54" s="1325" t="str">
        <f>IF(SUM(AN54:AO54)=AN53,"","N")</f>
        <v/>
      </c>
      <c r="AQ54" s="1297"/>
      <c r="AR54" s="1295"/>
      <c r="AS54" s="1299"/>
      <c r="AT54" s="1294"/>
      <c r="AU54" s="1326"/>
      <c r="AV54" s="1327"/>
      <c r="AW54" s="1325"/>
      <c r="AX54" s="1303"/>
      <c r="AY54" s="1305"/>
      <c r="AZ54" s="1316"/>
      <c r="BA54" s="1294"/>
      <c r="BB54" s="1256"/>
      <c r="BC54" s="1324"/>
      <c r="BD54" s="1325"/>
      <c r="BE54" s="1303"/>
      <c r="BF54" s="1305"/>
      <c r="BG54" s="1305"/>
      <c r="BH54" s="1294"/>
      <c r="BI54" s="1256"/>
      <c r="BJ54" s="1324"/>
      <c r="BK54" s="1300"/>
      <c r="BL54" s="1303"/>
      <c r="BM54" s="1305"/>
      <c r="BN54" s="1305"/>
      <c r="BO54" s="1294"/>
      <c r="BP54" s="1256"/>
      <c r="BQ54" s="1324"/>
      <c r="BR54" s="1300"/>
      <c r="BS54" s="1303"/>
      <c r="BT54" s="1305"/>
      <c r="BU54" s="1305"/>
      <c r="BV54" s="1294"/>
      <c r="BW54" s="1256"/>
      <c r="BX54" s="1324"/>
      <c r="BY54" s="1300"/>
      <c r="BZ54" s="1303"/>
      <c r="CA54" s="1305"/>
      <c r="CB54" s="1299"/>
      <c r="CC54" s="1294"/>
      <c r="CD54" s="1256"/>
      <c r="CE54" s="1324"/>
      <c r="CF54" s="1300"/>
      <c r="CG54" s="1303"/>
      <c r="CH54" s="1305"/>
      <c r="CI54" s="1294"/>
      <c r="CJ54" s="1256"/>
      <c r="CK54" s="1324"/>
      <c r="CL54" s="1300"/>
      <c r="CM54" s="1303"/>
      <c r="CN54" s="1305"/>
      <c r="CO54" s="1305"/>
      <c r="CP54" s="1294"/>
      <c r="CQ54" s="1256"/>
      <c r="CR54" s="1324"/>
      <c r="CS54" s="1300"/>
      <c r="CT54" s="1303"/>
      <c r="CU54" s="1305"/>
      <c r="CV54" s="1299"/>
      <c r="CW54" s="1306"/>
      <c r="CX54" s="1317">
        <f>+L54+S54+Z54+AG54+AN54+AU54</f>
        <v>66</v>
      </c>
      <c r="CY54" s="1323">
        <f>+M54+T54+AA54+AH54+AO54+AV54</f>
        <v>-7</v>
      </c>
      <c r="CZ54" s="1320"/>
      <c r="DA54" s="1322"/>
      <c r="DB54" s="1296"/>
      <c r="DC54" s="1297"/>
      <c r="DD54" s="1302"/>
      <c r="DE54" s="1266"/>
      <c r="DF54" s="1266"/>
      <c r="DG54" s="1266"/>
      <c r="DH54" s="1266"/>
      <c r="DI54" s="1266"/>
      <c r="DJ54" s="1266"/>
      <c r="DK54" s="1266"/>
      <c r="DL54" s="1266"/>
      <c r="DM54" s="1266"/>
      <c r="DN54" s="1266"/>
      <c r="DO54" s="1266"/>
      <c r="DP54" s="1266"/>
      <c r="DQ54" s="1266"/>
    </row>
    <row r="55" spans="1:121" ht="13.5" hidden="1" outlineLevel="1">
      <c r="A55" s="1266"/>
      <c r="B55" s="1266"/>
      <c r="C55" s="1266"/>
      <c r="D55" s="1290"/>
      <c r="E55" s="1292"/>
      <c r="F55" s="1290"/>
      <c r="G55" s="1293"/>
      <c r="H55" s="1268"/>
      <c r="I55" s="1270"/>
      <c r="J55" s="1266"/>
      <c r="K55" s="1268"/>
      <c r="L55" s="1292"/>
      <c r="M55" s="1268"/>
      <c r="N55" s="1266"/>
      <c r="O55" s="1268"/>
      <c r="P55" s="1270"/>
      <c r="Q55" s="1268"/>
      <c r="R55" s="1290"/>
      <c r="S55" s="1292"/>
      <c r="T55" s="1268"/>
      <c r="U55" s="1266"/>
      <c r="V55" s="1268"/>
      <c r="W55" s="1270"/>
      <c r="X55" s="1268"/>
      <c r="Y55" s="1268"/>
      <c r="Z55" s="1292"/>
      <c r="AA55" s="1268"/>
      <c r="AB55" s="1266"/>
      <c r="AC55" s="1268"/>
      <c r="AD55" s="1270"/>
      <c r="AE55" s="1268"/>
      <c r="AF55" s="1268"/>
      <c r="AG55" s="1292"/>
      <c r="AH55" s="1270"/>
      <c r="AI55" s="1266"/>
      <c r="AJ55" s="1268"/>
      <c r="AK55" s="1268"/>
      <c r="AL55" s="1268"/>
      <c r="AM55" s="1268"/>
      <c r="AN55" s="1292"/>
      <c r="AO55" s="1268"/>
      <c r="AP55" s="1266"/>
      <c r="AQ55" s="1268"/>
      <c r="AR55" s="1270"/>
      <c r="AS55" s="1268"/>
      <c r="AT55" s="1290"/>
      <c r="AU55" s="1292"/>
      <c r="AV55" s="1293"/>
      <c r="AW55" s="1266"/>
      <c r="AX55" s="1290"/>
      <c r="AY55" s="1291"/>
      <c r="AZ55" s="1293"/>
      <c r="BA55" s="1290"/>
      <c r="BB55" s="1292"/>
      <c r="BC55" s="1293"/>
      <c r="BD55" s="1266"/>
      <c r="BE55" s="1290"/>
      <c r="BF55" s="1291"/>
      <c r="BG55" s="1291"/>
      <c r="BH55" s="1290"/>
      <c r="BI55" s="1292"/>
      <c r="BJ55" s="1293"/>
      <c r="BK55" s="1293"/>
      <c r="BL55" s="1290"/>
      <c r="BM55" s="1291"/>
      <c r="BN55" s="1291"/>
      <c r="BO55" s="1290"/>
      <c r="BP55" s="1292"/>
      <c r="BQ55" s="1293"/>
      <c r="BR55" s="1293"/>
      <c r="BS55" s="1290"/>
      <c r="BT55" s="1291"/>
      <c r="BU55" s="1291"/>
      <c r="BV55" s="1290"/>
      <c r="BW55" s="1292"/>
      <c r="BX55" s="1293"/>
      <c r="BY55" s="1293"/>
      <c r="BZ55" s="1290"/>
      <c r="CA55" s="1291"/>
      <c r="CB55" s="1266"/>
      <c r="CC55" s="1290"/>
      <c r="CD55" s="1292"/>
      <c r="CE55" s="1293"/>
      <c r="CF55" s="1293"/>
      <c r="CG55" s="1290"/>
      <c r="CH55" s="1291"/>
      <c r="CI55" s="1290"/>
      <c r="CJ55" s="1292"/>
      <c r="CK55" s="1293"/>
      <c r="CL55" s="1293"/>
      <c r="CM55" s="1290"/>
      <c r="CN55" s="1291"/>
      <c r="CO55" s="1291"/>
      <c r="CP55" s="1290"/>
      <c r="CQ55" s="1292"/>
      <c r="CR55" s="1293"/>
      <c r="CS55" s="1293"/>
      <c r="CT55" s="1290"/>
      <c r="CU55" s="1291"/>
      <c r="CV55" s="1266"/>
      <c r="CW55" s="1293"/>
      <c r="CX55" s="1266"/>
      <c r="CY55" s="1266"/>
      <c r="CZ55" s="1292"/>
      <c r="DA55" s="1291"/>
      <c r="DB55" s="1293"/>
      <c r="DC55" s="1268"/>
      <c r="DD55" s="1268"/>
      <c r="DE55" s="1266"/>
      <c r="DF55" s="1266"/>
      <c r="DG55" s="1266"/>
      <c r="DH55" s="1266"/>
      <c r="DI55" s="1266"/>
      <c r="DJ55" s="1266"/>
      <c r="DK55" s="1266"/>
      <c r="DL55" s="1266"/>
      <c r="DM55" s="1266"/>
      <c r="DN55" s="1266"/>
      <c r="DO55" s="1266"/>
      <c r="DP55" s="1266"/>
      <c r="DQ55" s="1266"/>
    </row>
    <row r="56" spans="1:121" ht="14.25" hidden="1" outlineLevel="1">
      <c r="A56" s="2119">
        <f>+A48+1</f>
        <v>1995</v>
      </c>
      <c r="B56" s="2119"/>
      <c r="C56" s="1266"/>
      <c r="D56" s="1268"/>
      <c r="E56" s="1269"/>
      <c r="F56" s="1268"/>
      <c r="G56" s="1266"/>
      <c r="H56" s="1268"/>
      <c r="I56" s="1270"/>
      <c r="J56" s="1266"/>
      <c r="K56" s="1268"/>
      <c r="L56" s="1269"/>
      <c r="M56" s="1268"/>
      <c r="N56" s="1266"/>
      <c r="O56" s="1268"/>
      <c r="P56" s="1270"/>
      <c r="Q56" s="1268"/>
      <c r="R56" s="1268"/>
      <c r="S56" s="1269"/>
      <c r="T56" s="1268"/>
      <c r="U56" s="1266"/>
      <c r="V56" s="1268"/>
      <c r="W56" s="1270"/>
      <c r="X56" s="1268"/>
      <c r="Y56" s="1268"/>
      <c r="Z56" s="1269"/>
      <c r="AA56" s="1268"/>
      <c r="AB56" s="1266"/>
      <c r="AC56" s="1268"/>
      <c r="AD56" s="1270"/>
      <c r="AE56" s="1268"/>
      <c r="AF56" s="1268"/>
      <c r="AG56" s="1269"/>
      <c r="AH56" s="1270"/>
      <c r="AI56" s="1266"/>
      <c r="AJ56" s="1268"/>
      <c r="AK56" s="1268"/>
      <c r="AL56" s="1268"/>
      <c r="AM56" s="1268"/>
      <c r="AN56" s="1269"/>
      <c r="AO56" s="1268"/>
      <c r="AP56" s="1266"/>
      <c r="AQ56" s="1268"/>
      <c r="AR56" s="1270"/>
      <c r="AS56" s="1268"/>
      <c r="AT56" s="1290"/>
      <c r="AU56" s="1292"/>
      <c r="AV56" s="1293"/>
      <c r="AW56" s="1266"/>
      <c r="AX56" s="1290"/>
      <c r="AY56" s="1291"/>
      <c r="AZ56" s="1293"/>
      <c r="BA56" s="1290"/>
      <c r="BB56" s="1292"/>
      <c r="BC56" s="1293"/>
      <c r="BD56" s="1266"/>
      <c r="BE56" s="1290"/>
      <c r="BF56" s="1291"/>
      <c r="BG56" s="1291"/>
      <c r="BH56" s="1290"/>
      <c r="BI56" s="1292"/>
      <c r="BJ56" s="1293"/>
      <c r="BK56" s="1293"/>
      <c r="BL56" s="1290"/>
      <c r="BM56" s="1291"/>
      <c r="BN56" s="1291"/>
      <c r="BO56" s="1290"/>
      <c r="BP56" s="1292"/>
      <c r="BQ56" s="1293"/>
      <c r="BR56" s="1293"/>
      <c r="BS56" s="1290"/>
      <c r="BT56" s="1291"/>
      <c r="BU56" s="1291"/>
      <c r="BV56" s="1290"/>
      <c r="BW56" s="1292"/>
      <c r="BX56" s="1293"/>
      <c r="BY56" s="1293"/>
      <c r="BZ56" s="1290"/>
      <c r="CA56" s="1291"/>
      <c r="CB56" s="1266"/>
      <c r="CC56" s="1290"/>
      <c r="CD56" s="1292"/>
      <c r="CE56" s="1293"/>
      <c r="CF56" s="1293"/>
      <c r="CG56" s="1290"/>
      <c r="CH56" s="1291"/>
      <c r="CI56" s="1290"/>
      <c r="CJ56" s="1292"/>
      <c r="CK56" s="1293"/>
      <c r="CL56" s="1293"/>
      <c r="CM56" s="1290"/>
      <c r="CN56" s="1291"/>
      <c r="CO56" s="1291"/>
      <c r="CP56" s="1290"/>
      <c r="CQ56" s="1292"/>
      <c r="CR56" s="1293"/>
      <c r="CS56" s="1293"/>
      <c r="CT56" s="1290"/>
      <c r="CU56" s="1291"/>
      <c r="CV56" s="1266"/>
      <c r="CW56" s="1293"/>
      <c r="CX56" s="1266"/>
      <c r="CY56" s="1266"/>
      <c r="CZ56" s="1269"/>
      <c r="DA56" s="1270"/>
      <c r="DB56" s="1293"/>
      <c r="DC56" s="1268"/>
      <c r="DD56" s="1268"/>
      <c r="DE56" s="1266"/>
      <c r="DF56" s="1266"/>
      <c r="DG56" s="1266"/>
      <c r="DH56" s="1266"/>
      <c r="DI56" s="1266"/>
      <c r="DJ56" s="1266"/>
      <c r="DK56" s="1266"/>
      <c r="DL56" s="1266"/>
      <c r="DM56" s="1266"/>
      <c r="DN56" s="1266"/>
      <c r="DO56" s="1266"/>
      <c r="DP56" s="1266"/>
      <c r="DQ56" s="1266"/>
    </row>
    <row r="57" spans="1:121" ht="13.5" hidden="1" outlineLevel="1">
      <c r="A57" s="1266" t="str">
        <f>$A$17</f>
        <v>1Q</v>
      </c>
      <c r="B57" s="1266" t="str">
        <f>$B$17</f>
        <v>Apr</v>
      </c>
      <c r="C57" s="1266"/>
      <c r="D57" s="1294">
        <f>+K57+R57</f>
        <v>558</v>
      </c>
      <c r="E57" s="1255">
        <f>+D57-D52</f>
        <v>7</v>
      </c>
      <c r="F57" s="1295">
        <f>+(D57/D49-1)*100</f>
        <v>8.7719298245614077</v>
      </c>
      <c r="G57" s="1296">
        <f>+N57+U57</f>
        <v>15.731417376490629</v>
      </c>
      <c r="H57" s="1297"/>
      <c r="I57" s="1295">
        <f>+(G57/G49-1)*100</f>
        <v>10.342242229001307</v>
      </c>
      <c r="J57" s="1266"/>
      <c r="K57" s="1298">
        <v>558</v>
      </c>
      <c r="L57" s="1255">
        <f>+K57-K52</f>
        <v>7</v>
      </c>
      <c r="M57" s="1295">
        <f>+(K57/K49-1)*100</f>
        <v>8.7719298245614077</v>
      </c>
      <c r="N57" s="1296">
        <f>+K57*O$61/1000</f>
        <v>15.731417376490629</v>
      </c>
      <c r="O57" s="1297"/>
      <c r="P57" s="1295">
        <f>+(N57/N49-1)*100</f>
        <v>10.342242229001307</v>
      </c>
      <c r="Q57" s="1299"/>
      <c r="R57" s="1298"/>
      <c r="S57" s="1255"/>
      <c r="T57" s="1297"/>
      <c r="U57" s="1296"/>
      <c r="V57" s="1297"/>
      <c r="W57" s="1295"/>
      <c r="X57" s="1299"/>
      <c r="Y57" s="1298">
        <v>39</v>
      </c>
      <c r="Z57" s="1255">
        <f>+Y57-Y52</f>
        <v>2</v>
      </c>
      <c r="AA57" s="1295">
        <f>+(Y57/Y49-1)*100</f>
        <v>39.285714285714278</v>
      </c>
      <c r="AB57" s="1296">
        <f>+Y57*AC$61/1000</f>
        <v>0.94874999999999998</v>
      </c>
      <c r="AC57" s="1297"/>
      <c r="AD57" s="1295">
        <f>+(AB57/AB49-1)*100</f>
        <v>49.606844527787253</v>
      </c>
      <c r="AE57" s="1299"/>
      <c r="AF57" s="1298">
        <v>6</v>
      </c>
      <c r="AG57" s="1255">
        <f>+AF57-AF52</f>
        <v>1</v>
      </c>
      <c r="AH57" s="1332">
        <f>+(AF57/AF49-1)*100</f>
        <v>200</v>
      </c>
      <c r="AI57" s="1296">
        <f>+AF57*AJ$61/1000</f>
        <v>0.1633333333333333</v>
      </c>
      <c r="AJ57" s="1297"/>
      <c r="AK57" s="1302"/>
      <c r="AL57" s="1299"/>
      <c r="AM57" s="1298">
        <v>19</v>
      </c>
      <c r="AN57" s="1255">
        <f>+AM57-AM52</f>
        <v>4</v>
      </c>
      <c r="AO57" s="1295">
        <f>+(AM57/AM49-1)*100</f>
        <v>89.999999999999986</v>
      </c>
      <c r="AP57" s="1296">
        <f>+AM57*AQ$61/1000</f>
        <v>0.71854545454545449</v>
      </c>
      <c r="AQ57" s="1297"/>
      <c r="AR57" s="1295">
        <f>+(AP57/AP49-1)*100</f>
        <v>66.073679787085027</v>
      </c>
      <c r="AS57" s="1299"/>
      <c r="AT57" s="1300"/>
      <c r="AU57" s="1304"/>
      <c r="AV57" s="1303"/>
      <c r="AW57" s="1296"/>
      <c r="AX57" s="1303"/>
      <c r="AY57" s="1305"/>
      <c r="AZ57" s="1316"/>
      <c r="BA57" s="1300"/>
      <c r="BB57" s="1304"/>
      <c r="BC57" s="1303"/>
      <c r="BD57" s="1296"/>
      <c r="BE57" s="1303"/>
      <c r="BF57" s="1305"/>
      <c r="BG57" s="1305"/>
      <c r="BH57" s="1300"/>
      <c r="BI57" s="1304"/>
      <c r="BJ57" s="1303"/>
      <c r="BK57" s="1300"/>
      <c r="BL57" s="1303"/>
      <c r="BM57" s="1305"/>
      <c r="BN57" s="1305"/>
      <c r="BO57" s="1300"/>
      <c r="BP57" s="1304"/>
      <c r="BQ57" s="1303"/>
      <c r="BR57" s="1300"/>
      <c r="BS57" s="1303"/>
      <c r="BT57" s="1305"/>
      <c r="BU57" s="1305"/>
      <c r="BV57" s="1300"/>
      <c r="BW57" s="1304"/>
      <c r="BX57" s="1303"/>
      <c r="BY57" s="1300"/>
      <c r="BZ57" s="1303"/>
      <c r="CA57" s="1305"/>
      <c r="CB57" s="1299"/>
      <c r="CC57" s="1300"/>
      <c r="CD57" s="1304"/>
      <c r="CE57" s="1303"/>
      <c r="CF57" s="1300"/>
      <c r="CG57" s="1303"/>
      <c r="CH57" s="1305"/>
      <c r="CI57" s="1300"/>
      <c r="CJ57" s="1304"/>
      <c r="CK57" s="1303"/>
      <c r="CL57" s="1300"/>
      <c r="CM57" s="1303"/>
      <c r="CN57" s="1305"/>
      <c r="CO57" s="1305"/>
      <c r="CP57" s="1300"/>
      <c r="CQ57" s="1304"/>
      <c r="CR57" s="1303"/>
      <c r="CS57" s="1300"/>
      <c r="CT57" s="1303"/>
      <c r="CU57" s="1305"/>
      <c r="CV57" s="1299"/>
      <c r="CW57" s="1306">
        <f>+D57+Y57+AF57+AM57+AT57+BA57</f>
        <v>622</v>
      </c>
      <c r="CX57" s="1307">
        <f>+CW57-CW52</f>
        <v>14</v>
      </c>
      <c r="CY57" s="1295">
        <f>+(CW57/CW49-1)*100</f>
        <v>12.477396021699816</v>
      </c>
      <c r="CZ57" s="1255"/>
      <c r="DA57" s="1308"/>
      <c r="DB57" s="1296">
        <f>+G57+AB57+AI57+AP57+AW57</f>
        <v>17.56204616436942</v>
      </c>
      <c r="DC57" s="1297"/>
      <c r="DD57" s="1302"/>
      <c r="DE57" s="1266"/>
      <c r="DF57" s="1266"/>
      <c r="DG57" s="1266"/>
      <c r="DH57" s="1266"/>
      <c r="DI57" s="1266"/>
      <c r="DJ57" s="1266"/>
      <c r="DK57" s="1266"/>
      <c r="DL57" s="1266"/>
      <c r="DM57" s="1266"/>
      <c r="DN57" s="1266"/>
      <c r="DO57" s="1266"/>
      <c r="DP57" s="1266"/>
      <c r="DQ57" s="1266"/>
    </row>
    <row r="58" spans="1:121" ht="13.5" hidden="1" outlineLevel="1">
      <c r="A58" s="1266" t="str">
        <f>$A$18</f>
        <v>2Q</v>
      </c>
      <c r="B58" s="1266" t="str">
        <f>$B$18</f>
        <v>Jul</v>
      </c>
      <c r="C58" s="1266"/>
      <c r="D58" s="1294">
        <f>+K58+R58</f>
        <v>565</v>
      </c>
      <c r="E58" s="1255">
        <f>+D58-D57</f>
        <v>7</v>
      </c>
      <c r="F58" s="1295">
        <f>+(D58/D50-1)*100</f>
        <v>8.6538461538461462</v>
      </c>
      <c r="G58" s="1296">
        <f>+N58+U58</f>
        <v>15.928764906303236</v>
      </c>
      <c r="H58" s="1297"/>
      <c r="I58" s="1295">
        <f>+(G58/G50-1)*100</f>
        <v>10.222453814670818</v>
      </c>
      <c r="J58" s="1309"/>
      <c r="K58" s="1300">
        <v>565</v>
      </c>
      <c r="L58" s="1255">
        <f>+K58-K57</f>
        <v>7</v>
      </c>
      <c r="M58" s="1295">
        <f>+(K58/K50-1)*100</f>
        <v>8.6538461538461462</v>
      </c>
      <c r="N58" s="1296">
        <f>+K58*O$61/1000</f>
        <v>15.928764906303236</v>
      </c>
      <c r="O58" s="1297"/>
      <c r="P58" s="1295">
        <f>+(N58/N50-1)*100</f>
        <v>10.222453814670818</v>
      </c>
      <c r="Q58" s="1299"/>
      <c r="R58" s="1300"/>
      <c r="S58" s="1255"/>
      <c r="T58" s="1297"/>
      <c r="U58" s="1296"/>
      <c r="V58" s="1297"/>
      <c r="W58" s="1295"/>
      <c r="X58" s="1299"/>
      <c r="Y58" s="1300">
        <v>42</v>
      </c>
      <c r="Z58" s="1255">
        <f>+Y58-Y57</f>
        <v>3</v>
      </c>
      <c r="AA58" s="1295">
        <f>+(Y58/Y50-1)*100</f>
        <v>44.827586206896555</v>
      </c>
      <c r="AB58" s="1296">
        <f>+Y58*AC$61/1000</f>
        <v>1.0217307692307691</v>
      </c>
      <c r="AC58" s="1297"/>
      <c r="AD58" s="1295">
        <f>+(AB58/AB50-1)*100</f>
        <v>55.559371498388835</v>
      </c>
      <c r="AE58" s="1299"/>
      <c r="AF58" s="1300">
        <v>8</v>
      </c>
      <c r="AG58" s="1255">
        <f>+AF58-AF57</f>
        <v>2</v>
      </c>
      <c r="AH58" s="1332">
        <f>+(AF58/AF50-1)*100</f>
        <v>300</v>
      </c>
      <c r="AI58" s="1296">
        <f>+AF58*AJ$61/1000</f>
        <v>0.21777777777777776</v>
      </c>
      <c r="AJ58" s="1297"/>
      <c r="AK58" s="1302"/>
      <c r="AL58" s="1299"/>
      <c r="AM58" s="1300">
        <v>22</v>
      </c>
      <c r="AN58" s="1255">
        <f>+AM58-AM57</f>
        <v>3</v>
      </c>
      <c r="AO58" s="1295">
        <f>+(AM58/AM50-1)*100</f>
        <v>120.00000000000001</v>
      </c>
      <c r="AP58" s="1296">
        <f>+AM58*AQ$61/1000</f>
        <v>0.83199999999999985</v>
      </c>
      <c r="AQ58" s="1297"/>
      <c r="AR58" s="1295">
        <f>+(AP58/AP50-1)*100</f>
        <v>92.295839753466851</v>
      </c>
      <c r="AS58" s="1299"/>
      <c r="AT58" s="1300"/>
      <c r="AU58" s="1304"/>
      <c r="AV58" s="1303"/>
      <c r="AW58" s="1296"/>
      <c r="AX58" s="1303"/>
      <c r="AY58" s="1305"/>
      <c r="AZ58" s="1316"/>
      <c r="BA58" s="1300"/>
      <c r="BB58" s="1304"/>
      <c r="BC58" s="1303"/>
      <c r="BD58" s="1296"/>
      <c r="BE58" s="1303"/>
      <c r="BF58" s="1305"/>
      <c r="BG58" s="1305"/>
      <c r="BH58" s="1300"/>
      <c r="BI58" s="1304"/>
      <c r="BJ58" s="1303"/>
      <c r="BK58" s="1300"/>
      <c r="BL58" s="1303"/>
      <c r="BM58" s="1305"/>
      <c r="BN58" s="1305"/>
      <c r="BO58" s="1300"/>
      <c r="BP58" s="1304"/>
      <c r="BQ58" s="1303"/>
      <c r="BR58" s="1300"/>
      <c r="BS58" s="1303"/>
      <c r="BT58" s="1305"/>
      <c r="BU58" s="1305"/>
      <c r="BV58" s="1300"/>
      <c r="BW58" s="1304"/>
      <c r="BX58" s="1303"/>
      <c r="BY58" s="1300"/>
      <c r="BZ58" s="1303"/>
      <c r="CA58" s="1305"/>
      <c r="CB58" s="1299"/>
      <c r="CC58" s="1300"/>
      <c r="CD58" s="1304"/>
      <c r="CE58" s="1303"/>
      <c r="CF58" s="1300"/>
      <c r="CG58" s="1303"/>
      <c r="CH58" s="1305"/>
      <c r="CI58" s="1300"/>
      <c r="CJ58" s="1304"/>
      <c r="CK58" s="1303"/>
      <c r="CL58" s="1300"/>
      <c r="CM58" s="1303"/>
      <c r="CN58" s="1305"/>
      <c r="CO58" s="1305"/>
      <c r="CP58" s="1300"/>
      <c r="CQ58" s="1304"/>
      <c r="CR58" s="1303"/>
      <c r="CS58" s="1300"/>
      <c r="CT58" s="1303"/>
      <c r="CU58" s="1305"/>
      <c r="CV58" s="1299"/>
      <c r="CW58" s="1306">
        <f>+D58+Y58+AF58+AM58+AT58+BA58</f>
        <v>637</v>
      </c>
      <c r="CX58" s="1307">
        <f>+CW58-CW57</f>
        <v>15</v>
      </c>
      <c r="CY58" s="1295">
        <f>+(CW58/CW50-1)*100</f>
        <v>13.547237076648845</v>
      </c>
      <c r="CZ58" s="1255"/>
      <c r="DA58" s="1308"/>
      <c r="DB58" s="1310">
        <f>+G58+AB58+AI58+AP58+AW58</f>
        <v>18.000273453311781</v>
      </c>
      <c r="DC58" s="1297"/>
      <c r="DD58" s="1302"/>
      <c r="DE58" s="1266"/>
      <c r="DF58" s="1266"/>
      <c r="DG58" s="1266"/>
      <c r="DH58" s="1266"/>
      <c r="DI58" s="1266"/>
      <c r="DJ58" s="1266"/>
      <c r="DK58" s="1266"/>
      <c r="DL58" s="1266"/>
      <c r="DM58" s="1266"/>
      <c r="DN58" s="1266"/>
      <c r="DO58" s="1266"/>
      <c r="DP58" s="1266"/>
      <c r="DQ58" s="1266"/>
    </row>
    <row r="59" spans="1:121" ht="13.5" hidden="1" outlineLevel="1">
      <c r="A59" s="1266" t="str">
        <f>$A$19</f>
        <v>3Q</v>
      </c>
      <c r="B59" s="1266" t="str">
        <f>$B$19</f>
        <v>Oct</v>
      </c>
      <c r="C59" s="1266"/>
      <c r="D59" s="1294">
        <f>+K59+R59</f>
        <v>581</v>
      </c>
      <c r="E59" s="1255">
        <f>+D59-D58</f>
        <v>16</v>
      </c>
      <c r="F59" s="1295">
        <f>+(D59/D51-1)*100</f>
        <v>7.7922077922077948</v>
      </c>
      <c r="G59" s="1296">
        <f>+N59+U59</f>
        <v>16.379844974446339</v>
      </c>
      <c r="H59" s="1297"/>
      <c r="I59" s="1295">
        <f>+(G59/G51-1)*100</f>
        <v>9.3483762013836014</v>
      </c>
      <c r="J59" s="1266"/>
      <c r="K59" s="1300">
        <v>581</v>
      </c>
      <c r="L59" s="1255">
        <f>+K59-K58</f>
        <v>16</v>
      </c>
      <c r="M59" s="1295">
        <f>+(K59/K51-1)*100</f>
        <v>7.7922077922077948</v>
      </c>
      <c r="N59" s="1296">
        <f>+K59*O$61/1000</f>
        <v>16.379844974446339</v>
      </c>
      <c r="O59" s="1297"/>
      <c r="P59" s="1295">
        <f>+(N59/N51-1)*100</f>
        <v>9.3483762013836014</v>
      </c>
      <c r="Q59" s="1299"/>
      <c r="R59" s="1300"/>
      <c r="S59" s="1255"/>
      <c r="T59" s="1297"/>
      <c r="U59" s="1296"/>
      <c r="V59" s="1297"/>
      <c r="W59" s="1295"/>
      <c r="X59" s="1299"/>
      <c r="Y59" s="1300">
        <v>49</v>
      </c>
      <c r="Z59" s="1255">
        <f>+Y59-Y58</f>
        <v>7</v>
      </c>
      <c r="AA59" s="1295">
        <f>+(Y59/Y51-1)*100</f>
        <v>44.117647058823529</v>
      </c>
      <c r="AB59" s="1296">
        <f>+Y59*AC$61/1000</f>
        <v>1.1920192307692308</v>
      </c>
      <c r="AC59" s="1297"/>
      <c r="AD59" s="1295">
        <f>+(AB59/AB51-1)*100</f>
        <v>54.796825559671269</v>
      </c>
      <c r="AE59" s="1299"/>
      <c r="AF59" s="1300">
        <v>8</v>
      </c>
      <c r="AG59" s="1255">
        <f>+AF59-AF58</f>
        <v>0</v>
      </c>
      <c r="AH59" s="1332">
        <f>+(AF59/AF51-1)*100</f>
        <v>100</v>
      </c>
      <c r="AI59" s="1296">
        <f>+AF59*AJ$61/1000</f>
        <v>0.21777777777777776</v>
      </c>
      <c r="AJ59" s="1297"/>
      <c r="AK59" s="1302"/>
      <c r="AL59" s="1299"/>
      <c r="AM59" s="1300">
        <v>24</v>
      </c>
      <c r="AN59" s="1255">
        <f>+AM59-AM58</f>
        <v>2</v>
      </c>
      <c r="AO59" s="1295">
        <f>+(AM59/AM51-1)*100</f>
        <v>100</v>
      </c>
      <c r="AP59" s="1296">
        <f>+AM59*AQ$61/1000</f>
        <v>0.90763636363636346</v>
      </c>
      <c r="AQ59" s="1297"/>
      <c r="AR59" s="1295">
        <f>+(AP59/AP51-1)*100</f>
        <v>74.81439977587894</v>
      </c>
      <c r="AS59" s="1299"/>
      <c r="AT59" s="1300"/>
      <c r="AU59" s="1304"/>
      <c r="AV59" s="1303"/>
      <c r="AW59" s="1296"/>
      <c r="AX59" s="1303"/>
      <c r="AY59" s="1305"/>
      <c r="AZ59" s="1316"/>
      <c r="BA59" s="1300"/>
      <c r="BB59" s="1304"/>
      <c r="BC59" s="1303"/>
      <c r="BD59" s="1296"/>
      <c r="BE59" s="1303"/>
      <c r="BF59" s="1305"/>
      <c r="BG59" s="1305"/>
      <c r="BH59" s="1300"/>
      <c r="BI59" s="1304"/>
      <c r="BJ59" s="1303"/>
      <c r="BK59" s="1300"/>
      <c r="BL59" s="1303"/>
      <c r="BM59" s="1305"/>
      <c r="BN59" s="1305"/>
      <c r="BO59" s="1300"/>
      <c r="BP59" s="1304"/>
      <c r="BQ59" s="1303"/>
      <c r="BR59" s="1300"/>
      <c r="BS59" s="1303"/>
      <c r="BT59" s="1305"/>
      <c r="BU59" s="1305"/>
      <c r="BV59" s="1300"/>
      <c r="BW59" s="1304"/>
      <c r="BX59" s="1303"/>
      <c r="BY59" s="1300"/>
      <c r="BZ59" s="1303"/>
      <c r="CA59" s="1305"/>
      <c r="CB59" s="1299"/>
      <c r="CC59" s="1300"/>
      <c r="CD59" s="1304"/>
      <c r="CE59" s="1303"/>
      <c r="CF59" s="1300"/>
      <c r="CG59" s="1303"/>
      <c r="CH59" s="1305"/>
      <c r="CI59" s="1300"/>
      <c r="CJ59" s="1304"/>
      <c r="CK59" s="1303"/>
      <c r="CL59" s="1300"/>
      <c r="CM59" s="1303"/>
      <c r="CN59" s="1305"/>
      <c r="CO59" s="1305"/>
      <c r="CP59" s="1300"/>
      <c r="CQ59" s="1304"/>
      <c r="CR59" s="1303"/>
      <c r="CS59" s="1300"/>
      <c r="CT59" s="1303"/>
      <c r="CU59" s="1305"/>
      <c r="CV59" s="1299"/>
      <c r="CW59" s="1306">
        <f>+D59+Y59+AF59+AM59+AT59+BA59</f>
        <v>662</v>
      </c>
      <c r="CX59" s="1307">
        <f>+CW59-CW58</f>
        <v>25</v>
      </c>
      <c r="CY59" s="1295">
        <f>+(CW59/CW51-1)*100</f>
        <v>12.393887945670624</v>
      </c>
      <c r="CZ59" s="1255"/>
      <c r="DA59" s="1308"/>
      <c r="DB59" s="1310">
        <f>+G59+AB59+AI59+AP59+AW59</f>
        <v>18.697278346629709</v>
      </c>
      <c r="DC59" s="1297"/>
      <c r="DD59" s="1302"/>
      <c r="DE59" s="1266"/>
      <c r="DF59" s="1266"/>
      <c r="DG59" s="1266"/>
      <c r="DH59" s="1266"/>
      <c r="DI59" s="1266"/>
      <c r="DJ59" s="1266"/>
      <c r="DK59" s="1266"/>
      <c r="DL59" s="1266"/>
      <c r="DM59" s="1266"/>
      <c r="DN59" s="1266"/>
      <c r="DO59" s="1266"/>
      <c r="DP59" s="1266"/>
      <c r="DQ59" s="1266"/>
    </row>
    <row r="60" spans="1:121" ht="13.5" hidden="1" outlineLevel="1">
      <c r="A60" s="1266" t="str">
        <f>$A$20</f>
        <v>4Q</v>
      </c>
      <c r="B60" s="1266" t="str">
        <f>$B$20</f>
        <v>Jan</v>
      </c>
      <c r="C60" s="1266"/>
      <c r="D60" s="1312">
        <f>+K60+R60</f>
        <v>1083</v>
      </c>
      <c r="E60" s="1255">
        <f>+D60-D59</f>
        <v>502</v>
      </c>
      <c r="F60" s="1295">
        <f>+(D60/D52-1)*100</f>
        <v>96.551724137931032</v>
      </c>
      <c r="G60" s="1313">
        <f>+N60+U60</f>
        <v>32.474000000000004</v>
      </c>
      <c r="H60" s="1297"/>
      <c r="I60" s="1295">
        <f>+(G60/G52-1)*100</f>
        <v>112.06817736563704</v>
      </c>
      <c r="J60" s="1266"/>
      <c r="K60" s="1314">
        <v>587</v>
      </c>
      <c r="L60" s="1255">
        <f>+K60-K59</f>
        <v>6</v>
      </c>
      <c r="M60" s="1295">
        <f>+(K60/K52-1)*100</f>
        <v>6.5335753176043454</v>
      </c>
      <c r="N60" s="1313">
        <f>+K60*O$61/1000</f>
        <v>16.548999999999999</v>
      </c>
      <c r="O60" s="1297"/>
      <c r="P60" s="1295">
        <f>+(N60/N52-1)*100</f>
        <v>8.0715731731208606</v>
      </c>
      <c r="Q60" s="1299"/>
      <c r="R60" s="1314">
        <v>496</v>
      </c>
      <c r="S60" s="1255"/>
      <c r="T60" s="1297"/>
      <c r="U60" s="1313">
        <f>+R60*V$61/1000</f>
        <v>15.925000000000002</v>
      </c>
      <c r="V60" s="1297"/>
      <c r="W60" s="1295"/>
      <c r="X60" s="1299"/>
      <c r="Y60" s="1314">
        <v>52</v>
      </c>
      <c r="Z60" s="1255">
        <f>+Y60-Y59</f>
        <v>3</v>
      </c>
      <c r="AA60" s="1295">
        <f>+(Y60/Y52-1)*100</f>
        <v>40.540540540540547</v>
      </c>
      <c r="AB60" s="1313">
        <f>+Y60*AC$61/1000</f>
        <v>1.2649999999999999</v>
      </c>
      <c r="AC60" s="1297"/>
      <c r="AD60" s="1295">
        <f>+(AB60/AB52-1)*100</f>
        <v>50.954653937947491</v>
      </c>
      <c r="AE60" s="1299"/>
      <c r="AF60" s="1314">
        <v>9</v>
      </c>
      <c r="AG60" s="1255">
        <f>+AF60-AF59</f>
        <v>1</v>
      </c>
      <c r="AH60" s="1332">
        <f>+(AF60/AF52-1)*100</f>
        <v>80</v>
      </c>
      <c r="AI60" s="1313">
        <f>+AF60*AJ$61/1000</f>
        <v>0.245</v>
      </c>
      <c r="AJ60" s="1297"/>
      <c r="AK60" s="1302"/>
      <c r="AL60" s="1299"/>
      <c r="AM60" s="1314">
        <v>22</v>
      </c>
      <c r="AN60" s="1255">
        <f>+AM60-AM59</f>
        <v>-2</v>
      </c>
      <c r="AO60" s="1295">
        <f>+(AM60/AM52-1)*100</f>
        <v>46.666666666666657</v>
      </c>
      <c r="AP60" s="1313">
        <f>+AM60*AQ$61/1000</f>
        <v>0.83199999999999985</v>
      </c>
      <c r="AQ60" s="1297"/>
      <c r="AR60" s="1295">
        <f>+(AP60/AP52-1)*100</f>
        <v>28.197226502311224</v>
      </c>
      <c r="AS60" s="1299"/>
      <c r="AT60" s="1300"/>
      <c r="AU60" s="1304"/>
      <c r="AV60" s="1303"/>
      <c r="AW60" s="1313"/>
      <c r="AX60" s="1303"/>
      <c r="AY60" s="1305"/>
      <c r="AZ60" s="1316"/>
      <c r="BA60" s="1300"/>
      <c r="BB60" s="1304"/>
      <c r="BC60" s="1303"/>
      <c r="BD60" s="1313"/>
      <c r="BE60" s="1303"/>
      <c r="BF60" s="1305"/>
      <c r="BG60" s="1305"/>
      <c r="BH60" s="1300"/>
      <c r="BI60" s="1304"/>
      <c r="BJ60" s="1303"/>
      <c r="BK60" s="1294"/>
      <c r="BL60" s="1303"/>
      <c r="BM60" s="1305"/>
      <c r="BN60" s="1305"/>
      <c r="BO60" s="1300"/>
      <c r="BP60" s="1304"/>
      <c r="BQ60" s="1303"/>
      <c r="BR60" s="1294"/>
      <c r="BS60" s="1303"/>
      <c r="BT60" s="1305"/>
      <c r="BU60" s="1305"/>
      <c r="BV60" s="1300"/>
      <c r="BW60" s="1304"/>
      <c r="BX60" s="1303"/>
      <c r="BY60" s="1294"/>
      <c r="BZ60" s="1303"/>
      <c r="CA60" s="1305"/>
      <c r="CB60" s="1299"/>
      <c r="CC60" s="1300"/>
      <c r="CD60" s="1304"/>
      <c r="CE60" s="1303"/>
      <c r="CF60" s="1294"/>
      <c r="CG60" s="1303"/>
      <c r="CH60" s="1305"/>
      <c r="CI60" s="1300"/>
      <c r="CJ60" s="1304"/>
      <c r="CK60" s="1303"/>
      <c r="CL60" s="1294"/>
      <c r="CM60" s="1303"/>
      <c r="CN60" s="1305"/>
      <c r="CO60" s="1305"/>
      <c r="CP60" s="1300"/>
      <c r="CQ60" s="1304"/>
      <c r="CR60" s="1303"/>
      <c r="CS60" s="1294"/>
      <c r="CT60" s="1303"/>
      <c r="CU60" s="1305"/>
      <c r="CV60" s="1299"/>
      <c r="CW60" s="1312">
        <f>+D60+Y60+AF60+AM60+AT60+BA60</f>
        <v>1166</v>
      </c>
      <c r="CX60" s="1307">
        <f>+CW60-CW59</f>
        <v>504</v>
      </c>
      <c r="CY60" s="1295">
        <f>+(CW60/CW52-1)*100</f>
        <v>91.776315789473699</v>
      </c>
      <c r="CZ60" s="1255"/>
      <c r="DA60" s="1308"/>
      <c r="DB60" s="1313">
        <f>+G60+AB60+AI60+AP60+AW60</f>
        <v>34.816000000000003</v>
      </c>
      <c r="DC60" s="1297"/>
      <c r="DD60" s="1302"/>
      <c r="DE60" s="1266"/>
      <c r="DF60" s="1266"/>
      <c r="DG60" s="1266"/>
      <c r="DH60" s="1266"/>
      <c r="DI60" s="1266"/>
      <c r="DJ60" s="1266"/>
      <c r="DK60" s="1266"/>
      <c r="DL60" s="1266"/>
      <c r="DM60" s="1266"/>
      <c r="DN60" s="1266"/>
      <c r="DO60" s="1266"/>
      <c r="DP60" s="1266"/>
      <c r="DQ60" s="1266"/>
    </row>
    <row r="61" spans="1:121" ht="13.5" hidden="1" outlineLevel="1">
      <c r="A61" s="1266"/>
      <c r="B61" s="1266" t="str">
        <f>$B$21</f>
        <v>Year</v>
      </c>
      <c r="C61" s="1266"/>
      <c r="D61" s="1306">
        <f>+D60</f>
        <v>1083</v>
      </c>
      <c r="E61" s="1317">
        <f>+D61-D53</f>
        <v>532</v>
      </c>
      <c r="F61" s="1295">
        <f>+(D61/D53-1)*100</f>
        <v>96.551724137931032</v>
      </c>
      <c r="G61" s="1296">
        <f>+N61+U61</f>
        <v>32.474000000000004</v>
      </c>
      <c r="H61" s="1297">
        <f>+G61/D61*1000</f>
        <v>29.985226223453374</v>
      </c>
      <c r="I61" s="1295">
        <f>+(G61/G53-1)*100</f>
        <v>112.06817736563708</v>
      </c>
      <c r="J61" s="1266"/>
      <c r="K61" s="1306">
        <f>+K60</f>
        <v>587</v>
      </c>
      <c r="L61" s="1317">
        <f>+K61-K53</f>
        <v>36</v>
      </c>
      <c r="M61" s="1295">
        <f>+(K61/K53-1)*100</f>
        <v>6.5335753176043454</v>
      </c>
      <c r="N61" s="1318">
        <v>16.548999999999999</v>
      </c>
      <c r="O61" s="1297">
        <f>+N61/K61*1000</f>
        <v>28.192504258943782</v>
      </c>
      <c r="P61" s="1295">
        <f>+(N61/N53-1)*100</f>
        <v>8.0715731731208606</v>
      </c>
      <c r="Q61" s="1299"/>
      <c r="R61" s="1306">
        <f>+R60</f>
        <v>496</v>
      </c>
      <c r="S61" s="1317">
        <f>+R61-484</f>
        <v>12</v>
      </c>
      <c r="T61" s="1295">
        <f>(R61/484-1)*100</f>
        <v>2.4793388429751984</v>
      </c>
      <c r="U61" s="1318">
        <v>15.925000000000001</v>
      </c>
      <c r="V61" s="1297">
        <f>+U61/R61*1000</f>
        <v>32.10685483870968</v>
      </c>
      <c r="W61" s="1295"/>
      <c r="X61" s="1299"/>
      <c r="Y61" s="1306">
        <f>+Y60</f>
        <v>52</v>
      </c>
      <c r="Z61" s="1317">
        <f>+Y61-Y53</f>
        <v>15</v>
      </c>
      <c r="AA61" s="1295">
        <f>+(Y61/Y53-1)*100</f>
        <v>40.540540540540547</v>
      </c>
      <c r="AB61" s="1318">
        <v>1.2649999999999999</v>
      </c>
      <c r="AC61" s="1297">
        <f>+AB61/Y61*1000</f>
        <v>24.326923076923077</v>
      </c>
      <c r="AD61" s="1295">
        <f>+(AB61/AB53-1)*100</f>
        <v>50.954653937947491</v>
      </c>
      <c r="AE61" s="1299"/>
      <c r="AF61" s="1306">
        <f>+AF60</f>
        <v>9</v>
      </c>
      <c r="AG61" s="1317">
        <f>+AF61-AF53</f>
        <v>4</v>
      </c>
      <c r="AH61" s="1332">
        <f>+(AF61/AF53-1)*100</f>
        <v>80</v>
      </c>
      <c r="AI61" s="1318">
        <v>0.245</v>
      </c>
      <c r="AJ61" s="1297">
        <f>+AI61/AF61*1000</f>
        <v>27.222222222222221</v>
      </c>
      <c r="AK61" s="1295"/>
      <c r="AL61" s="1299"/>
      <c r="AM61" s="1306">
        <f>+AM60</f>
        <v>22</v>
      </c>
      <c r="AN61" s="1317">
        <f>+AM61-AM53</f>
        <v>7</v>
      </c>
      <c r="AO61" s="1295">
        <f>+(AM61/AM53-1)*100</f>
        <v>46.666666666666657</v>
      </c>
      <c r="AP61" s="1318">
        <v>0.83199999999999996</v>
      </c>
      <c r="AQ61" s="1297">
        <f>+AP61/AM61*1000</f>
        <v>37.818181818181813</v>
      </c>
      <c r="AR61" s="1295">
        <f>+(AP61/AP53-1)*100</f>
        <v>28.197226502311246</v>
      </c>
      <c r="AS61" s="1299"/>
      <c r="AT61" s="1294"/>
      <c r="AU61" s="1320"/>
      <c r="AV61" s="1305"/>
      <c r="AW61" s="1318"/>
      <c r="AX61" s="1303"/>
      <c r="AY61" s="1305"/>
      <c r="AZ61" s="1316"/>
      <c r="BA61" s="1294"/>
      <c r="BB61" s="1320"/>
      <c r="BC61" s="1303"/>
      <c r="BD61" s="1318"/>
      <c r="BE61" s="1303"/>
      <c r="BF61" s="1305"/>
      <c r="BG61" s="1305"/>
      <c r="BH61" s="1294"/>
      <c r="BI61" s="1320"/>
      <c r="BJ61" s="1303"/>
      <c r="BK61" s="1300"/>
      <c r="BL61" s="1303"/>
      <c r="BM61" s="1305"/>
      <c r="BN61" s="1305"/>
      <c r="BO61" s="1294"/>
      <c r="BP61" s="1320"/>
      <c r="BQ61" s="1303"/>
      <c r="BR61" s="1300"/>
      <c r="BS61" s="1303"/>
      <c r="BT61" s="1305"/>
      <c r="BU61" s="1305"/>
      <c r="BV61" s="1294"/>
      <c r="BW61" s="1320"/>
      <c r="BX61" s="1303"/>
      <c r="BY61" s="1300"/>
      <c r="BZ61" s="1303"/>
      <c r="CA61" s="1305"/>
      <c r="CB61" s="1299"/>
      <c r="CC61" s="1294"/>
      <c r="CD61" s="1320"/>
      <c r="CE61" s="1303"/>
      <c r="CF61" s="1300"/>
      <c r="CG61" s="1303"/>
      <c r="CH61" s="1305"/>
      <c r="CI61" s="1294"/>
      <c r="CJ61" s="1320"/>
      <c r="CK61" s="1303"/>
      <c r="CL61" s="1300"/>
      <c r="CM61" s="1303"/>
      <c r="CN61" s="1305"/>
      <c r="CO61" s="1305"/>
      <c r="CP61" s="1294"/>
      <c r="CQ61" s="1320"/>
      <c r="CR61" s="1303"/>
      <c r="CS61" s="1300"/>
      <c r="CT61" s="1303"/>
      <c r="CU61" s="1305"/>
      <c r="CV61" s="1299"/>
      <c r="CW61" s="1306">
        <f>+D61+Y61+AF61+AM61+AT61+BA61</f>
        <v>1166</v>
      </c>
      <c r="CX61" s="1317">
        <f>+CW61-CW53</f>
        <v>558</v>
      </c>
      <c r="CY61" s="1295">
        <f>+(CW61/CW53-1)*100</f>
        <v>91.776315789473699</v>
      </c>
      <c r="CZ61" s="1317"/>
      <c r="DA61" s="1330"/>
      <c r="DB61" s="1296">
        <f>+G61+AB61+AI61+AP61+AW61</f>
        <v>34.816000000000003</v>
      </c>
      <c r="DC61" s="1297"/>
      <c r="DD61" s="1302"/>
      <c r="DE61" s="1266"/>
      <c r="DF61" s="1266"/>
      <c r="DG61" s="1266"/>
      <c r="DH61" s="1266"/>
      <c r="DI61" s="1266"/>
      <c r="DJ61" s="1266"/>
      <c r="DK61" s="1266"/>
      <c r="DL61" s="1266"/>
      <c r="DM61" s="1266"/>
      <c r="DN61" s="1266"/>
      <c r="DO61" s="1266"/>
      <c r="DP61" s="1266"/>
      <c r="DQ61" s="1266"/>
    </row>
    <row r="62" spans="1:121" ht="13.5" hidden="1" outlineLevel="1">
      <c r="A62" s="1266"/>
      <c r="B62" s="1266" t="s">
        <v>646</v>
      </c>
      <c r="C62" s="1266"/>
      <c r="D62" s="1306"/>
      <c r="E62" s="1317"/>
      <c r="F62" s="1323"/>
      <c r="G62" s="1296"/>
      <c r="H62" s="1297"/>
      <c r="I62" s="1295"/>
      <c r="J62" s="1266"/>
      <c r="K62" s="1306"/>
      <c r="L62" s="1256">
        <v>40</v>
      </c>
      <c r="M62" s="1324">
        <v>-4</v>
      </c>
      <c r="N62" s="1325" t="str">
        <f>IF(SUM(L62:M62)=L61,"","N")</f>
        <v/>
      </c>
      <c r="O62" s="1297"/>
      <c r="P62" s="1295"/>
      <c r="Q62" s="1299"/>
      <c r="R62" s="1306"/>
      <c r="S62" s="1256">
        <v>24</v>
      </c>
      <c r="T62" s="1324">
        <v>-12</v>
      </c>
      <c r="U62" s="1325"/>
      <c r="V62" s="1297"/>
      <c r="W62" s="1295"/>
      <c r="X62" s="1299"/>
      <c r="Y62" s="1306"/>
      <c r="Z62" s="1256">
        <v>15</v>
      </c>
      <c r="AA62" s="1324">
        <v>0</v>
      </c>
      <c r="AB62" s="1325" t="str">
        <f>IF(SUM(Z62:AA62)=Z61,"","N")</f>
        <v/>
      </c>
      <c r="AC62" s="1297"/>
      <c r="AD62" s="1295"/>
      <c r="AE62" s="1299"/>
      <c r="AF62" s="1306"/>
      <c r="AG62" s="1256">
        <v>4</v>
      </c>
      <c r="AH62" s="1324">
        <v>0</v>
      </c>
      <c r="AI62" s="1325" t="str">
        <f>IF(SUM(AG62:AH62)=AG61,"","N")</f>
        <v/>
      </c>
      <c r="AJ62" s="1297"/>
      <c r="AK62" s="1295"/>
      <c r="AL62" s="1299"/>
      <c r="AM62" s="1306"/>
      <c r="AN62" s="1256">
        <v>7</v>
      </c>
      <c r="AO62" s="1324">
        <v>0</v>
      </c>
      <c r="AP62" s="1325" t="str">
        <f>IF(SUM(AN62:AO62)=AN61,"","N")</f>
        <v/>
      </c>
      <c r="AQ62" s="1297"/>
      <c r="AR62" s="1295"/>
      <c r="AS62" s="1299"/>
      <c r="AT62" s="1294"/>
      <c r="AU62" s="1326"/>
      <c r="AV62" s="1327"/>
      <c r="AW62" s="1325"/>
      <c r="AX62" s="1303"/>
      <c r="AY62" s="1305"/>
      <c r="AZ62" s="1316"/>
      <c r="BA62" s="1294"/>
      <c r="BB62" s="1256"/>
      <c r="BC62" s="1324"/>
      <c r="BD62" s="1325"/>
      <c r="BE62" s="1303"/>
      <c r="BF62" s="1305"/>
      <c r="BG62" s="1305"/>
      <c r="BH62" s="1294"/>
      <c r="BI62" s="1256"/>
      <c r="BJ62" s="1324"/>
      <c r="BK62" s="1300"/>
      <c r="BL62" s="1303"/>
      <c r="BM62" s="1305"/>
      <c r="BN62" s="1305"/>
      <c r="BO62" s="1294"/>
      <c r="BP62" s="1256"/>
      <c r="BQ62" s="1324"/>
      <c r="BR62" s="1300"/>
      <c r="BS62" s="1303"/>
      <c r="BT62" s="1305"/>
      <c r="BU62" s="1305"/>
      <c r="BV62" s="1294"/>
      <c r="BW62" s="1256"/>
      <c r="BX62" s="1324"/>
      <c r="BY62" s="1300"/>
      <c r="BZ62" s="1303"/>
      <c r="CA62" s="1305"/>
      <c r="CB62" s="1299"/>
      <c r="CC62" s="1294"/>
      <c r="CD62" s="1256"/>
      <c r="CE62" s="1324"/>
      <c r="CF62" s="1300"/>
      <c r="CG62" s="1303"/>
      <c r="CH62" s="1305"/>
      <c r="CI62" s="1294"/>
      <c r="CJ62" s="1256"/>
      <c r="CK62" s="1324"/>
      <c r="CL62" s="1300"/>
      <c r="CM62" s="1303"/>
      <c r="CN62" s="1305"/>
      <c r="CO62" s="1305"/>
      <c r="CP62" s="1294"/>
      <c r="CQ62" s="1256"/>
      <c r="CR62" s="1324"/>
      <c r="CS62" s="1300"/>
      <c r="CT62" s="1303"/>
      <c r="CU62" s="1305"/>
      <c r="CV62" s="1299"/>
      <c r="CW62" s="1306"/>
      <c r="CX62" s="1317">
        <f>+L62+S62+Z62+AG62+AN62+AU62</f>
        <v>90</v>
      </c>
      <c r="CY62" s="1323">
        <f>+M62+T62+AA62+AH62+AO62+AV62</f>
        <v>-16</v>
      </c>
      <c r="CZ62" s="1320"/>
      <c r="DA62" s="1322"/>
      <c r="DB62" s="1296"/>
      <c r="DC62" s="1297"/>
      <c r="DD62" s="1302"/>
      <c r="DE62" s="1266"/>
      <c r="DF62" s="1266"/>
      <c r="DG62" s="1266"/>
      <c r="DH62" s="1266"/>
      <c r="DI62" s="1266"/>
      <c r="DJ62" s="1266"/>
      <c r="DK62" s="1266"/>
      <c r="DL62" s="1266"/>
      <c r="DM62" s="1266"/>
      <c r="DN62" s="1266"/>
      <c r="DO62" s="1266"/>
      <c r="DP62" s="1266"/>
      <c r="DQ62" s="1266"/>
    </row>
    <row r="63" spans="1:121" ht="13.5" hidden="1" outlineLevel="1">
      <c r="A63" s="1266"/>
      <c r="B63" s="1266"/>
      <c r="C63" s="1266"/>
      <c r="D63" s="1268"/>
      <c r="E63" s="1269"/>
      <c r="F63" s="1268"/>
      <c r="G63" s="1266"/>
      <c r="H63" s="1268"/>
      <c r="I63" s="1270"/>
      <c r="J63" s="1266"/>
      <c r="K63" s="1268"/>
      <c r="L63" s="1269"/>
      <c r="M63" s="1268"/>
      <c r="N63" s="1266"/>
      <c r="O63" s="1268"/>
      <c r="P63" s="1270"/>
      <c r="Q63" s="1268"/>
      <c r="R63" s="1268"/>
      <c r="S63" s="1269"/>
      <c r="T63" s="1268"/>
      <c r="U63" s="1266"/>
      <c r="V63" s="1268"/>
      <c r="W63" s="1270"/>
      <c r="X63" s="1268"/>
      <c r="Y63" s="1268"/>
      <c r="Z63" s="1269"/>
      <c r="AA63" s="1268"/>
      <c r="AB63" s="1266"/>
      <c r="AC63" s="1268"/>
      <c r="AD63" s="1270"/>
      <c r="AE63" s="1268"/>
      <c r="AF63" s="1268"/>
      <c r="AG63" s="1269"/>
      <c r="AH63" s="1270"/>
      <c r="AI63" s="1266"/>
      <c r="AJ63" s="1268"/>
      <c r="AK63" s="1268"/>
      <c r="AL63" s="1268"/>
      <c r="AM63" s="1268"/>
      <c r="AN63" s="1269"/>
      <c r="AO63" s="1268"/>
      <c r="AP63" s="1266"/>
      <c r="AQ63" s="1268"/>
      <c r="AR63" s="1270"/>
      <c r="AS63" s="1268"/>
      <c r="AT63" s="1290"/>
      <c r="AU63" s="1292"/>
      <c r="AV63" s="1293"/>
      <c r="AW63" s="1266"/>
      <c r="AX63" s="1290"/>
      <c r="AY63" s="1291"/>
      <c r="AZ63" s="1293"/>
      <c r="BA63" s="1290"/>
      <c r="BB63" s="1292"/>
      <c r="BC63" s="1293"/>
      <c r="BD63" s="1266"/>
      <c r="BE63" s="1290"/>
      <c r="BF63" s="1291"/>
      <c r="BG63" s="1291"/>
      <c r="BH63" s="1290"/>
      <c r="BI63" s="1292"/>
      <c r="BJ63" s="1293"/>
      <c r="BK63" s="1293"/>
      <c r="BL63" s="1290"/>
      <c r="BM63" s="1291"/>
      <c r="BN63" s="1291"/>
      <c r="BO63" s="1290"/>
      <c r="BP63" s="1292"/>
      <c r="BQ63" s="1293"/>
      <c r="BR63" s="1293"/>
      <c r="BS63" s="1290"/>
      <c r="BT63" s="1291"/>
      <c r="BU63" s="1291"/>
      <c r="BV63" s="1290"/>
      <c r="BW63" s="1292"/>
      <c r="BX63" s="1293"/>
      <c r="BY63" s="1293"/>
      <c r="BZ63" s="1290"/>
      <c r="CA63" s="1291"/>
      <c r="CB63" s="1266"/>
      <c r="CC63" s="1290"/>
      <c r="CD63" s="1292"/>
      <c r="CE63" s="1293"/>
      <c r="CF63" s="1293"/>
      <c r="CG63" s="1290"/>
      <c r="CH63" s="1291"/>
      <c r="CI63" s="1290"/>
      <c r="CJ63" s="1292"/>
      <c r="CK63" s="1293"/>
      <c r="CL63" s="1293"/>
      <c r="CM63" s="1290"/>
      <c r="CN63" s="1291"/>
      <c r="CO63" s="1291"/>
      <c r="CP63" s="1290"/>
      <c r="CQ63" s="1292"/>
      <c r="CR63" s="1293"/>
      <c r="CS63" s="1293"/>
      <c r="CT63" s="1290"/>
      <c r="CU63" s="1291"/>
      <c r="CV63" s="1266"/>
      <c r="CW63" s="1293"/>
      <c r="CX63" s="1266"/>
      <c r="CY63" s="1266"/>
      <c r="CZ63" s="1269"/>
      <c r="DA63" s="1270"/>
      <c r="DB63" s="1293"/>
      <c r="DC63" s="1268"/>
      <c r="DD63" s="1268"/>
      <c r="DE63" s="1266"/>
      <c r="DF63" s="1266"/>
      <c r="DG63" s="1266"/>
      <c r="DH63" s="1266"/>
      <c r="DI63" s="1266"/>
      <c r="DJ63" s="1266"/>
      <c r="DK63" s="1266"/>
      <c r="DL63" s="1266"/>
      <c r="DM63" s="1266"/>
      <c r="DN63" s="1266"/>
      <c r="DO63" s="1266"/>
      <c r="DP63" s="1266"/>
      <c r="DQ63" s="1266"/>
    </row>
    <row r="64" spans="1:121" ht="14.25" hidden="1" outlineLevel="1">
      <c r="A64" s="2119">
        <f>+A56+1</f>
        <v>1996</v>
      </c>
      <c r="B64" s="2119"/>
      <c r="C64" s="1266"/>
      <c r="D64" s="1268"/>
      <c r="E64" s="1269"/>
      <c r="F64" s="1268"/>
      <c r="G64" s="1266"/>
      <c r="H64" s="1268"/>
      <c r="I64" s="1270"/>
      <c r="J64" s="1266"/>
      <c r="K64" s="1268"/>
      <c r="L64" s="1269"/>
      <c r="M64" s="1268"/>
      <c r="N64" s="1266"/>
      <c r="O64" s="1268"/>
      <c r="P64" s="1270"/>
      <c r="Q64" s="1268"/>
      <c r="R64" s="1268"/>
      <c r="S64" s="1269"/>
      <c r="T64" s="1268"/>
      <c r="U64" s="1266"/>
      <c r="V64" s="1268"/>
      <c r="W64" s="1270"/>
      <c r="X64" s="1268"/>
      <c r="Y64" s="1268"/>
      <c r="Z64" s="1269"/>
      <c r="AA64" s="1268"/>
      <c r="AB64" s="1266"/>
      <c r="AC64" s="1268"/>
      <c r="AD64" s="1270"/>
      <c r="AE64" s="1268"/>
      <c r="AF64" s="1268"/>
      <c r="AG64" s="1269"/>
      <c r="AH64" s="1270"/>
      <c r="AI64" s="1266"/>
      <c r="AJ64" s="1268"/>
      <c r="AK64" s="1268"/>
      <c r="AL64" s="1268"/>
      <c r="AM64" s="1268"/>
      <c r="AN64" s="1269"/>
      <c r="AO64" s="1268"/>
      <c r="AP64" s="1266"/>
      <c r="AQ64" s="1268"/>
      <c r="AR64" s="1270"/>
      <c r="AS64" s="1268"/>
      <c r="AT64" s="1290"/>
      <c r="AU64" s="1292"/>
      <c r="AV64" s="1293"/>
      <c r="AW64" s="1266"/>
      <c r="AX64" s="1290"/>
      <c r="AY64" s="1291"/>
      <c r="AZ64" s="1293"/>
      <c r="BA64" s="1290"/>
      <c r="BB64" s="1292"/>
      <c r="BC64" s="1293"/>
      <c r="BD64" s="1266"/>
      <c r="BE64" s="1290"/>
      <c r="BF64" s="1291"/>
      <c r="BG64" s="1291"/>
      <c r="BH64" s="1290"/>
      <c r="BI64" s="1292"/>
      <c r="BJ64" s="1293"/>
      <c r="BK64" s="1293"/>
      <c r="BL64" s="1290"/>
      <c r="BM64" s="1291"/>
      <c r="BN64" s="1291"/>
      <c r="BO64" s="1290"/>
      <c r="BP64" s="1292"/>
      <c r="BQ64" s="1293"/>
      <c r="BR64" s="1293"/>
      <c r="BS64" s="1290"/>
      <c r="BT64" s="1291"/>
      <c r="BU64" s="1291"/>
      <c r="BV64" s="1290"/>
      <c r="BW64" s="1292"/>
      <c r="BX64" s="1293"/>
      <c r="BY64" s="1293"/>
      <c r="BZ64" s="1290"/>
      <c r="CA64" s="1291"/>
      <c r="CB64" s="1266"/>
      <c r="CC64" s="1290"/>
      <c r="CD64" s="1292"/>
      <c r="CE64" s="1293"/>
      <c r="CF64" s="1293"/>
      <c r="CG64" s="1290"/>
      <c r="CH64" s="1291"/>
      <c r="CI64" s="1290"/>
      <c r="CJ64" s="1292"/>
      <c r="CK64" s="1293"/>
      <c r="CL64" s="1293"/>
      <c r="CM64" s="1290"/>
      <c r="CN64" s="1291"/>
      <c r="CO64" s="1291"/>
      <c r="CP64" s="1290"/>
      <c r="CQ64" s="1292"/>
      <c r="CR64" s="1293"/>
      <c r="CS64" s="1293"/>
      <c r="CT64" s="1290"/>
      <c r="CU64" s="1291"/>
      <c r="CV64" s="1266"/>
      <c r="CW64" s="1293"/>
      <c r="CX64" s="1266"/>
      <c r="CY64" s="1266"/>
      <c r="CZ64" s="1269"/>
      <c r="DA64" s="1270"/>
      <c r="DB64" s="1293"/>
      <c r="DC64" s="1268"/>
      <c r="DD64" s="1268"/>
      <c r="DE64" s="1266"/>
      <c r="DF64" s="1266"/>
      <c r="DG64" s="1266"/>
      <c r="DH64" s="1266"/>
      <c r="DI64" s="1266"/>
      <c r="DJ64" s="1266"/>
      <c r="DK64" s="1266"/>
      <c r="DL64" s="1266"/>
      <c r="DM64" s="1266"/>
      <c r="DN64" s="1266"/>
      <c r="DO64" s="1266"/>
      <c r="DP64" s="1266"/>
      <c r="DQ64" s="1266"/>
    </row>
    <row r="65" spans="1:137" ht="13.5" hidden="1" outlineLevel="1">
      <c r="A65" s="1266" t="str">
        <f>$A$17</f>
        <v>1Q</v>
      </c>
      <c r="B65" s="1266" t="str">
        <f>$B$17</f>
        <v>Apr</v>
      </c>
      <c r="C65" s="1266"/>
      <c r="D65" s="1294">
        <f>+K65+R65</f>
        <v>1084</v>
      </c>
      <c r="E65" s="1255">
        <f>+D65-D60</f>
        <v>1</v>
      </c>
      <c r="F65" s="1295">
        <f>+(D65/D57-1)*100</f>
        <v>94.26523297491039</v>
      </c>
      <c r="G65" s="1296">
        <f>+N65+U65</f>
        <v>32.600985915278265</v>
      </c>
      <c r="H65" s="1297"/>
      <c r="I65" s="1295">
        <f>+(G65/G57-1)*100</f>
        <v>107.23489266770004</v>
      </c>
      <c r="J65" s="1266"/>
      <c r="K65" s="1298">
        <v>590</v>
      </c>
      <c r="L65" s="1255">
        <f>+K65-K60</f>
        <v>3</v>
      </c>
      <c r="M65" s="1295">
        <f>+(K65/K57-1)*100</f>
        <v>5.7347670250896154</v>
      </c>
      <c r="N65" s="1296">
        <f>+K65*O$69/1000</f>
        <v>16.950761245674741</v>
      </c>
      <c r="O65" s="1297"/>
      <c r="P65" s="1295">
        <f>+(N65/N57-1)*100</f>
        <v>7.751010859366847</v>
      </c>
      <c r="Q65" s="1299"/>
      <c r="R65" s="1298">
        <v>494</v>
      </c>
      <c r="S65" s="1255">
        <f>+R65-R60</f>
        <v>-2</v>
      </c>
      <c r="T65" s="1295"/>
      <c r="U65" s="1296">
        <f>+R65*V$69/1000</f>
        <v>15.650224669603524</v>
      </c>
      <c r="V65" s="1297"/>
      <c r="W65" s="1295"/>
      <c r="X65" s="1299"/>
      <c r="Y65" s="1298">
        <v>57</v>
      </c>
      <c r="Z65" s="1255">
        <f>+Y65-Y60</f>
        <v>5</v>
      </c>
      <c r="AA65" s="1295">
        <f>+(Y65/Y57-1)*100</f>
        <v>46.153846153846146</v>
      </c>
      <c r="AB65" s="1296">
        <f>+Y65*AC$69/1000</f>
        <v>1.4363999999999999</v>
      </c>
      <c r="AC65" s="1297"/>
      <c r="AD65" s="1295">
        <f>+(AB65/AB57-1)*100</f>
        <v>51.399209486166008</v>
      </c>
      <c r="AE65" s="1299"/>
      <c r="AF65" s="1298">
        <v>9</v>
      </c>
      <c r="AG65" s="1255">
        <f>+AF65-AF60</f>
        <v>0</v>
      </c>
      <c r="AH65" s="1332">
        <f>+(AF65/AF57-1)*100</f>
        <v>50</v>
      </c>
      <c r="AI65" s="1296">
        <f>+AF65*AJ$69/1000</f>
        <v>0.24700000000000003</v>
      </c>
      <c r="AJ65" s="1297"/>
      <c r="AK65" s="1302"/>
      <c r="AL65" s="1299"/>
      <c r="AM65" s="1298">
        <v>23</v>
      </c>
      <c r="AN65" s="1255">
        <f>+AM65-AM60</f>
        <v>1</v>
      </c>
      <c r="AO65" s="1295">
        <f>+(AM65/AM57-1)*100</f>
        <v>21.052631578947366</v>
      </c>
      <c r="AP65" s="1296">
        <f>+AM65*AQ$69/1000</f>
        <v>0.8466190476190476</v>
      </c>
      <c r="AQ65" s="1297"/>
      <c r="AR65" s="1295">
        <f>+(AP65/AP57-1)*100</f>
        <v>17.824007133217656</v>
      </c>
      <c r="AS65" s="1299"/>
      <c r="AT65" s="1300"/>
      <c r="AU65" s="1304"/>
      <c r="AV65" s="1303"/>
      <c r="AW65" s="1296"/>
      <c r="AX65" s="1303"/>
      <c r="AY65" s="1305"/>
      <c r="AZ65" s="1316"/>
      <c r="BA65" s="1300"/>
      <c r="BB65" s="1304"/>
      <c r="BC65" s="1303"/>
      <c r="BD65" s="1296"/>
      <c r="BE65" s="1303"/>
      <c r="BF65" s="1305"/>
      <c r="BG65" s="1305"/>
      <c r="BH65" s="1300"/>
      <c r="BI65" s="1304"/>
      <c r="BJ65" s="1303"/>
      <c r="BK65" s="1300"/>
      <c r="BL65" s="1303"/>
      <c r="BM65" s="1305"/>
      <c r="BN65" s="1305"/>
      <c r="BO65" s="1300"/>
      <c r="BP65" s="1304"/>
      <c r="BQ65" s="1303"/>
      <c r="BR65" s="1300"/>
      <c r="BS65" s="1303"/>
      <c r="BT65" s="1305"/>
      <c r="BU65" s="1305"/>
      <c r="BV65" s="1300"/>
      <c r="BW65" s="1304"/>
      <c r="BX65" s="1303"/>
      <c r="BY65" s="1300"/>
      <c r="BZ65" s="1303"/>
      <c r="CA65" s="1305"/>
      <c r="CB65" s="1299"/>
      <c r="CC65" s="1300"/>
      <c r="CD65" s="1304"/>
      <c r="CE65" s="1303"/>
      <c r="CF65" s="1300"/>
      <c r="CG65" s="1303"/>
      <c r="CH65" s="1305"/>
      <c r="CI65" s="1300"/>
      <c r="CJ65" s="1304"/>
      <c r="CK65" s="1303"/>
      <c r="CL65" s="1300"/>
      <c r="CM65" s="1303"/>
      <c r="CN65" s="1305"/>
      <c r="CO65" s="1305"/>
      <c r="CP65" s="1300"/>
      <c r="CQ65" s="1304"/>
      <c r="CR65" s="1303"/>
      <c r="CS65" s="1300"/>
      <c r="CT65" s="1303"/>
      <c r="CU65" s="1305"/>
      <c r="CV65" s="1299"/>
      <c r="CW65" s="1306">
        <f>+D65+Y65+AF65+AM65+AT65+BA65</f>
        <v>1173</v>
      </c>
      <c r="CX65" s="1307">
        <f>+CW65-CW60</f>
        <v>7</v>
      </c>
      <c r="CY65" s="1295">
        <f>+(CW65/CW57-1)*100</f>
        <v>88.585209003215425</v>
      </c>
      <c r="CZ65" s="1255"/>
      <c r="DA65" s="1308"/>
      <c r="DB65" s="1296">
        <f>+G65+AB65+AI65+AP65+AW65</f>
        <v>35.131004962897315</v>
      </c>
      <c r="DC65" s="1297"/>
      <c r="DD65" s="1302"/>
      <c r="DE65" s="1266"/>
      <c r="DF65" s="1266"/>
      <c r="DG65" s="1266"/>
      <c r="DH65" s="1266"/>
      <c r="DI65" s="1266"/>
      <c r="DJ65" s="1266"/>
      <c r="DK65" s="1266"/>
      <c r="DL65" s="1266"/>
      <c r="DM65" s="1266"/>
      <c r="DN65" s="1266"/>
      <c r="DO65" s="1266"/>
      <c r="DP65" s="1266"/>
      <c r="DQ65" s="1266"/>
    </row>
    <row r="66" spans="1:137" ht="13.5" hidden="1" outlineLevel="1">
      <c r="A66" s="1266" t="str">
        <f>$A$18</f>
        <v>2Q</v>
      </c>
      <c r="B66" s="1266" t="str">
        <f>$B$18</f>
        <v>Jul</v>
      </c>
      <c r="C66" s="1266"/>
      <c r="D66" s="1294">
        <f>+K66+R66</f>
        <v>1046</v>
      </c>
      <c r="E66" s="1255">
        <f>+D66-D65</f>
        <v>-38</v>
      </c>
      <c r="F66" s="1295">
        <f>+(D66/D58-1)*100</f>
        <v>85.13274336283186</v>
      </c>
      <c r="G66" s="1296">
        <f>+N66+U66</f>
        <v>31.420726582625797</v>
      </c>
      <c r="H66" s="1297"/>
      <c r="I66" s="1295">
        <f>+(G66/G58-1)*100</f>
        <v>97.257770878344573</v>
      </c>
      <c r="J66" s="1309"/>
      <c r="K66" s="1300">
        <v>582</v>
      </c>
      <c r="L66" s="1255">
        <f>+K66-K65</f>
        <v>-8</v>
      </c>
      <c r="M66" s="1295">
        <f>+(K66/K58-1)*100</f>
        <v>3.0088495575221197</v>
      </c>
      <c r="N66" s="1296">
        <f>+K66*O$69/1000</f>
        <v>16.720920415224914</v>
      </c>
      <c r="O66" s="1297"/>
      <c r="P66" s="1295">
        <f>+(N66/N58-1)*100</f>
        <v>4.9731131922740035</v>
      </c>
      <c r="Q66" s="1299"/>
      <c r="R66" s="1300">
        <v>464</v>
      </c>
      <c r="S66" s="1255">
        <f>+R66-R65</f>
        <v>-30</v>
      </c>
      <c r="T66" s="1295"/>
      <c r="U66" s="1296">
        <f>+R66*V$69/1000</f>
        <v>14.699806167400881</v>
      </c>
      <c r="V66" s="1297"/>
      <c r="W66" s="1295"/>
      <c r="X66" s="1299"/>
      <c r="Y66" s="1300">
        <v>57</v>
      </c>
      <c r="Z66" s="1255">
        <f>+Y66-Y65</f>
        <v>0</v>
      </c>
      <c r="AA66" s="1295">
        <f>+(Y66/Y58-1)*100</f>
        <v>35.714285714285722</v>
      </c>
      <c r="AB66" s="1296">
        <f>+Y66*AC$69/1000</f>
        <v>1.4363999999999999</v>
      </c>
      <c r="AC66" s="1297"/>
      <c r="AD66" s="1295">
        <f>+(AB66/AB58-1)*100</f>
        <v>40.584980237154156</v>
      </c>
      <c r="AE66" s="1299"/>
      <c r="AF66" s="1300">
        <v>11</v>
      </c>
      <c r="AG66" s="1255">
        <f>+AF66-AF65</f>
        <v>2</v>
      </c>
      <c r="AH66" s="1332">
        <f>+(AF66/AF58-1)*100</f>
        <v>37.5</v>
      </c>
      <c r="AI66" s="1296">
        <f>+AF66*AJ$69/1000</f>
        <v>0.30188888888888893</v>
      </c>
      <c r="AJ66" s="1297"/>
      <c r="AK66" s="1302"/>
      <c r="AL66" s="1299"/>
      <c r="AM66" s="1300">
        <v>23</v>
      </c>
      <c r="AN66" s="1255">
        <f>+AM66-AM65</f>
        <v>0</v>
      </c>
      <c r="AO66" s="1295">
        <f>+(AM66/AM58-1)*100</f>
        <v>4.5454545454545414</v>
      </c>
      <c r="AP66" s="1296">
        <f>+AM66*AQ$69/1000</f>
        <v>0.8466190476190476</v>
      </c>
      <c r="AQ66" s="1297"/>
      <c r="AR66" s="1295">
        <f>+(AP66/AP58-1)*100</f>
        <v>1.75709706959708</v>
      </c>
      <c r="AS66" s="1299"/>
      <c r="AT66" s="1300"/>
      <c r="AU66" s="1304"/>
      <c r="AV66" s="1303"/>
      <c r="AW66" s="1296"/>
      <c r="AX66" s="1303"/>
      <c r="AY66" s="1305"/>
      <c r="AZ66" s="1316"/>
      <c r="BA66" s="1300"/>
      <c r="BB66" s="1304"/>
      <c r="BC66" s="1303"/>
      <c r="BD66" s="1296"/>
      <c r="BE66" s="1303"/>
      <c r="BF66" s="1305"/>
      <c r="BG66" s="1305"/>
      <c r="BH66" s="1300"/>
      <c r="BI66" s="1304"/>
      <c r="BJ66" s="1303"/>
      <c r="BK66" s="1300"/>
      <c r="BL66" s="1303"/>
      <c r="BM66" s="1305"/>
      <c r="BN66" s="1305"/>
      <c r="BO66" s="1300"/>
      <c r="BP66" s="1304"/>
      <c r="BQ66" s="1303"/>
      <c r="BR66" s="1300"/>
      <c r="BS66" s="1303"/>
      <c r="BT66" s="1305"/>
      <c r="BU66" s="1305"/>
      <c r="BV66" s="1300"/>
      <c r="BW66" s="1304"/>
      <c r="BX66" s="1303"/>
      <c r="BY66" s="1300"/>
      <c r="BZ66" s="1303"/>
      <c r="CA66" s="1305"/>
      <c r="CB66" s="1299"/>
      <c r="CC66" s="1300"/>
      <c r="CD66" s="1304"/>
      <c r="CE66" s="1303"/>
      <c r="CF66" s="1300"/>
      <c r="CG66" s="1303"/>
      <c r="CH66" s="1305"/>
      <c r="CI66" s="1300"/>
      <c r="CJ66" s="1304"/>
      <c r="CK66" s="1303"/>
      <c r="CL66" s="1300"/>
      <c r="CM66" s="1303"/>
      <c r="CN66" s="1305"/>
      <c r="CO66" s="1305"/>
      <c r="CP66" s="1300"/>
      <c r="CQ66" s="1304"/>
      <c r="CR66" s="1303"/>
      <c r="CS66" s="1300"/>
      <c r="CT66" s="1303"/>
      <c r="CU66" s="1305"/>
      <c r="CV66" s="1299"/>
      <c r="CW66" s="1306">
        <f>+D66+Y66+AF66+AM66+AT66+BA66</f>
        <v>1137</v>
      </c>
      <c r="CX66" s="1307">
        <f>+CW66-CW65</f>
        <v>-36</v>
      </c>
      <c r="CY66" s="1295">
        <f>+(CW66/CW58-1)*100</f>
        <v>78.492935635792776</v>
      </c>
      <c r="CZ66" s="1255"/>
      <c r="DA66" s="1308"/>
      <c r="DB66" s="1310">
        <f>+G66+AB66+AI66+AP66+AW66</f>
        <v>34.005634519133736</v>
      </c>
      <c r="DC66" s="1297"/>
      <c r="DD66" s="1302"/>
      <c r="DE66" s="1266"/>
      <c r="DF66" s="1266"/>
      <c r="DG66" s="1266"/>
      <c r="DH66" s="1266"/>
      <c r="DI66" s="1266"/>
      <c r="DJ66" s="1266"/>
      <c r="DK66" s="1266"/>
      <c r="DL66" s="1266"/>
      <c r="DM66" s="1266"/>
      <c r="DN66" s="1266"/>
      <c r="DO66" s="1266"/>
      <c r="DP66" s="1266"/>
      <c r="DQ66" s="1266"/>
    </row>
    <row r="67" spans="1:137" ht="13.5" hidden="1" outlineLevel="1">
      <c r="A67" s="1266" t="str">
        <f>$A$19</f>
        <v>3Q</v>
      </c>
      <c r="B67" s="1266" t="str">
        <f>$B$19</f>
        <v>Oct</v>
      </c>
      <c r="C67" s="1266"/>
      <c r="D67" s="1294">
        <f>+K67+R67</f>
        <v>1052</v>
      </c>
      <c r="E67" s="1255">
        <f>+D67-D66</f>
        <v>6</v>
      </c>
      <c r="F67" s="1295">
        <f>+(D67/D59-1)*100</f>
        <v>81.067125645438892</v>
      </c>
      <c r="G67" s="1296">
        <f>+N67+U67</f>
        <v>31.590156692529305</v>
      </c>
      <c r="H67" s="1297"/>
      <c r="I67" s="1295">
        <f>+(G67/G59-1)*100</f>
        <v>92.859924753940447</v>
      </c>
      <c r="J67" s="1266"/>
      <c r="K67" s="1300">
        <v>589</v>
      </c>
      <c r="L67" s="1255">
        <f>+K67-K66</f>
        <v>7</v>
      </c>
      <c r="M67" s="1295">
        <f>+(K67/K59-1)*100</f>
        <v>1.3769363166953541</v>
      </c>
      <c r="N67" s="1296">
        <f>+K67*O$69/1000</f>
        <v>16.922031141868512</v>
      </c>
      <c r="O67" s="1297"/>
      <c r="P67" s="1295">
        <f>+(N67/N59-1)*100</f>
        <v>3.310081189828229</v>
      </c>
      <c r="Q67" s="1299"/>
      <c r="R67" s="1300">
        <v>463</v>
      </c>
      <c r="S67" s="1255">
        <f>+R67-R66</f>
        <v>-1</v>
      </c>
      <c r="T67" s="1295"/>
      <c r="U67" s="1296">
        <f>+R67*V$69/1000</f>
        <v>14.668125550660791</v>
      </c>
      <c r="V67" s="1297"/>
      <c r="W67" s="1295"/>
      <c r="X67" s="1299"/>
      <c r="Y67" s="1300">
        <v>63</v>
      </c>
      <c r="Z67" s="1255">
        <f>+Y67-Y66</f>
        <v>6</v>
      </c>
      <c r="AA67" s="1295">
        <f>+(Y67/Y59-1)*100</f>
        <v>28.57142857142858</v>
      </c>
      <c r="AB67" s="1296">
        <f>+Y67*AC$69/1000</f>
        <v>1.5875999999999999</v>
      </c>
      <c r="AC67" s="1297"/>
      <c r="AD67" s="1295">
        <f>+(AB67/AB59-1)*100</f>
        <v>33.185770750988141</v>
      </c>
      <c r="AE67" s="1299"/>
      <c r="AF67" s="1300">
        <v>18</v>
      </c>
      <c r="AG67" s="1255">
        <f>+AF67-AF66</f>
        <v>7</v>
      </c>
      <c r="AH67" s="1332">
        <f>+(AF67/AF59-1)*100</f>
        <v>125</v>
      </c>
      <c r="AI67" s="1296">
        <f>+AF67*AJ$69/1000</f>
        <v>0.49400000000000005</v>
      </c>
      <c r="AJ67" s="1297"/>
      <c r="AK67" s="1302"/>
      <c r="AL67" s="1299"/>
      <c r="AM67" s="1300">
        <v>23</v>
      </c>
      <c r="AN67" s="1255">
        <f>+AM67-AM66</f>
        <v>0</v>
      </c>
      <c r="AO67" s="1295">
        <f>+(AM67/AM59-1)*100</f>
        <v>-4.1666666666666625</v>
      </c>
      <c r="AP67" s="1296">
        <f>+AM67*AQ$69/1000</f>
        <v>0.8466190476190476</v>
      </c>
      <c r="AQ67" s="1297"/>
      <c r="AR67" s="1295">
        <f>+(AP67/AP59-1)*100</f>
        <v>-6.7226610195360026</v>
      </c>
      <c r="AS67" s="1299"/>
      <c r="AT67" s="1300"/>
      <c r="AU67" s="1304"/>
      <c r="AV67" s="1303"/>
      <c r="AW67" s="1296"/>
      <c r="AX67" s="1303"/>
      <c r="AY67" s="1305"/>
      <c r="AZ67" s="1316"/>
      <c r="BA67" s="1300"/>
      <c r="BB67" s="1304"/>
      <c r="BC67" s="1303"/>
      <c r="BD67" s="1296"/>
      <c r="BE67" s="1303"/>
      <c r="BF67" s="1305"/>
      <c r="BG67" s="1305"/>
      <c r="BH67" s="1300"/>
      <c r="BI67" s="1304"/>
      <c r="BJ67" s="1303"/>
      <c r="BK67" s="1300"/>
      <c r="BL67" s="1303"/>
      <c r="BM67" s="1305"/>
      <c r="BN67" s="1305"/>
      <c r="BO67" s="1300"/>
      <c r="BP67" s="1304"/>
      <c r="BQ67" s="1303"/>
      <c r="BR67" s="1300"/>
      <c r="BS67" s="1303"/>
      <c r="BT67" s="1305"/>
      <c r="BU67" s="1305"/>
      <c r="BV67" s="1300"/>
      <c r="BW67" s="1304"/>
      <c r="BX67" s="1303"/>
      <c r="BY67" s="1300"/>
      <c r="BZ67" s="1303"/>
      <c r="CA67" s="1305"/>
      <c r="CB67" s="1299"/>
      <c r="CC67" s="1300"/>
      <c r="CD67" s="1304"/>
      <c r="CE67" s="1303"/>
      <c r="CF67" s="1300"/>
      <c r="CG67" s="1303"/>
      <c r="CH67" s="1305"/>
      <c r="CI67" s="1300"/>
      <c r="CJ67" s="1304"/>
      <c r="CK67" s="1303"/>
      <c r="CL67" s="1300"/>
      <c r="CM67" s="1303"/>
      <c r="CN67" s="1305"/>
      <c r="CO67" s="1305"/>
      <c r="CP67" s="1300"/>
      <c r="CQ67" s="1304"/>
      <c r="CR67" s="1303"/>
      <c r="CS67" s="1300"/>
      <c r="CT67" s="1303"/>
      <c r="CU67" s="1305"/>
      <c r="CV67" s="1299"/>
      <c r="CW67" s="1306">
        <f>+D67+Y67+AF67+AM67+AT67+BA67</f>
        <v>1156</v>
      </c>
      <c r="CX67" s="1307">
        <f>+CW67-CW66</f>
        <v>19</v>
      </c>
      <c r="CY67" s="1295">
        <f>+(CW67/CW59-1)*100</f>
        <v>74.622356495468267</v>
      </c>
      <c r="CZ67" s="1255"/>
      <c r="DA67" s="1308"/>
      <c r="DB67" s="1310">
        <f>+G67+AB67+AI67+AP67+AW67</f>
        <v>34.518375740148358</v>
      </c>
      <c r="DC67" s="1297"/>
      <c r="DD67" s="1302"/>
      <c r="DE67" s="1266"/>
      <c r="DF67" s="1266"/>
      <c r="DG67" s="1266"/>
      <c r="DH67" s="1266"/>
      <c r="DI67" s="1266"/>
      <c r="DJ67" s="1266"/>
      <c r="DK67" s="1266"/>
      <c r="DL67" s="1266"/>
      <c r="DM67" s="1266"/>
      <c r="DN67" s="1266"/>
      <c r="DO67" s="1266"/>
      <c r="DP67" s="1266"/>
      <c r="DQ67" s="1266"/>
    </row>
    <row r="68" spans="1:137" ht="13.5" hidden="1" outlineLevel="1">
      <c r="A68" s="1266" t="str">
        <f>$A$20</f>
        <v>4Q</v>
      </c>
      <c r="B68" s="1266" t="str">
        <f>$B$20</f>
        <v>Jan</v>
      </c>
      <c r="C68" s="1266"/>
      <c r="D68" s="1312">
        <f>+K68+R68</f>
        <v>1032</v>
      </c>
      <c r="E68" s="1255">
        <f>+D68-D67</f>
        <v>-20</v>
      </c>
      <c r="F68" s="1295">
        <f>+(D68/D60-1)*100</f>
        <v>-4.7091412742382266</v>
      </c>
      <c r="G68" s="1313">
        <f>+N68+U68</f>
        <v>30.989000000000001</v>
      </c>
      <c r="H68" s="1297"/>
      <c r="I68" s="1295">
        <f>+(G68/G60-1)*100</f>
        <v>-4.5728890804951794</v>
      </c>
      <c r="J68" s="1266"/>
      <c r="K68" s="1314">
        <v>578</v>
      </c>
      <c r="L68" s="1255">
        <f>+K68-K67</f>
        <v>-11</v>
      </c>
      <c r="M68" s="1295">
        <f>+(K68/K60-1)*100</f>
        <v>-1.5332197614991494</v>
      </c>
      <c r="N68" s="1313">
        <f>+K68*O$69/1000</f>
        <v>16.606000000000002</v>
      </c>
      <c r="O68" s="1297"/>
      <c r="P68" s="1295">
        <f>+(N68/N60-1)*100</f>
        <v>0.34443168771527422</v>
      </c>
      <c r="Q68" s="1299"/>
      <c r="R68" s="1314">
        <v>454</v>
      </c>
      <c r="S68" s="1255">
        <f>+R68-R67</f>
        <v>-9</v>
      </c>
      <c r="T68" s="1295"/>
      <c r="U68" s="1313">
        <f>+R68*V$69/1000</f>
        <v>14.382999999999999</v>
      </c>
      <c r="V68" s="1297"/>
      <c r="W68" s="1295"/>
      <c r="X68" s="1299"/>
      <c r="Y68" s="1314">
        <v>65</v>
      </c>
      <c r="Z68" s="1255">
        <f>+Y68-Y67</f>
        <v>2</v>
      </c>
      <c r="AA68" s="1295">
        <f>+(Y68/Y60-1)*100</f>
        <v>25</v>
      </c>
      <c r="AB68" s="1313">
        <f>+Y68*AC$69/1000</f>
        <v>1.6379999999999999</v>
      </c>
      <c r="AC68" s="1297"/>
      <c r="AD68" s="1295">
        <f>+(AB68/AB60-1)*100</f>
        <v>29.486166007905148</v>
      </c>
      <c r="AE68" s="1299"/>
      <c r="AF68" s="1314">
        <v>18</v>
      </c>
      <c r="AG68" s="1255">
        <f>+AF68-AF67</f>
        <v>0</v>
      </c>
      <c r="AH68" s="1332">
        <f>+(AF68/AF60-1)*100</f>
        <v>100</v>
      </c>
      <c r="AI68" s="1313">
        <f>+AF68*AJ$69/1000</f>
        <v>0.49400000000000005</v>
      </c>
      <c r="AJ68" s="1297"/>
      <c r="AK68" s="1302"/>
      <c r="AL68" s="1299"/>
      <c r="AM68" s="1314">
        <v>21</v>
      </c>
      <c r="AN68" s="1255">
        <f>+AM68-AM67</f>
        <v>-2</v>
      </c>
      <c r="AO68" s="1295">
        <f>+(AM68/AM60-1)*100</f>
        <v>-4.5454545454545414</v>
      </c>
      <c r="AP68" s="1313">
        <f>+AM68*AQ$69/1000</f>
        <v>0.77300000000000002</v>
      </c>
      <c r="AQ68" s="1297"/>
      <c r="AR68" s="1295">
        <f>+(AP68/AP60-1)*100</f>
        <v>-7.0913461538461338</v>
      </c>
      <c r="AS68" s="1299"/>
      <c r="AT68" s="1300"/>
      <c r="AU68" s="1304"/>
      <c r="AV68" s="1303"/>
      <c r="AW68" s="1313"/>
      <c r="AX68" s="1303"/>
      <c r="AY68" s="1305"/>
      <c r="AZ68" s="1316"/>
      <c r="BA68" s="1300"/>
      <c r="BB68" s="1304"/>
      <c r="BC68" s="1303"/>
      <c r="BD68" s="1313"/>
      <c r="BE68" s="1303"/>
      <c r="BF68" s="1305"/>
      <c r="BG68" s="1305"/>
      <c r="BH68" s="1300"/>
      <c r="BI68" s="1304"/>
      <c r="BJ68" s="1303"/>
      <c r="BK68" s="1294"/>
      <c r="BL68" s="1303"/>
      <c r="BM68" s="1305"/>
      <c r="BN68" s="1305"/>
      <c r="BO68" s="1300"/>
      <c r="BP68" s="1304"/>
      <c r="BQ68" s="1303"/>
      <c r="BR68" s="1294"/>
      <c r="BS68" s="1303"/>
      <c r="BT68" s="1305"/>
      <c r="BU68" s="1305"/>
      <c r="BV68" s="1300"/>
      <c r="BW68" s="1304"/>
      <c r="BX68" s="1303"/>
      <c r="BY68" s="1294"/>
      <c r="BZ68" s="1303"/>
      <c r="CA68" s="1305"/>
      <c r="CB68" s="1299"/>
      <c r="CC68" s="1300"/>
      <c r="CD68" s="1304"/>
      <c r="CE68" s="1303"/>
      <c r="CF68" s="1294"/>
      <c r="CG68" s="1303"/>
      <c r="CH68" s="1305"/>
      <c r="CI68" s="1300"/>
      <c r="CJ68" s="1304"/>
      <c r="CK68" s="1303"/>
      <c r="CL68" s="1294"/>
      <c r="CM68" s="1303"/>
      <c r="CN68" s="1305"/>
      <c r="CO68" s="1305"/>
      <c r="CP68" s="1300"/>
      <c r="CQ68" s="1304"/>
      <c r="CR68" s="1303"/>
      <c r="CS68" s="1294"/>
      <c r="CT68" s="1303"/>
      <c r="CU68" s="1305"/>
      <c r="CV68" s="1299"/>
      <c r="CW68" s="1312">
        <f>+D68+Y68+AF68+AM68+AT68+BA68</f>
        <v>1136</v>
      </c>
      <c r="CX68" s="1307">
        <f>+CW68-CW67</f>
        <v>-20</v>
      </c>
      <c r="CY68" s="1295">
        <f>+(CW68/CW60-1)*100</f>
        <v>-2.5728987993138941</v>
      </c>
      <c r="CZ68" s="1255"/>
      <c r="DA68" s="1308"/>
      <c r="DB68" s="1313">
        <f>+G68+AB68+AI68+AP68+AW68</f>
        <v>33.894000000000005</v>
      </c>
      <c r="DC68" s="1297"/>
      <c r="DD68" s="1302"/>
      <c r="DE68" s="1266"/>
      <c r="DF68" s="1266"/>
      <c r="DG68" s="1266"/>
      <c r="DH68" s="1266"/>
      <c r="DI68" s="1266"/>
      <c r="DJ68" s="1266"/>
      <c r="DK68" s="1266"/>
      <c r="DL68" s="1266"/>
      <c r="DM68" s="1266"/>
      <c r="DN68" s="1266"/>
      <c r="DO68" s="1266"/>
      <c r="DP68" s="1266"/>
      <c r="DQ68" s="1266"/>
    </row>
    <row r="69" spans="1:137" ht="13.5" hidden="1" outlineLevel="1">
      <c r="A69" s="1266"/>
      <c r="B69" s="1266" t="str">
        <f>$B$21</f>
        <v>Year</v>
      </c>
      <c r="C69" s="1266"/>
      <c r="D69" s="1306">
        <v>1032</v>
      </c>
      <c r="E69" s="1317">
        <f>+D69-D61</f>
        <v>-51</v>
      </c>
      <c r="F69" s="1295">
        <f>+(D69/D61-1)*100</f>
        <v>-4.7091412742382266</v>
      </c>
      <c r="G69" s="1296">
        <f>+N69+U69</f>
        <v>30.989000000000001</v>
      </c>
      <c r="H69" s="1297">
        <f>+G69/D69*1000</f>
        <v>30.028100775193799</v>
      </c>
      <c r="I69" s="1295">
        <f>+(G69/G61-1)*100</f>
        <v>-4.5728890804951794</v>
      </c>
      <c r="J69" s="1266"/>
      <c r="K69" s="1306">
        <f>+K68</f>
        <v>578</v>
      </c>
      <c r="L69" s="1317">
        <f>+K69-K61</f>
        <v>-9</v>
      </c>
      <c r="M69" s="1295">
        <f>+(K69/K61-1)*100</f>
        <v>-1.5332197614991494</v>
      </c>
      <c r="N69" s="1318">
        <v>16.606000000000002</v>
      </c>
      <c r="O69" s="1297">
        <f>+N69/K69*1000</f>
        <v>28.730103806228374</v>
      </c>
      <c r="P69" s="1295">
        <f>+(N69/N61-1)*100</f>
        <v>0.34443168771527422</v>
      </c>
      <c r="Q69" s="1299"/>
      <c r="R69" s="1306">
        <f>+R68</f>
        <v>454</v>
      </c>
      <c r="S69" s="1317">
        <f>+R69-R61</f>
        <v>-42</v>
      </c>
      <c r="T69" s="1295">
        <f>+(R69/R61-1)*100</f>
        <v>-8.4677419354838754</v>
      </c>
      <c r="U69" s="1318">
        <v>14.382999999999999</v>
      </c>
      <c r="V69" s="1297">
        <f>+U69/R69*1000</f>
        <v>31.680616740088105</v>
      </c>
      <c r="W69" s="1295">
        <f>+(U69/U61-1)*100</f>
        <v>-9.68288854003141</v>
      </c>
      <c r="X69" s="1299"/>
      <c r="Y69" s="1306">
        <f>+Y68</f>
        <v>65</v>
      </c>
      <c r="Z69" s="1317">
        <f>+Y69-Y61</f>
        <v>13</v>
      </c>
      <c r="AA69" s="1295">
        <f>+(Y69/Y61-1)*100</f>
        <v>25</v>
      </c>
      <c r="AB69" s="1318">
        <v>1.6379999999999999</v>
      </c>
      <c r="AC69" s="1297">
        <f>+AB69/Y69*1000</f>
        <v>25.2</v>
      </c>
      <c r="AD69" s="1295">
        <f>+(AB69/AB61-1)*100</f>
        <v>29.486166007905148</v>
      </c>
      <c r="AE69" s="1299"/>
      <c r="AF69" s="1306">
        <f>+AF68</f>
        <v>18</v>
      </c>
      <c r="AG69" s="1317">
        <f>+AF69-AF61</f>
        <v>9</v>
      </c>
      <c r="AH69" s="1332">
        <f>+(AF69/AF61-1)*100</f>
        <v>100</v>
      </c>
      <c r="AI69" s="1318">
        <v>0.49399999999999999</v>
      </c>
      <c r="AJ69" s="1297">
        <f>+AI69/AF69*1000</f>
        <v>27.444444444444446</v>
      </c>
      <c r="AK69" s="1295"/>
      <c r="AL69" s="1299"/>
      <c r="AM69" s="1306">
        <f>+AM68</f>
        <v>21</v>
      </c>
      <c r="AN69" s="1317">
        <f>+AM69-AM61</f>
        <v>-1</v>
      </c>
      <c r="AO69" s="1295">
        <f>+(AM69/AM61-1)*100</f>
        <v>-4.5454545454545414</v>
      </c>
      <c r="AP69" s="1318">
        <v>0.77300000000000002</v>
      </c>
      <c r="AQ69" s="1297">
        <f>+AP69/AM69*1000</f>
        <v>36.80952380952381</v>
      </c>
      <c r="AR69" s="1295">
        <f>+(AP69/AP61-1)*100</f>
        <v>-7.0913461538461453</v>
      </c>
      <c r="AS69" s="1299"/>
      <c r="AT69" s="1294"/>
      <c r="AU69" s="1320"/>
      <c r="AV69" s="1305"/>
      <c r="AW69" s="1318"/>
      <c r="AX69" s="1303"/>
      <c r="AY69" s="1305"/>
      <c r="AZ69" s="1316"/>
      <c r="BA69" s="1294"/>
      <c r="BB69" s="1320"/>
      <c r="BC69" s="1303"/>
      <c r="BD69" s="1318"/>
      <c r="BE69" s="1303"/>
      <c r="BF69" s="1305"/>
      <c r="BG69" s="1305"/>
      <c r="BH69" s="1294"/>
      <c r="BI69" s="1320"/>
      <c r="BJ69" s="1303"/>
      <c r="BK69" s="1300"/>
      <c r="BL69" s="1303"/>
      <c r="BM69" s="1305"/>
      <c r="BN69" s="1305"/>
      <c r="BO69" s="1294"/>
      <c r="BP69" s="1320"/>
      <c r="BQ69" s="1303"/>
      <c r="BR69" s="1300"/>
      <c r="BS69" s="1303"/>
      <c r="BT69" s="1305"/>
      <c r="BU69" s="1305"/>
      <c r="BV69" s="1294"/>
      <c r="BW69" s="1320"/>
      <c r="BX69" s="1303"/>
      <c r="BY69" s="1300"/>
      <c r="BZ69" s="1303"/>
      <c r="CA69" s="1305"/>
      <c r="CB69" s="1299"/>
      <c r="CC69" s="1294"/>
      <c r="CD69" s="1320"/>
      <c r="CE69" s="1303"/>
      <c r="CF69" s="1300"/>
      <c r="CG69" s="1303"/>
      <c r="CH69" s="1305"/>
      <c r="CI69" s="1294"/>
      <c r="CJ69" s="1320"/>
      <c r="CK69" s="1303"/>
      <c r="CL69" s="1300"/>
      <c r="CM69" s="1303"/>
      <c r="CN69" s="1305"/>
      <c r="CO69" s="1305"/>
      <c r="CP69" s="1294"/>
      <c r="CQ69" s="1320"/>
      <c r="CR69" s="1303"/>
      <c r="CS69" s="1300"/>
      <c r="CT69" s="1303"/>
      <c r="CU69" s="1305"/>
      <c r="CV69" s="1299"/>
      <c r="CW69" s="1306">
        <f>+D69+Y69+AF69+AM69+AT69+BA69</f>
        <v>1136</v>
      </c>
      <c r="CX69" s="1317">
        <f>+CW69-CW61</f>
        <v>-30</v>
      </c>
      <c r="CY69" s="1295">
        <f>+(CW69/CW61-1)*100</f>
        <v>-2.5728987993138941</v>
      </c>
      <c r="CZ69" s="1317"/>
      <c r="DA69" s="1330"/>
      <c r="DB69" s="1296">
        <f>+G69+AB69+AI69+AP69+AW69</f>
        <v>33.894000000000005</v>
      </c>
      <c r="DC69" s="1297"/>
      <c r="DD69" s="1302"/>
      <c r="DE69" s="1266"/>
      <c r="DF69" s="1266"/>
      <c r="DG69" s="1266"/>
      <c r="DH69" s="1266"/>
      <c r="DI69" s="1266"/>
      <c r="DJ69" s="1266"/>
      <c r="DK69" s="1266"/>
      <c r="DL69" s="1266"/>
      <c r="DM69" s="1266"/>
      <c r="DN69" s="1266"/>
      <c r="DO69" s="1266"/>
      <c r="DP69" s="1266"/>
      <c r="DQ69" s="1266"/>
    </row>
    <row r="70" spans="1:137" ht="13.5" hidden="1" outlineLevel="1">
      <c r="A70" s="1266"/>
      <c r="B70" s="1266" t="s">
        <v>646</v>
      </c>
      <c r="C70" s="1266"/>
      <c r="D70" s="1306"/>
      <c r="E70" s="1317"/>
      <c r="F70" s="1323"/>
      <c r="G70" s="1296"/>
      <c r="H70" s="1297"/>
      <c r="I70" s="1295"/>
      <c r="J70" s="1266"/>
      <c r="K70" s="1306"/>
      <c r="L70" s="1256">
        <v>21</v>
      </c>
      <c r="M70" s="1324">
        <v>-30</v>
      </c>
      <c r="N70" s="1325" t="str">
        <f>IF(SUM(L70:M70)=L69,"","N")</f>
        <v/>
      </c>
      <c r="O70" s="1297"/>
      <c r="P70" s="1295"/>
      <c r="Q70" s="1299"/>
      <c r="R70" s="1306"/>
      <c r="S70" s="1256">
        <v>11</v>
      </c>
      <c r="T70" s="1324">
        <v>-53</v>
      </c>
      <c r="U70" s="1325" t="str">
        <f>IF(SUM(S70:T70)=S69,"","N")</f>
        <v/>
      </c>
      <c r="V70" s="1297"/>
      <c r="W70" s="1295"/>
      <c r="X70" s="1299"/>
      <c r="Y70" s="1306"/>
      <c r="Z70" s="1256">
        <v>13</v>
      </c>
      <c r="AA70" s="1324">
        <v>0</v>
      </c>
      <c r="AB70" s="1325" t="str">
        <f>IF(SUM(Z70:AA70)=Z69,"","N")</f>
        <v/>
      </c>
      <c r="AC70" s="1297"/>
      <c r="AD70" s="1295"/>
      <c r="AE70" s="1299"/>
      <c r="AF70" s="1306"/>
      <c r="AG70" s="1256">
        <v>9</v>
      </c>
      <c r="AH70" s="1324">
        <v>0</v>
      </c>
      <c r="AI70" s="1325" t="str">
        <f>IF(SUM(AG70:AH70)=AG69,"","N")</f>
        <v/>
      </c>
      <c r="AJ70" s="1297"/>
      <c r="AK70" s="1295"/>
      <c r="AL70" s="1299"/>
      <c r="AM70" s="1306"/>
      <c r="AN70" s="1256">
        <v>1</v>
      </c>
      <c r="AO70" s="1324">
        <v>-2</v>
      </c>
      <c r="AP70" s="1325" t="str">
        <f>IF(SUM(AN70:AO70)=AN69,"","N")</f>
        <v/>
      </c>
      <c r="AQ70" s="1297"/>
      <c r="AR70" s="1295"/>
      <c r="AS70" s="1299"/>
      <c r="AT70" s="1294"/>
      <c r="AU70" s="1326"/>
      <c r="AV70" s="1327"/>
      <c r="AW70" s="1325"/>
      <c r="AX70" s="1303"/>
      <c r="AY70" s="1305"/>
      <c r="AZ70" s="1316"/>
      <c r="BA70" s="1294"/>
      <c r="BB70" s="1256"/>
      <c r="BC70" s="1324"/>
      <c r="BD70" s="1325"/>
      <c r="BE70" s="1303"/>
      <c r="BF70" s="1305"/>
      <c r="BG70" s="1305"/>
      <c r="BH70" s="1294"/>
      <c r="BI70" s="1256"/>
      <c r="BJ70" s="1324"/>
      <c r="BK70" s="1300"/>
      <c r="BL70" s="1303"/>
      <c r="BM70" s="1305"/>
      <c r="BN70" s="1305"/>
      <c r="BO70" s="1294"/>
      <c r="BP70" s="1256"/>
      <c r="BQ70" s="1324"/>
      <c r="BR70" s="1300"/>
      <c r="BS70" s="1303"/>
      <c r="BT70" s="1305"/>
      <c r="BU70" s="1305"/>
      <c r="BV70" s="1294"/>
      <c r="BW70" s="1256"/>
      <c r="BX70" s="1324"/>
      <c r="BY70" s="1300"/>
      <c r="BZ70" s="1303"/>
      <c r="CA70" s="1305"/>
      <c r="CB70" s="1299"/>
      <c r="CC70" s="1294"/>
      <c r="CD70" s="1256"/>
      <c r="CE70" s="1324"/>
      <c r="CF70" s="1300"/>
      <c r="CG70" s="1303"/>
      <c r="CH70" s="1305"/>
      <c r="CI70" s="1294"/>
      <c r="CJ70" s="1256"/>
      <c r="CK70" s="1324"/>
      <c r="CL70" s="1300"/>
      <c r="CM70" s="1303"/>
      <c r="CN70" s="1305"/>
      <c r="CO70" s="1305"/>
      <c r="CP70" s="1294"/>
      <c r="CQ70" s="1256"/>
      <c r="CR70" s="1324"/>
      <c r="CS70" s="1300"/>
      <c r="CT70" s="1303"/>
      <c r="CU70" s="1305"/>
      <c r="CV70" s="1299"/>
      <c r="CW70" s="1306"/>
      <c r="CX70" s="1317">
        <f>+L70+S70+Z70+AG70+AN70+AU70</f>
        <v>55</v>
      </c>
      <c r="CY70" s="1323">
        <f>+M70+T70+AA70+AH70+AO70+AV70</f>
        <v>-85</v>
      </c>
      <c r="CZ70" s="1320"/>
      <c r="DA70" s="1322"/>
      <c r="DB70" s="1296"/>
      <c r="DC70" s="1297"/>
      <c r="DD70" s="1302"/>
      <c r="DE70" s="1266"/>
      <c r="DF70" s="1266"/>
      <c r="DG70" s="1266"/>
      <c r="DH70" s="1266"/>
      <c r="DI70" s="1266"/>
      <c r="DJ70" s="1266"/>
      <c r="DK70" s="1266"/>
      <c r="DL70" s="1266"/>
      <c r="DM70" s="1266"/>
      <c r="DN70" s="1266"/>
      <c r="DO70" s="1266"/>
      <c r="DP70" s="1266"/>
      <c r="DQ70" s="1266"/>
    </row>
    <row r="71" spans="1:137" ht="13.5" hidden="1" outlineLevel="1">
      <c r="A71" s="1266"/>
      <c r="B71" s="1266"/>
      <c r="C71" s="1266"/>
      <c r="D71" s="1268"/>
      <c r="E71" s="1269"/>
      <c r="F71" s="1268"/>
      <c r="G71" s="1266"/>
      <c r="H71" s="1268"/>
      <c r="I71" s="1270"/>
      <c r="J71" s="1266"/>
      <c r="K71" s="1268"/>
      <c r="L71" s="1269"/>
      <c r="M71" s="1268"/>
      <c r="N71" s="1266"/>
      <c r="O71" s="1268"/>
      <c r="P71" s="1270"/>
      <c r="Q71" s="1268"/>
      <c r="R71" s="1268"/>
      <c r="S71" s="1269"/>
      <c r="T71" s="1268"/>
      <c r="U71" s="1266"/>
      <c r="V71" s="1268"/>
      <c r="W71" s="1270"/>
      <c r="X71" s="1268"/>
      <c r="Y71" s="1268"/>
      <c r="Z71" s="1269"/>
      <c r="AA71" s="1268"/>
      <c r="AB71" s="1266"/>
      <c r="AC71" s="1268"/>
      <c r="AD71" s="1270"/>
      <c r="AE71" s="1268"/>
      <c r="AF71" s="1268"/>
      <c r="AG71" s="1269"/>
      <c r="AH71" s="1270"/>
      <c r="AI71" s="1266"/>
      <c r="AJ71" s="1268"/>
      <c r="AK71" s="1268"/>
      <c r="AL71" s="1268"/>
      <c r="AM71" s="1268"/>
      <c r="AN71" s="1269"/>
      <c r="AO71" s="1268"/>
      <c r="AP71" s="1266"/>
      <c r="AQ71" s="1268"/>
      <c r="AR71" s="1270"/>
      <c r="AS71" s="1268"/>
      <c r="AT71" s="1290"/>
      <c r="AU71" s="1292"/>
      <c r="AV71" s="1293"/>
      <c r="AW71" s="1266"/>
      <c r="AX71" s="1290"/>
      <c r="AY71" s="1291"/>
      <c r="AZ71" s="1293"/>
      <c r="BA71" s="1290"/>
      <c r="BB71" s="1292"/>
      <c r="BC71" s="1293"/>
      <c r="BD71" s="1266"/>
      <c r="BE71" s="1290"/>
      <c r="BF71" s="1291"/>
      <c r="BG71" s="1291"/>
      <c r="BH71" s="1290"/>
      <c r="BI71" s="1292"/>
      <c r="BJ71" s="1293"/>
      <c r="BK71" s="1293"/>
      <c r="BL71" s="1290"/>
      <c r="BM71" s="1291"/>
      <c r="BN71" s="1291"/>
      <c r="BO71" s="1290"/>
      <c r="BP71" s="1292"/>
      <c r="BQ71" s="1293"/>
      <c r="BR71" s="1293"/>
      <c r="BS71" s="1290"/>
      <c r="BT71" s="1291"/>
      <c r="BU71" s="1291"/>
      <c r="BV71" s="1290"/>
      <c r="BW71" s="1292"/>
      <c r="BX71" s="1293"/>
      <c r="BY71" s="1293"/>
      <c r="BZ71" s="1290"/>
      <c r="CA71" s="1291"/>
      <c r="CB71" s="1266"/>
      <c r="CC71" s="1290"/>
      <c r="CD71" s="1292"/>
      <c r="CE71" s="1293"/>
      <c r="CF71" s="1293"/>
      <c r="CG71" s="1290"/>
      <c r="CH71" s="1291"/>
      <c r="CI71" s="1290"/>
      <c r="CJ71" s="1292"/>
      <c r="CK71" s="1293"/>
      <c r="CL71" s="1293"/>
      <c r="CM71" s="1290"/>
      <c r="CN71" s="1291"/>
      <c r="CO71" s="1291"/>
      <c r="CP71" s="1290"/>
      <c r="CQ71" s="1292"/>
      <c r="CR71" s="1293"/>
      <c r="CS71" s="1293"/>
      <c r="CT71" s="1290"/>
      <c r="CU71" s="1291"/>
      <c r="CV71" s="1266"/>
      <c r="CW71" s="1293"/>
      <c r="CX71" s="1266"/>
      <c r="CY71" s="1266"/>
      <c r="CZ71" s="1269"/>
      <c r="DA71" s="1270"/>
      <c r="DB71" s="1293"/>
      <c r="DC71" s="1268"/>
      <c r="DD71" s="1268"/>
      <c r="DE71" s="1266"/>
      <c r="DF71" s="1266"/>
      <c r="DG71" s="1266"/>
      <c r="DH71" s="1266"/>
      <c r="DI71" s="1266"/>
      <c r="DJ71" s="1266"/>
      <c r="DK71" s="1266"/>
      <c r="DL71" s="1266"/>
      <c r="DM71" s="1266"/>
      <c r="DN71" s="1266"/>
      <c r="DO71" s="1266"/>
      <c r="DP71" s="1266"/>
      <c r="DQ71" s="1266"/>
      <c r="ED71" s="451" t="s">
        <v>414</v>
      </c>
      <c r="EE71" s="451" t="s">
        <v>423</v>
      </c>
      <c r="EF71" s="451" t="s">
        <v>362</v>
      </c>
      <c r="EG71" s="451" t="s">
        <v>167</v>
      </c>
    </row>
    <row r="72" spans="1:137" ht="14.25" hidden="1" outlineLevel="1">
      <c r="A72" s="2119">
        <f>+A64+1</f>
        <v>1997</v>
      </c>
      <c r="B72" s="2119"/>
      <c r="C72" s="1266"/>
      <c r="D72" s="1268"/>
      <c r="E72" s="1269"/>
      <c r="F72" s="1268"/>
      <c r="G72" s="1266"/>
      <c r="H72" s="1268"/>
      <c r="I72" s="1270"/>
      <c r="J72" s="1266"/>
      <c r="K72" s="1268"/>
      <c r="L72" s="1269"/>
      <c r="M72" s="1268"/>
      <c r="N72" s="1266"/>
      <c r="O72" s="1268"/>
      <c r="P72" s="1270"/>
      <c r="Q72" s="1268"/>
      <c r="R72" s="1268"/>
      <c r="S72" s="1269"/>
      <c r="T72" s="1268"/>
      <c r="U72" s="1266"/>
      <c r="V72" s="1268"/>
      <c r="W72" s="1270"/>
      <c r="X72" s="1268"/>
      <c r="Y72" s="1268"/>
      <c r="Z72" s="1269"/>
      <c r="AA72" s="1268"/>
      <c r="AB72" s="1266"/>
      <c r="AC72" s="1268"/>
      <c r="AD72" s="1270"/>
      <c r="AE72" s="1268"/>
      <c r="AF72" s="1268"/>
      <c r="AG72" s="1269"/>
      <c r="AH72" s="1270"/>
      <c r="AI72" s="1266"/>
      <c r="AJ72" s="1268"/>
      <c r="AK72" s="1268"/>
      <c r="AL72" s="1268"/>
      <c r="AM72" s="1268"/>
      <c r="AN72" s="1269"/>
      <c r="AO72" s="1268"/>
      <c r="AP72" s="1266"/>
      <c r="AQ72" s="1268"/>
      <c r="AR72" s="1270"/>
      <c r="AS72" s="1268"/>
      <c r="AT72" s="1290"/>
      <c r="AU72" s="1292"/>
      <c r="AV72" s="1293"/>
      <c r="AW72" s="1266"/>
      <c r="AX72" s="1290"/>
      <c r="AY72" s="1291"/>
      <c r="AZ72" s="1293"/>
      <c r="BA72" s="1290"/>
      <c r="BB72" s="1292"/>
      <c r="BC72" s="1293"/>
      <c r="BD72" s="1266"/>
      <c r="BE72" s="1290"/>
      <c r="BF72" s="1291"/>
      <c r="BG72" s="1291"/>
      <c r="BH72" s="1290"/>
      <c r="BI72" s="1292"/>
      <c r="BJ72" s="1293"/>
      <c r="BK72" s="1293"/>
      <c r="BL72" s="1290"/>
      <c r="BM72" s="1291"/>
      <c r="BN72" s="1291"/>
      <c r="BO72" s="1290"/>
      <c r="BP72" s="1292"/>
      <c r="BQ72" s="1293"/>
      <c r="BR72" s="1293"/>
      <c r="BS72" s="1290"/>
      <c r="BT72" s="1291"/>
      <c r="BU72" s="1291"/>
      <c r="BV72" s="1290"/>
      <c r="BW72" s="1292"/>
      <c r="BX72" s="1293"/>
      <c r="BY72" s="1293"/>
      <c r="BZ72" s="1290"/>
      <c r="CA72" s="1291"/>
      <c r="CB72" s="1266"/>
      <c r="CC72" s="1290"/>
      <c r="CD72" s="1292"/>
      <c r="CE72" s="1293"/>
      <c r="CF72" s="1293"/>
      <c r="CG72" s="1290"/>
      <c r="CH72" s="1291"/>
      <c r="CI72" s="1290"/>
      <c r="CJ72" s="1292"/>
      <c r="CK72" s="1293"/>
      <c r="CL72" s="1293"/>
      <c r="CM72" s="1290"/>
      <c r="CN72" s="1291"/>
      <c r="CO72" s="1291"/>
      <c r="CP72" s="1290"/>
      <c r="CQ72" s="1292"/>
      <c r="CR72" s="1293"/>
      <c r="CS72" s="1293"/>
      <c r="CT72" s="1290"/>
      <c r="CU72" s="1291"/>
      <c r="CV72" s="1266"/>
      <c r="CW72" s="1293"/>
      <c r="CX72" s="1266"/>
      <c r="CY72" s="1266"/>
      <c r="CZ72" s="1269"/>
      <c r="DA72" s="1270"/>
      <c r="DB72" s="1293"/>
      <c r="DC72" s="1268"/>
      <c r="DD72" s="1268"/>
      <c r="DE72" s="1266"/>
      <c r="DF72" s="1266"/>
      <c r="DG72" s="1266"/>
      <c r="DH72" s="1266"/>
      <c r="DI72" s="1266"/>
      <c r="DJ72" s="1266"/>
      <c r="DK72" s="1266"/>
      <c r="DL72" s="1266"/>
      <c r="DM72" s="1266"/>
      <c r="DN72" s="1266"/>
      <c r="DO72" s="1266"/>
      <c r="DP72" s="1266"/>
      <c r="DQ72" s="1266"/>
      <c r="DS72" s="451" t="s">
        <v>415</v>
      </c>
      <c r="DT72" s="451" t="s">
        <v>513</v>
      </c>
      <c r="DU72" s="451" t="s">
        <v>416</v>
      </c>
      <c r="DV72" s="451" t="s">
        <v>417</v>
      </c>
      <c r="DW72" s="451" t="s">
        <v>372</v>
      </c>
      <c r="DX72" s="451" t="s">
        <v>418</v>
      </c>
      <c r="DY72" s="451" t="s">
        <v>420</v>
      </c>
      <c r="DZ72" s="451" t="s">
        <v>421</v>
      </c>
      <c r="EA72" s="451" t="s">
        <v>422</v>
      </c>
      <c r="EB72" s="451" t="s">
        <v>419</v>
      </c>
    </row>
    <row r="73" spans="1:137" ht="13.5" hidden="1" outlineLevel="1">
      <c r="A73" s="1266" t="str">
        <f>$A$17</f>
        <v>1Q</v>
      </c>
      <c r="B73" s="1266" t="str">
        <f>$B$17</f>
        <v>Apr</v>
      </c>
      <c r="C73" s="1266"/>
      <c r="D73" s="1294">
        <f>+K73+R73</f>
        <v>1034</v>
      </c>
      <c r="E73" s="1255">
        <f>+D73-D68</f>
        <v>2</v>
      </c>
      <c r="F73" s="1295">
        <f>+(D73/D65-1)*100</f>
        <v>-4.6125461254612592</v>
      </c>
      <c r="G73" s="1296">
        <f>+N73+U73</f>
        <v>31.073</v>
      </c>
      <c r="H73" s="1297"/>
      <c r="I73" s="1295">
        <f>+(G73/G65-1)*100</f>
        <v>-4.6869316138141155</v>
      </c>
      <c r="J73" s="1266"/>
      <c r="K73" s="1298">
        <v>577</v>
      </c>
      <c r="L73" s="1255">
        <f>+K73-K68</f>
        <v>-1</v>
      </c>
      <c r="M73" s="1295">
        <f>+(K73/K65-1)*100</f>
        <v>-2.2033898305084731</v>
      </c>
      <c r="N73" s="1318">
        <v>16.591000000000001</v>
      </c>
      <c r="O73" s="1297"/>
      <c r="P73" s="1295">
        <f>+(N73/N65-1)*100</f>
        <v>-2.1223899060376361</v>
      </c>
      <c r="Q73" s="1299"/>
      <c r="R73" s="1298">
        <v>457</v>
      </c>
      <c r="S73" s="1255">
        <f>+R73-R68</f>
        <v>3</v>
      </c>
      <c r="T73" s="1295">
        <f>+(R73/R65-1)*100</f>
        <v>-7.4898785425101195</v>
      </c>
      <c r="U73" s="1318">
        <v>14.481999999999999</v>
      </c>
      <c r="V73" s="1297"/>
      <c r="W73" s="1295">
        <f>+(U73/U65-1)*100</f>
        <v>-7.4645872137062419</v>
      </c>
      <c r="X73" s="1299"/>
      <c r="Y73" s="1298">
        <v>68</v>
      </c>
      <c r="Z73" s="1255">
        <f>+Y73-Y68</f>
        <v>3</v>
      </c>
      <c r="AA73" s="1295">
        <f>+(Y73/Y65-1)*100</f>
        <v>19.298245614035082</v>
      </c>
      <c r="AB73" s="1318">
        <v>1.7030000000000001</v>
      </c>
      <c r="AC73" s="1297"/>
      <c r="AD73" s="1295">
        <f>+(AB73/AB65-1)*100</f>
        <v>18.560289612921199</v>
      </c>
      <c r="AE73" s="1299"/>
      <c r="AF73" s="1298">
        <v>20</v>
      </c>
      <c r="AG73" s="1255">
        <f>+AF73-AF68</f>
        <v>2</v>
      </c>
      <c r="AH73" s="1295">
        <f>+(AF73/AF65-1)*100</f>
        <v>122.22222222222223</v>
      </c>
      <c r="AI73" s="1318">
        <v>0.53600000000000003</v>
      </c>
      <c r="AJ73" s="1297"/>
      <c r="AK73" s="1302"/>
      <c r="AL73" s="1299"/>
      <c r="AM73" s="1298">
        <v>21</v>
      </c>
      <c r="AN73" s="1255">
        <f>+AM73-AM68</f>
        <v>0</v>
      </c>
      <c r="AO73" s="1295">
        <f>+(AM73/AM65-1)*100</f>
        <v>-8.6956521739130483</v>
      </c>
      <c r="AP73" s="1318">
        <v>0.77300000000000002</v>
      </c>
      <c r="AQ73" s="1297"/>
      <c r="AR73" s="1295">
        <f>+(AP73/AP65-1)*100</f>
        <v>-8.6956521739130377</v>
      </c>
      <c r="AS73" s="1299"/>
      <c r="AT73" s="1300"/>
      <c r="AU73" s="1304"/>
      <c r="AV73" s="1303"/>
      <c r="AW73" s="1318"/>
      <c r="AX73" s="1303"/>
      <c r="AY73" s="1305"/>
      <c r="AZ73" s="1316"/>
      <c r="BA73" s="1300"/>
      <c r="BB73" s="1304"/>
      <c r="BC73" s="1303"/>
      <c r="BD73" s="1318"/>
      <c r="BE73" s="1303"/>
      <c r="BF73" s="1305"/>
      <c r="BG73" s="1305"/>
      <c r="BH73" s="1300"/>
      <c r="BI73" s="1304"/>
      <c r="BJ73" s="1303"/>
      <c r="BK73" s="1300"/>
      <c r="BL73" s="1303"/>
      <c r="BM73" s="1305"/>
      <c r="BN73" s="1305"/>
      <c r="BO73" s="1300"/>
      <c r="BP73" s="1304"/>
      <c r="BQ73" s="1303"/>
      <c r="BR73" s="1300"/>
      <c r="BS73" s="1303"/>
      <c r="BT73" s="1305"/>
      <c r="BU73" s="1305"/>
      <c r="BV73" s="1300"/>
      <c r="BW73" s="1304"/>
      <c r="BX73" s="1303"/>
      <c r="BY73" s="1300"/>
      <c r="BZ73" s="1303"/>
      <c r="CA73" s="1305"/>
      <c r="CB73" s="1299"/>
      <c r="CC73" s="1300"/>
      <c r="CD73" s="1304"/>
      <c r="CE73" s="1303"/>
      <c r="CF73" s="1300"/>
      <c r="CG73" s="1303"/>
      <c r="CH73" s="1305"/>
      <c r="CI73" s="1300"/>
      <c r="CJ73" s="1304"/>
      <c r="CK73" s="1303"/>
      <c r="CL73" s="1300"/>
      <c r="CM73" s="1303"/>
      <c r="CN73" s="1305"/>
      <c r="CO73" s="1305"/>
      <c r="CP73" s="1300"/>
      <c r="CQ73" s="1304"/>
      <c r="CR73" s="1303"/>
      <c r="CS73" s="1300"/>
      <c r="CT73" s="1303"/>
      <c r="CU73" s="1305"/>
      <c r="CV73" s="1299"/>
      <c r="CW73" s="1306">
        <f>+D73+Y73+AF73+AM73+AT73+BA73</f>
        <v>1143</v>
      </c>
      <c r="CX73" s="1307">
        <f>+CW73-CW68</f>
        <v>7</v>
      </c>
      <c r="CY73" s="1295">
        <f>+(CW73/CW65-1)*100</f>
        <v>-2.5575447570332477</v>
      </c>
      <c r="CZ73" s="1255"/>
      <c r="DA73" s="1308"/>
      <c r="DB73" s="1296">
        <f>+G73+AB73+AI73+AP73+AW73</f>
        <v>34.085000000000008</v>
      </c>
      <c r="DC73" s="1297"/>
      <c r="DD73" s="1302"/>
      <c r="DE73" s="1266"/>
      <c r="DF73" s="1266"/>
      <c r="DG73" s="1266"/>
      <c r="DH73" s="1266"/>
      <c r="DI73" s="1266"/>
      <c r="DJ73" s="1266"/>
      <c r="DK73" s="1266"/>
      <c r="DL73" s="1266"/>
      <c r="DM73" s="1266"/>
      <c r="DN73" s="1266"/>
      <c r="DO73" s="1266"/>
      <c r="DP73" s="1266"/>
      <c r="DQ73" s="1266"/>
      <c r="DS73" s="1333">
        <f>+L73</f>
        <v>-1</v>
      </c>
      <c r="DT73" s="1333">
        <f>+S73</f>
        <v>3</v>
      </c>
      <c r="DU73" s="1333">
        <f>+Z73</f>
        <v>3</v>
      </c>
      <c r="DV73" s="1333">
        <f>+AG73</f>
        <v>2</v>
      </c>
      <c r="DW73" s="1333">
        <f>+AN73</f>
        <v>0</v>
      </c>
      <c r="DX73" s="1333">
        <f>+AU73</f>
        <v>0</v>
      </c>
      <c r="DY73" s="1333">
        <f>+BB73</f>
        <v>0</v>
      </c>
      <c r="DZ73" s="1333">
        <f>+BI73</f>
        <v>0</v>
      </c>
      <c r="EA73" s="1333">
        <f>+BP73</f>
        <v>0</v>
      </c>
      <c r="EB73" s="1333">
        <f>+CD73</f>
        <v>0</v>
      </c>
      <c r="ED73" s="451">
        <f>-(SUMIF(DS73:EB73,"&lt;0"))</f>
        <v>1</v>
      </c>
      <c r="EE73" s="451">
        <f>(SUMIF(DS73:EB73,"&gt;0"))</f>
        <v>8</v>
      </c>
      <c r="EF73" s="451">
        <f>+EE73-ED73</f>
        <v>7</v>
      </c>
      <c r="EG73" s="1333">
        <f>+EF73-CX73</f>
        <v>0</v>
      </c>
    </row>
    <row r="74" spans="1:137" ht="13.5" hidden="1" outlineLevel="1">
      <c r="A74" s="1266" t="str">
        <f>$A$18</f>
        <v>2Q</v>
      </c>
      <c r="B74" s="1266" t="str">
        <f>$B$18</f>
        <v>Jul</v>
      </c>
      <c r="C74" s="1266"/>
      <c r="D74" s="1294">
        <f>+K74+R74</f>
        <v>1031</v>
      </c>
      <c r="E74" s="1255">
        <f>+D74-D73</f>
        <v>-3</v>
      </c>
      <c r="F74" s="1295">
        <f>+(D74/D66-1)*100</f>
        <v>-1.4340344168260022</v>
      </c>
      <c r="G74" s="1296">
        <f>+N74+U74</f>
        <v>30.991</v>
      </c>
      <c r="H74" s="1297"/>
      <c r="I74" s="1295">
        <f>+(G74/G66-1)*100</f>
        <v>-1.3676532320020085</v>
      </c>
      <c r="J74" s="1309"/>
      <c r="K74" s="1300">
        <v>578</v>
      </c>
      <c r="L74" s="1255">
        <f>+K74-K73</f>
        <v>1</v>
      </c>
      <c r="M74" s="1295">
        <f>+(K74/K66-1)*100</f>
        <v>-0.68728522336769515</v>
      </c>
      <c r="N74" s="1318">
        <v>16.658999999999999</v>
      </c>
      <c r="O74" s="1297"/>
      <c r="P74" s="1295">
        <f>+(N74/N66-1)*100</f>
        <v>-0.37031702614011008</v>
      </c>
      <c r="Q74" s="1299"/>
      <c r="R74" s="1300">
        <v>453</v>
      </c>
      <c r="S74" s="1255">
        <f>+R74-R73</f>
        <v>-4</v>
      </c>
      <c r="T74" s="1295">
        <f>+(R74/R66-1)*100</f>
        <v>-2.3706896551724088</v>
      </c>
      <c r="U74" s="1318">
        <v>14.332000000000001</v>
      </c>
      <c r="V74" s="1297"/>
      <c r="W74" s="1295">
        <f>+(U74/U66-1)*100</f>
        <v>-2.5021157640605418</v>
      </c>
      <c r="X74" s="1299"/>
      <c r="Y74" s="1300">
        <v>68</v>
      </c>
      <c r="Z74" s="1255">
        <f>+Y74-Y73</f>
        <v>0</v>
      </c>
      <c r="AA74" s="1295">
        <f>+(Y74/Y66-1)*100</f>
        <v>19.298245614035082</v>
      </c>
      <c r="AB74" s="1318">
        <v>1.7689999999999999</v>
      </c>
      <c r="AC74" s="1297"/>
      <c r="AD74" s="1295">
        <f>+(AB74/AB66-1)*100</f>
        <v>23.155109997215263</v>
      </c>
      <c r="AE74" s="1299"/>
      <c r="AF74" s="1300">
        <v>21</v>
      </c>
      <c r="AG74" s="1255">
        <f>+AF74-AF73</f>
        <v>1</v>
      </c>
      <c r="AH74" s="1295">
        <f>+(AF74/AF66-1)*100</f>
        <v>90.909090909090921</v>
      </c>
      <c r="AI74" s="1318">
        <v>0.56200000000000006</v>
      </c>
      <c r="AJ74" s="1297"/>
      <c r="AK74" s="1302"/>
      <c r="AL74" s="1299"/>
      <c r="AM74" s="1300">
        <v>21</v>
      </c>
      <c r="AN74" s="1255">
        <f>+AM74-AM73</f>
        <v>0</v>
      </c>
      <c r="AO74" s="1295">
        <f>+(AM74/AM66-1)*100</f>
        <v>-8.6956521739130483</v>
      </c>
      <c r="AP74" s="1318">
        <v>0.77300000000000002</v>
      </c>
      <c r="AQ74" s="1297"/>
      <c r="AR74" s="1295">
        <f>+(AP74/AP66-1)*100</f>
        <v>-8.6956521739130377</v>
      </c>
      <c r="AS74" s="1299"/>
      <c r="AT74" s="1300"/>
      <c r="AU74" s="1304"/>
      <c r="AV74" s="1303"/>
      <c r="AW74" s="1318"/>
      <c r="AX74" s="1303"/>
      <c r="AY74" s="1305"/>
      <c r="AZ74" s="1316"/>
      <c r="BA74" s="1300"/>
      <c r="BB74" s="1304"/>
      <c r="BC74" s="1303"/>
      <c r="BD74" s="1318"/>
      <c r="BE74" s="1303"/>
      <c r="BF74" s="1305"/>
      <c r="BG74" s="1305"/>
      <c r="BH74" s="1300"/>
      <c r="BI74" s="1304"/>
      <c r="BJ74" s="1303"/>
      <c r="BK74" s="1300"/>
      <c r="BL74" s="1303"/>
      <c r="BM74" s="1305"/>
      <c r="BN74" s="1305"/>
      <c r="BO74" s="1300"/>
      <c r="BP74" s="1304"/>
      <c r="BQ74" s="1303"/>
      <c r="BR74" s="1300"/>
      <c r="BS74" s="1303"/>
      <c r="BT74" s="1305"/>
      <c r="BU74" s="1305"/>
      <c r="BV74" s="1300"/>
      <c r="BW74" s="1304"/>
      <c r="BX74" s="1303"/>
      <c r="BY74" s="1300"/>
      <c r="BZ74" s="1303"/>
      <c r="CA74" s="1305"/>
      <c r="CB74" s="1299"/>
      <c r="CC74" s="1300"/>
      <c r="CD74" s="1304"/>
      <c r="CE74" s="1303"/>
      <c r="CF74" s="1300"/>
      <c r="CG74" s="1303"/>
      <c r="CH74" s="1305"/>
      <c r="CI74" s="1300"/>
      <c r="CJ74" s="1304"/>
      <c r="CK74" s="1303"/>
      <c r="CL74" s="1300"/>
      <c r="CM74" s="1303"/>
      <c r="CN74" s="1305"/>
      <c r="CO74" s="1305"/>
      <c r="CP74" s="1300"/>
      <c r="CQ74" s="1304"/>
      <c r="CR74" s="1303"/>
      <c r="CS74" s="1300"/>
      <c r="CT74" s="1303"/>
      <c r="CU74" s="1305"/>
      <c r="CV74" s="1299"/>
      <c r="CW74" s="1306">
        <f>+D74+Y74+AF74+AM74+AT74+BA74</f>
        <v>1141</v>
      </c>
      <c r="CX74" s="1307">
        <f>+CW74-CW73</f>
        <v>-2</v>
      </c>
      <c r="CY74" s="1295">
        <f>+(CW74/CW66-1)*100</f>
        <v>0.35180299032542273</v>
      </c>
      <c r="CZ74" s="1255"/>
      <c r="DA74" s="1308"/>
      <c r="DB74" s="1310">
        <f>+G74+AB74+AI74+AP74+AW74</f>
        <v>34.094999999999999</v>
      </c>
      <c r="DC74" s="1297"/>
      <c r="DD74" s="1302"/>
      <c r="DE74" s="1266"/>
      <c r="DF74" s="1266"/>
      <c r="DG74" s="1266"/>
      <c r="DH74" s="1266"/>
      <c r="DI74" s="1266"/>
      <c r="DJ74" s="1266"/>
      <c r="DK74" s="1266"/>
      <c r="DL74" s="1266"/>
      <c r="DM74" s="1266"/>
      <c r="DN74" s="1266"/>
      <c r="DO74" s="1266"/>
      <c r="DP74" s="1266"/>
      <c r="DQ74" s="1266"/>
      <c r="DS74" s="1333">
        <f t="shared" ref="DS74:DS137" si="0">+L74</f>
        <v>1</v>
      </c>
      <c r="DT74" s="1333">
        <f t="shared" ref="DT74:DT137" si="1">+S74</f>
        <v>-4</v>
      </c>
      <c r="DU74" s="1333">
        <f t="shared" ref="DU74:DU137" si="2">+Z74</f>
        <v>0</v>
      </c>
      <c r="DV74" s="1333">
        <f t="shared" ref="DV74:DV137" si="3">+AG74</f>
        <v>1</v>
      </c>
      <c r="DW74" s="1333">
        <f t="shared" ref="DW74:DW137" si="4">+AN74</f>
        <v>0</v>
      </c>
      <c r="DX74" s="1333">
        <f t="shared" ref="DX74:DX137" si="5">+AU74</f>
        <v>0</v>
      </c>
      <c r="DY74" s="1333">
        <f t="shared" ref="DY74:DY137" si="6">+BB74</f>
        <v>0</v>
      </c>
      <c r="DZ74" s="1333">
        <f t="shared" ref="DZ74:DZ137" si="7">+BI74</f>
        <v>0</v>
      </c>
      <c r="EA74" s="1333">
        <f t="shared" ref="EA74:EA137" si="8">+BP74</f>
        <v>0</v>
      </c>
      <c r="EB74" s="1333">
        <f t="shared" ref="EB74:EB137" si="9">+CD74</f>
        <v>0</v>
      </c>
      <c r="ED74" s="451">
        <f>-(SUMIF(DS74:EB74,"&lt;0"))</f>
        <v>4</v>
      </c>
      <c r="EE74" s="451">
        <f>(SUMIF(DS74:EB74,"&gt;0"))</f>
        <v>2</v>
      </c>
      <c r="EF74" s="451">
        <f>+EE74-ED74</f>
        <v>-2</v>
      </c>
      <c r="EG74" s="1333">
        <f>+EF74-CX74</f>
        <v>0</v>
      </c>
    </row>
    <row r="75" spans="1:137" ht="13.5" hidden="1" outlineLevel="1">
      <c r="A75" s="1266" t="str">
        <f>$A$19</f>
        <v>3Q</v>
      </c>
      <c r="B75" s="1266" t="str">
        <f>$B$19</f>
        <v>Oct</v>
      </c>
      <c r="C75" s="1266"/>
      <c r="D75" s="1294">
        <f>+K75+R75</f>
        <v>1042</v>
      </c>
      <c r="E75" s="1255">
        <f>+D75-D74</f>
        <v>11</v>
      </c>
      <c r="F75" s="1295">
        <f>+(D75/D67-1)*100</f>
        <v>-0.95057034220532577</v>
      </c>
      <c r="G75" s="1296">
        <f>+N75+U75</f>
        <v>31.335999999999999</v>
      </c>
      <c r="H75" s="1297"/>
      <c r="I75" s="1295">
        <f>+(G75/G67-1)*100</f>
        <v>-0.80454394387163841</v>
      </c>
      <c r="J75" s="1266"/>
      <c r="K75" s="1300">
        <v>582</v>
      </c>
      <c r="L75" s="1255">
        <f>+K75-K74</f>
        <v>4</v>
      </c>
      <c r="M75" s="1295">
        <f>+(K75/K67-1)*100</f>
        <v>-1.1884550084889645</v>
      </c>
      <c r="N75" s="1318">
        <v>16.846</v>
      </c>
      <c r="O75" s="1297"/>
      <c r="P75" s="1295">
        <f>+(N75/N67-1)*100</f>
        <v>-0.44930269440526249</v>
      </c>
      <c r="Q75" s="1299"/>
      <c r="R75" s="1300">
        <v>460</v>
      </c>
      <c r="S75" s="1255">
        <f>+R75-R74</f>
        <v>7</v>
      </c>
      <c r="T75" s="1295">
        <f>+(R75/R67-1)*100</f>
        <v>-0.64794816414687206</v>
      </c>
      <c r="U75" s="1318">
        <v>14.49</v>
      </c>
      <c r="V75" s="1297"/>
      <c r="W75" s="1295">
        <f>+(U75/U67-1)*100</f>
        <v>-1.2143715980994396</v>
      </c>
      <c r="X75" s="1299"/>
      <c r="Y75" s="1300">
        <v>75</v>
      </c>
      <c r="Z75" s="1255">
        <f>+Y75-Y74</f>
        <v>7</v>
      </c>
      <c r="AA75" s="1295">
        <f>+(Y75/Y67-1)*100</f>
        <v>19.047619047619047</v>
      </c>
      <c r="AB75" s="1318">
        <v>1.96</v>
      </c>
      <c r="AC75" s="1297"/>
      <c r="AD75" s="1295">
        <f>+(AB75/AB67-1)*100</f>
        <v>23.456790123456805</v>
      </c>
      <c r="AE75" s="1299"/>
      <c r="AF75" s="1300">
        <v>29</v>
      </c>
      <c r="AG75" s="1255">
        <f>+AF75-AF74</f>
        <v>8</v>
      </c>
      <c r="AH75" s="1295">
        <f>+(AF75/AF67-1)*100</f>
        <v>61.111111111111114</v>
      </c>
      <c r="AI75" s="1318">
        <v>0.75800000000000001</v>
      </c>
      <c r="AJ75" s="1297"/>
      <c r="AK75" s="1302"/>
      <c r="AL75" s="1299"/>
      <c r="AM75" s="1300">
        <v>24</v>
      </c>
      <c r="AN75" s="1255">
        <f>+AM75-AM74</f>
        <v>3</v>
      </c>
      <c r="AO75" s="1295">
        <f>+(AM75/AM67-1)*100</f>
        <v>4.3478260869565188</v>
      </c>
      <c r="AP75" s="1318">
        <v>0.82699999999999996</v>
      </c>
      <c r="AQ75" s="1297"/>
      <c r="AR75" s="1295">
        <f>+(AP75/AP67-1)*100</f>
        <v>-2.3173406828280618</v>
      </c>
      <c r="AS75" s="1299"/>
      <c r="AT75" s="1300"/>
      <c r="AU75" s="1304"/>
      <c r="AV75" s="1303"/>
      <c r="AW75" s="1318"/>
      <c r="AX75" s="1303"/>
      <c r="AY75" s="1305"/>
      <c r="AZ75" s="1316"/>
      <c r="BA75" s="1300"/>
      <c r="BB75" s="1304"/>
      <c r="BC75" s="1303"/>
      <c r="BD75" s="1318"/>
      <c r="BE75" s="1303"/>
      <c r="BF75" s="1305"/>
      <c r="BG75" s="1305"/>
      <c r="BH75" s="1300"/>
      <c r="BI75" s="1304"/>
      <c r="BJ75" s="1303"/>
      <c r="BK75" s="1300"/>
      <c r="BL75" s="1303"/>
      <c r="BM75" s="1305"/>
      <c r="BN75" s="1305"/>
      <c r="BO75" s="1300"/>
      <c r="BP75" s="1304"/>
      <c r="BQ75" s="1303"/>
      <c r="BR75" s="1300"/>
      <c r="BS75" s="1303"/>
      <c r="BT75" s="1305"/>
      <c r="BU75" s="1305"/>
      <c r="BV75" s="1300"/>
      <c r="BW75" s="1304"/>
      <c r="BX75" s="1303"/>
      <c r="BY75" s="1300"/>
      <c r="BZ75" s="1303"/>
      <c r="CA75" s="1305"/>
      <c r="CB75" s="1299"/>
      <c r="CC75" s="1300"/>
      <c r="CD75" s="1304"/>
      <c r="CE75" s="1303"/>
      <c r="CF75" s="1300"/>
      <c r="CG75" s="1303"/>
      <c r="CH75" s="1305"/>
      <c r="CI75" s="1300"/>
      <c r="CJ75" s="1304"/>
      <c r="CK75" s="1303"/>
      <c r="CL75" s="1300"/>
      <c r="CM75" s="1303"/>
      <c r="CN75" s="1305"/>
      <c r="CO75" s="1305"/>
      <c r="CP75" s="1300"/>
      <c r="CQ75" s="1304"/>
      <c r="CR75" s="1303"/>
      <c r="CS75" s="1300"/>
      <c r="CT75" s="1303"/>
      <c r="CU75" s="1305"/>
      <c r="CV75" s="1299"/>
      <c r="CW75" s="1306">
        <f>+D75+Y75+AF75+AM75+AT75+BA75</f>
        <v>1170</v>
      </c>
      <c r="CX75" s="1307">
        <f>+CW75-CW74</f>
        <v>29</v>
      </c>
      <c r="CY75" s="1295">
        <f>+(CW75/CW67-1)*100</f>
        <v>1.211072664359869</v>
      </c>
      <c r="CZ75" s="1255"/>
      <c r="DA75" s="1308"/>
      <c r="DB75" s="1310">
        <f>+G75+AB75+AI75+AP75+AW75</f>
        <v>34.881</v>
      </c>
      <c r="DC75" s="1297"/>
      <c r="DD75" s="1302"/>
      <c r="DE75" s="1266"/>
      <c r="DF75" s="1266"/>
      <c r="DG75" s="1266"/>
      <c r="DH75" s="1266"/>
      <c r="DI75" s="1266"/>
      <c r="DJ75" s="1266"/>
      <c r="DK75" s="1266"/>
      <c r="DL75" s="1266"/>
      <c r="DM75" s="1266"/>
      <c r="DN75" s="1266"/>
      <c r="DO75" s="1266"/>
      <c r="DP75" s="1266"/>
      <c r="DQ75" s="1266"/>
      <c r="DS75" s="1333">
        <f t="shared" si="0"/>
        <v>4</v>
      </c>
      <c r="DT75" s="1333">
        <f t="shared" si="1"/>
        <v>7</v>
      </c>
      <c r="DU75" s="1333">
        <f t="shared" si="2"/>
        <v>7</v>
      </c>
      <c r="DV75" s="1333">
        <f t="shared" si="3"/>
        <v>8</v>
      </c>
      <c r="DW75" s="1333">
        <f t="shared" si="4"/>
        <v>3</v>
      </c>
      <c r="DX75" s="1333">
        <f t="shared" si="5"/>
        <v>0</v>
      </c>
      <c r="DY75" s="1333">
        <f t="shared" si="6"/>
        <v>0</v>
      </c>
      <c r="DZ75" s="1333">
        <f t="shared" si="7"/>
        <v>0</v>
      </c>
      <c r="EA75" s="1333">
        <f t="shared" si="8"/>
        <v>0</v>
      </c>
      <c r="EB75" s="1333">
        <f t="shared" si="9"/>
        <v>0</v>
      </c>
      <c r="ED75" s="451">
        <f>-(SUMIF(DS75:EB75,"&lt;0"))</f>
        <v>0</v>
      </c>
      <c r="EE75" s="451">
        <f>(SUMIF(DS75:EB75,"&gt;0"))</f>
        <v>29</v>
      </c>
      <c r="EF75" s="451">
        <f>+EE75-ED75</f>
        <v>29</v>
      </c>
      <c r="EG75" s="1333">
        <f>+EF75-CX75</f>
        <v>0</v>
      </c>
    </row>
    <row r="76" spans="1:137" ht="13.5" hidden="1" outlineLevel="1">
      <c r="A76" s="1266" t="str">
        <f>$A$20</f>
        <v>4Q</v>
      </c>
      <c r="B76" s="1266" t="str">
        <f>$B$20</f>
        <v>Jan</v>
      </c>
      <c r="C76" s="1266"/>
      <c r="D76" s="1312">
        <f>+K76+R76</f>
        <v>1041</v>
      </c>
      <c r="E76" s="1255">
        <f>+D76-D75</f>
        <v>-1</v>
      </c>
      <c r="F76" s="1295">
        <f>+(D76/D68-1)*100</f>
        <v>0.8720930232558155</v>
      </c>
      <c r="G76" s="1313">
        <f>+N76+U76</f>
        <v>31.442</v>
      </c>
      <c r="H76" s="1297"/>
      <c r="I76" s="1295">
        <f>+(G76/G68-1)*100</f>
        <v>1.461809029010297</v>
      </c>
      <c r="J76" s="1266"/>
      <c r="K76" s="1314">
        <v>580</v>
      </c>
      <c r="L76" s="1255">
        <f>+K76-K75</f>
        <v>-2</v>
      </c>
      <c r="M76" s="1295">
        <f>+(K76/K68-1)*100</f>
        <v>0.34602076124568004</v>
      </c>
      <c r="N76" s="1334">
        <v>16.873000000000001</v>
      </c>
      <c r="O76" s="1297"/>
      <c r="P76" s="1295">
        <f>+(N76/N68-1)*100</f>
        <v>1.6078525834035906</v>
      </c>
      <c r="Q76" s="1299"/>
      <c r="R76" s="1314">
        <v>461</v>
      </c>
      <c r="S76" s="1255">
        <f>+R76-R75</f>
        <v>1</v>
      </c>
      <c r="T76" s="1295">
        <f>+(R76/R68-1)*100</f>
        <v>1.5418502202643181</v>
      </c>
      <c r="U76" s="1334">
        <v>14.569000000000001</v>
      </c>
      <c r="V76" s="1297"/>
      <c r="W76" s="1295">
        <f>+(U76/U68-1)*100</f>
        <v>1.293193353264277</v>
      </c>
      <c r="X76" s="1299"/>
      <c r="Y76" s="1314">
        <v>76</v>
      </c>
      <c r="Z76" s="1255">
        <f>+Y76-Y75</f>
        <v>1</v>
      </c>
      <c r="AA76" s="1295">
        <f>+(Y76/Y68-1)*100</f>
        <v>16.92307692307693</v>
      </c>
      <c r="AB76" s="1334">
        <v>1.998</v>
      </c>
      <c r="AC76" s="1297"/>
      <c r="AD76" s="1295">
        <f>+(AB76/AB68-1)*100</f>
        <v>21.978021978021989</v>
      </c>
      <c r="AE76" s="1299"/>
      <c r="AF76" s="1314">
        <v>31</v>
      </c>
      <c r="AG76" s="1255">
        <f>+AF76-AF75</f>
        <v>2</v>
      </c>
      <c r="AH76" s="1295">
        <f>+(AF76/AF68-1)*100</f>
        <v>72.222222222222229</v>
      </c>
      <c r="AI76" s="1334">
        <v>0.79800000000000004</v>
      </c>
      <c r="AJ76" s="1297"/>
      <c r="AK76" s="1302"/>
      <c r="AL76" s="1299"/>
      <c r="AM76" s="1314">
        <v>23</v>
      </c>
      <c r="AN76" s="1255">
        <f>+AM76-AM75</f>
        <v>-1</v>
      </c>
      <c r="AO76" s="1295">
        <f>+(AM76/AM68-1)*100</f>
        <v>9.5238095238095344</v>
      </c>
      <c r="AP76" s="1334">
        <v>0.77900000000000003</v>
      </c>
      <c r="AQ76" s="1297"/>
      <c r="AR76" s="1295">
        <f>+(AP76/AP68-1)*100</f>
        <v>0.77619663648125226</v>
      </c>
      <c r="AS76" s="1299"/>
      <c r="AT76" s="1300"/>
      <c r="AU76" s="1304"/>
      <c r="AV76" s="1303"/>
      <c r="AW76" s="1334"/>
      <c r="AX76" s="1303"/>
      <c r="AY76" s="1305"/>
      <c r="AZ76" s="1316"/>
      <c r="BA76" s="1300"/>
      <c r="BB76" s="1304"/>
      <c r="BC76" s="1303"/>
      <c r="BD76" s="1334"/>
      <c r="BE76" s="1303"/>
      <c r="BF76" s="1305"/>
      <c r="BG76" s="1305"/>
      <c r="BH76" s="1300"/>
      <c r="BI76" s="1304"/>
      <c r="BJ76" s="1303"/>
      <c r="BK76" s="1294"/>
      <c r="BL76" s="1303"/>
      <c r="BM76" s="1305"/>
      <c r="BN76" s="1305"/>
      <c r="BO76" s="1300"/>
      <c r="BP76" s="1304"/>
      <c r="BQ76" s="1303"/>
      <c r="BR76" s="1294"/>
      <c r="BS76" s="1303"/>
      <c r="BT76" s="1305"/>
      <c r="BU76" s="1305"/>
      <c r="BV76" s="1300"/>
      <c r="BW76" s="1304"/>
      <c r="BX76" s="1303"/>
      <c r="BY76" s="1294"/>
      <c r="BZ76" s="1303"/>
      <c r="CA76" s="1305"/>
      <c r="CB76" s="1299"/>
      <c r="CC76" s="1300"/>
      <c r="CD76" s="1304"/>
      <c r="CE76" s="1303"/>
      <c r="CF76" s="1294"/>
      <c r="CG76" s="1303"/>
      <c r="CH76" s="1305"/>
      <c r="CI76" s="1300"/>
      <c r="CJ76" s="1304"/>
      <c r="CK76" s="1303"/>
      <c r="CL76" s="1294"/>
      <c r="CM76" s="1303"/>
      <c r="CN76" s="1305"/>
      <c r="CO76" s="1305"/>
      <c r="CP76" s="1300"/>
      <c r="CQ76" s="1304"/>
      <c r="CR76" s="1303"/>
      <c r="CS76" s="1294"/>
      <c r="CT76" s="1303"/>
      <c r="CU76" s="1305"/>
      <c r="CV76" s="1299"/>
      <c r="CW76" s="1312">
        <f>+D76+Y76+AF76+AM76+AT76+BA76</f>
        <v>1171</v>
      </c>
      <c r="CX76" s="1307">
        <f>+CW76-CW75</f>
        <v>1</v>
      </c>
      <c r="CY76" s="1295">
        <f>+(CW76/CW68-1)*100</f>
        <v>3.0809859154929509</v>
      </c>
      <c r="CZ76" s="1255"/>
      <c r="DA76" s="1308"/>
      <c r="DB76" s="1313">
        <f>+G76+AB76+AI76+AP76+AW76</f>
        <v>35.017000000000003</v>
      </c>
      <c r="DC76" s="1297"/>
      <c r="DD76" s="1302"/>
      <c r="DE76" s="1266"/>
      <c r="DF76" s="1266"/>
      <c r="DG76" s="1266"/>
      <c r="DH76" s="1266"/>
      <c r="DI76" s="1266"/>
      <c r="DJ76" s="1266"/>
      <c r="DK76" s="1266"/>
      <c r="DL76" s="1266"/>
      <c r="DM76" s="1266"/>
      <c r="DN76" s="1266"/>
      <c r="DO76" s="1266"/>
      <c r="DP76" s="1266"/>
      <c r="DQ76" s="1266"/>
      <c r="DS76" s="1333">
        <f t="shared" si="0"/>
        <v>-2</v>
      </c>
      <c r="DT76" s="1333">
        <f t="shared" si="1"/>
        <v>1</v>
      </c>
      <c r="DU76" s="1333">
        <f t="shared" si="2"/>
        <v>1</v>
      </c>
      <c r="DV76" s="1333">
        <f t="shared" si="3"/>
        <v>2</v>
      </c>
      <c r="DW76" s="1333">
        <f t="shared" si="4"/>
        <v>-1</v>
      </c>
      <c r="DX76" s="1333">
        <f t="shared" si="5"/>
        <v>0</v>
      </c>
      <c r="DY76" s="1333">
        <f t="shared" si="6"/>
        <v>0</v>
      </c>
      <c r="DZ76" s="1333">
        <f t="shared" si="7"/>
        <v>0</v>
      </c>
      <c r="EA76" s="1333">
        <f t="shared" si="8"/>
        <v>0</v>
      </c>
      <c r="EB76" s="1333">
        <f t="shared" si="9"/>
        <v>0</v>
      </c>
      <c r="ED76" s="451">
        <f>-(SUMIF(DS76:EB76,"&lt;0"))</f>
        <v>3</v>
      </c>
      <c r="EE76" s="451">
        <f>(SUMIF(DS76:EB76,"&gt;0"))</f>
        <v>4</v>
      </c>
      <c r="EF76" s="451">
        <f>+EE76-ED76</f>
        <v>1</v>
      </c>
      <c r="EG76" s="1333">
        <f>+EF76-CX76</f>
        <v>0</v>
      </c>
    </row>
    <row r="77" spans="1:137" ht="13.5" hidden="1" outlineLevel="1">
      <c r="A77" s="1266"/>
      <c r="B77" s="1266" t="str">
        <f>$B$21</f>
        <v>Year</v>
      </c>
      <c r="C77" s="1266"/>
      <c r="D77" s="1306">
        <v>1041</v>
      </c>
      <c r="E77" s="1317">
        <f>+D77-D69</f>
        <v>9</v>
      </c>
      <c r="F77" s="1295">
        <f>+(D77/D69-1)*100</f>
        <v>0.8720930232558155</v>
      </c>
      <c r="G77" s="1296">
        <f>+N77+U77</f>
        <v>31.442</v>
      </c>
      <c r="H77" s="1297">
        <f>+G77/D77*1000</f>
        <v>30.20365033621518</v>
      </c>
      <c r="I77" s="1295">
        <f>+(G77/G69-1)*100</f>
        <v>1.461809029010297</v>
      </c>
      <c r="J77" s="1266"/>
      <c r="K77" s="1306">
        <f>+K76</f>
        <v>580</v>
      </c>
      <c r="L77" s="1317">
        <f>+K77-K69</f>
        <v>2</v>
      </c>
      <c r="M77" s="1295">
        <f>+(K77/K69-1)*100</f>
        <v>0.34602076124568004</v>
      </c>
      <c r="N77" s="1296">
        <f>+N76</f>
        <v>16.873000000000001</v>
      </c>
      <c r="O77" s="1297">
        <f>+N77/K77*1000</f>
        <v>29.091379310344831</v>
      </c>
      <c r="P77" s="1295">
        <f>+(N77/N69-1)*100</f>
        <v>1.6078525834035906</v>
      </c>
      <c r="Q77" s="1299"/>
      <c r="R77" s="1306">
        <f>+R76</f>
        <v>461</v>
      </c>
      <c r="S77" s="1317">
        <f>+R77-R69</f>
        <v>7</v>
      </c>
      <c r="T77" s="1295">
        <f>+(R77/R69-1)*100</f>
        <v>1.5418502202643181</v>
      </c>
      <c r="U77" s="1296">
        <f>+U76</f>
        <v>14.569000000000001</v>
      </c>
      <c r="V77" s="1297">
        <f>+U77/R77*1000</f>
        <v>31.603036876355752</v>
      </c>
      <c r="W77" s="1295">
        <f>+(U77/U69-1)*100</f>
        <v>1.293193353264277</v>
      </c>
      <c r="X77" s="1299"/>
      <c r="Y77" s="1306">
        <f>+Y76</f>
        <v>76</v>
      </c>
      <c r="Z77" s="1317">
        <f>+Y77-Y69</f>
        <v>11</v>
      </c>
      <c r="AA77" s="1295">
        <f>+(Y77/Y69-1)*100</f>
        <v>16.92307692307693</v>
      </c>
      <c r="AB77" s="1296">
        <f>+AB76</f>
        <v>1.998</v>
      </c>
      <c r="AC77" s="1297">
        <f>+AB77/Y77*1000</f>
        <v>26.289473684210527</v>
      </c>
      <c r="AD77" s="1295">
        <f>+(AB77/AB69-1)*100</f>
        <v>21.978021978021989</v>
      </c>
      <c r="AE77" s="1299"/>
      <c r="AF77" s="1306">
        <f>+AF76</f>
        <v>31</v>
      </c>
      <c r="AG77" s="1317">
        <f>+AF77-AF69</f>
        <v>13</v>
      </c>
      <c r="AH77" s="1295">
        <f>+(AF77/AF69-1)*100</f>
        <v>72.222222222222229</v>
      </c>
      <c r="AI77" s="1296">
        <f>+AI76</f>
        <v>0.79800000000000004</v>
      </c>
      <c r="AJ77" s="1297">
        <f>+AI77/AF77*1000</f>
        <v>25.741935483870968</v>
      </c>
      <c r="AK77" s="1295"/>
      <c r="AL77" s="1299"/>
      <c r="AM77" s="1306">
        <f>+AM76</f>
        <v>23</v>
      </c>
      <c r="AN77" s="1317">
        <f>+AM77-AM69</f>
        <v>2</v>
      </c>
      <c r="AO77" s="1295">
        <f>+(AM77/AM69-1)*100</f>
        <v>9.5238095238095344</v>
      </c>
      <c r="AP77" s="1296">
        <f>+AP76</f>
        <v>0.77900000000000003</v>
      </c>
      <c r="AQ77" s="1297">
        <f>+AP77/AM77*1000</f>
        <v>33.869565217391305</v>
      </c>
      <c r="AR77" s="1295">
        <f>+(AP77/AP69-1)*100</f>
        <v>0.77619663648125226</v>
      </c>
      <c r="AS77" s="1299"/>
      <c r="AT77" s="1294"/>
      <c r="AU77" s="1320"/>
      <c r="AV77" s="1305"/>
      <c r="AW77" s="1296"/>
      <c r="AX77" s="1303"/>
      <c r="AY77" s="1305"/>
      <c r="AZ77" s="1316"/>
      <c r="BA77" s="1294"/>
      <c r="BB77" s="1320"/>
      <c r="BC77" s="1303"/>
      <c r="BD77" s="1296"/>
      <c r="BE77" s="1303"/>
      <c r="BF77" s="1305"/>
      <c r="BG77" s="1305"/>
      <c r="BH77" s="1294"/>
      <c r="BI77" s="1320"/>
      <c r="BJ77" s="1303"/>
      <c r="BK77" s="1300"/>
      <c r="BL77" s="1303"/>
      <c r="BM77" s="1305"/>
      <c r="BN77" s="1305"/>
      <c r="BO77" s="1294"/>
      <c r="BP77" s="1320"/>
      <c r="BQ77" s="1303"/>
      <c r="BR77" s="1300"/>
      <c r="BS77" s="1303"/>
      <c r="BT77" s="1305"/>
      <c r="BU77" s="1305"/>
      <c r="BV77" s="1294"/>
      <c r="BW77" s="1320"/>
      <c r="BX77" s="1303"/>
      <c r="BY77" s="1300"/>
      <c r="BZ77" s="1303"/>
      <c r="CA77" s="1305"/>
      <c r="CB77" s="1299"/>
      <c r="CC77" s="1294"/>
      <c r="CD77" s="1320"/>
      <c r="CE77" s="1303"/>
      <c r="CF77" s="1300"/>
      <c r="CG77" s="1303"/>
      <c r="CH77" s="1305"/>
      <c r="CI77" s="1294"/>
      <c r="CJ77" s="1320"/>
      <c r="CK77" s="1303"/>
      <c r="CL77" s="1300"/>
      <c r="CM77" s="1303"/>
      <c r="CN77" s="1305"/>
      <c r="CO77" s="1305"/>
      <c r="CP77" s="1294"/>
      <c r="CQ77" s="1320"/>
      <c r="CR77" s="1303"/>
      <c r="CS77" s="1300"/>
      <c r="CT77" s="1303"/>
      <c r="CU77" s="1305"/>
      <c r="CV77" s="1299"/>
      <c r="CW77" s="1306">
        <f>+D77+Y77+AF77+AM77+AT77+BA77</f>
        <v>1171</v>
      </c>
      <c r="CX77" s="1317">
        <f>+CW77-CW69</f>
        <v>35</v>
      </c>
      <c r="CY77" s="1295">
        <f>+(CW77/CW69-1)*100</f>
        <v>3.0809859154929509</v>
      </c>
      <c r="CZ77" s="1317"/>
      <c r="DA77" s="1330"/>
      <c r="DB77" s="1296">
        <f>+G77+AB77+AI77+AP77+AW77</f>
        <v>35.017000000000003</v>
      </c>
      <c r="DC77" s="1297"/>
      <c r="DD77" s="1302"/>
      <c r="DE77" s="1266"/>
      <c r="DF77" s="1266"/>
      <c r="DG77" s="1266"/>
      <c r="DH77" s="1266"/>
      <c r="DI77" s="1266"/>
      <c r="DJ77" s="1266"/>
      <c r="DK77" s="1266"/>
      <c r="DL77" s="1266"/>
      <c r="DM77" s="1266"/>
      <c r="DN77" s="1266"/>
      <c r="DO77" s="1266"/>
      <c r="DP77" s="1266"/>
      <c r="DQ77" s="1266"/>
      <c r="DS77" s="1333"/>
      <c r="DT77" s="1333"/>
      <c r="DU77" s="1333"/>
      <c r="DV77" s="1333"/>
      <c r="DW77" s="1333"/>
      <c r="DX77" s="1333"/>
      <c r="DY77" s="1333"/>
      <c r="DZ77" s="1333"/>
      <c r="EA77" s="1333"/>
      <c r="EB77" s="1333"/>
      <c r="ED77" s="693">
        <f>SUM(ED73:ED76)</f>
        <v>8</v>
      </c>
      <c r="EE77" s="693">
        <f>SUM(EE73:EE76)</f>
        <v>43</v>
      </c>
      <c r="EF77" s="693">
        <f>+EE77-ED77</f>
        <v>35</v>
      </c>
      <c r="EG77" s="1333">
        <f>+EF77-CX77</f>
        <v>0</v>
      </c>
    </row>
    <row r="78" spans="1:137" ht="13.5" hidden="1" outlineLevel="1">
      <c r="A78" s="1266"/>
      <c r="B78" s="1266" t="s">
        <v>646</v>
      </c>
      <c r="C78" s="1266"/>
      <c r="D78" s="1306"/>
      <c r="E78" s="1317"/>
      <c r="F78" s="1323"/>
      <c r="G78" s="1296"/>
      <c r="H78" s="1297"/>
      <c r="I78" s="1295"/>
      <c r="J78" s="1266"/>
      <c r="K78" s="1306"/>
      <c r="L78" s="1256">
        <v>15</v>
      </c>
      <c r="M78" s="1324">
        <v>-13</v>
      </c>
      <c r="N78" s="1296"/>
      <c r="O78" s="1297"/>
      <c r="P78" s="1295"/>
      <c r="Q78" s="1299"/>
      <c r="R78" s="1306"/>
      <c r="S78" s="1256">
        <v>22</v>
      </c>
      <c r="T78" s="1324">
        <v>-15</v>
      </c>
      <c r="U78" s="1296" t="str">
        <f>IF(SUM(S78:T78)=S77,"","N")</f>
        <v/>
      </c>
      <c r="V78" s="1297"/>
      <c r="W78" s="1295"/>
      <c r="X78" s="1299"/>
      <c r="Y78" s="1306"/>
      <c r="Z78" s="1256">
        <v>11</v>
      </c>
      <c r="AA78" s="1324">
        <v>0</v>
      </c>
      <c r="AB78" s="1296" t="str">
        <f>IF(SUM(Z78:AA78)=Z77,"","N")</f>
        <v/>
      </c>
      <c r="AC78" s="1297"/>
      <c r="AD78" s="1295"/>
      <c r="AE78" s="1299"/>
      <c r="AF78" s="1306"/>
      <c r="AG78" s="1256">
        <v>13</v>
      </c>
      <c r="AH78" s="1324">
        <v>0</v>
      </c>
      <c r="AI78" s="1296" t="str">
        <f>IF(SUM(AG78:AH78)=AG77,"","N")</f>
        <v/>
      </c>
      <c r="AJ78" s="1297"/>
      <c r="AK78" s="1295"/>
      <c r="AL78" s="1299"/>
      <c r="AM78" s="1306"/>
      <c r="AN78" s="1256">
        <v>2</v>
      </c>
      <c r="AO78" s="1324">
        <v>0</v>
      </c>
      <c r="AP78" s="1296" t="str">
        <f>IF(SUM(AN78:AO78)=AN77,"","N")</f>
        <v/>
      </c>
      <c r="AQ78" s="1297"/>
      <c r="AR78" s="1295"/>
      <c r="AS78" s="1299"/>
      <c r="AT78" s="1294"/>
      <c r="AU78" s="1326"/>
      <c r="AV78" s="1327"/>
      <c r="AW78" s="1296"/>
      <c r="AX78" s="1303"/>
      <c r="AY78" s="1305"/>
      <c r="AZ78" s="1316"/>
      <c r="BA78" s="1294"/>
      <c r="BB78" s="1256"/>
      <c r="BC78" s="1324"/>
      <c r="BD78" s="1296"/>
      <c r="BE78" s="1303"/>
      <c r="BF78" s="1305"/>
      <c r="BG78" s="1305"/>
      <c r="BH78" s="1294"/>
      <c r="BI78" s="1256"/>
      <c r="BJ78" s="1324"/>
      <c r="BK78" s="1300"/>
      <c r="BL78" s="1303"/>
      <c r="BM78" s="1305"/>
      <c r="BN78" s="1305"/>
      <c r="BO78" s="1294"/>
      <c r="BP78" s="1256"/>
      <c r="BQ78" s="1324"/>
      <c r="BR78" s="1300"/>
      <c r="BS78" s="1303"/>
      <c r="BT78" s="1305"/>
      <c r="BU78" s="1305"/>
      <c r="BV78" s="1294"/>
      <c r="BW78" s="1256"/>
      <c r="BX78" s="1324"/>
      <c r="BY78" s="1300"/>
      <c r="BZ78" s="1303"/>
      <c r="CA78" s="1305"/>
      <c r="CB78" s="1299"/>
      <c r="CC78" s="1294"/>
      <c r="CD78" s="1256"/>
      <c r="CE78" s="1324"/>
      <c r="CF78" s="1300"/>
      <c r="CG78" s="1303"/>
      <c r="CH78" s="1305"/>
      <c r="CI78" s="1294"/>
      <c r="CJ78" s="1256"/>
      <c r="CK78" s="1324"/>
      <c r="CL78" s="1300"/>
      <c r="CM78" s="1303"/>
      <c r="CN78" s="1305"/>
      <c r="CO78" s="1305"/>
      <c r="CP78" s="1294"/>
      <c r="CQ78" s="1256"/>
      <c r="CR78" s="1324"/>
      <c r="CS78" s="1300"/>
      <c r="CT78" s="1303"/>
      <c r="CU78" s="1305"/>
      <c r="CV78" s="1299"/>
      <c r="CW78" s="1306"/>
      <c r="CX78" s="1317">
        <f>+L78+S78+Z78+AG78+AN78+AU78</f>
        <v>63</v>
      </c>
      <c r="CY78" s="1323">
        <f>+M78+T78+AA78+AH78+AO78+AV78</f>
        <v>-28</v>
      </c>
      <c r="CZ78" s="1320"/>
      <c r="DA78" s="1322"/>
      <c r="DB78" s="1296"/>
      <c r="DC78" s="1297"/>
      <c r="DD78" s="1302"/>
      <c r="DE78" s="1266"/>
      <c r="DF78" s="1266"/>
      <c r="DG78" s="1266"/>
      <c r="DH78" s="1266"/>
      <c r="DI78" s="1266"/>
      <c r="DJ78" s="1266"/>
      <c r="DK78" s="1266"/>
      <c r="DL78" s="1266"/>
      <c r="DM78" s="1266"/>
      <c r="DN78" s="1266"/>
      <c r="DO78" s="1266"/>
      <c r="DP78" s="1266"/>
      <c r="DQ78" s="1266"/>
      <c r="DS78" s="1333"/>
      <c r="DT78" s="1333"/>
      <c r="DU78" s="1333"/>
      <c r="DV78" s="1333"/>
      <c r="DW78" s="1333"/>
      <c r="DX78" s="1333"/>
      <c r="DY78" s="1333"/>
      <c r="DZ78" s="1333"/>
      <c r="EA78" s="1333"/>
      <c r="EB78" s="1333"/>
    </row>
    <row r="79" spans="1:137" ht="13.5" hidden="1" outlineLevel="1">
      <c r="A79" s="1266"/>
      <c r="B79" s="1266"/>
      <c r="C79" s="1266"/>
      <c r="D79" s="1335"/>
      <c r="E79" s="1269"/>
      <c r="F79" s="1302"/>
      <c r="G79" s="1335"/>
      <c r="H79" s="1268"/>
      <c r="I79" s="1295"/>
      <c r="J79" s="1266"/>
      <c r="K79" s="1336"/>
      <c r="L79" s="1269"/>
      <c r="M79" s="1268"/>
      <c r="N79" s="1336"/>
      <c r="O79" s="1268"/>
      <c r="P79" s="1295"/>
      <c r="Q79" s="1268"/>
      <c r="R79" s="1336"/>
      <c r="S79" s="1269"/>
      <c r="T79" s="1268"/>
      <c r="U79" s="1336"/>
      <c r="V79" s="1268"/>
      <c r="W79" s="1295"/>
      <c r="X79" s="1268"/>
      <c r="Y79" s="1336"/>
      <c r="Z79" s="1269"/>
      <c r="AA79" s="1268"/>
      <c r="AB79" s="1336"/>
      <c r="AC79" s="1268"/>
      <c r="AD79" s="1295"/>
      <c r="AE79" s="1268"/>
      <c r="AF79" s="1336"/>
      <c r="AG79" s="1269"/>
      <c r="AH79" s="1270"/>
      <c r="AI79" s="1336"/>
      <c r="AJ79" s="1268"/>
      <c r="AK79" s="1302"/>
      <c r="AL79" s="1268"/>
      <c r="AM79" s="1336"/>
      <c r="AN79" s="1269"/>
      <c r="AO79" s="1268"/>
      <c r="AP79" s="1336"/>
      <c r="AQ79" s="1268"/>
      <c r="AR79" s="1295"/>
      <c r="AS79" s="1268"/>
      <c r="AT79" s="1336"/>
      <c r="AU79" s="1292"/>
      <c r="AV79" s="1293"/>
      <c r="AW79" s="1336"/>
      <c r="AX79" s="1290"/>
      <c r="AY79" s="1305"/>
      <c r="AZ79" s="1293"/>
      <c r="BA79" s="1336"/>
      <c r="BB79" s="1292"/>
      <c r="BC79" s="1293"/>
      <c r="BD79" s="1336"/>
      <c r="BE79" s="1290"/>
      <c r="BF79" s="1305"/>
      <c r="BG79" s="1305"/>
      <c r="BH79" s="1336"/>
      <c r="BI79" s="1292"/>
      <c r="BJ79" s="1293"/>
      <c r="BK79" s="1336"/>
      <c r="BL79" s="1290"/>
      <c r="BM79" s="1305"/>
      <c r="BN79" s="1305"/>
      <c r="BO79" s="1336"/>
      <c r="BP79" s="1292"/>
      <c r="BQ79" s="1293"/>
      <c r="BR79" s="1336"/>
      <c r="BS79" s="1290"/>
      <c r="BT79" s="1305"/>
      <c r="BU79" s="1305"/>
      <c r="BV79" s="1336"/>
      <c r="BW79" s="1292"/>
      <c r="BX79" s="1293"/>
      <c r="BY79" s="1336"/>
      <c r="BZ79" s="1290"/>
      <c r="CA79" s="1305"/>
      <c r="CB79" s="1266"/>
      <c r="CC79" s="1336"/>
      <c r="CD79" s="1292"/>
      <c r="CE79" s="1293"/>
      <c r="CF79" s="1336"/>
      <c r="CG79" s="1290"/>
      <c r="CH79" s="1305"/>
      <c r="CI79" s="1336"/>
      <c r="CJ79" s="1292"/>
      <c r="CK79" s="1293"/>
      <c r="CL79" s="1336"/>
      <c r="CM79" s="1290"/>
      <c r="CN79" s="1305"/>
      <c r="CO79" s="1305"/>
      <c r="CP79" s="1336"/>
      <c r="CQ79" s="1292"/>
      <c r="CR79" s="1293"/>
      <c r="CS79" s="1336"/>
      <c r="CT79" s="1290"/>
      <c r="CU79" s="1305"/>
      <c r="CV79" s="1266"/>
      <c r="CW79" s="1335"/>
      <c r="CX79" s="1266"/>
      <c r="CY79" s="1266"/>
      <c r="CZ79" s="1266"/>
      <c r="DA79" s="1266"/>
      <c r="DB79" s="1335"/>
      <c r="DC79" s="1268"/>
      <c r="DD79" s="1302"/>
      <c r="DE79" s="1266"/>
      <c r="DF79" s="1266"/>
      <c r="DG79" s="1266"/>
      <c r="DH79" s="1266"/>
      <c r="DI79" s="1266"/>
      <c r="DJ79" s="1266"/>
      <c r="DK79" s="1266"/>
      <c r="DL79" s="1266"/>
      <c r="DM79" s="1266"/>
      <c r="DN79" s="1266"/>
      <c r="DO79" s="1266"/>
      <c r="DP79" s="1266"/>
      <c r="DQ79" s="1266"/>
      <c r="DS79" s="1333"/>
      <c r="DT79" s="1333"/>
      <c r="DU79" s="1333"/>
      <c r="DV79" s="1333"/>
      <c r="DW79" s="1333"/>
      <c r="DX79" s="1333"/>
      <c r="DY79" s="1333"/>
      <c r="DZ79" s="1333"/>
      <c r="EA79" s="1333"/>
      <c r="EB79" s="1333"/>
    </row>
    <row r="80" spans="1:137" ht="14.25" hidden="1" outlineLevel="1" collapsed="1">
      <c r="A80" s="2119">
        <f>+A72+1</f>
        <v>1998</v>
      </c>
      <c r="B80" s="2119"/>
      <c r="C80" s="1266"/>
      <c r="D80" s="1335"/>
      <c r="E80" s="1269"/>
      <c r="F80" s="1302"/>
      <c r="G80" s="1335"/>
      <c r="H80" s="1268"/>
      <c r="I80" s="1295"/>
      <c r="J80" s="1266"/>
      <c r="K80" s="1336"/>
      <c r="L80" s="1269"/>
      <c r="M80" s="1268"/>
      <c r="N80" s="1336"/>
      <c r="O80" s="1268"/>
      <c r="P80" s="1295"/>
      <c r="Q80" s="1268"/>
      <c r="R80" s="1336"/>
      <c r="S80" s="1269"/>
      <c r="T80" s="1268"/>
      <c r="U80" s="1336"/>
      <c r="V80" s="1268"/>
      <c r="W80" s="1295"/>
      <c r="X80" s="1268"/>
      <c r="Y80" s="1336"/>
      <c r="Z80" s="1269"/>
      <c r="AA80" s="1268"/>
      <c r="AB80" s="1336"/>
      <c r="AC80" s="1268"/>
      <c r="AD80" s="1295"/>
      <c r="AE80" s="1268"/>
      <c r="AF80" s="1336"/>
      <c r="AG80" s="1269"/>
      <c r="AH80" s="1270"/>
      <c r="AI80" s="1336"/>
      <c r="AJ80" s="1268"/>
      <c r="AK80" s="1302"/>
      <c r="AL80" s="1268"/>
      <c r="AM80" s="1336"/>
      <c r="AN80" s="1269"/>
      <c r="AO80" s="1268"/>
      <c r="AP80" s="1336"/>
      <c r="AQ80" s="1268"/>
      <c r="AR80" s="1295"/>
      <c r="AS80" s="1268"/>
      <c r="AT80" s="1336"/>
      <c r="AU80" s="1269"/>
      <c r="AV80" s="1266"/>
      <c r="AW80" s="1336"/>
      <c r="AX80" s="1268"/>
      <c r="AY80" s="1295"/>
      <c r="AZ80" s="1266"/>
      <c r="BA80" s="1336"/>
      <c r="BB80" s="1292"/>
      <c r="BC80" s="1293"/>
      <c r="BD80" s="1336"/>
      <c r="BE80" s="1290"/>
      <c r="BF80" s="1305"/>
      <c r="BG80" s="1305"/>
      <c r="BH80" s="1336"/>
      <c r="BI80" s="1292"/>
      <c r="BJ80" s="1293"/>
      <c r="BK80" s="1336"/>
      <c r="BL80" s="1290"/>
      <c r="BM80" s="1305"/>
      <c r="BN80" s="1305"/>
      <c r="BO80" s="1336"/>
      <c r="BP80" s="1292"/>
      <c r="BQ80" s="1293"/>
      <c r="BR80" s="1336"/>
      <c r="BS80" s="1290"/>
      <c r="BT80" s="1305"/>
      <c r="BU80" s="1305"/>
      <c r="BV80" s="1336"/>
      <c r="BW80" s="1292"/>
      <c r="BX80" s="1293"/>
      <c r="BY80" s="1336"/>
      <c r="BZ80" s="1290"/>
      <c r="CA80" s="1305"/>
      <c r="CB80" s="1266"/>
      <c r="CC80" s="1336"/>
      <c r="CD80" s="1292"/>
      <c r="CE80" s="1293"/>
      <c r="CF80" s="1336"/>
      <c r="CG80" s="1290"/>
      <c r="CH80" s="1305"/>
      <c r="CI80" s="1336"/>
      <c r="CJ80" s="1292"/>
      <c r="CK80" s="1293"/>
      <c r="CL80" s="1336"/>
      <c r="CM80" s="1290"/>
      <c r="CN80" s="1305"/>
      <c r="CO80" s="1305"/>
      <c r="CP80" s="1336"/>
      <c r="CQ80" s="1292"/>
      <c r="CR80" s="1293"/>
      <c r="CS80" s="1336"/>
      <c r="CT80" s="1290"/>
      <c r="CU80" s="1305"/>
      <c r="CV80" s="1266"/>
      <c r="CW80" s="1335"/>
      <c r="CX80" s="1266"/>
      <c r="CY80" s="1266"/>
      <c r="CZ80" s="1266"/>
      <c r="DA80" s="1266"/>
      <c r="DB80" s="1335"/>
      <c r="DC80" s="1268"/>
      <c r="DD80" s="1302"/>
      <c r="DE80" s="1266"/>
      <c r="DF80" s="1266"/>
      <c r="DG80" s="1266"/>
      <c r="DH80" s="1266"/>
      <c r="DI80" s="1266"/>
      <c r="DJ80" s="1266"/>
      <c r="DK80" s="1266"/>
      <c r="DL80" s="1266"/>
      <c r="DM80" s="1266"/>
      <c r="DN80" s="1266"/>
      <c r="DO80" s="1266"/>
      <c r="DP80" s="1266"/>
      <c r="DQ80" s="1266"/>
      <c r="DS80" s="1333"/>
      <c r="DT80" s="1333"/>
      <c r="DU80" s="1333"/>
      <c r="DV80" s="1333"/>
      <c r="DW80" s="1333"/>
      <c r="DX80" s="1333"/>
      <c r="DY80" s="1333"/>
      <c r="DZ80" s="1333"/>
      <c r="EA80" s="1333"/>
      <c r="EB80" s="1333"/>
    </row>
    <row r="81" spans="1:137" ht="15" hidden="1" outlineLevel="1">
      <c r="A81" s="1266" t="str">
        <f>$A$17</f>
        <v>1Q</v>
      </c>
      <c r="B81" s="1266" t="str">
        <f>$B$17</f>
        <v>Apr</v>
      </c>
      <c r="C81" s="1266"/>
      <c r="D81" s="1294">
        <f>+K81+R81</f>
        <v>1049</v>
      </c>
      <c r="E81" s="1255">
        <f>+D81-D76</f>
        <v>8</v>
      </c>
      <c r="F81" s="1295">
        <f>+(D81/D73-1)*100</f>
        <v>1.4506769825918697</v>
      </c>
      <c r="G81" s="1296">
        <f>+N81+U81</f>
        <v>31.666</v>
      </c>
      <c r="H81" s="1297"/>
      <c r="I81" s="1295">
        <f>+(G81/G73-1)*100</f>
        <v>1.9084092298780275</v>
      </c>
      <c r="J81" s="1266"/>
      <c r="K81" s="1298">
        <v>587</v>
      </c>
      <c r="L81" s="1255">
        <f>+K81-K76</f>
        <v>7</v>
      </c>
      <c r="M81" s="1295">
        <f>+(K81/K73-1)*100</f>
        <v>1.7331022530329365</v>
      </c>
      <c r="N81" s="1318">
        <v>17.076000000000001</v>
      </c>
      <c r="O81" s="1297"/>
      <c r="P81" s="1295">
        <f>+(N81/N73-1)*100</f>
        <v>2.9232716533060144</v>
      </c>
      <c r="Q81" s="1299"/>
      <c r="R81" s="1298">
        <v>462</v>
      </c>
      <c r="S81" s="1255">
        <f>+R81-R76</f>
        <v>1</v>
      </c>
      <c r="T81" s="1295">
        <f>+(R81/R73-1)*100</f>
        <v>1.0940919037199182</v>
      </c>
      <c r="U81" s="1318">
        <v>14.59</v>
      </c>
      <c r="V81" s="1297"/>
      <c r="W81" s="1295">
        <f>+(U81/U73-1)*100</f>
        <v>0.7457533489849455</v>
      </c>
      <c r="X81" s="1299"/>
      <c r="Y81" s="1298">
        <v>79</v>
      </c>
      <c r="Z81" s="1255">
        <f>+Y81-Y76</f>
        <v>3</v>
      </c>
      <c r="AA81" s="1295">
        <f>+(Y81/Y73-1)*100</f>
        <v>16.176470588235304</v>
      </c>
      <c r="AB81" s="1318">
        <v>2.0870000000000002</v>
      </c>
      <c r="AC81" s="1297"/>
      <c r="AD81" s="1295">
        <f>+(AB81/AB73-1)*100</f>
        <v>22.548443922489735</v>
      </c>
      <c r="AE81" s="1299"/>
      <c r="AF81" s="1298">
        <v>31</v>
      </c>
      <c r="AG81" s="1255">
        <f>+AF81-AF76</f>
        <v>0</v>
      </c>
      <c r="AH81" s="1295">
        <f>+(AF81/AF73-1)*100</f>
        <v>55.000000000000007</v>
      </c>
      <c r="AI81" s="1318">
        <v>0.79800000000000004</v>
      </c>
      <c r="AJ81" s="1297"/>
      <c r="AK81" s="1295">
        <f>+(AI81/AI73-1)*100</f>
        <v>48.880597014925378</v>
      </c>
      <c r="AL81" s="1299"/>
      <c r="AM81" s="1298">
        <v>25</v>
      </c>
      <c r="AN81" s="1255">
        <f>+AM81-AM76</f>
        <v>2</v>
      </c>
      <c r="AO81" s="1295">
        <f>+(AM81/AM73-1)*100</f>
        <v>19.047619047619047</v>
      </c>
      <c r="AP81" s="1318">
        <v>0.82699999999999996</v>
      </c>
      <c r="AQ81" s="1297"/>
      <c r="AR81" s="1295">
        <f>+(AP81/AP73-1)*100</f>
        <v>6.9857697283311593</v>
      </c>
      <c r="AS81" s="1299"/>
      <c r="AT81" s="1298">
        <v>0</v>
      </c>
      <c r="AU81" s="1255"/>
      <c r="AV81" s="1295"/>
      <c r="AW81" s="1318">
        <v>0</v>
      </c>
      <c r="AX81" s="1297"/>
      <c r="AY81" s="1295"/>
      <c r="AZ81" s="1299"/>
      <c r="BA81" s="1298"/>
      <c r="BB81" s="1304"/>
      <c r="BC81" s="1303"/>
      <c r="BD81" s="1318"/>
      <c r="BE81" s="1303"/>
      <c r="BF81" s="1305"/>
      <c r="BG81" s="1305"/>
      <c r="BH81" s="1298"/>
      <c r="BI81" s="1304"/>
      <c r="BJ81" s="1303"/>
      <c r="BK81" s="1300"/>
      <c r="BL81" s="1303"/>
      <c r="BM81" s="1305"/>
      <c r="BN81" s="1305"/>
      <c r="BO81" s="1298"/>
      <c r="BP81" s="1304"/>
      <c r="BQ81" s="1303"/>
      <c r="BR81" s="1300"/>
      <c r="BS81" s="1303"/>
      <c r="BT81" s="1305"/>
      <c r="BU81" s="1305"/>
      <c r="BV81" s="1337"/>
      <c r="BW81" s="1338"/>
      <c r="BX81" s="1339"/>
      <c r="BY81" s="1340"/>
      <c r="BZ81" s="1339"/>
      <c r="CA81" s="1341"/>
      <c r="CB81" s="1299"/>
      <c r="CC81" s="1298"/>
      <c r="CD81" s="1304"/>
      <c r="CE81" s="1303"/>
      <c r="CF81" s="1300"/>
      <c r="CG81" s="1303"/>
      <c r="CH81" s="1305"/>
      <c r="CI81" s="1298"/>
      <c r="CJ81" s="1304"/>
      <c r="CK81" s="1303"/>
      <c r="CL81" s="1300"/>
      <c r="CM81" s="1303"/>
      <c r="CN81" s="1305"/>
      <c r="CO81" s="1305"/>
      <c r="CP81" s="1298"/>
      <c r="CQ81" s="1304"/>
      <c r="CR81" s="1303"/>
      <c r="CS81" s="1300"/>
      <c r="CT81" s="1303"/>
      <c r="CU81" s="1305"/>
      <c r="CV81" s="1299"/>
      <c r="CW81" s="1306">
        <f>+D81+Y81+AF81+AM81+AT81+BA81</f>
        <v>1184</v>
      </c>
      <c r="CX81" s="1307">
        <f>+CW81-CW76</f>
        <v>13</v>
      </c>
      <c r="CY81" s="1295">
        <f>+(CW81/CW73-1)*100</f>
        <v>3.5870516185476875</v>
      </c>
      <c r="CZ81" s="1295"/>
      <c r="DA81" s="1295"/>
      <c r="DB81" s="1296">
        <f>+G81+AB81+AI81+AP81+AW81</f>
        <v>35.378</v>
      </c>
      <c r="DC81" s="1297"/>
      <c r="DD81" s="1302"/>
      <c r="DE81" s="1266"/>
      <c r="DF81" s="1266"/>
      <c r="DG81" s="1266"/>
      <c r="DH81" s="1266"/>
      <c r="DI81" s="1266"/>
      <c r="DJ81" s="1266"/>
      <c r="DK81" s="1266"/>
      <c r="DL81" s="1266"/>
      <c r="DM81" s="1266"/>
      <c r="DN81" s="1266"/>
      <c r="DO81" s="1266"/>
      <c r="DP81" s="1266"/>
      <c r="DQ81" s="1266"/>
      <c r="DS81" s="1333">
        <f t="shared" si="0"/>
        <v>7</v>
      </c>
      <c r="DT81" s="1333">
        <f t="shared" si="1"/>
        <v>1</v>
      </c>
      <c r="DU81" s="1333">
        <f t="shared" si="2"/>
        <v>3</v>
      </c>
      <c r="DV81" s="1333">
        <f t="shared" si="3"/>
        <v>0</v>
      </c>
      <c r="DW81" s="1333">
        <f t="shared" si="4"/>
        <v>2</v>
      </c>
      <c r="DX81" s="1333">
        <f t="shared" si="5"/>
        <v>0</v>
      </c>
      <c r="DY81" s="1333">
        <f t="shared" si="6"/>
        <v>0</v>
      </c>
      <c r="DZ81" s="1333">
        <f t="shared" si="7"/>
        <v>0</v>
      </c>
      <c r="EA81" s="1333">
        <f t="shared" si="8"/>
        <v>0</v>
      </c>
      <c r="EB81" s="1333">
        <f t="shared" si="9"/>
        <v>0</v>
      </c>
      <c r="ED81" s="451">
        <f>-(SUMIF(DS81:EB81,"&lt;0"))</f>
        <v>0</v>
      </c>
      <c r="EE81" s="451">
        <f>(SUMIF(DS81:EB81,"&gt;0"))</f>
        <v>13</v>
      </c>
      <c r="EF81" s="451">
        <f>+EE81-ED81</f>
        <v>13</v>
      </c>
      <c r="EG81" s="1333">
        <f>+EF81-CX81</f>
        <v>0</v>
      </c>
    </row>
    <row r="82" spans="1:137" ht="15" hidden="1" outlineLevel="1">
      <c r="A82" s="1266" t="str">
        <f>$A$18</f>
        <v>2Q</v>
      </c>
      <c r="B82" s="1266" t="str">
        <f>$B$18</f>
        <v>Jul</v>
      </c>
      <c r="C82" s="1266"/>
      <c r="D82" s="1294">
        <f>+K82+R82</f>
        <v>1057</v>
      </c>
      <c r="E82" s="1255">
        <f>+D82-D81</f>
        <v>8</v>
      </c>
      <c r="F82" s="1295">
        <f>+(D82/D74-1)*100</f>
        <v>2.5218234723569433</v>
      </c>
      <c r="G82" s="1296">
        <f>+N82+U82</f>
        <v>31.902000000000001</v>
      </c>
      <c r="H82" s="1297"/>
      <c r="I82" s="1295">
        <f>+(G82/G74-1)*100</f>
        <v>2.9395630989642152</v>
      </c>
      <c r="J82" s="1309"/>
      <c r="K82" s="1300">
        <v>593</v>
      </c>
      <c r="L82" s="1255">
        <f>+K82-K81</f>
        <v>6</v>
      </c>
      <c r="M82" s="1295">
        <f>+(K82/K74-1)*100</f>
        <v>2.595155709342567</v>
      </c>
      <c r="N82" s="1318">
        <v>17.271999999999998</v>
      </c>
      <c r="O82" s="1297"/>
      <c r="P82" s="1295">
        <f>+(N82/N74-1)*100</f>
        <v>3.6796926586229572</v>
      </c>
      <c r="Q82" s="1299"/>
      <c r="R82" s="1300">
        <v>464</v>
      </c>
      <c r="S82" s="1255">
        <f>+R82-R81</f>
        <v>2</v>
      </c>
      <c r="T82" s="1295">
        <f>+(R82/R74-1)*100</f>
        <v>2.4282560706401668</v>
      </c>
      <c r="U82" s="1318">
        <v>14.63</v>
      </c>
      <c r="V82" s="1297"/>
      <c r="W82" s="1295">
        <f>+(U82/U74-1)*100</f>
        <v>2.0792631872732281</v>
      </c>
      <c r="X82" s="1299"/>
      <c r="Y82" s="1300">
        <v>81</v>
      </c>
      <c r="Z82" s="1255">
        <f>+Y82-Y81</f>
        <v>2</v>
      </c>
      <c r="AA82" s="1295">
        <f>+(Y82/Y74-1)*100</f>
        <v>19.117647058823529</v>
      </c>
      <c r="AB82" s="1318">
        <v>2.1429999999999998</v>
      </c>
      <c r="AC82" s="1297"/>
      <c r="AD82" s="1295">
        <f>+(AB82/AB74-1)*100</f>
        <v>21.141888072357261</v>
      </c>
      <c r="AE82" s="1299"/>
      <c r="AF82" s="1300">
        <v>35</v>
      </c>
      <c r="AG82" s="1255">
        <f>+AF82-AF81</f>
        <v>4</v>
      </c>
      <c r="AH82" s="1295">
        <f>+(AF82/AF74-1)*100</f>
        <v>66.666666666666671</v>
      </c>
      <c r="AI82" s="1318">
        <v>0.89300000000000002</v>
      </c>
      <c r="AJ82" s="1297"/>
      <c r="AK82" s="1295">
        <f>+(AI82/AI74-1)*100</f>
        <v>58.896797153024892</v>
      </c>
      <c r="AL82" s="1299"/>
      <c r="AM82" s="1300">
        <v>25</v>
      </c>
      <c r="AN82" s="1255">
        <f>+AM82-AM81</f>
        <v>0</v>
      </c>
      <c r="AO82" s="1295">
        <f>+(AM82/AM74-1)*100</f>
        <v>19.047619047619047</v>
      </c>
      <c r="AP82" s="1318">
        <v>0.84799999999999998</v>
      </c>
      <c r="AQ82" s="1297"/>
      <c r="AR82" s="1295">
        <f>+(AP82/AP74-1)*100</f>
        <v>9.70245795601552</v>
      </c>
      <c r="AS82" s="1299"/>
      <c r="AT82" s="1300">
        <v>0</v>
      </c>
      <c r="AU82" s="1255"/>
      <c r="AV82" s="1295"/>
      <c r="AW82" s="1318">
        <v>0</v>
      </c>
      <c r="AX82" s="1297"/>
      <c r="AY82" s="1295"/>
      <c r="AZ82" s="1299"/>
      <c r="BA82" s="1300"/>
      <c r="BB82" s="1304"/>
      <c r="BC82" s="1303"/>
      <c r="BD82" s="1318"/>
      <c r="BE82" s="1303"/>
      <c r="BF82" s="1305"/>
      <c r="BG82" s="1305"/>
      <c r="BH82" s="1300"/>
      <c r="BI82" s="1304"/>
      <c r="BJ82" s="1303"/>
      <c r="BK82" s="1300"/>
      <c r="BL82" s="1303"/>
      <c r="BM82" s="1305"/>
      <c r="BN82" s="1305"/>
      <c r="BO82" s="1300"/>
      <c r="BP82" s="1304"/>
      <c r="BQ82" s="1303"/>
      <c r="BR82" s="1300"/>
      <c r="BS82" s="1303"/>
      <c r="BT82" s="1305"/>
      <c r="BU82" s="1305"/>
      <c r="BV82" s="1340"/>
      <c r="BW82" s="1338"/>
      <c r="BX82" s="1339"/>
      <c r="BY82" s="1340"/>
      <c r="BZ82" s="1339"/>
      <c r="CA82" s="1341"/>
      <c r="CB82" s="1299"/>
      <c r="CC82" s="1300"/>
      <c r="CD82" s="1304"/>
      <c r="CE82" s="1303"/>
      <c r="CF82" s="1300"/>
      <c r="CG82" s="1303"/>
      <c r="CH82" s="1305"/>
      <c r="CI82" s="1300"/>
      <c r="CJ82" s="1304"/>
      <c r="CK82" s="1303"/>
      <c r="CL82" s="1300"/>
      <c r="CM82" s="1303"/>
      <c r="CN82" s="1305"/>
      <c r="CO82" s="1305"/>
      <c r="CP82" s="1300"/>
      <c r="CQ82" s="1304"/>
      <c r="CR82" s="1303"/>
      <c r="CS82" s="1300"/>
      <c r="CT82" s="1303"/>
      <c r="CU82" s="1305"/>
      <c r="CV82" s="1299"/>
      <c r="CW82" s="1306">
        <f>+D82+Y82+AF82+AM82+AT82+BA82</f>
        <v>1198</v>
      </c>
      <c r="CX82" s="1307">
        <f>+CW82-CW81</f>
        <v>14</v>
      </c>
      <c r="CY82" s="1295">
        <f>+(CW82/CW74-1)*100</f>
        <v>4.9956178790534711</v>
      </c>
      <c r="CZ82" s="1295"/>
      <c r="DA82" s="1295"/>
      <c r="DB82" s="1310">
        <f>+G82+AB82+AI82+AP82+AW82</f>
        <v>35.786000000000001</v>
      </c>
      <c r="DC82" s="1297"/>
      <c r="DD82" s="1302"/>
      <c r="DE82" s="1266"/>
      <c r="DF82" s="1266"/>
      <c r="DG82" s="1266"/>
      <c r="DH82" s="1266"/>
      <c r="DI82" s="1266"/>
      <c r="DJ82" s="1266"/>
      <c r="DK82" s="1266"/>
      <c r="DL82" s="1266"/>
      <c r="DM82" s="1266"/>
      <c r="DN82" s="1266"/>
      <c r="DO82" s="1266"/>
      <c r="DP82" s="1266"/>
      <c r="DQ82" s="1266"/>
      <c r="DS82" s="1333">
        <f t="shared" si="0"/>
        <v>6</v>
      </c>
      <c r="DT82" s="1333">
        <f t="shared" si="1"/>
        <v>2</v>
      </c>
      <c r="DU82" s="1333">
        <f t="shared" si="2"/>
        <v>2</v>
      </c>
      <c r="DV82" s="1333">
        <f t="shared" si="3"/>
        <v>4</v>
      </c>
      <c r="DW82" s="1333">
        <f t="shared" si="4"/>
        <v>0</v>
      </c>
      <c r="DX82" s="1333">
        <f t="shared" si="5"/>
        <v>0</v>
      </c>
      <c r="DY82" s="1333">
        <f t="shared" si="6"/>
        <v>0</v>
      </c>
      <c r="DZ82" s="1333">
        <f t="shared" si="7"/>
        <v>0</v>
      </c>
      <c r="EA82" s="1333">
        <f t="shared" si="8"/>
        <v>0</v>
      </c>
      <c r="EB82" s="1333">
        <f t="shared" si="9"/>
        <v>0</v>
      </c>
      <c r="ED82" s="451">
        <f>-(SUMIF(DS82:EB82,"&lt;0"))</f>
        <v>0</v>
      </c>
      <c r="EE82" s="451">
        <f>(SUMIF(DS82:EB82,"&gt;0"))</f>
        <v>14</v>
      </c>
      <c r="EF82" s="451">
        <f>+EE82-ED82</f>
        <v>14</v>
      </c>
      <c r="EG82" s="1333">
        <f>+EF82-CX82</f>
        <v>0</v>
      </c>
    </row>
    <row r="83" spans="1:137" ht="15" hidden="1" outlineLevel="1">
      <c r="A83" s="1266" t="str">
        <f>$A$19</f>
        <v>3Q</v>
      </c>
      <c r="B83" s="1266" t="str">
        <f>$B$19</f>
        <v>Oct</v>
      </c>
      <c r="C83" s="1266"/>
      <c r="D83" s="1294">
        <f>+K83+R83</f>
        <v>1071</v>
      </c>
      <c r="E83" s="1255">
        <f>+D83-D82</f>
        <v>14</v>
      </c>
      <c r="F83" s="1295">
        <f>+(D83/D75-1)*100</f>
        <v>2.7831094049904026</v>
      </c>
      <c r="G83" s="1296">
        <f>+N83+U83</f>
        <v>32.344000000000001</v>
      </c>
      <c r="H83" s="1297"/>
      <c r="I83" s="1295">
        <f>+(G83/G75-1)*100</f>
        <v>3.2167475108501487</v>
      </c>
      <c r="J83" s="1266"/>
      <c r="K83" s="1300">
        <v>600</v>
      </c>
      <c r="L83" s="1255">
        <f>+K83-K82</f>
        <v>7</v>
      </c>
      <c r="M83" s="1295">
        <f>+(K83/K75-1)*100</f>
        <v>3.0927835051546282</v>
      </c>
      <c r="N83" s="1318">
        <v>17.518000000000001</v>
      </c>
      <c r="O83" s="1297"/>
      <c r="P83" s="1295">
        <f>+(N83/N75-1)*100</f>
        <v>3.98907752582216</v>
      </c>
      <c r="Q83" s="1299"/>
      <c r="R83" s="1300">
        <v>471</v>
      </c>
      <c r="S83" s="1255">
        <f>+R83-R82</f>
        <v>7</v>
      </c>
      <c r="T83" s="1295">
        <f>+(R83/R75-1)*100</f>
        <v>2.3913043478260843</v>
      </c>
      <c r="U83" s="1318">
        <v>14.826000000000001</v>
      </c>
      <c r="V83" s="1297"/>
      <c r="W83" s="1295">
        <f>+(U83/U75-1)*100</f>
        <v>2.3188405797101463</v>
      </c>
      <c r="X83" s="1299"/>
      <c r="Y83" s="1300">
        <v>87</v>
      </c>
      <c r="Z83" s="1255">
        <f>+Y83-Y82</f>
        <v>6</v>
      </c>
      <c r="AA83" s="1295">
        <f>+(Y83/Y75-1)*100</f>
        <v>15.999999999999993</v>
      </c>
      <c r="AB83" s="1318">
        <v>2.323</v>
      </c>
      <c r="AC83" s="1297"/>
      <c r="AD83" s="1295">
        <f>+(AB83/AB75-1)*100</f>
        <v>18.520408163265301</v>
      </c>
      <c r="AE83" s="1299"/>
      <c r="AF83" s="1300">
        <v>39</v>
      </c>
      <c r="AG83" s="1255">
        <f>+AF83-AF82</f>
        <v>4</v>
      </c>
      <c r="AH83" s="1295">
        <f>+(AF83/AF75-1)*100</f>
        <v>34.482758620689658</v>
      </c>
      <c r="AI83" s="1318">
        <v>0.99</v>
      </c>
      <c r="AJ83" s="1297"/>
      <c r="AK83" s="1295">
        <f>+(AI83/AI75-1)*100</f>
        <v>30.606860158311335</v>
      </c>
      <c r="AL83" s="1299"/>
      <c r="AM83" s="1300">
        <v>31</v>
      </c>
      <c r="AN83" s="1255">
        <f>+AM83-AM82</f>
        <v>6</v>
      </c>
      <c r="AO83" s="1295">
        <f>+(AM83/AM75-1)*100</f>
        <v>29.166666666666675</v>
      </c>
      <c r="AP83" s="1318">
        <v>0.98699999999999999</v>
      </c>
      <c r="AQ83" s="1297"/>
      <c r="AR83" s="1295">
        <f>+(AP83/AP75-1)*100</f>
        <v>19.347037484885131</v>
      </c>
      <c r="AS83" s="1299"/>
      <c r="AT83" s="1300">
        <v>5</v>
      </c>
      <c r="AU83" s="1255">
        <f>+AT83-AT82</f>
        <v>5</v>
      </c>
      <c r="AV83" s="1295"/>
      <c r="AW83" s="1318">
        <v>3.2000000000000001E-2</v>
      </c>
      <c r="AX83" s="1297"/>
      <c r="AY83" s="1295"/>
      <c r="AZ83" s="1299"/>
      <c r="BA83" s="1300"/>
      <c r="BB83" s="1304"/>
      <c r="BC83" s="1303"/>
      <c r="BD83" s="1318"/>
      <c r="BE83" s="1303"/>
      <c r="BF83" s="1305"/>
      <c r="BG83" s="1305"/>
      <c r="BH83" s="1300"/>
      <c r="BI83" s="1304"/>
      <c r="BJ83" s="1303"/>
      <c r="BK83" s="1300"/>
      <c r="BL83" s="1303"/>
      <c r="BM83" s="1305"/>
      <c r="BN83" s="1305"/>
      <c r="BO83" s="1300"/>
      <c r="BP83" s="1304"/>
      <c r="BQ83" s="1303"/>
      <c r="BR83" s="1300"/>
      <c r="BS83" s="1303"/>
      <c r="BT83" s="1305"/>
      <c r="BU83" s="1305"/>
      <c r="BV83" s="1340"/>
      <c r="BW83" s="1338"/>
      <c r="BX83" s="1339"/>
      <c r="BY83" s="1340"/>
      <c r="BZ83" s="1339"/>
      <c r="CA83" s="1341"/>
      <c r="CB83" s="1299"/>
      <c r="CC83" s="1300"/>
      <c r="CD83" s="1304"/>
      <c r="CE83" s="1303"/>
      <c r="CF83" s="1300"/>
      <c r="CG83" s="1303"/>
      <c r="CH83" s="1305"/>
      <c r="CI83" s="1300"/>
      <c r="CJ83" s="1304"/>
      <c r="CK83" s="1303"/>
      <c r="CL83" s="1300"/>
      <c r="CM83" s="1303"/>
      <c r="CN83" s="1305"/>
      <c r="CO83" s="1305"/>
      <c r="CP83" s="1300"/>
      <c r="CQ83" s="1304"/>
      <c r="CR83" s="1303"/>
      <c r="CS83" s="1300"/>
      <c r="CT83" s="1303"/>
      <c r="CU83" s="1305"/>
      <c r="CV83" s="1299"/>
      <c r="CW83" s="1306">
        <f>+D83+Y83+AF83+AM83+AT83+BA83</f>
        <v>1233</v>
      </c>
      <c r="CX83" s="1307">
        <f>+CW83-CW82</f>
        <v>35</v>
      </c>
      <c r="CY83" s="1295">
        <f>+(CW83/CW75-1)*100</f>
        <v>5.3846153846153877</v>
      </c>
      <c r="CZ83" s="1295"/>
      <c r="DA83" s="1295"/>
      <c r="DB83" s="1310">
        <f>+G83+AB83+AI83+AP83+AW83</f>
        <v>36.676000000000002</v>
      </c>
      <c r="DC83" s="1297"/>
      <c r="DD83" s="1302"/>
      <c r="DE83" s="1266"/>
      <c r="DF83" s="1266"/>
      <c r="DG83" s="1266"/>
      <c r="DH83" s="1266"/>
      <c r="DI83" s="1266"/>
      <c r="DJ83" s="1266"/>
      <c r="DK83" s="1266"/>
      <c r="DL83" s="1266"/>
      <c r="DM83" s="1266"/>
      <c r="DN83" s="1266"/>
      <c r="DO83" s="1266"/>
      <c r="DP83" s="1266"/>
      <c r="DQ83" s="1266"/>
      <c r="DS83" s="1333">
        <f t="shared" si="0"/>
        <v>7</v>
      </c>
      <c r="DT83" s="1333">
        <f t="shared" si="1"/>
        <v>7</v>
      </c>
      <c r="DU83" s="1333">
        <f t="shared" si="2"/>
        <v>6</v>
      </c>
      <c r="DV83" s="1333">
        <f t="shared" si="3"/>
        <v>4</v>
      </c>
      <c r="DW83" s="1333">
        <f t="shared" si="4"/>
        <v>6</v>
      </c>
      <c r="DX83" s="1333">
        <f t="shared" si="5"/>
        <v>5</v>
      </c>
      <c r="DY83" s="1333">
        <f t="shared" si="6"/>
        <v>0</v>
      </c>
      <c r="DZ83" s="1333">
        <f t="shared" si="7"/>
        <v>0</v>
      </c>
      <c r="EA83" s="1333">
        <f t="shared" si="8"/>
        <v>0</v>
      </c>
      <c r="EB83" s="1333">
        <f t="shared" si="9"/>
        <v>0</v>
      </c>
      <c r="ED83" s="451">
        <f>-(SUMIF(DS83:EB83,"&lt;0"))</f>
        <v>0</v>
      </c>
      <c r="EE83" s="451">
        <f>(SUMIF(DS83:EB83,"&gt;0"))</f>
        <v>35</v>
      </c>
      <c r="EF83" s="451">
        <f>+EE83-ED83</f>
        <v>35</v>
      </c>
      <c r="EG83" s="1333">
        <f>+EF83-CX83</f>
        <v>0</v>
      </c>
    </row>
    <row r="84" spans="1:137" ht="15" hidden="1" outlineLevel="1">
      <c r="A84" s="1266" t="str">
        <f>$A$20</f>
        <v>4Q</v>
      </c>
      <c r="B84" s="1266" t="str">
        <f>$B$20</f>
        <v>Jan</v>
      </c>
      <c r="C84" s="1266"/>
      <c r="D84" s="1312">
        <f>+K84+R84</f>
        <v>1079</v>
      </c>
      <c r="E84" s="1255">
        <f>+D84-D83</f>
        <v>8</v>
      </c>
      <c r="F84" s="1295">
        <f>+(D84/D76-1)*100</f>
        <v>3.6503362151777186</v>
      </c>
      <c r="G84" s="1313">
        <f>+N84+U84</f>
        <v>32.557000000000002</v>
      </c>
      <c r="H84" s="1297"/>
      <c r="I84" s="1295">
        <f>+(G84/G76-1)*100</f>
        <v>3.5462120730233471</v>
      </c>
      <c r="J84" s="1266"/>
      <c r="K84" s="1314">
        <v>604</v>
      </c>
      <c r="L84" s="1255">
        <f>+K84-K83</f>
        <v>4</v>
      </c>
      <c r="M84" s="1295">
        <f>+(K84/K76-1)*100</f>
        <v>4.1379310344827669</v>
      </c>
      <c r="N84" s="1334">
        <v>17.648</v>
      </c>
      <c r="O84" s="1297"/>
      <c r="P84" s="1295">
        <f>+(N84/N76-1)*100</f>
        <v>4.5931369643809505</v>
      </c>
      <c r="Q84" s="1299"/>
      <c r="R84" s="1314">
        <v>475</v>
      </c>
      <c r="S84" s="1255">
        <f>+R84-R83</f>
        <v>4</v>
      </c>
      <c r="T84" s="1295">
        <f>+(R84/R76-1)*100</f>
        <v>3.0368763557483636</v>
      </c>
      <c r="U84" s="1334">
        <v>14.909000000000001</v>
      </c>
      <c r="V84" s="1297"/>
      <c r="W84" s="1295">
        <f>+(U84/U76-1)*100</f>
        <v>2.3337222870478458</v>
      </c>
      <c r="X84" s="1299"/>
      <c r="Y84" s="1314">
        <v>87</v>
      </c>
      <c r="Z84" s="1255">
        <f>+Y84-Y83</f>
        <v>0</v>
      </c>
      <c r="AA84" s="1295">
        <f>+(Y84/Y76-1)*100</f>
        <v>14.473684210526304</v>
      </c>
      <c r="AB84" s="1334">
        <v>2.323</v>
      </c>
      <c r="AC84" s="1297"/>
      <c r="AD84" s="1295">
        <f>+(AB84/AB76-1)*100</f>
        <v>16.26626626626626</v>
      </c>
      <c r="AE84" s="1299"/>
      <c r="AF84" s="1314">
        <v>39</v>
      </c>
      <c r="AG84" s="1255">
        <f>+AF84-AF83</f>
        <v>0</v>
      </c>
      <c r="AH84" s="1295">
        <f>+(AF84/AF76-1)*100</f>
        <v>25.806451612903224</v>
      </c>
      <c r="AI84" s="1334">
        <v>0.99</v>
      </c>
      <c r="AJ84" s="1297"/>
      <c r="AK84" s="1295">
        <f>+(AI84/AI76-1)*100</f>
        <v>24.060150375939848</v>
      </c>
      <c r="AL84" s="1299"/>
      <c r="AM84" s="1314">
        <v>35</v>
      </c>
      <c r="AN84" s="1255">
        <f>+AM84-AM83</f>
        <v>4</v>
      </c>
      <c r="AO84" s="1295">
        <f>+(AM84/AM76-1)*100</f>
        <v>52.173913043478272</v>
      </c>
      <c r="AP84" s="1334">
        <v>1.0860000000000001</v>
      </c>
      <c r="AQ84" s="1297"/>
      <c r="AR84" s="1295">
        <f>+(AP84/AP76-1)*100</f>
        <v>39.409499358151479</v>
      </c>
      <c r="AS84" s="1299"/>
      <c r="AT84" s="1314">
        <v>6</v>
      </c>
      <c r="AU84" s="1255">
        <f>+AT84-AT83</f>
        <v>1</v>
      </c>
      <c r="AV84" s="1295"/>
      <c r="AW84" s="1334">
        <v>0.17</v>
      </c>
      <c r="AX84" s="1297"/>
      <c r="AY84" s="1295"/>
      <c r="AZ84" s="1299"/>
      <c r="BA84" s="1300"/>
      <c r="BB84" s="1304"/>
      <c r="BC84" s="1303"/>
      <c r="BD84" s="1334"/>
      <c r="BE84" s="1303"/>
      <c r="BF84" s="1305"/>
      <c r="BG84" s="1305"/>
      <c r="BH84" s="1300"/>
      <c r="BI84" s="1304"/>
      <c r="BJ84" s="1303"/>
      <c r="BK84" s="1294"/>
      <c r="BL84" s="1303"/>
      <c r="BM84" s="1305"/>
      <c r="BN84" s="1305"/>
      <c r="BO84" s="1300"/>
      <c r="BP84" s="1304"/>
      <c r="BQ84" s="1303"/>
      <c r="BR84" s="1294"/>
      <c r="BS84" s="1303"/>
      <c r="BT84" s="1305"/>
      <c r="BU84" s="1305"/>
      <c r="BV84" s="1340"/>
      <c r="BW84" s="1338"/>
      <c r="BX84" s="1339"/>
      <c r="BY84" s="1340"/>
      <c r="BZ84" s="1339"/>
      <c r="CA84" s="1341"/>
      <c r="CB84" s="1299"/>
      <c r="CC84" s="1300"/>
      <c r="CD84" s="1304"/>
      <c r="CE84" s="1303"/>
      <c r="CF84" s="1294"/>
      <c r="CG84" s="1303"/>
      <c r="CH84" s="1305"/>
      <c r="CI84" s="1300"/>
      <c r="CJ84" s="1304"/>
      <c r="CK84" s="1303"/>
      <c r="CL84" s="1294"/>
      <c r="CM84" s="1303"/>
      <c r="CN84" s="1305"/>
      <c r="CO84" s="1305"/>
      <c r="CP84" s="1300"/>
      <c r="CQ84" s="1304"/>
      <c r="CR84" s="1303"/>
      <c r="CS84" s="1294"/>
      <c r="CT84" s="1303"/>
      <c r="CU84" s="1305"/>
      <c r="CV84" s="1299"/>
      <c r="CW84" s="1312">
        <f>+D84+Y84+AF84+AM84+AT84+BA84</f>
        <v>1246</v>
      </c>
      <c r="CX84" s="1307">
        <f>+CW84-CW83</f>
        <v>13</v>
      </c>
      <c r="CY84" s="1295">
        <f>+(CW84/CW76-1)*100</f>
        <v>6.4047822374039276</v>
      </c>
      <c r="CZ84" s="1295"/>
      <c r="DA84" s="1295"/>
      <c r="DB84" s="1313">
        <f>+G84+AB84+AI84+AP84+AW84</f>
        <v>37.126000000000005</v>
      </c>
      <c r="DC84" s="1297"/>
      <c r="DD84" s="1302"/>
      <c r="DE84" s="1266"/>
      <c r="DF84" s="1266"/>
      <c r="DG84" s="1266"/>
      <c r="DH84" s="1266"/>
      <c r="DI84" s="1266"/>
      <c r="DJ84" s="1266"/>
      <c r="DK84" s="1266"/>
      <c r="DL84" s="1266"/>
      <c r="DM84" s="1266"/>
      <c r="DN84" s="1266"/>
      <c r="DO84" s="1266"/>
      <c r="DP84" s="1266"/>
      <c r="DQ84" s="1266"/>
      <c r="DS84" s="1333">
        <f t="shared" si="0"/>
        <v>4</v>
      </c>
      <c r="DT84" s="1333">
        <f t="shared" si="1"/>
        <v>4</v>
      </c>
      <c r="DU84" s="1333">
        <f t="shared" si="2"/>
        <v>0</v>
      </c>
      <c r="DV84" s="1333">
        <f t="shared" si="3"/>
        <v>0</v>
      </c>
      <c r="DW84" s="1333">
        <f t="shared" si="4"/>
        <v>4</v>
      </c>
      <c r="DX84" s="1333">
        <f t="shared" si="5"/>
        <v>1</v>
      </c>
      <c r="DY84" s="1333">
        <f t="shared" si="6"/>
        <v>0</v>
      </c>
      <c r="DZ84" s="1333">
        <f t="shared" si="7"/>
        <v>0</v>
      </c>
      <c r="EA84" s="1333">
        <f t="shared" si="8"/>
        <v>0</v>
      </c>
      <c r="EB84" s="1333">
        <f t="shared" si="9"/>
        <v>0</v>
      </c>
      <c r="ED84" s="451">
        <f>-(SUMIF(DS84:EB84,"&lt;0"))</f>
        <v>0</v>
      </c>
      <c r="EE84" s="451">
        <f>(SUMIF(DS84:EB84,"&gt;0"))</f>
        <v>13</v>
      </c>
      <c r="EF84" s="451">
        <f>+EE84-ED84</f>
        <v>13</v>
      </c>
      <c r="EG84" s="1333">
        <f>+EF84-CX84</f>
        <v>0</v>
      </c>
    </row>
    <row r="85" spans="1:137" ht="15" hidden="1" outlineLevel="1">
      <c r="A85" s="1266"/>
      <c r="B85" s="1266" t="str">
        <f>$B$21</f>
        <v>Year</v>
      </c>
      <c r="C85" s="1266"/>
      <c r="D85" s="1306">
        <v>1079</v>
      </c>
      <c r="E85" s="1317">
        <f>+D85-D77</f>
        <v>38</v>
      </c>
      <c r="F85" s="1295">
        <f>+(D85/D77-1)*100</f>
        <v>3.6503362151777186</v>
      </c>
      <c r="G85" s="1296">
        <f>+N85+U85</f>
        <v>32.557000000000002</v>
      </c>
      <c r="H85" s="1297">
        <f>+G85/D85*1000</f>
        <v>30.173308619091753</v>
      </c>
      <c r="I85" s="1295">
        <f>+(G85/G77-1)*100</f>
        <v>3.5462120730233471</v>
      </c>
      <c r="J85" s="1266"/>
      <c r="K85" s="1306">
        <f>+K84</f>
        <v>604</v>
      </c>
      <c r="L85" s="1317">
        <f>+K85-K77</f>
        <v>24</v>
      </c>
      <c r="M85" s="1295">
        <f>+(K85/K77-1)*100</f>
        <v>4.1379310344827669</v>
      </c>
      <c r="N85" s="1296">
        <f>+N84</f>
        <v>17.648</v>
      </c>
      <c r="O85" s="1297">
        <f>+N85/K85*1000</f>
        <v>29.218543046357617</v>
      </c>
      <c r="P85" s="1295">
        <f>+(N85/N77-1)*100</f>
        <v>4.5931369643809505</v>
      </c>
      <c r="Q85" s="1299"/>
      <c r="R85" s="1306">
        <f>+R84</f>
        <v>475</v>
      </c>
      <c r="S85" s="1317">
        <f>+R85-R77</f>
        <v>14</v>
      </c>
      <c r="T85" s="1295">
        <f>+(R85/R77-1)*100</f>
        <v>3.0368763557483636</v>
      </c>
      <c r="U85" s="1296">
        <f>+U84</f>
        <v>14.909000000000001</v>
      </c>
      <c r="V85" s="1297">
        <f>+U85/R85*1000</f>
        <v>31.387368421052635</v>
      </c>
      <c r="W85" s="1295">
        <f>+(U85/U77-1)*100</f>
        <v>2.3337222870478458</v>
      </c>
      <c r="X85" s="1299"/>
      <c r="Y85" s="1306">
        <f>+Y84</f>
        <v>87</v>
      </c>
      <c r="Z85" s="1317">
        <f>+Y85-Y77</f>
        <v>11</v>
      </c>
      <c r="AA85" s="1295">
        <f>+(Y85/Y77-1)*100</f>
        <v>14.473684210526304</v>
      </c>
      <c r="AB85" s="1296">
        <f>+AB84</f>
        <v>2.323</v>
      </c>
      <c r="AC85" s="1297">
        <f>+AB85/Y85*1000</f>
        <v>26.701149425287355</v>
      </c>
      <c r="AD85" s="1295">
        <f>+(AB85/AB77-1)*100</f>
        <v>16.26626626626626</v>
      </c>
      <c r="AE85" s="1299"/>
      <c r="AF85" s="1306">
        <f>+AF84</f>
        <v>39</v>
      </c>
      <c r="AG85" s="1317">
        <f>+AF85-AF77</f>
        <v>8</v>
      </c>
      <c r="AH85" s="1295">
        <f>+(AF85/AF77-1)*100</f>
        <v>25.806451612903224</v>
      </c>
      <c r="AI85" s="1296">
        <f>+AI84</f>
        <v>0.99</v>
      </c>
      <c r="AJ85" s="1297">
        <f>+AI85/AF85*1000</f>
        <v>25.384615384615383</v>
      </c>
      <c r="AK85" s="1295">
        <f>+(AI85/AI77-1)*100</f>
        <v>24.060150375939848</v>
      </c>
      <c r="AL85" s="1299"/>
      <c r="AM85" s="1306">
        <f>+AM84</f>
        <v>35</v>
      </c>
      <c r="AN85" s="1317">
        <f>+AM85-AM77</f>
        <v>12</v>
      </c>
      <c r="AO85" s="1295">
        <f>+(AM85/AM77-1)*100</f>
        <v>52.173913043478272</v>
      </c>
      <c r="AP85" s="1296">
        <f>+AP84</f>
        <v>1.0860000000000001</v>
      </c>
      <c r="AQ85" s="1297">
        <f>+AP85/AM85*1000</f>
        <v>31.028571428571428</v>
      </c>
      <c r="AR85" s="1295">
        <f>+(AP85/AP77-1)*100</f>
        <v>39.409499358151479</v>
      </c>
      <c r="AS85" s="1299"/>
      <c r="AT85" s="1306">
        <f>+AT84</f>
        <v>6</v>
      </c>
      <c r="AU85" s="1317">
        <f>+AT85-AT77</f>
        <v>6</v>
      </c>
      <c r="AV85" s="1295"/>
      <c r="AW85" s="1296">
        <f>+AW84</f>
        <v>0.17</v>
      </c>
      <c r="AX85" s="1297">
        <f>+AW85/AT85*1000</f>
        <v>28.333333333333336</v>
      </c>
      <c r="AY85" s="1295"/>
      <c r="AZ85" s="1299"/>
      <c r="BA85" s="1294"/>
      <c r="BB85" s="1320"/>
      <c r="BC85" s="1303"/>
      <c r="BD85" s="1296"/>
      <c r="BE85" s="1303"/>
      <c r="BF85" s="1305"/>
      <c r="BG85" s="1305"/>
      <c r="BH85" s="1294"/>
      <c r="BI85" s="1320"/>
      <c r="BJ85" s="1303"/>
      <c r="BK85" s="1300"/>
      <c r="BL85" s="1303"/>
      <c r="BM85" s="1305"/>
      <c r="BN85" s="1305"/>
      <c r="BO85" s="1294"/>
      <c r="BP85" s="1320"/>
      <c r="BQ85" s="1303"/>
      <c r="BR85" s="1300"/>
      <c r="BS85" s="1303"/>
      <c r="BT85" s="1305"/>
      <c r="BU85" s="1305"/>
      <c r="BV85" s="1340"/>
      <c r="BW85" s="1342"/>
      <c r="BX85" s="1339"/>
      <c r="BY85" s="1340"/>
      <c r="BZ85" s="1339"/>
      <c r="CA85" s="1341"/>
      <c r="CB85" s="1299"/>
      <c r="CC85" s="1294"/>
      <c r="CD85" s="1320"/>
      <c r="CE85" s="1303"/>
      <c r="CF85" s="1300"/>
      <c r="CG85" s="1303"/>
      <c r="CH85" s="1305"/>
      <c r="CI85" s="1294"/>
      <c r="CJ85" s="1320"/>
      <c r="CK85" s="1303"/>
      <c r="CL85" s="1300"/>
      <c r="CM85" s="1303"/>
      <c r="CN85" s="1305"/>
      <c r="CO85" s="1305"/>
      <c r="CP85" s="1294"/>
      <c r="CQ85" s="1320"/>
      <c r="CR85" s="1303"/>
      <c r="CS85" s="1300"/>
      <c r="CT85" s="1303"/>
      <c r="CU85" s="1305"/>
      <c r="CV85" s="1299"/>
      <c r="CW85" s="1306">
        <f>+D85+Y85+AF85+AM85+AT85+BA85</f>
        <v>1246</v>
      </c>
      <c r="CX85" s="1317">
        <f>+CW85-CW77</f>
        <v>75</v>
      </c>
      <c r="CY85" s="1295">
        <f>+(CW85/CW77-1)*100</f>
        <v>6.4047822374039276</v>
      </c>
      <c r="CZ85" s="1295"/>
      <c r="DA85" s="1295"/>
      <c r="DB85" s="1296">
        <f>+G85+AB85+AI85+AP85+AW85</f>
        <v>37.126000000000005</v>
      </c>
      <c r="DC85" s="1297"/>
      <c r="DD85" s="1302">
        <f>+(DB85/DB77-1)*100</f>
        <v>6.022788931090628</v>
      </c>
      <c r="DE85" s="1266"/>
      <c r="DF85" s="1266"/>
      <c r="DG85" s="1266"/>
      <c r="DH85" s="1266"/>
      <c r="DI85" s="1266"/>
      <c r="DJ85" s="1266"/>
      <c r="DK85" s="1266"/>
      <c r="DL85" s="1266"/>
      <c r="DM85" s="1266"/>
      <c r="DN85" s="1266"/>
      <c r="DO85" s="1266"/>
      <c r="DP85" s="1266"/>
      <c r="DQ85" s="1266"/>
      <c r="DS85" s="1333"/>
      <c r="DT85" s="1333"/>
      <c r="DU85" s="1333"/>
      <c r="DV85" s="1333"/>
      <c r="DW85" s="1333"/>
      <c r="DX85" s="1333"/>
      <c r="DY85" s="1333"/>
      <c r="DZ85" s="1333"/>
      <c r="EA85" s="1333"/>
      <c r="EB85" s="1333"/>
      <c r="ED85" s="693">
        <f>SUM(ED81:ED84)</f>
        <v>0</v>
      </c>
      <c r="EE85" s="693">
        <f>SUM(EE81:EE84)</f>
        <v>75</v>
      </c>
      <c r="EF85" s="693">
        <f>+EE85-ED85</f>
        <v>75</v>
      </c>
      <c r="EG85" s="1333">
        <f>+EF85-CX85</f>
        <v>0</v>
      </c>
    </row>
    <row r="86" spans="1:137" ht="15" hidden="1" outlineLevel="2">
      <c r="A86" s="1266"/>
      <c r="B86" s="1266" t="s">
        <v>646</v>
      </c>
      <c r="C86" s="1266"/>
      <c r="D86" s="1306"/>
      <c r="E86" s="1317">
        <f>+L86+S86</f>
        <v>44</v>
      </c>
      <c r="F86" s="1323">
        <f>+M86+T86</f>
        <v>-6</v>
      </c>
      <c r="G86" s="1296"/>
      <c r="H86" s="1297"/>
      <c r="I86" s="1295"/>
      <c r="J86" s="1266"/>
      <c r="K86" s="1306"/>
      <c r="L86" s="1256">
        <v>28</v>
      </c>
      <c r="M86" s="1324">
        <v>-4</v>
      </c>
      <c r="N86" s="1325" t="str">
        <f>IF(SUM(L86:M86)=L85,"","N")</f>
        <v/>
      </c>
      <c r="O86" s="1297"/>
      <c r="P86" s="1295"/>
      <c r="Q86" s="1299"/>
      <c r="R86" s="1306"/>
      <c r="S86" s="1256">
        <v>16</v>
      </c>
      <c r="T86" s="1324">
        <v>-2</v>
      </c>
      <c r="U86" s="1325" t="str">
        <f>IF(SUM(S86:T86)=S85,"","N")</f>
        <v/>
      </c>
      <c r="V86" s="1297"/>
      <c r="W86" s="1295"/>
      <c r="X86" s="1299"/>
      <c r="Y86" s="1306"/>
      <c r="Z86" s="1256">
        <v>11</v>
      </c>
      <c r="AA86" s="1324">
        <v>0</v>
      </c>
      <c r="AB86" s="1325" t="str">
        <f>IF(SUM(Z86:AA86)=Z85,"","N")</f>
        <v/>
      </c>
      <c r="AC86" s="1297"/>
      <c r="AD86" s="1295"/>
      <c r="AE86" s="1299"/>
      <c r="AF86" s="1306"/>
      <c r="AG86" s="1256">
        <v>8</v>
      </c>
      <c r="AH86" s="1324">
        <v>0</v>
      </c>
      <c r="AI86" s="1325" t="str">
        <f>IF(SUM(AG86:AH86)=AG85,"","N")</f>
        <v/>
      </c>
      <c r="AJ86" s="1297"/>
      <c r="AK86" s="1295"/>
      <c r="AL86" s="1299"/>
      <c r="AM86" s="1306"/>
      <c r="AN86" s="1256">
        <v>12</v>
      </c>
      <c r="AO86" s="1324">
        <v>0</v>
      </c>
      <c r="AP86" s="1325" t="str">
        <f>IF(SUM(AN86:AO86)=AN85,"","N")</f>
        <v/>
      </c>
      <c r="AQ86" s="1297"/>
      <c r="AR86" s="1295"/>
      <c r="AS86" s="1299"/>
      <c r="AT86" s="1306"/>
      <c r="AU86" s="1256">
        <v>6</v>
      </c>
      <c r="AV86" s="1324">
        <v>0</v>
      </c>
      <c r="AW86" s="1325"/>
      <c r="AX86" s="1297"/>
      <c r="AY86" s="1295"/>
      <c r="AZ86" s="1299"/>
      <c r="BA86" s="1294"/>
      <c r="BB86" s="1256"/>
      <c r="BC86" s="1324"/>
      <c r="BD86" s="1325"/>
      <c r="BE86" s="1303"/>
      <c r="BF86" s="1305"/>
      <c r="BG86" s="1305"/>
      <c r="BH86" s="1294"/>
      <c r="BI86" s="1256"/>
      <c r="BJ86" s="1324"/>
      <c r="BK86" s="1300"/>
      <c r="BL86" s="1303"/>
      <c r="BM86" s="1305"/>
      <c r="BN86" s="1305"/>
      <c r="BO86" s="1294"/>
      <c r="BP86" s="1256"/>
      <c r="BQ86" s="1324"/>
      <c r="BR86" s="1300"/>
      <c r="BS86" s="1303"/>
      <c r="BT86" s="1305"/>
      <c r="BU86" s="1305"/>
      <c r="BV86" s="1340"/>
      <c r="BW86" s="1343"/>
      <c r="BX86" s="1344"/>
      <c r="BY86" s="1340"/>
      <c r="BZ86" s="1339"/>
      <c r="CA86" s="1341"/>
      <c r="CB86" s="1299"/>
      <c r="CC86" s="1294"/>
      <c r="CD86" s="1256"/>
      <c r="CE86" s="1324"/>
      <c r="CF86" s="1300"/>
      <c r="CG86" s="1303"/>
      <c r="CH86" s="1305"/>
      <c r="CI86" s="1294"/>
      <c r="CJ86" s="1256"/>
      <c r="CK86" s="1324"/>
      <c r="CL86" s="1300"/>
      <c r="CM86" s="1303"/>
      <c r="CN86" s="1305"/>
      <c r="CO86" s="1305"/>
      <c r="CP86" s="1294"/>
      <c r="CQ86" s="1256"/>
      <c r="CR86" s="1324"/>
      <c r="CS86" s="1300"/>
      <c r="CT86" s="1303"/>
      <c r="CU86" s="1305"/>
      <c r="CV86" s="1299"/>
      <c r="CW86" s="1306"/>
      <c r="CX86" s="1317">
        <f>+L86+S86+Z86+AG86+AN86+AU86</f>
        <v>81</v>
      </c>
      <c r="CY86" s="1323">
        <f>+M86+T86+AA86+AH86+AO86+AV86</f>
        <v>-6</v>
      </c>
      <c r="CZ86" s="1320"/>
      <c r="DA86" s="1322"/>
      <c r="DB86" s="1296"/>
      <c r="DC86" s="1297"/>
      <c r="DD86" s="1302"/>
      <c r="DE86" s="1266"/>
      <c r="DF86" s="1266"/>
      <c r="DG86" s="1266"/>
      <c r="DH86" s="1266"/>
      <c r="DI86" s="1266"/>
      <c r="DJ86" s="1266"/>
      <c r="DK86" s="1266"/>
      <c r="DL86" s="1266"/>
      <c r="DM86" s="1266"/>
      <c r="DN86" s="1266"/>
      <c r="DO86" s="1266"/>
      <c r="DP86" s="1266"/>
      <c r="DQ86" s="1266"/>
      <c r="DS86" s="1333"/>
      <c r="DT86" s="1333"/>
      <c r="DU86" s="1333"/>
      <c r="DV86" s="1333"/>
      <c r="DW86" s="1333"/>
      <c r="DX86" s="1333"/>
      <c r="DY86" s="1333"/>
      <c r="DZ86" s="1333"/>
      <c r="EA86" s="1333"/>
      <c r="EB86" s="1333"/>
    </row>
    <row r="87" spans="1:137" ht="15" hidden="1" outlineLevel="1" collapsed="1">
      <c r="A87" s="1266"/>
      <c r="B87" s="1266"/>
      <c r="C87" s="1266"/>
      <c r="D87" s="1335"/>
      <c r="E87" s="1269"/>
      <c r="F87" s="1268"/>
      <c r="G87" s="1335"/>
      <c r="H87" s="1268"/>
      <c r="I87" s="1295"/>
      <c r="J87" s="1266"/>
      <c r="K87" s="1336"/>
      <c r="L87" s="1269"/>
      <c r="M87" s="1268"/>
      <c r="N87" s="1336"/>
      <c r="O87" s="1268"/>
      <c r="P87" s="1295"/>
      <c r="Q87" s="1268"/>
      <c r="R87" s="1336"/>
      <c r="S87" s="1269"/>
      <c r="T87" s="1268"/>
      <c r="U87" s="1336"/>
      <c r="V87" s="1268"/>
      <c r="W87" s="1295"/>
      <c r="X87" s="1268"/>
      <c r="Y87" s="1336"/>
      <c r="Z87" s="1269"/>
      <c r="AA87" s="1268"/>
      <c r="AB87" s="1336"/>
      <c r="AC87" s="1268"/>
      <c r="AD87" s="1295"/>
      <c r="AE87" s="1268"/>
      <c r="AF87" s="1336"/>
      <c r="AG87" s="1269"/>
      <c r="AH87" s="1268"/>
      <c r="AI87" s="1336"/>
      <c r="AJ87" s="1268"/>
      <c r="AK87" s="1302"/>
      <c r="AL87" s="1268"/>
      <c r="AM87" s="1336"/>
      <c r="AN87" s="1269"/>
      <c r="AO87" s="1268"/>
      <c r="AP87" s="1336"/>
      <c r="AQ87" s="1268"/>
      <c r="AR87" s="1295"/>
      <c r="AS87" s="1268"/>
      <c r="AT87" s="1336"/>
      <c r="AU87" s="1269"/>
      <c r="AV87" s="1268"/>
      <c r="AW87" s="1336"/>
      <c r="AX87" s="1268"/>
      <c r="AY87" s="1295"/>
      <c r="AZ87" s="1266"/>
      <c r="BA87" s="1336"/>
      <c r="BB87" s="1292"/>
      <c r="BC87" s="1293"/>
      <c r="BD87" s="1336"/>
      <c r="BE87" s="1290"/>
      <c r="BF87" s="1305"/>
      <c r="BG87" s="1305"/>
      <c r="BH87" s="1336"/>
      <c r="BI87" s="1292"/>
      <c r="BJ87" s="1293"/>
      <c r="BK87" s="1336"/>
      <c r="BL87" s="1290"/>
      <c r="BM87" s="1305"/>
      <c r="BN87" s="1305"/>
      <c r="BO87" s="1336"/>
      <c r="BP87" s="1292"/>
      <c r="BQ87" s="1293"/>
      <c r="BR87" s="1336"/>
      <c r="BS87" s="1290"/>
      <c r="BT87" s="1305"/>
      <c r="BU87" s="1305"/>
      <c r="BV87" s="1345"/>
      <c r="BW87" s="1346"/>
      <c r="BX87" s="1347"/>
      <c r="BY87" s="1345"/>
      <c r="BZ87" s="1348"/>
      <c r="CA87" s="1341"/>
      <c r="CB87" s="1266"/>
      <c r="CC87" s="1336"/>
      <c r="CD87" s="1292"/>
      <c r="CE87" s="1293"/>
      <c r="CF87" s="1336"/>
      <c r="CG87" s="1290"/>
      <c r="CH87" s="1305"/>
      <c r="CI87" s="1336"/>
      <c r="CJ87" s="1292"/>
      <c r="CK87" s="1293"/>
      <c r="CL87" s="1336"/>
      <c r="CM87" s="1290"/>
      <c r="CN87" s="1305"/>
      <c r="CO87" s="1305"/>
      <c r="CP87" s="1336"/>
      <c r="CQ87" s="1292"/>
      <c r="CR87" s="1293"/>
      <c r="CS87" s="1336"/>
      <c r="CT87" s="1290"/>
      <c r="CU87" s="1305"/>
      <c r="CV87" s="1266"/>
      <c r="CW87" s="1335"/>
      <c r="CX87" s="1266"/>
      <c r="CY87" s="1266"/>
      <c r="CZ87" s="1266"/>
      <c r="DA87" s="1266"/>
      <c r="DB87" s="1349"/>
      <c r="DC87" s="1268"/>
      <c r="DD87" s="1302"/>
      <c r="DE87" s="1266"/>
      <c r="DF87" s="1266"/>
      <c r="DG87" s="1266"/>
      <c r="DH87" s="1266"/>
      <c r="DI87" s="1266"/>
      <c r="DJ87" s="1266"/>
      <c r="DK87" s="1266"/>
      <c r="DL87" s="1266"/>
      <c r="DM87" s="1266"/>
      <c r="DN87" s="1266"/>
      <c r="DO87" s="1266"/>
      <c r="DP87" s="1266"/>
      <c r="DQ87" s="1266"/>
      <c r="DS87" s="1333"/>
      <c r="DT87" s="1333"/>
      <c r="DU87" s="1333"/>
      <c r="DV87" s="1333"/>
      <c r="DW87" s="1333"/>
      <c r="DX87" s="1333"/>
      <c r="DY87" s="1333"/>
      <c r="DZ87" s="1333"/>
      <c r="EA87" s="1333"/>
      <c r="EB87" s="1333"/>
    </row>
    <row r="88" spans="1:137" ht="15.75" hidden="1" outlineLevel="1">
      <c r="A88" s="2119">
        <f>+A80+1</f>
        <v>1999</v>
      </c>
      <c r="B88" s="2119"/>
      <c r="C88" s="1266"/>
      <c r="D88" s="1335"/>
      <c r="E88" s="1269"/>
      <c r="F88" s="1268"/>
      <c r="G88" s="1335"/>
      <c r="H88" s="1268"/>
      <c r="I88" s="1295"/>
      <c r="J88" s="1266"/>
      <c r="K88" s="1336"/>
      <c r="L88" s="1269"/>
      <c r="M88" s="1268"/>
      <c r="N88" s="1336"/>
      <c r="O88" s="1268"/>
      <c r="P88" s="1295"/>
      <c r="Q88" s="1268"/>
      <c r="R88" s="1336"/>
      <c r="S88" s="1269"/>
      <c r="T88" s="1268"/>
      <c r="U88" s="1336"/>
      <c r="V88" s="1268"/>
      <c r="W88" s="1295"/>
      <c r="X88" s="1268"/>
      <c r="Y88" s="1336"/>
      <c r="Z88" s="1269"/>
      <c r="AA88" s="1268"/>
      <c r="AB88" s="1336"/>
      <c r="AC88" s="1268"/>
      <c r="AD88" s="1295"/>
      <c r="AE88" s="1268"/>
      <c r="AF88" s="1336"/>
      <c r="AG88" s="1269"/>
      <c r="AH88" s="1268"/>
      <c r="AI88" s="1336"/>
      <c r="AJ88" s="1268"/>
      <c r="AK88" s="1302"/>
      <c r="AL88" s="1268"/>
      <c r="AM88" s="1336"/>
      <c r="AN88" s="1269"/>
      <c r="AO88" s="1268"/>
      <c r="AP88" s="1336"/>
      <c r="AQ88" s="1268"/>
      <c r="AR88" s="1295"/>
      <c r="AS88" s="1268"/>
      <c r="AT88" s="1336"/>
      <c r="AU88" s="1269"/>
      <c r="AV88" s="1268"/>
      <c r="AW88" s="1336"/>
      <c r="AX88" s="1268"/>
      <c r="AY88" s="1295"/>
      <c r="AZ88" s="1266"/>
      <c r="BA88" s="1336"/>
      <c r="BB88" s="1292"/>
      <c r="BC88" s="1293"/>
      <c r="BD88" s="1336"/>
      <c r="BE88" s="1290"/>
      <c r="BF88" s="1305"/>
      <c r="BG88" s="1305"/>
      <c r="BH88" s="1336"/>
      <c r="BI88" s="1292"/>
      <c r="BJ88" s="1293"/>
      <c r="BK88" s="1336"/>
      <c r="BL88" s="1290"/>
      <c r="BM88" s="1305"/>
      <c r="BN88" s="1305"/>
      <c r="BO88" s="1336"/>
      <c r="BP88" s="1292"/>
      <c r="BQ88" s="1293"/>
      <c r="BR88" s="1336"/>
      <c r="BS88" s="1290"/>
      <c r="BT88" s="1305"/>
      <c r="BU88" s="1305"/>
      <c r="BV88" s="1345"/>
      <c r="BW88" s="1346"/>
      <c r="BX88" s="1347"/>
      <c r="BY88" s="1345"/>
      <c r="BZ88" s="1348"/>
      <c r="CA88" s="1341"/>
      <c r="CB88" s="1266"/>
      <c r="CC88" s="1336"/>
      <c r="CD88" s="1292"/>
      <c r="CE88" s="1293"/>
      <c r="CF88" s="1336"/>
      <c r="CG88" s="1290"/>
      <c r="CH88" s="1305"/>
      <c r="CI88" s="1336"/>
      <c r="CJ88" s="1292"/>
      <c r="CK88" s="1293"/>
      <c r="CL88" s="1336"/>
      <c r="CM88" s="1290"/>
      <c r="CN88" s="1305"/>
      <c r="CO88" s="1305"/>
      <c r="CP88" s="1336"/>
      <c r="CQ88" s="1292"/>
      <c r="CR88" s="1293"/>
      <c r="CS88" s="1336"/>
      <c r="CT88" s="1290"/>
      <c r="CU88" s="1305"/>
      <c r="CV88" s="1266"/>
      <c r="CW88" s="1335"/>
      <c r="CX88" s="1266"/>
      <c r="CY88" s="1266"/>
      <c r="CZ88" s="1266"/>
      <c r="DA88" s="1266"/>
      <c r="DB88" s="1349"/>
      <c r="DC88" s="1268"/>
      <c r="DD88" s="1302"/>
      <c r="DE88" s="1266"/>
      <c r="DF88" s="1266"/>
      <c r="DG88" s="1266"/>
      <c r="DH88" s="1266"/>
      <c r="DI88" s="1266"/>
      <c r="DJ88" s="1266"/>
      <c r="DK88" s="1266"/>
      <c r="DL88" s="1266"/>
      <c r="DM88" s="1266"/>
      <c r="DN88" s="1266"/>
      <c r="DO88" s="1266"/>
      <c r="DP88" s="1266"/>
      <c r="DQ88" s="1266"/>
      <c r="DS88" s="1333"/>
      <c r="DT88" s="1333"/>
      <c r="DU88" s="1333"/>
      <c r="DV88" s="1333"/>
      <c r="DW88" s="1333"/>
      <c r="DX88" s="1333"/>
      <c r="DY88" s="1333"/>
      <c r="DZ88" s="1333"/>
      <c r="EA88" s="1333"/>
      <c r="EB88" s="1333"/>
    </row>
    <row r="89" spans="1:137" ht="15" hidden="1" outlineLevel="1">
      <c r="A89" s="1266" t="str">
        <f>$A$17</f>
        <v>1Q</v>
      </c>
      <c r="B89" s="1266" t="str">
        <f>$B$17</f>
        <v>Apr</v>
      </c>
      <c r="C89" s="1266"/>
      <c r="D89" s="1294">
        <f>+K89+R89</f>
        <v>1093</v>
      </c>
      <c r="E89" s="1255">
        <f>+D89-D84</f>
        <v>14</v>
      </c>
      <c r="F89" s="1295">
        <f>+(D89/D81-1)*100</f>
        <v>4.1944709246901857</v>
      </c>
      <c r="G89" s="1296">
        <f>+N89+U89</f>
        <v>33.019000000000005</v>
      </c>
      <c r="H89" s="1297"/>
      <c r="I89" s="1295">
        <f>+(G89/G81-1)*100</f>
        <v>4.2727215309796174</v>
      </c>
      <c r="J89" s="1266"/>
      <c r="K89" s="1298">
        <v>613</v>
      </c>
      <c r="L89" s="1255">
        <f>+K89-K84</f>
        <v>9</v>
      </c>
      <c r="M89" s="1295">
        <f>+(K89/K81-1)*100</f>
        <v>4.4293015332197649</v>
      </c>
      <c r="N89" s="1318">
        <v>17.981000000000002</v>
      </c>
      <c r="O89" s="1297"/>
      <c r="P89" s="1295">
        <f>+(N89/N81-1)*100</f>
        <v>5.2998360271726552</v>
      </c>
      <c r="Q89" s="1299"/>
      <c r="R89" s="1298">
        <v>480</v>
      </c>
      <c r="S89" s="1255">
        <f>+R89-R84</f>
        <v>5</v>
      </c>
      <c r="T89" s="1295">
        <f>+(R89/R81-1)*100</f>
        <v>3.8961038961038863</v>
      </c>
      <c r="U89" s="1318">
        <v>15.038</v>
      </c>
      <c r="V89" s="1297"/>
      <c r="W89" s="1295">
        <f>+(U89/U81-1)*100</f>
        <v>3.0705962988348157</v>
      </c>
      <c r="X89" s="1299"/>
      <c r="Y89" s="1298">
        <v>90</v>
      </c>
      <c r="Z89" s="1255">
        <f>+Y89-Y84</f>
        <v>3</v>
      </c>
      <c r="AA89" s="1295">
        <f>+(Y89/Y81-1)*100</f>
        <v>13.924050632911399</v>
      </c>
      <c r="AB89" s="1318">
        <v>2.4249999999999998</v>
      </c>
      <c r="AC89" s="1297"/>
      <c r="AD89" s="1295">
        <f>+(AB89/AB81-1)*100</f>
        <v>16.195495927168157</v>
      </c>
      <c r="AE89" s="1299"/>
      <c r="AF89" s="1298">
        <v>42</v>
      </c>
      <c r="AG89" s="1255">
        <f>+AF89-AF84</f>
        <v>3</v>
      </c>
      <c r="AH89" s="1295">
        <f>+(AF89/AF81-1)*100</f>
        <v>35.483870967741929</v>
      </c>
      <c r="AI89" s="1318">
        <v>1.0589999999999999</v>
      </c>
      <c r="AJ89" s="1297"/>
      <c r="AK89" s="1295">
        <f>+(AI89/AI81-1)*100</f>
        <v>32.706766917293216</v>
      </c>
      <c r="AL89" s="1299"/>
      <c r="AM89" s="1298">
        <v>38</v>
      </c>
      <c r="AN89" s="1255">
        <f>+AM89-AM84</f>
        <v>3</v>
      </c>
      <c r="AO89" s="1295">
        <f>+(AM89/AM81-1)*100</f>
        <v>52</v>
      </c>
      <c r="AP89" s="1318">
        <v>1.161</v>
      </c>
      <c r="AQ89" s="1297"/>
      <c r="AR89" s="1295">
        <f>+(AP89/AP81-1)*100</f>
        <v>40.386940749697708</v>
      </c>
      <c r="AS89" s="1299"/>
      <c r="AT89" s="1298">
        <v>10</v>
      </c>
      <c r="AU89" s="1255">
        <f>+AT89-AT84</f>
        <v>4</v>
      </c>
      <c r="AV89" s="1295" t="s">
        <v>640</v>
      </c>
      <c r="AW89" s="1318">
        <v>0.27600000000000002</v>
      </c>
      <c r="AX89" s="1297"/>
      <c r="AY89" s="1295"/>
      <c r="AZ89" s="1299"/>
      <c r="BA89" s="1300"/>
      <c r="BB89" s="1304"/>
      <c r="BC89" s="1303"/>
      <c r="BD89" s="1318"/>
      <c r="BE89" s="1303"/>
      <c r="BF89" s="1305"/>
      <c r="BG89" s="1305"/>
      <c r="BH89" s="1300"/>
      <c r="BI89" s="1304"/>
      <c r="BJ89" s="1303"/>
      <c r="BK89" s="1300"/>
      <c r="BL89" s="1303"/>
      <c r="BM89" s="1305"/>
      <c r="BN89" s="1305"/>
      <c r="BO89" s="1300"/>
      <c r="BP89" s="1304"/>
      <c r="BQ89" s="1303"/>
      <c r="BR89" s="1300"/>
      <c r="BS89" s="1303"/>
      <c r="BT89" s="1305"/>
      <c r="BU89" s="1305"/>
      <c r="BV89" s="1340"/>
      <c r="BW89" s="1338"/>
      <c r="BX89" s="1339"/>
      <c r="BY89" s="1340"/>
      <c r="BZ89" s="1339"/>
      <c r="CA89" s="1341"/>
      <c r="CB89" s="1299"/>
      <c r="CC89" s="1300"/>
      <c r="CD89" s="1304"/>
      <c r="CE89" s="1303"/>
      <c r="CF89" s="1300"/>
      <c r="CG89" s="1303"/>
      <c r="CH89" s="1305"/>
      <c r="CI89" s="1300"/>
      <c r="CJ89" s="1304"/>
      <c r="CK89" s="1303"/>
      <c r="CL89" s="1300"/>
      <c r="CM89" s="1303"/>
      <c r="CN89" s="1305"/>
      <c r="CO89" s="1305"/>
      <c r="CP89" s="1300"/>
      <c r="CQ89" s="1304"/>
      <c r="CR89" s="1303"/>
      <c r="CS89" s="1300"/>
      <c r="CT89" s="1303"/>
      <c r="CU89" s="1305"/>
      <c r="CV89" s="1299"/>
      <c r="CW89" s="1306">
        <f>+D89+Y89+AF89+AM89+AT89+BA89</f>
        <v>1273</v>
      </c>
      <c r="CX89" s="1307">
        <f>+CW89-CW84</f>
        <v>27</v>
      </c>
      <c r="CY89" s="1295">
        <f>+(CW89/CW81-1)*100</f>
        <v>7.5168918918918859</v>
      </c>
      <c r="CZ89" s="1295"/>
      <c r="DA89" s="1295"/>
      <c r="DB89" s="1296">
        <f>+G89+AB89+AI89+AP89+AW89</f>
        <v>37.940000000000005</v>
      </c>
      <c r="DC89" s="1297"/>
      <c r="DD89" s="1302"/>
      <c r="DE89" s="1266"/>
      <c r="DF89" s="1266"/>
      <c r="DG89" s="1266"/>
      <c r="DH89" s="1266"/>
      <c r="DI89" s="1266"/>
      <c r="DJ89" s="1266"/>
      <c r="DK89" s="1266"/>
      <c r="DL89" s="1266"/>
      <c r="DM89" s="1266"/>
      <c r="DN89" s="1266"/>
      <c r="DO89" s="1266"/>
      <c r="DP89" s="1266"/>
      <c r="DQ89" s="1266"/>
      <c r="DS89" s="1333">
        <f t="shared" si="0"/>
        <v>9</v>
      </c>
      <c r="DT89" s="1333">
        <f t="shared" si="1"/>
        <v>5</v>
      </c>
      <c r="DU89" s="1333">
        <f t="shared" si="2"/>
        <v>3</v>
      </c>
      <c r="DV89" s="1333">
        <f t="shared" si="3"/>
        <v>3</v>
      </c>
      <c r="DW89" s="1333">
        <f t="shared" si="4"/>
        <v>3</v>
      </c>
      <c r="DX89" s="1333">
        <f t="shared" si="5"/>
        <v>4</v>
      </c>
      <c r="DY89" s="1333">
        <f t="shared" si="6"/>
        <v>0</v>
      </c>
      <c r="DZ89" s="1333">
        <f t="shared" si="7"/>
        <v>0</v>
      </c>
      <c r="EA89" s="1333">
        <f t="shared" si="8"/>
        <v>0</v>
      </c>
      <c r="EB89" s="1333">
        <f t="shared" si="9"/>
        <v>0</v>
      </c>
      <c r="ED89" s="451">
        <f>-(SUMIF(DS89:EB89,"&lt;0"))</f>
        <v>0</v>
      </c>
      <c r="EE89" s="451">
        <f>(SUMIF(DS89:EB89,"&gt;0"))</f>
        <v>27</v>
      </c>
      <c r="EF89" s="451">
        <f>+EE89-ED89</f>
        <v>27</v>
      </c>
      <c r="EG89" s="1333">
        <f>+EF89-CX89</f>
        <v>0</v>
      </c>
    </row>
    <row r="90" spans="1:137" ht="15" hidden="1" outlineLevel="1">
      <c r="A90" s="1266" t="str">
        <f>$A$18</f>
        <v>2Q</v>
      </c>
      <c r="B90" s="1266" t="str">
        <f>$B$18</f>
        <v>Jul</v>
      </c>
      <c r="C90" s="1266"/>
      <c r="D90" s="1294">
        <f>+K90+R90</f>
        <v>1104</v>
      </c>
      <c r="E90" s="1255">
        <f>+D90-D89</f>
        <v>11</v>
      </c>
      <c r="F90" s="1295">
        <f>+(D90/D82-1)*100</f>
        <v>4.4465468306527978</v>
      </c>
      <c r="G90" s="1296">
        <f>+N90+U90</f>
        <v>33.287999999999997</v>
      </c>
      <c r="H90" s="1297"/>
      <c r="I90" s="1295">
        <f>+(G90/G82-1)*100</f>
        <v>4.3445552003009036</v>
      </c>
      <c r="J90" s="1309"/>
      <c r="K90" s="1300">
        <v>617</v>
      </c>
      <c r="L90" s="1255">
        <f>+K90-K89</f>
        <v>4</v>
      </c>
      <c r="M90" s="1295">
        <f>+(K90/K82-1)*100</f>
        <v>4.04721753794266</v>
      </c>
      <c r="N90" s="1318">
        <v>18.076000000000001</v>
      </c>
      <c r="O90" s="1297"/>
      <c r="P90" s="1295">
        <f>+(N90/N82-1)*100</f>
        <v>4.6549328392774481</v>
      </c>
      <c r="Q90" s="1299"/>
      <c r="R90" s="1300">
        <v>487</v>
      </c>
      <c r="S90" s="1255">
        <f>+R90-R89</f>
        <v>7</v>
      </c>
      <c r="T90" s="1295">
        <f>+(R90/R82-1)*100</f>
        <v>4.9568965517241326</v>
      </c>
      <c r="U90" s="1318">
        <v>15.212</v>
      </c>
      <c r="V90" s="1297"/>
      <c r="W90" s="1295">
        <f>+(U90/U82-1)*100</f>
        <v>3.9781271360218584</v>
      </c>
      <c r="X90" s="1299"/>
      <c r="Y90" s="1300">
        <v>91</v>
      </c>
      <c r="Z90" s="1255">
        <f>+Y90-Y89</f>
        <v>1</v>
      </c>
      <c r="AA90" s="1295">
        <f>+(Y90/Y82-1)*100</f>
        <v>12.345679012345689</v>
      </c>
      <c r="AB90" s="1318">
        <v>2.4500000000000002</v>
      </c>
      <c r="AC90" s="1297"/>
      <c r="AD90" s="1295">
        <f>+(AB90/AB82-1)*100</f>
        <v>14.325711619225402</v>
      </c>
      <c r="AE90" s="1299"/>
      <c r="AF90" s="1300">
        <v>43</v>
      </c>
      <c r="AG90" s="1255">
        <f>+AF90-AF89</f>
        <v>1</v>
      </c>
      <c r="AH90" s="1295">
        <f>+(AF90/AF82-1)*100</f>
        <v>22.857142857142865</v>
      </c>
      <c r="AI90" s="1318">
        <v>1.08</v>
      </c>
      <c r="AJ90" s="1297"/>
      <c r="AK90" s="1295">
        <f>+(AI90/AI82-1)*100</f>
        <v>20.940649496080631</v>
      </c>
      <c r="AL90" s="1299"/>
      <c r="AM90" s="1300">
        <v>39</v>
      </c>
      <c r="AN90" s="1255">
        <f>+AM90-AM89</f>
        <v>1</v>
      </c>
      <c r="AO90" s="1295">
        <f>+(AM90/AM82-1)*100</f>
        <v>56.000000000000007</v>
      </c>
      <c r="AP90" s="1318">
        <v>1.099</v>
      </c>
      <c r="AQ90" s="1297"/>
      <c r="AR90" s="1295">
        <f>+(AP90/AP82-1)*100</f>
        <v>29.599056603773576</v>
      </c>
      <c r="AS90" s="1299"/>
      <c r="AT90" s="1300">
        <v>11</v>
      </c>
      <c r="AU90" s="1255">
        <f>+AT90-AT89</f>
        <v>1</v>
      </c>
      <c r="AV90" s="1295" t="s">
        <v>640</v>
      </c>
      <c r="AW90" s="1318">
        <v>0.30299999999999999</v>
      </c>
      <c r="AX90" s="1297"/>
      <c r="AY90" s="1295"/>
      <c r="AZ90" s="1299"/>
      <c r="BA90" s="1300"/>
      <c r="BB90" s="1304"/>
      <c r="BC90" s="1303"/>
      <c r="BD90" s="1318"/>
      <c r="BE90" s="1303"/>
      <c r="BF90" s="1305"/>
      <c r="BG90" s="1305"/>
      <c r="BH90" s="1300"/>
      <c r="BI90" s="1304"/>
      <c r="BJ90" s="1303"/>
      <c r="BK90" s="1300"/>
      <c r="BL90" s="1303"/>
      <c r="BM90" s="1305"/>
      <c r="BN90" s="1305"/>
      <c r="BO90" s="1300"/>
      <c r="BP90" s="1304"/>
      <c r="BQ90" s="1303"/>
      <c r="BR90" s="1300"/>
      <c r="BS90" s="1303"/>
      <c r="BT90" s="1305"/>
      <c r="BU90" s="1305"/>
      <c r="BV90" s="1340"/>
      <c r="BW90" s="1338"/>
      <c r="BX90" s="1339"/>
      <c r="BY90" s="1340"/>
      <c r="BZ90" s="1339"/>
      <c r="CA90" s="1341"/>
      <c r="CB90" s="1299"/>
      <c r="CC90" s="1300"/>
      <c r="CD90" s="1304"/>
      <c r="CE90" s="1303"/>
      <c r="CF90" s="1300"/>
      <c r="CG90" s="1303"/>
      <c r="CH90" s="1305"/>
      <c r="CI90" s="1300"/>
      <c r="CJ90" s="1304"/>
      <c r="CK90" s="1303"/>
      <c r="CL90" s="1300"/>
      <c r="CM90" s="1303"/>
      <c r="CN90" s="1305"/>
      <c r="CO90" s="1305"/>
      <c r="CP90" s="1300"/>
      <c r="CQ90" s="1304"/>
      <c r="CR90" s="1303"/>
      <c r="CS90" s="1300"/>
      <c r="CT90" s="1303"/>
      <c r="CU90" s="1305"/>
      <c r="CV90" s="1299"/>
      <c r="CW90" s="1306">
        <f>+D90+Y90+AF90+AM90+AT90+BA90</f>
        <v>1288</v>
      </c>
      <c r="CX90" s="1307">
        <f>+CW90-CW89</f>
        <v>15</v>
      </c>
      <c r="CY90" s="1295">
        <f>+(CW90/CW82-1)*100</f>
        <v>7.5125208681135147</v>
      </c>
      <c r="CZ90" s="1295"/>
      <c r="DA90" s="1295"/>
      <c r="DB90" s="1310">
        <f>+G90+AB90+AI90+AP90+AW90</f>
        <v>38.219999999999992</v>
      </c>
      <c r="DC90" s="1297"/>
      <c r="DD90" s="1302"/>
      <c r="DE90" s="1266"/>
      <c r="DF90" s="1266"/>
      <c r="DG90" s="1266"/>
      <c r="DH90" s="1266"/>
      <c r="DI90" s="1266"/>
      <c r="DJ90" s="1266"/>
      <c r="DK90" s="1266"/>
      <c r="DL90" s="1266"/>
      <c r="DM90" s="1266"/>
      <c r="DN90" s="1266"/>
      <c r="DO90" s="1266"/>
      <c r="DP90" s="1266"/>
      <c r="DQ90" s="1266"/>
      <c r="DS90" s="1333">
        <f t="shared" si="0"/>
        <v>4</v>
      </c>
      <c r="DT90" s="1333">
        <f t="shared" si="1"/>
        <v>7</v>
      </c>
      <c r="DU90" s="1333">
        <f t="shared" si="2"/>
        <v>1</v>
      </c>
      <c r="DV90" s="1333">
        <f t="shared" si="3"/>
        <v>1</v>
      </c>
      <c r="DW90" s="1333">
        <f t="shared" si="4"/>
        <v>1</v>
      </c>
      <c r="DX90" s="1333">
        <f t="shared" si="5"/>
        <v>1</v>
      </c>
      <c r="DY90" s="1333">
        <f t="shared" si="6"/>
        <v>0</v>
      </c>
      <c r="DZ90" s="1333">
        <f t="shared" si="7"/>
        <v>0</v>
      </c>
      <c r="EA90" s="1333">
        <f t="shared" si="8"/>
        <v>0</v>
      </c>
      <c r="EB90" s="1333">
        <f t="shared" si="9"/>
        <v>0</v>
      </c>
      <c r="ED90" s="451">
        <f>-(SUMIF(DS90:EB90,"&lt;0"))</f>
        <v>0</v>
      </c>
      <c r="EE90" s="451">
        <f>(SUMIF(DS90:EB90,"&gt;0"))</f>
        <v>15</v>
      </c>
      <c r="EF90" s="451">
        <f>+EE90-ED90</f>
        <v>15</v>
      </c>
      <c r="EG90" s="1333">
        <f>+EF90-CX90</f>
        <v>0</v>
      </c>
    </row>
    <row r="91" spans="1:137" ht="15" hidden="1" outlineLevel="1">
      <c r="A91" s="1266" t="str">
        <f>$A$19</f>
        <v>3Q</v>
      </c>
      <c r="B91" s="1266" t="str">
        <f>$B$19</f>
        <v>Oct</v>
      </c>
      <c r="C91" s="1266"/>
      <c r="D91" s="1294">
        <f>+K91+R91</f>
        <v>1123</v>
      </c>
      <c r="E91" s="1255">
        <f>+D91-D90</f>
        <v>19</v>
      </c>
      <c r="F91" s="1295">
        <f>+(D91/D83-1)*100</f>
        <v>4.8552754435107426</v>
      </c>
      <c r="G91" s="1296">
        <f>+N91+U91</f>
        <v>33.875</v>
      </c>
      <c r="H91" s="1297"/>
      <c r="I91" s="1295">
        <f>+(G91/G83-1)*100</f>
        <v>4.7334899826861232</v>
      </c>
      <c r="J91" s="1266"/>
      <c r="K91" s="1300">
        <v>625</v>
      </c>
      <c r="L91" s="1255">
        <f>+K91-K90</f>
        <v>8</v>
      </c>
      <c r="M91" s="1295">
        <f>+(K91/K83-1)*100</f>
        <v>4.1666666666666741</v>
      </c>
      <c r="N91" s="1318">
        <v>18.298999999999999</v>
      </c>
      <c r="O91" s="1297"/>
      <c r="P91" s="1295">
        <f>+(N91/N83-1)*100</f>
        <v>4.4582714921794553</v>
      </c>
      <c r="Q91" s="1299"/>
      <c r="R91" s="1300">
        <v>498</v>
      </c>
      <c r="S91" s="1255">
        <f>+R91-R90</f>
        <v>11</v>
      </c>
      <c r="T91" s="1295">
        <f>+(R91/R83-1)*100</f>
        <v>5.7324840764331197</v>
      </c>
      <c r="U91" s="1318">
        <v>15.576000000000001</v>
      </c>
      <c r="V91" s="1297"/>
      <c r="W91" s="1295">
        <f>+(U91/U83-1)*100</f>
        <v>5.058680696074469</v>
      </c>
      <c r="X91" s="1299"/>
      <c r="Y91" s="1300">
        <v>99</v>
      </c>
      <c r="Z91" s="1255">
        <f>+Y91-Y90</f>
        <v>8</v>
      </c>
      <c r="AA91" s="1295">
        <f>+(Y91/Y83-1)*100</f>
        <v>13.793103448275868</v>
      </c>
      <c r="AB91" s="1318">
        <v>2.6789999999999998</v>
      </c>
      <c r="AC91" s="1297"/>
      <c r="AD91" s="1295">
        <f>+(AB91/AB83-1)*100</f>
        <v>15.325010761945745</v>
      </c>
      <c r="AE91" s="1299"/>
      <c r="AF91" s="1300">
        <v>53</v>
      </c>
      <c r="AG91" s="1255">
        <f>+AF91-AF90</f>
        <v>10</v>
      </c>
      <c r="AH91" s="1295">
        <f>+(AF91/AF83-1)*100</f>
        <v>35.897435897435905</v>
      </c>
      <c r="AI91" s="1318">
        <v>1.319</v>
      </c>
      <c r="AJ91" s="1297"/>
      <c r="AK91" s="1295">
        <f>+(AI91/AI83-1)*100</f>
        <v>33.232323232323239</v>
      </c>
      <c r="AL91" s="1299"/>
      <c r="AM91" s="1300">
        <v>46</v>
      </c>
      <c r="AN91" s="1255">
        <f>+AM91-AM90</f>
        <v>7</v>
      </c>
      <c r="AO91" s="1295">
        <f>+(AM91/AM83-1)*100</f>
        <v>48.387096774193552</v>
      </c>
      <c r="AP91" s="1318">
        <v>1.248</v>
      </c>
      <c r="AQ91" s="1297"/>
      <c r="AR91" s="1295">
        <f>+(AP91/AP83-1)*100</f>
        <v>26.443768996960483</v>
      </c>
      <c r="AS91" s="1299"/>
      <c r="AT91" s="1300">
        <v>11</v>
      </c>
      <c r="AU91" s="1255">
        <f>+AT91-AT90</f>
        <v>0</v>
      </c>
      <c r="AV91" s="1295">
        <f>+(AT91/AT83-1)*100</f>
        <v>120.00000000000001</v>
      </c>
      <c r="AW91" s="1318">
        <v>0.30299999999999999</v>
      </c>
      <c r="AX91" s="1297"/>
      <c r="AY91" s="1295">
        <f>+(AW91/AW83-1)*100</f>
        <v>846.875</v>
      </c>
      <c r="AZ91" s="1299"/>
      <c r="BA91" s="1300"/>
      <c r="BB91" s="1304"/>
      <c r="BC91" s="1303"/>
      <c r="BD91" s="1318"/>
      <c r="BE91" s="1303"/>
      <c r="BF91" s="1305"/>
      <c r="BG91" s="1305"/>
      <c r="BH91" s="1300"/>
      <c r="BI91" s="1304"/>
      <c r="BJ91" s="1303"/>
      <c r="BK91" s="1300"/>
      <c r="BL91" s="1303"/>
      <c r="BM91" s="1305"/>
      <c r="BN91" s="1305"/>
      <c r="BO91" s="1300"/>
      <c r="BP91" s="1304"/>
      <c r="BQ91" s="1303"/>
      <c r="BR91" s="1300"/>
      <c r="BS91" s="1303"/>
      <c r="BT91" s="1305"/>
      <c r="BU91" s="1305"/>
      <c r="BV91" s="1340"/>
      <c r="BW91" s="1338"/>
      <c r="BX91" s="1339"/>
      <c r="BY91" s="1340"/>
      <c r="BZ91" s="1339"/>
      <c r="CA91" s="1341"/>
      <c r="CB91" s="1299"/>
      <c r="CC91" s="1300"/>
      <c r="CD91" s="1304"/>
      <c r="CE91" s="1303"/>
      <c r="CF91" s="1300"/>
      <c r="CG91" s="1303"/>
      <c r="CH91" s="1305"/>
      <c r="CI91" s="1300"/>
      <c r="CJ91" s="1304"/>
      <c r="CK91" s="1303"/>
      <c r="CL91" s="1300"/>
      <c r="CM91" s="1303"/>
      <c r="CN91" s="1305"/>
      <c r="CO91" s="1305"/>
      <c r="CP91" s="1300"/>
      <c r="CQ91" s="1304"/>
      <c r="CR91" s="1303"/>
      <c r="CS91" s="1300"/>
      <c r="CT91" s="1303"/>
      <c r="CU91" s="1305"/>
      <c r="CV91" s="1299"/>
      <c r="CW91" s="1306">
        <f>+D91+Y91+AF91+AM91+AT91+BA91</f>
        <v>1332</v>
      </c>
      <c r="CX91" s="1307">
        <f>+CW91-CW90</f>
        <v>44</v>
      </c>
      <c r="CY91" s="1295">
        <f>+(CW91/CW83-1)*100</f>
        <v>8.0291970802919721</v>
      </c>
      <c r="CZ91" s="1295"/>
      <c r="DA91" s="1295"/>
      <c r="DB91" s="1310">
        <f>+G91+AB91+AI91+AP91+AW91</f>
        <v>39.423999999999999</v>
      </c>
      <c r="DC91" s="1297"/>
      <c r="DD91" s="1302"/>
      <c r="DE91" s="1266"/>
      <c r="DF91" s="1266"/>
      <c r="DG91" s="1266"/>
      <c r="DH91" s="1266"/>
      <c r="DI91" s="1266"/>
      <c r="DJ91" s="1266"/>
      <c r="DK91" s="1266"/>
      <c r="DL91" s="1266"/>
      <c r="DM91" s="1266"/>
      <c r="DN91" s="1266"/>
      <c r="DO91" s="1266"/>
      <c r="DP91" s="1266"/>
      <c r="DQ91" s="1266"/>
      <c r="DS91" s="1333">
        <f t="shared" si="0"/>
        <v>8</v>
      </c>
      <c r="DT91" s="1333">
        <f t="shared" si="1"/>
        <v>11</v>
      </c>
      <c r="DU91" s="1333">
        <f t="shared" si="2"/>
        <v>8</v>
      </c>
      <c r="DV91" s="1333">
        <f t="shared" si="3"/>
        <v>10</v>
      </c>
      <c r="DW91" s="1333">
        <f t="shared" si="4"/>
        <v>7</v>
      </c>
      <c r="DX91" s="1333">
        <f t="shared" si="5"/>
        <v>0</v>
      </c>
      <c r="DY91" s="1333">
        <f t="shared" si="6"/>
        <v>0</v>
      </c>
      <c r="DZ91" s="1333">
        <f t="shared" si="7"/>
        <v>0</v>
      </c>
      <c r="EA91" s="1333">
        <f t="shared" si="8"/>
        <v>0</v>
      </c>
      <c r="EB91" s="1333">
        <f t="shared" si="9"/>
        <v>0</v>
      </c>
      <c r="ED91" s="451">
        <f>-(SUMIF(DS91:EB91,"&lt;0"))</f>
        <v>0</v>
      </c>
      <c r="EE91" s="451">
        <f>(SUMIF(DS91:EB91,"&gt;0"))</f>
        <v>44</v>
      </c>
      <c r="EF91" s="451">
        <f>+EE91-ED91</f>
        <v>44</v>
      </c>
      <c r="EG91" s="1333">
        <f>+EF91-CX91</f>
        <v>0</v>
      </c>
    </row>
    <row r="92" spans="1:137" ht="15" hidden="1" outlineLevel="1">
      <c r="A92" s="1266" t="str">
        <f>$A$20</f>
        <v>4Q</v>
      </c>
      <c r="B92" s="1266" t="str">
        <f>$B$20</f>
        <v>Jan</v>
      </c>
      <c r="C92" s="1266"/>
      <c r="D92" s="1312">
        <f>+K92+R92</f>
        <v>1137</v>
      </c>
      <c r="E92" s="1255">
        <f>+D92-D91</f>
        <v>14</v>
      </c>
      <c r="F92" s="1295">
        <f>+(D92/D84-1)*100</f>
        <v>5.3753475440222465</v>
      </c>
      <c r="G92" s="1313">
        <f>+N92+U92</f>
        <v>34.313000000000002</v>
      </c>
      <c r="H92" s="1297"/>
      <c r="I92" s="1295">
        <f>+(G92/G84-1)*100</f>
        <v>5.3936173480357619</v>
      </c>
      <c r="J92" s="1266"/>
      <c r="K92" s="1314">
        <v>632</v>
      </c>
      <c r="L92" s="1255">
        <f>+K92-K91</f>
        <v>7</v>
      </c>
      <c r="M92" s="1295">
        <f>+(K92/K84-1)*100</f>
        <v>4.635761589403975</v>
      </c>
      <c r="N92" s="1334">
        <v>18.524000000000001</v>
      </c>
      <c r="O92" s="1297"/>
      <c r="P92" s="1295">
        <f>+(N92/N84-1)*100</f>
        <v>4.9637352674524182</v>
      </c>
      <c r="Q92" s="1299"/>
      <c r="R92" s="1314">
        <v>505</v>
      </c>
      <c r="S92" s="1255">
        <f>+R92-R91</f>
        <v>7</v>
      </c>
      <c r="T92" s="1295">
        <f>+(R92/R84-1)*100</f>
        <v>6.315789473684208</v>
      </c>
      <c r="U92" s="1334">
        <v>15.789</v>
      </c>
      <c r="V92" s="1297"/>
      <c r="W92" s="1295">
        <f>+(U92/U84-1)*100</f>
        <v>5.9024750150915573</v>
      </c>
      <c r="X92" s="1299"/>
      <c r="Y92" s="1314">
        <v>100</v>
      </c>
      <c r="Z92" s="1255">
        <f>+Y92-Y91</f>
        <v>1</v>
      </c>
      <c r="AA92" s="1295">
        <f>+(Y92/Y84-1)*100</f>
        <v>14.942528735632177</v>
      </c>
      <c r="AB92" s="1334">
        <v>2.7149999999999999</v>
      </c>
      <c r="AC92" s="1297"/>
      <c r="AD92" s="1295">
        <f>+(AB92/AB84-1)*100</f>
        <v>16.87473095135601</v>
      </c>
      <c r="AE92" s="1299"/>
      <c r="AF92" s="1314">
        <v>54</v>
      </c>
      <c r="AG92" s="1255">
        <f>+AF92-AF91</f>
        <v>1</v>
      </c>
      <c r="AH92" s="1295">
        <f>+(AF92/AF84-1)*100</f>
        <v>38.46153846153846</v>
      </c>
      <c r="AI92" s="1334">
        <v>1.35</v>
      </c>
      <c r="AJ92" s="1297"/>
      <c r="AK92" s="1295">
        <f>+(AI92/AI84-1)*100</f>
        <v>36.363636363636374</v>
      </c>
      <c r="AL92" s="1299"/>
      <c r="AM92" s="1314">
        <v>51</v>
      </c>
      <c r="AN92" s="1255">
        <f>+AM92-AM91</f>
        <v>5</v>
      </c>
      <c r="AO92" s="1295">
        <f>+(AM92/AM84-1)*100</f>
        <v>45.714285714285708</v>
      </c>
      <c r="AP92" s="1334">
        <v>1.381</v>
      </c>
      <c r="AQ92" s="1297"/>
      <c r="AR92" s="1295">
        <f>+(AP92/AP84-1)*100</f>
        <v>27.163904235727433</v>
      </c>
      <c r="AS92" s="1299"/>
      <c r="AT92" s="1314">
        <v>15</v>
      </c>
      <c r="AU92" s="1255">
        <f>+AT92-AT91</f>
        <v>4</v>
      </c>
      <c r="AV92" s="1295">
        <f>+(AT92/AT84-1)*100</f>
        <v>150</v>
      </c>
      <c r="AW92" s="1334">
        <v>0.40600000000000003</v>
      </c>
      <c r="AX92" s="1297"/>
      <c r="AY92" s="1295">
        <f>+(AW92/AW84-1)*100</f>
        <v>138.8235294117647</v>
      </c>
      <c r="AZ92" s="1299"/>
      <c r="BA92" s="1300"/>
      <c r="BB92" s="1304"/>
      <c r="BC92" s="1303"/>
      <c r="BD92" s="1334"/>
      <c r="BE92" s="1303"/>
      <c r="BF92" s="1305"/>
      <c r="BG92" s="1305"/>
      <c r="BH92" s="1300"/>
      <c r="BI92" s="1304"/>
      <c r="BJ92" s="1303"/>
      <c r="BK92" s="1294"/>
      <c r="BL92" s="1303"/>
      <c r="BM92" s="1305"/>
      <c r="BN92" s="1305"/>
      <c r="BO92" s="1300"/>
      <c r="BP92" s="1304"/>
      <c r="BQ92" s="1303"/>
      <c r="BR92" s="1294"/>
      <c r="BS92" s="1303"/>
      <c r="BT92" s="1305"/>
      <c r="BU92" s="1305"/>
      <c r="BV92" s="1340"/>
      <c r="BW92" s="1338"/>
      <c r="BX92" s="1339"/>
      <c r="BY92" s="1340"/>
      <c r="BZ92" s="1339"/>
      <c r="CA92" s="1341"/>
      <c r="CB92" s="1299"/>
      <c r="CC92" s="1300"/>
      <c r="CD92" s="1304"/>
      <c r="CE92" s="1303"/>
      <c r="CF92" s="1294"/>
      <c r="CG92" s="1303"/>
      <c r="CH92" s="1305"/>
      <c r="CI92" s="1300"/>
      <c r="CJ92" s="1304"/>
      <c r="CK92" s="1303"/>
      <c r="CL92" s="1294"/>
      <c r="CM92" s="1303"/>
      <c r="CN92" s="1305"/>
      <c r="CO92" s="1305"/>
      <c r="CP92" s="1300"/>
      <c r="CQ92" s="1304"/>
      <c r="CR92" s="1303"/>
      <c r="CS92" s="1294"/>
      <c r="CT92" s="1303"/>
      <c r="CU92" s="1305"/>
      <c r="CV92" s="1299"/>
      <c r="CW92" s="1312">
        <f>+D92+Y92+AF92+AM92+AT92+BA92</f>
        <v>1357</v>
      </c>
      <c r="CX92" s="1307">
        <f>+CW92-CW91</f>
        <v>25</v>
      </c>
      <c r="CY92" s="1295">
        <f>+(CW92/CW84-1)*100</f>
        <v>8.9085072231139595</v>
      </c>
      <c r="CZ92" s="1295"/>
      <c r="DA92" s="1295"/>
      <c r="DB92" s="1313">
        <f>+G92+AB92+AI92+AP92+AW92</f>
        <v>40.165000000000006</v>
      </c>
      <c r="DC92" s="1297"/>
      <c r="DD92" s="1302"/>
      <c r="DE92" s="1266"/>
      <c r="DF92" s="1266"/>
      <c r="DG92" s="1266"/>
      <c r="DH92" s="1266"/>
      <c r="DI92" s="1266"/>
      <c r="DJ92" s="1266"/>
      <c r="DK92" s="1266"/>
      <c r="DL92" s="1266"/>
      <c r="DM92" s="1266"/>
      <c r="DN92" s="1266"/>
      <c r="DO92" s="1266"/>
      <c r="DP92" s="1266"/>
      <c r="DQ92" s="1266"/>
      <c r="DS92" s="1333">
        <f t="shared" si="0"/>
        <v>7</v>
      </c>
      <c r="DT92" s="1333">
        <f t="shared" si="1"/>
        <v>7</v>
      </c>
      <c r="DU92" s="1333">
        <f t="shared" si="2"/>
        <v>1</v>
      </c>
      <c r="DV92" s="1333">
        <f t="shared" si="3"/>
        <v>1</v>
      </c>
      <c r="DW92" s="1333">
        <f t="shared" si="4"/>
        <v>5</v>
      </c>
      <c r="DX92" s="1333">
        <f t="shared" si="5"/>
        <v>4</v>
      </c>
      <c r="DY92" s="1333">
        <f t="shared" si="6"/>
        <v>0</v>
      </c>
      <c r="DZ92" s="1333">
        <f t="shared" si="7"/>
        <v>0</v>
      </c>
      <c r="EA92" s="1333">
        <f t="shared" si="8"/>
        <v>0</v>
      </c>
      <c r="EB92" s="1333">
        <f t="shared" si="9"/>
        <v>0</v>
      </c>
      <c r="ED92" s="451">
        <f>-(SUMIF(DS92:EB92,"&lt;0"))</f>
        <v>0</v>
      </c>
      <c r="EE92" s="451">
        <f>(SUMIF(DS92:EB92,"&gt;0"))</f>
        <v>25</v>
      </c>
      <c r="EF92" s="451">
        <f>+EE92-ED92</f>
        <v>25</v>
      </c>
      <c r="EG92" s="1333">
        <f>+EF92-CX92</f>
        <v>0</v>
      </c>
    </row>
    <row r="93" spans="1:137" ht="15" hidden="1" outlineLevel="1">
      <c r="A93" s="1266"/>
      <c r="B93" s="1266" t="str">
        <f>$B$21</f>
        <v>Year</v>
      </c>
      <c r="C93" s="1266"/>
      <c r="D93" s="1306">
        <v>1137</v>
      </c>
      <c r="E93" s="1317">
        <f>+D93-D85</f>
        <v>58</v>
      </c>
      <c r="F93" s="1295">
        <f>+(D93/D85-1)*100</f>
        <v>5.3753475440222465</v>
      </c>
      <c r="G93" s="1296">
        <f>+N93+U93</f>
        <v>34.313000000000002</v>
      </c>
      <c r="H93" s="1297">
        <f>+G93/D93*1000</f>
        <v>30.178540017590151</v>
      </c>
      <c r="I93" s="1295">
        <f>+(G93/G85-1)*100</f>
        <v>5.3936173480357619</v>
      </c>
      <c r="J93" s="1266"/>
      <c r="K93" s="1306">
        <f>+K92</f>
        <v>632</v>
      </c>
      <c r="L93" s="1317">
        <f>+K93-K85</f>
        <v>28</v>
      </c>
      <c r="M93" s="1295">
        <f>+(K93/K85-1)*100</f>
        <v>4.635761589403975</v>
      </c>
      <c r="N93" s="1296">
        <f>+N92</f>
        <v>18.524000000000001</v>
      </c>
      <c r="O93" s="1297">
        <f>+N93/K93*1000</f>
        <v>29.310126582278482</v>
      </c>
      <c r="P93" s="1295">
        <f>+(N93/N85-1)*100</f>
        <v>4.9637352674524182</v>
      </c>
      <c r="Q93" s="1299"/>
      <c r="R93" s="1306">
        <f>+R92</f>
        <v>505</v>
      </c>
      <c r="S93" s="1317">
        <f>+R93-R85</f>
        <v>30</v>
      </c>
      <c r="T93" s="1295">
        <f>+(R93/R85-1)*100</f>
        <v>6.315789473684208</v>
      </c>
      <c r="U93" s="1296">
        <f>+U92</f>
        <v>15.789</v>
      </c>
      <c r="V93" s="1297">
        <f>+U93/R93*1000</f>
        <v>31.265346534653467</v>
      </c>
      <c r="W93" s="1295">
        <f>+(U93/U85-1)*100</f>
        <v>5.9024750150915573</v>
      </c>
      <c r="X93" s="1299"/>
      <c r="Y93" s="1306">
        <f>+Y92</f>
        <v>100</v>
      </c>
      <c r="Z93" s="1317">
        <f>+Y93-Y85</f>
        <v>13</v>
      </c>
      <c r="AA93" s="1295">
        <f>+(Y93/Y85-1)*100</f>
        <v>14.942528735632177</v>
      </c>
      <c r="AB93" s="1296">
        <f>+AB92</f>
        <v>2.7149999999999999</v>
      </c>
      <c r="AC93" s="1297">
        <f>+AB93/Y93*1000</f>
        <v>27.15</v>
      </c>
      <c r="AD93" s="1295">
        <f>+(AB93/AB85-1)*100</f>
        <v>16.87473095135601</v>
      </c>
      <c r="AE93" s="1299"/>
      <c r="AF93" s="1306">
        <f>+AF92</f>
        <v>54</v>
      </c>
      <c r="AG93" s="1317">
        <f>+AF93-AF85</f>
        <v>15</v>
      </c>
      <c r="AH93" s="1295">
        <f>+(AF93/AF85-1)*100</f>
        <v>38.46153846153846</v>
      </c>
      <c r="AI93" s="1296">
        <f>+AI92</f>
        <v>1.35</v>
      </c>
      <c r="AJ93" s="1297">
        <f>+AI93/AF93*1000</f>
        <v>25</v>
      </c>
      <c r="AK93" s="1295">
        <f>+(AI93/AI85-1)*100</f>
        <v>36.363636363636374</v>
      </c>
      <c r="AL93" s="1299"/>
      <c r="AM93" s="1306">
        <f>+AM92</f>
        <v>51</v>
      </c>
      <c r="AN93" s="1317">
        <f>+AM93-AM85</f>
        <v>16</v>
      </c>
      <c r="AO93" s="1295">
        <f>+(AM93/AM85-1)*100</f>
        <v>45.714285714285708</v>
      </c>
      <c r="AP93" s="1296">
        <f>+AP92</f>
        <v>1.381</v>
      </c>
      <c r="AQ93" s="1297">
        <f>+AP93/AM93*1000</f>
        <v>27.078431372549019</v>
      </c>
      <c r="AR93" s="1295">
        <f>+(AP93/AP85-1)*100</f>
        <v>27.163904235727433</v>
      </c>
      <c r="AS93" s="1299"/>
      <c r="AT93" s="1306">
        <f>+AT92</f>
        <v>15</v>
      </c>
      <c r="AU93" s="1317">
        <f>+AT93-AT85</f>
        <v>9</v>
      </c>
      <c r="AV93" s="1295">
        <f>+(AT93/AT85-1)*100</f>
        <v>150</v>
      </c>
      <c r="AW93" s="1296">
        <f>+AW92</f>
        <v>0.40600000000000003</v>
      </c>
      <c r="AX93" s="1297">
        <f>+AW93/AT93*1000</f>
        <v>27.06666666666667</v>
      </c>
      <c r="AY93" s="1295">
        <f>+(AW93/AW85-1)*100</f>
        <v>138.8235294117647</v>
      </c>
      <c r="AZ93" s="1299"/>
      <c r="BA93" s="1294"/>
      <c r="BB93" s="1320"/>
      <c r="BC93" s="1303"/>
      <c r="BD93" s="1296"/>
      <c r="BE93" s="1303"/>
      <c r="BF93" s="1305"/>
      <c r="BG93" s="1305"/>
      <c r="BH93" s="1294"/>
      <c r="BI93" s="1320"/>
      <c r="BJ93" s="1303"/>
      <c r="BK93" s="1300"/>
      <c r="BL93" s="1303"/>
      <c r="BM93" s="1305"/>
      <c r="BN93" s="1305"/>
      <c r="BO93" s="1294"/>
      <c r="BP93" s="1320"/>
      <c r="BQ93" s="1303"/>
      <c r="BR93" s="1300"/>
      <c r="BS93" s="1303"/>
      <c r="BT93" s="1305"/>
      <c r="BU93" s="1305"/>
      <c r="BV93" s="1340"/>
      <c r="BW93" s="1342"/>
      <c r="BX93" s="1339"/>
      <c r="BY93" s="1340"/>
      <c r="BZ93" s="1339"/>
      <c r="CA93" s="1341"/>
      <c r="CB93" s="1299"/>
      <c r="CC93" s="1294"/>
      <c r="CD93" s="1320"/>
      <c r="CE93" s="1303"/>
      <c r="CF93" s="1300"/>
      <c r="CG93" s="1303"/>
      <c r="CH93" s="1305"/>
      <c r="CI93" s="1294"/>
      <c r="CJ93" s="1320"/>
      <c r="CK93" s="1303"/>
      <c r="CL93" s="1300"/>
      <c r="CM93" s="1303"/>
      <c r="CN93" s="1305"/>
      <c r="CO93" s="1305"/>
      <c r="CP93" s="1294"/>
      <c r="CQ93" s="1320"/>
      <c r="CR93" s="1303"/>
      <c r="CS93" s="1300"/>
      <c r="CT93" s="1303"/>
      <c r="CU93" s="1305"/>
      <c r="CV93" s="1299"/>
      <c r="CW93" s="1306">
        <f>+D93+Y93+AF93+AM93+AT93+BA93</f>
        <v>1357</v>
      </c>
      <c r="CX93" s="1317">
        <f>+CW93-CW85</f>
        <v>111</v>
      </c>
      <c r="CY93" s="1295">
        <f>+(CW93/CW85-1)*100</f>
        <v>8.9085072231139595</v>
      </c>
      <c r="CZ93" s="1295"/>
      <c r="DA93" s="1295"/>
      <c r="DB93" s="1296">
        <f>+G93+AB93+AI93+AP93+AW93</f>
        <v>40.165000000000006</v>
      </c>
      <c r="DC93" s="1297"/>
      <c r="DD93" s="1302">
        <f>+(DB93/DB85-1)*100</f>
        <v>8.1856380972903153</v>
      </c>
      <c r="DE93" s="1266"/>
      <c r="DF93" s="1266"/>
      <c r="DG93" s="1266"/>
      <c r="DH93" s="1266"/>
      <c r="DI93" s="1266"/>
      <c r="DJ93" s="1266"/>
      <c r="DK93" s="1266"/>
      <c r="DL93" s="1266"/>
      <c r="DM93" s="1266"/>
      <c r="DN93" s="1266"/>
      <c r="DO93" s="1266"/>
      <c r="DP93" s="1266"/>
      <c r="DQ93" s="1266"/>
      <c r="DS93" s="1333"/>
      <c r="DT93" s="1333"/>
      <c r="DU93" s="1333"/>
      <c r="DV93" s="1333"/>
      <c r="DW93" s="1333"/>
      <c r="DX93" s="1333"/>
      <c r="DY93" s="1333"/>
      <c r="DZ93" s="1333"/>
      <c r="EA93" s="1333"/>
      <c r="EB93" s="1333"/>
      <c r="ED93" s="693">
        <f>SUM(ED89:ED92)</f>
        <v>0</v>
      </c>
      <c r="EE93" s="693">
        <f>SUM(EE89:EE92)</f>
        <v>111</v>
      </c>
      <c r="EF93" s="693">
        <f>+EE93-ED93</f>
        <v>111</v>
      </c>
      <c r="EG93" s="1333">
        <f>+EF93-CX93</f>
        <v>0</v>
      </c>
    </row>
    <row r="94" spans="1:137" ht="15" hidden="1" outlineLevel="2">
      <c r="A94" s="1266"/>
      <c r="B94" s="1266" t="s">
        <v>646</v>
      </c>
      <c r="C94" s="1266"/>
      <c r="D94" s="1306"/>
      <c r="E94" s="1317"/>
      <c r="F94" s="1323"/>
      <c r="G94" s="1296"/>
      <c r="H94" s="1297"/>
      <c r="I94" s="1295"/>
      <c r="J94" s="1266"/>
      <c r="K94" s="1306"/>
      <c r="L94" s="1256"/>
      <c r="M94" s="1324"/>
      <c r="N94" s="1325" t="str">
        <f>IF(SUM(L94:M94)=L93,"","N")</f>
        <v>N</v>
      </c>
      <c r="O94" s="1297"/>
      <c r="P94" s="1295"/>
      <c r="Q94" s="1299"/>
      <c r="R94" s="1306"/>
      <c r="S94" s="1256"/>
      <c r="T94" s="1324"/>
      <c r="U94" s="1325" t="str">
        <f>IF(SUM(S94:T94)=S93,"","N")</f>
        <v>N</v>
      </c>
      <c r="V94" s="1297"/>
      <c r="W94" s="1295"/>
      <c r="X94" s="1299"/>
      <c r="Y94" s="1306"/>
      <c r="Z94" s="1256"/>
      <c r="AA94" s="1324"/>
      <c r="AB94" s="1325" t="str">
        <f>IF(SUM(Z94:AA94)=Z93,"","N")</f>
        <v>N</v>
      </c>
      <c r="AC94" s="1297"/>
      <c r="AD94" s="1295"/>
      <c r="AE94" s="1299"/>
      <c r="AF94" s="1306"/>
      <c r="AG94" s="1256"/>
      <c r="AH94" s="1324"/>
      <c r="AI94" s="1325" t="str">
        <f>IF(SUM(AG94:AH94)=AG93,"","N")</f>
        <v>N</v>
      </c>
      <c r="AJ94" s="1297"/>
      <c r="AK94" s="1295"/>
      <c r="AL94" s="1299"/>
      <c r="AM94" s="1306"/>
      <c r="AN94" s="1256"/>
      <c r="AO94" s="1324"/>
      <c r="AP94" s="1325" t="str">
        <f>IF(SUM(AN94:AO94)=AN93,"","N")</f>
        <v>N</v>
      </c>
      <c r="AQ94" s="1297"/>
      <c r="AR94" s="1295"/>
      <c r="AS94" s="1299"/>
      <c r="AT94" s="1306"/>
      <c r="AU94" s="1256"/>
      <c r="AV94" s="1324"/>
      <c r="AW94" s="1325" t="str">
        <f>IF(SUM(AU94:AV94)=AU93,"","N")</f>
        <v>N</v>
      </c>
      <c r="AX94" s="1297"/>
      <c r="AY94" s="1295"/>
      <c r="AZ94" s="1299"/>
      <c r="BA94" s="1294"/>
      <c r="BB94" s="1256"/>
      <c r="BC94" s="1324"/>
      <c r="BD94" s="1325"/>
      <c r="BE94" s="1303"/>
      <c r="BF94" s="1305"/>
      <c r="BG94" s="1305"/>
      <c r="BH94" s="1294"/>
      <c r="BI94" s="1256"/>
      <c r="BJ94" s="1324"/>
      <c r="BK94" s="1300"/>
      <c r="BL94" s="1303"/>
      <c r="BM94" s="1305"/>
      <c r="BN94" s="1305"/>
      <c r="BO94" s="1294"/>
      <c r="BP94" s="1256"/>
      <c r="BQ94" s="1324"/>
      <c r="BR94" s="1300"/>
      <c r="BS94" s="1303"/>
      <c r="BT94" s="1305"/>
      <c r="BU94" s="1305"/>
      <c r="BV94" s="1340"/>
      <c r="BW94" s="1343"/>
      <c r="BX94" s="1344"/>
      <c r="BY94" s="1340"/>
      <c r="BZ94" s="1339"/>
      <c r="CA94" s="1341"/>
      <c r="CB94" s="1299"/>
      <c r="CC94" s="1294"/>
      <c r="CD94" s="1256"/>
      <c r="CE94" s="1324"/>
      <c r="CF94" s="1300"/>
      <c r="CG94" s="1303"/>
      <c r="CH94" s="1305"/>
      <c r="CI94" s="1294"/>
      <c r="CJ94" s="1256"/>
      <c r="CK94" s="1324"/>
      <c r="CL94" s="1300"/>
      <c r="CM94" s="1303"/>
      <c r="CN94" s="1305"/>
      <c r="CO94" s="1305"/>
      <c r="CP94" s="1294"/>
      <c r="CQ94" s="1256"/>
      <c r="CR94" s="1324"/>
      <c r="CS94" s="1300"/>
      <c r="CT94" s="1303"/>
      <c r="CU94" s="1305"/>
      <c r="CV94" s="1299"/>
      <c r="CW94" s="1306"/>
      <c r="CX94" s="1317"/>
      <c r="CY94" s="1323"/>
      <c r="CZ94" s="1320"/>
      <c r="DA94" s="1322"/>
      <c r="DB94" s="1296"/>
      <c r="DC94" s="1297"/>
      <c r="DD94" s="1302"/>
      <c r="DE94" s="1266"/>
      <c r="DF94" s="1266"/>
      <c r="DG94" s="1266"/>
      <c r="DH94" s="1266"/>
      <c r="DI94" s="1266"/>
      <c r="DJ94" s="1266"/>
      <c r="DK94" s="1266"/>
      <c r="DL94" s="1266"/>
      <c r="DM94" s="1266"/>
      <c r="DN94" s="1266"/>
      <c r="DO94" s="1266"/>
      <c r="DP94" s="1266"/>
      <c r="DQ94" s="1266"/>
      <c r="DS94" s="1333"/>
      <c r="DT94" s="1333"/>
      <c r="DU94" s="1333"/>
      <c r="DV94" s="1333"/>
      <c r="DW94" s="1333"/>
      <c r="DX94" s="1333"/>
      <c r="DY94" s="1333"/>
      <c r="DZ94" s="1333"/>
      <c r="EA94" s="1333"/>
      <c r="EB94" s="1333"/>
    </row>
    <row r="95" spans="1:137" ht="15" hidden="1" outlineLevel="1" collapsed="1">
      <c r="A95" s="1266"/>
      <c r="B95" s="1266"/>
      <c r="C95" s="1266"/>
      <c r="D95" s="1335"/>
      <c r="E95" s="1269"/>
      <c r="F95" s="1268"/>
      <c r="G95" s="1335"/>
      <c r="H95" s="1268"/>
      <c r="I95" s="1295"/>
      <c r="J95" s="1266"/>
      <c r="K95" s="1336"/>
      <c r="L95" s="1269"/>
      <c r="M95" s="1268"/>
      <c r="N95" s="1336"/>
      <c r="O95" s="1268"/>
      <c r="P95" s="1295"/>
      <c r="Q95" s="1268"/>
      <c r="R95" s="1336"/>
      <c r="S95" s="1269"/>
      <c r="T95" s="1268"/>
      <c r="U95" s="1336"/>
      <c r="V95" s="1268"/>
      <c r="W95" s="1295"/>
      <c r="X95" s="1268"/>
      <c r="Y95" s="1336"/>
      <c r="Z95" s="1269"/>
      <c r="AA95" s="1268"/>
      <c r="AB95" s="1336"/>
      <c r="AC95" s="1268"/>
      <c r="AD95" s="1295"/>
      <c r="AE95" s="1268"/>
      <c r="AF95" s="1336"/>
      <c r="AG95" s="1269"/>
      <c r="AH95" s="1268"/>
      <c r="AI95" s="1336"/>
      <c r="AJ95" s="1268"/>
      <c r="AK95" s="1302"/>
      <c r="AL95" s="1268"/>
      <c r="AM95" s="1336"/>
      <c r="AN95" s="1269"/>
      <c r="AO95" s="1268"/>
      <c r="AP95" s="1336"/>
      <c r="AQ95" s="1268"/>
      <c r="AR95" s="1295"/>
      <c r="AS95" s="1268"/>
      <c r="AT95" s="1336"/>
      <c r="AU95" s="1269"/>
      <c r="AV95" s="1268"/>
      <c r="AW95" s="1336"/>
      <c r="AX95" s="1268"/>
      <c r="AY95" s="1295"/>
      <c r="AZ95" s="1266"/>
      <c r="BA95" s="1336"/>
      <c r="BB95" s="1292"/>
      <c r="BC95" s="1293"/>
      <c r="BD95" s="1336"/>
      <c r="BE95" s="1290"/>
      <c r="BF95" s="1305"/>
      <c r="BG95" s="1305"/>
      <c r="BH95" s="1336"/>
      <c r="BI95" s="1292"/>
      <c r="BJ95" s="1293"/>
      <c r="BK95" s="1336"/>
      <c r="BL95" s="1290"/>
      <c r="BM95" s="1305"/>
      <c r="BN95" s="1305"/>
      <c r="BO95" s="1336"/>
      <c r="BP95" s="1292"/>
      <c r="BQ95" s="1293"/>
      <c r="BR95" s="1336"/>
      <c r="BS95" s="1290"/>
      <c r="BT95" s="1305"/>
      <c r="BU95" s="1305"/>
      <c r="BV95" s="1345"/>
      <c r="BW95" s="1346"/>
      <c r="BX95" s="1347"/>
      <c r="BY95" s="1345"/>
      <c r="BZ95" s="1348"/>
      <c r="CA95" s="1341"/>
      <c r="CB95" s="1266"/>
      <c r="CC95" s="1336"/>
      <c r="CD95" s="1292"/>
      <c r="CE95" s="1293"/>
      <c r="CF95" s="1336"/>
      <c r="CG95" s="1290"/>
      <c r="CH95" s="1305"/>
      <c r="CI95" s="1336"/>
      <c r="CJ95" s="1292"/>
      <c r="CK95" s="1293"/>
      <c r="CL95" s="1336"/>
      <c r="CM95" s="1290"/>
      <c r="CN95" s="1305"/>
      <c r="CO95" s="1305"/>
      <c r="CP95" s="1336"/>
      <c r="CQ95" s="1292"/>
      <c r="CR95" s="1293"/>
      <c r="CS95" s="1336"/>
      <c r="CT95" s="1290"/>
      <c r="CU95" s="1305"/>
      <c r="CV95" s="1266"/>
      <c r="CW95" s="1335"/>
      <c r="CX95" s="1266"/>
      <c r="CY95" s="1266"/>
      <c r="CZ95" s="1266"/>
      <c r="DA95" s="1266"/>
      <c r="DB95" s="1349"/>
      <c r="DC95" s="1268"/>
      <c r="DD95" s="1302"/>
      <c r="DE95" s="1266"/>
      <c r="DF95" s="1266"/>
      <c r="DG95" s="1266"/>
      <c r="DH95" s="1266"/>
      <c r="DI95" s="1266"/>
      <c r="DJ95" s="1266"/>
      <c r="DK95" s="1266"/>
      <c r="DL95" s="1266"/>
      <c r="DM95" s="1266"/>
      <c r="DN95" s="1266"/>
      <c r="DO95" s="1266"/>
      <c r="DP95" s="1266"/>
      <c r="DQ95" s="1266"/>
      <c r="DS95" s="1333"/>
      <c r="DT95" s="1333"/>
      <c r="DU95" s="1333"/>
      <c r="DV95" s="1333"/>
      <c r="DW95" s="1333"/>
      <c r="DX95" s="1333"/>
      <c r="DY95" s="1333"/>
      <c r="DZ95" s="1333"/>
      <c r="EA95" s="1333"/>
      <c r="EB95" s="1333"/>
    </row>
    <row r="96" spans="1:137" ht="15.75" hidden="1" outlineLevel="1">
      <c r="A96" s="2119">
        <f>+A88+1</f>
        <v>2000</v>
      </c>
      <c r="B96" s="2119"/>
      <c r="C96" s="1266"/>
      <c r="D96" s="1335"/>
      <c r="E96" s="1269"/>
      <c r="F96" s="1268"/>
      <c r="G96" s="1335"/>
      <c r="H96" s="1268"/>
      <c r="I96" s="1295"/>
      <c r="J96" s="1266"/>
      <c r="K96" s="1336"/>
      <c r="L96" s="1269"/>
      <c r="M96" s="1268"/>
      <c r="N96" s="1336"/>
      <c r="O96" s="1268"/>
      <c r="P96" s="1295"/>
      <c r="Q96" s="1268"/>
      <c r="R96" s="1336"/>
      <c r="S96" s="1269"/>
      <c r="T96" s="1268"/>
      <c r="U96" s="1336"/>
      <c r="V96" s="1268"/>
      <c r="W96" s="1295"/>
      <c r="X96" s="1268"/>
      <c r="Y96" s="1336"/>
      <c r="Z96" s="1269"/>
      <c r="AA96" s="1268"/>
      <c r="AB96" s="1336"/>
      <c r="AC96" s="1268"/>
      <c r="AD96" s="1295"/>
      <c r="AE96" s="1268"/>
      <c r="AF96" s="1336"/>
      <c r="AG96" s="1269"/>
      <c r="AH96" s="1268"/>
      <c r="AI96" s="1336"/>
      <c r="AJ96" s="1268"/>
      <c r="AK96" s="1302"/>
      <c r="AL96" s="1268"/>
      <c r="AM96" s="1336"/>
      <c r="AN96" s="1269"/>
      <c r="AO96" s="1268"/>
      <c r="AP96" s="1336"/>
      <c r="AQ96" s="1268"/>
      <c r="AR96" s="1295"/>
      <c r="AS96" s="1268"/>
      <c r="AT96" s="1336"/>
      <c r="AU96" s="1269"/>
      <c r="AV96" s="1268"/>
      <c r="AW96" s="1336"/>
      <c r="AX96" s="1268"/>
      <c r="AY96" s="1295"/>
      <c r="AZ96" s="1266"/>
      <c r="BA96" s="1336"/>
      <c r="BB96" s="1292"/>
      <c r="BC96" s="1293"/>
      <c r="BD96" s="1336"/>
      <c r="BE96" s="1290"/>
      <c r="BF96" s="1305"/>
      <c r="BG96" s="1305"/>
      <c r="BH96" s="1336"/>
      <c r="BI96" s="1292"/>
      <c r="BJ96" s="1293"/>
      <c r="BK96" s="1336"/>
      <c r="BL96" s="1290"/>
      <c r="BM96" s="1305"/>
      <c r="BN96" s="1305"/>
      <c r="BO96" s="1336"/>
      <c r="BP96" s="1292"/>
      <c r="BQ96" s="1293"/>
      <c r="BR96" s="1336"/>
      <c r="BS96" s="1290"/>
      <c r="BT96" s="1305"/>
      <c r="BU96" s="1305"/>
      <c r="BV96" s="1345"/>
      <c r="BW96" s="1346"/>
      <c r="BX96" s="1347"/>
      <c r="BY96" s="1345"/>
      <c r="BZ96" s="1348"/>
      <c r="CA96" s="1341"/>
      <c r="CB96" s="1266"/>
      <c r="CC96" s="1336"/>
      <c r="CD96" s="1292"/>
      <c r="CE96" s="1293"/>
      <c r="CF96" s="1336"/>
      <c r="CG96" s="1290"/>
      <c r="CH96" s="1305"/>
      <c r="CI96" s="1336"/>
      <c r="CJ96" s="1292"/>
      <c r="CK96" s="1293"/>
      <c r="CL96" s="1336"/>
      <c r="CM96" s="1290"/>
      <c r="CN96" s="1305"/>
      <c r="CO96" s="1305"/>
      <c r="CP96" s="1336"/>
      <c r="CQ96" s="1292"/>
      <c r="CR96" s="1293"/>
      <c r="CS96" s="1336"/>
      <c r="CT96" s="1290"/>
      <c r="CU96" s="1305"/>
      <c r="CV96" s="1266"/>
      <c r="CW96" s="1335"/>
      <c r="CX96" s="1266"/>
      <c r="CY96" s="1266"/>
      <c r="CZ96" s="1266"/>
      <c r="DA96" s="1266"/>
      <c r="DB96" s="1349"/>
      <c r="DC96" s="1268"/>
      <c r="DD96" s="1302"/>
      <c r="DE96" s="1266"/>
      <c r="DF96" s="1266"/>
      <c r="DG96" s="1266"/>
      <c r="DH96" s="1266"/>
      <c r="DI96" s="1266"/>
      <c r="DJ96" s="1266"/>
      <c r="DK96" s="1266"/>
      <c r="DL96" s="1266"/>
      <c r="DM96" s="1266"/>
      <c r="DN96" s="1266"/>
      <c r="DO96" s="1266"/>
      <c r="DP96" s="1266"/>
      <c r="DQ96" s="1266"/>
      <c r="DS96" s="1333"/>
      <c r="DT96" s="1333"/>
      <c r="DU96" s="1333"/>
      <c r="DV96" s="1333"/>
      <c r="DW96" s="1333"/>
      <c r="DX96" s="1333"/>
      <c r="DY96" s="1333"/>
      <c r="DZ96" s="1333"/>
      <c r="EA96" s="1333"/>
      <c r="EB96" s="1333"/>
    </row>
    <row r="97" spans="1:137" ht="15" hidden="1" outlineLevel="1">
      <c r="A97" s="1266" t="str">
        <f>$A$17</f>
        <v>1Q</v>
      </c>
      <c r="B97" s="1266" t="str">
        <f>$B$17</f>
        <v>Apr</v>
      </c>
      <c r="C97" s="1266"/>
      <c r="D97" s="1294">
        <f>+K97+R97</f>
        <v>1147</v>
      </c>
      <c r="E97" s="1255">
        <f>+D97-D92</f>
        <v>10</v>
      </c>
      <c r="F97" s="1295">
        <f>+(D97/D89-1)*100</f>
        <v>4.9405306495882817</v>
      </c>
      <c r="G97" s="1296">
        <f>+N97+U97</f>
        <v>34.580999999999996</v>
      </c>
      <c r="H97" s="1297"/>
      <c r="I97" s="1295">
        <f>+(G97/G89-1)*100</f>
        <v>4.7306096489899474</v>
      </c>
      <c r="J97" s="1309"/>
      <c r="K97" s="1298">
        <v>637</v>
      </c>
      <c r="L97" s="1255">
        <f>+K97-K92</f>
        <v>5</v>
      </c>
      <c r="M97" s="1295">
        <f>+(K97/K89-1)*100</f>
        <v>3.9151712887438794</v>
      </c>
      <c r="N97" s="1318">
        <v>18.672999999999998</v>
      </c>
      <c r="O97" s="1297"/>
      <c r="P97" s="1295">
        <f>+(N97/N89-1)*100</f>
        <v>3.8485067571325082</v>
      </c>
      <c r="Q97" s="1299"/>
      <c r="R97" s="1298">
        <v>510</v>
      </c>
      <c r="S97" s="1255">
        <f>+R97-R92</f>
        <v>5</v>
      </c>
      <c r="T97" s="1295">
        <f>+(R97/R89-1)*100</f>
        <v>6.25</v>
      </c>
      <c r="U97" s="1318">
        <v>15.907999999999999</v>
      </c>
      <c r="V97" s="1297"/>
      <c r="W97" s="1295">
        <f>+(U97/U89-1)*100</f>
        <v>5.7853437957175124</v>
      </c>
      <c r="X97" s="1299"/>
      <c r="Y97" s="1298">
        <v>105</v>
      </c>
      <c r="Z97" s="1255">
        <f>+Y97-Y92</f>
        <v>5</v>
      </c>
      <c r="AA97" s="1295">
        <f>+(Y97/Y89-1)*100</f>
        <v>16.666666666666675</v>
      </c>
      <c r="AB97" s="1318">
        <v>2.8420000000000001</v>
      </c>
      <c r="AC97" s="1297"/>
      <c r="AD97" s="1295">
        <f>+(AB97/AB89-1)*100</f>
        <v>17.195876288659797</v>
      </c>
      <c r="AE97" s="1299"/>
      <c r="AF97" s="1298">
        <v>57</v>
      </c>
      <c r="AG97" s="1255">
        <f>+AF97-AF92</f>
        <v>3</v>
      </c>
      <c r="AH97" s="1295">
        <f>+(AF97/AF89-1)*100</f>
        <v>35.714285714285722</v>
      </c>
      <c r="AI97" s="1318">
        <v>1.425</v>
      </c>
      <c r="AJ97" s="1297"/>
      <c r="AK97" s="1295">
        <f>+(AI97/AI89-1)*100</f>
        <v>34.560906515580747</v>
      </c>
      <c r="AL97" s="1299"/>
      <c r="AM97" s="1298">
        <v>55</v>
      </c>
      <c r="AN97" s="1255">
        <f>+AM97-AM92</f>
        <v>4</v>
      </c>
      <c r="AO97" s="1295">
        <f>+(AM97/AM89-1)*100</f>
        <v>44.736842105263165</v>
      </c>
      <c r="AP97" s="1318">
        <v>1.4710000000000001</v>
      </c>
      <c r="AQ97" s="1297"/>
      <c r="AR97" s="1295">
        <f>+(AP97/AP89-1)*100</f>
        <v>26.701119724375545</v>
      </c>
      <c r="AS97" s="1299"/>
      <c r="AT97" s="1298">
        <v>18</v>
      </c>
      <c r="AU97" s="1255">
        <f>+AT97-AT92</f>
        <v>3</v>
      </c>
      <c r="AV97" s="1295">
        <f>+(AT97/AT89-1)*100</f>
        <v>80</v>
      </c>
      <c r="AW97" s="1318">
        <v>0.47899999999999998</v>
      </c>
      <c r="AX97" s="1297"/>
      <c r="AY97" s="1295">
        <f>+(AW97/AW89-1)*100</f>
        <v>73.550724637681128</v>
      </c>
      <c r="AZ97" s="1299"/>
      <c r="BA97" s="1300"/>
      <c r="BB97" s="1304"/>
      <c r="BC97" s="1303"/>
      <c r="BD97" s="1318"/>
      <c r="BE97" s="1303"/>
      <c r="BF97" s="1305"/>
      <c r="BG97" s="1305"/>
      <c r="BH97" s="1300"/>
      <c r="BI97" s="1304"/>
      <c r="BJ97" s="1303"/>
      <c r="BK97" s="1300"/>
      <c r="BL97" s="1303"/>
      <c r="BM97" s="1305"/>
      <c r="BN97" s="1305"/>
      <c r="BO97" s="1300"/>
      <c r="BP97" s="1304"/>
      <c r="BQ97" s="1303"/>
      <c r="BR97" s="1300"/>
      <c r="BS97" s="1303"/>
      <c r="BT97" s="1305"/>
      <c r="BU97" s="1305"/>
      <c r="BV97" s="1340"/>
      <c r="BW97" s="1338"/>
      <c r="BX97" s="1339"/>
      <c r="BY97" s="1340"/>
      <c r="BZ97" s="1339"/>
      <c r="CA97" s="1341"/>
      <c r="CB97" s="1299"/>
      <c r="CC97" s="1300"/>
      <c r="CD97" s="1304"/>
      <c r="CE97" s="1303"/>
      <c r="CF97" s="1300"/>
      <c r="CG97" s="1303"/>
      <c r="CH97" s="1305"/>
      <c r="CI97" s="1300"/>
      <c r="CJ97" s="1304"/>
      <c r="CK97" s="1303"/>
      <c r="CL97" s="1300"/>
      <c r="CM97" s="1303"/>
      <c r="CN97" s="1305"/>
      <c r="CO97" s="1305"/>
      <c r="CP97" s="1300"/>
      <c r="CQ97" s="1304"/>
      <c r="CR97" s="1303"/>
      <c r="CS97" s="1300"/>
      <c r="CT97" s="1303"/>
      <c r="CU97" s="1305"/>
      <c r="CV97" s="1299"/>
      <c r="CW97" s="1306">
        <f>+D97+Y97+AF97+AM97+AT97+BA97</f>
        <v>1382</v>
      </c>
      <c r="CX97" s="1307">
        <f>+CW97-CW92</f>
        <v>25</v>
      </c>
      <c r="CY97" s="1295">
        <f>+(CW97/CW89-1)*100</f>
        <v>8.5624509033778384</v>
      </c>
      <c r="CZ97" s="1295"/>
      <c r="DA97" s="1295"/>
      <c r="DB97" s="1296">
        <f>+G97+AB97+AI97+AP97+AW97</f>
        <v>40.797999999999988</v>
      </c>
      <c r="DC97" s="1297"/>
      <c r="DD97" s="1302"/>
      <c r="DE97" s="1266"/>
      <c r="DF97" s="1350">
        <f>+D97/$CW97</f>
        <v>0.82995658465991318</v>
      </c>
      <c r="DG97" s="1351"/>
      <c r="DH97" s="1351"/>
      <c r="DI97" s="1350">
        <f>+Y97/$CW97</f>
        <v>7.5976845151953687E-2</v>
      </c>
      <c r="DJ97" s="1350">
        <f>+AF97/CW97</f>
        <v>4.1244573082489147E-2</v>
      </c>
      <c r="DK97" s="1350">
        <f>+AM97/CW97</f>
        <v>3.9797395079594788E-2</v>
      </c>
      <c r="DL97" s="1350">
        <f>+AT97/CW97</f>
        <v>1.3024602026049204E-2</v>
      </c>
      <c r="DM97" s="1350"/>
      <c r="DN97" s="1350"/>
      <c r="DO97" s="1350"/>
      <c r="DP97" s="1350"/>
      <c r="DQ97" s="1350"/>
      <c r="DS97" s="1333">
        <f t="shared" si="0"/>
        <v>5</v>
      </c>
      <c r="DT97" s="1333">
        <f t="shared" si="1"/>
        <v>5</v>
      </c>
      <c r="DU97" s="1333">
        <f t="shared" si="2"/>
        <v>5</v>
      </c>
      <c r="DV97" s="1333">
        <f t="shared" si="3"/>
        <v>3</v>
      </c>
      <c r="DW97" s="1333">
        <f t="shared" si="4"/>
        <v>4</v>
      </c>
      <c r="DX97" s="1333">
        <f t="shared" si="5"/>
        <v>3</v>
      </c>
      <c r="DY97" s="1333">
        <f t="shared" si="6"/>
        <v>0</v>
      </c>
      <c r="DZ97" s="1333">
        <f t="shared" si="7"/>
        <v>0</v>
      </c>
      <c r="EA97" s="1333">
        <f t="shared" si="8"/>
        <v>0</v>
      </c>
      <c r="EB97" s="1333">
        <f t="shared" si="9"/>
        <v>0</v>
      </c>
      <c r="ED97" s="451">
        <f>-(SUMIF(DS97:EB97,"&lt;0"))</f>
        <v>0</v>
      </c>
      <c r="EE97" s="451">
        <f>(SUMIF(DS97:EB97,"&gt;0"))</f>
        <v>25</v>
      </c>
      <c r="EF97" s="451">
        <f>+EE97-ED97</f>
        <v>25</v>
      </c>
      <c r="EG97" s="1333">
        <f>+EF97-CX97</f>
        <v>0</v>
      </c>
    </row>
    <row r="98" spans="1:137" ht="15" hidden="1" outlineLevel="1">
      <c r="A98" s="1266" t="str">
        <f>$A$18</f>
        <v>2Q</v>
      </c>
      <c r="B98" s="1266" t="str">
        <f>$B$18</f>
        <v>Jul</v>
      </c>
      <c r="C98" s="1266"/>
      <c r="D98" s="1294">
        <f>+K98+R98</f>
        <v>1158</v>
      </c>
      <c r="E98" s="1255">
        <f>+D98-D97</f>
        <v>11</v>
      </c>
      <c r="F98" s="1295">
        <f>+(D98/D90-1)*100</f>
        <v>4.8913043478260976</v>
      </c>
      <c r="G98" s="1296">
        <f>+N98+U98</f>
        <v>34.938000000000002</v>
      </c>
      <c r="H98" s="1297"/>
      <c r="I98" s="1295">
        <f>+(G98/G90-1)*100</f>
        <v>4.9567411679884765</v>
      </c>
      <c r="J98" s="1309"/>
      <c r="K98" s="1300">
        <v>639</v>
      </c>
      <c r="L98" s="1255">
        <f>+K98-K97</f>
        <v>2</v>
      </c>
      <c r="M98" s="1295">
        <f>+(K98/K90-1)*100</f>
        <v>3.5656401944894611</v>
      </c>
      <c r="N98" s="1318">
        <v>18.728999999999999</v>
      </c>
      <c r="O98" s="1297"/>
      <c r="P98" s="1295">
        <f>+(N98/N90-1)*100</f>
        <v>3.612524894888236</v>
      </c>
      <c r="Q98" s="1299"/>
      <c r="R98" s="1300">
        <v>519</v>
      </c>
      <c r="S98" s="1255">
        <f>+R98-R97</f>
        <v>9</v>
      </c>
      <c r="T98" s="1295">
        <f>+(R98/R90-1)*100</f>
        <v>6.5708418891170517</v>
      </c>
      <c r="U98" s="1318">
        <v>16.209</v>
      </c>
      <c r="V98" s="1297"/>
      <c r="W98" s="1295">
        <f>+(U98/U90-1)*100</f>
        <v>6.554036287141729</v>
      </c>
      <c r="X98" s="1299"/>
      <c r="Y98" s="1300">
        <v>106</v>
      </c>
      <c r="Z98" s="1255">
        <f>+Y98-Y97</f>
        <v>1</v>
      </c>
      <c r="AA98" s="1295">
        <f>+(Y98/Y90-1)*100</f>
        <v>16.483516483516492</v>
      </c>
      <c r="AB98" s="1318">
        <v>2.883</v>
      </c>
      <c r="AC98" s="1297"/>
      <c r="AD98" s="1295">
        <f>+(AB98/AB90-1)*100</f>
        <v>17.673469387755091</v>
      </c>
      <c r="AE98" s="1299"/>
      <c r="AF98" s="1300">
        <v>64</v>
      </c>
      <c r="AG98" s="1255">
        <f>+AF98-AF97</f>
        <v>7</v>
      </c>
      <c r="AH98" s="1295">
        <f>+(AF98/AF90-1)*100</f>
        <v>48.837209302325576</v>
      </c>
      <c r="AI98" s="1318">
        <v>1.617</v>
      </c>
      <c r="AJ98" s="1297"/>
      <c r="AK98" s="1295">
        <f>+(AI98/AI90-1)*100</f>
        <v>49.7222222222222</v>
      </c>
      <c r="AL98" s="1299"/>
      <c r="AM98" s="1300">
        <v>60</v>
      </c>
      <c r="AN98" s="1255">
        <f>+AM98-AM97</f>
        <v>5</v>
      </c>
      <c r="AO98" s="1295">
        <f>+(AM98/AM90-1)*100</f>
        <v>53.846153846153854</v>
      </c>
      <c r="AP98" s="1318">
        <v>1.605</v>
      </c>
      <c r="AQ98" s="1297"/>
      <c r="AR98" s="1295">
        <f>+(AP98/AP90-1)*100</f>
        <v>46.04185623293904</v>
      </c>
      <c r="AS98" s="1299"/>
      <c r="AT98" s="1300">
        <v>19</v>
      </c>
      <c r="AU98" s="1255">
        <f>+AT98-AT97</f>
        <v>1</v>
      </c>
      <c r="AV98" s="1295">
        <f>+(AT98/AT90-1)*100</f>
        <v>72.727272727272734</v>
      </c>
      <c r="AW98" s="1318">
        <v>0.505</v>
      </c>
      <c r="AX98" s="1297"/>
      <c r="AY98" s="1295">
        <f>+(AW98/AW90-1)*100</f>
        <v>66.666666666666671</v>
      </c>
      <c r="AZ98" s="1299"/>
      <c r="BA98" s="1300"/>
      <c r="BB98" s="1304"/>
      <c r="BC98" s="1303"/>
      <c r="BD98" s="1318"/>
      <c r="BE98" s="1303"/>
      <c r="BF98" s="1305"/>
      <c r="BG98" s="1305"/>
      <c r="BH98" s="1300"/>
      <c r="BI98" s="1304"/>
      <c r="BJ98" s="1303"/>
      <c r="BK98" s="1300"/>
      <c r="BL98" s="1303"/>
      <c r="BM98" s="1305"/>
      <c r="BN98" s="1305"/>
      <c r="BO98" s="1300"/>
      <c r="BP98" s="1304"/>
      <c r="BQ98" s="1303"/>
      <c r="BR98" s="1300"/>
      <c r="BS98" s="1303"/>
      <c r="BT98" s="1305"/>
      <c r="BU98" s="1305"/>
      <c r="BV98" s="1340"/>
      <c r="BW98" s="1338"/>
      <c r="BX98" s="1339"/>
      <c r="BY98" s="1340"/>
      <c r="BZ98" s="1339"/>
      <c r="CA98" s="1341"/>
      <c r="CB98" s="1299"/>
      <c r="CC98" s="1300"/>
      <c r="CD98" s="1304"/>
      <c r="CE98" s="1303"/>
      <c r="CF98" s="1300"/>
      <c r="CG98" s="1303"/>
      <c r="CH98" s="1305"/>
      <c r="CI98" s="1300"/>
      <c r="CJ98" s="1304"/>
      <c r="CK98" s="1303"/>
      <c r="CL98" s="1300"/>
      <c r="CM98" s="1303"/>
      <c r="CN98" s="1305"/>
      <c r="CO98" s="1305"/>
      <c r="CP98" s="1300"/>
      <c r="CQ98" s="1304"/>
      <c r="CR98" s="1303"/>
      <c r="CS98" s="1300"/>
      <c r="CT98" s="1303"/>
      <c r="CU98" s="1305"/>
      <c r="CV98" s="1299"/>
      <c r="CW98" s="1306">
        <f>+D98+Y98+AF98+AM98+AT98+BA98</f>
        <v>1407</v>
      </c>
      <c r="CX98" s="1307">
        <f>+CW98-CW97</f>
        <v>25</v>
      </c>
      <c r="CY98" s="1295">
        <f>+(CW98/CW90-1)*100</f>
        <v>9.2391304347826164</v>
      </c>
      <c r="CZ98" s="1295"/>
      <c r="DA98" s="1295"/>
      <c r="DB98" s="1310">
        <f>+G98+AB98+AI98+AP98+AW98</f>
        <v>41.548000000000002</v>
      </c>
      <c r="DC98" s="1297"/>
      <c r="DD98" s="1302">
        <f>+(DB98/DB90-1)*100</f>
        <v>8.7074829931973028</v>
      </c>
      <c r="DE98" s="1266"/>
      <c r="DF98" s="1350">
        <f>+D98/$CW98</f>
        <v>0.82302771855010659</v>
      </c>
      <c r="DG98" s="1351"/>
      <c r="DH98" s="1351"/>
      <c r="DI98" s="1350">
        <f>+Y98/$CW98</f>
        <v>7.5337597725657429E-2</v>
      </c>
      <c r="DJ98" s="1350">
        <f>+AF98/CW98</f>
        <v>4.548685145700071E-2</v>
      </c>
      <c r="DK98" s="1350">
        <f>+AM98/CW98</f>
        <v>4.2643923240938165E-2</v>
      </c>
      <c r="DL98" s="1350">
        <f>+AT98/CW98</f>
        <v>1.3503909026297086E-2</v>
      </c>
      <c r="DM98" s="1350"/>
      <c r="DN98" s="1350"/>
      <c r="DO98" s="1350"/>
      <c r="DP98" s="1350"/>
      <c r="DQ98" s="1350"/>
      <c r="DS98" s="1333">
        <f t="shared" si="0"/>
        <v>2</v>
      </c>
      <c r="DT98" s="1333">
        <f t="shared" si="1"/>
        <v>9</v>
      </c>
      <c r="DU98" s="1333">
        <f t="shared" si="2"/>
        <v>1</v>
      </c>
      <c r="DV98" s="1333">
        <f t="shared" si="3"/>
        <v>7</v>
      </c>
      <c r="DW98" s="1333">
        <f t="shared" si="4"/>
        <v>5</v>
      </c>
      <c r="DX98" s="1333">
        <f t="shared" si="5"/>
        <v>1</v>
      </c>
      <c r="DY98" s="1333">
        <f t="shared" si="6"/>
        <v>0</v>
      </c>
      <c r="DZ98" s="1333">
        <f t="shared" si="7"/>
        <v>0</v>
      </c>
      <c r="EA98" s="1333">
        <f t="shared" si="8"/>
        <v>0</v>
      </c>
      <c r="EB98" s="1333">
        <f t="shared" si="9"/>
        <v>0</v>
      </c>
      <c r="ED98" s="451">
        <f>-(SUMIF(DS98:EB98,"&lt;0"))</f>
        <v>0</v>
      </c>
      <c r="EE98" s="451">
        <f>(SUMIF(DS98:EB98,"&gt;0"))</f>
        <v>25</v>
      </c>
      <c r="EF98" s="451">
        <f>+EE98-ED98</f>
        <v>25</v>
      </c>
      <c r="EG98" s="1333">
        <f>+EF98-CX98</f>
        <v>0</v>
      </c>
    </row>
    <row r="99" spans="1:137" ht="15" hidden="1" outlineLevel="1">
      <c r="A99" s="1266" t="str">
        <f>$A$19</f>
        <v>3Q</v>
      </c>
      <c r="B99" s="1266" t="str">
        <f>$B$19</f>
        <v>Oct</v>
      </c>
      <c r="C99" s="1266"/>
      <c r="D99" s="1294">
        <f>+K99+R99</f>
        <v>1187</v>
      </c>
      <c r="E99" s="1255">
        <f>+D99-D98</f>
        <v>29</v>
      </c>
      <c r="F99" s="1295">
        <f>+(D99/D91-1)*100</f>
        <v>5.6990204808548439</v>
      </c>
      <c r="G99" s="1296">
        <f>+N99+U99</f>
        <v>35.789000000000001</v>
      </c>
      <c r="H99" s="1297"/>
      <c r="I99" s="1295">
        <f>+(G99/G91-1)*100</f>
        <v>5.6501845018450236</v>
      </c>
      <c r="J99" s="1309"/>
      <c r="K99" s="1300">
        <v>654</v>
      </c>
      <c r="L99" s="1255">
        <f>+K99-K98</f>
        <v>15</v>
      </c>
      <c r="M99" s="1295">
        <f>+(K99/K91-1)*100</f>
        <v>4.6399999999999997</v>
      </c>
      <c r="N99" s="1318">
        <v>19.184999999999999</v>
      </c>
      <c r="O99" s="1297"/>
      <c r="P99" s="1295">
        <f>+(N99/N91-1)*100</f>
        <v>4.8417946335865381</v>
      </c>
      <c r="Q99" s="1299"/>
      <c r="R99" s="1300">
        <v>533</v>
      </c>
      <c r="S99" s="1255">
        <f>+R99-R98</f>
        <v>14</v>
      </c>
      <c r="T99" s="1295">
        <f>+(R99/R91-1)*100</f>
        <v>7.0281124497991954</v>
      </c>
      <c r="U99" s="1318">
        <v>16.603999999999999</v>
      </c>
      <c r="V99" s="1297"/>
      <c r="W99" s="1295">
        <f>+(U99/U91-1)*100</f>
        <v>6.5998972778633647</v>
      </c>
      <c r="X99" s="1299"/>
      <c r="Y99" s="1300">
        <v>116</v>
      </c>
      <c r="Z99" s="1255">
        <f>+Y99-Y98</f>
        <v>10</v>
      </c>
      <c r="AA99" s="1295">
        <f>+(Y99/Y91-1)*100</f>
        <v>17.171717171717169</v>
      </c>
      <c r="AB99" s="1318">
        <v>3.1469999999999998</v>
      </c>
      <c r="AC99" s="1297"/>
      <c r="AD99" s="1295">
        <f>+(AB99/AB91-1)*100</f>
        <v>17.469204927211646</v>
      </c>
      <c r="AE99" s="1299"/>
      <c r="AF99" s="1300">
        <v>72</v>
      </c>
      <c r="AG99" s="1255">
        <f>+AF99-AF98</f>
        <v>8</v>
      </c>
      <c r="AH99" s="1295">
        <f>+(AF99/AF91-1)*100</f>
        <v>35.849056603773576</v>
      </c>
      <c r="AI99" s="1318">
        <v>1.8280000000000001</v>
      </c>
      <c r="AJ99" s="1297"/>
      <c r="AK99" s="1295">
        <f>+(AI99/AI91-1)*100</f>
        <v>38.589840788476138</v>
      </c>
      <c r="AL99" s="1299"/>
      <c r="AM99" s="1300">
        <v>69</v>
      </c>
      <c r="AN99" s="1255">
        <f>+AM99-AM98</f>
        <v>9</v>
      </c>
      <c r="AO99" s="1295">
        <f>+(AM99/AM91-1)*100</f>
        <v>50</v>
      </c>
      <c r="AP99" s="1318">
        <v>1.837</v>
      </c>
      <c r="AQ99" s="1297"/>
      <c r="AR99" s="1295">
        <f>+(AP99/AP91-1)*100</f>
        <v>47.195512820512818</v>
      </c>
      <c r="AS99" s="1299"/>
      <c r="AT99" s="1300">
        <v>22</v>
      </c>
      <c r="AU99" s="1255">
        <f>+AT99-AT98</f>
        <v>3</v>
      </c>
      <c r="AV99" s="1295">
        <f>+(AT99/AT91-1)*100</f>
        <v>100</v>
      </c>
      <c r="AW99" s="1318">
        <v>0.58099999999999996</v>
      </c>
      <c r="AX99" s="1297"/>
      <c r="AY99" s="1295">
        <f>+(AW99/AW91-1)*100</f>
        <v>91.749174917491743</v>
      </c>
      <c r="AZ99" s="1299"/>
      <c r="BA99" s="1300"/>
      <c r="BB99" s="1304"/>
      <c r="BC99" s="1303"/>
      <c r="BD99" s="1318"/>
      <c r="BE99" s="1303"/>
      <c r="BF99" s="1305"/>
      <c r="BG99" s="1305"/>
      <c r="BH99" s="1300"/>
      <c r="BI99" s="1304"/>
      <c r="BJ99" s="1303"/>
      <c r="BK99" s="1300"/>
      <c r="BL99" s="1303"/>
      <c r="BM99" s="1305"/>
      <c r="BN99" s="1305"/>
      <c r="BO99" s="1300"/>
      <c r="BP99" s="1304"/>
      <c r="BQ99" s="1303"/>
      <c r="BR99" s="1300"/>
      <c r="BS99" s="1303"/>
      <c r="BT99" s="1305"/>
      <c r="BU99" s="1305"/>
      <c r="BV99" s="1340"/>
      <c r="BW99" s="1338"/>
      <c r="BX99" s="1339"/>
      <c r="BY99" s="1340"/>
      <c r="BZ99" s="1339"/>
      <c r="CA99" s="1341"/>
      <c r="CB99" s="1299"/>
      <c r="CC99" s="1300"/>
      <c r="CD99" s="1304"/>
      <c r="CE99" s="1303"/>
      <c r="CF99" s="1300"/>
      <c r="CG99" s="1303"/>
      <c r="CH99" s="1305"/>
      <c r="CI99" s="1300"/>
      <c r="CJ99" s="1304"/>
      <c r="CK99" s="1303"/>
      <c r="CL99" s="1300"/>
      <c r="CM99" s="1303"/>
      <c r="CN99" s="1305"/>
      <c r="CO99" s="1305"/>
      <c r="CP99" s="1300"/>
      <c r="CQ99" s="1304"/>
      <c r="CR99" s="1303"/>
      <c r="CS99" s="1300"/>
      <c r="CT99" s="1303"/>
      <c r="CU99" s="1305"/>
      <c r="CV99" s="1299"/>
      <c r="CW99" s="1306">
        <f>+D99+Y99+AF99+AM99+AT99+BA99</f>
        <v>1466</v>
      </c>
      <c r="CX99" s="1307">
        <f>+CW99-CW98</f>
        <v>59</v>
      </c>
      <c r="CY99" s="1295">
        <f>+(CW99/CW91-1)*100</f>
        <v>10.06006006006006</v>
      </c>
      <c r="CZ99" s="1295"/>
      <c r="DA99" s="1295"/>
      <c r="DB99" s="1310">
        <f>+G99+AB99+AI99+AP99+AW99</f>
        <v>43.182000000000009</v>
      </c>
      <c r="DC99" s="1297"/>
      <c r="DD99" s="1302"/>
      <c r="DE99" s="1266"/>
      <c r="DF99" s="1350">
        <f>+D99/$CW99</f>
        <v>0.80968622100954979</v>
      </c>
      <c r="DG99" s="1351"/>
      <c r="DH99" s="1351"/>
      <c r="DI99" s="1350">
        <f>+Y99/$CW99</f>
        <v>7.9126875852660303E-2</v>
      </c>
      <c r="DJ99" s="1350">
        <f>+AF99/CW99</f>
        <v>4.9113233287858118E-2</v>
      </c>
      <c r="DK99" s="1350">
        <f>+AM99/CW99</f>
        <v>4.7066848567530697E-2</v>
      </c>
      <c r="DL99" s="1350">
        <f>+AT99/CW99</f>
        <v>1.5006821282401092E-2</v>
      </c>
      <c r="DM99" s="1350"/>
      <c r="DN99" s="1350"/>
      <c r="DO99" s="1350"/>
      <c r="DP99" s="1350"/>
      <c r="DQ99" s="1350"/>
      <c r="DS99" s="1333">
        <f t="shared" si="0"/>
        <v>15</v>
      </c>
      <c r="DT99" s="1333">
        <f t="shared" si="1"/>
        <v>14</v>
      </c>
      <c r="DU99" s="1333">
        <f t="shared" si="2"/>
        <v>10</v>
      </c>
      <c r="DV99" s="1333">
        <f t="shared" si="3"/>
        <v>8</v>
      </c>
      <c r="DW99" s="1333">
        <f t="shared" si="4"/>
        <v>9</v>
      </c>
      <c r="DX99" s="1333">
        <f t="shared" si="5"/>
        <v>3</v>
      </c>
      <c r="DY99" s="1333">
        <f t="shared" si="6"/>
        <v>0</v>
      </c>
      <c r="DZ99" s="1333">
        <f t="shared" si="7"/>
        <v>0</v>
      </c>
      <c r="EA99" s="1333">
        <f t="shared" si="8"/>
        <v>0</v>
      </c>
      <c r="EB99" s="1333">
        <f t="shared" si="9"/>
        <v>0</v>
      </c>
      <c r="ED99" s="451">
        <f>-(SUMIF(DS99:EB99,"&lt;0"))</f>
        <v>0</v>
      </c>
      <c r="EE99" s="451">
        <f>(SUMIF(DS99:EB99,"&gt;0"))</f>
        <v>59</v>
      </c>
      <c r="EF99" s="451">
        <f>+EE99-ED99</f>
        <v>59</v>
      </c>
      <c r="EG99" s="1333">
        <f>+EF99-CX99</f>
        <v>0</v>
      </c>
    </row>
    <row r="100" spans="1:137" ht="15" hidden="1" outlineLevel="1">
      <c r="A100" s="1266" t="str">
        <f>$A$20</f>
        <v>4Q</v>
      </c>
      <c r="B100" s="1266" t="str">
        <f>$B$20</f>
        <v>Jan</v>
      </c>
      <c r="C100" s="1266"/>
      <c r="D100" s="1312">
        <f>+K100+R100</f>
        <v>1196</v>
      </c>
      <c r="E100" s="1255">
        <f>+D100-D99</f>
        <v>9</v>
      </c>
      <c r="F100" s="1295">
        <f>+(D100/D92-1)*100</f>
        <v>5.1890941072999075</v>
      </c>
      <c r="G100" s="1313">
        <f>+N100+U100</f>
        <v>36.064999999999998</v>
      </c>
      <c r="H100" s="1297"/>
      <c r="I100" s="1295">
        <f>+(G100/G92-1)*100</f>
        <v>5.1059365255150979</v>
      </c>
      <c r="J100" s="1309"/>
      <c r="K100" s="1314">
        <v>661</v>
      </c>
      <c r="L100" s="1255">
        <f>+K100-K99</f>
        <v>7</v>
      </c>
      <c r="M100" s="1295">
        <f>+(K100/K92-1)*100</f>
        <v>4.5886075949367111</v>
      </c>
      <c r="N100" s="1334">
        <v>19.396999999999998</v>
      </c>
      <c r="O100" s="1297"/>
      <c r="P100" s="1295">
        <f>+(N100/N92-1)*100</f>
        <v>4.7128050097171137</v>
      </c>
      <c r="Q100" s="1299"/>
      <c r="R100" s="1314">
        <v>535</v>
      </c>
      <c r="S100" s="1255">
        <f>+R100-R99</f>
        <v>2</v>
      </c>
      <c r="T100" s="1295">
        <f>+(R100/R92-1)*100</f>
        <v>5.9405940594059459</v>
      </c>
      <c r="U100" s="1334">
        <v>16.667999999999999</v>
      </c>
      <c r="V100" s="1297"/>
      <c r="W100" s="1295">
        <f>+(U100/U92-1)*100</f>
        <v>5.5671670150104546</v>
      </c>
      <c r="X100" s="1299"/>
      <c r="Y100" s="1314">
        <v>117</v>
      </c>
      <c r="Z100" s="1255">
        <f>+Y100-Y99</f>
        <v>1</v>
      </c>
      <c r="AA100" s="1295">
        <f>+(Y100/Y92-1)*100</f>
        <v>16.999999999999993</v>
      </c>
      <c r="AB100" s="1334">
        <v>3.1949999999999998</v>
      </c>
      <c r="AC100" s="1297"/>
      <c r="AD100" s="1295">
        <f>+(AB100/AB92-1)*100</f>
        <v>17.679558011049721</v>
      </c>
      <c r="AE100" s="1299"/>
      <c r="AF100" s="1314">
        <v>74</v>
      </c>
      <c r="AG100" s="1255">
        <f>+AF100-AF99</f>
        <v>2</v>
      </c>
      <c r="AH100" s="1295">
        <f>+(AF100/AF92-1)*100</f>
        <v>37.037037037037045</v>
      </c>
      <c r="AI100" s="1334">
        <v>1.917</v>
      </c>
      <c r="AJ100" s="1297"/>
      <c r="AK100" s="1295">
        <f>+(AI100/AI92-1)*100</f>
        <v>41.999999999999993</v>
      </c>
      <c r="AL100" s="1299"/>
      <c r="AM100" s="1314">
        <v>81</v>
      </c>
      <c r="AN100" s="1255">
        <f>+AM100-AM99</f>
        <v>12</v>
      </c>
      <c r="AO100" s="1295">
        <f>+(AM100/AM92-1)*100</f>
        <v>58.823529411764696</v>
      </c>
      <c r="AP100" s="1334">
        <v>2.1349999999999998</v>
      </c>
      <c r="AQ100" s="1297"/>
      <c r="AR100" s="1295">
        <f>+(AP100/AP92-1)*100</f>
        <v>54.598117306299777</v>
      </c>
      <c r="AS100" s="1299"/>
      <c r="AT100" s="1314">
        <v>25</v>
      </c>
      <c r="AU100" s="1255">
        <f>+AT100-AT99</f>
        <v>3</v>
      </c>
      <c r="AV100" s="1295">
        <f>+(AT100/AT92-1)*100</f>
        <v>66.666666666666671</v>
      </c>
      <c r="AW100" s="1334">
        <v>0.66700000000000004</v>
      </c>
      <c r="AX100" s="1297"/>
      <c r="AY100" s="1295">
        <f>+(AW100/AW92-1)*100</f>
        <v>64.285714285714278</v>
      </c>
      <c r="AZ100" s="1299"/>
      <c r="BA100" s="1300"/>
      <c r="BB100" s="1304"/>
      <c r="BC100" s="1303"/>
      <c r="BD100" s="1334"/>
      <c r="BE100" s="1303"/>
      <c r="BF100" s="1305"/>
      <c r="BG100" s="1305"/>
      <c r="BH100" s="1300"/>
      <c r="BI100" s="1304"/>
      <c r="BJ100" s="1303"/>
      <c r="BK100" s="1294"/>
      <c r="BL100" s="1303"/>
      <c r="BM100" s="1305"/>
      <c r="BN100" s="1305"/>
      <c r="BO100" s="1300"/>
      <c r="BP100" s="1304"/>
      <c r="BQ100" s="1303"/>
      <c r="BR100" s="1294"/>
      <c r="BS100" s="1303"/>
      <c r="BT100" s="1305"/>
      <c r="BU100" s="1305"/>
      <c r="BV100" s="1340"/>
      <c r="BW100" s="1338"/>
      <c r="BX100" s="1339"/>
      <c r="BY100" s="1340"/>
      <c r="BZ100" s="1339"/>
      <c r="CA100" s="1341"/>
      <c r="CB100" s="1299"/>
      <c r="CC100" s="1300"/>
      <c r="CD100" s="1304"/>
      <c r="CE100" s="1303"/>
      <c r="CF100" s="1294"/>
      <c r="CG100" s="1303"/>
      <c r="CH100" s="1305"/>
      <c r="CI100" s="1300"/>
      <c r="CJ100" s="1304"/>
      <c r="CK100" s="1303"/>
      <c r="CL100" s="1294"/>
      <c r="CM100" s="1303"/>
      <c r="CN100" s="1305"/>
      <c r="CO100" s="1305"/>
      <c r="CP100" s="1300"/>
      <c r="CQ100" s="1304"/>
      <c r="CR100" s="1303"/>
      <c r="CS100" s="1294"/>
      <c r="CT100" s="1303"/>
      <c r="CU100" s="1305"/>
      <c r="CV100" s="1299"/>
      <c r="CW100" s="1312">
        <f>+D100+Y100+AF100+AM100+AT100+BA100</f>
        <v>1493</v>
      </c>
      <c r="CX100" s="1307">
        <f>+CW100-CW99</f>
        <v>27</v>
      </c>
      <c r="CY100" s="1295">
        <f>+(CW100/CW92-1)*100</f>
        <v>10.022107590272666</v>
      </c>
      <c r="CZ100" s="1295"/>
      <c r="DA100" s="1295"/>
      <c r="DB100" s="1313">
        <f>+G100+AB100+AI100+AP100+AW100</f>
        <v>43.978999999999999</v>
      </c>
      <c r="DC100" s="1297"/>
      <c r="DD100" s="1302"/>
      <c r="DE100" s="1266"/>
      <c r="DF100" s="1350">
        <f>+D100/$CW100</f>
        <v>0.80107166778298733</v>
      </c>
      <c r="DG100" s="1351"/>
      <c r="DH100" s="1351"/>
      <c r="DI100" s="1350">
        <f>+Y100/$CW100</f>
        <v>7.8365706630944401E-2</v>
      </c>
      <c r="DJ100" s="1350">
        <f>+AF100/CW100</f>
        <v>4.9564634963161422E-2</v>
      </c>
      <c r="DK100" s="1350">
        <f>+AM100/CW100</f>
        <v>5.4253181513730743E-2</v>
      </c>
      <c r="DL100" s="1350">
        <f>+AT100/CW100</f>
        <v>1.6744809109176157E-2</v>
      </c>
      <c r="DM100" s="1350"/>
      <c r="DN100" s="1350"/>
      <c r="DO100" s="1350"/>
      <c r="DP100" s="1350"/>
      <c r="DQ100" s="1350"/>
      <c r="DS100" s="1333">
        <f t="shared" si="0"/>
        <v>7</v>
      </c>
      <c r="DT100" s="1333">
        <f t="shared" si="1"/>
        <v>2</v>
      </c>
      <c r="DU100" s="1333">
        <f t="shared" si="2"/>
        <v>1</v>
      </c>
      <c r="DV100" s="1333">
        <f t="shared" si="3"/>
        <v>2</v>
      </c>
      <c r="DW100" s="1333">
        <f t="shared" si="4"/>
        <v>12</v>
      </c>
      <c r="DX100" s="1333">
        <f t="shared" si="5"/>
        <v>3</v>
      </c>
      <c r="DY100" s="1333">
        <f t="shared" si="6"/>
        <v>0</v>
      </c>
      <c r="DZ100" s="1333">
        <f t="shared" si="7"/>
        <v>0</v>
      </c>
      <c r="EA100" s="1333">
        <f t="shared" si="8"/>
        <v>0</v>
      </c>
      <c r="EB100" s="1333">
        <f t="shared" si="9"/>
        <v>0</v>
      </c>
      <c r="ED100" s="451">
        <f>-(SUMIF(DS100:EB100,"&lt;0"))</f>
        <v>0</v>
      </c>
      <c r="EE100" s="451">
        <f>(SUMIF(DS100:EB100,"&gt;0"))</f>
        <v>27</v>
      </c>
      <c r="EF100" s="451">
        <f>+EE100-ED100</f>
        <v>27</v>
      </c>
      <c r="EG100" s="1333">
        <f>+EF100-CX100</f>
        <v>0</v>
      </c>
    </row>
    <row r="101" spans="1:137" ht="15" hidden="1" outlineLevel="1">
      <c r="A101" s="1266"/>
      <c r="B101" s="1266" t="str">
        <f>$B$21</f>
        <v>Year</v>
      </c>
      <c r="C101" s="1266"/>
      <c r="D101" s="1306">
        <v>1196</v>
      </c>
      <c r="E101" s="1317">
        <f>+D101-D93</f>
        <v>59</v>
      </c>
      <c r="F101" s="1295">
        <f>+(D101/D93-1)*100</f>
        <v>5.1890941072999075</v>
      </c>
      <c r="G101" s="1296">
        <f>+N101+U101</f>
        <v>36.064999999999998</v>
      </c>
      <c r="H101" s="1297">
        <f>+G101/D101*1000</f>
        <v>30.154682274247492</v>
      </c>
      <c r="I101" s="1295">
        <f>+(G101/G93-1)*100</f>
        <v>5.1059365255150979</v>
      </c>
      <c r="J101" s="1309"/>
      <c r="K101" s="1306">
        <f>+K100</f>
        <v>661</v>
      </c>
      <c r="L101" s="1317">
        <f>+K101-K93</f>
        <v>29</v>
      </c>
      <c r="M101" s="1295">
        <f>+(K101/K93-1)*100</f>
        <v>4.5886075949367111</v>
      </c>
      <c r="N101" s="1296">
        <f>+N100</f>
        <v>19.396999999999998</v>
      </c>
      <c r="O101" s="1297">
        <f>+N101/K101*1000</f>
        <v>29.344931921331316</v>
      </c>
      <c r="P101" s="1295">
        <f>+(N101/N93-1)*100</f>
        <v>4.7128050097171137</v>
      </c>
      <c r="Q101" s="1299"/>
      <c r="R101" s="1306">
        <f>+R100</f>
        <v>535</v>
      </c>
      <c r="S101" s="1317">
        <f>+R101-R93</f>
        <v>30</v>
      </c>
      <c r="T101" s="1295">
        <f>+(R101/R93-1)*100</f>
        <v>5.9405940594059459</v>
      </c>
      <c r="U101" s="1296">
        <f>+U100</f>
        <v>16.667999999999999</v>
      </c>
      <c r="V101" s="1297">
        <f>+U101/R101*1000</f>
        <v>31.155140186915887</v>
      </c>
      <c r="W101" s="1295">
        <f>+(U101/U93-1)*100</f>
        <v>5.5671670150104546</v>
      </c>
      <c r="X101" s="1299"/>
      <c r="Y101" s="1306">
        <f>+Y100</f>
        <v>117</v>
      </c>
      <c r="Z101" s="1317">
        <f>+Y101-Y93</f>
        <v>17</v>
      </c>
      <c r="AA101" s="1295">
        <f>+(Y101/Y93-1)*100</f>
        <v>16.999999999999993</v>
      </c>
      <c r="AB101" s="1296">
        <f>+AB100</f>
        <v>3.1949999999999998</v>
      </c>
      <c r="AC101" s="1297">
        <f>+AB101/Y101*1000</f>
        <v>27.307692307692307</v>
      </c>
      <c r="AD101" s="1295">
        <f>+(AB101/AB93-1)*100</f>
        <v>17.679558011049721</v>
      </c>
      <c r="AE101" s="1299"/>
      <c r="AF101" s="1306">
        <f>+AF100</f>
        <v>74</v>
      </c>
      <c r="AG101" s="1317">
        <f>+AF101-AF93</f>
        <v>20</v>
      </c>
      <c r="AH101" s="1295">
        <f>+(AF101/AF93-1)*100</f>
        <v>37.037037037037045</v>
      </c>
      <c r="AI101" s="1296">
        <f>+AI100</f>
        <v>1.917</v>
      </c>
      <c r="AJ101" s="1297">
        <f>+AI101/AF101*1000</f>
        <v>25.905405405405407</v>
      </c>
      <c r="AK101" s="1295">
        <f>+(AI101/AI93-1)*100</f>
        <v>41.999999999999993</v>
      </c>
      <c r="AL101" s="1299"/>
      <c r="AM101" s="1306">
        <f>+AM100</f>
        <v>81</v>
      </c>
      <c r="AN101" s="1317">
        <f>+AM101-AM93</f>
        <v>30</v>
      </c>
      <c r="AO101" s="1295">
        <f>+(AM101/AM93-1)*100</f>
        <v>58.823529411764696</v>
      </c>
      <c r="AP101" s="1296">
        <f>+AP100</f>
        <v>2.1349999999999998</v>
      </c>
      <c r="AQ101" s="1297">
        <f>+AP101/AM101*1000</f>
        <v>26.358024691358025</v>
      </c>
      <c r="AR101" s="1295">
        <f>+(AP101/AP93-1)*100</f>
        <v>54.598117306299777</v>
      </c>
      <c r="AS101" s="1299"/>
      <c r="AT101" s="1306">
        <f>+AT100</f>
        <v>25</v>
      </c>
      <c r="AU101" s="1317">
        <f>+AT101-AT93</f>
        <v>10</v>
      </c>
      <c r="AV101" s="1295">
        <f>+(AT101/AT93-1)*100</f>
        <v>66.666666666666671</v>
      </c>
      <c r="AW101" s="1296">
        <f>+AW100</f>
        <v>0.66700000000000004</v>
      </c>
      <c r="AX101" s="1297">
        <f>+AW101/AT101*1000</f>
        <v>26.680000000000003</v>
      </c>
      <c r="AY101" s="1295">
        <f>+(AW101/AW93-1)*100</f>
        <v>64.285714285714278</v>
      </c>
      <c r="AZ101" s="1299"/>
      <c r="BA101" s="1294"/>
      <c r="BB101" s="1320"/>
      <c r="BC101" s="1303"/>
      <c r="BD101" s="1296"/>
      <c r="BE101" s="1303"/>
      <c r="BF101" s="1305"/>
      <c r="BG101" s="1305"/>
      <c r="BH101" s="1294"/>
      <c r="BI101" s="1320"/>
      <c r="BJ101" s="1303"/>
      <c r="BK101" s="1352"/>
      <c r="BL101" s="1303"/>
      <c r="BM101" s="1305"/>
      <c r="BN101" s="1305"/>
      <c r="BO101" s="1294"/>
      <c r="BP101" s="1320"/>
      <c r="BQ101" s="1303"/>
      <c r="BR101" s="1352"/>
      <c r="BS101" s="1303"/>
      <c r="BT101" s="1305"/>
      <c r="BU101" s="1305"/>
      <c r="BV101" s="1340"/>
      <c r="BW101" s="1342"/>
      <c r="BX101" s="1339"/>
      <c r="BY101" s="1353"/>
      <c r="BZ101" s="1339"/>
      <c r="CA101" s="1341"/>
      <c r="CB101" s="1299"/>
      <c r="CC101" s="1294"/>
      <c r="CD101" s="1320"/>
      <c r="CE101" s="1303"/>
      <c r="CF101" s="1352"/>
      <c r="CG101" s="1303"/>
      <c r="CH101" s="1305"/>
      <c r="CI101" s="1294"/>
      <c r="CJ101" s="1320"/>
      <c r="CK101" s="1303"/>
      <c r="CL101" s="1352"/>
      <c r="CM101" s="1303"/>
      <c r="CN101" s="1305"/>
      <c r="CO101" s="1305"/>
      <c r="CP101" s="1294"/>
      <c r="CQ101" s="1320"/>
      <c r="CR101" s="1303"/>
      <c r="CS101" s="1352"/>
      <c r="CT101" s="1303"/>
      <c r="CU101" s="1305"/>
      <c r="CV101" s="1299"/>
      <c r="CW101" s="1306">
        <f>+D101+Y101+AF101+AM101+AT101+BA101</f>
        <v>1493</v>
      </c>
      <c r="CX101" s="1317">
        <f>+CW101-CW93</f>
        <v>136</v>
      </c>
      <c r="CY101" s="1295">
        <f>+(CW101/CW93-1)*100</f>
        <v>10.022107590272666</v>
      </c>
      <c r="CZ101" s="1295"/>
      <c r="DA101" s="1295"/>
      <c r="DB101" s="1296">
        <f>+G101+AB101+AI101+AP101+AW101</f>
        <v>43.978999999999999</v>
      </c>
      <c r="DC101" s="1297">
        <f>+DB101/CW101*1000</f>
        <v>29.456798392498325</v>
      </c>
      <c r="DD101" s="1302">
        <f>+(DB101/DB93-1)*100</f>
        <v>9.4958297024772662</v>
      </c>
      <c r="DE101" s="1266"/>
      <c r="DF101" s="1350">
        <f>+D101/$CW101</f>
        <v>0.80107166778298733</v>
      </c>
      <c r="DG101" s="1351"/>
      <c r="DH101" s="1351"/>
      <c r="DI101" s="1350">
        <f>+Y101/$CW101</f>
        <v>7.8365706630944401E-2</v>
      </c>
      <c r="DJ101" s="1350">
        <f>+AF101/CW101</f>
        <v>4.9564634963161422E-2</v>
      </c>
      <c r="DK101" s="1350">
        <f>+AM101/CW101</f>
        <v>5.4253181513730743E-2</v>
      </c>
      <c r="DL101" s="1350">
        <f>+AT101/CW101</f>
        <v>1.6744809109176157E-2</v>
      </c>
      <c r="DM101" s="1350"/>
      <c r="DN101" s="1350"/>
      <c r="DO101" s="1350"/>
      <c r="DP101" s="1350"/>
      <c r="DQ101" s="1350"/>
      <c r="DS101" s="1333"/>
      <c r="DT101" s="1333"/>
      <c r="DU101" s="1333"/>
      <c r="DV101" s="1333"/>
      <c r="DW101" s="1333"/>
      <c r="DX101" s="1333"/>
      <c r="DY101" s="1333"/>
      <c r="DZ101" s="1333"/>
      <c r="EA101" s="1333"/>
      <c r="EB101" s="1333"/>
      <c r="ED101" s="693">
        <f>SUM(ED97:ED100)</f>
        <v>0</v>
      </c>
      <c r="EE101" s="693">
        <f>SUM(EE97:EE100)</f>
        <v>136</v>
      </c>
      <c r="EF101" s="693">
        <f>+EE101-ED101</f>
        <v>136</v>
      </c>
      <c r="EG101" s="1333">
        <f>+EF101-CX101</f>
        <v>0</v>
      </c>
    </row>
    <row r="102" spans="1:137" ht="15" hidden="1" outlineLevel="2">
      <c r="A102" s="1266"/>
      <c r="B102" s="1266" t="s">
        <v>646</v>
      </c>
      <c r="C102" s="1266"/>
      <c r="D102" s="1306"/>
      <c r="E102" s="1317"/>
      <c r="F102" s="1323"/>
      <c r="G102" s="1296"/>
      <c r="H102" s="1297"/>
      <c r="I102" s="1295"/>
      <c r="J102" s="1266"/>
      <c r="K102" s="1306"/>
      <c r="L102" s="1256"/>
      <c r="M102" s="1324"/>
      <c r="N102" s="1325" t="str">
        <f>IF(SUM(L102:M102)=L101,"","N")</f>
        <v>N</v>
      </c>
      <c r="O102" s="1297"/>
      <c r="P102" s="1295"/>
      <c r="Q102" s="1299"/>
      <c r="R102" s="1306"/>
      <c r="S102" s="1256"/>
      <c r="T102" s="1324"/>
      <c r="U102" s="1325" t="str">
        <f>IF(SUM(S102:T102)=S101,"","N")</f>
        <v>N</v>
      </c>
      <c r="V102" s="1297"/>
      <c r="W102" s="1295"/>
      <c r="X102" s="1299"/>
      <c r="Y102" s="1306"/>
      <c r="Z102" s="1256"/>
      <c r="AA102" s="1324"/>
      <c r="AB102" s="1325" t="str">
        <f>IF(SUM(Z102:AA102)=Z101,"","N")</f>
        <v>N</v>
      </c>
      <c r="AC102" s="1297"/>
      <c r="AD102" s="1295"/>
      <c r="AE102" s="1299"/>
      <c r="AF102" s="1306"/>
      <c r="AG102" s="1256"/>
      <c r="AH102" s="1324"/>
      <c r="AI102" s="1325" t="str">
        <f>IF(SUM(AG102:AH102)=AG101,"","N")</f>
        <v>N</v>
      </c>
      <c r="AJ102" s="1297"/>
      <c r="AK102" s="1295"/>
      <c r="AL102" s="1299"/>
      <c r="AM102" s="1306"/>
      <c r="AN102" s="1256"/>
      <c r="AO102" s="1324"/>
      <c r="AP102" s="1325" t="str">
        <f>IF(SUM(AN102:AO102)=AN101,"","N")</f>
        <v>N</v>
      </c>
      <c r="AQ102" s="1297"/>
      <c r="AR102" s="1295"/>
      <c r="AS102" s="1299"/>
      <c r="AT102" s="1306"/>
      <c r="AU102" s="1256"/>
      <c r="AV102" s="1324"/>
      <c r="AW102" s="1325" t="str">
        <f>IF(SUM(AU102:AV102)=AU101,"","N")</f>
        <v>N</v>
      </c>
      <c r="AX102" s="1297"/>
      <c r="AY102" s="1295"/>
      <c r="AZ102" s="1299"/>
      <c r="BA102" s="1306"/>
      <c r="BB102" s="1256"/>
      <c r="BC102" s="1324"/>
      <c r="BD102" s="1325"/>
      <c r="BE102" s="1303"/>
      <c r="BF102" s="1305"/>
      <c r="BG102" s="1305"/>
      <c r="BH102" s="1306"/>
      <c r="BI102" s="1256"/>
      <c r="BJ102" s="1324"/>
      <c r="BK102" s="1300"/>
      <c r="BL102" s="1303"/>
      <c r="BM102" s="1305"/>
      <c r="BN102" s="1305"/>
      <c r="BO102" s="1306"/>
      <c r="BP102" s="1256"/>
      <c r="BQ102" s="1324"/>
      <c r="BR102" s="1300"/>
      <c r="BS102" s="1303"/>
      <c r="BT102" s="1305"/>
      <c r="BU102" s="1305"/>
      <c r="BV102" s="1337"/>
      <c r="BW102" s="1343"/>
      <c r="BX102" s="1344"/>
      <c r="BY102" s="1340"/>
      <c r="BZ102" s="1339"/>
      <c r="CA102" s="1341"/>
      <c r="CB102" s="1299"/>
      <c r="CC102" s="1306"/>
      <c r="CD102" s="1256"/>
      <c r="CE102" s="1324"/>
      <c r="CF102" s="1300"/>
      <c r="CG102" s="1303"/>
      <c r="CH102" s="1305"/>
      <c r="CI102" s="1306"/>
      <c r="CJ102" s="1256"/>
      <c r="CK102" s="1324"/>
      <c r="CL102" s="1300"/>
      <c r="CM102" s="1303"/>
      <c r="CN102" s="1305"/>
      <c r="CO102" s="1305"/>
      <c r="CP102" s="1306"/>
      <c r="CQ102" s="1256"/>
      <c r="CR102" s="1324"/>
      <c r="CS102" s="1300"/>
      <c r="CT102" s="1303"/>
      <c r="CU102" s="1305"/>
      <c r="CV102" s="1299"/>
      <c r="CW102" s="1306"/>
      <c r="CX102" s="1317"/>
      <c r="CY102" s="1297"/>
      <c r="CZ102" s="1320"/>
      <c r="DA102" s="1322"/>
      <c r="DB102" s="1296"/>
      <c r="DC102" s="1297"/>
      <c r="DD102" s="1302"/>
      <c r="DE102" s="1266"/>
      <c r="DF102" s="1266"/>
      <c r="DG102" s="1266"/>
      <c r="DH102" s="1266"/>
      <c r="DI102" s="1266"/>
      <c r="DJ102" s="1266"/>
      <c r="DK102" s="1266"/>
      <c r="DL102" s="1266"/>
      <c r="DM102" s="1266"/>
      <c r="DN102" s="1266"/>
      <c r="DO102" s="1266"/>
      <c r="DP102" s="1266"/>
      <c r="DQ102" s="1266"/>
      <c r="DS102" s="1333"/>
      <c r="DT102" s="1333"/>
      <c r="DU102" s="1333"/>
      <c r="DV102" s="1333"/>
      <c r="DW102" s="1333"/>
      <c r="DX102" s="1333"/>
      <c r="DY102" s="1333"/>
      <c r="DZ102" s="1333"/>
      <c r="EA102" s="1333"/>
      <c r="EB102" s="1333"/>
    </row>
    <row r="103" spans="1:137" ht="15.75" hidden="1" outlineLevel="1" collapsed="1">
      <c r="A103" s="2120"/>
      <c r="B103" s="2120"/>
      <c r="C103" s="1266"/>
      <c r="D103" s="1335"/>
      <c r="E103" s="1269"/>
      <c r="F103" s="1268"/>
      <c r="G103" s="1335"/>
      <c r="H103" s="1268"/>
      <c r="I103" s="1295"/>
      <c r="J103" s="1266"/>
      <c r="K103" s="1336"/>
      <c r="L103" s="1269"/>
      <c r="M103" s="1268"/>
      <c r="N103" s="1336"/>
      <c r="O103" s="1268"/>
      <c r="P103" s="1295"/>
      <c r="Q103" s="1268"/>
      <c r="R103" s="1336"/>
      <c r="S103" s="1269"/>
      <c r="T103" s="1268"/>
      <c r="U103" s="1336"/>
      <c r="V103" s="1268"/>
      <c r="W103" s="1295"/>
      <c r="X103" s="1268"/>
      <c r="Y103" s="1336"/>
      <c r="Z103" s="1269"/>
      <c r="AA103" s="1268"/>
      <c r="AB103" s="1336"/>
      <c r="AC103" s="1268"/>
      <c r="AD103" s="1295"/>
      <c r="AE103" s="1268"/>
      <c r="AF103" s="1336"/>
      <c r="AG103" s="1269"/>
      <c r="AH103" s="1268"/>
      <c r="AI103" s="1336"/>
      <c r="AJ103" s="1268"/>
      <c r="AK103" s="1302"/>
      <c r="AL103" s="1268"/>
      <c r="AM103" s="1336"/>
      <c r="AN103" s="1269"/>
      <c r="AO103" s="1268"/>
      <c r="AP103" s="1336"/>
      <c r="AQ103" s="1268"/>
      <c r="AR103" s="1295"/>
      <c r="AS103" s="1268"/>
      <c r="AT103" s="1336"/>
      <c r="AU103" s="1269"/>
      <c r="AV103" s="1268"/>
      <c r="AW103" s="1336"/>
      <c r="AX103" s="1268"/>
      <c r="AY103" s="1295"/>
      <c r="AZ103" s="1266"/>
      <c r="BA103" s="1336"/>
      <c r="BB103" s="1269"/>
      <c r="BC103" s="1266"/>
      <c r="BD103" s="1336"/>
      <c r="BE103" s="1268"/>
      <c r="BF103" s="1295"/>
      <c r="BG103" s="1295"/>
      <c r="BH103" s="1336"/>
      <c r="BI103" s="1269"/>
      <c r="BJ103" s="1266"/>
      <c r="BK103" s="1336"/>
      <c r="BL103" s="1268"/>
      <c r="BM103" s="1295"/>
      <c r="BN103" s="1295"/>
      <c r="BO103" s="1336"/>
      <c r="BP103" s="1269"/>
      <c r="BQ103" s="1266"/>
      <c r="BR103" s="1336"/>
      <c r="BS103" s="1268"/>
      <c r="BT103" s="1295"/>
      <c r="BU103" s="1295"/>
      <c r="BV103" s="1345"/>
      <c r="BW103" s="1354"/>
      <c r="BX103" s="1355"/>
      <c r="BY103" s="1345"/>
      <c r="BZ103" s="1356"/>
      <c r="CA103" s="1357"/>
      <c r="CB103" s="1266"/>
      <c r="CC103" s="1336"/>
      <c r="CD103" s="1269"/>
      <c r="CE103" s="1266"/>
      <c r="CF103" s="1336"/>
      <c r="CG103" s="1268"/>
      <c r="CH103" s="1295"/>
      <c r="CI103" s="1336"/>
      <c r="CJ103" s="1269"/>
      <c r="CK103" s="1266"/>
      <c r="CL103" s="1336"/>
      <c r="CM103" s="1268"/>
      <c r="CN103" s="1295"/>
      <c r="CO103" s="1295"/>
      <c r="CP103" s="1336"/>
      <c r="CQ103" s="1269"/>
      <c r="CR103" s="1266"/>
      <c r="CS103" s="1336"/>
      <c r="CT103" s="1268"/>
      <c r="CU103" s="1295"/>
      <c r="CV103" s="1266"/>
      <c r="CW103" s="1335"/>
      <c r="CX103" s="1266"/>
      <c r="CY103" s="1266"/>
      <c r="CZ103" s="1266"/>
      <c r="DA103" s="1266"/>
      <c r="DB103" s="1335"/>
      <c r="DC103" s="1268"/>
      <c r="DD103" s="1302"/>
      <c r="DE103" s="1266"/>
      <c r="DF103" s="1266"/>
      <c r="DG103" s="1266"/>
      <c r="DH103" s="1266"/>
      <c r="DI103" s="1266"/>
      <c r="DJ103" s="1266"/>
      <c r="DK103" s="1266"/>
      <c r="DL103" s="1266"/>
      <c r="DM103" s="1266"/>
      <c r="DN103" s="1266"/>
      <c r="DO103" s="1266"/>
      <c r="DP103" s="1266"/>
      <c r="DQ103" s="1266"/>
      <c r="DS103" s="1333"/>
      <c r="DT103" s="1333"/>
      <c r="DU103" s="1333"/>
      <c r="DV103" s="1333"/>
      <c r="DW103" s="1333"/>
      <c r="DX103" s="1333"/>
      <c r="DY103" s="1333"/>
      <c r="DZ103" s="1333"/>
      <c r="EA103" s="1333"/>
      <c r="EB103" s="1333"/>
    </row>
    <row r="104" spans="1:137" ht="15.75" hidden="1" outlineLevel="1">
      <c r="A104" s="2119">
        <f>+A96+1</f>
        <v>2001</v>
      </c>
      <c r="B104" s="2119"/>
      <c r="C104" s="1266"/>
      <c r="D104" s="1335"/>
      <c r="E104" s="1269"/>
      <c r="F104" s="1268"/>
      <c r="G104" s="1335"/>
      <c r="H104" s="1268"/>
      <c r="I104" s="1295"/>
      <c r="J104" s="1266"/>
      <c r="K104" s="1336"/>
      <c r="L104" s="1269"/>
      <c r="M104" s="1268"/>
      <c r="N104" s="1336"/>
      <c r="O104" s="1268"/>
      <c r="P104" s="1295"/>
      <c r="Q104" s="1268"/>
      <c r="R104" s="1336"/>
      <c r="S104" s="1269"/>
      <c r="T104" s="1268"/>
      <c r="U104" s="1336"/>
      <c r="V104" s="1268"/>
      <c r="W104" s="1295"/>
      <c r="X104" s="1268"/>
      <c r="Y104" s="1336"/>
      <c r="Z104" s="1269"/>
      <c r="AA104" s="1268"/>
      <c r="AB104" s="1336"/>
      <c r="AC104" s="1268"/>
      <c r="AD104" s="1295"/>
      <c r="AE104" s="1268"/>
      <c r="AF104" s="1336"/>
      <c r="AG104" s="1269"/>
      <c r="AH104" s="1268"/>
      <c r="AI104" s="1336"/>
      <c r="AJ104" s="1268"/>
      <c r="AK104" s="1302"/>
      <c r="AL104" s="1268"/>
      <c r="AM104" s="1336"/>
      <c r="AN104" s="1269"/>
      <c r="AO104" s="1268"/>
      <c r="AP104" s="1336"/>
      <c r="AQ104" s="1268"/>
      <c r="AR104" s="1295"/>
      <c r="AS104" s="1268"/>
      <c r="AT104" s="1336"/>
      <c r="AU104" s="1269"/>
      <c r="AV104" s="1268"/>
      <c r="AW104" s="1336"/>
      <c r="AX104" s="1268"/>
      <c r="AY104" s="1295"/>
      <c r="AZ104" s="1266"/>
      <c r="BA104" s="1336"/>
      <c r="BB104" s="1269"/>
      <c r="BC104" s="1266"/>
      <c r="BD104" s="1336"/>
      <c r="BE104" s="1268"/>
      <c r="BF104" s="1295"/>
      <c r="BG104" s="1295"/>
      <c r="BH104" s="1336"/>
      <c r="BI104" s="1269"/>
      <c r="BJ104" s="1266"/>
      <c r="BK104" s="1336"/>
      <c r="BL104" s="1268"/>
      <c r="BM104" s="1295"/>
      <c r="BN104" s="1295"/>
      <c r="BO104" s="1336"/>
      <c r="BP104" s="1269"/>
      <c r="BQ104" s="1266"/>
      <c r="BR104" s="1336"/>
      <c r="BS104" s="1268"/>
      <c r="BT104" s="1295"/>
      <c r="BU104" s="1295"/>
      <c r="BV104" s="1345"/>
      <c r="BW104" s="1354"/>
      <c r="BX104" s="1355"/>
      <c r="BY104" s="1345"/>
      <c r="BZ104" s="1356"/>
      <c r="CA104" s="1357"/>
      <c r="CB104" s="1266"/>
      <c r="CC104" s="1336"/>
      <c r="CD104" s="1269"/>
      <c r="CE104" s="1266"/>
      <c r="CF104" s="1336"/>
      <c r="CG104" s="1268"/>
      <c r="CH104" s="1295"/>
      <c r="CI104" s="1336"/>
      <c r="CJ104" s="1269"/>
      <c r="CK104" s="1266"/>
      <c r="CL104" s="1336"/>
      <c r="CM104" s="1268"/>
      <c r="CN104" s="1295"/>
      <c r="CO104" s="1295"/>
      <c r="CP104" s="1336"/>
      <c r="CQ104" s="1269"/>
      <c r="CR104" s="1266"/>
      <c r="CS104" s="1336"/>
      <c r="CT104" s="1268"/>
      <c r="CU104" s="1295"/>
      <c r="CV104" s="1266"/>
      <c r="CW104" s="1335"/>
      <c r="CX104" s="1266"/>
      <c r="CY104" s="1266"/>
      <c r="CZ104" s="1266"/>
      <c r="DA104" s="1266"/>
      <c r="DB104" s="1335"/>
      <c r="DC104" s="1268"/>
      <c r="DD104" s="1302"/>
      <c r="DE104" s="1266"/>
      <c r="DF104" s="1266"/>
      <c r="DG104" s="1266"/>
      <c r="DH104" s="1266"/>
      <c r="DI104" s="1266"/>
      <c r="DJ104" s="1266"/>
      <c r="DK104" s="1266"/>
      <c r="DL104" s="1266"/>
      <c r="DM104" s="1266"/>
      <c r="DN104" s="1266"/>
      <c r="DO104" s="1266"/>
      <c r="DP104" s="1266"/>
      <c r="DQ104" s="1266"/>
      <c r="DS104" s="1333"/>
      <c r="DT104" s="1333"/>
      <c r="DU104" s="1333"/>
      <c r="DV104" s="1333"/>
      <c r="DW104" s="1333"/>
      <c r="DX104" s="1333"/>
      <c r="DY104" s="1333"/>
      <c r="DZ104" s="1333"/>
      <c r="EA104" s="1333"/>
      <c r="EB104" s="1333"/>
    </row>
    <row r="105" spans="1:137" ht="15" hidden="1" outlineLevel="1">
      <c r="A105" s="1266" t="str">
        <f>$A$17</f>
        <v>1Q</v>
      </c>
      <c r="B105" s="1266" t="str">
        <f>$B$17</f>
        <v>Apr</v>
      </c>
      <c r="C105" s="1266"/>
      <c r="D105" s="1294">
        <f>+K105+R105</f>
        <v>1211</v>
      </c>
      <c r="E105" s="1255">
        <f>+D105-D100</f>
        <v>15</v>
      </c>
      <c r="F105" s="1295">
        <f>+(D105/D97-1)*100</f>
        <v>5.579773321708803</v>
      </c>
      <c r="G105" s="1296">
        <f>+N105+U105</f>
        <v>36.525000000000006</v>
      </c>
      <c r="H105" s="1297"/>
      <c r="I105" s="1295">
        <f>+(G105/G97-1)*100</f>
        <v>5.621584106879518</v>
      </c>
      <c r="J105" s="1309"/>
      <c r="K105" s="1298">
        <v>665</v>
      </c>
      <c r="L105" s="1255">
        <f>+K105-K100</f>
        <v>4</v>
      </c>
      <c r="M105" s="1295">
        <f>+(K105/K97-1)*100</f>
        <v>4.3956043956044022</v>
      </c>
      <c r="N105" s="1318">
        <v>19.568000000000001</v>
      </c>
      <c r="O105" s="1297"/>
      <c r="P105" s="1295">
        <f>+(N105/N97-1)*100</f>
        <v>4.7930166550634867</v>
      </c>
      <c r="Q105" s="1299"/>
      <c r="R105" s="1298">
        <v>546</v>
      </c>
      <c r="S105" s="1255">
        <f>+R105-R100</f>
        <v>11</v>
      </c>
      <c r="T105" s="1295">
        <f>+(R105/R97-1)*100</f>
        <v>7.0588235294117618</v>
      </c>
      <c r="U105" s="1318">
        <v>16.957000000000001</v>
      </c>
      <c r="V105" s="1297"/>
      <c r="W105" s="1295">
        <f>+(U105/U97-1)*100</f>
        <v>6.5941664571284919</v>
      </c>
      <c r="X105" s="1299"/>
      <c r="Y105" s="1298">
        <v>123</v>
      </c>
      <c r="Z105" s="1255">
        <f>+Y105-Y100</f>
        <v>6</v>
      </c>
      <c r="AA105" s="1295">
        <f>+(Y105/Y97-1)*100</f>
        <v>17.142857142857149</v>
      </c>
      <c r="AB105" s="1318">
        <v>3.3650000000000002</v>
      </c>
      <c r="AC105" s="1297"/>
      <c r="AD105" s="1295">
        <f>+(AB105/AB97-1)*100</f>
        <v>18.402533427163981</v>
      </c>
      <c r="AE105" s="1299"/>
      <c r="AF105" s="1298">
        <v>76</v>
      </c>
      <c r="AG105" s="1255">
        <f>+AF105-AF100</f>
        <v>2</v>
      </c>
      <c r="AH105" s="1295">
        <f>+(AF105/AF97-1)*100</f>
        <v>33.333333333333329</v>
      </c>
      <c r="AI105" s="1318">
        <v>1.966</v>
      </c>
      <c r="AJ105" s="1297"/>
      <c r="AK105" s="1295">
        <f>+(AI105/AI97-1)*100</f>
        <v>37.964912280701753</v>
      </c>
      <c r="AL105" s="1299"/>
      <c r="AM105" s="1298">
        <v>93</v>
      </c>
      <c r="AN105" s="1255">
        <f>+AM105-AM100</f>
        <v>12</v>
      </c>
      <c r="AO105" s="1295">
        <f>+(AM105/AM97-1)*100</f>
        <v>69.090909090909093</v>
      </c>
      <c r="AP105" s="1318">
        <v>2.4350000000000001</v>
      </c>
      <c r="AQ105" s="1297"/>
      <c r="AR105" s="1295">
        <f>+(AP105/AP97-1)*100</f>
        <v>65.533650577838202</v>
      </c>
      <c r="AS105" s="1299"/>
      <c r="AT105" s="1298">
        <v>28</v>
      </c>
      <c r="AU105" s="1255">
        <f>+AT105-AT100</f>
        <v>3</v>
      </c>
      <c r="AV105" s="1295">
        <f>+(AT105/AT97-1)*100</f>
        <v>55.555555555555557</v>
      </c>
      <c r="AW105" s="1318">
        <v>0.749</v>
      </c>
      <c r="AX105" s="1297"/>
      <c r="AY105" s="1295">
        <f>+(AW105/AW97-1)*100</f>
        <v>56.367432150313171</v>
      </c>
      <c r="AZ105" s="1299"/>
      <c r="BA105" s="1298">
        <v>4</v>
      </c>
      <c r="BB105" s="1255">
        <f>+BA105-BA100</f>
        <v>4</v>
      </c>
      <c r="BC105" s="1295"/>
      <c r="BD105" s="1318">
        <v>8.5000000000000006E-2</v>
      </c>
      <c r="BE105" s="1297"/>
      <c r="BF105" s="1295"/>
      <c r="BG105" s="1295"/>
      <c r="BH105" s="1298"/>
      <c r="BI105" s="1255"/>
      <c r="BJ105" s="1295"/>
      <c r="BK105" s="1296"/>
      <c r="BL105" s="1297"/>
      <c r="BM105" s="1295"/>
      <c r="BN105" s="1295"/>
      <c r="BO105" s="1298"/>
      <c r="BP105" s="1255"/>
      <c r="BQ105" s="1295"/>
      <c r="BR105" s="1296"/>
      <c r="BS105" s="1297"/>
      <c r="BT105" s="1295"/>
      <c r="BU105" s="1295"/>
      <c r="BV105" s="1337"/>
      <c r="BW105" s="1358"/>
      <c r="BX105" s="1357"/>
      <c r="BY105" s="1359"/>
      <c r="BZ105" s="1360"/>
      <c r="CA105" s="1357"/>
      <c r="CB105" s="1299"/>
      <c r="CC105" s="1298"/>
      <c r="CD105" s="1255"/>
      <c r="CE105" s="1295"/>
      <c r="CF105" s="1296"/>
      <c r="CG105" s="1297"/>
      <c r="CH105" s="1295"/>
      <c r="CI105" s="1298"/>
      <c r="CJ105" s="1255"/>
      <c r="CK105" s="1295"/>
      <c r="CL105" s="1296"/>
      <c r="CM105" s="1297"/>
      <c r="CN105" s="1295"/>
      <c r="CO105" s="1295"/>
      <c r="CP105" s="1298"/>
      <c r="CQ105" s="1255"/>
      <c r="CR105" s="1295"/>
      <c r="CS105" s="1296"/>
      <c r="CT105" s="1297"/>
      <c r="CU105" s="1295"/>
      <c r="CV105" s="1299"/>
      <c r="CW105" s="1306">
        <f>+D105+Y105+AF105+AM105+AT105+BA105</f>
        <v>1535</v>
      </c>
      <c r="CX105" s="1307">
        <f>+CW105-CW100</f>
        <v>42</v>
      </c>
      <c r="CY105" s="1295">
        <f>+(CW105/CW97-1)*100</f>
        <v>11.07091172214183</v>
      </c>
      <c r="CZ105" s="1295"/>
      <c r="DA105" s="1295"/>
      <c r="DB105" s="1296">
        <f>+G105+AB105+AI105+AP105+AW105+BD105</f>
        <v>45.125000000000014</v>
      </c>
      <c r="DC105" s="1297"/>
      <c r="DD105" s="1302"/>
      <c r="DE105" s="1266"/>
      <c r="DF105" s="1350">
        <f>+D105/$CW105</f>
        <v>0.78892508143322471</v>
      </c>
      <c r="DG105" s="1351"/>
      <c r="DH105" s="1351"/>
      <c r="DI105" s="1350">
        <f>+Y105/$CW105</f>
        <v>8.0130293159609123E-2</v>
      </c>
      <c r="DJ105" s="1350">
        <f>+AF105/CW105</f>
        <v>4.9511400651465795E-2</v>
      </c>
      <c r="DK105" s="1350">
        <f>+AM105/CW105</f>
        <v>6.0586319218241043E-2</v>
      </c>
      <c r="DL105" s="1350">
        <f>+AT105/CW105</f>
        <v>1.8241042345276872E-2</v>
      </c>
      <c r="DM105" s="1350">
        <f>+BA105/$CW105</f>
        <v>2.6058631921824105E-3</v>
      </c>
      <c r="DN105" s="1350"/>
      <c r="DO105" s="1350">
        <f t="shared" ref="DO105:DQ109" si="10">+BB105/$CW105</f>
        <v>2.6058631921824105E-3</v>
      </c>
      <c r="DP105" s="1350">
        <f t="shared" si="10"/>
        <v>0</v>
      </c>
      <c r="DQ105" s="1350">
        <f t="shared" si="10"/>
        <v>5.5374592833876223E-5</v>
      </c>
      <c r="DS105" s="1333">
        <f t="shared" si="0"/>
        <v>4</v>
      </c>
      <c r="DT105" s="1333">
        <f t="shared" si="1"/>
        <v>11</v>
      </c>
      <c r="DU105" s="1333">
        <f t="shared" si="2"/>
        <v>6</v>
      </c>
      <c r="DV105" s="1333">
        <f t="shared" si="3"/>
        <v>2</v>
      </c>
      <c r="DW105" s="1333">
        <f t="shared" si="4"/>
        <v>12</v>
      </c>
      <c r="DX105" s="1333">
        <f t="shared" si="5"/>
        <v>3</v>
      </c>
      <c r="DY105" s="1333">
        <f t="shared" si="6"/>
        <v>4</v>
      </c>
      <c r="DZ105" s="1333">
        <f t="shared" si="7"/>
        <v>0</v>
      </c>
      <c r="EA105" s="1333">
        <f t="shared" si="8"/>
        <v>0</v>
      </c>
      <c r="EB105" s="1333">
        <f t="shared" si="9"/>
        <v>0</v>
      </c>
      <c r="ED105" s="451">
        <f>-(SUMIF(DS105:EB105,"&lt;0"))</f>
        <v>0</v>
      </c>
      <c r="EE105" s="451">
        <f>(SUMIF(DS105:EB105,"&gt;0"))</f>
        <v>42</v>
      </c>
      <c r="EF105" s="451">
        <f>+EE105-ED105</f>
        <v>42</v>
      </c>
      <c r="EG105" s="1333">
        <f>+EF105-CX105</f>
        <v>0</v>
      </c>
    </row>
    <row r="106" spans="1:137" ht="15" hidden="1" outlineLevel="1">
      <c r="A106" s="1266" t="str">
        <f>$A$18</f>
        <v>2Q</v>
      </c>
      <c r="B106" s="1266" t="str">
        <f>$B$18</f>
        <v>Jul</v>
      </c>
      <c r="C106" s="1266"/>
      <c r="D106" s="1294">
        <f>+K106+R106</f>
        <v>1217</v>
      </c>
      <c r="E106" s="1255">
        <f>+D106-D105</f>
        <v>6</v>
      </c>
      <c r="F106" s="1295">
        <f>+(D106/D98-1)*100</f>
        <v>5.0949913644214195</v>
      </c>
      <c r="G106" s="1296">
        <f>+N106+U106</f>
        <v>36.784000000000006</v>
      </c>
      <c r="H106" s="1297"/>
      <c r="I106" s="1295">
        <f>+(G106/G98-1)*100</f>
        <v>5.2836453145572282</v>
      </c>
      <c r="J106" s="1309"/>
      <c r="K106" s="1300">
        <v>661</v>
      </c>
      <c r="L106" s="1255">
        <f>+K106-K105</f>
        <v>-4</v>
      </c>
      <c r="M106" s="1295">
        <f>+(K106/K98-1)*100</f>
        <v>3.4428794992175327</v>
      </c>
      <c r="N106" s="1318">
        <v>19.495000000000001</v>
      </c>
      <c r="O106" s="1297"/>
      <c r="P106" s="1295">
        <f>+(N106/N98-1)*100</f>
        <v>4.0899140370548537</v>
      </c>
      <c r="Q106" s="1299"/>
      <c r="R106" s="1300">
        <v>556</v>
      </c>
      <c r="S106" s="1255">
        <f>+R106-R105</f>
        <v>10</v>
      </c>
      <c r="T106" s="1295">
        <f>+(R106/R98-1)*100</f>
        <v>7.1290944123314048</v>
      </c>
      <c r="U106" s="1318">
        <v>17.289000000000001</v>
      </c>
      <c r="V106" s="1297"/>
      <c r="W106" s="1295">
        <f>+(U106/U98-1)*100</f>
        <v>6.6629650194336643</v>
      </c>
      <c r="X106" s="1299"/>
      <c r="Y106" s="1300">
        <v>123</v>
      </c>
      <c r="Z106" s="1255">
        <f>+Y106-Y105</f>
        <v>0</v>
      </c>
      <c r="AA106" s="1295">
        <f>+(Y106/Y98-1)*100</f>
        <v>16.03773584905661</v>
      </c>
      <c r="AB106" s="1318">
        <v>3.371</v>
      </c>
      <c r="AC106" s="1297"/>
      <c r="AD106" s="1295">
        <f>+(AB106/AB98-1)*100</f>
        <v>16.926812348248355</v>
      </c>
      <c r="AE106" s="1299"/>
      <c r="AF106" s="1300">
        <v>83</v>
      </c>
      <c r="AG106" s="1255">
        <f>+AF106-AF105</f>
        <v>7</v>
      </c>
      <c r="AH106" s="1295">
        <f>+(AF106/AF98-1)*100</f>
        <v>29.6875</v>
      </c>
      <c r="AI106" s="1318">
        <v>2.2149999999999999</v>
      </c>
      <c r="AJ106" s="1297"/>
      <c r="AK106" s="1295">
        <f>+(AI106/AI98-1)*100</f>
        <v>36.982065553494124</v>
      </c>
      <c r="AL106" s="1299"/>
      <c r="AM106" s="1300">
        <v>99</v>
      </c>
      <c r="AN106" s="1255">
        <f>+AM106-AM105</f>
        <v>6</v>
      </c>
      <c r="AO106" s="1295">
        <f>+(AM106/AM98-1)*100</f>
        <v>64.999999999999986</v>
      </c>
      <c r="AP106" s="1318">
        <v>2.5880000000000001</v>
      </c>
      <c r="AQ106" s="1297"/>
      <c r="AR106" s="1295">
        <f>+(AP106/AP98-1)*100</f>
        <v>61.246105919003128</v>
      </c>
      <c r="AS106" s="1299"/>
      <c r="AT106" s="1300">
        <v>31</v>
      </c>
      <c r="AU106" s="1255">
        <f>+AT106-AT105</f>
        <v>3</v>
      </c>
      <c r="AV106" s="1295">
        <f>+(AT106/AT98-1)*100</f>
        <v>63.157894736842103</v>
      </c>
      <c r="AW106" s="1318">
        <v>0.82599999999999996</v>
      </c>
      <c r="AX106" s="1297"/>
      <c r="AY106" s="1295">
        <f>+(AW106/AW98-1)*100</f>
        <v>63.564356435643553</v>
      </c>
      <c r="AZ106" s="1299"/>
      <c r="BA106" s="1300">
        <v>6</v>
      </c>
      <c r="BB106" s="1255">
        <f>+BA106-BA105</f>
        <v>2</v>
      </c>
      <c r="BC106" s="1295"/>
      <c r="BD106" s="1318">
        <v>0.11</v>
      </c>
      <c r="BE106" s="1297"/>
      <c r="BF106" s="1295"/>
      <c r="BG106" s="1295"/>
      <c r="BH106" s="1300"/>
      <c r="BI106" s="1255"/>
      <c r="BJ106" s="1295"/>
      <c r="BK106" s="1296"/>
      <c r="BL106" s="1297"/>
      <c r="BM106" s="1295"/>
      <c r="BN106" s="1295"/>
      <c r="BO106" s="1300"/>
      <c r="BP106" s="1255"/>
      <c r="BQ106" s="1295"/>
      <c r="BR106" s="1296"/>
      <c r="BS106" s="1297"/>
      <c r="BT106" s="1295"/>
      <c r="BU106" s="1295"/>
      <c r="BV106" s="1340"/>
      <c r="BW106" s="1358"/>
      <c r="BX106" s="1357"/>
      <c r="BY106" s="1359"/>
      <c r="BZ106" s="1360"/>
      <c r="CA106" s="1357"/>
      <c r="CB106" s="1299"/>
      <c r="CC106" s="1300"/>
      <c r="CD106" s="1255"/>
      <c r="CE106" s="1295"/>
      <c r="CF106" s="1296"/>
      <c r="CG106" s="1297"/>
      <c r="CH106" s="1295"/>
      <c r="CI106" s="1300"/>
      <c r="CJ106" s="1255"/>
      <c r="CK106" s="1295"/>
      <c r="CL106" s="1296"/>
      <c r="CM106" s="1297"/>
      <c r="CN106" s="1295"/>
      <c r="CO106" s="1295"/>
      <c r="CP106" s="1300"/>
      <c r="CQ106" s="1255"/>
      <c r="CR106" s="1295"/>
      <c r="CS106" s="1296"/>
      <c r="CT106" s="1297"/>
      <c r="CU106" s="1295"/>
      <c r="CV106" s="1299"/>
      <c r="CW106" s="1306">
        <f>+D106+Y106+AF106+AM106+AT106+BA106</f>
        <v>1559</v>
      </c>
      <c r="CX106" s="1307">
        <f>+CW106-CW105</f>
        <v>24</v>
      </c>
      <c r="CY106" s="1295">
        <f>+(CW106/CW98-1)*100</f>
        <v>10.803127221037666</v>
      </c>
      <c r="CZ106" s="1295"/>
      <c r="DA106" s="1295"/>
      <c r="DB106" s="1296">
        <f>+G106+AB106+AI106+AP106+AW106+BD106</f>
        <v>45.894000000000005</v>
      </c>
      <c r="DC106" s="1297"/>
      <c r="DD106" s="1302"/>
      <c r="DE106" s="1266"/>
      <c r="DF106" s="1350">
        <f>+D106/$CW106</f>
        <v>0.78062860808210388</v>
      </c>
      <c r="DG106" s="1351"/>
      <c r="DH106" s="1351"/>
      <c r="DI106" s="1350">
        <f>+Y106/$CW106</f>
        <v>7.8896728672225788E-2</v>
      </c>
      <c r="DJ106" s="1350">
        <f>+AF106/CW106</f>
        <v>5.3239255933290569E-2</v>
      </c>
      <c r="DK106" s="1350">
        <f>+AM106/CW106</f>
        <v>6.3502245028864659E-2</v>
      </c>
      <c r="DL106" s="1350">
        <f>+AT106/CW106</f>
        <v>1.9884541372674792E-2</v>
      </c>
      <c r="DM106" s="1350">
        <f>+BA106/$CW106</f>
        <v>3.8486209108402822E-3</v>
      </c>
      <c r="DN106" s="1350"/>
      <c r="DO106" s="1350">
        <f t="shared" si="10"/>
        <v>1.2828736369467607E-3</v>
      </c>
      <c r="DP106" s="1350">
        <f t="shared" si="10"/>
        <v>0</v>
      </c>
      <c r="DQ106" s="1350">
        <f t="shared" si="10"/>
        <v>7.055805003207184E-5</v>
      </c>
      <c r="DS106" s="1333">
        <f t="shared" si="0"/>
        <v>-4</v>
      </c>
      <c r="DT106" s="1333">
        <f t="shared" si="1"/>
        <v>10</v>
      </c>
      <c r="DU106" s="1333">
        <f t="shared" si="2"/>
        <v>0</v>
      </c>
      <c r="DV106" s="1333">
        <f t="shared" si="3"/>
        <v>7</v>
      </c>
      <c r="DW106" s="1333">
        <f t="shared" si="4"/>
        <v>6</v>
      </c>
      <c r="DX106" s="1333">
        <f t="shared" si="5"/>
        <v>3</v>
      </c>
      <c r="DY106" s="1333">
        <f t="shared" si="6"/>
        <v>2</v>
      </c>
      <c r="DZ106" s="1333">
        <f t="shared" si="7"/>
        <v>0</v>
      </c>
      <c r="EA106" s="1333">
        <f t="shared" si="8"/>
        <v>0</v>
      </c>
      <c r="EB106" s="1333">
        <f t="shared" si="9"/>
        <v>0</v>
      </c>
      <c r="ED106" s="451">
        <f>-(SUMIF(DS106:EB106,"&lt;0"))</f>
        <v>4</v>
      </c>
      <c r="EE106" s="451">
        <f>(SUMIF(DS106:EB106,"&gt;0"))</f>
        <v>28</v>
      </c>
      <c r="EF106" s="451">
        <f>+EE106-ED106</f>
        <v>24</v>
      </c>
      <c r="EG106" s="1333">
        <f>+EF106-CX106</f>
        <v>0</v>
      </c>
    </row>
    <row r="107" spans="1:137" ht="15" hidden="1" outlineLevel="1">
      <c r="A107" s="1266" t="str">
        <f>$A$19</f>
        <v>3Q</v>
      </c>
      <c r="B107" s="1266" t="str">
        <f>$B$19</f>
        <v>Oct</v>
      </c>
      <c r="C107" s="1266"/>
      <c r="D107" s="1294">
        <f>+K107+R107</f>
        <v>1254</v>
      </c>
      <c r="E107" s="1255">
        <f>+D107-D106</f>
        <v>37</v>
      </c>
      <c r="F107" s="1295">
        <f>+(D107/D99-1)*100</f>
        <v>5.644481887110353</v>
      </c>
      <c r="G107" s="1296">
        <f>+N107+U107</f>
        <v>37.930999999999997</v>
      </c>
      <c r="H107" s="1297"/>
      <c r="I107" s="1295">
        <f>+(G107/G99-1)*100</f>
        <v>5.9850792142837062</v>
      </c>
      <c r="J107" s="1309"/>
      <c r="K107" s="1300">
        <v>681</v>
      </c>
      <c r="L107" s="1255">
        <f>+K107-K106</f>
        <v>20</v>
      </c>
      <c r="M107" s="1295">
        <f>+(K107/K99-1)*100</f>
        <v>4.1284403669724856</v>
      </c>
      <c r="N107" s="1318">
        <v>20.120999999999999</v>
      </c>
      <c r="O107" s="1297"/>
      <c r="P107" s="1295">
        <f>+(N107/N99-1)*100</f>
        <v>4.8788115715402647</v>
      </c>
      <c r="Q107" s="1299"/>
      <c r="R107" s="1300">
        <v>573</v>
      </c>
      <c r="S107" s="1255">
        <f>+R107-R106</f>
        <v>17</v>
      </c>
      <c r="T107" s="1295">
        <f>+(R107/R99-1)*100</f>
        <v>7.5046904315196894</v>
      </c>
      <c r="U107" s="1318">
        <v>17.809999999999999</v>
      </c>
      <c r="V107" s="1297"/>
      <c r="W107" s="1295">
        <f>+(U107/U99-1)*100</f>
        <v>7.2633100457720978</v>
      </c>
      <c r="X107" s="1299"/>
      <c r="Y107" s="1300">
        <v>129</v>
      </c>
      <c r="Z107" s="1255">
        <f>+Y107-Y106</f>
        <v>6</v>
      </c>
      <c r="AA107" s="1295">
        <f>+(Y107/Y99-1)*100</f>
        <v>11.206896551724132</v>
      </c>
      <c r="AB107" s="1318">
        <v>3.5680000000000001</v>
      </c>
      <c r="AC107" s="1297"/>
      <c r="AD107" s="1295">
        <f>+(AB107/AB99-1)*100</f>
        <v>13.377820146170972</v>
      </c>
      <c r="AE107" s="1299"/>
      <c r="AF107" s="1300">
        <v>99</v>
      </c>
      <c r="AG107" s="1255">
        <f>+AF107-AF106</f>
        <v>16</v>
      </c>
      <c r="AH107" s="1295">
        <f>+(AF107/AF99-1)*100</f>
        <v>37.5</v>
      </c>
      <c r="AI107" s="1318">
        <v>2.6429999999999998</v>
      </c>
      <c r="AJ107" s="1297"/>
      <c r="AK107" s="1295">
        <f>+(AI107/AI99-1)*100</f>
        <v>44.584245076586427</v>
      </c>
      <c r="AL107" s="1299"/>
      <c r="AM107" s="1300">
        <v>109</v>
      </c>
      <c r="AN107" s="1255">
        <f>+AM107-AM106</f>
        <v>10</v>
      </c>
      <c r="AO107" s="1295">
        <f>+(AM107/AM99-1)*100</f>
        <v>57.971014492753611</v>
      </c>
      <c r="AP107" s="1318">
        <v>2.798</v>
      </c>
      <c r="AQ107" s="1297"/>
      <c r="AR107" s="1295">
        <f>+(AP107/AP99-1)*100</f>
        <v>52.313554708764286</v>
      </c>
      <c r="AS107" s="1299"/>
      <c r="AT107" s="1300">
        <v>40</v>
      </c>
      <c r="AU107" s="1255">
        <f>+AT107-AT106</f>
        <v>9</v>
      </c>
      <c r="AV107" s="1295">
        <f>+(AT107/AT99-1)*100</f>
        <v>81.818181818181813</v>
      </c>
      <c r="AW107" s="1318">
        <v>1.0469999999999999</v>
      </c>
      <c r="AX107" s="1297"/>
      <c r="AY107" s="1295">
        <f>+(AW107/AW99-1)*100</f>
        <v>80.20654044750431</v>
      </c>
      <c r="AZ107" s="1299"/>
      <c r="BA107" s="1300">
        <v>7</v>
      </c>
      <c r="BB107" s="1255">
        <f>+BA107-BA106</f>
        <v>1</v>
      </c>
      <c r="BC107" s="1295"/>
      <c r="BD107" s="1318">
        <v>0.157</v>
      </c>
      <c r="BE107" s="1297"/>
      <c r="BF107" s="1295"/>
      <c r="BG107" s="1295"/>
      <c r="BH107" s="1300"/>
      <c r="BI107" s="1255"/>
      <c r="BJ107" s="1295"/>
      <c r="BK107" s="1296"/>
      <c r="BL107" s="1297"/>
      <c r="BM107" s="1295"/>
      <c r="BN107" s="1295"/>
      <c r="BO107" s="1300"/>
      <c r="BP107" s="1255"/>
      <c r="BQ107" s="1295"/>
      <c r="BR107" s="1296"/>
      <c r="BS107" s="1297"/>
      <c r="BT107" s="1295"/>
      <c r="BU107" s="1295"/>
      <c r="BV107" s="1340"/>
      <c r="BW107" s="1358"/>
      <c r="BX107" s="1357"/>
      <c r="BY107" s="1359"/>
      <c r="BZ107" s="1360"/>
      <c r="CA107" s="1357"/>
      <c r="CB107" s="1299"/>
      <c r="CC107" s="1300"/>
      <c r="CD107" s="1255"/>
      <c r="CE107" s="1295"/>
      <c r="CF107" s="1296"/>
      <c r="CG107" s="1297"/>
      <c r="CH107" s="1295"/>
      <c r="CI107" s="1300"/>
      <c r="CJ107" s="1255"/>
      <c r="CK107" s="1295"/>
      <c r="CL107" s="1296"/>
      <c r="CM107" s="1297"/>
      <c r="CN107" s="1295"/>
      <c r="CO107" s="1295"/>
      <c r="CP107" s="1300"/>
      <c r="CQ107" s="1255"/>
      <c r="CR107" s="1295"/>
      <c r="CS107" s="1296"/>
      <c r="CT107" s="1297"/>
      <c r="CU107" s="1295"/>
      <c r="CV107" s="1299"/>
      <c r="CW107" s="1306">
        <f>+D107+Y107+AF107+AM107+AT107+BA107</f>
        <v>1638</v>
      </c>
      <c r="CX107" s="1307">
        <f>+CW107-CW106</f>
        <v>79</v>
      </c>
      <c r="CY107" s="1295">
        <f>+(CW107/CW99-1)*100</f>
        <v>11.732605729877221</v>
      </c>
      <c r="CZ107" s="1295"/>
      <c r="DA107" s="1295"/>
      <c r="DB107" s="1296">
        <f>+G107+AB107+AI107+AP107+AW107+BD107</f>
        <v>48.143999999999991</v>
      </c>
      <c r="DC107" s="1297"/>
      <c r="DD107" s="1302"/>
      <c r="DE107" s="1266"/>
      <c r="DF107" s="1350">
        <f>+D107/$CW107</f>
        <v>0.76556776556776551</v>
      </c>
      <c r="DG107" s="1351"/>
      <c r="DH107" s="1351"/>
      <c r="DI107" s="1350">
        <f>+Y107/$CW107</f>
        <v>7.8754578754578752E-2</v>
      </c>
      <c r="DJ107" s="1350">
        <f>+AF107/CW107</f>
        <v>6.043956043956044E-2</v>
      </c>
      <c r="DK107" s="1350">
        <f>+AM107/CW107</f>
        <v>6.6544566544566544E-2</v>
      </c>
      <c r="DL107" s="1350">
        <f>+AT107/CW107</f>
        <v>2.442002442002442E-2</v>
      </c>
      <c r="DM107" s="1350">
        <f>+BA107/$CW107</f>
        <v>4.2735042735042739E-3</v>
      </c>
      <c r="DN107" s="1350"/>
      <c r="DO107" s="1350">
        <f t="shared" si="10"/>
        <v>6.105006105006105E-4</v>
      </c>
      <c r="DP107" s="1350">
        <f t="shared" si="10"/>
        <v>0</v>
      </c>
      <c r="DQ107" s="1350">
        <f t="shared" si="10"/>
        <v>9.5848595848595854E-5</v>
      </c>
      <c r="DS107" s="1333">
        <f t="shared" si="0"/>
        <v>20</v>
      </c>
      <c r="DT107" s="1333">
        <f t="shared" si="1"/>
        <v>17</v>
      </c>
      <c r="DU107" s="1333">
        <f t="shared" si="2"/>
        <v>6</v>
      </c>
      <c r="DV107" s="1333">
        <f t="shared" si="3"/>
        <v>16</v>
      </c>
      <c r="DW107" s="1333">
        <f t="shared" si="4"/>
        <v>10</v>
      </c>
      <c r="DX107" s="1333">
        <f t="shared" si="5"/>
        <v>9</v>
      </c>
      <c r="DY107" s="1333">
        <f t="shared" si="6"/>
        <v>1</v>
      </c>
      <c r="DZ107" s="1333">
        <f t="shared" si="7"/>
        <v>0</v>
      </c>
      <c r="EA107" s="1333">
        <f t="shared" si="8"/>
        <v>0</v>
      </c>
      <c r="EB107" s="1333">
        <f t="shared" si="9"/>
        <v>0</v>
      </c>
      <c r="ED107" s="451">
        <f>-(SUMIF(DS107:EB107,"&lt;0"))</f>
        <v>0</v>
      </c>
      <c r="EE107" s="451">
        <f>(SUMIF(DS107:EB107,"&gt;0"))</f>
        <v>79</v>
      </c>
      <c r="EF107" s="451">
        <f>+EE107-ED107</f>
        <v>79</v>
      </c>
      <c r="EG107" s="1333">
        <f>+EF107-CX107</f>
        <v>0</v>
      </c>
    </row>
    <row r="108" spans="1:137" ht="15" hidden="1" outlineLevel="1">
      <c r="A108" s="1266" t="str">
        <f>$A$20</f>
        <v>4Q</v>
      </c>
      <c r="B108" s="1266" t="str">
        <f>$B$20</f>
        <v>Jan</v>
      </c>
      <c r="C108" s="1266"/>
      <c r="D108" s="1312">
        <f>+K108+R108</f>
        <v>1269</v>
      </c>
      <c r="E108" s="1255">
        <f>+D108-D107</f>
        <v>15</v>
      </c>
      <c r="F108" s="1295">
        <f>+(D108/D100-1)*100</f>
        <v>6.1036789297658878</v>
      </c>
      <c r="G108" s="1313">
        <f>+N108+U108</f>
        <v>38.39</v>
      </c>
      <c r="H108" s="1297"/>
      <c r="I108" s="1295">
        <f>+(G108/G100-1)*100</f>
        <v>6.446693470123388</v>
      </c>
      <c r="J108" s="1309"/>
      <c r="K108" s="1314">
        <v>687</v>
      </c>
      <c r="L108" s="1255">
        <f>+K108-K107</f>
        <v>6</v>
      </c>
      <c r="M108" s="1295">
        <f>+(K108/K100-1)*100</f>
        <v>3.9334341906202663</v>
      </c>
      <c r="N108" s="1334">
        <v>20.306999999999999</v>
      </c>
      <c r="O108" s="1297"/>
      <c r="P108" s="1295">
        <f>+(N108/N100-1)*100</f>
        <v>4.6914471309996486</v>
      </c>
      <c r="Q108" s="1299"/>
      <c r="R108" s="1314">
        <v>582</v>
      </c>
      <c r="S108" s="1255">
        <f>+R108-R107</f>
        <v>9</v>
      </c>
      <c r="T108" s="1295">
        <f>+(R108/R100-1)*100</f>
        <v>8.785046728971956</v>
      </c>
      <c r="U108" s="1334">
        <v>18.082999999999998</v>
      </c>
      <c r="V108" s="1297"/>
      <c r="W108" s="1295">
        <f>+(U108/U100-1)*100</f>
        <v>8.4893208543316501</v>
      </c>
      <c r="X108" s="1299"/>
      <c r="Y108" s="1314">
        <v>131</v>
      </c>
      <c r="Z108" s="1255">
        <f>+Y108-Y107</f>
        <v>2</v>
      </c>
      <c r="AA108" s="1295">
        <f>+(Y108/Y100-1)*100</f>
        <v>11.965811965811968</v>
      </c>
      <c r="AB108" s="1334">
        <v>3.6709999999999998</v>
      </c>
      <c r="AC108" s="1297"/>
      <c r="AD108" s="1295">
        <f>+(AB108/AB100-1)*100</f>
        <v>14.89827856025039</v>
      </c>
      <c r="AE108" s="1299"/>
      <c r="AF108" s="1314">
        <v>101</v>
      </c>
      <c r="AG108" s="1255">
        <f>+AF108-AF107</f>
        <v>2</v>
      </c>
      <c r="AH108" s="1295">
        <f>+(AF108/AF100-1)*100</f>
        <v>36.486486486486491</v>
      </c>
      <c r="AI108" s="1334">
        <v>2.6709999999999998</v>
      </c>
      <c r="AJ108" s="1297"/>
      <c r="AK108" s="1295">
        <f>+(AI108/AI100-1)*100</f>
        <v>39.332290036515374</v>
      </c>
      <c r="AL108" s="1299"/>
      <c r="AM108" s="1314">
        <v>112</v>
      </c>
      <c r="AN108" s="1255">
        <f>+AM108-AM107</f>
        <v>3</v>
      </c>
      <c r="AO108" s="1295">
        <f>+(AM108/AM100-1)*100</f>
        <v>38.271604938271594</v>
      </c>
      <c r="AP108" s="1334">
        <v>2.9180000000000001</v>
      </c>
      <c r="AQ108" s="1297"/>
      <c r="AR108" s="1295">
        <f>+(AP108/AP100-1)*100</f>
        <v>36.674473067915713</v>
      </c>
      <c r="AS108" s="1299"/>
      <c r="AT108" s="1314">
        <v>45</v>
      </c>
      <c r="AU108" s="1255">
        <f>+AT108-AT107</f>
        <v>5</v>
      </c>
      <c r="AV108" s="1295">
        <f>+(AT108/AT100-1)*100</f>
        <v>80</v>
      </c>
      <c r="AW108" s="1334">
        <v>1.18</v>
      </c>
      <c r="AX108" s="1297"/>
      <c r="AY108" s="1295">
        <f>+(AW108/AW100-1)*100</f>
        <v>76.91154422788604</v>
      </c>
      <c r="AZ108" s="1299"/>
      <c r="BA108" s="1314">
        <v>7</v>
      </c>
      <c r="BB108" s="1255">
        <f>+BA108-BA107</f>
        <v>0</v>
      </c>
      <c r="BC108" s="1295"/>
      <c r="BD108" s="1334">
        <v>0.159</v>
      </c>
      <c r="BE108" s="1297"/>
      <c r="BF108" s="1295"/>
      <c r="BG108" s="1295"/>
      <c r="BH108" s="1314"/>
      <c r="BI108" s="1255"/>
      <c r="BJ108" s="1295"/>
      <c r="BK108" s="1313"/>
      <c r="BL108" s="1297"/>
      <c r="BM108" s="1295"/>
      <c r="BN108" s="1295"/>
      <c r="BO108" s="1314"/>
      <c r="BP108" s="1255"/>
      <c r="BQ108" s="1295"/>
      <c r="BR108" s="1313"/>
      <c r="BS108" s="1297"/>
      <c r="BT108" s="1295"/>
      <c r="BU108" s="1295"/>
      <c r="BV108" s="1361"/>
      <c r="BW108" s="1358"/>
      <c r="BX108" s="1357"/>
      <c r="BY108" s="1362"/>
      <c r="BZ108" s="1360"/>
      <c r="CA108" s="1357"/>
      <c r="CB108" s="1299"/>
      <c r="CC108" s="1314"/>
      <c r="CD108" s="1255"/>
      <c r="CE108" s="1295"/>
      <c r="CF108" s="1313"/>
      <c r="CG108" s="1297"/>
      <c r="CH108" s="1295"/>
      <c r="CI108" s="1314"/>
      <c r="CJ108" s="1255"/>
      <c r="CK108" s="1295"/>
      <c r="CL108" s="1313"/>
      <c r="CM108" s="1297"/>
      <c r="CN108" s="1295"/>
      <c r="CO108" s="1295"/>
      <c r="CP108" s="1314"/>
      <c r="CQ108" s="1255"/>
      <c r="CR108" s="1295"/>
      <c r="CS108" s="1313"/>
      <c r="CT108" s="1297"/>
      <c r="CU108" s="1295"/>
      <c r="CV108" s="1299"/>
      <c r="CW108" s="1312">
        <f>+D108+Y108+AF108+AM108+AT108+BA108</f>
        <v>1665</v>
      </c>
      <c r="CX108" s="1307">
        <f>+CW108-CW107</f>
        <v>27</v>
      </c>
      <c r="CY108" s="1295">
        <f>+(CW108/CW100-1)*100</f>
        <v>11.520428667113203</v>
      </c>
      <c r="CZ108" s="1295"/>
      <c r="DA108" s="1295"/>
      <c r="DB108" s="1313">
        <f>+G108+AB108+AI108+AP108+AW108+BD108</f>
        <v>48.988999999999997</v>
      </c>
      <c r="DC108" s="1297"/>
      <c r="DD108" s="1302"/>
      <c r="DE108" s="1266"/>
      <c r="DF108" s="1350">
        <f>+D108/$CW108</f>
        <v>0.76216216216216215</v>
      </c>
      <c r="DG108" s="1351"/>
      <c r="DH108" s="1351"/>
      <c r="DI108" s="1350">
        <f>+Y108/$CW108</f>
        <v>7.8678678678678685E-2</v>
      </c>
      <c r="DJ108" s="1350">
        <f>+AF108/CW108</f>
        <v>6.0660660660660663E-2</v>
      </c>
      <c r="DK108" s="1350">
        <f>+AM108/CW108</f>
        <v>6.7267267267267269E-2</v>
      </c>
      <c r="DL108" s="1350">
        <f>+AT108/CW108</f>
        <v>2.7027027027027029E-2</v>
      </c>
      <c r="DM108" s="1350">
        <f>+BA108/$CW108</f>
        <v>4.2042042042042043E-3</v>
      </c>
      <c r="DN108" s="1350"/>
      <c r="DO108" s="1350">
        <f t="shared" si="10"/>
        <v>0</v>
      </c>
      <c r="DP108" s="1350">
        <f t="shared" si="10"/>
        <v>0</v>
      </c>
      <c r="DQ108" s="1350">
        <f t="shared" si="10"/>
        <v>9.5495495495495498E-5</v>
      </c>
      <c r="DS108" s="1333">
        <f t="shared" si="0"/>
        <v>6</v>
      </c>
      <c r="DT108" s="1333">
        <f t="shared" si="1"/>
        <v>9</v>
      </c>
      <c r="DU108" s="1333">
        <f t="shared" si="2"/>
        <v>2</v>
      </c>
      <c r="DV108" s="1333">
        <f t="shared" si="3"/>
        <v>2</v>
      </c>
      <c r="DW108" s="1333">
        <f t="shared" si="4"/>
        <v>3</v>
      </c>
      <c r="DX108" s="1333">
        <f t="shared" si="5"/>
        <v>5</v>
      </c>
      <c r="DY108" s="1333">
        <f t="shared" si="6"/>
        <v>0</v>
      </c>
      <c r="DZ108" s="1333">
        <f t="shared" si="7"/>
        <v>0</v>
      </c>
      <c r="EA108" s="1333">
        <f t="shared" si="8"/>
        <v>0</v>
      </c>
      <c r="EB108" s="1333">
        <f t="shared" si="9"/>
        <v>0</v>
      </c>
      <c r="ED108" s="451">
        <f>-(SUMIF(DS108:EB108,"&lt;0"))</f>
        <v>0</v>
      </c>
      <c r="EE108" s="451">
        <f>(SUMIF(DS108:EB108,"&gt;0"))</f>
        <v>27</v>
      </c>
      <c r="EF108" s="451">
        <f>+EE108-ED108</f>
        <v>27</v>
      </c>
      <c r="EG108" s="1333">
        <f>+EF108-CX108</f>
        <v>0</v>
      </c>
    </row>
    <row r="109" spans="1:137" ht="15" hidden="1" outlineLevel="1">
      <c r="A109" s="1266"/>
      <c r="B109" s="1266" t="str">
        <f>$B$21</f>
        <v>Year</v>
      </c>
      <c r="C109" s="1266"/>
      <c r="D109" s="1306">
        <v>1269</v>
      </c>
      <c r="E109" s="1317">
        <f>+D109-D101</f>
        <v>73</v>
      </c>
      <c r="F109" s="1295">
        <f>+(D109/D101-1)*100</f>
        <v>6.1036789297658878</v>
      </c>
      <c r="G109" s="1296">
        <f>+N109+U109</f>
        <v>38.39</v>
      </c>
      <c r="H109" s="1297">
        <f>+G109/D109*1000</f>
        <v>30.252167060677699</v>
      </c>
      <c r="I109" s="1295">
        <f>+(G109/G101-1)*100</f>
        <v>6.446693470123388</v>
      </c>
      <c r="J109" s="1309"/>
      <c r="K109" s="1306">
        <f>+K108</f>
        <v>687</v>
      </c>
      <c r="L109" s="1317">
        <f>+K109-K101</f>
        <v>26</v>
      </c>
      <c r="M109" s="1295">
        <f>+(K109/K101-1)*100</f>
        <v>3.9334341906202663</v>
      </c>
      <c r="N109" s="1296">
        <f>+N108</f>
        <v>20.306999999999999</v>
      </c>
      <c r="O109" s="1297">
        <f>+N109/K109*1000</f>
        <v>29.5589519650655</v>
      </c>
      <c r="P109" s="1295">
        <f>+(N109/N101-1)*100</f>
        <v>4.6914471309996486</v>
      </c>
      <c r="Q109" s="1299"/>
      <c r="R109" s="1306">
        <f>+R108</f>
        <v>582</v>
      </c>
      <c r="S109" s="1317">
        <f>+R109-R101</f>
        <v>47</v>
      </c>
      <c r="T109" s="1295">
        <f>+(R109/R101-1)*100</f>
        <v>8.785046728971956</v>
      </c>
      <c r="U109" s="1296">
        <f>+U108</f>
        <v>18.082999999999998</v>
      </c>
      <c r="V109" s="1297">
        <f>+U109/R109*1000</f>
        <v>31.070446735395187</v>
      </c>
      <c r="W109" s="1295">
        <f>+(U109/U101-1)*100</f>
        <v>8.4893208543316501</v>
      </c>
      <c r="X109" s="1299"/>
      <c r="Y109" s="1306">
        <f>+Y108</f>
        <v>131</v>
      </c>
      <c r="Z109" s="1317">
        <f>+Y109-Y101</f>
        <v>14</v>
      </c>
      <c r="AA109" s="1295">
        <f>+(Y109/Y101-1)*100</f>
        <v>11.965811965811968</v>
      </c>
      <c r="AB109" s="1296">
        <f>+AB108</f>
        <v>3.6709999999999998</v>
      </c>
      <c r="AC109" s="1297">
        <f>+AB109/Y109*1000</f>
        <v>28.022900763358781</v>
      </c>
      <c r="AD109" s="1295">
        <f>+(AB109/AB101-1)*100</f>
        <v>14.89827856025039</v>
      </c>
      <c r="AE109" s="1299"/>
      <c r="AF109" s="1306">
        <f>+AF108</f>
        <v>101</v>
      </c>
      <c r="AG109" s="1317">
        <f>+AF109-AF101</f>
        <v>27</v>
      </c>
      <c r="AH109" s="1295">
        <f>+(AF109/AF101-1)*100</f>
        <v>36.486486486486491</v>
      </c>
      <c r="AI109" s="1296">
        <f>+AI108</f>
        <v>2.6709999999999998</v>
      </c>
      <c r="AJ109" s="1297">
        <f>+AI109/AF109*1000</f>
        <v>26.445544554455445</v>
      </c>
      <c r="AK109" s="1295">
        <f>+(AI109/AI101-1)*100</f>
        <v>39.332290036515374</v>
      </c>
      <c r="AL109" s="1299"/>
      <c r="AM109" s="1306">
        <f>+AM108</f>
        <v>112</v>
      </c>
      <c r="AN109" s="1317">
        <f>+AM109-AM101</f>
        <v>31</v>
      </c>
      <c r="AO109" s="1295">
        <f>+(AM109/AM101-1)*100</f>
        <v>38.271604938271594</v>
      </c>
      <c r="AP109" s="1296">
        <f>+AP108</f>
        <v>2.9180000000000001</v>
      </c>
      <c r="AQ109" s="1297">
        <f>+AP109/AM109*1000</f>
        <v>26.053571428571431</v>
      </c>
      <c r="AR109" s="1295">
        <f>+(AP109/AP101-1)*100</f>
        <v>36.674473067915713</v>
      </c>
      <c r="AS109" s="1299"/>
      <c r="AT109" s="1306">
        <f>+AT108</f>
        <v>45</v>
      </c>
      <c r="AU109" s="1317">
        <f>+AT109-AT101</f>
        <v>20</v>
      </c>
      <c r="AV109" s="1295">
        <f>+(AT109/AT101-1)*100</f>
        <v>80</v>
      </c>
      <c r="AW109" s="1296">
        <f>+AW108</f>
        <v>1.18</v>
      </c>
      <c r="AX109" s="1297">
        <f>+AW109/AT109*1000</f>
        <v>26.222222222222221</v>
      </c>
      <c r="AY109" s="1295">
        <f>+(AW109/AW101-1)*100</f>
        <v>76.91154422788604</v>
      </c>
      <c r="AZ109" s="1299"/>
      <c r="BA109" s="1306">
        <f>+BA108</f>
        <v>7</v>
      </c>
      <c r="BB109" s="1317">
        <f>+BA109-BA101</f>
        <v>7</v>
      </c>
      <c r="BC109" s="1295"/>
      <c r="BD109" s="1296">
        <f>+BD108</f>
        <v>0.159</v>
      </c>
      <c r="BE109" s="1297">
        <f>+BD109/BA109*1000</f>
        <v>22.714285714285715</v>
      </c>
      <c r="BF109" s="1295"/>
      <c r="BG109" s="1295"/>
      <c r="BH109" s="1306"/>
      <c r="BI109" s="1317"/>
      <c r="BJ109" s="1295"/>
      <c r="BK109" s="1318"/>
      <c r="BL109" s="1297"/>
      <c r="BM109" s="1295"/>
      <c r="BN109" s="1295"/>
      <c r="BO109" s="1306"/>
      <c r="BP109" s="1317"/>
      <c r="BQ109" s="1295"/>
      <c r="BR109" s="1318"/>
      <c r="BS109" s="1297"/>
      <c r="BT109" s="1295"/>
      <c r="BU109" s="1295"/>
      <c r="BV109" s="1337"/>
      <c r="BW109" s="1343"/>
      <c r="BX109" s="1357"/>
      <c r="BY109" s="1359"/>
      <c r="BZ109" s="1360"/>
      <c r="CA109" s="1357"/>
      <c r="CB109" s="1299"/>
      <c r="CC109" s="1306"/>
      <c r="CD109" s="1317"/>
      <c r="CE109" s="1295"/>
      <c r="CF109" s="1318"/>
      <c r="CG109" s="1297"/>
      <c r="CH109" s="1295"/>
      <c r="CI109" s="1306"/>
      <c r="CJ109" s="1317"/>
      <c r="CK109" s="1295"/>
      <c r="CL109" s="1318"/>
      <c r="CM109" s="1297"/>
      <c r="CN109" s="1295"/>
      <c r="CO109" s="1295"/>
      <c r="CP109" s="1306"/>
      <c r="CQ109" s="1317"/>
      <c r="CR109" s="1295"/>
      <c r="CS109" s="1318"/>
      <c r="CT109" s="1297"/>
      <c r="CU109" s="1295"/>
      <c r="CV109" s="1299"/>
      <c r="CW109" s="1306">
        <f>+D109+Y109+AF109+AM109+AT109+BA109</f>
        <v>1665</v>
      </c>
      <c r="CX109" s="1317">
        <f>+CW109-CW101</f>
        <v>172</v>
      </c>
      <c r="CY109" s="1295">
        <f>+(CW109/CW101-1)*100</f>
        <v>11.520428667113203</v>
      </c>
      <c r="CZ109" s="1295"/>
      <c r="DA109" s="1295"/>
      <c r="DB109" s="1296">
        <f>+G109+AB109+AI109+AP109+AW109+BD109</f>
        <v>48.988999999999997</v>
      </c>
      <c r="DC109" s="1297">
        <f>+DB109/CW109*1000</f>
        <v>29.422822822822823</v>
      </c>
      <c r="DD109" s="1295">
        <f>+(DB109/DB101-1)*100</f>
        <v>11.391800632119864</v>
      </c>
      <c r="DE109" s="1266"/>
      <c r="DF109" s="1350">
        <f>+D109/$CW109</f>
        <v>0.76216216216216215</v>
      </c>
      <c r="DG109" s="1351"/>
      <c r="DH109" s="1351"/>
      <c r="DI109" s="1350">
        <f>+Y109/$CW109</f>
        <v>7.8678678678678685E-2</v>
      </c>
      <c r="DJ109" s="1350">
        <f>+AF109/CW109</f>
        <v>6.0660660660660663E-2</v>
      </c>
      <c r="DK109" s="1350">
        <f>+AM109/CW109</f>
        <v>6.7267267267267269E-2</v>
      </c>
      <c r="DL109" s="1350">
        <f>+AT109/CW109</f>
        <v>2.7027027027027029E-2</v>
      </c>
      <c r="DM109" s="1350">
        <f>+BA109/$CW109</f>
        <v>4.2042042042042043E-3</v>
      </c>
      <c r="DN109" s="1350"/>
      <c r="DO109" s="1350">
        <f t="shared" si="10"/>
        <v>4.2042042042042043E-3</v>
      </c>
      <c r="DP109" s="1350">
        <f t="shared" si="10"/>
        <v>0</v>
      </c>
      <c r="DQ109" s="1350">
        <f t="shared" si="10"/>
        <v>9.5495495495495498E-5</v>
      </c>
      <c r="DS109" s="1333"/>
      <c r="DT109" s="1333"/>
      <c r="DU109" s="1333"/>
      <c r="DV109" s="1333"/>
      <c r="DW109" s="1333"/>
      <c r="DX109" s="1333"/>
      <c r="DY109" s="1333"/>
      <c r="DZ109" s="1333"/>
      <c r="EA109" s="1333"/>
      <c r="EB109" s="1333"/>
      <c r="ED109" s="693">
        <f>SUM(ED105:ED108)</f>
        <v>4</v>
      </c>
      <c r="EE109" s="693">
        <f>SUM(EE105:EE108)</f>
        <v>176</v>
      </c>
      <c r="EF109" s="693">
        <f>+EE109-ED109</f>
        <v>172</v>
      </c>
      <c r="EG109" s="1333">
        <f>+EF109-CX109</f>
        <v>0</v>
      </c>
    </row>
    <row r="110" spans="1:137" ht="15" hidden="1" outlineLevel="2">
      <c r="A110" s="1266"/>
      <c r="B110" s="1266" t="s">
        <v>646</v>
      </c>
      <c r="C110" s="1266"/>
      <c r="D110" s="1306"/>
      <c r="E110" s="1317"/>
      <c r="F110" s="1323"/>
      <c r="G110" s="1296"/>
      <c r="H110" s="1297"/>
      <c r="I110" s="1295"/>
      <c r="J110" s="1266"/>
      <c r="K110" s="1306"/>
      <c r="L110" s="1256"/>
      <c r="M110" s="1324"/>
      <c r="N110" s="1325" t="str">
        <f>IF(SUM(L110:M110)=L109,"","N")</f>
        <v>N</v>
      </c>
      <c r="O110" s="1297"/>
      <c r="P110" s="1295"/>
      <c r="Q110" s="1299"/>
      <c r="R110" s="1306"/>
      <c r="S110" s="1256"/>
      <c r="T110" s="1324"/>
      <c r="U110" s="1325" t="str">
        <f>IF(SUM(S110:T110)=S109,"","N")</f>
        <v>N</v>
      </c>
      <c r="V110" s="1297"/>
      <c r="W110" s="1295"/>
      <c r="X110" s="1299"/>
      <c r="Y110" s="1306"/>
      <c r="Z110" s="1256"/>
      <c r="AA110" s="1324"/>
      <c r="AB110" s="1325" t="str">
        <f>IF(SUM(Z110:AA110)=Z109,"","N")</f>
        <v>N</v>
      </c>
      <c r="AC110" s="1297"/>
      <c r="AD110" s="1295"/>
      <c r="AE110" s="1299"/>
      <c r="AF110" s="1306"/>
      <c r="AG110" s="1256"/>
      <c r="AH110" s="1324"/>
      <c r="AI110" s="1325" t="str">
        <f>IF(SUM(AG110:AH110)=AG109,"","N")</f>
        <v>N</v>
      </c>
      <c r="AJ110" s="1297"/>
      <c r="AK110" s="1295"/>
      <c r="AL110" s="1299"/>
      <c r="AM110" s="1306"/>
      <c r="AN110" s="1256"/>
      <c r="AO110" s="1324"/>
      <c r="AP110" s="1325" t="str">
        <f>IF(SUM(AN110:AO110)=AN109,"","N")</f>
        <v>N</v>
      </c>
      <c r="AQ110" s="1297"/>
      <c r="AR110" s="1295"/>
      <c r="AS110" s="1299"/>
      <c r="AT110" s="1306"/>
      <c r="AU110" s="1256"/>
      <c r="AV110" s="1324"/>
      <c r="AW110" s="1325" t="str">
        <f>IF(SUM(AU110:AV110)=AU109,"","N")</f>
        <v>N</v>
      </c>
      <c r="AX110" s="1297"/>
      <c r="AY110" s="1295"/>
      <c r="AZ110" s="1299"/>
      <c r="BA110" s="1306"/>
      <c r="BB110" s="1256"/>
      <c r="BC110" s="1324"/>
      <c r="BD110" s="1325"/>
      <c r="BE110" s="1303"/>
      <c r="BF110" s="1305"/>
      <c r="BG110" s="1305"/>
      <c r="BH110" s="1306"/>
      <c r="BI110" s="1256"/>
      <c r="BJ110" s="1324"/>
      <c r="BK110" s="1300"/>
      <c r="BL110" s="1303"/>
      <c r="BM110" s="1305"/>
      <c r="BN110" s="1305"/>
      <c r="BO110" s="1306"/>
      <c r="BP110" s="1256"/>
      <c r="BQ110" s="1324"/>
      <c r="BR110" s="1300"/>
      <c r="BS110" s="1303"/>
      <c r="BT110" s="1305"/>
      <c r="BU110" s="1305"/>
      <c r="BV110" s="1337"/>
      <c r="BW110" s="1343"/>
      <c r="BX110" s="1344"/>
      <c r="BY110" s="1340"/>
      <c r="BZ110" s="1339"/>
      <c r="CA110" s="1341"/>
      <c r="CB110" s="1299"/>
      <c r="CC110" s="1306"/>
      <c r="CD110" s="1256"/>
      <c r="CE110" s="1324"/>
      <c r="CF110" s="1300"/>
      <c r="CG110" s="1303"/>
      <c r="CH110" s="1305"/>
      <c r="CI110" s="1306"/>
      <c r="CJ110" s="1256"/>
      <c r="CK110" s="1324"/>
      <c r="CL110" s="1300"/>
      <c r="CM110" s="1303"/>
      <c r="CN110" s="1305"/>
      <c r="CO110" s="1305"/>
      <c r="CP110" s="1306"/>
      <c r="CQ110" s="1256"/>
      <c r="CR110" s="1324"/>
      <c r="CS110" s="1300"/>
      <c r="CT110" s="1303"/>
      <c r="CU110" s="1305"/>
      <c r="CV110" s="1299"/>
      <c r="CW110" s="1306"/>
      <c r="CX110" s="1317"/>
      <c r="CY110" s="1297"/>
      <c r="CZ110" s="1320"/>
      <c r="DA110" s="1322"/>
      <c r="DB110" s="1296"/>
      <c r="DC110" s="1297"/>
      <c r="DD110" s="1302"/>
      <c r="DE110" s="1266"/>
      <c r="DF110" s="1266"/>
      <c r="DG110" s="1266"/>
      <c r="DH110" s="1266"/>
      <c r="DI110" s="1266"/>
      <c r="DJ110" s="1266"/>
      <c r="DK110" s="1266"/>
      <c r="DL110" s="1266"/>
      <c r="DM110" s="1266"/>
      <c r="DN110" s="1266"/>
      <c r="DO110" s="1266"/>
      <c r="DP110" s="1266"/>
      <c r="DQ110" s="1266"/>
      <c r="DS110" s="1333"/>
      <c r="DT110" s="1333"/>
      <c r="DU110" s="1333"/>
      <c r="DV110" s="1333"/>
      <c r="DW110" s="1333"/>
      <c r="DX110" s="1333"/>
      <c r="DY110" s="1333"/>
      <c r="DZ110" s="1333"/>
      <c r="EA110" s="1333"/>
      <c r="EB110" s="1333"/>
    </row>
    <row r="111" spans="1:137" ht="15" hidden="1" outlineLevel="1" collapsed="1">
      <c r="A111" s="1266"/>
      <c r="B111" s="1266"/>
      <c r="C111" s="1266"/>
      <c r="D111" s="1335"/>
      <c r="E111" s="1269"/>
      <c r="F111" s="1268"/>
      <c r="G111" s="1335"/>
      <c r="H111" s="1268"/>
      <c r="I111" s="1295"/>
      <c r="J111" s="1266"/>
      <c r="K111" s="1336"/>
      <c r="L111" s="1269"/>
      <c r="M111" s="1268"/>
      <c r="N111" s="1336"/>
      <c r="O111" s="1268"/>
      <c r="P111" s="1295"/>
      <c r="Q111" s="1268"/>
      <c r="R111" s="1336"/>
      <c r="S111" s="1269"/>
      <c r="T111" s="1268"/>
      <c r="U111" s="1336"/>
      <c r="V111" s="1268"/>
      <c r="W111" s="1295"/>
      <c r="X111" s="1268"/>
      <c r="Y111" s="1336"/>
      <c r="Z111" s="1269"/>
      <c r="AA111" s="1268"/>
      <c r="AB111" s="1336"/>
      <c r="AC111" s="1268"/>
      <c r="AD111" s="1295"/>
      <c r="AE111" s="1268"/>
      <c r="AF111" s="1336"/>
      <c r="AG111" s="1269"/>
      <c r="AH111" s="1268"/>
      <c r="AI111" s="1336"/>
      <c r="AJ111" s="1268"/>
      <c r="AK111" s="1302"/>
      <c r="AL111" s="1268"/>
      <c r="AM111" s="1336"/>
      <c r="AN111" s="1269"/>
      <c r="AO111" s="1268"/>
      <c r="AP111" s="1336"/>
      <c r="AQ111" s="1268"/>
      <c r="AR111" s="1295"/>
      <c r="AS111" s="1268"/>
      <c r="AT111" s="1336"/>
      <c r="AU111" s="1269"/>
      <c r="AV111" s="1268"/>
      <c r="AW111" s="1336"/>
      <c r="AX111" s="1268"/>
      <c r="AY111" s="1295"/>
      <c r="AZ111" s="1266"/>
      <c r="BA111" s="1336"/>
      <c r="BB111" s="1269"/>
      <c r="BC111" s="1266"/>
      <c r="BD111" s="1336"/>
      <c r="BE111" s="1268"/>
      <c r="BF111" s="1295"/>
      <c r="BG111" s="1295"/>
      <c r="BH111" s="1336"/>
      <c r="BI111" s="1269"/>
      <c r="BJ111" s="1266"/>
      <c r="BK111" s="1336"/>
      <c r="BL111" s="1268"/>
      <c r="BM111" s="1295"/>
      <c r="BN111" s="1295"/>
      <c r="BO111" s="1336"/>
      <c r="BP111" s="1269"/>
      <c r="BQ111" s="1266"/>
      <c r="BR111" s="1336"/>
      <c r="BS111" s="1268"/>
      <c r="BT111" s="1295"/>
      <c r="BU111" s="1295"/>
      <c r="BV111" s="1345"/>
      <c r="BW111" s="1354"/>
      <c r="BX111" s="1355"/>
      <c r="BY111" s="1345"/>
      <c r="BZ111" s="1356"/>
      <c r="CA111" s="1357"/>
      <c r="CB111" s="1266"/>
      <c r="CC111" s="1336"/>
      <c r="CD111" s="1269"/>
      <c r="CE111" s="1266"/>
      <c r="CF111" s="1336"/>
      <c r="CG111" s="1268"/>
      <c r="CH111" s="1295"/>
      <c r="CI111" s="1336"/>
      <c r="CJ111" s="1269"/>
      <c r="CK111" s="1266"/>
      <c r="CL111" s="1336"/>
      <c r="CM111" s="1268"/>
      <c r="CN111" s="1295"/>
      <c r="CO111" s="1295"/>
      <c r="CP111" s="1336"/>
      <c r="CQ111" s="1269"/>
      <c r="CR111" s="1266"/>
      <c r="CS111" s="1336"/>
      <c r="CT111" s="1268"/>
      <c r="CU111" s="1295"/>
      <c r="CV111" s="1266"/>
      <c r="CW111" s="1335"/>
      <c r="CX111" s="1266"/>
      <c r="CY111" s="1266"/>
      <c r="CZ111" s="1266"/>
      <c r="DA111" s="1266"/>
      <c r="DB111" s="1349"/>
      <c r="DC111" s="1268"/>
      <c r="DD111" s="1302"/>
      <c r="DE111" s="1266"/>
      <c r="DF111" s="1266"/>
      <c r="DG111" s="1266"/>
      <c r="DH111" s="1266"/>
      <c r="DI111" s="1266"/>
      <c r="DJ111" s="1266"/>
      <c r="DK111" s="1266"/>
      <c r="DL111" s="1266"/>
      <c r="DM111" s="1266"/>
      <c r="DN111" s="1266"/>
      <c r="DO111" s="1266"/>
      <c r="DP111" s="1266"/>
      <c r="DQ111" s="1266"/>
      <c r="DS111" s="1333"/>
      <c r="DT111" s="1333"/>
      <c r="DU111" s="1333"/>
      <c r="DV111" s="1333"/>
      <c r="DW111" s="1333"/>
      <c r="DX111" s="1333"/>
      <c r="DY111" s="1333"/>
      <c r="DZ111" s="1333"/>
      <c r="EA111" s="1333"/>
      <c r="EB111" s="1333"/>
    </row>
    <row r="112" spans="1:137" ht="15.75" hidden="1" outlineLevel="1">
      <c r="A112" s="2119">
        <f>+A104+1</f>
        <v>2002</v>
      </c>
      <c r="B112" s="2119"/>
      <c r="C112" s="1266"/>
      <c r="D112" s="1335"/>
      <c r="E112" s="1269"/>
      <c r="F112" s="1268"/>
      <c r="G112" s="1335"/>
      <c r="H112" s="1268"/>
      <c r="I112" s="1295"/>
      <c r="J112" s="1266"/>
      <c r="K112" s="1336"/>
      <c r="L112" s="1269"/>
      <c r="M112" s="1268"/>
      <c r="N112" s="1336"/>
      <c r="O112" s="1268"/>
      <c r="P112" s="1295"/>
      <c r="Q112" s="1268"/>
      <c r="R112" s="1336"/>
      <c r="S112" s="1269"/>
      <c r="T112" s="1268"/>
      <c r="U112" s="1336"/>
      <c r="V112" s="1268"/>
      <c r="W112" s="1295"/>
      <c r="X112" s="1268"/>
      <c r="Y112" s="1336"/>
      <c r="Z112" s="1269"/>
      <c r="AA112" s="1268"/>
      <c r="AB112" s="1336"/>
      <c r="AC112" s="1268"/>
      <c r="AD112" s="1295"/>
      <c r="AE112" s="1268"/>
      <c r="AF112" s="1336"/>
      <c r="AG112" s="1269"/>
      <c r="AH112" s="1268"/>
      <c r="AI112" s="1336"/>
      <c r="AJ112" s="1268"/>
      <c r="AK112" s="1302"/>
      <c r="AL112" s="1268"/>
      <c r="AM112" s="1336"/>
      <c r="AN112" s="1269"/>
      <c r="AO112" s="1268"/>
      <c r="AP112" s="1336"/>
      <c r="AQ112" s="1268"/>
      <c r="AR112" s="1295"/>
      <c r="AS112" s="1268"/>
      <c r="AT112" s="1336"/>
      <c r="AU112" s="1269"/>
      <c r="AV112" s="1268"/>
      <c r="AW112" s="1336"/>
      <c r="AX112" s="1268"/>
      <c r="AY112" s="1295"/>
      <c r="AZ112" s="1266"/>
      <c r="BA112" s="1336"/>
      <c r="BB112" s="1269"/>
      <c r="BC112" s="1266"/>
      <c r="BD112" s="1336"/>
      <c r="BE112" s="1268"/>
      <c r="BF112" s="1295"/>
      <c r="BG112" s="1295"/>
      <c r="BH112" s="1336"/>
      <c r="BI112" s="1269"/>
      <c r="BJ112" s="1266"/>
      <c r="BK112" s="1336"/>
      <c r="BL112" s="1268"/>
      <c r="BM112" s="1295"/>
      <c r="BN112" s="1295"/>
      <c r="BO112" s="1336"/>
      <c r="BP112" s="1269"/>
      <c r="BQ112" s="1266"/>
      <c r="BR112" s="1336"/>
      <c r="BS112" s="1268"/>
      <c r="BT112" s="1295"/>
      <c r="BU112" s="1295"/>
      <c r="BV112" s="1345"/>
      <c r="BW112" s="1354"/>
      <c r="BX112" s="1355"/>
      <c r="BY112" s="1345"/>
      <c r="BZ112" s="1356"/>
      <c r="CA112" s="1357"/>
      <c r="CB112" s="1266"/>
      <c r="CC112" s="1336"/>
      <c r="CD112" s="1269"/>
      <c r="CE112" s="1266"/>
      <c r="CF112" s="1336"/>
      <c r="CG112" s="1268"/>
      <c r="CH112" s="1295"/>
      <c r="CI112" s="1336"/>
      <c r="CJ112" s="1269"/>
      <c r="CK112" s="1266"/>
      <c r="CL112" s="1336"/>
      <c r="CM112" s="1268"/>
      <c r="CN112" s="1295"/>
      <c r="CO112" s="1295"/>
      <c r="CP112" s="1336"/>
      <c r="CQ112" s="1269"/>
      <c r="CR112" s="1266"/>
      <c r="CS112" s="1336"/>
      <c r="CT112" s="1268"/>
      <c r="CU112" s="1295"/>
      <c r="CV112" s="1266"/>
      <c r="CW112" s="1335"/>
      <c r="CX112" s="1266"/>
      <c r="CY112" s="1266"/>
      <c r="CZ112" s="1266"/>
      <c r="DA112" s="1266"/>
      <c r="DB112" s="1349"/>
      <c r="DC112" s="1268"/>
      <c r="DD112" s="1302"/>
      <c r="DE112" s="1266"/>
      <c r="DF112" s="1266"/>
      <c r="DG112" s="1266"/>
      <c r="DH112" s="1266"/>
      <c r="DI112" s="1266"/>
      <c r="DJ112" s="1266"/>
      <c r="DK112" s="1266"/>
      <c r="DL112" s="1266"/>
      <c r="DM112" s="1266"/>
      <c r="DN112" s="1266"/>
      <c r="DO112" s="1266"/>
      <c r="DP112" s="1266"/>
      <c r="DQ112" s="1266"/>
      <c r="DS112" s="1333"/>
      <c r="DT112" s="1333"/>
      <c r="DU112" s="1333"/>
      <c r="DV112" s="1333"/>
      <c r="DW112" s="1333"/>
      <c r="DX112" s="1333"/>
      <c r="DY112" s="1333"/>
      <c r="DZ112" s="1333"/>
      <c r="EA112" s="1333"/>
      <c r="EB112" s="1333"/>
    </row>
    <row r="113" spans="1:137" ht="15" hidden="1" outlineLevel="1">
      <c r="A113" s="1266" t="str">
        <f>$A$17</f>
        <v>1Q</v>
      </c>
      <c r="B113" s="1266" t="str">
        <f>$B$17</f>
        <v>Apr</v>
      </c>
      <c r="C113" s="1266"/>
      <c r="D113" s="1294">
        <f>+K113+R113</f>
        <v>1290</v>
      </c>
      <c r="E113" s="1255">
        <f>+D113-D108</f>
        <v>21</v>
      </c>
      <c r="F113" s="1295">
        <f>+(D113/D105-1)*100</f>
        <v>6.523534269199005</v>
      </c>
      <c r="G113" s="1296">
        <f>+N113+U113</f>
        <v>39.025999999999996</v>
      </c>
      <c r="H113" s="1297"/>
      <c r="I113" s="1295">
        <f>+(G113/G105-1)*100</f>
        <v>6.847364818617363</v>
      </c>
      <c r="J113" s="1309"/>
      <c r="K113" s="1298">
        <v>701</v>
      </c>
      <c r="L113" s="1255">
        <f>+K113-K108</f>
        <v>14</v>
      </c>
      <c r="M113" s="1295">
        <f>+(K113/K105-1)*100</f>
        <v>5.4135338345864703</v>
      </c>
      <c r="N113" s="1318">
        <v>20.722000000000001</v>
      </c>
      <c r="O113" s="1297"/>
      <c r="P113" s="1295">
        <f>+(N113/N105-1)*100</f>
        <v>5.897383483237939</v>
      </c>
      <c r="Q113" s="1299"/>
      <c r="R113" s="1298">
        <v>589</v>
      </c>
      <c r="S113" s="1255">
        <f>+R113-R108</f>
        <v>7</v>
      </c>
      <c r="T113" s="1295">
        <f>+(R113/R105-1)*100</f>
        <v>7.8754578754578697</v>
      </c>
      <c r="U113" s="1318">
        <v>18.303999999999998</v>
      </c>
      <c r="V113" s="1297"/>
      <c r="W113" s="1295">
        <f>+(U113/U105-1)*100</f>
        <v>7.9436221029663079</v>
      </c>
      <c r="X113" s="1299"/>
      <c r="Y113" s="1298">
        <v>137</v>
      </c>
      <c r="Z113" s="1255">
        <f>+Y113-Y108</f>
        <v>6</v>
      </c>
      <c r="AA113" s="1295">
        <f>+(Y113/Y105-1)*100</f>
        <v>11.382113821138207</v>
      </c>
      <c r="AB113" s="1318">
        <v>3.806</v>
      </c>
      <c r="AC113" s="1297"/>
      <c r="AD113" s="1295">
        <f>+(AB113/AB105-1)*100</f>
        <v>13.105497771173846</v>
      </c>
      <c r="AE113" s="1299"/>
      <c r="AF113" s="1298">
        <v>105</v>
      </c>
      <c r="AG113" s="1255">
        <f>+AF113-AF108</f>
        <v>4</v>
      </c>
      <c r="AH113" s="1295">
        <f>+(AF113/AF105-1)*100</f>
        <v>38.157894736842103</v>
      </c>
      <c r="AI113" s="1318">
        <v>2.7749999999999999</v>
      </c>
      <c r="AJ113" s="1297"/>
      <c r="AK113" s="1295">
        <f>+(AI113/AI105-1)*100</f>
        <v>41.149542217700905</v>
      </c>
      <c r="AL113" s="1299"/>
      <c r="AM113" s="1298">
        <v>125</v>
      </c>
      <c r="AN113" s="1255">
        <f>+AM113-AM108</f>
        <v>13</v>
      </c>
      <c r="AO113" s="1295">
        <f>+(AM113/AM105-1)*100</f>
        <v>34.408602150537625</v>
      </c>
      <c r="AP113" s="1318">
        <v>3.2410000000000001</v>
      </c>
      <c r="AQ113" s="1297"/>
      <c r="AR113" s="1295">
        <f>+(AP113/AP105-1)*100</f>
        <v>33.100616016427111</v>
      </c>
      <c r="AS113" s="1299"/>
      <c r="AT113" s="1298">
        <v>52</v>
      </c>
      <c r="AU113" s="1255">
        <f>+AT113-AT108</f>
        <v>7</v>
      </c>
      <c r="AV113" s="1295">
        <f>+(AT113/AT105-1)*100</f>
        <v>85.714285714285722</v>
      </c>
      <c r="AW113" s="1318">
        <v>1.351</v>
      </c>
      <c r="AX113" s="1297"/>
      <c r="AY113" s="1295">
        <f>+(AW113/AW105-1)*100</f>
        <v>80.373831775700921</v>
      </c>
      <c r="AZ113" s="1299"/>
      <c r="BA113" s="1298">
        <v>11</v>
      </c>
      <c r="BB113" s="1255">
        <f>+BA113-BA108</f>
        <v>4</v>
      </c>
      <c r="BC113" s="1295">
        <f>+(BA113/BA105-1)*100</f>
        <v>175</v>
      </c>
      <c r="BD113" s="1318">
        <v>0.26700000000000002</v>
      </c>
      <c r="BE113" s="1297"/>
      <c r="BF113" s="1295">
        <f>+(BD113/BD105-1)*100</f>
        <v>214.11764705882354</v>
      </c>
      <c r="BG113" s="1295"/>
      <c r="BH113" s="1298"/>
      <c r="BI113" s="1255"/>
      <c r="BJ113" s="1295"/>
      <c r="BK113" s="1296"/>
      <c r="BL113" s="1297"/>
      <c r="BM113" s="1295"/>
      <c r="BN113" s="1295"/>
      <c r="BO113" s="1298"/>
      <c r="BP113" s="1255"/>
      <c r="BQ113" s="1295"/>
      <c r="BR113" s="1296"/>
      <c r="BS113" s="1297"/>
      <c r="BT113" s="1295"/>
      <c r="BU113" s="1295"/>
      <c r="BV113" s="1337"/>
      <c r="BW113" s="1358"/>
      <c r="BX113" s="1357"/>
      <c r="BY113" s="1359"/>
      <c r="BZ113" s="1360"/>
      <c r="CA113" s="1357"/>
      <c r="CB113" s="1299"/>
      <c r="CC113" s="1298"/>
      <c r="CD113" s="1255"/>
      <c r="CE113" s="1295"/>
      <c r="CF113" s="1296"/>
      <c r="CG113" s="1297"/>
      <c r="CH113" s="1295"/>
      <c r="CI113" s="1298"/>
      <c r="CJ113" s="1255"/>
      <c r="CK113" s="1295"/>
      <c r="CL113" s="1296"/>
      <c r="CM113" s="1297"/>
      <c r="CN113" s="1295"/>
      <c r="CO113" s="1295"/>
      <c r="CP113" s="1298"/>
      <c r="CQ113" s="1255"/>
      <c r="CR113" s="1295"/>
      <c r="CS113" s="1296"/>
      <c r="CT113" s="1297"/>
      <c r="CU113" s="1295"/>
      <c r="CV113" s="1299"/>
      <c r="CW113" s="1306">
        <f>+D113+Y113+AF113+AM113+AT113+BA113</f>
        <v>1720</v>
      </c>
      <c r="CX113" s="1307">
        <f>+CW113-CW108</f>
        <v>55</v>
      </c>
      <c r="CY113" s="1295">
        <f>+(CW113/CW105-1)*100</f>
        <v>12.052117263843654</v>
      </c>
      <c r="CZ113" s="1295"/>
      <c r="DA113" s="1295"/>
      <c r="DB113" s="1296">
        <f>+G113+AB113+AI113+AP113+AW113+BD113</f>
        <v>50.465999999999994</v>
      </c>
      <c r="DC113" s="1297"/>
      <c r="DD113" s="1295">
        <f>+(DB113/DB105-1)*100</f>
        <v>11.836011080332366</v>
      </c>
      <c r="DE113" s="1266"/>
      <c r="DF113" s="1350">
        <f>+D113/$CW113</f>
        <v>0.75</v>
      </c>
      <c r="DG113" s="1351"/>
      <c r="DH113" s="1351"/>
      <c r="DI113" s="1350">
        <f>+Y113/$CW113</f>
        <v>7.9651162790697672E-2</v>
      </c>
      <c r="DJ113" s="1350">
        <f>+AF113/CW113</f>
        <v>6.1046511627906974E-2</v>
      </c>
      <c r="DK113" s="1350">
        <f>+AM113/CW113</f>
        <v>7.2674418604651167E-2</v>
      </c>
      <c r="DL113" s="1350">
        <f>+AT113/CW113</f>
        <v>3.0232558139534883E-2</v>
      </c>
      <c r="DM113" s="1350">
        <f>+BA113/$CW113</f>
        <v>6.3953488372093022E-3</v>
      </c>
      <c r="DN113" s="1350"/>
      <c r="DO113" s="1350">
        <f t="shared" ref="DO113:DQ117" si="11">+BB113/$CW113</f>
        <v>2.3255813953488372E-3</v>
      </c>
      <c r="DP113" s="1350">
        <f t="shared" si="11"/>
        <v>0.10174418604651163</v>
      </c>
      <c r="DQ113" s="1350">
        <f t="shared" si="11"/>
        <v>1.5523255813953488E-4</v>
      </c>
      <c r="DS113" s="1333">
        <f t="shared" si="0"/>
        <v>14</v>
      </c>
      <c r="DT113" s="1333">
        <f t="shared" si="1"/>
        <v>7</v>
      </c>
      <c r="DU113" s="1333">
        <f t="shared" si="2"/>
        <v>6</v>
      </c>
      <c r="DV113" s="1333">
        <f t="shared" si="3"/>
        <v>4</v>
      </c>
      <c r="DW113" s="1333">
        <f t="shared" si="4"/>
        <v>13</v>
      </c>
      <c r="DX113" s="1333">
        <f t="shared" si="5"/>
        <v>7</v>
      </c>
      <c r="DY113" s="1333">
        <f t="shared" si="6"/>
        <v>4</v>
      </c>
      <c r="DZ113" s="1333">
        <f t="shared" si="7"/>
        <v>0</v>
      </c>
      <c r="EA113" s="1333">
        <f t="shared" si="8"/>
        <v>0</v>
      </c>
      <c r="EB113" s="1333">
        <f t="shared" si="9"/>
        <v>0</v>
      </c>
      <c r="ED113" s="451">
        <f>-(SUMIF(DS113:EB113,"&lt;0"))</f>
        <v>0</v>
      </c>
      <c r="EE113" s="451">
        <f>(SUMIF(DS113:EB113,"&gt;0"))</f>
        <v>55</v>
      </c>
      <c r="EF113" s="451">
        <f>+EE113-ED113</f>
        <v>55</v>
      </c>
      <c r="EG113" s="1333">
        <f>+EF113-CX113</f>
        <v>0</v>
      </c>
    </row>
    <row r="114" spans="1:137" ht="15" hidden="1" outlineLevel="1">
      <c r="A114" s="1266" t="str">
        <f>$A$18</f>
        <v>2Q</v>
      </c>
      <c r="B114" s="1266" t="str">
        <f>$B$18</f>
        <v>Jul</v>
      </c>
      <c r="C114" s="1266"/>
      <c r="D114" s="1294">
        <f>+K114+R114</f>
        <v>1301</v>
      </c>
      <c r="E114" s="1255">
        <f>+D114-D113</f>
        <v>11</v>
      </c>
      <c r="F114" s="1295">
        <f>+(D114/D106-1)*100</f>
        <v>6.9022185702547256</v>
      </c>
      <c r="G114" s="1296">
        <f>+N114+U114</f>
        <v>39.347000000000001</v>
      </c>
      <c r="H114" s="1297"/>
      <c r="I114" s="1295">
        <f>+(G114/G106-1)*100</f>
        <v>6.9677033492822726</v>
      </c>
      <c r="J114" s="1309"/>
      <c r="K114" s="1300">
        <v>701</v>
      </c>
      <c r="L114" s="1255">
        <f>+K114-K113</f>
        <v>0</v>
      </c>
      <c r="M114" s="1295">
        <f>+(K114/K106-1)*100</f>
        <v>6.051437216338873</v>
      </c>
      <c r="N114" s="1318">
        <v>20.725000000000001</v>
      </c>
      <c r="O114" s="1297"/>
      <c r="P114" s="1295">
        <f>+(N114/N106-1)*100</f>
        <v>6.3093100795075685</v>
      </c>
      <c r="Q114" s="1299"/>
      <c r="R114" s="1300">
        <v>600</v>
      </c>
      <c r="S114" s="1255">
        <f>+R114-R113</f>
        <v>11</v>
      </c>
      <c r="T114" s="1295">
        <f>+(R114/R106-1)*100</f>
        <v>7.9136690647481966</v>
      </c>
      <c r="U114" s="1318">
        <v>18.622</v>
      </c>
      <c r="V114" s="1297"/>
      <c r="W114" s="1295">
        <f>+(U114/U106-1)*100</f>
        <v>7.7101046908438775</v>
      </c>
      <c r="X114" s="1299"/>
      <c r="Y114" s="1300">
        <v>137</v>
      </c>
      <c r="Z114" s="1255">
        <f>+Y114-Y113</f>
        <v>0</v>
      </c>
      <c r="AA114" s="1295">
        <f>+(Y114/Y106-1)*100</f>
        <v>11.382113821138207</v>
      </c>
      <c r="AB114" s="1318">
        <v>3.806</v>
      </c>
      <c r="AC114" s="1297"/>
      <c r="AD114" s="1295">
        <f>+(AB114/AB106-1)*100</f>
        <v>12.904182735093439</v>
      </c>
      <c r="AE114" s="1299"/>
      <c r="AF114" s="1300">
        <v>113</v>
      </c>
      <c r="AG114" s="1255">
        <f>+AF114-AF113</f>
        <v>8</v>
      </c>
      <c r="AH114" s="1295">
        <f>+(AF114/AF106-1)*100</f>
        <v>36.144578313253021</v>
      </c>
      <c r="AI114" s="1318">
        <v>2.988</v>
      </c>
      <c r="AJ114" s="1297"/>
      <c r="AK114" s="1295">
        <f>+(AI114/AI106-1)*100</f>
        <v>34.898419864559841</v>
      </c>
      <c r="AL114" s="1299"/>
      <c r="AM114" s="1300">
        <v>132</v>
      </c>
      <c r="AN114" s="1255">
        <f>+AM114-AM113</f>
        <v>7</v>
      </c>
      <c r="AO114" s="1295">
        <f>+(AM114/AM106-1)*100</f>
        <v>33.333333333333329</v>
      </c>
      <c r="AP114" s="1318">
        <v>3.3580000000000001</v>
      </c>
      <c r="AQ114" s="1297"/>
      <c r="AR114" s="1295">
        <f>+(AP114/AP106-1)*100</f>
        <v>29.752704791344662</v>
      </c>
      <c r="AS114" s="1299"/>
      <c r="AT114" s="1300">
        <v>55</v>
      </c>
      <c r="AU114" s="1255">
        <f>+AT114-AT113</f>
        <v>3</v>
      </c>
      <c r="AV114" s="1295">
        <f>+(AT114/AT106-1)*100</f>
        <v>77.41935483870968</v>
      </c>
      <c r="AW114" s="1318">
        <v>1.45</v>
      </c>
      <c r="AX114" s="1297"/>
      <c r="AY114" s="1295">
        <f>+(AW114/AW106-1)*100</f>
        <v>75.544794188861999</v>
      </c>
      <c r="AZ114" s="1299"/>
      <c r="BA114" s="1300">
        <v>11</v>
      </c>
      <c r="BB114" s="1255">
        <f>+BA114-BA113</f>
        <v>0</v>
      </c>
      <c r="BC114" s="1295">
        <f>+(BA114/BA106-1)*100</f>
        <v>83.333333333333329</v>
      </c>
      <c r="BD114" s="1318">
        <v>0.26700000000000002</v>
      </c>
      <c r="BE114" s="1297"/>
      <c r="BF114" s="1295">
        <f>+(BD114/BD106-1)*100</f>
        <v>142.72727272727272</v>
      </c>
      <c r="BG114" s="1295"/>
      <c r="BH114" s="1300"/>
      <c r="BI114" s="1255"/>
      <c r="BJ114" s="1295"/>
      <c r="BK114" s="1296"/>
      <c r="BL114" s="1297"/>
      <c r="BM114" s="1295"/>
      <c r="BN114" s="1295"/>
      <c r="BO114" s="1300"/>
      <c r="BP114" s="1255"/>
      <c r="BQ114" s="1295"/>
      <c r="BR114" s="1296"/>
      <c r="BS114" s="1297"/>
      <c r="BT114" s="1295"/>
      <c r="BU114" s="1295"/>
      <c r="BV114" s="1340"/>
      <c r="BW114" s="1358"/>
      <c r="BX114" s="1357"/>
      <c r="BY114" s="1359"/>
      <c r="BZ114" s="1360"/>
      <c r="CA114" s="1357"/>
      <c r="CB114" s="1299"/>
      <c r="CC114" s="1300"/>
      <c r="CD114" s="1255"/>
      <c r="CE114" s="1295"/>
      <c r="CF114" s="1296"/>
      <c r="CG114" s="1297"/>
      <c r="CH114" s="1295"/>
      <c r="CI114" s="1300"/>
      <c r="CJ114" s="1255"/>
      <c r="CK114" s="1295"/>
      <c r="CL114" s="1296"/>
      <c r="CM114" s="1297"/>
      <c r="CN114" s="1295"/>
      <c r="CO114" s="1295"/>
      <c r="CP114" s="1300"/>
      <c r="CQ114" s="1255"/>
      <c r="CR114" s="1295"/>
      <c r="CS114" s="1296"/>
      <c r="CT114" s="1297"/>
      <c r="CU114" s="1295"/>
      <c r="CV114" s="1299"/>
      <c r="CW114" s="1306">
        <f>+D114+Y114+AF114+AM114+AT114+BA114</f>
        <v>1749</v>
      </c>
      <c r="CX114" s="1307">
        <f>+CW114-CW113</f>
        <v>29</v>
      </c>
      <c r="CY114" s="1295">
        <f>+(CW114/CW106-1)*100</f>
        <v>12.187299550994224</v>
      </c>
      <c r="CZ114" s="1295"/>
      <c r="DA114" s="1295"/>
      <c r="DB114" s="1296">
        <f>+G114+AB114+AI114+AP114+AW114+BD114</f>
        <v>51.216000000000001</v>
      </c>
      <c r="DC114" s="1297"/>
      <c r="DD114" s="1295">
        <f>+(DB114/DB106-1)*100</f>
        <v>11.596287096352453</v>
      </c>
      <c r="DE114" s="1266"/>
      <c r="DF114" s="1350">
        <f>+D114/$CW114</f>
        <v>0.74385363064608345</v>
      </c>
      <c r="DG114" s="1351"/>
      <c r="DH114" s="1351"/>
      <c r="DI114" s="1350">
        <f>+Y114/$CW114</f>
        <v>7.8330474556889657E-2</v>
      </c>
      <c r="DJ114" s="1350">
        <f>+AF114/CW114</f>
        <v>6.4608347627215554E-2</v>
      </c>
      <c r="DK114" s="1350">
        <f>+AM114/CW114</f>
        <v>7.5471698113207544E-2</v>
      </c>
      <c r="DL114" s="1350">
        <f>+AT114/CW114</f>
        <v>3.1446540880503145E-2</v>
      </c>
      <c r="DM114" s="1350">
        <f>+BA114/$CW114</f>
        <v>6.2893081761006293E-3</v>
      </c>
      <c r="DN114" s="1350"/>
      <c r="DO114" s="1350">
        <f t="shared" si="11"/>
        <v>0</v>
      </c>
      <c r="DP114" s="1350">
        <f t="shared" si="11"/>
        <v>4.7646274061368399E-2</v>
      </c>
      <c r="DQ114" s="1350">
        <f t="shared" si="11"/>
        <v>1.5265866209262437E-4</v>
      </c>
      <c r="DS114" s="1333">
        <f t="shared" si="0"/>
        <v>0</v>
      </c>
      <c r="DT114" s="1333">
        <f t="shared" si="1"/>
        <v>11</v>
      </c>
      <c r="DU114" s="1333">
        <f t="shared" si="2"/>
        <v>0</v>
      </c>
      <c r="DV114" s="1333">
        <f t="shared" si="3"/>
        <v>8</v>
      </c>
      <c r="DW114" s="1333">
        <f t="shared" si="4"/>
        <v>7</v>
      </c>
      <c r="DX114" s="1333">
        <f t="shared" si="5"/>
        <v>3</v>
      </c>
      <c r="DY114" s="1333">
        <f t="shared" si="6"/>
        <v>0</v>
      </c>
      <c r="DZ114" s="1333">
        <f t="shared" si="7"/>
        <v>0</v>
      </c>
      <c r="EA114" s="1333">
        <f t="shared" si="8"/>
        <v>0</v>
      </c>
      <c r="EB114" s="1333">
        <f t="shared" si="9"/>
        <v>0</v>
      </c>
      <c r="ED114" s="451">
        <f>-(SUMIF(DS114:EB114,"&lt;0"))</f>
        <v>0</v>
      </c>
      <c r="EE114" s="451">
        <f>(SUMIF(DS114:EB114,"&gt;0"))</f>
        <v>29</v>
      </c>
      <c r="EF114" s="451">
        <f>+EE114-ED114</f>
        <v>29</v>
      </c>
      <c r="EG114" s="1333">
        <f>+EF114-CX114</f>
        <v>0</v>
      </c>
    </row>
    <row r="115" spans="1:137" ht="15" hidden="1" outlineLevel="1">
      <c r="A115" s="1266" t="str">
        <f>$A$19</f>
        <v>3Q</v>
      </c>
      <c r="B115" s="1266" t="str">
        <f>$B$19</f>
        <v>Oct</v>
      </c>
      <c r="C115" s="1266"/>
      <c r="D115" s="1294">
        <f>+K115+R115</f>
        <v>1339</v>
      </c>
      <c r="E115" s="1255">
        <f>+D115-D114</f>
        <v>38</v>
      </c>
      <c r="F115" s="1295">
        <f>+(D115/D107-1)*100</f>
        <v>6.7783094098883501</v>
      </c>
      <c r="G115" s="1296">
        <f>+N115+U115</f>
        <v>40.599000000000004</v>
      </c>
      <c r="H115" s="1297"/>
      <c r="I115" s="1295">
        <f>+(G115/G107-1)*100</f>
        <v>7.033824576204184</v>
      </c>
      <c r="J115" s="1309"/>
      <c r="K115" s="1300">
        <v>714</v>
      </c>
      <c r="L115" s="1255">
        <f>+K115-K114</f>
        <v>13</v>
      </c>
      <c r="M115" s="1295">
        <f>+(K115/K107-1)*100</f>
        <v>4.8458149779735615</v>
      </c>
      <c r="N115" s="1318">
        <v>21.141999999999999</v>
      </c>
      <c r="O115" s="1297"/>
      <c r="P115" s="1295">
        <f>+(N115/N107-1)*100</f>
        <v>5.0743004820833937</v>
      </c>
      <c r="Q115" s="1299"/>
      <c r="R115" s="1300">
        <v>625</v>
      </c>
      <c r="S115" s="1255">
        <f>+R115-R114</f>
        <v>25</v>
      </c>
      <c r="T115" s="1295">
        <f>+(R115/R107-1)*100</f>
        <v>9.0750436300174542</v>
      </c>
      <c r="U115" s="1318">
        <v>19.457000000000001</v>
      </c>
      <c r="V115" s="1297"/>
      <c r="W115" s="1295">
        <f>+(U115/U107-1)*100</f>
        <v>9.2476137001684666</v>
      </c>
      <c r="X115" s="1299"/>
      <c r="Y115" s="1300">
        <v>145</v>
      </c>
      <c r="Z115" s="1255">
        <f>+Y115-Y114</f>
        <v>8</v>
      </c>
      <c r="AA115" s="1295">
        <f>+(Y115/Y107-1)*100</f>
        <v>12.403100775193799</v>
      </c>
      <c r="AB115" s="1318">
        <v>4.0540000000000003</v>
      </c>
      <c r="AC115" s="1297"/>
      <c r="AD115" s="1295">
        <f>+(AB115/AB107-1)*100</f>
        <v>13.621076233183871</v>
      </c>
      <c r="AE115" s="1299"/>
      <c r="AF115" s="1300">
        <v>120</v>
      </c>
      <c r="AG115" s="1255">
        <f>+AF115-AF114</f>
        <v>7</v>
      </c>
      <c r="AH115" s="1295">
        <f>+(AF115/AF107-1)*100</f>
        <v>21.212121212121215</v>
      </c>
      <c r="AI115" s="1318">
        <v>3.165</v>
      </c>
      <c r="AJ115" s="1297"/>
      <c r="AK115" s="1295">
        <f>+(AI115/AI107-1)*100</f>
        <v>19.750283768444966</v>
      </c>
      <c r="AL115" s="1299"/>
      <c r="AM115" s="1300">
        <v>139</v>
      </c>
      <c r="AN115" s="1255">
        <f>+AM115-AM114</f>
        <v>7</v>
      </c>
      <c r="AO115" s="1295">
        <f>+(AM115/AM107-1)*100</f>
        <v>27.522935779816503</v>
      </c>
      <c r="AP115" s="1318">
        <v>3.5459999999999998</v>
      </c>
      <c r="AQ115" s="1297"/>
      <c r="AR115" s="1295">
        <f>+(AP115/AP107-1)*100</f>
        <v>26.733380986418865</v>
      </c>
      <c r="AS115" s="1299"/>
      <c r="AT115" s="1300">
        <v>68</v>
      </c>
      <c r="AU115" s="1255">
        <f>+AT115-AT114</f>
        <v>13</v>
      </c>
      <c r="AV115" s="1295">
        <f>+(AT115/AT107-1)*100</f>
        <v>70</v>
      </c>
      <c r="AW115" s="1318">
        <v>1.756</v>
      </c>
      <c r="AX115" s="1297"/>
      <c r="AY115" s="1295">
        <f>+(AW115/AW107-1)*100</f>
        <v>67.717287488061146</v>
      </c>
      <c r="AZ115" s="1299"/>
      <c r="BA115" s="1300">
        <v>15</v>
      </c>
      <c r="BB115" s="1255">
        <f>+BA115-BA114</f>
        <v>4</v>
      </c>
      <c r="BC115" s="1295">
        <f>+(BA115/BA107-1)*100</f>
        <v>114.28571428571428</v>
      </c>
      <c r="BD115" s="1318">
        <v>0.37</v>
      </c>
      <c r="BE115" s="1297"/>
      <c r="BF115" s="1295">
        <f>+(BD115/BD107-1)*100</f>
        <v>135.66878980891718</v>
      </c>
      <c r="BG115" s="1295"/>
      <c r="BH115" s="1300"/>
      <c r="BI115" s="1255"/>
      <c r="BJ115" s="1295"/>
      <c r="BK115" s="1296"/>
      <c r="BL115" s="1297"/>
      <c r="BM115" s="1295"/>
      <c r="BN115" s="1295"/>
      <c r="BO115" s="1300"/>
      <c r="BP115" s="1255"/>
      <c r="BQ115" s="1295"/>
      <c r="BR115" s="1296"/>
      <c r="BS115" s="1297"/>
      <c r="BT115" s="1295"/>
      <c r="BU115" s="1295"/>
      <c r="BV115" s="1340"/>
      <c r="BW115" s="1358"/>
      <c r="BX115" s="1357"/>
      <c r="BY115" s="1359"/>
      <c r="BZ115" s="1360"/>
      <c r="CA115" s="1357"/>
      <c r="CB115" s="1299"/>
      <c r="CC115" s="1300"/>
      <c r="CD115" s="1255"/>
      <c r="CE115" s="1295"/>
      <c r="CF115" s="1296"/>
      <c r="CG115" s="1297"/>
      <c r="CH115" s="1295"/>
      <c r="CI115" s="1300"/>
      <c r="CJ115" s="1255"/>
      <c r="CK115" s="1295"/>
      <c r="CL115" s="1296"/>
      <c r="CM115" s="1297"/>
      <c r="CN115" s="1295"/>
      <c r="CO115" s="1295"/>
      <c r="CP115" s="1300"/>
      <c r="CQ115" s="1255"/>
      <c r="CR115" s="1295"/>
      <c r="CS115" s="1296"/>
      <c r="CT115" s="1297"/>
      <c r="CU115" s="1295"/>
      <c r="CV115" s="1299"/>
      <c r="CW115" s="1306">
        <f>+D115+Y115+AF115+AM115+AT115+BA115</f>
        <v>1826</v>
      </c>
      <c r="CX115" s="1307">
        <f>+CW115-CW114</f>
        <v>77</v>
      </c>
      <c r="CY115" s="1295">
        <f>+(CW115/CW107-1)*100</f>
        <v>11.477411477411481</v>
      </c>
      <c r="CZ115" s="1295"/>
      <c r="DA115" s="1295"/>
      <c r="DB115" s="1296">
        <f>+G115+AB115+AI115+AP115+AW115+BD115</f>
        <v>53.49</v>
      </c>
      <c r="DC115" s="1297"/>
      <c r="DD115" s="1295">
        <f>+(DB115/DB107-1)*100</f>
        <v>11.104187437686974</v>
      </c>
      <c r="DE115" s="1266"/>
      <c r="DF115" s="1350">
        <f>+D115/$CW115</f>
        <v>0.73329682365826943</v>
      </c>
      <c r="DG115" s="1351"/>
      <c r="DH115" s="1351"/>
      <c r="DI115" s="1350">
        <f>+Y115/$CW115</f>
        <v>7.9408543263964945E-2</v>
      </c>
      <c r="DJ115" s="1350">
        <f>+AF115/CW115</f>
        <v>6.5717415115005479E-2</v>
      </c>
      <c r="DK115" s="1350">
        <f>+AM115/CW115</f>
        <v>7.6122672508214681E-2</v>
      </c>
      <c r="DL115" s="1350">
        <f>+AT115/CW115</f>
        <v>3.7239868565169768E-2</v>
      </c>
      <c r="DM115" s="1350">
        <f>+BA115/$CW115</f>
        <v>8.2146768893756848E-3</v>
      </c>
      <c r="DN115" s="1350"/>
      <c r="DO115" s="1350">
        <f t="shared" si="11"/>
        <v>2.1905805038335158E-3</v>
      </c>
      <c r="DP115" s="1350">
        <f t="shared" si="11"/>
        <v>6.2588014395243308E-2</v>
      </c>
      <c r="DQ115" s="1350">
        <f t="shared" si="11"/>
        <v>2.0262869660460023E-4</v>
      </c>
      <c r="DS115" s="1333">
        <f t="shared" si="0"/>
        <v>13</v>
      </c>
      <c r="DT115" s="1333">
        <f t="shared" si="1"/>
        <v>25</v>
      </c>
      <c r="DU115" s="1333">
        <f t="shared" si="2"/>
        <v>8</v>
      </c>
      <c r="DV115" s="1333">
        <f t="shared" si="3"/>
        <v>7</v>
      </c>
      <c r="DW115" s="1333">
        <f t="shared" si="4"/>
        <v>7</v>
      </c>
      <c r="DX115" s="1333">
        <f t="shared" si="5"/>
        <v>13</v>
      </c>
      <c r="DY115" s="1333">
        <f t="shared" si="6"/>
        <v>4</v>
      </c>
      <c r="DZ115" s="1333">
        <f t="shared" si="7"/>
        <v>0</v>
      </c>
      <c r="EA115" s="1333">
        <f t="shared" si="8"/>
        <v>0</v>
      </c>
      <c r="EB115" s="1333">
        <f t="shared" si="9"/>
        <v>0</v>
      </c>
      <c r="ED115" s="451">
        <f>-(SUMIF(DS115:EB115,"&lt;0"))</f>
        <v>0</v>
      </c>
      <c r="EE115" s="451">
        <f>(SUMIF(DS115:EB115,"&gt;0"))</f>
        <v>77</v>
      </c>
      <c r="EF115" s="451">
        <f>+EE115-ED115</f>
        <v>77</v>
      </c>
      <c r="EG115" s="1333">
        <f>+EF115-CX115</f>
        <v>0</v>
      </c>
    </row>
    <row r="116" spans="1:137" ht="15" hidden="1" outlineLevel="1">
      <c r="A116" s="1266" t="str">
        <f>$A$20</f>
        <v>4Q</v>
      </c>
      <c r="B116" s="1266" t="str">
        <f>$B$20</f>
        <v>Jan</v>
      </c>
      <c r="C116" s="1266"/>
      <c r="D116" s="1312">
        <f>+K116+R116</f>
        <v>1342</v>
      </c>
      <c r="E116" s="1255">
        <f>+D116-D115</f>
        <v>3</v>
      </c>
      <c r="F116" s="1295">
        <f>+(D116/D108-1)*100</f>
        <v>5.7525610717100051</v>
      </c>
      <c r="G116" s="1313">
        <f>+N116+U116</f>
        <v>40.575000000000003</v>
      </c>
      <c r="H116" s="1297"/>
      <c r="I116" s="1295">
        <f>+(G116/G108-1)*100</f>
        <v>5.6915863506121545</v>
      </c>
      <c r="J116" s="1309"/>
      <c r="K116" s="1314">
        <v>713</v>
      </c>
      <c r="L116" s="1255">
        <f>+K116-K115</f>
        <v>-1</v>
      </c>
      <c r="M116" s="1295">
        <f>+(K116/K108-1)*100</f>
        <v>3.7845705967976651</v>
      </c>
      <c r="N116" s="1334">
        <v>21.065000000000001</v>
      </c>
      <c r="O116" s="1297"/>
      <c r="P116" s="1295">
        <f>+(N116/N108-1)*100</f>
        <v>3.7327030088146973</v>
      </c>
      <c r="Q116" s="1299"/>
      <c r="R116" s="1314">
        <v>629</v>
      </c>
      <c r="S116" s="1255">
        <f>+R116-R115</f>
        <v>4</v>
      </c>
      <c r="T116" s="1295">
        <f>+(R116/R108-1)*100</f>
        <v>8.0756013745704394</v>
      </c>
      <c r="U116" s="1334">
        <v>19.510000000000002</v>
      </c>
      <c r="V116" s="1297"/>
      <c r="W116" s="1295">
        <f>+(U116/U108-1)*100</f>
        <v>7.8913897030360225</v>
      </c>
      <c r="X116" s="1299"/>
      <c r="Y116" s="1314">
        <v>146</v>
      </c>
      <c r="Z116" s="1255">
        <f>+Y116-Y115</f>
        <v>1</v>
      </c>
      <c r="AA116" s="1295">
        <f>+(Y116/Y108-1)*100</f>
        <v>11.45038167938932</v>
      </c>
      <c r="AB116" s="1334">
        <v>4.0789999999999997</v>
      </c>
      <c r="AC116" s="1297"/>
      <c r="AD116" s="1295">
        <f>+(AB116/AB108-1)*100</f>
        <v>11.114137837101602</v>
      </c>
      <c r="AE116" s="1299"/>
      <c r="AF116" s="1314">
        <v>123</v>
      </c>
      <c r="AG116" s="1255">
        <f>+AF116-AF115</f>
        <v>3</v>
      </c>
      <c r="AH116" s="1295">
        <f>+(AF116/AF108-1)*100</f>
        <v>21.78217821782178</v>
      </c>
      <c r="AI116" s="1334">
        <v>3.2490000000000001</v>
      </c>
      <c r="AJ116" s="1297"/>
      <c r="AK116" s="1295">
        <f>+(AI116/AI108-1)*100</f>
        <v>21.639835267690021</v>
      </c>
      <c r="AL116" s="1299"/>
      <c r="AM116" s="1314">
        <v>142</v>
      </c>
      <c r="AN116" s="1255">
        <f>+AM116-AM115</f>
        <v>3</v>
      </c>
      <c r="AO116" s="1295">
        <f>+(AM116/AM108-1)*100</f>
        <v>26.785714285714278</v>
      </c>
      <c r="AP116" s="1334">
        <v>3.6110000000000002</v>
      </c>
      <c r="AQ116" s="1297"/>
      <c r="AR116" s="1295">
        <f>+(AP116/AP108-1)*100</f>
        <v>23.749143248800554</v>
      </c>
      <c r="AS116" s="1299"/>
      <c r="AT116" s="1314">
        <v>75</v>
      </c>
      <c r="AU116" s="1255">
        <f>+AT116-AT115</f>
        <v>7</v>
      </c>
      <c r="AV116" s="1295">
        <f>+(AT116/AT108-1)*100</f>
        <v>66.666666666666671</v>
      </c>
      <c r="AW116" s="1334">
        <v>1.9419999999999999</v>
      </c>
      <c r="AX116" s="1297"/>
      <c r="AY116" s="1295">
        <f>+(AW116/AW108-1)*100</f>
        <v>64.576271186440692</v>
      </c>
      <c r="AZ116" s="1299"/>
      <c r="BA116" s="1314">
        <v>15</v>
      </c>
      <c r="BB116" s="1255">
        <f>+BA116-BA115</f>
        <v>0</v>
      </c>
      <c r="BC116" s="1295">
        <f>+(BA116/BA108-1)*100</f>
        <v>114.28571428571428</v>
      </c>
      <c r="BD116" s="1334">
        <v>0.37</v>
      </c>
      <c r="BE116" s="1297"/>
      <c r="BF116" s="1295">
        <f>+(BD116/BD108-1)*100</f>
        <v>132.70440251572327</v>
      </c>
      <c r="BG116" s="1295"/>
      <c r="BH116" s="1314"/>
      <c r="BI116" s="1255"/>
      <c r="BJ116" s="1295"/>
      <c r="BK116" s="1313"/>
      <c r="BL116" s="1297"/>
      <c r="BM116" s="1295"/>
      <c r="BN116" s="1295"/>
      <c r="BO116" s="1314"/>
      <c r="BP116" s="1255"/>
      <c r="BQ116" s="1295"/>
      <c r="BR116" s="1313"/>
      <c r="BS116" s="1297"/>
      <c r="BT116" s="1295"/>
      <c r="BU116" s="1295"/>
      <c r="BV116" s="1361"/>
      <c r="BW116" s="1358"/>
      <c r="BX116" s="1357"/>
      <c r="BY116" s="1362"/>
      <c r="BZ116" s="1360"/>
      <c r="CA116" s="1357"/>
      <c r="CB116" s="1299"/>
      <c r="CC116" s="1314"/>
      <c r="CD116" s="1255"/>
      <c r="CE116" s="1295"/>
      <c r="CF116" s="1313"/>
      <c r="CG116" s="1297"/>
      <c r="CH116" s="1295"/>
      <c r="CI116" s="1314"/>
      <c r="CJ116" s="1255"/>
      <c r="CK116" s="1295"/>
      <c r="CL116" s="1313"/>
      <c r="CM116" s="1297"/>
      <c r="CN116" s="1295"/>
      <c r="CO116" s="1295"/>
      <c r="CP116" s="1314"/>
      <c r="CQ116" s="1255"/>
      <c r="CR116" s="1295"/>
      <c r="CS116" s="1313"/>
      <c r="CT116" s="1297"/>
      <c r="CU116" s="1295"/>
      <c r="CV116" s="1299"/>
      <c r="CW116" s="1312">
        <f>+D116+Y116+AF116+AM116+AT116+BA116</f>
        <v>1843</v>
      </c>
      <c r="CX116" s="1307">
        <f>+CW116-CW115</f>
        <v>17</v>
      </c>
      <c r="CY116" s="1295">
        <f>+(CW116/CW108-1)*100</f>
        <v>10.690690690690685</v>
      </c>
      <c r="CZ116" s="1295"/>
      <c r="DA116" s="1295"/>
      <c r="DB116" s="1313">
        <f>+G116+AB116+AI116+AP116+AW116+BD116</f>
        <v>53.826000000000001</v>
      </c>
      <c r="DC116" s="1297"/>
      <c r="DD116" s="1295">
        <f>+(DB116/DB108-1)*100</f>
        <v>9.8736451040029483</v>
      </c>
      <c r="DE116" s="1309"/>
      <c r="DF116" s="1350">
        <f>+D116/$CW116</f>
        <v>0.72816060770482904</v>
      </c>
      <c r="DG116" s="1351"/>
      <c r="DH116" s="1351"/>
      <c r="DI116" s="1350">
        <f>+Y116/$CW116</f>
        <v>7.9218665219750406E-2</v>
      </c>
      <c r="DJ116" s="1350">
        <f>+AF116/CW116</f>
        <v>6.6739012479652735E-2</v>
      </c>
      <c r="DK116" s="1350">
        <f>+AM116/CW116</f>
        <v>7.7048290830168203E-2</v>
      </c>
      <c r="DL116" s="1350">
        <f>+AT116/CW116</f>
        <v>4.0694519804666304E-2</v>
      </c>
      <c r="DM116" s="1350">
        <f>+BA116/$CW116</f>
        <v>8.1389039609332612E-3</v>
      </c>
      <c r="DN116" s="1350"/>
      <c r="DO116" s="1350">
        <f t="shared" si="11"/>
        <v>0</v>
      </c>
      <c r="DP116" s="1350">
        <f t="shared" si="11"/>
        <v>6.2010696845205791E-2</v>
      </c>
      <c r="DQ116" s="1350">
        <f t="shared" si="11"/>
        <v>2.0075963103635377E-4</v>
      </c>
      <c r="DS116" s="1333">
        <f t="shared" si="0"/>
        <v>-1</v>
      </c>
      <c r="DT116" s="1333">
        <f t="shared" si="1"/>
        <v>4</v>
      </c>
      <c r="DU116" s="1333">
        <f t="shared" si="2"/>
        <v>1</v>
      </c>
      <c r="DV116" s="1333">
        <f t="shared" si="3"/>
        <v>3</v>
      </c>
      <c r="DW116" s="1333">
        <f t="shared" si="4"/>
        <v>3</v>
      </c>
      <c r="DX116" s="1333">
        <f t="shared" si="5"/>
        <v>7</v>
      </c>
      <c r="DY116" s="1333">
        <f t="shared" si="6"/>
        <v>0</v>
      </c>
      <c r="DZ116" s="1333">
        <f t="shared" si="7"/>
        <v>0</v>
      </c>
      <c r="EA116" s="1333">
        <f t="shared" si="8"/>
        <v>0</v>
      </c>
      <c r="EB116" s="1333">
        <f t="shared" si="9"/>
        <v>0</v>
      </c>
      <c r="ED116" s="451">
        <f>-(SUMIF(DS116:EB116,"&lt;0"))</f>
        <v>1</v>
      </c>
      <c r="EE116" s="451">
        <f>(SUMIF(DS116:EB116,"&gt;0"))</f>
        <v>18</v>
      </c>
      <c r="EF116" s="451">
        <f>+EE116-ED116</f>
        <v>17</v>
      </c>
      <c r="EG116" s="1333">
        <f>+EF116-CX116</f>
        <v>0</v>
      </c>
    </row>
    <row r="117" spans="1:137" ht="15" hidden="1" outlineLevel="1">
      <c r="A117" s="1266"/>
      <c r="B117" s="1266" t="str">
        <f>$B$21</f>
        <v>Year</v>
      </c>
      <c r="C117" s="1266"/>
      <c r="D117" s="1306">
        <f>+D116</f>
        <v>1342</v>
      </c>
      <c r="E117" s="1317">
        <f>+D117-D109</f>
        <v>73</v>
      </c>
      <c r="F117" s="1295">
        <f>+(D117/D109-1)*100</f>
        <v>5.7525610717100051</v>
      </c>
      <c r="G117" s="1296">
        <f>+N117+U117</f>
        <v>40.575000000000003</v>
      </c>
      <c r="H117" s="1297">
        <f>+G117/D117*1000</f>
        <v>30.234724292101344</v>
      </c>
      <c r="I117" s="1295">
        <f>+(G117/G109-1)*100</f>
        <v>5.6915863506121545</v>
      </c>
      <c r="J117" s="1309"/>
      <c r="K117" s="1306">
        <f>+K116</f>
        <v>713</v>
      </c>
      <c r="L117" s="1317">
        <f>+K116-K108</f>
        <v>26</v>
      </c>
      <c r="M117" s="1295">
        <f>+(K117/K109-1)*100</f>
        <v>3.7845705967976651</v>
      </c>
      <c r="N117" s="1296">
        <f>+N116</f>
        <v>21.065000000000001</v>
      </c>
      <c r="O117" s="1297">
        <f>+N117/K117*1000</f>
        <v>29.544179523141654</v>
      </c>
      <c r="P117" s="1295">
        <f>+(N117/N109-1)*100</f>
        <v>3.7327030088146973</v>
      </c>
      <c r="Q117" s="1299"/>
      <c r="R117" s="1306">
        <f>+R109+S117</f>
        <v>629</v>
      </c>
      <c r="S117" s="1317">
        <f>+R116-R108</f>
        <v>47</v>
      </c>
      <c r="T117" s="1295">
        <f>+(R117/R109-1)*100</f>
        <v>8.0756013745704394</v>
      </c>
      <c r="U117" s="1296">
        <f>+U116</f>
        <v>19.510000000000002</v>
      </c>
      <c r="V117" s="1297">
        <f>+U117/R117*1000</f>
        <v>31.017488076311608</v>
      </c>
      <c r="W117" s="1295">
        <f>+(U117/U109-1)*100</f>
        <v>7.8913897030360225</v>
      </c>
      <c r="X117" s="1299"/>
      <c r="Y117" s="1306">
        <f>+Y116</f>
        <v>146</v>
      </c>
      <c r="Z117" s="1317">
        <f>+Y116-Y108</f>
        <v>15</v>
      </c>
      <c r="AA117" s="1295">
        <f>+(Y117/Y109-1)*100</f>
        <v>11.45038167938932</v>
      </c>
      <c r="AB117" s="1296">
        <f>+AB116</f>
        <v>4.0789999999999997</v>
      </c>
      <c r="AC117" s="1297">
        <f>+AB117/Y117*1000</f>
        <v>27.93835616438356</v>
      </c>
      <c r="AD117" s="1295">
        <f>+(AB117/AB109-1)*100</f>
        <v>11.114137837101602</v>
      </c>
      <c r="AE117" s="1299"/>
      <c r="AF117" s="1306">
        <f>+AF116</f>
        <v>123</v>
      </c>
      <c r="AG117" s="1317">
        <f>+AF116-AF108</f>
        <v>22</v>
      </c>
      <c r="AH117" s="1295">
        <f>+(AF117/AF109-1)*100</f>
        <v>21.78217821782178</v>
      </c>
      <c r="AI117" s="1296">
        <f>+AI116</f>
        <v>3.2490000000000001</v>
      </c>
      <c r="AJ117" s="1297">
        <f>+AI117/AF117*1000</f>
        <v>26.414634146341463</v>
      </c>
      <c r="AK117" s="1295">
        <f>+(AI117/AI109-1)*100</f>
        <v>21.639835267690021</v>
      </c>
      <c r="AL117" s="1299"/>
      <c r="AM117" s="1306">
        <f>+AM116</f>
        <v>142</v>
      </c>
      <c r="AN117" s="1317">
        <f>+AM116-AM108</f>
        <v>30</v>
      </c>
      <c r="AO117" s="1295">
        <f>+(AM117/AM109-1)*100</f>
        <v>26.785714285714278</v>
      </c>
      <c r="AP117" s="1296">
        <f>+AP116</f>
        <v>3.6110000000000002</v>
      </c>
      <c r="AQ117" s="1297">
        <f>+AP117/AM117*1000</f>
        <v>25.429577464788732</v>
      </c>
      <c r="AR117" s="1295">
        <f>+(AP117/AP109-1)*100</f>
        <v>23.749143248800554</v>
      </c>
      <c r="AS117" s="1299"/>
      <c r="AT117" s="1306">
        <f>+AT116</f>
        <v>75</v>
      </c>
      <c r="AU117" s="1317">
        <f>+AT116-AT108</f>
        <v>30</v>
      </c>
      <c r="AV117" s="1295">
        <f>+(AT117/AT109-1)*100</f>
        <v>66.666666666666671</v>
      </c>
      <c r="AW117" s="1296">
        <f>+AW116</f>
        <v>1.9419999999999999</v>
      </c>
      <c r="AX117" s="1297">
        <f>+AW117/AT117*1000</f>
        <v>25.893333333333334</v>
      </c>
      <c r="AY117" s="1295">
        <f>+(AW117/AW109-1)*100</f>
        <v>64.576271186440692</v>
      </c>
      <c r="AZ117" s="1299"/>
      <c r="BA117" s="1306">
        <f>+BA109+BB117</f>
        <v>15</v>
      </c>
      <c r="BB117" s="1317">
        <f>+BA116-BA108</f>
        <v>8</v>
      </c>
      <c r="BC117" s="1295">
        <f>+(BA117/BA109-1)*100</f>
        <v>114.28571428571428</v>
      </c>
      <c r="BD117" s="1296">
        <f>+BD116</f>
        <v>0.37</v>
      </c>
      <c r="BE117" s="1297">
        <f>+BD117/BA117*1000</f>
        <v>24.666666666666668</v>
      </c>
      <c r="BF117" s="1295">
        <f>+(BD117/BD109-1)*100</f>
        <v>132.70440251572327</v>
      </c>
      <c r="BG117" s="1295"/>
      <c r="BH117" s="1306"/>
      <c r="BI117" s="1317"/>
      <c r="BJ117" s="1295"/>
      <c r="BK117" s="1318"/>
      <c r="BL117" s="1297"/>
      <c r="BM117" s="1295"/>
      <c r="BN117" s="1295"/>
      <c r="BO117" s="1306"/>
      <c r="BP117" s="1317"/>
      <c r="BQ117" s="1295"/>
      <c r="BR117" s="1318"/>
      <c r="BS117" s="1297"/>
      <c r="BT117" s="1295"/>
      <c r="BU117" s="1295"/>
      <c r="BV117" s="1337"/>
      <c r="BW117" s="1343"/>
      <c r="BX117" s="1357"/>
      <c r="BY117" s="1359"/>
      <c r="BZ117" s="1360"/>
      <c r="CA117" s="1357"/>
      <c r="CB117" s="1299"/>
      <c r="CC117" s="1306"/>
      <c r="CD117" s="1317"/>
      <c r="CE117" s="1295"/>
      <c r="CF117" s="1318"/>
      <c r="CG117" s="1297"/>
      <c r="CH117" s="1295"/>
      <c r="CI117" s="1306"/>
      <c r="CJ117" s="1317"/>
      <c r="CK117" s="1295"/>
      <c r="CL117" s="1318"/>
      <c r="CM117" s="1297"/>
      <c r="CN117" s="1295"/>
      <c r="CO117" s="1295"/>
      <c r="CP117" s="1306"/>
      <c r="CQ117" s="1317"/>
      <c r="CR117" s="1295"/>
      <c r="CS117" s="1318"/>
      <c r="CT117" s="1297"/>
      <c r="CU117" s="1295"/>
      <c r="CV117" s="1299"/>
      <c r="CW117" s="1306">
        <f>+D117+Y117+AF117+AM117+AT117+BA117</f>
        <v>1843</v>
      </c>
      <c r="CX117" s="1317">
        <f>+CW117-CW109</f>
        <v>178</v>
      </c>
      <c r="CY117" s="1295">
        <f>+(CW117/CW109-1)*100</f>
        <v>10.690690690690685</v>
      </c>
      <c r="CZ117" s="1295"/>
      <c r="DA117" s="1295"/>
      <c r="DB117" s="1296">
        <f>+G117+AB117+AI117+AP117+AW117+BD117</f>
        <v>53.826000000000001</v>
      </c>
      <c r="DC117" s="1297">
        <f>+DB117/CW117*1000</f>
        <v>29.205642973412914</v>
      </c>
      <c r="DD117" s="1295">
        <f>+(DB117/DB109-1)*100</f>
        <v>9.8736451040029483</v>
      </c>
      <c r="DE117" s="1266"/>
      <c r="DF117" s="1350">
        <f>+D117/$CW117</f>
        <v>0.72816060770482904</v>
      </c>
      <c r="DG117" s="1351"/>
      <c r="DH117" s="1351"/>
      <c r="DI117" s="1350">
        <f>+Y117/$CW117</f>
        <v>7.9218665219750406E-2</v>
      </c>
      <c r="DJ117" s="1350">
        <f>+AF117/CW117</f>
        <v>6.6739012479652735E-2</v>
      </c>
      <c r="DK117" s="1350">
        <f>+AM117/CW117</f>
        <v>7.7048290830168203E-2</v>
      </c>
      <c r="DL117" s="1350">
        <f>+AT117/CW117</f>
        <v>4.0694519804666304E-2</v>
      </c>
      <c r="DM117" s="1350">
        <f>+BA117/$CW117</f>
        <v>8.1389039609332612E-3</v>
      </c>
      <c r="DN117" s="1350"/>
      <c r="DO117" s="1350">
        <f t="shared" si="11"/>
        <v>4.3407487791644059E-3</v>
      </c>
      <c r="DP117" s="1350">
        <f t="shared" si="11"/>
        <v>6.2010696845205791E-2</v>
      </c>
      <c r="DQ117" s="1350">
        <f t="shared" si="11"/>
        <v>2.0075963103635377E-4</v>
      </c>
      <c r="DS117" s="1333"/>
      <c r="DT117" s="1333"/>
      <c r="DU117" s="1333"/>
      <c r="DV117" s="1333"/>
      <c r="DW117" s="1333"/>
      <c r="DX117" s="1333"/>
      <c r="DY117" s="1333"/>
      <c r="DZ117" s="1333"/>
      <c r="EA117" s="1333"/>
      <c r="EB117" s="1333"/>
      <c r="ED117" s="693">
        <f>SUM(ED113:ED116)</f>
        <v>1</v>
      </c>
      <c r="EE117" s="693">
        <f>SUM(EE113:EE116)</f>
        <v>179</v>
      </c>
      <c r="EF117" s="693">
        <f>+EE117-ED117</f>
        <v>178</v>
      </c>
      <c r="EG117" s="1333">
        <f>+EF117-CX117</f>
        <v>0</v>
      </c>
    </row>
    <row r="118" spans="1:137" ht="15" hidden="1" outlineLevel="2">
      <c r="A118" s="1266"/>
      <c r="B118" s="1266" t="s">
        <v>646</v>
      </c>
      <c r="C118" s="1266"/>
      <c r="D118" s="1306"/>
      <c r="E118" s="1317"/>
      <c r="F118" s="1323"/>
      <c r="G118" s="1296"/>
      <c r="H118" s="1297"/>
      <c r="I118" s="1295"/>
      <c r="J118" s="1266"/>
      <c r="K118" s="1306"/>
      <c r="L118" s="1256"/>
      <c r="M118" s="1324"/>
      <c r="N118" s="1325" t="str">
        <f>IF(SUM(L118:M118)=L117,"","N")</f>
        <v>N</v>
      </c>
      <c r="O118" s="1297"/>
      <c r="P118" s="1295"/>
      <c r="Q118" s="1299"/>
      <c r="R118" s="1306"/>
      <c r="S118" s="1256"/>
      <c r="T118" s="1324"/>
      <c r="U118" s="1325" t="str">
        <f>IF(SUM(S118:T118)=S117,"","N")</f>
        <v>N</v>
      </c>
      <c r="V118" s="1297"/>
      <c r="W118" s="1295"/>
      <c r="X118" s="1299"/>
      <c r="Y118" s="1306"/>
      <c r="Z118" s="1256"/>
      <c r="AA118" s="1324"/>
      <c r="AB118" s="1325" t="str">
        <f>IF(SUM(Z118:AA118)=Z117,"","N")</f>
        <v>N</v>
      </c>
      <c r="AC118" s="1297"/>
      <c r="AD118" s="1295"/>
      <c r="AE118" s="1299"/>
      <c r="AF118" s="1306"/>
      <c r="AG118" s="1256"/>
      <c r="AH118" s="1324"/>
      <c r="AI118" s="1325" t="str">
        <f>IF(SUM(AG118:AH118)=AG117,"","N")</f>
        <v>N</v>
      </c>
      <c r="AJ118" s="1297"/>
      <c r="AK118" s="1295"/>
      <c r="AL118" s="1299"/>
      <c r="AM118" s="1306"/>
      <c r="AN118" s="1256"/>
      <c r="AO118" s="1324"/>
      <c r="AP118" s="1325" t="str">
        <f>IF(SUM(AN118:AO118)=AN117,"","N")</f>
        <v>N</v>
      </c>
      <c r="AQ118" s="1297"/>
      <c r="AR118" s="1295"/>
      <c r="AS118" s="1299"/>
      <c r="AT118" s="1306"/>
      <c r="AU118" s="1256"/>
      <c r="AV118" s="1324"/>
      <c r="AW118" s="1325" t="str">
        <f>IF(SUM(AU118:AV118)=AU117,"","N")</f>
        <v>N</v>
      </c>
      <c r="AX118" s="1297"/>
      <c r="AY118" s="1295"/>
      <c r="AZ118" s="1299"/>
      <c r="BA118" s="1306"/>
      <c r="BB118" s="1256"/>
      <c r="BC118" s="1324"/>
      <c r="BD118" s="1325"/>
      <c r="BE118" s="1303"/>
      <c r="BF118" s="1305"/>
      <c r="BG118" s="1305"/>
      <c r="BH118" s="1306"/>
      <c r="BI118" s="1256"/>
      <c r="BJ118" s="1324"/>
      <c r="BK118" s="1300"/>
      <c r="BL118" s="1303"/>
      <c r="BM118" s="1305"/>
      <c r="BN118" s="1305"/>
      <c r="BO118" s="1306"/>
      <c r="BP118" s="1256"/>
      <c r="BQ118" s="1324"/>
      <c r="BR118" s="1300"/>
      <c r="BS118" s="1303"/>
      <c r="BT118" s="1305"/>
      <c r="BU118" s="1305"/>
      <c r="BV118" s="1337"/>
      <c r="BW118" s="1343"/>
      <c r="BX118" s="1344"/>
      <c r="BY118" s="1340"/>
      <c r="BZ118" s="1339"/>
      <c r="CA118" s="1341"/>
      <c r="CB118" s="1299"/>
      <c r="CC118" s="1306"/>
      <c r="CD118" s="1256"/>
      <c r="CE118" s="1324"/>
      <c r="CF118" s="1300"/>
      <c r="CG118" s="1303"/>
      <c r="CH118" s="1305"/>
      <c r="CI118" s="1306"/>
      <c r="CJ118" s="1256"/>
      <c r="CK118" s="1324"/>
      <c r="CL118" s="1300"/>
      <c r="CM118" s="1303"/>
      <c r="CN118" s="1305"/>
      <c r="CO118" s="1305"/>
      <c r="CP118" s="1306"/>
      <c r="CQ118" s="1256"/>
      <c r="CR118" s="1324"/>
      <c r="CS118" s="1300"/>
      <c r="CT118" s="1303"/>
      <c r="CU118" s="1305"/>
      <c r="CV118" s="1299"/>
      <c r="CW118" s="1306"/>
      <c r="CX118" s="1317"/>
      <c r="CY118" s="1297"/>
      <c r="CZ118" s="1320"/>
      <c r="DA118" s="1322"/>
      <c r="DB118" s="1296"/>
      <c r="DC118" s="1297"/>
      <c r="DD118" s="1302"/>
      <c r="DE118" s="1266"/>
      <c r="DF118" s="1266"/>
      <c r="DG118" s="1266"/>
      <c r="DH118" s="1266"/>
      <c r="DI118" s="1266"/>
      <c r="DJ118" s="1266"/>
      <c r="DK118" s="1266"/>
      <c r="DL118" s="1266"/>
      <c r="DM118" s="1266"/>
      <c r="DN118" s="1266"/>
      <c r="DO118" s="1266"/>
      <c r="DP118" s="1266"/>
      <c r="DQ118" s="1266"/>
      <c r="DS118" s="1333"/>
      <c r="DT118" s="1333"/>
      <c r="DU118" s="1333"/>
      <c r="DV118" s="1333"/>
      <c r="DW118" s="1333"/>
      <c r="DX118" s="1333"/>
      <c r="DY118" s="1333"/>
      <c r="DZ118" s="1333"/>
      <c r="EA118" s="1333"/>
      <c r="EB118" s="1333"/>
    </row>
    <row r="119" spans="1:137" ht="15" hidden="1" outlineLevel="1" collapsed="1">
      <c r="A119" s="1266"/>
      <c r="B119" s="1266"/>
      <c r="C119" s="1266"/>
      <c r="D119" s="1335"/>
      <c r="E119" s="1269"/>
      <c r="F119" s="1302"/>
      <c r="G119" s="1335"/>
      <c r="H119" s="1268"/>
      <c r="I119" s="1295"/>
      <c r="J119" s="1363">
        <f>+G117/G77-1</f>
        <v>0.29047134406208275</v>
      </c>
      <c r="K119" s="1336"/>
      <c r="L119" s="1269"/>
      <c r="M119" s="1268"/>
      <c r="N119" s="1336"/>
      <c r="O119" s="1268"/>
      <c r="P119" s="1295"/>
      <c r="Q119" s="1268"/>
      <c r="R119" s="1336"/>
      <c r="S119" s="1269"/>
      <c r="T119" s="1268"/>
      <c r="U119" s="1336"/>
      <c r="V119" s="1268"/>
      <c r="W119" s="1295"/>
      <c r="X119" s="1268"/>
      <c r="Y119" s="1336"/>
      <c r="Z119" s="1269"/>
      <c r="AA119" s="1268"/>
      <c r="AB119" s="1336"/>
      <c r="AC119" s="1268"/>
      <c r="AD119" s="1295"/>
      <c r="AE119" s="1268"/>
      <c r="AF119" s="1336"/>
      <c r="AG119" s="1269"/>
      <c r="AH119" s="1270"/>
      <c r="AI119" s="1336"/>
      <c r="AJ119" s="1268"/>
      <c r="AK119" s="1302"/>
      <c r="AL119" s="1268"/>
      <c r="AM119" s="1364"/>
      <c r="AN119" s="1269"/>
      <c r="AO119" s="1268"/>
      <c r="AP119" s="1336"/>
      <c r="AQ119" s="1268"/>
      <c r="AR119" s="1295"/>
      <c r="AS119" s="1268"/>
      <c r="AT119" s="1336"/>
      <c r="AU119" s="1269"/>
      <c r="AV119" s="1266"/>
      <c r="AW119" s="1336"/>
      <c r="AX119" s="1268"/>
      <c r="AY119" s="1295"/>
      <c r="AZ119" s="1266"/>
      <c r="BA119" s="1336"/>
      <c r="BB119" s="1269"/>
      <c r="BC119" s="1266"/>
      <c r="BD119" s="1336"/>
      <c r="BE119" s="1268"/>
      <c r="BF119" s="1295"/>
      <c r="BG119" s="1295"/>
      <c r="BH119" s="1336"/>
      <c r="BI119" s="1269"/>
      <c r="BJ119" s="1266"/>
      <c r="BK119" s="1336"/>
      <c r="BL119" s="1268"/>
      <c r="BM119" s="1295"/>
      <c r="BN119" s="1295"/>
      <c r="BO119" s="1336"/>
      <c r="BP119" s="1269"/>
      <c r="BQ119" s="1266"/>
      <c r="BR119" s="1336"/>
      <c r="BS119" s="1268"/>
      <c r="BT119" s="1295"/>
      <c r="BU119" s="1295"/>
      <c r="BV119" s="1345"/>
      <c r="BW119" s="1354"/>
      <c r="BX119" s="1355"/>
      <c r="BY119" s="1345"/>
      <c r="BZ119" s="1356"/>
      <c r="CA119" s="1357"/>
      <c r="CB119" s="1266"/>
      <c r="CC119" s="1336"/>
      <c r="CD119" s="1269"/>
      <c r="CE119" s="1266"/>
      <c r="CF119" s="1336"/>
      <c r="CG119" s="1268"/>
      <c r="CH119" s="1295"/>
      <c r="CI119" s="1336"/>
      <c r="CJ119" s="1269"/>
      <c r="CK119" s="1266"/>
      <c r="CL119" s="1336"/>
      <c r="CM119" s="1268"/>
      <c r="CN119" s="1295"/>
      <c r="CO119" s="1295"/>
      <c r="CP119" s="1336"/>
      <c r="CQ119" s="1269"/>
      <c r="CR119" s="1266"/>
      <c r="CS119" s="1336"/>
      <c r="CT119" s="1268"/>
      <c r="CU119" s="1295"/>
      <c r="CV119" s="1266"/>
      <c r="CW119" s="1335"/>
      <c r="CX119" s="1266"/>
      <c r="CY119" s="1266"/>
      <c r="CZ119" s="1266"/>
      <c r="DA119" s="1266"/>
      <c r="DB119" s="1335"/>
      <c r="DC119" s="1268"/>
      <c r="DD119" s="1302"/>
      <c r="DE119" s="1266"/>
      <c r="DF119" s="1266"/>
      <c r="DG119" s="1266"/>
      <c r="DH119" s="1266"/>
      <c r="DI119" s="1266"/>
      <c r="DJ119" s="1266"/>
      <c r="DK119" s="1266"/>
      <c r="DL119" s="1266"/>
      <c r="DM119" s="1266"/>
      <c r="DN119" s="1266"/>
      <c r="DO119" s="1266"/>
      <c r="DP119" s="1266"/>
      <c r="DQ119" s="1266"/>
      <c r="DS119" s="1333"/>
      <c r="DT119" s="1333"/>
      <c r="DU119" s="1333"/>
      <c r="DV119" s="1333"/>
      <c r="DW119" s="1333"/>
      <c r="DX119" s="1333"/>
      <c r="DY119" s="1333"/>
      <c r="DZ119" s="1333"/>
      <c r="EA119" s="1333"/>
      <c r="EB119" s="1333"/>
    </row>
    <row r="120" spans="1:137" ht="15.75" hidden="1" outlineLevel="1">
      <c r="A120" s="2119">
        <f>+A112+1</f>
        <v>2003</v>
      </c>
      <c r="B120" s="2119"/>
      <c r="C120" s="1266"/>
      <c r="D120" s="1335"/>
      <c r="E120" s="1269"/>
      <c r="F120" s="1302"/>
      <c r="G120" s="1335"/>
      <c r="H120" s="1268"/>
      <c r="I120" s="1295"/>
      <c r="J120" s="1266"/>
      <c r="K120" s="1336"/>
      <c r="L120" s="1269"/>
      <c r="M120" s="1268"/>
      <c r="N120" s="1336"/>
      <c r="O120" s="1268"/>
      <c r="P120" s="1295"/>
      <c r="Q120" s="1268"/>
      <c r="R120" s="1336"/>
      <c r="S120" s="1269"/>
      <c r="T120" s="1268"/>
      <c r="U120" s="1336"/>
      <c r="V120" s="1268"/>
      <c r="W120" s="1295"/>
      <c r="X120" s="1268"/>
      <c r="Y120" s="1336"/>
      <c r="Z120" s="1269"/>
      <c r="AA120" s="1268"/>
      <c r="AB120" s="1336"/>
      <c r="AC120" s="1268"/>
      <c r="AD120" s="1295"/>
      <c r="AE120" s="1268"/>
      <c r="AF120" s="1336"/>
      <c r="AG120" s="1269"/>
      <c r="AH120" s="1270"/>
      <c r="AI120" s="1336"/>
      <c r="AJ120" s="1268"/>
      <c r="AK120" s="1302"/>
      <c r="AL120" s="1268"/>
      <c r="AM120" s="1365"/>
      <c r="AN120" s="1269"/>
      <c r="AO120" s="1268"/>
      <c r="AP120" s="1336"/>
      <c r="AQ120" s="1268"/>
      <c r="AR120" s="1295"/>
      <c r="AS120" s="1268"/>
      <c r="AT120" s="1336"/>
      <c r="AU120" s="1269"/>
      <c r="AV120" s="1266"/>
      <c r="AW120" s="1336"/>
      <c r="AX120" s="1268"/>
      <c r="AY120" s="1295"/>
      <c r="AZ120" s="1266"/>
      <c r="BA120" s="1336"/>
      <c r="BB120" s="1269"/>
      <c r="BC120" s="1266"/>
      <c r="BD120" s="1336"/>
      <c r="BE120" s="1268"/>
      <c r="BF120" s="1295"/>
      <c r="BG120" s="1295"/>
      <c r="BH120" s="1336"/>
      <c r="BI120" s="1269"/>
      <c r="BJ120" s="1266"/>
      <c r="BK120" s="1336"/>
      <c r="BL120" s="1268"/>
      <c r="BM120" s="1295"/>
      <c r="BN120" s="1295"/>
      <c r="BO120" s="1336"/>
      <c r="BP120" s="1269"/>
      <c r="BQ120" s="1266"/>
      <c r="BR120" s="1336"/>
      <c r="BS120" s="1268"/>
      <c r="BT120" s="1295"/>
      <c r="BU120" s="1295"/>
      <c r="BV120" s="1345"/>
      <c r="BW120" s="1354"/>
      <c r="BX120" s="1355"/>
      <c r="BY120" s="1345"/>
      <c r="BZ120" s="1356"/>
      <c r="CA120" s="1357"/>
      <c r="CB120" s="1266"/>
      <c r="CC120" s="1336"/>
      <c r="CD120" s="1269"/>
      <c r="CE120" s="1266"/>
      <c r="CF120" s="1336"/>
      <c r="CG120" s="1268"/>
      <c r="CH120" s="1295"/>
      <c r="CI120" s="1336"/>
      <c r="CJ120" s="1269"/>
      <c r="CK120" s="1266"/>
      <c r="CL120" s="1336"/>
      <c r="CM120" s="1268"/>
      <c r="CN120" s="1295"/>
      <c r="CO120" s="1295"/>
      <c r="CP120" s="1336"/>
      <c r="CQ120" s="1269"/>
      <c r="CR120" s="1266"/>
      <c r="CS120" s="1336"/>
      <c r="CT120" s="1268"/>
      <c r="CU120" s="1295"/>
      <c r="CV120" s="1266"/>
      <c r="CW120" s="1335"/>
      <c r="CX120" s="1266"/>
      <c r="CY120" s="1266"/>
      <c r="CZ120" s="1266"/>
      <c r="DA120" s="1266"/>
      <c r="DB120" s="1335"/>
      <c r="DC120" s="1268"/>
      <c r="DD120" s="1302"/>
      <c r="DE120" s="1266"/>
      <c r="DF120" s="1266"/>
      <c r="DG120" s="1266"/>
      <c r="DH120" s="1266"/>
      <c r="DI120" s="1266"/>
      <c r="DJ120" s="1266"/>
      <c r="DK120" s="1266"/>
      <c r="DL120" s="1266"/>
      <c r="DM120" s="1266"/>
      <c r="DN120" s="1266"/>
      <c r="DO120" s="1266"/>
      <c r="DP120" s="1266"/>
      <c r="DQ120" s="1266"/>
      <c r="DS120" s="1333"/>
      <c r="DT120" s="1333"/>
      <c r="DU120" s="1333"/>
      <c r="DV120" s="1333"/>
      <c r="DW120" s="1333"/>
      <c r="DX120" s="1333"/>
      <c r="DY120" s="1333"/>
      <c r="DZ120" s="1333"/>
      <c r="EA120" s="1333"/>
      <c r="EB120" s="1333"/>
    </row>
    <row r="121" spans="1:137" ht="15" hidden="1" outlineLevel="1">
      <c r="A121" s="1266" t="str">
        <f>$A$17</f>
        <v>1Q</v>
      </c>
      <c r="B121" s="1266" t="str">
        <f>$B$17</f>
        <v>Apr</v>
      </c>
      <c r="C121" s="1328"/>
      <c r="D121" s="1294">
        <f t="shared" ref="D121:E124" si="12">+K121+R121</f>
        <v>1358</v>
      </c>
      <c r="E121" s="1255">
        <f t="shared" si="12"/>
        <v>16</v>
      </c>
      <c r="F121" s="1295">
        <f>+(D121/D113-1)*100</f>
        <v>5.2713178294573559</v>
      </c>
      <c r="G121" s="1296">
        <f>+N121+U121</f>
        <v>41.075000000000003</v>
      </c>
      <c r="H121" s="1297"/>
      <c r="I121" s="1295">
        <f>+(G121/G113-1)*100</f>
        <v>5.2503459232306815</v>
      </c>
      <c r="J121" s="1266"/>
      <c r="K121" s="1300">
        <v>719</v>
      </c>
      <c r="L121" s="1255">
        <f>+K121-K116</f>
        <v>6</v>
      </c>
      <c r="M121" s="1295">
        <f>+(K121/K113-1)*100</f>
        <v>2.5677603423680528</v>
      </c>
      <c r="N121" s="1318">
        <v>21.228999999999999</v>
      </c>
      <c r="O121" s="1297"/>
      <c r="P121" s="1295">
        <f>+(N121/N113-1)*100</f>
        <v>2.4466750313676178</v>
      </c>
      <c r="Q121" s="1299"/>
      <c r="R121" s="1300">
        <v>639</v>
      </c>
      <c r="S121" s="1255">
        <f>+R121-R116</f>
        <v>10</v>
      </c>
      <c r="T121" s="1295">
        <f>+(R121/R113-1)*100</f>
        <v>8.4889643463497357</v>
      </c>
      <c r="U121" s="1318">
        <v>19.846</v>
      </c>
      <c r="V121" s="1297"/>
      <c r="W121" s="1295">
        <f>+(U121/U113-1)*100</f>
        <v>8.4243881118881259</v>
      </c>
      <c r="X121" s="1299"/>
      <c r="Y121" s="1300">
        <v>154</v>
      </c>
      <c r="Z121" s="1255">
        <f>+Y121-Y116</f>
        <v>8</v>
      </c>
      <c r="AA121" s="1295">
        <f>+(Y121/Y113-1)*100</f>
        <v>12.408759124087588</v>
      </c>
      <c r="AB121" s="1318">
        <v>4.3090000000000002</v>
      </c>
      <c r="AC121" s="1297"/>
      <c r="AD121" s="1295">
        <f>+(AB121/AB113-1)*100</f>
        <v>13.215974776668427</v>
      </c>
      <c r="AE121" s="1299"/>
      <c r="AF121" s="1300">
        <v>123</v>
      </c>
      <c r="AG121" s="1255">
        <f>+AF121-AF116</f>
        <v>0</v>
      </c>
      <c r="AH121" s="1295">
        <f>+(AF121/AF113-1)*100</f>
        <v>17.142857142857149</v>
      </c>
      <c r="AI121" s="1318">
        <v>3.2650000000000001</v>
      </c>
      <c r="AJ121" s="1297"/>
      <c r="AK121" s="1295">
        <f>+(AI121/AI113-1)*100</f>
        <v>17.657657657657655</v>
      </c>
      <c r="AL121" s="1299"/>
      <c r="AM121" s="1300">
        <v>146</v>
      </c>
      <c r="AN121" s="1255">
        <f>+AM121-AM116</f>
        <v>4</v>
      </c>
      <c r="AO121" s="1295">
        <f>+(AM121/AM113-1)*100</f>
        <v>16.799999999999994</v>
      </c>
      <c r="AP121" s="1318">
        <v>3.714</v>
      </c>
      <c r="AQ121" s="1297"/>
      <c r="AR121" s="1295">
        <f>+(AP121/AP113-1)*100</f>
        <v>14.594261030546129</v>
      </c>
      <c r="AS121" s="1299"/>
      <c r="AT121" s="1300">
        <v>83</v>
      </c>
      <c r="AU121" s="1255">
        <f>+AT121-AT116</f>
        <v>8</v>
      </c>
      <c r="AV121" s="1295">
        <f>+(AT121/AT113-1)*100</f>
        <v>59.615384615384627</v>
      </c>
      <c r="AW121" s="1318">
        <v>2.1539999999999999</v>
      </c>
      <c r="AX121" s="1297"/>
      <c r="AY121" s="1295">
        <f>+(AW121/AW113-1)*100</f>
        <v>59.437453737971865</v>
      </c>
      <c r="AZ121" s="1299"/>
      <c r="BA121" s="1300">
        <v>19</v>
      </c>
      <c r="BB121" s="1255">
        <f>+BA121-BA116</f>
        <v>4</v>
      </c>
      <c r="BC121" s="1295">
        <f>+(BA121/BA113-1)*100</f>
        <v>72.727272727272734</v>
      </c>
      <c r="BD121" s="1318">
        <v>0.46700000000000003</v>
      </c>
      <c r="BE121" s="1297"/>
      <c r="BF121" s="1295">
        <f>+(BD121/BD113-1)*100</f>
        <v>74.906367041198507</v>
      </c>
      <c r="BG121" s="1295"/>
      <c r="BH121" s="1300"/>
      <c r="BI121" s="1255"/>
      <c r="BJ121" s="1295"/>
      <c r="BK121" s="1296"/>
      <c r="BL121" s="1297"/>
      <c r="BM121" s="1295"/>
      <c r="BN121" s="1295"/>
      <c r="BO121" s="1300"/>
      <c r="BP121" s="1255"/>
      <c r="BQ121" s="1295"/>
      <c r="BR121" s="1296"/>
      <c r="BS121" s="1297"/>
      <c r="BT121" s="1295"/>
      <c r="BU121" s="1295"/>
      <c r="BV121" s="1340"/>
      <c r="BW121" s="1358"/>
      <c r="BX121" s="1357"/>
      <c r="BY121" s="1359"/>
      <c r="BZ121" s="1360"/>
      <c r="CA121" s="1357"/>
      <c r="CB121" s="1299"/>
      <c r="CC121" s="1300"/>
      <c r="CD121" s="1255"/>
      <c r="CE121" s="1295"/>
      <c r="CF121" s="1296"/>
      <c r="CG121" s="1297"/>
      <c r="CH121" s="1295"/>
      <c r="CI121" s="1300"/>
      <c r="CJ121" s="1255"/>
      <c r="CK121" s="1295"/>
      <c r="CL121" s="1296"/>
      <c r="CM121" s="1297"/>
      <c r="CN121" s="1295"/>
      <c r="CO121" s="1295"/>
      <c r="CP121" s="1300"/>
      <c r="CQ121" s="1255"/>
      <c r="CR121" s="1295"/>
      <c r="CS121" s="1296"/>
      <c r="CT121" s="1297"/>
      <c r="CU121" s="1295"/>
      <c r="CV121" s="1299"/>
      <c r="CW121" s="1306">
        <f>+D121+Y121+AF121+AM121+AT121+BA121</f>
        <v>1883</v>
      </c>
      <c r="CX121" s="1307">
        <f>+CW121-CW116</f>
        <v>40</v>
      </c>
      <c r="CY121" s="1295">
        <f>+(CW121/CW113-1)*100</f>
        <v>9.4767441860465151</v>
      </c>
      <c r="CZ121" s="1297"/>
      <c r="DA121" s="1297"/>
      <c r="DB121" s="1296">
        <f>+G121+AB121+AI121+AP121+AW121+BD121+CF121</f>
        <v>54.983999999999995</v>
      </c>
      <c r="DC121" s="1297"/>
      <c r="DD121" s="1295">
        <f>+(DB121/DB113-1)*100</f>
        <v>8.9525621210319919</v>
      </c>
      <c r="DE121" s="1266"/>
      <c r="DF121" s="1350">
        <f>+D121/$CW121</f>
        <v>0.72118959107806691</v>
      </c>
      <c r="DG121" s="1351"/>
      <c r="DH121" s="1351"/>
      <c r="DI121" s="1350">
        <f>+Y121/$CW121</f>
        <v>8.1784386617100371E-2</v>
      </c>
      <c r="DJ121" s="1350">
        <f>+AF121/CW121</f>
        <v>6.5321295804567178E-2</v>
      </c>
      <c r="DK121" s="1350">
        <f>+AM121/CW121</f>
        <v>7.7535847052575671E-2</v>
      </c>
      <c r="DL121" s="1350">
        <f>+AT121/CW121</f>
        <v>4.4078597981943704E-2</v>
      </c>
      <c r="DM121" s="1350">
        <f>+BA121/$CW121</f>
        <v>1.009028146574615E-2</v>
      </c>
      <c r="DN121" s="1350"/>
      <c r="DO121" s="1350">
        <f t="shared" ref="DO121:DQ125" si="13">+BB121/$CW121</f>
        <v>2.1242697822623472E-3</v>
      </c>
      <c r="DP121" s="1350">
        <f t="shared" si="13"/>
        <v>3.8623086950224497E-2</v>
      </c>
      <c r="DQ121" s="1350">
        <f t="shared" si="13"/>
        <v>2.4800849707912908E-4</v>
      </c>
      <c r="DS121" s="1333">
        <f t="shared" si="0"/>
        <v>6</v>
      </c>
      <c r="DT121" s="1333">
        <f t="shared" si="1"/>
        <v>10</v>
      </c>
      <c r="DU121" s="1333">
        <f t="shared" si="2"/>
        <v>8</v>
      </c>
      <c r="DV121" s="1333">
        <f t="shared" si="3"/>
        <v>0</v>
      </c>
      <c r="DW121" s="1333">
        <f t="shared" si="4"/>
        <v>4</v>
      </c>
      <c r="DX121" s="1333">
        <f t="shared" si="5"/>
        <v>8</v>
      </c>
      <c r="DY121" s="1333">
        <f t="shared" si="6"/>
        <v>4</v>
      </c>
      <c r="DZ121" s="1333">
        <f t="shared" si="7"/>
        <v>0</v>
      </c>
      <c r="EA121" s="1333">
        <f t="shared" si="8"/>
        <v>0</v>
      </c>
      <c r="EB121" s="1333">
        <f t="shared" si="9"/>
        <v>0</v>
      </c>
      <c r="ED121" s="451">
        <f>-(SUMIF(DS121:EB121,"&lt;0"))</f>
        <v>0</v>
      </c>
      <c r="EE121" s="451">
        <f>(SUMIF(DS121:EB121,"&gt;0"))</f>
        <v>40</v>
      </c>
      <c r="EF121" s="451">
        <f>+EE121-ED121</f>
        <v>40</v>
      </c>
      <c r="EG121" s="1333">
        <f>+EF121-CX121</f>
        <v>0</v>
      </c>
    </row>
    <row r="122" spans="1:137" ht="15" hidden="1" outlineLevel="1">
      <c r="A122" s="1266" t="str">
        <f>$A$18</f>
        <v>2Q</v>
      </c>
      <c r="B122" s="1266" t="str">
        <f>$B$18</f>
        <v>Jul</v>
      </c>
      <c r="C122" s="1328"/>
      <c r="D122" s="1294">
        <f t="shared" si="12"/>
        <v>1376</v>
      </c>
      <c r="E122" s="1255">
        <f t="shared" si="12"/>
        <v>18</v>
      </c>
      <c r="F122" s="1295">
        <f>+(D122/D114-1)*100</f>
        <v>5.7647963105303512</v>
      </c>
      <c r="G122" s="1296">
        <f>+N122+U122</f>
        <v>41.625</v>
      </c>
      <c r="H122" s="1297"/>
      <c r="I122" s="1295">
        <f>+(G122/G114-1)*100</f>
        <v>5.7895138129971713</v>
      </c>
      <c r="J122" s="1309"/>
      <c r="K122" s="1300">
        <v>727</v>
      </c>
      <c r="L122" s="1255">
        <f>+K122-K121</f>
        <v>8</v>
      </c>
      <c r="M122" s="1295">
        <f>+(K122/K114-1)*100</f>
        <v>3.7089871611982961</v>
      </c>
      <c r="N122" s="1318">
        <v>21.463000000000001</v>
      </c>
      <c r="O122" s="1297"/>
      <c r="P122" s="1295">
        <f>+(N122/N114-1)*100</f>
        <v>3.5609167671893927</v>
      </c>
      <c r="Q122" s="1299"/>
      <c r="R122" s="1300">
        <v>649</v>
      </c>
      <c r="S122" s="1255">
        <f>+R122-R121</f>
        <v>10</v>
      </c>
      <c r="T122" s="1295">
        <f>+(R122/R114-1)*100</f>
        <v>8.1666666666666785</v>
      </c>
      <c r="U122" s="1318">
        <v>20.161999999999999</v>
      </c>
      <c r="V122" s="1297"/>
      <c r="W122" s="1295">
        <f>+(U122/U114-1)*100</f>
        <v>8.2697884222961981</v>
      </c>
      <c r="X122" s="1299"/>
      <c r="Y122" s="1300">
        <v>154</v>
      </c>
      <c r="Z122" s="1255">
        <f>+Y122-Y121</f>
        <v>0</v>
      </c>
      <c r="AA122" s="1295">
        <f>+(Y122/Y114-1)*100</f>
        <v>12.408759124087588</v>
      </c>
      <c r="AB122" s="1318">
        <v>4.3090000000000002</v>
      </c>
      <c r="AC122" s="1297"/>
      <c r="AD122" s="1295">
        <f>+(AB122/AB114-1)*100</f>
        <v>13.215974776668427</v>
      </c>
      <c r="AE122" s="1299"/>
      <c r="AF122" s="1300">
        <v>132</v>
      </c>
      <c r="AG122" s="1255">
        <f>+AF122-AF121</f>
        <v>9</v>
      </c>
      <c r="AH122" s="1295">
        <f>+(AF122/AF114-1)*100</f>
        <v>16.814159292035402</v>
      </c>
      <c r="AI122" s="1318">
        <v>3.5259999999999998</v>
      </c>
      <c r="AJ122" s="1297"/>
      <c r="AK122" s="1295">
        <f>+(AI122/AI114-1)*100</f>
        <v>18.005354752342704</v>
      </c>
      <c r="AL122" s="1299"/>
      <c r="AM122" s="1300">
        <v>160</v>
      </c>
      <c r="AN122" s="1255">
        <f>+AM122-AM121</f>
        <v>14</v>
      </c>
      <c r="AO122" s="1295">
        <f>+(AM122/AM114-1)*100</f>
        <v>21.212121212121215</v>
      </c>
      <c r="AP122" s="1318">
        <v>4.0270000000000001</v>
      </c>
      <c r="AQ122" s="1297"/>
      <c r="AR122" s="1295">
        <f>+(AP122/AP114-1)*100</f>
        <v>19.922572960095298</v>
      </c>
      <c r="AS122" s="1299"/>
      <c r="AT122" s="1300">
        <v>84</v>
      </c>
      <c r="AU122" s="1255">
        <f>+AT122-AT121</f>
        <v>1</v>
      </c>
      <c r="AV122" s="1295">
        <f>+(AT122/AT114-1)*100</f>
        <v>52.727272727272734</v>
      </c>
      <c r="AW122" s="1318">
        <v>2.1749999999999998</v>
      </c>
      <c r="AX122" s="1297"/>
      <c r="AY122" s="1295">
        <f>+(AW122/AW114-1)*100</f>
        <v>50</v>
      </c>
      <c r="AZ122" s="1299"/>
      <c r="BA122" s="1300">
        <v>21</v>
      </c>
      <c r="BB122" s="1255">
        <f>+BA122-BA121</f>
        <v>2</v>
      </c>
      <c r="BC122" s="1295">
        <f>+(BA122/BA114-1)*100</f>
        <v>90.909090909090921</v>
      </c>
      <c r="BD122" s="1318">
        <v>0.51600000000000001</v>
      </c>
      <c r="BE122" s="1297"/>
      <c r="BF122" s="1295">
        <f>+(BD122/BD114-1)*100</f>
        <v>93.25842696629212</v>
      </c>
      <c r="BG122" s="1295"/>
      <c r="BH122" s="1300"/>
      <c r="BI122" s="1255"/>
      <c r="BJ122" s="1295"/>
      <c r="BK122" s="1296"/>
      <c r="BL122" s="1297"/>
      <c r="BM122" s="1295"/>
      <c r="BN122" s="1295"/>
      <c r="BO122" s="1300"/>
      <c r="BP122" s="1255"/>
      <c r="BQ122" s="1295"/>
      <c r="BR122" s="1296"/>
      <c r="BS122" s="1297"/>
      <c r="BT122" s="1295"/>
      <c r="BU122" s="1295"/>
      <c r="BV122" s="1340"/>
      <c r="BW122" s="1358"/>
      <c r="BX122" s="1357"/>
      <c r="BY122" s="1359"/>
      <c r="BZ122" s="1360"/>
      <c r="CA122" s="1357"/>
      <c r="CB122" s="1299"/>
      <c r="CC122" s="1300"/>
      <c r="CD122" s="1255"/>
      <c r="CE122" s="1295"/>
      <c r="CF122" s="1296"/>
      <c r="CG122" s="1297"/>
      <c r="CH122" s="1295"/>
      <c r="CI122" s="1300"/>
      <c r="CJ122" s="1255"/>
      <c r="CK122" s="1295"/>
      <c r="CL122" s="1296"/>
      <c r="CM122" s="1297"/>
      <c r="CN122" s="1295"/>
      <c r="CO122" s="1295"/>
      <c r="CP122" s="1300"/>
      <c r="CQ122" s="1255"/>
      <c r="CR122" s="1295"/>
      <c r="CS122" s="1296"/>
      <c r="CT122" s="1297"/>
      <c r="CU122" s="1295"/>
      <c r="CV122" s="1299"/>
      <c r="CW122" s="1306">
        <f>+D122+Y122+AF122+AM122+AT122+BA122</f>
        <v>1927</v>
      </c>
      <c r="CX122" s="1307">
        <f>+CW122-CW121</f>
        <v>44</v>
      </c>
      <c r="CY122" s="1295">
        <f>+(CW122/CW114-1)*100</f>
        <v>10.177244139508289</v>
      </c>
      <c r="CZ122" s="1297"/>
      <c r="DA122" s="1297"/>
      <c r="DB122" s="1296">
        <f>+G122+AB122+AI122+AP122+AW122+BD122+CF122</f>
        <v>56.17799999999999</v>
      </c>
      <c r="DC122" s="1297"/>
      <c r="DD122" s="1295">
        <f>+(DB122/DB114-1)*100</f>
        <v>9.6883786316775744</v>
      </c>
      <c r="DE122" s="1266"/>
      <c r="DF122" s="1350">
        <f>+D122/$CW122</f>
        <v>0.71406331084587438</v>
      </c>
      <c r="DG122" s="1351"/>
      <c r="DH122" s="1351"/>
      <c r="DI122" s="1350">
        <f>+Y122/$CW122</f>
        <v>7.9916969382459777E-2</v>
      </c>
      <c r="DJ122" s="1350">
        <f>+AF122/CW122</f>
        <v>6.8500259470679808E-2</v>
      </c>
      <c r="DK122" s="1350">
        <f>+AM122/CW122</f>
        <v>8.3030617540217955E-2</v>
      </c>
      <c r="DL122" s="1350">
        <f>+AT122/CW122</f>
        <v>4.3591074208614425E-2</v>
      </c>
      <c r="DM122" s="1350">
        <f>+BA122/$CW122</f>
        <v>1.0897768552153606E-2</v>
      </c>
      <c r="DN122" s="1350"/>
      <c r="DO122" s="1350">
        <f t="shared" si="13"/>
        <v>1.0378827192527244E-3</v>
      </c>
      <c r="DP122" s="1350">
        <f t="shared" si="13"/>
        <v>4.7176487238760209E-2</v>
      </c>
      <c r="DQ122" s="1350">
        <f t="shared" si="13"/>
        <v>2.6777374156720289E-4</v>
      </c>
      <c r="DS122" s="1333">
        <f t="shared" si="0"/>
        <v>8</v>
      </c>
      <c r="DT122" s="1333">
        <f t="shared" si="1"/>
        <v>10</v>
      </c>
      <c r="DU122" s="1333">
        <f t="shared" si="2"/>
        <v>0</v>
      </c>
      <c r="DV122" s="1333">
        <f t="shared" si="3"/>
        <v>9</v>
      </c>
      <c r="DW122" s="1333">
        <f t="shared" si="4"/>
        <v>14</v>
      </c>
      <c r="DX122" s="1333">
        <f t="shared" si="5"/>
        <v>1</v>
      </c>
      <c r="DY122" s="1333">
        <f t="shared" si="6"/>
        <v>2</v>
      </c>
      <c r="DZ122" s="1333">
        <f t="shared" si="7"/>
        <v>0</v>
      </c>
      <c r="EA122" s="1333">
        <f t="shared" si="8"/>
        <v>0</v>
      </c>
      <c r="EB122" s="1333">
        <f t="shared" si="9"/>
        <v>0</v>
      </c>
      <c r="ED122" s="451">
        <f>-(SUMIF(DS122:EB122,"&lt;0"))</f>
        <v>0</v>
      </c>
      <c r="EE122" s="451">
        <f>(SUMIF(DS122:EB122,"&gt;0"))</f>
        <v>44</v>
      </c>
      <c r="EF122" s="451">
        <f>+EE122-ED122</f>
        <v>44</v>
      </c>
      <c r="EG122" s="1333">
        <f>+EF122-CX122</f>
        <v>0</v>
      </c>
    </row>
    <row r="123" spans="1:137" ht="15" hidden="1" outlineLevel="1">
      <c r="A123" s="1266" t="str">
        <f>$A$19</f>
        <v>3Q</v>
      </c>
      <c r="B123" s="1266" t="str">
        <f>$B$19</f>
        <v>Oct</v>
      </c>
      <c r="C123" s="1328"/>
      <c r="D123" s="1294">
        <f t="shared" si="12"/>
        <v>1408</v>
      </c>
      <c r="E123" s="1255">
        <f t="shared" si="12"/>
        <v>32</v>
      </c>
      <c r="F123" s="1295">
        <f>+(D123/D115-1)*100</f>
        <v>5.153099327856614</v>
      </c>
      <c r="G123" s="1296">
        <f>+N123+U123</f>
        <v>42.613</v>
      </c>
      <c r="H123" s="1297"/>
      <c r="I123" s="1295">
        <f>+(G123/G115-1)*100</f>
        <v>4.9607133180620044</v>
      </c>
      <c r="J123" s="1266"/>
      <c r="K123" s="1300">
        <v>744</v>
      </c>
      <c r="L123" s="1255">
        <f>+K123-K122</f>
        <v>17</v>
      </c>
      <c r="M123" s="1295">
        <f>+(K123/K115-1)*100</f>
        <v>4.2016806722689148</v>
      </c>
      <c r="N123" s="1318">
        <v>21.963000000000001</v>
      </c>
      <c r="O123" s="1297"/>
      <c r="P123" s="1295">
        <f>+(N123/N115-1)*100</f>
        <v>3.8832655377920799</v>
      </c>
      <c r="Q123" s="1299"/>
      <c r="R123" s="1300">
        <v>664</v>
      </c>
      <c r="S123" s="1255">
        <f>+R123-R122</f>
        <v>15</v>
      </c>
      <c r="T123" s="1295">
        <f>+(R123/R115-1)*100</f>
        <v>6.2400000000000011</v>
      </c>
      <c r="U123" s="1318">
        <v>20.65</v>
      </c>
      <c r="V123" s="1297"/>
      <c r="W123" s="1295">
        <f>+(U123/U115-1)*100</f>
        <v>6.1314693940484055</v>
      </c>
      <c r="X123" s="1299"/>
      <c r="Y123" s="1300">
        <v>159</v>
      </c>
      <c r="Z123" s="1255">
        <f>+Y123-Y122</f>
        <v>5</v>
      </c>
      <c r="AA123" s="1295">
        <f>+(Y123/Y115-1)*100</f>
        <v>9.6551724137930997</v>
      </c>
      <c r="AB123" s="1318">
        <v>4.4770000000000003</v>
      </c>
      <c r="AC123" s="1297"/>
      <c r="AD123" s="1295">
        <f>+(AB123/AB115-1)*100</f>
        <v>10.434139121854958</v>
      </c>
      <c r="AE123" s="1299"/>
      <c r="AF123" s="1300">
        <v>143</v>
      </c>
      <c r="AG123" s="1255">
        <f>+AF123-AF122</f>
        <v>11</v>
      </c>
      <c r="AH123" s="1295">
        <f>+(AF123/AF115-1)*100</f>
        <v>19.166666666666664</v>
      </c>
      <c r="AI123" s="1318">
        <v>3.8460000000000001</v>
      </c>
      <c r="AJ123" s="1297"/>
      <c r="AK123" s="1295">
        <f>+(AI123/AI115-1)*100</f>
        <v>21.516587677725131</v>
      </c>
      <c r="AL123" s="1299"/>
      <c r="AM123" s="1300">
        <v>175</v>
      </c>
      <c r="AN123" s="1255">
        <f>+AM123-AM122</f>
        <v>15</v>
      </c>
      <c r="AO123" s="1295">
        <f>+(AM123/AM115-1)*100</f>
        <v>25.899280575539564</v>
      </c>
      <c r="AP123" s="1318">
        <v>4.3849999999999998</v>
      </c>
      <c r="AQ123" s="1297"/>
      <c r="AR123" s="1295">
        <f>+(AP123/AP115-1)*100</f>
        <v>23.660462492949797</v>
      </c>
      <c r="AS123" s="1299"/>
      <c r="AT123" s="1300">
        <v>95</v>
      </c>
      <c r="AU123" s="1255">
        <f>+AT123-AT122</f>
        <v>11</v>
      </c>
      <c r="AV123" s="1295">
        <f>+(AT123/AT115-1)*100</f>
        <v>39.705882352941167</v>
      </c>
      <c r="AW123" s="1318">
        <v>2.4460000000000002</v>
      </c>
      <c r="AX123" s="1297"/>
      <c r="AY123" s="1295">
        <f>+(AW123/AW115-1)*100</f>
        <v>39.29384965831435</v>
      </c>
      <c r="AZ123" s="1299"/>
      <c r="BA123" s="1300">
        <v>24</v>
      </c>
      <c r="BB123" s="1255">
        <f>+BA123-BA122</f>
        <v>3</v>
      </c>
      <c r="BC123" s="1295">
        <f>+(BA123/BA115-1)*100</f>
        <v>60.000000000000007</v>
      </c>
      <c r="BD123" s="1318">
        <v>0.59099999999999997</v>
      </c>
      <c r="BE123" s="1297"/>
      <c r="BF123" s="1295">
        <f>+(BD123/BD115-1)*100</f>
        <v>59.729729729729719</v>
      </c>
      <c r="BG123" s="1295"/>
      <c r="BH123" s="1300"/>
      <c r="BI123" s="1255"/>
      <c r="BJ123" s="1295"/>
      <c r="BK123" s="1296"/>
      <c r="BL123" s="1297"/>
      <c r="BM123" s="1295"/>
      <c r="BN123" s="1295"/>
      <c r="BO123" s="1300"/>
      <c r="BP123" s="1255"/>
      <c r="BQ123" s="1295"/>
      <c r="BR123" s="1296"/>
      <c r="BS123" s="1297"/>
      <c r="BT123" s="1295"/>
      <c r="BU123" s="1295"/>
      <c r="BV123" s="1340"/>
      <c r="BW123" s="1358"/>
      <c r="BX123" s="1357"/>
      <c r="BY123" s="1359"/>
      <c r="BZ123" s="1360"/>
      <c r="CA123" s="1357"/>
      <c r="CB123" s="1299"/>
      <c r="CC123" s="1300"/>
      <c r="CD123" s="1255"/>
      <c r="CE123" s="1295"/>
      <c r="CF123" s="1296"/>
      <c r="CG123" s="1297"/>
      <c r="CH123" s="1295"/>
      <c r="CI123" s="1300"/>
      <c r="CJ123" s="1255"/>
      <c r="CK123" s="1295"/>
      <c r="CL123" s="1296"/>
      <c r="CM123" s="1297"/>
      <c r="CN123" s="1295"/>
      <c r="CO123" s="1295"/>
      <c r="CP123" s="1300"/>
      <c r="CQ123" s="1255"/>
      <c r="CR123" s="1295"/>
      <c r="CS123" s="1296"/>
      <c r="CT123" s="1297"/>
      <c r="CU123" s="1295"/>
      <c r="CV123" s="1299"/>
      <c r="CW123" s="1306">
        <f>+D123+Y123+AF123+AM123+AT123+BA123</f>
        <v>2004</v>
      </c>
      <c r="CX123" s="1307">
        <f>+CW123-CW122</f>
        <v>77</v>
      </c>
      <c r="CY123" s="1295">
        <f>+(CW123/CW115-1)*100</f>
        <v>9.7480832420591348</v>
      </c>
      <c r="CZ123" s="1297"/>
      <c r="DA123" s="1297"/>
      <c r="DB123" s="1296">
        <f>+G123+AB123+AI123+AP123+AW123+BD123+CF123</f>
        <v>58.358000000000004</v>
      </c>
      <c r="DC123" s="1297"/>
      <c r="DD123" s="1295">
        <f>+(DB123/DB115-1)*100</f>
        <v>9.1007664984109162</v>
      </c>
      <c r="DE123" s="1266"/>
      <c r="DF123" s="1350">
        <f>+D123/$CW123</f>
        <v>0.70259481037924154</v>
      </c>
      <c r="DG123" s="1351"/>
      <c r="DH123" s="1351"/>
      <c r="DI123" s="1350">
        <f>+Y123/$CW123</f>
        <v>7.9341317365269462E-2</v>
      </c>
      <c r="DJ123" s="1350">
        <f>+AF123/CW123</f>
        <v>7.1357285429141715E-2</v>
      </c>
      <c r="DK123" s="1350">
        <f>+AM123/CW123</f>
        <v>8.7325349301397209E-2</v>
      </c>
      <c r="DL123" s="1350">
        <f>+AT123/CW123</f>
        <v>4.740518962075848E-2</v>
      </c>
      <c r="DM123" s="1350">
        <f>+BA123/$CW123</f>
        <v>1.1976047904191617E-2</v>
      </c>
      <c r="DN123" s="1350"/>
      <c r="DO123" s="1350">
        <f t="shared" si="13"/>
        <v>1.4970059880239522E-3</v>
      </c>
      <c r="DP123" s="1350">
        <f t="shared" si="13"/>
        <v>2.9940119760479045E-2</v>
      </c>
      <c r="DQ123" s="1350">
        <f t="shared" si="13"/>
        <v>2.9491017964071854E-4</v>
      </c>
      <c r="DS123" s="1333">
        <f t="shared" si="0"/>
        <v>17</v>
      </c>
      <c r="DT123" s="1333">
        <f t="shared" si="1"/>
        <v>15</v>
      </c>
      <c r="DU123" s="1333">
        <f t="shared" si="2"/>
        <v>5</v>
      </c>
      <c r="DV123" s="1333">
        <f t="shared" si="3"/>
        <v>11</v>
      </c>
      <c r="DW123" s="1333">
        <f t="shared" si="4"/>
        <v>15</v>
      </c>
      <c r="DX123" s="1333">
        <f t="shared" si="5"/>
        <v>11</v>
      </c>
      <c r="DY123" s="1333">
        <f t="shared" si="6"/>
        <v>3</v>
      </c>
      <c r="DZ123" s="1333">
        <f t="shared" si="7"/>
        <v>0</v>
      </c>
      <c r="EA123" s="1333">
        <f t="shared" si="8"/>
        <v>0</v>
      </c>
      <c r="EB123" s="1333">
        <f t="shared" si="9"/>
        <v>0</v>
      </c>
      <c r="ED123" s="451">
        <f>-(SUMIF(DS123:EB123,"&lt;0"))</f>
        <v>0</v>
      </c>
      <c r="EE123" s="451">
        <f>(SUMIF(DS123:EB123,"&gt;0"))</f>
        <v>77</v>
      </c>
      <c r="EF123" s="451">
        <f>+EE123-ED123</f>
        <v>77</v>
      </c>
      <c r="EG123" s="1333">
        <f>+EF123-CX123</f>
        <v>0</v>
      </c>
    </row>
    <row r="124" spans="1:137" ht="15" hidden="1" outlineLevel="1">
      <c r="A124" s="1266" t="str">
        <f>$A$20</f>
        <v>4Q</v>
      </c>
      <c r="B124" s="1266" t="str">
        <f>$B$20</f>
        <v>Jan</v>
      </c>
      <c r="C124" s="1266"/>
      <c r="D124" s="1312">
        <f t="shared" si="12"/>
        <v>1418</v>
      </c>
      <c r="E124" s="1255">
        <f t="shared" si="12"/>
        <v>10</v>
      </c>
      <c r="F124" s="1295">
        <f>+(D124/D116-1)*100</f>
        <v>5.663189269746649</v>
      </c>
      <c r="G124" s="1313">
        <f>+N124+U124</f>
        <v>42.9</v>
      </c>
      <c r="H124" s="1297"/>
      <c r="I124" s="1295">
        <f>+(G124/G116-1)*100</f>
        <v>5.730129390018468</v>
      </c>
      <c r="J124" s="1266"/>
      <c r="K124" s="1314">
        <v>745</v>
      </c>
      <c r="L124" s="1255">
        <f>+K124-K123</f>
        <v>1</v>
      </c>
      <c r="M124" s="1295">
        <f>+(K124/K116-1)*100</f>
        <v>4.4880785413744739</v>
      </c>
      <c r="N124" s="1334">
        <v>21.97</v>
      </c>
      <c r="O124" s="1297"/>
      <c r="P124" s="1295">
        <f>+(N124/N116-1)*100</f>
        <v>4.2962259672442382</v>
      </c>
      <c r="Q124" s="1299"/>
      <c r="R124" s="1314">
        <v>673</v>
      </c>
      <c r="S124" s="1255">
        <f>+R124-R123</f>
        <v>9</v>
      </c>
      <c r="T124" s="1295">
        <f>+(R124/R116-1)*100</f>
        <v>6.9952305246422819</v>
      </c>
      <c r="U124" s="1334">
        <v>20.93</v>
      </c>
      <c r="V124" s="1297"/>
      <c r="W124" s="1295">
        <f>+(U124/U116-1)*100</f>
        <v>7.2783188108662022</v>
      </c>
      <c r="X124" s="1299"/>
      <c r="Y124" s="1314">
        <v>160</v>
      </c>
      <c r="Z124" s="1255">
        <f>+Y124-Y123</f>
        <v>1</v>
      </c>
      <c r="AA124" s="1295">
        <f>+(Y124/Y116-1)*100</f>
        <v>9.5890410958904049</v>
      </c>
      <c r="AB124" s="1334">
        <v>4.508</v>
      </c>
      <c r="AC124" s="1297"/>
      <c r="AD124" s="1295">
        <f>+(AB124/AB116-1)*100</f>
        <v>10.517283647952947</v>
      </c>
      <c r="AE124" s="1299"/>
      <c r="AF124" s="1314">
        <v>147</v>
      </c>
      <c r="AG124" s="1255">
        <f>+AF124-AF123</f>
        <v>4</v>
      </c>
      <c r="AH124" s="1295">
        <f>+(AF124/AF116-1)*100</f>
        <v>19.512195121951216</v>
      </c>
      <c r="AI124" s="1334">
        <v>3.9590000000000001</v>
      </c>
      <c r="AJ124" s="1297"/>
      <c r="AK124" s="1295">
        <f>+(AI124/AI116-1)*100</f>
        <v>21.852877808556471</v>
      </c>
      <c r="AL124" s="1299"/>
      <c r="AM124" s="1314">
        <v>182</v>
      </c>
      <c r="AN124" s="1255">
        <f>+AM124-AM123</f>
        <v>7</v>
      </c>
      <c r="AO124" s="1295">
        <f>+(AM124/AM116-1)*100</f>
        <v>28.169014084507047</v>
      </c>
      <c r="AP124" s="1334">
        <v>4.5590000000000002</v>
      </c>
      <c r="AQ124" s="1297"/>
      <c r="AR124" s="1295">
        <f>+(AP124/AP116-1)*100</f>
        <v>26.253115480476332</v>
      </c>
      <c r="AS124" s="1299"/>
      <c r="AT124" s="1314">
        <v>99</v>
      </c>
      <c r="AU124" s="1255">
        <f>+AT124-AT123</f>
        <v>4</v>
      </c>
      <c r="AV124" s="1295">
        <f>+(AT124/AT116-1)*100</f>
        <v>32.000000000000007</v>
      </c>
      <c r="AW124" s="1334">
        <v>2.5390000000000001</v>
      </c>
      <c r="AX124" s="1297"/>
      <c r="AY124" s="1295">
        <f>+(AW124/AW116-1)*100</f>
        <v>30.741503604531427</v>
      </c>
      <c r="AZ124" s="1299"/>
      <c r="BA124" s="1314">
        <v>25</v>
      </c>
      <c r="BB124" s="1255">
        <f>+BA124-BA123</f>
        <v>1</v>
      </c>
      <c r="BC124" s="1295">
        <f>+(BA124/BA116-1)*100</f>
        <v>66.666666666666671</v>
      </c>
      <c r="BD124" s="1334">
        <v>0.61199999999999999</v>
      </c>
      <c r="BE124" s="1297"/>
      <c r="BF124" s="1295">
        <f>+(BD124/BD116-1)*100</f>
        <v>65.405405405405403</v>
      </c>
      <c r="BG124" s="1295"/>
      <c r="BH124" s="1314"/>
      <c r="BI124" s="1255"/>
      <c r="BJ124" s="1295"/>
      <c r="BK124" s="1334"/>
      <c r="BL124" s="1297"/>
      <c r="BM124" s="1295"/>
      <c r="BN124" s="1295"/>
      <c r="BO124" s="1314"/>
      <c r="BP124" s="1255"/>
      <c r="BQ124" s="1295"/>
      <c r="BR124" s="1334"/>
      <c r="BS124" s="1297"/>
      <c r="BT124" s="1295"/>
      <c r="BU124" s="1295"/>
      <c r="BV124" s="1361"/>
      <c r="BW124" s="1358"/>
      <c r="BX124" s="1357"/>
      <c r="BY124" s="1362"/>
      <c r="BZ124" s="1360"/>
      <c r="CA124" s="1357"/>
      <c r="CB124" s="1299"/>
      <c r="CC124" s="1314">
        <v>31</v>
      </c>
      <c r="CD124" s="1255"/>
      <c r="CE124" s="1295"/>
      <c r="CF124" s="1334">
        <v>1.413</v>
      </c>
      <c r="CG124" s="1297"/>
      <c r="CH124" s="1295"/>
      <c r="CI124" s="1314"/>
      <c r="CJ124" s="1255"/>
      <c r="CK124" s="1295"/>
      <c r="CL124" s="1334"/>
      <c r="CM124" s="1297"/>
      <c r="CN124" s="1295"/>
      <c r="CO124" s="1295"/>
      <c r="CP124" s="1314"/>
      <c r="CQ124" s="1255"/>
      <c r="CR124" s="1295"/>
      <c r="CS124" s="1334"/>
      <c r="CT124" s="1297"/>
      <c r="CU124" s="1295"/>
      <c r="CV124" s="1299"/>
      <c r="CW124" s="1312">
        <f>+D124+Y124+AF124+AM124+AT124+BA124+CC124</f>
        <v>2062</v>
      </c>
      <c r="CX124" s="1307">
        <f>+CW124-CW123</f>
        <v>58</v>
      </c>
      <c r="CY124" s="1295">
        <f>+(CW124/CW116-1)*100</f>
        <v>11.882799782962561</v>
      </c>
      <c r="CZ124" s="1297"/>
      <c r="DA124" s="1297"/>
      <c r="DB124" s="1313">
        <f>+G124+AB124+AI124+AP124+AW124+BD124+CF124</f>
        <v>60.49</v>
      </c>
      <c r="DC124" s="1297"/>
      <c r="DD124" s="1295">
        <f>+(DB124/DB116-1)*100</f>
        <v>12.380633894400471</v>
      </c>
      <c r="DE124" s="1266"/>
      <c r="DF124" s="1350">
        <f>+D124/$CW124</f>
        <v>0.68768186226964112</v>
      </c>
      <c r="DG124" s="1351"/>
      <c r="DH124" s="1351"/>
      <c r="DI124" s="1350">
        <f>+Y124/$CW124</f>
        <v>7.7594568380213391E-2</v>
      </c>
      <c r="DJ124" s="1350">
        <f>+AF124/CW124</f>
        <v>7.1290009699321047E-2</v>
      </c>
      <c r="DK124" s="1350">
        <f>+AM124/CW124</f>
        <v>8.8263821532492723E-2</v>
      </c>
      <c r="DL124" s="1350">
        <f>+AT124/CW124</f>
        <v>4.8011639185257034E-2</v>
      </c>
      <c r="DM124" s="1350">
        <f>+BA124/$CW124</f>
        <v>1.2124151309408341E-2</v>
      </c>
      <c r="DN124" s="1350"/>
      <c r="DO124" s="1350">
        <f t="shared" si="13"/>
        <v>4.8496605237633366E-4</v>
      </c>
      <c r="DP124" s="1350">
        <f t="shared" si="13"/>
        <v>3.2331070158422244E-2</v>
      </c>
      <c r="DQ124" s="1350">
        <f t="shared" si="13"/>
        <v>2.9679922405431621E-4</v>
      </c>
      <c r="DS124" s="1333">
        <f t="shared" si="0"/>
        <v>1</v>
      </c>
      <c r="DT124" s="1333">
        <f t="shared" si="1"/>
        <v>9</v>
      </c>
      <c r="DU124" s="1333">
        <f t="shared" si="2"/>
        <v>1</v>
      </c>
      <c r="DV124" s="1333">
        <f t="shared" si="3"/>
        <v>4</v>
      </c>
      <c r="DW124" s="1333">
        <f t="shared" si="4"/>
        <v>7</v>
      </c>
      <c r="DX124" s="1333">
        <f t="shared" si="5"/>
        <v>4</v>
      </c>
      <c r="DY124" s="1333">
        <f t="shared" si="6"/>
        <v>1</v>
      </c>
      <c r="DZ124" s="1333">
        <f t="shared" si="7"/>
        <v>0</v>
      </c>
      <c r="EA124" s="1333">
        <f t="shared" si="8"/>
        <v>0</v>
      </c>
      <c r="EB124" s="1333">
        <f t="shared" si="9"/>
        <v>0</v>
      </c>
      <c r="ED124" s="451">
        <f>-(SUMIF(DS124:EB124,"&lt;0"))</f>
        <v>0</v>
      </c>
      <c r="EE124" s="451">
        <f>(SUMIF(DS124:EB124,"&gt;0"))</f>
        <v>27</v>
      </c>
      <c r="EF124" s="451">
        <f>+EE124-ED124</f>
        <v>27</v>
      </c>
      <c r="EG124" s="1333">
        <f>+EF124-CX124</f>
        <v>-31</v>
      </c>
    </row>
    <row r="125" spans="1:137" ht="15" hidden="1" outlineLevel="1">
      <c r="A125" s="1266"/>
      <c r="B125" s="1266" t="str">
        <f>$B$21</f>
        <v>Year</v>
      </c>
      <c r="C125" s="1266"/>
      <c r="D125" s="1306">
        <f>+D124</f>
        <v>1418</v>
      </c>
      <c r="E125" s="1317">
        <f>+D125-D117</f>
        <v>76</v>
      </c>
      <c r="F125" s="1295">
        <f>+(D125/D117-1)*100</f>
        <v>5.663189269746649</v>
      </c>
      <c r="G125" s="1296">
        <f>+N125+U125</f>
        <v>42.9</v>
      </c>
      <c r="H125" s="1297">
        <f>+G125/D125*1000</f>
        <v>30.253878702397742</v>
      </c>
      <c r="I125" s="1295">
        <f>+(G125/G117-1)*100</f>
        <v>5.730129390018468</v>
      </c>
      <c r="J125" s="1266"/>
      <c r="K125" s="1306">
        <f>+K124</f>
        <v>745</v>
      </c>
      <c r="L125" s="1317">
        <f>+K124-K116</f>
        <v>32</v>
      </c>
      <c r="M125" s="1295">
        <f>+(K125/K117-1)*100</f>
        <v>4.4880785413744739</v>
      </c>
      <c r="N125" s="1296">
        <f>+N124</f>
        <v>21.97</v>
      </c>
      <c r="O125" s="1297">
        <f>+N125/K125*1000</f>
        <v>29.48993288590604</v>
      </c>
      <c r="P125" s="1295">
        <f>+(N125/N117-1)*100</f>
        <v>4.2962259672442382</v>
      </c>
      <c r="Q125" s="1299"/>
      <c r="R125" s="1306">
        <f>+R124</f>
        <v>673</v>
      </c>
      <c r="S125" s="1317">
        <f>+R124-R116</f>
        <v>44</v>
      </c>
      <c r="T125" s="1295">
        <f>+(R125/R117-1)*100</f>
        <v>6.9952305246422819</v>
      </c>
      <c r="U125" s="1296">
        <f>+U124</f>
        <v>20.93</v>
      </c>
      <c r="V125" s="1297">
        <f>+U125/R125*1000</f>
        <v>31.099554234769688</v>
      </c>
      <c r="W125" s="1295">
        <f>+(U125/U117-1)*100</f>
        <v>7.2783188108662022</v>
      </c>
      <c r="X125" s="1299"/>
      <c r="Y125" s="1306">
        <f>+Y124</f>
        <v>160</v>
      </c>
      <c r="Z125" s="1317">
        <f>+Y124-Y116</f>
        <v>14</v>
      </c>
      <c r="AA125" s="1295">
        <f>+(Y125/Y117-1)*100</f>
        <v>9.5890410958904049</v>
      </c>
      <c r="AB125" s="1296">
        <f>+AB124</f>
        <v>4.508</v>
      </c>
      <c r="AC125" s="1297">
        <f>+AB125/Y125*1000</f>
        <v>28.174999999999997</v>
      </c>
      <c r="AD125" s="1295">
        <f>+(AB125/AB117-1)*100</f>
        <v>10.517283647952947</v>
      </c>
      <c r="AE125" s="1299"/>
      <c r="AF125" s="1306">
        <f>+AF124</f>
        <v>147</v>
      </c>
      <c r="AG125" s="1317">
        <f>+AF124-AF116</f>
        <v>24</v>
      </c>
      <c r="AH125" s="1295">
        <f>+(AF125/AF117-1)*100</f>
        <v>19.512195121951216</v>
      </c>
      <c r="AI125" s="1296">
        <f>+AI124</f>
        <v>3.9590000000000001</v>
      </c>
      <c r="AJ125" s="1297">
        <f>+AI125/AF125*1000</f>
        <v>26.931972789115648</v>
      </c>
      <c r="AK125" s="1295">
        <f>+(AI125/AI117-1)*100</f>
        <v>21.852877808556471</v>
      </c>
      <c r="AL125" s="1299"/>
      <c r="AM125" s="1306">
        <f>+AM124</f>
        <v>182</v>
      </c>
      <c r="AN125" s="1317">
        <f>+AM124-AM116</f>
        <v>40</v>
      </c>
      <c r="AO125" s="1295">
        <f>+(AM125/AM117-1)*100</f>
        <v>28.169014084507047</v>
      </c>
      <c r="AP125" s="1296">
        <f>+AP124</f>
        <v>4.5590000000000002</v>
      </c>
      <c r="AQ125" s="1297">
        <f>+AP125/AM125*1000</f>
        <v>25.049450549450551</v>
      </c>
      <c r="AR125" s="1295">
        <f>+(AP125/AP117-1)*100</f>
        <v>26.253115480476332</v>
      </c>
      <c r="AS125" s="1299"/>
      <c r="AT125" s="1306">
        <f>+AT124</f>
        <v>99</v>
      </c>
      <c r="AU125" s="1317">
        <f>+AT124-AT116</f>
        <v>24</v>
      </c>
      <c r="AV125" s="1295">
        <f>+(AT125/AT117-1)*100</f>
        <v>32.000000000000007</v>
      </c>
      <c r="AW125" s="1296">
        <f>+AW124</f>
        <v>2.5390000000000001</v>
      </c>
      <c r="AX125" s="1297">
        <f>+AW125/AT125*1000</f>
        <v>25.646464646464647</v>
      </c>
      <c r="AY125" s="1295">
        <f>+(AW125/AW117-1)*100</f>
        <v>30.741503604531427</v>
      </c>
      <c r="AZ125" s="1299"/>
      <c r="BA125" s="1306">
        <f>+BA124</f>
        <v>25</v>
      </c>
      <c r="BB125" s="1317">
        <f>+BA124-BA116</f>
        <v>10</v>
      </c>
      <c r="BC125" s="1295">
        <f>+(BA125/BA117-1)*100</f>
        <v>66.666666666666671</v>
      </c>
      <c r="BD125" s="1296">
        <f>+BD124</f>
        <v>0.61199999999999999</v>
      </c>
      <c r="BE125" s="1297">
        <f>+BD125/BA125*1000</f>
        <v>24.479999999999997</v>
      </c>
      <c r="BF125" s="1295">
        <f>+(BD125/BD117-1)*100</f>
        <v>65.405405405405403</v>
      </c>
      <c r="BG125" s="1295"/>
      <c r="BH125" s="1306"/>
      <c r="BI125" s="1256"/>
      <c r="BJ125" s="1295"/>
      <c r="BK125" s="1296"/>
      <c r="BL125" s="1297"/>
      <c r="BM125" s="1295"/>
      <c r="BN125" s="1295"/>
      <c r="BO125" s="1306"/>
      <c r="BP125" s="1256"/>
      <c r="BQ125" s="1295"/>
      <c r="BR125" s="1296"/>
      <c r="BS125" s="1297"/>
      <c r="BT125" s="1295"/>
      <c r="BU125" s="1295"/>
      <c r="BV125" s="1337"/>
      <c r="BW125" s="1343"/>
      <c r="BX125" s="1357"/>
      <c r="BY125" s="1359"/>
      <c r="BZ125" s="1360"/>
      <c r="CA125" s="1357"/>
      <c r="CB125" s="1299"/>
      <c r="CC125" s="1306">
        <f>+CC124</f>
        <v>31</v>
      </c>
      <c r="CD125" s="1256"/>
      <c r="CE125" s="1295"/>
      <c r="CF125" s="1296">
        <f>+CF124</f>
        <v>1.413</v>
      </c>
      <c r="CG125" s="1297">
        <f>+CF125/CC125*1000</f>
        <v>45.580645161290327</v>
      </c>
      <c r="CH125" s="1295"/>
      <c r="CI125" s="1306"/>
      <c r="CJ125" s="1256"/>
      <c r="CK125" s="1295"/>
      <c r="CL125" s="1296"/>
      <c r="CM125" s="1297"/>
      <c r="CN125" s="1295"/>
      <c r="CO125" s="1295"/>
      <c r="CP125" s="1306"/>
      <c r="CQ125" s="1256"/>
      <c r="CR125" s="1295"/>
      <c r="CS125" s="1296"/>
      <c r="CT125" s="1297"/>
      <c r="CU125" s="1295"/>
      <c r="CV125" s="1299"/>
      <c r="CW125" s="1306">
        <f>+D125+Y125+AF125+AM125+AT125+BA125+CC125</f>
        <v>2062</v>
      </c>
      <c r="CX125" s="1317">
        <f>+CW125-CW117</f>
        <v>219</v>
      </c>
      <c r="CY125" s="1295">
        <f>+(CW125/CW117-1)*100</f>
        <v>11.882799782962561</v>
      </c>
      <c r="CZ125" s="1297"/>
      <c r="DA125" s="1297"/>
      <c r="DB125" s="1296">
        <f>+G125+AB125+AI125+AP125+AW125+BD125+CF125</f>
        <v>60.49</v>
      </c>
      <c r="DC125" s="1297">
        <f>+DB125/CW125*1000</f>
        <v>29.335596508244425</v>
      </c>
      <c r="DD125" s="1295">
        <f>+(DB125/DB117-1)*100</f>
        <v>12.380633894400471</v>
      </c>
      <c r="DE125" s="1266"/>
      <c r="DF125" s="1350">
        <f>+D125/$CW125</f>
        <v>0.68768186226964112</v>
      </c>
      <c r="DG125" s="1351"/>
      <c r="DH125" s="1351"/>
      <c r="DI125" s="1350">
        <f>+Y125/$CW125</f>
        <v>7.7594568380213391E-2</v>
      </c>
      <c r="DJ125" s="1350">
        <f>+AF125/CW125</f>
        <v>7.1290009699321047E-2</v>
      </c>
      <c r="DK125" s="1350">
        <f>+AM125/CW125</f>
        <v>8.8263821532492723E-2</v>
      </c>
      <c r="DL125" s="1350">
        <f>+AT125/CW125</f>
        <v>4.8011639185257034E-2</v>
      </c>
      <c r="DM125" s="1350">
        <f>+BA125/$CW125</f>
        <v>1.2124151309408341E-2</v>
      </c>
      <c r="DN125" s="1350"/>
      <c r="DO125" s="1350">
        <f t="shared" si="13"/>
        <v>4.849660523763337E-3</v>
      </c>
      <c r="DP125" s="1350">
        <f t="shared" si="13"/>
        <v>3.2331070158422244E-2</v>
      </c>
      <c r="DQ125" s="1350">
        <f t="shared" si="13"/>
        <v>2.9679922405431621E-4</v>
      </c>
      <c r="DS125" s="1333"/>
      <c r="DT125" s="1333"/>
      <c r="DU125" s="1333"/>
      <c r="DV125" s="1333"/>
      <c r="DW125" s="1333"/>
      <c r="DX125" s="1333"/>
      <c r="DY125" s="1333"/>
      <c r="DZ125" s="1333"/>
      <c r="EA125" s="1333"/>
      <c r="EB125" s="1333"/>
      <c r="ED125" s="693">
        <f>SUM(ED121:ED124)</f>
        <v>0</v>
      </c>
      <c r="EE125" s="693">
        <f>SUM(EE121:EE124)</f>
        <v>188</v>
      </c>
      <c r="EF125" s="693">
        <f>+EE125-ED125</f>
        <v>188</v>
      </c>
      <c r="EG125" s="1333">
        <f>+EF125-CX125</f>
        <v>-31</v>
      </c>
    </row>
    <row r="126" spans="1:137" ht="15" hidden="1" outlineLevel="2">
      <c r="A126" s="1266"/>
      <c r="B126" s="1266" t="s">
        <v>646</v>
      </c>
      <c r="C126" s="1266"/>
      <c r="D126" s="1306"/>
      <c r="E126" s="1317"/>
      <c r="F126" s="1323"/>
      <c r="G126" s="1296"/>
      <c r="H126" s="1297"/>
      <c r="I126" s="1295"/>
      <c r="J126" s="1266"/>
      <c r="K126" s="1306"/>
      <c r="L126" s="1256"/>
      <c r="M126" s="1324"/>
      <c r="N126" s="1325" t="str">
        <f>IF(SUM(L126:M126)=L125,"","N")</f>
        <v>N</v>
      </c>
      <c r="O126" s="1297"/>
      <c r="P126" s="1295"/>
      <c r="Q126" s="1299"/>
      <c r="R126" s="1306"/>
      <c r="S126" s="1256"/>
      <c r="T126" s="1324"/>
      <c r="U126" s="1325" t="str">
        <f>IF(SUM(S126:T126)=S125,"","N")</f>
        <v>N</v>
      </c>
      <c r="V126" s="1297"/>
      <c r="W126" s="1295"/>
      <c r="X126" s="1299"/>
      <c r="Y126" s="1306"/>
      <c r="Z126" s="1256"/>
      <c r="AA126" s="1324"/>
      <c r="AB126" s="1325" t="str">
        <f>IF(SUM(Z126:AA126)=Z125,"","N")</f>
        <v>N</v>
      </c>
      <c r="AC126" s="1297"/>
      <c r="AD126" s="1295"/>
      <c r="AE126" s="1299"/>
      <c r="AF126" s="1306"/>
      <c r="AG126" s="1256"/>
      <c r="AH126" s="1324"/>
      <c r="AI126" s="1325" t="str">
        <f>IF(SUM(AG126:AH126)=AG125,"","N")</f>
        <v>N</v>
      </c>
      <c r="AJ126" s="1297"/>
      <c r="AK126" s="1295"/>
      <c r="AL126" s="1299"/>
      <c r="AM126" s="1306"/>
      <c r="AN126" s="1256"/>
      <c r="AO126" s="1324"/>
      <c r="AP126" s="1325" t="str">
        <f>IF(SUM(AN126:AO126)=AN125,"","N")</f>
        <v>N</v>
      </c>
      <c r="AQ126" s="1297"/>
      <c r="AR126" s="1295"/>
      <c r="AS126" s="1299"/>
      <c r="AT126" s="1306"/>
      <c r="AU126" s="1256"/>
      <c r="AV126" s="1324"/>
      <c r="AW126" s="1325" t="str">
        <f>IF(SUM(AU126:AV126)=AU125,"","N")</f>
        <v>N</v>
      </c>
      <c r="AX126" s="1297"/>
      <c r="AY126" s="1295"/>
      <c r="AZ126" s="1299"/>
      <c r="BA126" s="1306"/>
      <c r="BB126" s="1256"/>
      <c r="BC126" s="1324"/>
      <c r="BD126" s="1325"/>
      <c r="BE126" s="1303"/>
      <c r="BF126" s="1305"/>
      <c r="BG126" s="1305"/>
      <c r="BH126" s="1306"/>
      <c r="BI126" s="1256"/>
      <c r="BJ126" s="1324"/>
      <c r="BK126" s="1300"/>
      <c r="BL126" s="1303"/>
      <c r="BM126" s="1305"/>
      <c r="BN126" s="1305"/>
      <c r="BO126" s="1306"/>
      <c r="BP126" s="1256"/>
      <c r="BQ126" s="1324"/>
      <c r="BR126" s="1300"/>
      <c r="BS126" s="1303"/>
      <c r="BT126" s="1305"/>
      <c r="BU126" s="1305"/>
      <c r="BV126" s="1337"/>
      <c r="BW126" s="1343"/>
      <c r="BX126" s="1344"/>
      <c r="BY126" s="1340"/>
      <c r="BZ126" s="1339"/>
      <c r="CA126" s="1341"/>
      <c r="CB126" s="1299"/>
      <c r="CC126" s="1306"/>
      <c r="CD126" s="1256"/>
      <c r="CE126" s="1324"/>
      <c r="CF126" s="1300"/>
      <c r="CG126" s="1303"/>
      <c r="CH126" s="1305"/>
      <c r="CI126" s="1306"/>
      <c r="CJ126" s="1256"/>
      <c r="CK126" s="1324"/>
      <c r="CL126" s="1300"/>
      <c r="CM126" s="1303"/>
      <c r="CN126" s="1305"/>
      <c r="CO126" s="1305"/>
      <c r="CP126" s="1306"/>
      <c r="CQ126" s="1256"/>
      <c r="CR126" s="1324"/>
      <c r="CS126" s="1300"/>
      <c r="CT126" s="1303"/>
      <c r="CU126" s="1305"/>
      <c r="CV126" s="1299"/>
      <c r="CW126" s="1306"/>
      <c r="CX126" s="1317"/>
      <c r="CY126" s="1297"/>
      <c r="CZ126" s="1320"/>
      <c r="DA126" s="1322"/>
      <c r="DB126" s="1296"/>
      <c r="DC126" s="1297"/>
      <c r="DD126" s="1302"/>
      <c r="DE126" s="1266"/>
      <c r="DF126" s="1266"/>
      <c r="DG126" s="1266"/>
      <c r="DH126" s="1266"/>
      <c r="DI126" s="1266"/>
      <c r="DJ126" s="1266"/>
      <c r="DK126" s="1266"/>
      <c r="DL126" s="1266"/>
      <c r="DM126" s="1266"/>
      <c r="DN126" s="1266"/>
      <c r="DO126" s="1266"/>
      <c r="DP126" s="1266"/>
      <c r="DQ126" s="1266"/>
      <c r="DS126" s="1333"/>
      <c r="DT126" s="1333"/>
      <c r="DU126" s="1333"/>
      <c r="DV126" s="1333"/>
      <c r="DW126" s="1333"/>
      <c r="DX126" s="1333"/>
      <c r="DY126" s="1333"/>
      <c r="DZ126" s="1333"/>
      <c r="EA126" s="1333"/>
      <c r="EB126" s="1333"/>
    </row>
    <row r="127" spans="1:137" ht="15" hidden="1" outlineLevel="1" collapsed="1">
      <c r="A127" s="1266"/>
      <c r="B127" s="1266"/>
      <c r="C127" s="1266"/>
      <c r="D127" s="1335"/>
      <c r="E127" s="1269"/>
      <c r="F127" s="1302"/>
      <c r="G127" s="1366"/>
      <c r="H127" s="1268"/>
      <c r="I127" s="1295"/>
      <c r="J127" s="1266"/>
      <c r="K127" s="1336"/>
      <c r="L127" s="1269"/>
      <c r="M127" s="1268"/>
      <c r="N127" s="1336"/>
      <c r="O127" s="1268"/>
      <c r="P127" s="1295"/>
      <c r="Q127" s="1268"/>
      <c r="R127" s="1336"/>
      <c r="S127" s="1269"/>
      <c r="T127" s="1268"/>
      <c r="U127" s="1336"/>
      <c r="V127" s="1268"/>
      <c r="W127" s="1295"/>
      <c r="X127" s="1268"/>
      <c r="Y127" s="1336"/>
      <c r="Z127" s="1269"/>
      <c r="AA127" s="1268"/>
      <c r="AB127" s="1367">
        <f>+AB125+BD125</f>
        <v>5.12</v>
      </c>
      <c r="AC127" s="1268"/>
      <c r="AD127" s="1295"/>
      <c r="AE127" s="1268"/>
      <c r="AF127" s="1336"/>
      <c r="AG127" s="1269"/>
      <c r="AH127" s="1270"/>
      <c r="AI127" s="1336"/>
      <c r="AJ127" s="1268"/>
      <c r="AK127" s="1302"/>
      <c r="AL127" s="1268"/>
      <c r="AM127" s="1336"/>
      <c r="AN127" s="1269"/>
      <c r="AO127" s="1268"/>
      <c r="AP127" s="1336"/>
      <c r="AQ127" s="1268"/>
      <c r="AR127" s="1295"/>
      <c r="AS127" s="1268"/>
      <c r="AT127" s="1336"/>
      <c r="AU127" s="1269"/>
      <c r="AV127" s="1266"/>
      <c r="AW127" s="1336"/>
      <c r="AX127" s="1268"/>
      <c r="AY127" s="1295"/>
      <c r="AZ127" s="1266"/>
      <c r="BA127" s="1336"/>
      <c r="BB127" s="1269"/>
      <c r="BC127" s="1266"/>
      <c r="BD127" s="1336"/>
      <c r="BE127" s="1268"/>
      <c r="BF127" s="1295"/>
      <c r="BG127" s="1295"/>
      <c r="BH127" s="1336"/>
      <c r="BI127" s="1269"/>
      <c r="BJ127" s="1266"/>
      <c r="BK127" s="1336"/>
      <c r="BL127" s="1268"/>
      <c r="BM127" s="1295"/>
      <c r="BN127" s="1295"/>
      <c r="BO127" s="1336"/>
      <c r="BP127" s="1269"/>
      <c r="BQ127" s="1266"/>
      <c r="BR127" s="1336"/>
      <c r="BS127" s="1268"/>
      <c r="BT127" s="1295"/>
      <c r="BU127" s="1295"/>
      <c r="BV127" s="1345"/>
      <c r="BW127" s="1354"/>
      <c r="BX127" s="1355"/>
      <c r="BY127" s="1345"/>
      <c r="BZ127" s="1356"/>
      <c r="CA127" s="1357"/>
      <c r="CB127" s="1266"/>
      <c r="CC127" s="1336"/>
      <c r="CD127" s="1269"/>
      <c r="CE127" s="1266"/>
      <c r="CF127" s="1336"/>
      <c r="CG127" s="1268"/>
      <c r="CH127" s="1295"/>
      <c r="CI127" s="1336"/>
      <c r="CJ127" s="1269"/>
      <c r="CK127" s="1266"/>
      <c r="CL127" s="1336"/>
      <c r="CM127" s="1268"/>
      <c r="CN127" s="1295"/>
      <c r="CO127" s="1295"/>
      <c r="CP127" s="1336"/>
      <c r="CQ127" s="1269"/>
      <c r="CR127" s="1266"/>
      <c r="CS127" s="1336"/>
      <c r="CT127" s="1268"/>
      <c r="CU127" s="1295"/>
      <c r="CV127" s="1266"/>
      <c r="CW127" s="1335"/>
      <c r="CX127" s="1266"/>
      <c r="CY127" s="1266"/>
      <c r="CZ127" s="1266"/>
      <c r="DA127" s="1266"/>
      <c r="DB127" s="1335"/>
      <c r="DC127" s="1268"/>
      <c r="DD127" s="1302"/>
      <c r="DE127" s="1266"/>
      <c r="DF127" s="1266"/>
      <c r="DG127" s="1266"/>
      <c r="DH127" s="1266"/>
      <c r="DI127" s="1266"/>
      <c r="DJ127" s="1266"/>
      <c r="DK127" s="1266"/>
      <c r="DL127" s="1266"/>
      <c r="DM127" s="1266"/>
      <c r="DN127" s="1266"/>
      <c r="DO127" s="1266"/>
      <c r="DP127" s="1266"/>
      <c r="DQ127" s="1266"/>
      <c r="DS127" s="1333"/>
      <c r="DT127" s="1333"/>
      <c r="DU127" s="1333"/>
      <c r="DV127" s="1333"/>
      <c r="DW127" s="1333"/>
      <c r="DX127" s="1333"/>
      <c r="DY127" s="1333"/>
      <c r="DZ127" s="1333"/>
      <c r="EA127" s="1333"/>
      <c r="EB127" s="1333"/>
    </row>
    <row r="128" spans="1:137" ht="15.75" collapsed="1">
      <c r="A128" s="2119">
        <f>+A120+1</f>
        <v>2004</v>
      </c>
      <c r="B128" s="2119"/>
      <c r="C128" s="1266"/>
      <c r="D128" s="1335"/>
      <c r="E128" s="1269"/>
      <c r="F128" s="1302"/>
      <c r="G128" s="1335"/>
      <c r="H128" s="1268"/>
      <c r="I128" s="1295"/>
      <c r="J128" s="1266"/>
      <c r="K128" s="1336"/>
      <c r="L128" s="1269"/>
      <c r="M128" s="1268"/>
      <c r="N128" s="1336"/>
      <c r="O128" s="1268"/>
      <c r="P128" s="1295"/>
      <c r="Q128" s="1268"/>
      <c r="R128" s="1336"/>
      <c r="S128" s="1269"/>
      <c r="T128" s="1268"/>
      <c r="U128" s="1336"/>
      <c r="V128" s="1268"/>
      <c r="W128" s="1295"/>
      <c r="X128" s="1268"/>
      <c r="Y128" s="1368"/>
      <c r="Z128" s="1269"/>
      <c r="AA128" s="1268"/>
      <c r="AB128" s="1336"/>
      <c r="AC128" s="1268"/>
      <c r="AD128" s="1295"/>
      <c r="AE128" s="1268"/>
      <c r="AF128" s="1336"/>
      <c r="AG128" s="1269"/>
      <c r="AH128" s="1270"/>
      <c r="AI128" s="1336"/>
      <c r="AJ128" s="1268"/>
      <c r="AK128" s="1302"/>
      <c r="AL128" s="1268"/>
      <c r="AM128" s="1336"/>
      <c r="AN128" s="1269"/>
      <c r="AO128" s="1268"/>
      <c r="AP128" s="1336"/>
      <c r="AQ128" s="1268"/>
      <c r="AR128" s="1295"/>
      <c r="AS128" s="1268"/>
      <c r="AT128" s="1336"/>
      <c r="AU128" s="1269"/>
      <c r="AV128" s="1266"/>
      <c r="AW128" s="1336"/>
      <c r="AX128" s="1268"/>
      <c r="AY128" s="1295"/>
      <c r="AZ128" s="1266"/>
      <c r="BA128" s="1336"/>
      <c r="BB128" s="1269"/>
      <c r="BC128" s="1266"/>
      <c r="BD128" s="1336"/>
      <c r="BE128" s="1268"/>
      <c r="BF128" s="1295"/>
      <c r="BG128" s="1295"/>
      <c r="BH128" s="1336"/>
      <c r="BI128" s="1269"/>
      <c r="BJ128" s="1266"/>
      <c r="BK128" s="1336"/>
      <c r="BL128" s="1268"/>
      <c r="BM128" s="1295"/>
      <c r="BN128" s="1295"/>
      <c r="BO128" s="1336"/>
      <c r="BP128" s="1269"/>
      <c r="BQ128" s="1266"/>
      <c r="BR128" s="1336"/>
      <c r="BS128" s="1268"/>
      <c r="BT128" s="1295"/>
      <c r="BU128" s="1295"/>
      <c r="BV128" s="1345"/>
      <c r="BW128" s="1354"/>
      <c r="BX128" s="1355"/>
      <c r="BY128" s="1345"/>
      <c r="BZ128" s="1356"/>
      <c r="CA128" s="1357"/>
      <c r="CB128" s="1266"/>
      <c r="CC128" s="1336"/>
      <c r="CD128" s="1269"/>
      <c r="CE128" s="1266"/>
      <c r="CF128" s="1336"/>
      <c r="CG128" s="1268"/>
      <c r="CH128" s="1295"/>
      <c r="CI128" s="1336"/>
      <c r="CJ128" s="1269"/>
      <c r="CK128" s="1266"/>
      <c r="CL128" s="1336"/>
      <c r="CM128" s="1268"/>
      <c r="CN128" s="1295"/>
      <c r="CO128" s="1295"/>
      <c r="CP128" s="1336"/>
      <c r="CQ128" s="1269"/>
      <c r="CR128" s="1266"/>
      <c r="CS128" s="1336"/>
      <c r="CT128" s="1268"/>
      <c r="CU128" s="1295"/>
      <c r="CV128" s="1266"/>
      <c r="CW128" s="1335"/>
      <c r="CX128" s="1266"/>
      <c r="CY128" s="1266"/>
      <c r="CZ128" s="1266"/>
      <c r="DA128" s="1266"/>
      <c r="DB128" s="1335"/>
      <c r="DC128" s="1268"/>
      <c r="DD128" s="1302"/>
      <c r="DE128" s="1266"/>
      <c r="DF128" s="1266"/>
      <c r="DG128" s="1266"/>
      <c r="DH128" s="1266"/>
      <c r="DI128" s="1266"/>
      <c r="DJ128" s="1266"/>
      <c r="DK128" s="1266"/>
      <c r="DL128" s="1266"/>
      <c r="DM128" s="1266"/>
      <c r="DN128" s="1266"/>
      <c r="DO128" s="1266"/>
      <c r="DP128" s="1266"/>
      <c r="DQ128" s="1266"/>
      <c r="DS128" s="1333"/>
      <c r="DT128" s="1333"/>
      <c r="DU128" s="1333"/>
      <c r="DV128" s="1333"/>
      <c r="DW128" s="1333"/>
      <c r="DX128" s="1333"/>
      <c r="DY128" s="1333"/>
      <c r="DZ128" s="1333"/>
      <c r="EA128" s="1333"/>
      <c r="EB128" s="1333"/>
    </row>
    <row r="129" spans="1:137" ht="15">
      <c r="A129" s="1266" t="str">
        <f>$A$17</f>
        <v>1Q</v>
      </c>
      <c r="B129" s="1266" t="str">
        <f>$B$17</f>
        <v>Apr</v>
      </c>
      <c r="C129" s="1266"/>
      <c r="D129" s="1294">
        <f t="shared" ref="D129:E132" si="14">+K129+R129</f>
        <v>1432</v>
      </c>
      <c r="E129" s="1255">
        <f t="shared" si="14"/>
        <v>14</v>
      </c>
      <c r="F129" s="1295">
        <f>+(D129/D121-1)*100</f>
        <v>5.4491899852724623</v>
      </c>
      <c r="G129" s="1296">
        <f>+N129+U129</f>
        <v>43.457054788495867</v>
      </c>
      <c r="H129" s="1297"/>
      <c r="I129" s="1295">
        <f>+(G129/G121-1)*100</f>
        <v>5.7992812866606513</v>
      </c>
      <c r="J129" s="1266"/>
      <c r="K129" s="1300">
        <v>753</v>
      </c>
      <c r="L129" s="1255">
        <f>+K129-K124</f>
        <v>8</v>
      </c>
      <c r="M129" s="1295">
        <f>+(K129/K121-1)*100</f>
        <v>4.7287899860917859</v>
      </c>
      <c r="N129" s="1296">
        <f>+K129*O$133/1000</f>
        <v>22.234533463087249</v>
      </c>
      <c r="O129" s="1297"/>
      <c r="P129" s="1295">
        <f>+(N129/N121-1)*100</f>
        <v>4.7366030575498153</v>
      </c>
      <c r="Q129" s="1299"/>
      <c r="R129" s="1300">
        <v>679</v>
      </c>
      <c r="S129" s="1255">
        <f>+R129-R124</f>
        <v>6</v>
      </c>
      <c r="T129" s="1295">
        <f>+(R129/R121-1)*100</f>
        <v>6.2597809076682331</v>
      </c>
      <c r="U129" s="1296">
        <f>+R129*V$133/1000</f>
        <v>21.222521325408614</v>
      </c>
      <c r="V129" s="1297"/>
      <c r="W129" s="1295">
        <f>+(U129/U121-1)*100</f>
        <v>6.9360139343374705</v>
      </c>
      <c r="X129" s="1299"/>
      <c r="Y129" s="1300">
        <v>162</v>
      </c>
      <c r="Z129" s="1255">
        <f>+Y129-Y124</f>
        <v>2</v>
      </c>
      <c r="AA129" s="1295">
        <f>+(Y129/Y121-1)*100</f>
        <v>5.1948051948051965</v>
      </c>
      <c r="AB129" s="1296">
        <f>+Y129*AC$133/1000</f>
        <v>4.7061000000000002</v>
      </c>
      <c r="AC129" s="1297"/>
      <c r="AD129" s="1295">
        <f>+(AB129/AB121-1)*100</f>
        <v>9.215595265722909</v>
      </c>
      <c r="AE129" s="1299"/>
      <c r="AF129" s="1300">
        <v>148</v>
      </c>
      <c r="AG129" s="1255">
        <f>+AF129-AF124</f>
        <v>1</v>
      </c>
      <c r="AH129" s="1295">
        <f>+(AF129/AF121-1)*100</f>
        <v>20.32520325203253</v>
      </c>
      <c r="AI129" s="1296">
        <f>+AF129*AJ$133/1000</f>
        <v>4.2153319727891159</v>
      </c>
      <c r="AJ129" s="1297"/>
      <c r="AK129" s="1295">
        <f>+(AI129/AI121-1)*100</f>
        <v>29.106645414674293</v>
      </c>
      <c r="AL129" s="1299"/>
      <c r="AM129" s="1300">
        <v>185</v>
      </c>
      <c r="AN129" s="1255">
        <f>+AM129-AM124</f>
        <v>3</v>
      </c>
      <c r="AO129" s="1295">
        <f>+(AM129/AM121-1)*100</f>
        <v>26.712328767123282</v>
      </c>
      <c r="AP129" s="1296">
        <f>+AM129*AQ$133/1000</f>
        <v>4.5852866666666667</v>
      </c>
      <c r="AQ129" s="1297"/>
      <c r="AR129" s="1295">
        <f>+(AP129/AP121-1)*100</f>
        <v>23.45952252737391</v>
      </c>
      <c r="AS129" s="1299"/>
      <c r="AT129" s="1300">
        <v>102</v>
      </c>
      <c r="AU129" s="1255">
        <f>+AT129-AT124</f>
        <v>3</v>
      </c>
      <c r="AV129" s="1295">
        <f>+(AT129/AT121-1)*100</f>
        <v>22.891566265060238</v>
      </c>
      <c r="AW129" s="1296">
        <f>+AT129*AX$133/1000</f>
        <v>2.624609393939394</v>
      </c>
      <c r="AX129" s="1297"/>
      <c r="AY129" s="1295">
        <f>+(AW129/AW121-1)*100</f>
        <v>21.848161278523403</v>
      </c>
      <c r="AZ129" s="1299"/>
      <c r="BA129" s="1300">
        <v>31</v>
      </c>
      <c r="BB129" s="1255">
        <f>+BA129-BA124</f>
        <v>6</v>
      </c>
      <c r="BC129" s="1295">
        <f>+(BA129/BA121-1)*100</f>
        <v>63.157894736842103</v>
      </c>
      <c r="BD129" s="1296">
        <f>+BA129*BE$133/1000</f>
        <v>0.7557799999999999</v>
      </c>
      <c r="BE129" s="1297"/>
      <c r="BF129" s="1295">
        <f>+(BD129/BD121-1)*100</f>
        <v>61.83725910064237</v>
      </c>
      <c r="BG129" s="1295"/>
      <c r="BH129" s="1300"/>
      <c r="BI129" s="1255"/>
      <c r="BJ129" s="1295"/>
      <c r="BK129" s="1296"/>
      <c r="BL129" s="1297"/>
      <c r="BM129" s="1295"/>
      <c r="BN129" s="1295"/>
      <c r="BO129" s="1300"/>
      <c r="BP129" s="1255"/>
      <c r="BQ129" s="1295"/>
      <c r="BR129" s="1296"/>
      <c r="BS129" s="1297"/>
      <c r="BT129" s="1295"/>
      <c r="BU129" s="1295"/>
      <c r="BV129" s="1340"/>
      <c r="BW129" s="1358"/>
      <c r="BX129" s="1357"/>
      <c r="BY129" s="1359"/>
      <c r="BZ129" s="1360"/>
      <c r="CA129" s="1357"/>
      <c r="CB129" s="1299"/>
      <c r="CC129" s="1300">
        <v>31</v>
      </c>
      <c r="CD129" s="1255">
        <f>+CC129-CC124</f>
        <v>0</v>
      </c>
      <c r="CE129" s="1295"/>
      <c r="CF129" s="1296">
        <f>+CC129*CG$133/1000</f>
        <v>1.4154800000000001</v>
      </c>
      <c r="CG129" s="1297"/>
      <c r="CH129" s="1295"/>
      <c r="CI129" s="1300"/>
      <c r="CJ129" s="1255"/>
      <c r="CK129" s="1295"/>
      <c r="CL129" s="1296"/>
      <c r="CM129" s="1297"/>
      <c r="CN129" s="1295"/>
      <c r="CO129" s="1295"/>
      <c r="CP129" s="1300"/>
      <c r="CQ129" s="1255"/>
      <c r="CR129" s="1295"/>
      <c r="CS129" s="1296"/>
      <c r="CT129" s="1297"/>
      <c r="CU129" s="1295"/>
      <c r="CV129" s="1299"/>
      <c r="CW129" s="1306">
        <f>+D129+Y129+AF129+AM129+AT129+BA129+CC129</f>
        <v>2091</v>
      </c>
      <c r="CX129" s="1307">
        <f>+CW129-CW124</f>
        <v>29</v>
      </c>
      <c r="CY129" s="1295">
        <f>+(CW129/CW121-1)*100</f>
        <v>11.04620286776421</v>
      </c>
      <c r="CZ129" s="1297"/>
      <c r="DA129" s="1297"/>
      <c r="DB129" s="1296">
        <f>+G129+AB129+AI129+AP129+AW129+BD129+CF129</f>
        <v>61.759642821891049</v>
      </c>
      <c r="DC129" s="1297"/>
      <c r="DD129" s="1295">
        <f>+(DB129/DB121-1)*100</f>
        <v>12.322935439202421</v>
      </c>
      <c r="DE129" s="1266"/>
      <c r="DF129" s="1350">
        <f>+D129/$CW129</f>
        <v>0.68483978957436631</v>
      </c>
      <c r="DG129" s="1351"/>
      <c r="DH129" s="1351"/>
      <c r="DI129" s="1350">
        <f>+Y129/$CW129</f>
        <v>7.7474892395982778E-2</v>
      </c>
      <c r="DJ129" s="1350">
        <f>+AF129/CW129</f>
        <v>7.0779531324725017E-2</v>
      </c>
      <c r="DK129" s="1350">
        <f>+AM129/CW129</f>
        <v>8.8474414155906261E-2</v>
      </c>
      <c r="DL129" s="1350">
        <f>+AT129/CW129</f>
        <v>4.878048780487805E-2</v>
      </c>
      <c r="DM129" s="1350">
        <f>+BA129/$CW129</f>
        <v>1.482544237207078E-2</v>
      </c>
      <c r="DN129" s="1350">
        <f>+BH129/$CW129</f>
        <v>0</v>
      </c>
      <c r="DO129" s="1350"/>
      <c r="DP129" s="1350"/>
      <c r="DQ129" s="1350"/>
      <c r="DS129" s="1333">
        <f t="shared" si="0"/>
        <v>8</v>
      </c>
      <c r="DT129" s="1333">
        <f t="shared" si="1"/>
        <v>6</v>
      </c>
      <c r="DU129" s="1333">
        <f t="shared" si="2"/>
        <v>2</v>
      </c>
      <c r="DV129" s="1333">
        <f t="shared" si="3"/>
        <v>1</v>
      </c>
      <c r="DW129" s="1333">
        <f t="shared" si="4"/>
        <v>3</v>
      </c>
      <c r="DX129" s="1333">
        <f t="shared" si="5"/>
        <v>3</v>
      </c>
      <c r="DY129" s="1333">
        <f t="shared" si="6"/>
        <v>6</v>
      </c>
      <c r="DZ129" s="1333">
        <f t="shared" si="7"/>
        <v>0</v>
      </c>
      <c r="EA129" s="1333">
        <f t="shared" si="8"/>
        <v>0</v>
      </c>
      <c r="EB129" s="1333">
        <f t="shared" si="9"/>
        <v>0</v>
      </c>
      <c r="ED129" s="451">
        <f>-(SUMIF(DS129:EB129,"&lt;0"))</f>
        <v>0</v>
      </c>
      <c r="EE129" s="451">
        <f>(SUMIF(DS129:EB129,"&gt;0"))</f>
        <v>29</v>
      </c>
      <c r="EF129" s="451">
        <f>+EE129-ED129</f>
        <v>29</v>
      </c>
      <c r="EG129" s="1333">
        <f>+EF129-CX129</f>
        <v>0</v>
      </c>
    </row>
    <row r="130" spans="1:137" ht="15">
      <c r="A130" s="1266" t="str">
        <f>$A$18</f>
        <v>2Q</v>
      </c>
      <c r="B130" s="1266" t="str">
        <f>$B$18</f>
        <v>Jul</v>
      </c>
      <c r="C130" s="1266"/>
      <c r="D130" s="1294">
        <f t="shared" si="14"/>
        <v>1437</v>
      </c>
      <c r="E130" s="1255">
        <f t="shared" si="14"/>
        <v>5</v>
      </c>
      <c r="F130" s="1295">
        <f>+(D130/D122-1)*100</f>
        <v>4.4331395348837122</v>
      </c>
      <c r="G130" s="1296">
        <f>+N130+U130</f>
        <v>43.613332559669715</v>
      </c>
      <c r="H130" s="1297"/>
      <c r="I130" s="1295">
        <f>+(G130/G122-1)*100</f>
        <v>4.7767749181254482</v>
      </c>
      <c r="J130" s="1309"/>
      <c r="K130" s="1300">
        <v>753</v>
      </c>
      <c r="L130" s="1255">
        <f>+K130-K129</f>
        <v>0</v>
      </c>
      <c r="M130" s="1295">
        <f>+(K130/K122-1)*100</f>
        <v>3.5763411279229773</v>
      </c>
      <c r="N130" s="1296">
        <f>+K130*O$133/1000</f>
        <v>22.234533463087249</v>
      </c>
      <c r="O130" s="1297"/>
      <c r="P130" s="1295">
        <f>+(N130/N122-1)*100</f>
        <v>3.5947139872676059</v>
      </c>
      <c r="Q130" s="1299"/>
      <c r="R130" s="1300">
        <v>684</v>
      </c>
      <c r="S130" s="1255">
        <f>+R130-R129</f>
        <v>5</v>
      </c>
      <c r="T130" s="1295">
        <f>+(R130/R122-1)*100</f>
        <v>5.3929121725731832</v>
      </c>
      <c r="U130" s="1296">
        <f>+R130*V$133/1000</f>
        <v>21.378799096582465</v>
      </c>
      <c r="V130" s="1297"/>
      <c r="W130" s="1295">
        <f>+(U130/U122-1)*100</f>
        <v>6.0351110831388999</v>
      </c>
      <c r="X130" s="1299"/>
      <c r="Y130" s="1300">
        <v>162</v>
      </c>
      <c r="Z130" s="1255">
        <f>+Y130-Y129</f>
        <v>0</v>
      </c>
      <c r="AA130" s="1295">
        <f>+(Y130/Y122-1)*100</f>
        <v>5.1948051948051965</v>
      </c>
      <c r="AB130" s="1296">
        <f>+Y130*AC$133/1000</f>
        <v>4.7061000000000002</v>
      </c>
      <c r="AC130" s="1297"/>
      <c r="AD130" s="1295">
        <f>+(AB130/AB122-1)*100</f>
        <v>9.215595265722909</v>
      </c>
      <c r="AE130" s="1299"/>
      <c r="AF130" s="1300">
        <v>154</v>
      </c>
      <c r="AG130" s="1255">
        <f>+AF130-AF129</f>
        <v>6</v>
      </c>
      <c r="AH130" s="1295">
        <f>+(AF130/AF122-1)*100</f>
        <v>16.666666666666675</v>
      </c>
      <c r="AI130" s="1296">
        <f>+AF130*AJ$133/1000</f>
        <v>4.38622380952381</v>
      </c>
      <c r="AJ130" s="1297"/>
      <c r="AK130" s="1295">
        <f>+(AI130/AI122-1)*100</f>
        <v>24.396591308105787</v>
      </c>
      <c r="AL130" s="1299"/>
      <c r="AM130" s="1300">
        <v>192</v>
      </c>
      <c r="AN130" s="1255">
        <f>+AM130-AM129</f>
        <v>7</v>
      </c>
      <c r="AO130" s="1295">
        <f>+(AM130/AM122-1)*100</f>
        <v>19.999999999999996</v>
      </c>
      <c r="AP130" s="1296">
        <f>+AM130*AQ$133/1000</f>
        <v>4.7587839999999995</v>
      </c>
      <c r="AQ130" s="1297"/>
      <c r="AR130" s="1295">
        <f>+(AP130/AP122-1)*100</f>
        <v>18.171939408989314</v>
      </c>
      <c r="AS130" s="1299"/>
      <c r="AT130" s="1300">
        <v>108</v>
      </c>
      <c r="AU130" s="1255">
        <f>+AT130-AT129</f>
        <v>6</v>
      </c>
      <c r="AV130" s="1295">
        <f>+(AT130/AT122-1)*100</f>
        <v>28.57142857142858</v>
      </c>
      <c r="AW130" s="1296">
        <f>+AT130*AX$133/1000</f>
        <v>2.7789981818181819</v>
      </c>
      <c r="AX130" s="1297"/>
      <c r="AY130" s="1295">
        <f>+(AW130/AW122-1)*100</f>
        <v>27.770031347962387</v>
      </c>
      <c r="AZ130" s="1299"/>
      <c r="BA130" s="1300">
        <v>32</v>
      </c>
      <c r="BB130" s="1255">
        <f>+BA130-BA129</f>
        <v>1</v>
      </c>
      <c r="BC130" s="1295">
        <f>+(BA130/BA122-1)*100</f>
        <v>52.380952380952372</v>
      </c>
      <c r="BD130" s="1296">
        <f>+BA130*BE$133/1000</f>
        <v>0.78015999999999985</v>
      </c>
      <c r="BE130" s="1297"/>
      <c r="BF130" s="1295">
        <f>+(BD130/BD122-1)*100</f>
        <v>51.193798449612359</v>
      </c>
      <c r="BG130" s="1295"/>
      <c r="BH130" s="1300"/>
      <c r="BI130" s="1255"/>
      <c r="BJ130" s="1295"/>
      <c r="BK130" s="1296"/>
      <c r="BL130" s="1297"/>
      <c r="BM130" s="1295"/>
      <c r="BN130" s="1295"/>
      <c r="BO130" s="1300"/>
      <c r="BP130" s="1255"/>
      <c r="BQ130" s="1295"/>
      <c r="BR130" s="1296"/>
      <c r="BS130" s="1297"/>
      <c r="BT130" s="1295"/>
      <c r="BU130" s="1295"/>
      <c r="BV130" s="1340"/>
      <c r="BW130" s="1358"/>
      <c r="BX130" s="1357"/>
      <c r="BY130" s="1359"/>
      <c r="BZ130" s="1360"/>
      <c r="CA130" s="1357"/>
      <c r="CB130" s="1299"/>
      <c r="CC130" s="1300">
        <v>31</v>
      </c>
      <c r="CD130" s="1255">
        <f>+CC130-CC129</f>
        <v>0</v>
      </c>
      <c r="CE130" s="1295"/>
      <c r="CF130" s="1296">
        <f>+CC130*CG$133/1000</f>
        <v>1.4154800000000001</v>
      </c>
      <c r="CG130" s="1297"/>
      <c r="CH130" s="1295"/>
      <c r="CI130" s="1300"/>
      <c r="CJ130" s="1255"/>
      <c r="CK130" s="1295"/>
      <c r="CL130" s="1296"/>
      <c r="CM130" s="1297"/>
      <c r="CN130" s="1295"/>
      <c r="CO130" s="1295"/>
      <c r="CP130" s="1300"/>
      <c r="CQ130" s="1255"/>
      <c r="CR130" s="1295"/>
      <c r="CS130" s="1296"/>
      <c r="CT130" s="1297"/>
      <c r="CU130" s="1295"/>
      <c r="CV130" s="1299"/>
      <c r="CW130" s="1306">
        <f>+D130+Y130+AF130+AM130+AT130+BA130+CC130</f>
        <v>2116</v>
      </c>
      <c r="CX130" s="1307">
        <f>+CW130-CW129</f>
        <v>25</v>
      </c>
      <c r="CY130" s="1295">
        <f>+(CW130/CW122-1)*100</f>
        <v>9.8079916969382452</v>
      </c>
      <c r="CZ130" s="1297"/>
      <c r="DA130" s="1297"/>
      <c r="DB130" s="1296">
        <f>+G130+AB130+AI130+AP130+AW130+BD130+CF130</f>
        <v>62.439078551011711</v>
      </c>
      <c r="DC130" s="1297"/>
      <c r="DD130" s="1295">
        <f>+(DB130/DB122-1)*100</f>
        <v>11.145072005076218</v>
      </c>
      <c r="DE130" s="1266"/>
      <c r="DF130" s="1350">
        <f>+D130/$CW130</f>
        <v>0.67911153119092627</v>
      </c>
      <c r="DG130" s="1351"/>
      <c r="DH130" s="1351"/>
      <c r="DI130" s="1350">
        <f>+Y130/$CW130</f>
        <v>7.6559546313799617E-2</v>
      </c>
      <c r="DJ130" s="1350">
        <f>+AF130/CW130</f>
        <v>7.2778827977315691E-2</v>
      </c>
      <c r="DK130" s="1350">
        <f>+AM130/CW130</f>
        <v>9.0737240075614373E-2</v>
      </c>
      <c r="DL130" s="1350">
        <f>+AT130/CW130</f>
        <v>5.1039697542533083E-2</v>
      </c>
      <c r="DM130" s="1350">
        <f>+BA130/$CW130</f>
        <v>1.5122873345935728E-2</v>
      </c>
      <c r="DN130" s="1350">
        <f>+BH130/$CW130</f>
        <v>0</v>
      </c>
      <c r="DO130" s="1350"/>
      <c r="DP130" s="1350"/>
      <c r="DQ130" s="1350"/>
      <c r="DS130" s="1333">
        <f t="shared" si="0"/>
        <v>0</v>
      </c>
      <c r="DT130" s="1333">
        <f t="shared" si="1"/>
        <v>5</v>
      </c>
      <c r="DU130" s="1333">
        <f t="shared" si="2"/>
        <v>0</v>
      </c>
      <c r="DV130" s="1333">
        <f t="shared" si="3"/>
        <v>6</v>
      </c>
      <c r="DW130" s="1333">
        <f t="shared" si="4"/>
        <v>7</v>
      </c>
      <c r="DX130" s="1333">
        <f t="shared" si="5"/>
        <v>6</v>
      </c>
      <c r="DY130" s="1333">
        <f t="shared" si="6"/>
        <v>1</v>
      </c>
      <c r="DZ130" s="1333">
        <f t="shared" si="7"/>
        <v>0</v>
      </c>
      <c r="EA130" s="1333">
        <f t="shared" si="8"/>
        <v>0</v>
      </c>
      <c r="EB130" s="1333">
        <f t="shared" si="9"/>
        <v>0</v>
      </c>
      <c r="ED130" s="451">
        <f>-(SUMIF(DS130:EB130,"&lt;0"))</f>
        <v>0</v>
      </c>
      <c r="EE130" s="451">
        <f>(SUMIF(DS130:EB130,"&gt;0"))</f>
        <v>25</v>
      </c>
      <c r="EF130" s="451">
        <f>+EE130-ED130</f>
        <v>25</v>
      </c>
      <c r="EG130" s="1333">
        <f>+EF130-CX130</f>
        <v>0</v>
      </c>
    </row>
    <row r="131" spans="1:137" ht="15">
      <c r="A131" s="1266" t="str">
        <f>$A$19</f>
        <v>3Q</v>
      </c>
      <c r="B131" s="1266" t="str">
        <f>$B$19</f>
        <v>Oct</v>
      </c>
      <c r="C131" s="1266"/>
      <c r="D131" s="1294">
        <f t="shared" si="14"/>
        <v>1462</v>
      </c>
      <c r="E131" s="1255">
        <f t="shared" si="14"/>
        <v>25</v>
      </c>
      <c r="F131" s="1295">
        <f>+(D131/D123-1)*100</f>
        <v>3.8352272727272707</v>
      </c>
      <c r="G131" s="1296">
        <f>+N131+U131</f>
        <v>44.370534716654859</v>
      </c>
      <c r="H131" s="1297"/>
      <c r="I131" s="1295">
        <f>+(G131/G123-1)*100</f>
        <v>4.1244097262686408</v>
      </c>
      <c r="J131" s="1266"/>
      <c r="K131" s="1300">
        <v>767</v>
      </c>
      <c r="L131" s="1255">
        <f>+K131-K130</f>
        <v>14</v>
      </c>
      <c r="M131" s="1295">
        <f>+(K131/K123-1)*100</f>
        <v>3.0913978494623739</v>
      </c>
      <c r="N131" s="1296">
        <f>+K131*O$133/1000</f>
        <v>22.64792452348993</v>
      </c>
      <c r="O131" s="1297"/>
      <c r="P131" s="1295">
        <f>+(N131/N123-1)*100</f>
        <v>3.1185381026723524</v>
      </c>
      <c r="Q131" s="1299"/>
      <c r="R131" s="1300">
        <v>695</v>
      </c>
      <c r="S131" s="1255">
        <f>+R131-R130</f>
        <v>11</v>
      </c>
      <c r="T131" s="1295">
        <f>+(R131/R123-1)*100</f>
        <v>4.6686746987951722</v>
      </c>
      <c r="U131" s="1296">
        <f>+R131*V$133/1000</f>
        <v>21.722610193164932</v>
      </c>
      <c r="V131" s="1297"/>
      <c r="W131" s="1295">
        <f>+(U131/U123-1)*100</f>
        <v>5.1942382235590001</v>
      </c>
      <c r="X131" s="1299"/>
      <c r="Y131" s="1300">
        <v>167</v>
      </c>
      <c r="Z131" s="1255">
        <f>+Y131-Y130</f>
        <v>5</v>
      </c>
      <c r="AA131" s="1295">
        <f>+(Y131/Y123-1)*100</f>
        <v>5.031446540880502</v>
      </c>
      <c r="AB131" s="1296">
        <f>+Y131*AC$133/1000</f>
        <v>4.8513500000000001</v>
      </c>
      <c r="AC131" s="1297"/>
      <c r="AD131" s="1295">
        <f>+(AB131/AB123-1)*100</f>
        <v>8.3616260888988094</v>
      </c>
      <c r="AE131" s="1299"/>
      <c r="AF131" s="1300">
        <v>160</v>
      </c>
      <c r="AG131" s="1255">
        <f>+AF131-AF130</f>
        <v>6</v>
      </c>
      <c r="AH131" s="1295">
        <f>+(AF131/AF123-1)*100</f>
        <v>11.888111888111897</v>
      </c>
      <c r="AI131" s="1296">
        <f>+AF131*AJ$133/1000</f>
        <v>4.5571156462585041</v>
      </c>
      <c r="AJ131" s="1297"/>
      <c r="AK131" s="1295">
        <f>+(AI131/AI123-1)*100</f>
        <v>18.489746392576812</v>
      </c>
      <c r="AL131" s="1299"/>
      <c r="AM131" s="1300">
        <v>206</v>
      </c>
      <c r="AN131" s="1255">
        <f>+AM131-AM130</f>
        <v>14</v>
      </c>
      <c r="AO131" s="1295">
        <f>+(AM131/AM123-1)*100</f>
        <v>17.714285714285705</v>
      </c>
      <c r="AP131" s="1296">
        <f>+AM131*AQ$133/1000</f>
        <v>5.1057786666666667</v>
      </c>
      <c r="AQ131" s="1297"/>
      <c r="AR131" s="1295">
        <f>+(AP131/AP123-1)*100</f>
        <v>16.437369821360704</v>
      </c>
      <c r="AS131" s="1299"/>
      <c r="AT131" s="1300">
        <v>121</v>
      </c>
      <c r="AU131" s="1255">
        <f>+AT131-AT130</f>
        <v>13</v>
      </c>
      <c r="AV131" s="1295">
        <f>+(AT131/AT123-1)*100</f>
        <v>27.368421052631575</v>
      </c>
      <c r="AW131" s="1296">
        <f>+AT131*AX$133/1000</f>
        <v>3.1135072222222226</v>
      </c>
      <c r="AX131" s="1297"/>
      <c r="AY131" s="1295">
        <f>+(AW131/AW123-1)*100</f>
        <v>27.289747433451449</v>
      </c>
      <c r="AZ131" s="1299"/>
      <c r="BA131" s="1300">
        <v>39</v>
      </c>
      <c r="BB131" s="1255">
        <f>+BA131-BA130</f>
        <v>7</v>
      </c>
      <c r="BC131" s="1295">
        <f>+(BA131/BA123-1)*100</f>
        <v>62.5</v>
      </c>
      <c r="BD131" s="1296">
        <f>+BA131*BE$133/1000</f>
        <v>0.95081999999999978</v>
      </c>
      <c r="BE131" s="1297"/>
      <c r="BF131" s="1295">
        <f>+(BD131/BD123-1)*100</f>
        <v>60.883248730964446</v>
      </c>
      <c r="BG131" s="1295"/>
      <c r="BH131" s="1300"/>
      <c r="BI131" s="1255"/>
      <c r="BJ131" s="1295"/>
      <c r="BK131" s="1296"/>
      <c r="BL131" s="1297"/>
      <c r="BM131" s="1295"/>
      <c r="BN131" s="1295"/>
      <c r="BO131" s="1300"/>
      <c r="BP131" s="1255"/>
      <c r="BQ131" s="1295"/>
      <c r="BR131" s="1296"/>
      <c r="BS131" s="1297"/>
      <c r="BT131" s="1295"/>
      <c r="BU131" s="1295"/>
      <c r="BV131" s="1340"/>
      <c r="BW131" s="1358"/>
      <c r="BX131" s="1357"/>
      <c r="BY131" s="1359"/>
      <c r="BZ131" s="1360"/>
      <c r="CA131" s="1357"/>
      <c r="CB131" s="1299"/>
      <c r="CC131" s="1300">
        <v>33</v>
      </c>
      <c r="CD131" s="1255">
        <f>+CC131-CC130</f>
        <v>2</v>
      </c>
      <c r="CE131" s="1295"/>
      <c r="CF131" s="1296">
        <f>+CC131*CG$133/1000</f>
        <v>1.5068012903225809</v>
      </c>
      <c r="CG131" s="1297"/>
      <c r="CH131" s="1295"/>
      <c r="CI131" s="1300"/>
      <c r="CJ131" s="1255"/>
      <c r="CK131" s="1295"/>
      <c r="CL131" s="1296"/>
      <c r="CM131" s="1297"/>
      <c r="CN131" s="1295"/>
      <c r="CO131" s="1295"/>
      <c r="CP131" s="1300"/>
      <c r="CQ131" s="1255"/>
      <c r="CR131" s="1295"/>
      <c r="CS131" s="1296"/>
      <c r="CT131" s="1297"/>
      <c r="CU131" s="1295"/>
      <c r="CV131" s="1299"/>
      <c r="CW131" s="1306">
        <f>+D131+Y131+AF131+AM131+AT131+BA131+CC131</f>
        <v>2188</v>
      </c>
      <c r="CX131" s="1307">
        <f>+CW131-CW130</f>
        <v>72</v>
      </c>
      <c r="CY131" s="1295">
        <f>+(CW131/CW123-1)*100</f>
        <v>9.1816367265469054</v>
      </c>
      <c r="CZ131" s="1297"/>
      <c r="DA131" s="1297"/>
      <c r="DB131" s="1296">
        <f>+G131+AB131+AI131+AP131+AW131+BD131+CF131</f>
        <v>64.455907542124834</v>
      </c>
      <c r="DC131" s="1297"/>
      <c r="DD131" s="1295">
        <f>+(DB131/DB123-1)*100</f>
        <v>10.449137294158174</v>
      </c>
      <c r="DE131" s="1266"/>
      <c r="DF131" s="1350">
        <f>+D131/$CW131</f>
        <v>0.6681901279707495</v>
      </c>
      <c r="DG131" s="1351"/>
      <c r="DH131" s="1351"/>
      <c r="DI131" s="1350">
        <f>+Y131/$CW131</f>
        <v>7.6325411334552104E-2</v>
      </c>
      <c r="DJ131" s="1350">
        <f>+AF131/CW131</f>
        <v>7.3126142595978064E-2</v>
      </c>
      <c r="DK131" s="1350">
        <f>+AM131/CW131</f>
        <v>9.4149908592321752E-2</v>
      </c>
      <c r="DL131" s="1350">
        <f>+AT131/CW131</f>
        <v>5.5301645338208409E-2</v>
      </c>
      <c r="DM131" s="1350">
        <f>+BA131/$CW131</f>
        <v>1.7824497257769651E-2</v>
      </c>
      <c r="DN131" s="1350">
        <f>+BH131/$CW131</f>
        <v>0</v>
      </c>
      <c r="DO131" s="1350"/>
      <c r="DP131" s="1350"/>
      <c r="DQ131" s="1350"/>
      <c r="DS131" s="1333">
        <f t="shared" si="0"/>
        <v>14</v>
      </c>
      <c r="DT131" s="1333">
        <f t="shared" si="1"/>
        <v>11</v>
      </c>
      <c r="DU131" s="1333">
        <f t="shared" si="2"/>
        <v>5</v>
      </c>
      <c r="DV131" s="1333">
        <f t="shared" si="3"/>
        <v>6</v>
      </c>
      <c r="DW131" s="1333">
        <f t="shared" si="4"/>
        <v>14</v>
      </c>
      <c r="DX131" s="1333">
        <f t="shared" si="5"/>
        <v>13</v>
      </c>
      <c r="DY131" s="1333">
        <f t="shared" si="6"/>
        <v>7</v>
      </c>
      <c r="DZ131" s="1333">
        <f t="shared" si="7"/>
        <v>0</v>
      </c>
      <c r="EA131" s="1333">
        <f t="shared" si="8"/>
        <v>0</v>
      </c>
      <c r="EB131" s="1333">
        <f t="shared" si="9"/>
        <v>2</v>
      </c>
      <c r="ED131" s="451">
        <f>-(SUMIF(DS131:EB131,"&lt;0"))</f>
        <v>0</v>
      </c>
      <c r="EE131" s="451">
        <f>(SUMIF(DS131:EB131,"&gt;0"))</f>
        <v>72</v>
      </c>
      <c r="EF131" s="451">
        <f>+EE131-ED131</f>
        <v>72</v>
      </c>
      <c r="EG131" s="1333">
        <f>+EF131-CX131</f>
        <v>0</v>
      </c>
    </row>
    <row r="132" spans="1:137" ht="15">
      <c r="A132" s="1266" t="str">
        <f>$A$20</f>
        <v>4Q</v>
      </c>
      <c r="B132" s="1266" t="str">
        <f>$B$20</f>
        <v>Jan</v>
      </c>
      <c r="C132" s="1266"/>
      <c r="D132" s="1312">
        <f t="shared" si="14"/>
        <v>1468</v>
      </c>
      <c r="E132" s="1255">
        <f t="shared" si="14"/>
        <v>6</v>
      </c>
      <c r="F132" s="1295">
        <f>+(D132/D124-1)*100</f>
        <v>3.5260930888575404</v>
      </c>
      <c r="G132" s="1313">
        <f>+N132+U132</f>
        <v>44.551157556668024</v>
      </c>
      <c r="H132" s="1297"/>
      <c r="I132" s="1295">
        <f>+(G132/G124-1)*100</f>
        <v>3.848852113445278</v>
      </c>
      <c r="J132" s="1266"/>
      <c r="K132" s="1314">
        <v>771</v>
      </c>
      <c r="L132" s="1255">
        <f>+K132-K131</f>
        <v>4</v>
      </c>
      <c r="M132" s="1295">
        <f>+(K132/K124-1)*100</f>
        <v>3.4899328859060441</v>
      </c>
      <c r="N132" s="1313">
        <f>+K132*O$133/1000</f>
        <v>22.766036255033555</v>
      </c>
      <c r="O132" s="1297"/>
      <c r="P132" s="1295">
        <f>+(N132/N124-1)*100</f>
        <v>3.623287460325697</v>
      </c>
      <c r="Q132" s="1299"/>
      <c r="R132" s="1314">
        <v>697</v>
      </c>
      <c r="S132" s="1255">
        <f>+R132-R131</f>
        <v>2</v>
      </c>
      <c r="T132" s="1295">
        <f>+(R132/R124-1)*100</f>
        <v>3.5661218424962948</v>
      </c>
      <c r="U132" s="1313">
        <f>+R132*V$133/1000</f>
        <v>21.785121301634469</v>
      </c>
      <c r="V132" s="1297"/>
      <c r="W132" s="1295">
        <f>+(U132/U124-1)*100</f>
        <v>4.0856249480863305</v>
      </c>
      <c r="X132" s="1299"/>
      <c r="Y132" s="1314">
        <v>168</v>
      </c>
      <c r="Z132" s="1255">
        <f>+Y132-Y131</f>
        <v>1</v>
      </c>
      <c r="AA132" s="1295">
        <f>+(Y132/Y124-1)*100</f>
        <v>5.0000000000000044</v>
      </c>
      <c r="AB132" s="1313">
        <f>+Y132*AC$133/1000</f>
        <v>4.8804000000000007</v>
      </c>
      <c r="AC132" s="1297"/>
      <c r="AD132" s="1295">
        <f>+(AB132/AB124-1)*100</f>
        <v>8.2608695652174102</v>
      </c>
      <c r="AE132" s="1299"/>
      <c r="AF132" s="1314">
        <v>170</v>
      </c>
      <c r="AG132" s="1255">
        <f>+AF132-AF131</f>
        <v>10</v>
      </c>
      <c r="AH132" s="1295">
        <f>+(AF132/AF124-1)*100</f>
        <v>15.646258503401356</v>
      </c>
      <c r="AI132" s="1313">
        <f>+AF132*AJ$133/1000</f>
        <v>4.84193537414966</v>
      </c>
      <c r="AJ132" s="1297"/>
      <c r="AK132" s="1295">
        <f>+(AI132/AI124-1)*100</f>
        <v>22.30197964510381</v>
      </c>
      <c r="AL132" s="1299"/>
      <c r="AM132" s="1314">
        <v>216</v>
      </c>
      <c r="AN132" s="1255">
        <f>+AM132-AM131</f>
        <v>10</v>
      </c>
      <c r="AO132" s="1295">
        <f>+(AM132/AM124-1)*100</f>
        <v>18.681318681318682</v>
      </c>
      <c r="AP132" s="1313">
        <f>+AM132*AQ$133/1000</f>
        <v>5.3536320000000002</v>
      </c>
      <c r="AQ132" s="1297"/>
      <c r="AR132" s="1295">
        <f>+(AP132/AP124-1)*100</f>
        <v>17.429962711120851</v>
      </c>
      <c r="AS132" s="1299"/>
      <c r="AT132" s="1314">
        <v>130</v>
      </c>
      <c r="AU132" s="1255">
        <f>+AT132-AT131</f>
        <v>9</v>
      </c>
      <c r="AV132" s="1295">
        <f>+(AT132/AT124-1)*100</f>
        <v>31.313131313131315</v>
      </c>
      <c r="AW132" s="1313">
        <f>+AT132*AX$133/1000</f>
        <v>3.3450904040404041</v>
      </c>
      <c r="AX132" s="1297"/>
      <c r="AY132" s="1295">
        <f>+(AW132/AW124-1)*100</f>
        <v>31.748342026010402</v>
      </c>
      <c r="AZ132" s="1299"/>
      <c r="BA132" s="1314">
        <v>40</v>
      </c>
      <c r="BB132" s="1255">
        <f>+BA132-BA131</f>
        <v>1</v>
      </c>
      <c r="BC132" s="1295">
        <f>+(BA132/BA124-1)*100</f>
        <v>60.000000000000007</v>
      </c>
      <c r="BD132" s="1313">
        <f>+BA132*BE$133/1000</f>
        <v>0.97519999999999984</v>
      </c>
      <c r="BE132" s="1297"/>
      <c r="BF132" s="1295">
        <f>+(BD132/BD124-1)*100</f>
        <v>59.346405228758137</v>
      </c>
      <c r="BG132" s="1295"/>
      <c r="BH132" s="1314"/>
      <c r="BI132" s="1255"/>
      <c r="BJ132" s="1295"/>
      <c r="BK132" s="1313"/>
      <c r="BL132" s="1297"/>
      <c r="BM132" s="1295"/>
      <c r="BN132" s="1295"/>
      <c r="BO132" s="1314"/>
      <c r="BP132" s="1255"/>
      <c r="BQ132" s="1295"/>
      <c r="BR132" s="1313"/>
      <c r="BS132" s="1297"/>
      <c r="BT132" s="1295"/>
      <c r="BU132" s="1295"/>
      <c r="BV132" s="1361"/>
      <c r="BW132" s="1358"/>
      <c r="BX132" s="1357"/>
      <c r="BY132" s="1362"/>
      <c r="BZ132" s="1360"/>
      <c r="CA132" s="1357"/>
      <c r="CB132" s="1299"/>
      <c r="CC132" s="1314">
        <v>32</v>
      </c>
      <c r="CD132" s="1255">
        <f>+CC132-CC131</f>
        <v>-1</v>
      </c>
      <c r="CE132" s="1295">
        <f>+(CC132/CC124-1)*100</f>
        <v>3.2258064516129004</v>
      </c>
      <c r="CF132" s="1313">
        <f>+CC132*CG$133/1000</f>
        <v>1.4611406451612905</v>
      </c>
      <c r="CG132" s="1297"/>
      <c r="CH132" s="1295"/>
      <c r="CI132" s="1314"/>
      <c r="CJ132" s="1255"/>
      <c r="CK132" s="1295"/>
      <c r="CL132" s="1313"/>
      <c r="CM132" s="1297"/>
      <c r="CN132" s="1295"/>
      <c r="CO132" s="1295"/>
      <c r="CP132" s="1314"/>
      <c r="CQ132" s="1255"/>
      <c r="CR132" s="1295"/>
      <c r="CS132" s="1313"/>
      <c r="CT132" s="1297"/>
      <c r="CU132" s="1295"/>
      <c r="CV132" s="1299"/>
      <c r="CW132" s="1312">
        <f>+D132+Y132+AF132+AM132+AT132+BA132+CC132</f>
        <v>2224</v>
      </c>
      <c r="CX132" s="1307">
        <f>+CW132-CW131</f>
        <v>36</v>
      </c>
      <c r="CY132" s="1295">
        <f>+(CW132/CW124-1)*100</f>
        <v>7.8564500484965993</v>
      </c>
      <c r="CZ132" s="1297"/>
      <c r="DA132" s="1297"/>
      <c r="DB132" s="1313">
        <f>+G132+AB132+AI132+AP132+AW132+BD132+CF132</f>
        <v>65.408555980019372</v>
      </c>
      <c r="DC132" s="1297"/>
      <c r="DD132" s="1295">
        <f>+(DB132/DB124-1)*100</f>
        <v>8.1311885931879111</v>
      </c>
      <c r="DE132" s="1266"/>
      <c r="DF132" s="1350">
        <f>+D132/$CW132</f>
        <v>0.66007194244604317</v>
      </c>
      <c r="DG132" s="1351"/>
      <c r="DH132" s="1351"/>
      <c r="DI132" s="1350">
        <f>+Y132/$CW132</f>
        <v>7.5539568345323743E-2</v>
      </c>
      <c r="DJ132" s="1350">
        <f>+AF132/CW132</f>
        <v>7.6438848920863306E-2</v>
      </c>
      <c r="DK132" s="1350">
        <f>+AM132/CW132</f>
        <v>9.7122302158273388E-2</v>
      </c>
      <c r="DL132" s="1350">
        <f>+AT132/CW132</f>
        <v>5.845323741007194E-2</v>
      </c>
      <c r="DM132" s="1350">
        <f>+BA132/$CW132</f>
        <v>1.7985611510791366E-2</v>
      </c>
      <c r="DN132" s="1350">
        <f>+BH132/$CW132</f>
        <v>0</v>
      </c>
      <c r="DO132" s="1350"/>
      <c r="DP132" s="1350"/>
      <c r="DQ132" s="1350"/>
      <c r="DS132" s="1333">
        <f t="shared" si="0"/>
        <v>4</v>
      </c>
      <c r="DT132" s="1333">
        <f t="shared" si="1"/>
        <v>2</v>
      </c>
      <c r="DU132" s="1333">
        <f t="shared" si="2"/>
        <v>1</v>
      </c>
      <c r="DV132" s="1333">
        <f t="shared" si="3"/>
        <v>10</v>
      </c>
      <c r="DW132" s="1333">
        <f t="shared" si="4"/>
        <v>10</v>
      </c>
      <c r="DX132" s="1333">
        <f t="shared" si="5"/>
        <v>9</v>
      </c>
      <c r="DY132" s="1333">
        <f t="shared" si="6"/>
        <v>1</v>
      </c>
      <c r="DZ132" s="1333">
        <f t="shared" si="7"/>
        <v>0</v>
      </c>
      <c r="EA132" s="1333">
        <f t="shared" si="8"/>
        <v>0</v>
      </c>
      <c r="EB132" s="1333">
        <f t="shared" si="9"/>
        <v>-1</v>
      </c>
      <c r="ED132" s="451">
        <f>-(SUMIF(DS132:EB132,"&lt;0"))</f>
        <v>1</v>
      </c>
      <c r="EE132" s="451">
        <f>(SUMIF(DS132:EB132,"&gt;0"))</f>
        <v>37</v>
      </c>
      <c r="EF132" s="451">
        <f>+EE132-ED132</f>
        <v>36</v>
      </c>
      <c r="EG132" s="1333">
        <f>+EF132-CX132</f>
        <v>0</v>
      </c>
    </row>
    <row r="133" spans="1:137" ht="15">
      <c r="A133" s="1266"/>
      <c r="B133" s="1266" t="str">
        <f>$B$21</f>
        <v>Year</v>
      </c>
      <c r="C133" s="1266"/>
      <c r="D133" s="1306">
        <f>+D132</f>
        <v>1468</v>
      </c>
      <c r="E133" s="1317">
        <f>+D133-D125</f>
        <v>50</v>
      </c>
      <c r="F133" s="1295">
        <f>+(D133/D125-1)*100</f>
        <v>3.5260930888575404</v>
      </c>
      <c r="G133" s="1296">
        <f>+N133+U133</f>
        <v>43.852036255033553</v>
      </c>
      <c r="H133" s="1297">
        <f>+G133/D133*1000</f>
        <v>29.871959301793975</v>
      </c>
      <c r="I133" s="1295">
        <f>+(G133/G125-1)*100</f>
        <v>2.2191987296819482</v>
      </c>
      <c r="J133" s="1266"/>
      <c r="K133" s="1306">
        <f>+L133+K125</f>
        <v>771</v>
      </c>
      <c r="L133" s="1317">
        <f>+K132-K124</f>
        <v>26</v>
      </c>
      <c r="M133" s="1295">
        <f>+(K133/K125-1)*100</f>
        <v>3.4899328859060441</v>
      </c>
      <c r="N133" s="1296">
        <f>+K133*O133/1000</f>
        <v>22.766036255033555</v>
      </c>
      <c r="O133" s="1297">
        <f>+O125+0.038</f>
        <v>29.52793288590604</v>
      </c>
      <c r="P133" s="1295">
        <f>+(N133/N125-1)*100</f>
        <v>3.623287460325697</v>
      </c>
      <c r="Q133" s="1299"/>
      <c r="R133" s="1306">
        <f>+S133+R125</f>
        <v>697</v>
      </c>
      <c r="S133" s="1317">
        <f>+R132-R124</f>
        <v>24</v>
      </c>
      <c r="T133" s="1295">
        <f>+(R133/R125-1)*100</f>
        <v>3.5661218424962948</v>
      </c>
      <c r="U133" s="1297">
        <f>+U125+0.156</f>
        <v>21.085999999999999</v>
      </c>
      <c r="V133" s="1297">
        <f>+V125+0.156</f>
        <v>31.255554234769686</v>
      </c>
      <c r="W133" s="1295">
        <f>+(U133/U125-1)*100</f>
        <v>0.74534161490682482</v>
      </c>
      <c r="X133" s="1299"/>
      <c r="Y133" s="1306">
        <f>+Z133+Y125</f>
        <v>168</v>
      </c>
      <c r="Z133" s="1317">
        <f>+Y132-Y124</f>
        <v>8</v>
      </c>
      <c r="AA133" s="1295">
        <f>+(Y133/Y125-1)*100</f>
        <v>5.0000000000000044</v>
      </c>
      <c r="AB133" s="1296">
        <f>+Y133*AC133/1000</f>
        <v>4.8804000000000007</v>
      </c>
      <c r="AC133" s="1321">
        <v>29.05</v>
      </c>
      <c r="AD133" s="1295">
        <f>+(AB133/AB125-1)*100</f>
        <v>8.2608695652174102</v>
      </c>
      <c r="AE133" s="1299"/>
      <c r="AF133" s="1306">
        <f>+AG133+AF125</f>
        <v>170</v>
      </c>
      <c r="AG133" s="1317">
        <f>+AF132-AF124</f>
        <v>23</v>
      </c>
      <c r="AH133" s="1295">
        <f>+(AF133/AF125-1)*100</f>
        <v>15.646258503401356</v>
      </c>
      <c r="AI133" s="1296">
        <f>+AF133*AJ133/1000</f>
        <v>4.84193537414966</v>
      </c>
      <c r="AJ133" s="1297">
        <f>+AJ125+1.55</f>
        <v>28.481972789115648</v>
      </c>
      <c r="AK133" s="1295">
        <f>+(AI133/AI125-1)*100</f>
        <v>22.30197964510381</v>
      </c>
      <c r="AL133" s="1299"/>
      <c r="AM133" s="1306">
        <f>+AN133+AM125</f>
        <v>216</v>
      </c>
      <c r="AN133" s="1317">
        <f>+AM132-AM124</f>
        <v>34</v>
      </c>
      <c r="AO133" s="1295">
        <f>+(AM133/AM125-1)*100</f>
        <v>18.681318681318682</v>
      </c>
      <c r="AP133" s="1296">
        <f>+AM133*AQ133/1000</f>
        <v>5.3536320000000002</v>
      </c>
      <c r="AQ133" s="1297">
        <f>+((27*120)+(21*96))/216+0.452</f>
        <v>24.785333333333334</v>
      </c>
      <c r="AR133" s="1295">
        <f>+(AP133/AP125-1)*100</f>
        <v>17.429962711120851</v>
      </c>
      <c r="AS133" s="1299"/>
      <c r="AT133" s="1306">
        <f>+AU133+AT125</f>
        <v>130</v>
      </c>
      <c r="AU133" s="1317">
        <f>+AT132-AT124</f>
        <v>31</v>
      </c>
      <c r="AV133" s="1295">
        <f>+(AT133/AT125-1)*100</f>
        <v>31.313131313131315</v>
      </c>
      <c r="AW133" s="1296">
        <f>+AT133*AX133/1000</f>
        <v>3.3450904040404041</v>
      </c>
      <c r="AX133" s="1297">
        <f>+AX125+0.085</f>
        <v>25.731464646464648</v>
      </c>
      <c r="AY133" s="1295">
        <f>+(AW133/AW125-1)*100</f>
        <v>31.748342026010402</v>
      </c>
      <c r="AZ133" s="1299"/>
      <c r="BA133" s="1306">
        <f>+BB133+BA125</f>
        <v>40</v>
      </c>
      <c r="BB133" s="1317">
        <f>+BA132-BA124</f>
        <v>15</v>
      </c>
      <c r="BC133" s="1295">
        <f>+(BA133/BA125-1)*100</f>
        <v>60.000000000000007</v>
      </c>
      <c r="BD133" s="1296">
        <f>+BA133*BE133/1000</f>
        <v>0.97519999999999984</v>
      </c>
      <c r="BE133" s="1297">
        <f>+BE125-0.1</f>
        <v>24.379999999999995</v>
      </c>
      <c r="BF133" s="1295">
        <f>+(BD133/BD125-1)*100</f>
        <v>59.346405228758137</v>
      </c>
      <c r="BG133" s="1295"/>
      <c r="BH133" s="1306"/>
      <c r="BI133" s="1317"/>
      <c r="BJ133" s="1295"/>
      <c r="BK133" s="1296"/>
      <c r="BL133" s="1297"/>
      <c r="BM133" s="1295"/>
      <c r="BN133" s="1295"/>
      <c r="BO133" s="1306"/>
      <c r="BP133" s="1317"/>
      <c r="BQ133" s="1295"/>
      <c r="BR133" s="1296"/>
      <c r="BS133" s="1297"/>
      <c r="BT133" s="1295"/>
      <c r="BU133" s="1295"/>
      <c r="BV133" s="1337"/>
      <c r="BW133" s="1343"/>
      <c r="BX133" s="1357"/>
      <c r="BY133" s="1359"/>
      <c r="BZ133" s="1360"/>
      <c r="CA133" s="1357"/>
      <c r="CB133" s="1299"/>
      <c r="CC133" s="1306">
        <f>+CD133+CC125</f>
        <v>32</v>
      </c>
      <c r="CD133" s="1317">
        <f>+CC132-CC124</f>
        <v>1</v>
      </c>
      <c r="CE133" s="1295">
        <f>+(CC133/CC125-1)*100</f>
        <v>3.2258064516129004</v>
      </c>
      <c r="CF133" s="1296">
        <f>+CC133*CG133/1000</f>
        <v>1.4611406451612905</v>
      </c>
      <c r="CG133" s="1297">
        <f>+CG125+0.08</f>
        <v>45.660645161290326</v>
      </c>
      <c r="CH133" s="1295">
        <f>+(CF133/CF125-1)*100</f>
        <v>3.4069812569915481</v>
      </c>
      <c r="CI133" s="1306"/>
      <c r="CJ133" s="1317"/>
      <c r="CK133" s="1295"/>
      <c r="CL133" s="1296"/>
      <c r="CM133" s="1297"/>
      <c r="CN133" s="1295"/>
      <c r="CO133" s="1295"/>
      <c r="CP133" s="1306"/>
      <c r="CQ133" s="1317"/>
      <c r="CR133" s="1295"/>
      <c r="CS133" s="1296"/>
      <c r="CT133" s="1297"/>
      <c r="CU133" s="1295"/>
      <c r="CV133" s="1299"/>
      <c r="CW133" s="1306">
        <f>+D133+Y133+AF133+AM133+AT133+BA133+CC133</f>
        <v>2224</v>
      </c>
      <c r="CX133" s="1317">
        <f>+L133+S133+Z133+AG133+AN133+AU133+BB133+CD133</f>
        <v>162</v>
      </c>
      <c r="CY133" s="1295">
        <f>+(CW133/CW125-1)*100</f>
        <v>7.8564500484965993</v>
      </c>
      <c r="CZ133" s="1297"/>
      <c r="DA133" s="1297"/>
      <c r="DB133" s="1296">
        <f>+G133+AB133+AI133+AP133+AW133+BD133+CF133</f>
        <v>64.709434678384909</v>
      </c>
      <c r="DC133" s="1297">
        <f>+DB133/CW133*1000</f>
        <v>29.095968830209038</v>
      </c>
      <c r="DD133" s="1295">
        <f>+(DB133/DB125-1)*100</f>
        <v>6.9754251585136595</v>
      </c>
      <c r="DE133" s="1266"/>
      <c r="DF133" s="1350">
        <f>+D133/$CW133</f>
        <v>0.66007194244604317</v>
      </c>
      <c r="DG133" s="1351"/>
      <c r="DH133" s="1351"/>
      <c r="DI133" s="1350">
        <f>+Y133/$CW133</f>
        <v>7.5539568345323743E-2</v>
      </c>
      <c r="DJ133" s="1350">
        <f>+AF133/CW133</f>
        <v>7.6438848920863306E-2</v>
      </c>
      <c r="DK133" s="1350">
        <f>+AM133/CW133</f>
        <v>9.7122302158273388E-2</v>
      </c>
      <c r="DL133" s="1350">
        <f>+AT133/CW133</f>
        <v>5.845323741007194E-2</v>
      </c>
      <c r="DM133" s="1350">
        <f>+BA133/$CW133</f>
        <v>1.7985611510791366E-2</v>
      </c>
      <c r="DN133" s="1350">
        <f>+BH133/$CW133</f>
        <v>0</v>
      </c>
      <c r="DO133" s="1350"/>
      <c r="DP133" s="1350"/>
      <c r="DQ133" s="1350"/>
      <c r="DS133" s="1333"/>
      <c r="DT133" s="1333"/>
      <c r="DU133" s="1333"/>
      <c r="DV133" s="1333"/>
      <c r="DW133" s="1333"/>
      <c r="DX133" s="1333"/>
      <c r="DY133" s="1333"/>
      <c r="DZ133" s="1333"/>
      <c r="EA133" s="1333"/>
      <c r="EB133" s="1333"/>
      <c r="ED133" s="693">
        <f>SUM(ED129:ED132)</f>
        <v>1</v>
      </c>
      <c r="EE133" s="693">
        <f>SUM(EE129:EE132)</f>
        <v>163</v>
      </c>
      <c r="EF133" s="693">
        <f>+EE133-ED133</f>
        <v>162</v>
      </c>
      <c r="EG133" s="1333">
        <f>+EF133-CX133</f>
        <v>0</v>
      </c>
    </row>
    <row r="134" spans="1:137" ht="15" hidden="1" outlineLevel="1">
      <c r="A134" s="1266"/>
      <c r="B134" s="1266"/>
      <c r="C134" s="1266"/>
      <c r="D134" s="1306"/>
      <c r="E134" s="1317"/>
      <c r="F134" s="1295"/>
      <c r="G134" s="1296"/>
      <c r="H134" s="1297"/>
      <c r="I134" s="1295"/>
      <c r="J134" s="1266"/>
      <c r="K134" s="1306"/>
      <c r="L134" s="1256"/>
      <c r="M134" s="1295"/>
      <c r="N134" s="1325" t="str">
        <f>IF(SUM(L134:M134)=L133,"","N")</f>
        <v>N</v>
      </c>
      <c r="O134" s="1297"/>
      <c r="P134" s="1295"/>
      <c r="Q134" s="1299"/>
      <c r="R134" s="1306"/>
      <c r="S134" s="1256"/>
      <c r="T134" s="1295"/>
      <c r="U134" s="1325" t="str">
        <f>IF(SUM(S134:T134)=S133,"","N")</f>
        <v>N</v>
      </c>
      <c r="V134" s="1297"/>
      <c r="W134" s="1295"/>
      <c r="X134" s="1299"/>
      <c r="Y134" s="1306"/>
      <c r="Z134" s="1256"/>
      <c r="AA134" s="1295"/>
      <c r="AB134" s="1325" t="str">
        <f>IF(SUM(Z134:AA134)=Z133,"","N")</f>
        <v>N</v>
      </c>
      <c r="AC134" s="1297"/>
      <c r="AD134" s="1295"/>
      <c r="AE134" s="1299"/>
      <c r="AF134" s="1306"/>
      <c r="AG134" s="1256"/>
      <c r="AH134" s="1295"/>
      <c r="AI134" s="1325" t="str">
        <f>IF(SUM(AG134:AH134)=AG133,"","N")</f>
        <v>N</v>
      </c>
      <c r="AJ134" s="1297"/>
      <c r="AK134" s="1295"/>
      <c r="AL134" s="1299"/>
      <c r="AM134" s="1306"/>
      <c r="AN134" s="1256"/>
      <c r="AO134" s="1295"/>
      <c r="AP134" s="1325" t="str">
        <f>IF(SUM(AN134:AO134)=AN133,"","N")</f>
        <v>N</v>
      </c>
      <c r="AQ134" s="1297"/>
      <c r="AR134" s="1295"/>
      <c r="AS134" s="1299"/>
      <c r="AT134" s="1306"/>
      <c r="AU134" s="1256"/>
      <c r="AV134" s="1295"/>
      <c r="AW134" s="1325" t="str">
        <f>IF(SUM(AU134:AV134)=AU133,"","N")</f>
        <v>N</v>
      </c>
      <c r="AX134" s="1297"/>
      <c r="AY134" s="1295"/>
      <c r="AZ134" s="1299"/>
      <c r="BA134" s="1306"/>
      <c r="BB134" s="1256"/>
      <c r="BC134" s="1295"/>
      <c r="BD134" s="1325"/>
      <c r="BE134" s="1297"/>
      <c r="BF134" s="1295"/>
      <c r="BG134" s="1295"/>
      <c r="BH134" s="1306"/>
      <c r="BI134" s="1256"/>
      <c r="BJ134" s="1295"/>
      <c r="BK134" s="1296"/>
      <c r="BL134" s="1297"/>
      <c r="BM134" s="1295"/>
      <c r="BN134" s="1295"/>
      <c r="BO134" s="1306"/>
      <c r="BP134" s="1256"/>
      <c r="BQ134" s="1295"/>
      <c r="BR134" s="1296"/>
      <c r="BS134" s="1297"/>
      <c r="BT134" s="1295"/>
      <c r="BU134" s="1295"/>
      <c r="BV134" s="1337"/>
      <c r="BW134" s="1343"/>
      <c r="BX134" s="1357"/>
      <c r="BY134" s="1359"/>
      <c r="BZ134" s="1360"/>
      <c r="CA134" s="1357"/>
      <c r="CB134" s="1299"/>
      <c r="CC134" s="1306"/>
      <c r="CD134" s="1256"/>
      <c r="CE134" s="1295"/>
      <c r="CF134" s="1296"/>
      <c r="CG134" s="1297"/>
      <c r="CH134" s="1295"/>
      <c r="CI134" s="1306"/>
      <c r="CJ134" s="1256"/>
      <c r="CK134" s="1295"/>
      <c r="CL134" s="1296"/>
      <c r="CM134" s="1297"/>
      <c r="CN134" s="1295"/>
      <c r="CO134" s="1295"/>
      <c r="CP134" s="1306"/>
      <c r="CQ134" s="1256"/>
      <c r="CR134" s="1295"/>
      <c r="CS134" s="1296"/>
      <c r="CT134" s="1297"/>
      <c r="CU134" s="1295"/>
      <c r="CV134" s="1299"/>
      <c r="CW134" s="1306"/>
      <c r="CX134" s="1317"/>
      <c r="CY134" s="1297"/>
      <c r="CZ134" s="1297"/>
      <c r="DA134" s="1297"/>
      <c r="DB134" s="1296"/>
      <c r="DC134" s="1297"/>
      <c r="DD134" s="1302"/>
      <c r="DE134" s="1266"/>
      <c r="DF134" s="1350"/>
      <c r="DG134" s="1351"/>
      <c r="DH134" s="1351"/>
      <c r="DI134" s="1350"/>
      <c r="DJ134" s="1350"/>
      <c r="DK134" s="1350"/>
      <c r="DL134" s="1350"/>
      <c r="DM134" s="1350"/>
      <c r="DN134" s="1350"/>
      <c r="DO134" s="1350"/>
      <c r="DP134" s="1350"/>
      <c r="DQ134" s="1350"/>
      <c r="DS134" s="1333"/>
      <c r="DT134" s="1333"/>
      <c r="DU134" s="1333"/>
      <c r="DV134" s="1333"/>
      <c r="DW134" s="1333"/>
      <c r="DX134" s="1333"/>
      <c r="DY134" s="1333"/>
      <c r="DZ134" s="1333"/>
      <c r="EA134" s="1333"/>
      <c r="EB134" s="1333"/>
    </row>
    <row r="135" spans="1:137" ht="15" collapsed="1">
      <c r="A135" s="1266"/>
      <c r="B135" s="1266"/>
      <c r="C135" s="1266"/>
      <c r="D135" s="1335"/>
      <c r="E135" s="1269"/>
      <c r="F135" s="1302"/>
      <c r="G135" s="1335"/>
      <c r="H135" s="1268"/>
      <c r="I135" s="1295"/>
      <c r="J135" s="1266"/>
      <c r="K135" s="1336"/>
      <c r="L135" s="1269"/>
      <c r="M135" s="1268"/>
      <c r="N135" s="1367"/>
      <c r="O135" s="1268"/>
      <c r="P135" s="1295"/>
      <c r="Q135" s="1268"/>
      <c r="R135" s="1336"/>
      <c r="S135" s="1269"/>
      <c r="T135" s="1268"/>
      <c r="U135" s="1336"/>
      <c r="V135" s="1268"/>
      <c r="W135" s="1295"/>
      <c r="X135" s="1268"/>
      <c r="Y135" s="1336"/>
      <c r="Z135" s="1269"/>
      <c r="AA135" s="1369" t="s">
        <v>355</v>
      </c>
      <c r="AB135" s="1367">
        <f>+AB133+BD133</f>
        <v>5.8556000000000008</v>
      </c>
      <c r="AC135" s="1268"/>
      <c r="AD135" s="1295">
        <f>+(AB135/AB127-1)*100</f>
        <v>14.367187500000011</v>
      </c>
      <c r="AE135" s="1268"/>
      <c r="AF135" s="1336"/>
      <c r="AG135" s="1269"/>
      <c r="AH135" s="1270"/>
      <c r="AI135" s="1336"/>
      <c r="AJ135" s="1268"/>
      <c r="AK135" s="1302"/>
      <c r="AL135" s="1268"/>
      <c r="AM135" s="1336"/>
      <c r="AN135" s="1269"/>
      <c r="AO135" s="1268"/>
      <c r="AP135" s="1336"/>
      <c r="AQ135" s="1268"/>
      <c r="AR135" s="1295"/>
      <c r="AS135" s="1268"/>
      <c r="AT135" s="1336"/>
      <c r="AU135" s="1269"/>
      <c r="AV135" s="1266"/>
      <c r="AW135" s="1336"/>
      <c r="AX135" s="1268"/>
      <c r="AY135" s="1295"/>
      <c r="AZ135" s="1266"/>
      <c r="BA135" s="1336"/>
      <c r="BB135" s="1269"/>
      <c r="BC135" s="1266"/>
      <c r="BD135" s="1336"/>
      <c r="BE135" s="1268"/>
      <c r="BF135" s="1295"/>
      <c r="BG135" s="1295"/>
      <c r="BH135" s="1336"/>
      <c r="BI135" s="1269"/>
      <c r="BJ135" s="1266"/>
      <c r="BK135" s="1336"/>
      <c r="BL135" s="1268"/>
      <c r="BM135" s="1295"/>
      <c r="BN135" s="1295"/>
      <c r="BO135" s="1336"/>
      <c r="BP135" s="1269"/>
      <c r="BQ135" s="1266"/>
      <c r="BR135" s="1336"/>
      <c r="BS135" s="1268"/>
      <c r="BT135" s="1295"/>
      <c r="BU135" s="1295"/>
      <c r="BV135" s="1345"/>
      <c r="BW135" s="1354"/>
      <c r="BX135" s="1355"/>
      <c r="BY135" s="1345"/>
      <c r="BZ135" s="1356"/>
      <c r="CA135" s="1357"/>
      <c r="CB135" s="1266"/>
      <c r="CC135" s="1336"/>
      <c r="CD135" s="1269"/>
      <c r="CE135" s="1266"/>
      <c r="CF135" s="1336"/>
      <c r="CG135" s="1268"/>
      <c r="CH135" s="1295"/>
      <c r="CI135" s="1336"/>
      <c r="CJ135" s="1269"/>
      <c r="CK135" s="1266"/>
      <c r="CL135" s="1336"/>
      <c r="CM135" s="1268"/>
      <c r="CN135" s="1295"/>
      <c r="CO135" s="1295"/>
      <c r="CP135" s="1336"/>
      <c r="CQ135" s="1269"/>
      <c r="CR135" s="1266"/>
      <c r="CS135" s="1336"/>
      <c r="CT135" s="1268"/>
      <c r="CU135" s="1295"/>
      <c r="CV135" s="1266"/>
      <c r="CW135" s="1335"/>
      <c r="CX135" s="1266"/>
      <c r="CY135" s="1266"/>
      <c r="CZ135" s="1266"/>
      <c r="DA135" s="1266"/>
      <c r="DB135" s="1335"/>
      <c r="DC135" s="1268"/>
      <c r="DD135" s="1302"/>
      <c r="DE135" s="1266"/>
      <c r="DF135" s="1266"/>
      <c r="DG135" s="1266"/>
      <c r="DH135" s="1266"/>
      <c r="DI135" s="1266"/>
      <c r="DJ135" s="1266"/>
      <c r="DK135" s="1266"/>
      <c r="DL135" s="1266"/>
      <c r="DM135" s="1266"/>
      <c r="DN135" s="1266"/>
      <c r="DO135" s="1266"/>
      <c r="DP135" s="1266"/>
      <c r="DQ135" s="1266"/>
      <c r="DS135" s="1333"/>
      <c r="DT135" s="1333"/>
      <c r="DU135" s="1333"/>
      <c r="DV135" s="1333"/>
      <c r="DW135" s="1333"/>
      <c r="DX135" s="1333"/>
      <c r="DY135" s="1333"/>
      <c r="DZ135" s="1333"/>
      <c r="EA135" s="1333"/>
      <c r="EB135" s="1333"/>
    </row>
    <row r="136" spans="1:137" ht="15.75">
      <c r="A136" s="2118">
        <f>+A128+1</f>
        <v>2005</v>
      </c>
      <c r="B136" s="2118"/>
      <c r="C136" s="1266"/>
      <c r="D136" s="1335"/>
      <c r="E136" s="1269"/>
      <c r="F136" s="1302"/>
      <c r="G136" s="1335"/>
      <c r="H136" s="1268"/>
      <c r="I136" s="1295"/>
      <c r="J136" s="1266"/>
      <c r="K136" s="1336"/>
      <c r="L136" s="1269"/>
      <c r="M136" s="1268"/>
      <c r="N136" s="1336"/>
      <c r="O136" s="1268"/>
      <c r="P136" s="1295"/>
      <c r="Q136" s="1268"/>
      <c r="R136" s="1336"/>
      <c r="S136" s="1269"/>
      <c r="T136" s="1268"/>
      <c r="U136" s="1367"/>
      <c r="V136" s="1268"/>
      <c r="W136" s="1295"/>
      <c r="X136" s="1268"/>
      <c r="Y136" s="1336"/>
      <c r="Z136" s="1269"/>
      <c r="AA136" s="1268"/>
      <c r="AB136" s="1336">
        <f>+Z133+BB133</f>
        <v>23</v>
      </c>
      <c r="AC136" s="1268"/>
      <c r="AD136" s="1295"/>
      <c r="AE136" s="1268"/>
      <c r="AF136" s="1336"/>
      <c r="AG136" s="1269"/>
      <c r="AH136" s="1270"/>
      <c r="AI136" s="1336"/>
      <c r="AJ136" s="1268"/>
      <c r="AK136" s="1302"/>
      <c r="AL136" s="1268"/>
      <c r="AM136" s="1336"/>
      <c r="AN136" s="1269"/>
      <c r="AO136" s="1268"/>
      <c r="AP136" s="1336"/>
      <c r="AQ136" s="1268"/>
      <c r="AR136" s="1295"/>
      <c r="AS136" s="1268"/>
      <c r="AT136" s="1336"/>
      <c r="AU136" s="1269"/>
      <c r="AV136" s="1266"/>
      <c r="AW136" s="1336"/>
      <c r="AX136" s="1268"/>
      <c r="AY136" s="1295"/>
      <c r="AZ136" s="1266"/>
      <c r="BA136" s="1336"/>
      <c r="BB136" s="1269"/>
      <c r="BC136" s="1266"/>
      <c r="BD136" s="1336"/>
      <c r="BE136" s="1268"/>
      <c r="BF136" s="1295"/>
      <c r="BG136" s="1295"/>
      <c r="BH136" s="1336"/>
      <c r="BI136" s="1269"/>
      <c r="BJ136" s="1266"/>
      <c r="BK136" s="1336"/>
      <c r="BL136" s="1268"/>
      <c r="BM136" s="1295"/>
      <c r="BN136" s="1295"/>
      <c r="BO136" s="1336"/>
      <c r="BP136" s="1269"/>
      <c r="BQ136" s="1266"/>
      <c r="BR136" s="1336"/>
      <c r="BS136" s="1268"/>
      <c r="BT136" s="1295"/>
      <c r="BU136" s="1295"/>
      <c r="BV136" s="1345"/>
      <c r="BW136" s="1354"/>
      <c r="BX136" s="1355"/>
      <c r="BY136" s="1345"/>
      <c r="BZ136" s="1356"/>
      <c r="CA136" s="1357"/>
      <c r="CB136" s="1266"/>
      <c r="CC136" s="1336"/>
      <c r="CD136" s="1269"/>
      <c r="CE136" s="1266"/>
      <c r="CF136" s="1336"/>
      <c r="CG136" s="1268"/>
      <c r="CH136" s="1295"/>
      <c r="CI136" s="1336"/>
      <c r="CJ136" s="1269"/>
      <c r="CK136" s="1266"/>
      <c r="CL136" s="1336"/>
      <c r="CM136" s="1268"/>
      <c r="CN136" s="1295"/>
      <c r="CO136" s="1295"/>
      <c r="CP136" s="1336"/>
      <c r="CQ136" s="1269"/>
      <c r="CR136" s="1266"/>
      <c r="CS136" s="1336"/>
      <c r="CT136" s="1268"/>
      <c r="CU136" s="1295"/>
      <c r="CV136" s="1266"/>
      <c r="CW136" s="1335"/>
      <c r="CX136" s="1266"/>
      <c r="CY136" s="1266"/>
      <c r="CZ136" s="1266"/>
      <c r="DA136" s="1266"/>
      <c r="DB136" s="1335"/>
      <c r="DC136" s="1268"/>
      <c r="DD136" s="1302"/>
      <c r="DE136" s="1266"/>
      <c r="DF136" s="1266"/>
      <c r="DG136" s="1266"/>
      <c r="DH136" s="1266"/>
      <c r="DI136" s="1266"/>
      <c r="DJ136" s="1266"/>
      <c r="DK136" s="1266"/>
      <c r="DL136" s="1266"/>
      <c r="DM136" s="1266"/>
      <c r="DN136" s="1266"/>
      <c r="DO136" s="1266"/>
      <c r="DP136" s="1266"/>
      <c r="DQ136" s="1266"/>
      <c r="DS136" s="1333"/>
      <c r="DT136" s="1333"/>
      <c r="DU136" s="1333"/>
      <c r="DV136" s="1333"/>
      <c r="DW136" s="1333"/>
      <c r="DX136" s="1333"/>
      <c r="DY136" s="1333"/>
      <c r="DZ136" s="1333"/>
      <c r="EA136" s="1333"/>
      <c r="EB136" s="1333"/>
    </row>
    <row r="137" spans="1:137" ht="15">
      <c r="A137" s="1266" t="str">
        <f>$A$17</f>
        <v>1Q</v>
      </c>
      <c r="B137" s="1266" t="str">
        <f>$B$17</f>
        <v>Apr</v>
      </c>
      <c r="C137" s="1266"/>
      <c r="D137" s="1294">
        <f>+K137+R137</f>
        <v>1472</v>
      </c>
      <c r="E137" s="1255">
        <f t="shared" ref="D137:E140" si="15">+L137+S137</f>
        <v>4</v>
      </c>
      <c r="F137" s="1295">
        <f>+(D137/D129-1)*100</f>
        <v>2.7932960893854775</v>
      </c>
      <c r="G137" s="1296">
        <f>+N137+U137</f>
        <v>44.672724530909377</v>
      </c>
      <c r="H137" s="1297"/>
      <c r="I137" s="1295">
        <f>+(G137/G129-1)*100</f>
        <v>2.7974048133959872</v>
      </c>
      <c r="J137" s="1266"/>
      <c r="K137" s="1300">
        <v>773</v>
      </c>
      <c r="L137" s="1255">
        <f>+K137-K132</f>
        <v>2</v>
      </c>
      <c r="M137" s="1295">
        <f>+(K137/K129-1)*100</f>
        <v>2.6560424966799445</v>
      </c>
      <c r="N137" s="1296">
        <f>+K137*O$133/1000</f>
        <v>22.825092120805369</v>
      </c>
      <c r="O137" s="1297"/>
      <c r="P137" s="1295">
        <f>+(N137/N129-1)*100</f>
        <v>2.6560424966799445</v>
      </c>
      <c r="Q137" s="1299"/>
      <c r="R137" s="1300">
        <v>699</v>
      </c>
      <c r="S137" s="1255">
        <f>+R137-R132</f>
        <v>2</v>
      </c>
      <c r="T137" s="1295">
        <f>+(R137/R129-1)*100</f>
        <v>2.9455081001472649</v>
      </c>
      <c r="U137" s="1296">
        <f>+R137*V$133/1000</f>
        <v>21.847632410104012</v>
      </c>
      <c r="V137" s="1297"/>
      <c r="W137" s="1295">
        <f>+(U137/U129-1)*100</f>
        <v>2.9455081001472871</v>
      </c>
      <c r="X137" s="1299"/>
      <c r="Y137" s="1300">
        <v>169</v>
      </c>
      <c r="Z137" s="1255">
        <f>+Y137-Y132</f>
        <v>1</v>
      </c>
      <c r="AA137" s="1295">
        <f>+(Y137/Y129-1)*100</f>
        <v>4.3209876543209846</v>
      </c>
      <c r="AB137" s="1296">
        <f>+Y137*AC$141/1000</f>
        <v>5.0068678160919546</v>
      </c>
      <c r="AC137" s="1297"/>
      <c r="AD137" s="1295"/>
      <c r="AE137" s="1299"/>
      <c r="AF137" s="1300">
        <v>175</v>
      </c>
      <c r="AG137" s="1255">
        <f>+AF137-AF132</f>
        <v>5</v>
      </c>
      <c r="AH137" s="1295">
        <f>+(AF137/AF129-1)*100</f>
        <v>18.243243243243246</v>
      </c>
      <c r="AI137" s="1296">
        <f>+AF137*AJ$141/1000</f>
        <v>5.2153553299492383</v>
      </c>
      <c r="AJ137" s="1297"/>
      <c r="AK137" s="1295">
        <f>+(AI137/AI129-1)*100</f>
        <v>23.723478094145143</v>
      </c>
      <c r="AL137" s="1299"/>
      <c r="AM137" s="1300">
        <v>220</v>
      </c>
      <c r="AN137" s="1255">
        <f>+AM137-AM132</f>
        <v>4</v>
      </c>
      <c r="AO137" s="1295">
        <f>+(AM137/AM129-1)*100</f>
        <v>18.918918918918926</v>
      </c>
      <c r="AP137" s="1296">
        <f>+AM137*AQ$141/1000</f>
        <v>5.4544223107569723</v>
      </c>
      <c r="AQ137" s="1297"/>
      <c r="AR137" s="1295">
        <f>+(AP137/AP129-1)*100</f>
        <v>18.95488128165681</v>
      </c>
      <c r="AS137" s="1299"/>
      <c r="AT137" s="1300">
        <v>137</v>
      </c>
      <c r="AU137" s="1255">
        <f>+AT137-AT132</f>
        <v>7</v>
      </c>
      <c r="AV137" s="1295">
        <f>+(AT137/AT129-1)*100</f>
        <v>34.31372549019607</v>
      </c>
      <c r="AW137" s="1296">
        <f>+AT137*AX$133/1000</f>
        <v>3.5252106565656569</v>
      </c>
      <c r="AX137" s="1297"/>
      <c r="AY137" s="1295">
        <f>+(AW137/AW129-1)*100</f>
        <v>34.313725490196092</v>
      </c>
      <c r="AZ137" s="1299"/>
      <c r="BA137" s="1300">
        <v>44</v>
      </c>
      <c r="BB137" s="1255">
        <f>+BA137-BA132</f>
        <v>4</v>
      </c>
      <c r="BC137" s="1295">
        <f>+(BA137/BA129-1)*100</f>
        <v>41.935483870967751</v>
      </c>
      <c r="BD137" s="1296">
        <f>+BA137*BE$141/1000</f>
        <v>1.056</v>
      </c>
      <c r="BE137" s="1297"/>
      <c r="BF137" s="1295">
        <f>+(BD137/BD129-1)*100</f>
        <v>39.723199872978945</v>
      </c>
      <c r="BG137" s="1295"/>
      <c r="BH137" s="1300"/>
      <c r="BI137" s="1255"/>
      <c r="BJ137" s="1295"/>
      <c r="BK137" s="1296"/>
      <c r="BL137" s="1297"/>
      <c r="BM137" s="1295"/>
      <c r="BN137" s="1295"/>
      <c r="BO137" s="1300"/>
      <c r="BP137" s="1255"/>
      <c r="BQ137" s="1295"/>
      <c r="BR137" s="1296"/>
      <c r="BS137" s="1297"/>
      <c r="BT137" s="1295"/>
      <c r="BU137" s="1295"/>
      <c r="BV137" s="1340"/>
      <c r="BW137" s="1358"/>
      <c r="BX137" s="1357"/>
      <c r="BY137" s="1359"/>
      <c r="BZ137" s="1360"/>
      <c r="CA137" s="1357"/>
      <c r="CB137" s="1299"/>
      <c r="CC137" s="1300">
        <v>34</v>
      </c>
      <c r="CD137" s="1255">
        <f>+CC137-CC132</f>
        <v>2</v>
      </c>
      <c r="CE137" s="1295">
        <f>+(CC137/CC129-1)*100</f>
        <v>9.6774193548387011</v>
      </c>
      <c r="CF137" s="1296">
        <f>+CC137*CG$133/1000</f>
        <v>1.5524619354838709</v>
      </c>
      <c r="CG137" s="1297"/>
      <c r="CH137" s="1295">
        <f>+(CF137/CF129-1)*100</f>
        <v>9.6774193548387011</v>
      </c>
      <c r="CI137" s="1300"/>
      <c r="CJ137" s="1255"/>
      <c r="CK137" s="1295"/>
      <c r="CL137" s="1296"/>
      <c r="CM137" s="1297"/>
      <c r="CN137" s="1295"/>
      <c r="CO137" s="1295"/>
      <c r="CP137" s="1300"/>
      <c r="CQ137" s="1255"/>
      <c r="CR137" s="1295"/>
      <c r="CS137" s="1296"/>
      <c r="CT137" s="1297"/>
      <c r="CU137" s="1295"/>
      <c r="CV137" s="1299"/>
      <c r="CW137" s="1306">
        <f>+D137+Y137+AF137+AM137+AT137+BA137+CC137</f>
        <v>2251</v>
      </c>
      <c r="CX137" s="1307">
        <f>+CW137-CW132</f>
        <v>27</v>
      </c>
      <c r="CY137" s="1295">
        <f>+(CW137/CW129-1)*100</f>
        <v>7.6518412242945866</v>
      </c>
      <c r="CZ137" s="1297"/>
      <c r="DA137" s="1297"/>
      <c r="DB137" s="1296">
        <f>+G137+AB137+AI137+AP137+AW137+BD137+CF137</f>
        <v>66.483042579757083</v>
      </c>
      <c r="DC137" s="1297"/>
      <c r="DD137" s="1295">
        <f>+(DB137/DB129-1)*100</f>
        <v>7.6480360669958447</v>
      </c>
      <c r="DE137" s="1266"/>
      <c r="DF137" s="1350">
        <f>+D137/$CW137</f>
        <v>0.65393158596179479</v>
      </c>
      <c r="DG137" s="1351"/>
      <c r="DH137" s="1351"/>
      <c r="DI137" s="1350">
        <f>+Y137/$CW137</f>
        <v>7.5077743225233223E-2</v>
      </c>
      <c r="DJ137" s="1350">
        <f>+AF137/CW137</f>
        <v>7.7743225233229671E-2</v>
      </c>
      <c r="DK137" s="1350">
        <f>+AM137/CW137</f>
        <v>9.773434029320302E-2</v>
      </c>
      <c r="DL137" s="1350">
        <f>+AT137/CW137</f>
        <v>6.0861839182585517E-2</v>
      </c>
      <c r="DM137" s="1350">
        <f>+BA137/$CW137</f>
        <v>1.9546868058640605E-2</v>
      </c>
      <c r="DN137" s="1350">
        <f>+BH137/$CW137</f>
        <v>0</v>
      </c>
      <c r="DO137" s="1350"/>
      <c r="DP137" s="1350"/>
      <c r="DQ137" s="1350"/>
      <c r="DS137" s="1333">
        <f t="shared" si="0"/>
        <v>2</v>
      </c>
      <c r="DT137" s="1333">
        <f t="shared" si="1"/>
        <v>2</v>
      </c>
      <c r="DU137" s="1333">
        <f t="shared" si="2"/>
        <v>1</v>
      </c>
      <c r="DV137" s="1333">
        <f t="shared" si="3"/>
        <v>5</v>
      </c>
      <c r="DW137" s="1333">
        <f t="shared" si="4"/>
        <v>4</v>
      </c>
      <c r="DX137" s="1333">
        <f t="shared" si="5"/>
        <v>7</v>
      </c>
      <c r="DY137" s="1333">
        <f t="shared" si="6"/>
        <v>4</v>
      </c>
      <c r="DZ137" s="1333">
        <f t="shared" si="7"/>
        <v>0</v>
      </c>
      <c r="EA137" s="1333">
        <f t="shared" si="8"/>
        <v>0</v>
      </c>
      <c r="EB137" s="1333">
        <f t="shared" si="9"/>
        <v>2</v>
      </c>
      <c r="ED137" s="451">
        <f>-(SUMIF(DS137:EB137,"&lt;0"))</f>
        <v>0</v>
      </c>
      <c r="EE137" s="451">
        <f>(SUMIF(DS137:EB137,"&gt;0"))</f>
        <v>27</v>
      </c>
      <c r="EF137" s="451">
        <f>+EE137-ED137</f>
        <v>27</v>
      </c>
      <c r="EG137" s="1333">
        <f>+EF137-CX137</f>
        <v>0</v>
      </c>
    </row>
    <row r="138" spans="1:137" ht="15">
      <c r="A138" s="1266" t="str">
        <f>$A$18</f>
        <v>2Q</v>
      </c>
      <c r="B138" s="1266" t="str">
        <f>$B$18</f>
        <v>Jul</v>
      </c>
      <c r="C138" s="1266"/>
      <c r="D138" s="1294">
        <f t="shared" si="15"/>
        <v>1477</v>
      </c>
      <c r="E138" s="1255">
        <f t="shared" si="15"/>
        <v>5</v>
      </c>
      <c r="F138" s="1295">
        <f>+(D138/D130-1)*100</f>
        <v>2.783576896311768</v>
      </c>
      <c r="G138" s="1296">
        <f>+N138+U138</f>
        <v>44.822091816687774</v>
      </c>
      <c r="H138" s="1297"/>
      <c r="I138" s="1295">
        <f>+(G138/G130-1)*100</f>
        <v>2.7715361016365625</v>
      </c>
      <c r="J138" s="1309"/>
      <c r="K138" s="1300">
        <v>777</v>
      </c>
      <c r="L138" s="1255">
        <f>+K138-K137</f>
        <v>4</v>
      </c>
      <c r="M138" s="1295">
        <f>+(K138/K130-1)*100</f>
        <v>3.1872509960159334</v>
      </c>
      <c r="N138" s="1296">
        <f>+K138*O$133/1000</f>
        <v>22.943203852348994</v>
      </c>
      <c r="O138" s="1297"/>
      <c r="P138" s="1295">
        <f>+(N138/N130-1)*100</f>
        <v>3.1872509960159334</v>
      </c>
      <c r="Q138" s="1299"/>
      <c r="R138" s="1300">
        <v>700</v>
      </c>
      <c r="S138" s="1255">
        <f>+R138-R137</f>
        <v>1</v>
      </c>
      <c r="T138" s="1295">
        <f>+(R138/R130-1)*100</f>
        <v>2.3391812865497075</v>
      </c>
      <c r="U138" s="1296">
        <f>+R138*V$133/1000</f>
        <v>21.87888796433878</v>
      </c>
      <c r="V138" s="1297"/>
      <c r="W138" s="1295">
        <f>+(U138/U130-1)*100</f>
        <v>2.3391812865497075</v>
      </c>
      <c r="X138" s="1299"/>
      <c r="Y138" s="1300">
        <v>167</v>
      </c>
      <c r="Z138" s="1255">
        <f>+Y138-Y137</f>
        <v>-2</v>
      </c>
      <c r="AA138" s="1295">
        <f>+(Y138/Y130-1)*100</f>
        <v>3.0864197530864113</v>
      </c>
      <c r="AB138" s="1296">
        <f>+Y138*AC$141/1000</f>
        <v>4.9476149425287357</v>
      </c>
      <c r="AC138" s="1297"/>
      <c r="AD138" s="1295"/>
      <c r="AE138" s="1299"/>
      <c r="AF138" s="1300">
        <v>184</v>
      </c>
      <c r="AG138" s="1255">
        <f>+AF138-AF137</f>
        <v>9</v>
      </c>
      <c r="AH138" s="1295">
        <f>+(AF138/AF130-1)*100</f>
        <v>19.480519480519476</v>
      </c>
      <c r="AI138" s="1296">
        <f>+AF138*AJ$141/1000</f>
        <v>5.4835736040609149</v>
      </c>
      <c r="AJ138" s="1297"/>
      <c r="AK138" s="1295">
        <f>+(AI138/AI130-1)*100</f>
        <v>25.018098532829747</v>
      </c>
      <c r="AL138" s="1299"/>
      <c r="AM138" s="1300">
        <v>230</v>
      </c>
      <c r="AN138" s="1255">
        <f>+AM138-AM137</f>
        <v>10</v>
      </c>
      <c r="AO138" s="1295">
        <f>+(AM138/AM130-1)*100</f>
        <v>19.791666666666675</v>
      </c>
      <c r="AP138" s="1296">
        <f>+AM138*AQ$141/1000</f>
        <v>5.7023505976095619</v>
      </c>
      <c r="AQ138" s="1297"/>
      <c r="AR138" s="1295">
        <f>+(AP138/AP130-1)*100</f>
        <v>19.827892957729599</v>
      </c>
      <c r="AS138" s="1299"/>
      <c r="AT138" s="1300">
        <v>143</v>
      </c>
      <c r="AU138" s="1255">
        <f>+AT138-AT137</f>
        <v>6</v>
      </c>
      <c r="AV138" s="1295">
        <f>+(AT138/AT130-1)*100</f>
        <v>32.407407407407419</v>
      </c>
      <c r="AW138" s="1296">
        <f>+AT138*AX$133/1000</f>
        <v>3.6795994444444444</v>
      </c>
      <c r="AX138" s="1297"/>
      <c r="AY138" s="1295">
        <f>+(AW138/AW130-1)*100</f>
        <v>32.407407407407398</v>
      </c>
      <c r="AZ138" s="1299"/>
      <c r="BA138" s="1300">
        <v>47</v>
      </c>
      <c r="BB138" s="1255">
        <f>+BA138-BA137</f>
        <v>3</v>
      </c>
      <c r="BC138" s="1295">
        <f>+(BA138/BA130-1)*100</f>
        <v>46.875</v>
      </c>
      <c r="BD138" s="1296">
        <f>+BA138*BE$141/1000</f>
        <v>1.1279999999999999</v>
      </c>
      <c r="BE138" s="1297"/>
      <c r="BF138" s="1295">
        <f>+(BD138/BD130-1)*100</f>
        <v>44.58572600492208</v>
      </c>
      <c r="BG138" s="1295"/>
      <c r="BH138" s="1300"/>
      <c r="BI138" s="1255"/>
      <c r="BJ138" s="1295"/>
      <c r="BK138" s="1296"/>
      <c r="BL138" s="1297"/>
      <c r="BM138" s="1295"/>
      <c r="BN138" s="1295"/>
      <c r="BO138" s="1300"/>
      <c r="BP138" s="1255"/>
      <c r="BQ138" s="1295"/>
      <c r="BR138" s="1296"/>
      <c r="BS138" s="1297"/>
      <c r="BT138" s="1295"/>
      <c r="BU138" s="1295"/>
      <c r="BV138" s="1340"/>
      <c r="BW138" s="1358"/>
      <c r="BX138" s="1357"/>
      <c r="BY138" s="1359"/>
      <c r="BZ138" s="1360"/>
      <c r="CA138" s="1357"/>
      <c r="CB138" s="1299"/>
      <c r="CC138" s="1300">
        <v>34</v>
      </c>
      <c r="CD138" s="1255">
        <f>+CC138-CC137</f>
        <v>0</v>
      </c>
      <c r="CE138" s="1295">
        <f>+(CC138/CC130-1)*100</f>
        <v>9.6774193548387011</v>
      </c>
      <c r="CF138" s="1296">
        <f>+CC138*CG$133/1000</f>
        <v>1.5524619354838709</v>
      </c>
      <c r="CG138" s="1297"/>
      <c r="CH138" s="1295">
        <f>+(CF138/CF130-1)*100</f>
        <v>9.6774193548387011</v>
      </c>
      <c r="CI138" s="1300"/>
      <c r="CJ138" s="1255"/>
      <c r="CK138" s="1295"/>
      <c r="CL138" s="1296"/>
      <c r="CM138" s="1297"/>
      <c r="CN138" s="1295"/>
      <c r="CO138" s="1295"/>
      <c r="CP138" s="1300"/>
      <c r="CQ138" s="1255"/>
      <c r="CR138" s="1295"/>
      <c r="CS138" s="1296"/>
      <c r="CT138" s="1297"/>
      <c r="CU138" s="1295"/>
      <c r="CV138" s="1299"/>
      <c r="CW138" s="1306">
        <f>+D138+Y138+AF138+AM138+AT138+BA138+CC138</f>
        <v>2282</v>
      </c>
      <c r="CX138" s="1307">
        <f>+CW138-CW137</f>
        <v>31</v>
      </c>
      <c r="CY138" s="1295">
        <f>+(CW138/CW130-1)*100</f>
        <v>7.844990548204156</v>
      </c>
      <c r="CZ138" s="1297"/>
      <c r="DA138" s="1297"/>
      <c r="DB138" s="1296">
        <f>+G138+AB138+AI138+AP138+AW138+BD138+CF138</f>
        <v>67.315692340815303</v>
      </c>
      <c r="DC138" s="1297"/>
      <c r="DD138" s="1295">
        <f>+(DB138/DB130-1)*100</f>
        <v>7.8101949980243113</v>
      </c>
      <c r="DE138" s="1266"/>
      <c r="DF138" s="1350">
        <f>+D138/$CW138</f>
        <v>0.64723926380368102</v>
      </c>
      <c r="DG138" s="1351"/>
      <c r="DH138" s="1351"/>
      <c r="DI138" s="1350">
        <f>+Y138/$CW138</f>
        <v>7.3181419807186676E-2</v>
      </c>
      <c r="DJ138" s="1350">
        <f>+AF138/CW138</f>
        <v>8.0631025416301488E-2</v>
      </c>
      <c r="DK138" s="1350">
        <f>+AM138/CW138</f>
        <v>0.10078878177037687</v>
      </c>
      <c r="DL138" s="1350">
        <f>+AT138/CW138</f>
        <v>6.2664329535495181E-2</v>
      </c>
      <c r="DM138" s="1350">
        <f>+BA138/$CW138</f>
        <v>2.0595968448729185E-2</v>
      </c>
      <c r="DN138" s="1350">
        <f>+BH138/$CW138</f>
        <v>0</v>
      </c>
      <c r="DO138" s="1350"/>
      <c r="DP138" s="1350"/>
      <c r="DQ138" s="1350"/>
      <c r="DS138" s="1333">
        <f t="shared" ref="DS138:DS190" si="16">+L138</f>
        <v>4</v>
      </c>
      <c r="DT138" s="1333">
        <f t="shared" ref="DT138:DT190" si="17">+S138</f>
        <v>1</v>
      </c>
      <c r="DU138" s="1333">
        <f t="shared" ref="DU138:DU190" si="18">+Z138</f>
        <v>-2</v>
      </c>
      <c r="DV138" s="1333">
        <f t="shared" ref="DV138:DV190" si="19">+AG138</f>
        <v>9</v>
      </c>
      <c r="DW138" s="1333">
        <f t="shared" ref="DW138:DW190" si="20">+AN138</f>
        <v>10</v>
      </c>
      <c r="DX138" s="1333">
        <f t="shared" ref="DX138:DX190" si="21">+AU138</f>
        <v>6</v>
      </c>
      <c r="DY138" s="1333">
        <f t="shared" ref="DY138:DY190" si="22">+BB138</f>
        <v>3</v>
      </c>
      <c r="DZ138" s="1333">
        <f t="shared" ref="DZ138:DZ190" si="23">+BI138</f>
        <v>0</v>
      </c>
      <c r="EA138" s="1333">
        <f t="shared" ref="EA138:EA190" si="24">+BP138</f>
        <v>0</v>
      </c>
      <c r="EB138" s="1333">
        <f t="shared" ref="EB138:EB190" si="25">+CD138</f>
        <v>0</v>
      </c>
      <c r="ED138" s="451">
        <f>-(SUMIF(DS138:EB138,"&lt;0"))</f>
        <v>2</v>
      </c>
      <c r="EE138" s="451">
        <f>(SUMIF(DS138:EB138,"&gt;0"))</f>
        <v>33</v>
      </c>
      <c r="EF138" s="451">
        <f>+EE138-ED138</f>
        <v>31</v>
      </c>
      <c r="EG138" s="1333">
        <f>+EF138-CX138</f>
        <v>0</v>
      </c>
    </row>
    <row r="139" spans="1:137" ht="15">
      <c r="A139" s="1266" t="str">
        <f>$A$19</f>
        <v>3Q</v>
      </c>
      <c r="B139" s="1266" t="str">
        <f>$B$19</f>
        <v>Oct</v>
      </c>
      <c r="C139" s="1266"/>
      <c r="D139" s="1294">
        <f t="shared" si="15"/>
        <v>1513</v>
      </c>
      <c r="E139" s="1255">
        <f t="shared" si="15"/>
        <v>36</v>
      </c>
      <c r="F139" s="1295">
        <f>+(D139/D131-1)*100</f>
        <v>3.488372093023262</v>
      </c>
      <c r="G139" s="1296">
        <f>+N139+U139</f>
        <v>45.916194584859937</v>
      </c>
      <c r="H139" s="1297"/>
      <c r="I139" s="1295">
        <f>+(G139/G131-1)*100</f>
        <v>3.4835277016053157</v>
      </c>
      <c r="J139" s="1266"/>
      <c r="K139" s="1300">
        <v>795</v>
      </c>
      <c r="L139" s="1255">
        <f>+K139-K138</f>
        <v>18</v>
      </c>
      <c r="M139" s="1295">
        <f>+(K139/K131-1)*100</f>
        <v>3.6505867014341664</v>
      </c>
      <c r="N139" s="1296">
        <f>+K139*O$133/1000</f>
        <v>23.474706644295299</v>
      </c>
      <c r="O139" s="1297"/>
      <c r="P139" s="1295">
        <f>+(N139/N131-1)*100</f>
        <v>3.6505867014341664</v>
      </c>
      <c r="Q139" s="1299"/>
      <c r="R139" s="1300">
        <v>718</v>
      </c>
      <c r="S139" s="1255">
        <f>+R139-R138</f>
        <v>18</v>
      </c>
      <c r="T139" s="1295">
        <f>+(R139/R131-1)*100</f>
        <v>3.3093525179856087</v>
      </c>
      <c r="U139" s="1296">
        <f>+R139*V$133/1000</f>
        <v>22.441487940564635</v>
      </c>
      <c r="V139" s="1297"/>
      <c r="W139" s="1295">
        <f>+(U139/U131-1)*100</f>
        <v>3.3093525179856087</v>
      </c>
      <c r="X139" s="1299"/>
      <c r="Y139" s="1300">
        <v>172</v>
      </c>
      <c r="Z139" s="1255">
        <f>+Y139-Y138</f>
        <v>5</v>
      </c>
      <c r="AA139" s="1295">
        <f>+(Y139/Y131-1)*100</f>
        <v>2.9940119760478945</v>
      </c>
      <c r="AB139" s="1296">
        <f>+Y139*AC$141/1000</f>
        <v>5.0957471264367822</v>
      </c>
      <c r="AC139" s="1297"/>
      <c r="AD139" s="1295"/>
      <c r="AE139" s="1299"/>
      <c r="AF139" s="1300">
        <v>197</v>
      </c>
      <c r="AG139" s="1255">
        <f>+AF139-AF138</f>
        <v>13</v>
      </c>
      <c r="AH139" s="1295">
        <f>+(AF139/AF131-1)*100</f>
        <v>23.124999999999996</v>
      </c>
      <c r="AI139" s="1296">
        <f>+AF139*AJ$141/1000</f>
        <v>5.8710000000000004</v>
      </c>
      <c r="AJ139" s="1297"/>
      <c r="AK139" s="1295">
        <f>+(AI139/AI131-1)*100</f>
        <v>28.831490261174864</v>
      </c>
      <c r="AL139" s="1299"/>
      <c r="AM139" s="1300">
        <v>244</v>
      </c>
      <c r="AN139" s="1255">
        <f>+AM139-AM138</f>
        <v>14</v>
      </c>
      <c r="AO139" s="1295">
        <f>+(AM139/AM131-1)*100</f>
        <v>18.446601941747566</v>
      </c>
      <c r="AP139" s="1296">
        <f>+AM139*AQ$141/1000</f>
        <v>6.0494501992031875</v>
      </c>
      <c r="AQ139" s="1297"/>
      <c r="AR139" s="1295">
        <f>+(AP139/AP131-1)*100</f>
        <v>18.482421470741151</v>
      </c>
      <c r="AS139" s="1299"/>
      <c r="AT139" s="1300">
        <v>152</v>
      </c>
      <c r="AU139" s="1255">
        <f>+AT139-AT138</f>
        <v>9</v>
      </c>
      <c r="AV139" s="1295">
        <f>+(AT139/AT131-1)*100</f>
        <v>25.619834710743806</v>
      </c>
      <c r="AW139" s="1296">
        <f>+AT139*AX$133/1000</f>
        <v>3.9111826262626264</v>
      </c>
      <c r="AX139" s="1297"/>
      <c r="AY139" s="1295">
        <f>+(AW139/AW131-1)*100</f>
        <v>25.619834710743781</v>
      </c>
      <c r="AZ139" s="1299"/>
      <c r="BA139" s="1300">
        <v>57</v>
      </c>
      <c r="BB139" s="1255">
        <f>+BA139-BA138</f>
        <v>10</v>
      </c>
      <c r="BC139" s="1295">
        <f>+(BA139/BA131-1)*100</f>
        <v>46.153846153846146</v>
      </c>
      <c r="BD139" s="1296">
        <f>+BA139*BE$141/1000</f>
        <v>1.3680000000000001</v>
      </c>
      <c r="BE139" s="1297"/>
      <c r="BF139" s="1295">
        <f>+(BD139/BD131-1)*100</f>
        <v>43.875812456616444</v>
      </c>
      <c r="BG139" s="1295"/>
      <c r="BH139" s="1300"/>
      <c r="BI139" s="1255"/>
      <c r="BJ139" s="1295"/>
      <c r="BK139" s="1296"/>
      <c r="BL139" s="1297"/>
      <c r="BM139" s="1295"/>
      <c r="BN139" s="1295"/>
      <c r="BO139" s="1300"/>
      <c r="BP139" s="1255"/>
      <c r="BQ139" s="1295"/>
      <c r="BR139" s="1296"/>
      <c r="BS139" s="1297"/>
      <c r="BT139" s="1295"/>
      <c r="BU139" s="1295"/>
      <c r="BV139" s="1340"/>
      <c r="BW139" s="1358"/>
      <c r="BX139" s="1357"/>
      <c r="BY139" s="1359"/>
      <c r="BZ139" s="1360"/>
      <c r="CA139" s="1357"/>
      <c r="CB139" s="1299"/>
      <c r="CC139" s="1300">
        <v>36</v>
      </c>
      <c r="CD139" s="1255">
        <f>+CC139-CC138</f>
        <v>2</v>
      </c>
      <c r="CE139" s="1295">
        <f>+(CC139/CC131-1)*100</f>
        <v>9.0909090909090828</v>
      </c>
      <c r="CF139" s="1296">
        <f>+CC139*CG$133/1000</f>
        <v>1.6437832258064518</v>
      </c>
      <c r="CG139" s="1297"/>
      <c r="CH139" s="1295">
        <f>+(CF139/CF131-1)*100</f>
        <v>9.0909090909090828</v>
      </c>
      <c r="CI139" s="1300"/>
      <c r="CJ139" s="1255"/>
      <c r="CK139" s="1295"/>
      <c r="CL139" s="1296"/>
      <c r="CM139" s="1297"/>
      <c r="CN139" s="1295"/>
      <c r="CO139" s="1295"/>
      <c r="CP139" s="1300"/>
      <c r="CQ139" s="1255"/>
      <c r="CR139" s="1295"/>
      <c r="CS139" s="1296"/>
      <c r="CT139" s="1297"/>
      <c r="CU139" s="1295"/>
      <c r="CV139" s="1299"/>
      <c r="CW139" s="1306">
        <f>+D139+Y139+AF139+AM139+AT139+BA139+CC139</f>
        <v>2371</v>
      </c>
      <c r="CX139" s="1307">
        <f>+CW139-CW138</f>
        <v>89</v>
      </c>
      <c r="CY139" s="1295">
        <f>+(CW139/CW131-1)*100</f>
        <v>8.3638025594150012</v>
      </c>
      <c r="CZ139" s="1297"/>
      <c r="DA139" s="1297"/>
      <c r="DB139" s="1296">
        <f>+G139+AB139+AI139+AP139+AW139+BD139+CF139</f>
        <v>69.855357762568985</v>
      </c>
      <c r="DC139" s="1297"/>
      <c r="DD139" s="1295">
        <f>+(DB139/DB131-1)*100</f>
        <v>8.3769671801073642</v>
      </c>
      <c r="DE139" s="1266"/>
      <c r="DF139" s="1350">
        <f>+D139/$CW139</f>
        <v>0.63812737241670181</v>
      </c>
      <c r="DG139" s="1351"/>
      <c r="DH139" s="1351"/>
      <c r="DI139" s="1350">
        <f>+Y139/$CW139</f>
        <v>7.2543230704344153E-2</v>
      </c>
      <c r="DJ139" s="1350">
        <f>+AF139/CW139</f>
        <v>8.3087304934626738E-2</v>
      </c>
      <c r="DK139" s="1350">
        <f>+AM139/CW139</f>
        <v>0.10291016448755799</v>
      </c>
      <c r="DL139" s="1350">
        <f>+AT139/CW139</f>
        <v>6.4107971320118098E-2</v>
      </c>
      <c r="DM139" s="1350">
        <f>+BA139/$CW139</f>
        <v>2.4040489245044285E-2</v>
      </c>
      <c r="DN139" s="1350">
        <f>+BH139/$CW139</f>
        <v>0</v>
      </c>
      <c r="DO139" s="1350"/>
      <c r="DP139" s="1350"/>
      <c r="DQ139" s="1350"/>
      <c r="DS139" s="1333">
        <f t="shared" si="16"/>
        <v>18</v>
      </c>
      <c r="DT139" s="1333">
        <f t="shared" si="17"/>
        <v>18</v>
      </c>
      <c r="DU139" s="1333">
        <f t="shared" si="18"/>
        <v>5</v>
      </c>
      <c r="DV139" s="1333">
        <f t="shared" si="19"/>
        <v>13</v>
      </c>
      <c r="DW139" s="1333">
        <f t="shared" si="20"/>
        <v>14</v>
      </c>
      <c r="DX139" s="1333">
        <f t="shared" si="21"/>
        <v>9</v>
      </c>
      <c r="DY139" s="1333">
        <f t="shared" si="22"/>
        <v>10</v>
      </c>
      <c r="DZ139" s="1333">
        <f t="shared" si="23"/>
        <v>0</v>
      </c>
      <c r="EA139" s="1333">
        <f t="shared" si="24"/>
        <v>0</v>
      </c>
      <c r="EB139" s="1333">
        <f t="shared" si="25"/>
        <v>2</v>
      </c>
      <c r="ED139" s="451">
        <f>-(SUMIF(DS139:EB139,"&lt;0"))</f>
        <v>0</v>
      </c>
      <c r="EE139" s="451">
        <f>(SUMIF(DS139:EB139,"&gt;0"))</f>
        <v>89</v>
      </c>
      <c r="EF139" s="451">
        <f>+EE139-ED139</f>
        <v>89</v>
      </c>
      <c r="EG139" s="1333">
        <f>+EF139-CX139</f>
        <v>0</v>
      </c>
    </row>
    <row r="140" spans="1:137" ht="15">
      <c r="A140" s="1266" t="str">
        <f>$A$20</f>
        <v>4Q</v>
      </c>
      <c r="B140" s="1266" t="str">
        <f>$B$20</f>
        <v>Jan</v>
      </c>
      <c r="C140" s="1266"/>
      <c r="D140" s="1312">
        <f>+K140+R140</f>
        <v>1514</v>
      </c>
      <c r="E140" s="1255">
        <f t="shared" si="15"/>
        <v>1</v>
      </c>
      <c r="F140" s="1295">
        <f>+(D140/D132-1)*100</f>
        <v>3.1335149863760181</v>
      </c>
      <c r="G140" s="1313">
        <f>+N140+U140</f>
        <v>46.417000000000002</v>
      </c>
      <c r="H140" s="1297"/>
      <c r="I140" s="1295">
        <f>+(G140/G132-1)*100</f>
        <v>4.1880897055450728</v>
      </c>
      <c r="J140" s="1266"/>
      <c r="K140" s="1314">
        <v>799</v>
      </c>
      <c r="L140" s="1255">
        <f>+K140-K139</f>
        <v>4</v>
      </c>
      <c r="M140" s="1295">
        <f>+(K140/K132-1)*100</f>
        <v>3.6316472114137577</v>
      </c>
      <c r="N140" s="1334">
        <v>23.754000000000001</v>
      </c>
      <c r="O140" s="1297"/>
      <c r="P140" s="1295">
        <f>+(N140/N132-1)*100</f>
        <v>4.3396388106340167</v>
      </c>
      <c r="Q140" s="1299"/>
      <c r="R140" s="1314">
        <v>715</v>
      </c>
      <c r="S140" s="1255">
        <f>+R140-R139</f>
        <v>-3</v>
      </c>
      <c r="T140" s="1295">
        <f>+(R140/R132-1)*100</f>
        <v>2.582496413199431</v>
      </c>
      <c r="U140" s="1334">
        <v>22.663</v>
      </c>
      <c r="V140" s="1297"/>
      <c r="W140" s="1295">
        <f>+(U140/U132-1)*100</f>
        <v>4.0297168246644866</v>
      </c>
      <c r="X140" s="1299"/>
      <c r="Y140" s="1314">
        <v>174</v>
      </c>
      <c r="Z140" s="1255">
        <f>+Y140-Y139</f>
        <v>2</v>
      </c>
      <c r="AA140" s="1295">
        <f>+(Y140/Y132-1)*100</f>
        <v>3.5714285714285809</v>
      </c>
      <c r="AB140" s="1334">
        <v>5.1550000000000002</v>
      </c>
      <c r="AC140" s="1297"/>
      <c r="AD140" s="1295">
        <f>+(AB140/AB132-1)*100</f>
        <v>5.6265879845914135</v>
      </c>
      <c r="AE140" s="1299"/>
      <c r="AF140" s="1314">
        <v>197</v>
      </c>
      <c r="AG140" s="1255">
        <f>+AF140-AF139</f>
        <v>0</v>
      </c>
      <c r="AH140" s="1295">
        <f>+(AF140/AF132-1)*100</f>
        <v>15.882352941176482</v>
      </c>
      <c r="AI140" s="1334">
        <v>5.8710000000000004</v>
      </c>
      <c r="AJ140" s="1297"/>
      <c r="AK140" s="1295">
        <f>+(AI140/AI132-1)*100</f>
        <v>21.253167304635177</v>
      </c>
      <c r="AL140" s="1299"/>
      <c r="AM140" s="1314">
        <v>251</v>
      </c>
      <c r="AN140" s="1255">
        <f>+AM140-AM139</f>
        <v>7</v>
      </c>
      <c r="AO140" s="1295">
        <f>+(AM140/AM132-1)*100</f>
        <v>16.203703703703699</v>
      </c>
      <c r="AP140" s="1334">
        <v>6.2229999999999999</v>
      </c>
      <c r="AQ140" s="1297"/>
      <c r="AR140" s="1295">
        <f>+(AP140/AP132-1)*100</f>
        <v>16.238844956097086</v>
      </c>
      <c r="AS140" s="1299"/>
      <c r="AT140" s="1314">
        <v>152</v>
      </c>
      <c r="AU140" s="1255">
        <f>+AT140-AT139</f>
        <v>0</v>
      </c>
      <c r="AV140" s="1295">
        <f>+(AT140/AT132-1)*100</f>
        <v>16.92307692307693</v>
      </c>
      <c r="AW140" s="1334">
        <v>3.91</v>
      </c>
      <c r="AX140" s="1297"/>
      <c r="AY140" s="1295">
        <f>+(AW140/AW132-1)*100</f>
        <v>16.887722833357909</v>
      </c>
      <c r="AZ140" s="1299"/>
      <c r="BA140" s="1314">
        <v>58</v>
      </c>
      <c r="BB140" s="1255">
        <f>+BA140-BA139</f>
        <v>1</v>
      </c>
      <c r="BC140" s="1295">
        <f>+(BA140/BA132-1)*100</f>
        <v>44.999999999999993</v>
      </c>
      <c r="BD140" s="1334">
        <v>1.4059999999999999</v>
      </c>
      <c r="BE140" s="1297"/>
      <c r="BF140" s="1295">
        <f>+(BD140/BD132-1)*100</f>
        <v>44.175553732567693</v>
      </c>
      <c r="BG140" s="1295"/>
      <c r="BH140" s="1314"/>
      <c r="BI140" s="1255"/>
      <c r="BJ140" s="1295"/>
      <c r="BK140" s="1334"/>
      <c r="BL140" s="1297"/>
      <c r="BM140" s="1295"/>
      <c r="BN140" s="1295"/>
      <c r="BO140" s="1314"/>
      <c r="BP140" s="1255"/>
      <c r="BQ140" s="1295"/>
      <c r="BR140" s="1334"/>
      <c r="BS140" s="1297"/>
      <c r="BT140" s="1295"/>
      <c r="BU140" s="1295"/>
      <c r="BV140" s="1361"/>
      <c r="BW140" s="1358"/>
      <c r="BX140" s="1357"/>
      <c r="BY140" s="1362"/>
      <c r="BZ140" s="1360"/>
      <c r="CA140" s="1357"/>
      <c r="CB140" s="1299"/>
      <c r="CC140" s="1314">
        <v>35</v>
      </c>
      <c r="CD140" s="1255">
        <f>+CC140-CC139</f>
        <v>-1</v>
      </c>
      <c r="CE140" s="1295">
        <f>+(CC140/CC132-1)*100</f>
        <v>9.375</v>
      </c>
      <c r="CF140" s="1334">
        <v>1.593</v>
      </c>
      <c r="CG140" s="1297"/>
      <c r="CH140" s="1295">
        <f>+(CF140/CF132-1)*100</f>
        <v>9.0244122135247231</v>
      </c>
      <c r="CI140" s="1314"/>
      <c r="CJ140" s="1255"/>
      <c r="CK140" s="1295"/>
      <c r="CL140" s="1334"/>
      <c r="CM140" s="1297"/>
      <c r="CN140" s="1295"/>
      <c r="CO140" s="1295"/>
      <c r="CP140" s="1314"/>
      <c r="CQ140" s="1255"/>
      <c r="CR140" s="1295"/>
      <c r="CS140" s="1334"/>
      <c r="CT140" s="1297"/>
      <c r="CU140" s="1295"/>
      <c r="CV140" s="1299"/>
      <c r="CW140" s="1312">
        <f>+D140+Y140+AF140+AM140+AT140+BA140+CC140</f>
        <v>2381</v>
      </c>
      <c r="CX140" s="1307">
        <f>+CW140-CW139</f>
        <v>10</v>
      </c>
      <c r="CY140" s="1295">
        <f>+(CW140/CW132-1)*100</f>
        <v>7.0593525179856176</v>
      </c>
      <c r="CZ140" s="1297"/>
      <c r="DA140" s="1297"/>
      <c r="DB140" s="1313">
        <f>+G140+AB140+AI140+AP140+AW140+BD140+CF140</f>
        <v>70.575000000000017</v>
      </c>
      <c r="DC140" s="1297"/>
      <c r="DD140" s="1295">
        <f>+(DB140/DB132-1)*100</f>
        <v>7.8987281443101409</v>
      </c>
      <c r="DE140" s="1266"/>
      <c r="DF140" s="1350">
        <f>+D140/$CW140</f>
        <v>0.63586728265434689</v>
      </c>
      <c r="DG140" s="1351"/>
      <c r="DH140" s="1351"/>
      <c r="DI140" s="1350">
        <f>+Y140/$CW140</f>
        <v>7.3078538429231413E-2</v>
      </c>
      <c r="DJ140" s="1350">
        <f>+AF140/CW140</f>
        <v>8.273834523309534E-2</v>
      </c>
      <c r="DK140" s="1350">
        <f>+AM140/CW140</f>
        <v>0.10541789164216715</v>
      </c>
      <c r="DL140" s="1350">
        <f>+AT140/CW140</f>
        <v>6.3838723225535493E-2</v>
      </c>
      <c r="DM140" s="1350">
        <f>+BA140/$CW140</f>
        <v>2.4359512809743807E-2</v>
      </c>
      <c r="DN140" s="1350">
        <f>+BH140/$CW140</f>
        <v>0</v>
      </c>
      <c r="DO140" s="1350"/>
      <c r="DP140" s="1350"/>
      <c r="DQ140" s="1350"/>
      <c r="DS140" s="1333">
        <f t="shared" si="16"/>
        <v>4</v>
      </c>
      <c r="DT140" s="1333">
        <f t="shared" si="17"/>
        <v>-3</v>
      </c>
      <c r="DU140" s="1333">
        <f t="shared" si="18"/>
        <v>2</v>
      </c>
      <c r="DV140" s="1333">
        <f t="shared" si="19"/>
        <v>0</v>
      </c>
      <c r="DW140" s="1333">
        <f t="shared" si="20"/>
        <v>7</v>
      </c>
      <c r="DX140" s="1333">
        <f t="shared" si="21"/>
        <v>0</v>
      </c>
      <c r="DY140" s="1333">
        <f t="shared" si="22"/>
        <v>1</v>
      </c>
      <c r="DZ140" s="1333">
        <f t="shared" si="23"/>
        <v>0</v>
      </c>
      <c r="EA140" s="1333">
        <f t="shared" si="24"/>
        <v>0</v>
      </c>
      <c r="EB140" s="1333">
        <f t="shared" si="25"/>
        <v>-1</v>
      </c>
      <c r="ED140" s="451">
        <f>-(SUMIF(DS140:EB140,"&lt;0"))</f>
        <v>4</v>
      </c>
      <c r="EE140" s="451">
        <f>(SUMIF(DS140:EB140,"&gt;0"))</f>
        <v>14</v>
      </c>
      <c r="EF140" s="451">
        <f>+EE140-ED140</f>
        <v>10</v>
      </c>
      <c r="EG140" s="1333">
        <f>+EF140-CX140</f>
        <v>0</v>
      </c>
    </row>
    <row r="141" spans="1:137" ht="15">
      <c r="A141" s="1266"/>
      <c r="B141" s="1266" t="str">
        <f>$B$21</f>
        <v>Year</v>
      </c>
      <c r="C141" s="1266"/>
      <c r="D141" s="1306">
        <f>+D140</f>
        <v>1514</v>
      </c>
      <c r="E141" s="1317">
        <f>+D141-D133</f>
        <v>46</v>
      </c>
      <c r="F141" s="1295">
        <f>+(D141/D133-1)*100</f>
        <v>3.1335149863760181</v>
      </c>
      <c r="G141" s="1296">
        <f>+N141+U141</f>
        <v>46.417000000000002</v>
      </c>
      <c r="H141" s="1297">
        <f>+G141/D141*1000</f>
        <v>30.658520475561428</v>
      </c>
      <c r="I141" s="1295">
        <f>+(G141/G133-1)*100</f>
        <v>5.8491325922682247</v>
      </c>
      <c r="J141" s="1266"/>
      <c r="K141" s="1306">
        <f>+L141+K133</f>
        <v>799</v>
      </c>
      <c r="L141" s="1317">
        <f>+K140-K132</f>
        <v>28</v>
      </c>
      <c r="M141" s="1295">
        <f>+(K141/K133-1)*100</f>
        <v>3.6316472114137577</v>
      </c>
      <c r="N141" s="1296">
        <f>+N140</f>
        <v>23.754000000000001</v>
      </c>
      <c r="O141" s="1297">
        <f>+N141/K141*1000</f>
        <v>29.729662077596998</v>
      </c>
      <c r="P141" s="1295">
        <f>+(N141/N133-1)*100</f>
        <v>4.3396388106340167</v>
      </c>
      <c r="Q141" s="1299"/>
      <c r="R141" s="1306">
        <f>+S141+R133</f>
        <v>715</v>
      </c>
      <c r="S141" s="1317">
        <f>+R140-R132</f>
        <v>18</v>
      </c>
      <c r="T141" s="1295">
        <f>+(R141/R133-1)*100</f>
        <v>2.582496413199431</v>
      </c>
      <c r="U141" s="1296">
        <f>+U140</f>
        <v>22.663</v>
      </c>
      <c r="V141" s="1297">
        <f>+U141/R141*1000</f>
        <v>31.6965034965035</v>
      </c>
      <c r="W141" s="1295">
        <f>+(U141/U133-1)*100</f>
        <v>7.4788959499193952</v>
      </c>
      <c r="X141" s="1299"/>
      <c r="Y141" s="1306">
        <f>+Z141+Y133</f>
        <v>174</v>
      </c>
      <c r="Z141" s="1317">
        <f>+Y140-Y132</f>
        <v>6</v>
      </c>
      <c r="AA141" s="1295">
        <f>+(Y141/Y133-1)*100</f>
        <v>3.5714285714285809</v>
      </c>
      <c r="AB141" s="1296">
        <f>+AB140</f>
        <v>5.1550000000000002</v>
      </c>
      <c r="AC141" s="1297">
        <f>+AB141/Y141*1000</f>
        <v>29.626436781609197</v>
      </c>
      <c r="AD141" s="1295">
        <f>+(AB141/AB133-1)*100</f>
        <v>5.6265879845914135</v>
      </c>
      <c r="AE141" s="1299"/>
      <c r="AF141" s="1306">
        <f>+AG141+AF133</f>
        <v>197</v>
      </c>
      <c r="AG141" s="1317">
        <f>+AF140-AF132</f>
        <v>27</v>
      </c>
      <c r="AH141" s="1295">
        <f>+(AF141/AF133-1)*100</f>
        <v>15.882352941176482</v>
      </c>
      <c r="AI141" s="1296">
        <f>+AI140</f>
        <v>5.8710000000000004</v>
      </c>
      <c r="AJ141" s="1297">
        <f>+AI141/AF141*1000</f>
        <v>29.802030456852794</v>
      </c>
      <c r="AK141" s="1295">
        <f>+(AI141/AI133-1)*100</f>
        <v>21.253167304635177</v>
      </c>
      <c r="AL141" s="1299"/>
      <c r="AM141" s="1306">
        <f>+AN141+AM133</f>
        <v>251</v>
      </c>
      <c r="AN141" s="1317">
        <f>+AM140-AM132</f>
        <v>35</v>
      </c>
      <c r="AO141" s="1295">
        <f>+(AM141/AM133-1)*100</f>
        <v>16.203703703703699</v>
      </c>
      <c r="AP141" s="1296">
        <f>+AP140</f>
        <v>6.2229999999999999</v>
      </c>
      <c r="AQ141" s="1297">
        <f>+AP141/AM141*1000</f>
        <v>24.792828685258964</v>
      </c>
      <c r="AR141" s="1295">
        <f>+(AP141/AP133-1)*100</f>
        <v>16.238844956097086</v>
      </c>
      <c r="AS141" s="1299"/>
      <c r="AT141" s="1306">
        <f>+AU141+AT133</f>
        <v>152</v>
      </c>
      <c r="AU141" s="1317">
        <f>+AT140-AT132</f>
        <v>22</v>
      </c>
      <c r="AV141" s="1295">
        <f>+(AT141/AT133-1)*100</f>
        <v>16.92307692307693</v>
      </c>
      <c r="AW141" s="1296">
        <f>+AW140</f>
        <v>3.91</v>
      </c>
      <c r="AX141" s="1297">
        <v>26</v>
      </c>
      <c r="AY141" s="1295">
        <f>+(AW141/AW133-1)*100</f>
        <v>16.887722833357909</v>
      </c>
      <c r="AZ141" s="1299"/>
      <c r="BA141" s="1306">
        <f>+BB141+BA133</f>
        <v>58</v>
      </c>
      <c r="BB141" s="1317">
        <f>+BA140-BA132</f>
        <v>18</v>
      </c>
      <c r="BC141" s="1295">
        <f>+(BA141/BA133-1)*100</f>
        <v>44.999999999999993</v>
      </c>
      <c r="BD141" s="1296">
        <f>+BD140</f>
        <v>1.4059999999999999</v>
      </c>
      <c r="BE141" s="1297">
        <v>24</v>
      </c>
      <c r="BF141" s="1295">
        <f>+(BD141/BD133-1)*100</f>
        <v>44.175553732567693</v>
      </c>
      <c r="BG141" s="1295"/>
      <c r="BH141" s="1306"/>
      <c r="BI141" s="1317"/>
      <c r="BJ141" s="1295"/>
      <c r="BK141" s="1296"/>
      <c r="BL141" s="1297"/>
      <c r="BM141" s="1295"/>
      <c r="BN141" s="1295"/>
      <c r="BO141" s="1306"/>
      <c r="BP141" s="1317"/>
      <c r="BQ141" s="1295"/>
      <c r="BR141" s="1296"/>
      <c r="BS141" s="1297"/>
      <c r="BT141" s="1295"/>
      <c r="BU141" s="1295"/>
      <c r="BV141" s="1337"/>
      <c r="BW141" s="1343"/>
      <c r="BX141" s="1357"/>
      <c r="BY141" s="1359"/>
      <c r="BZ141" s="1360"/>
      <c r="CA141" s="1357"/>
      <c r="CB141" s="1299"/>
      <c r="CC141" s="1306">
        <f>+CD141+CC133</f>
        <v>35</v>
      </c>
      <c r="CD141" s="1317">
        <f>+CC140-CC132</f>
        <v>3</v>
      </c>
      <c r="CE141" s="1295">
        <f>+(CC141/CC133-1)*100</f>
        <v>9.375</v>
      </c>
      <c r="CF141" s="1296">
        <f>+CF140</f>
        <v>1.593</v>
      </c>
      <c r="CG141" s="1297">
        <v>46</v>
      </c>
      <c r="CH141" s="1295">
        <f>+(CF141/CF133-1)*100</f>
        <v>9.0244122135247231</v>
      </c>
      <c r="CI141" s="1306"/>
      <c r="CJ141" s="1317"/>
      <c r="CK141" s="1295"/>
      <c r="CL141" s="1296"/>
      <c r="CM141" s="1297"/>
      <c r="CN141" s="1295"/>
      <c r="CO141" s="1295"/>
      <c r="CP141" s="1306"/>
      <c r="CQ141" s="1317"/>
      <c r="CR141" s="1295"/>
      <c r="CS141" s="1296"/>
      <c r="CT141" s="1297"/>
      <c r="CU141" s="1295"/>
      <c r="CV141" s="1299"/>
      <c r="CW141" s="1306">
        <f>+D141+Y141+AF141+AM141+AT141+BA141+CC141</f>
        <v>2381</v>
      </c>
      <c r="CX141" s="1317">
        <f>+L141+S141+Z141+AG141+AN141+AU141+BB141+CD141</f>
        <v>157</v>
      </c>
      <c r="CY141" s="1295">
        <f>+(CW141/CW133-1)*100</f>
        <v>7.0593525179856176</v>
      </c>
      <c r="CZ141" s="1297"/>
      <c r="DA141" s="1297"/>
      <c r="DB141" s="1296">
        <f>+G141+AB141+AI141+AP141+AW141+BD141+CF141</f>
        <v>70.575000000000017</v>
      </c>
      <c r="DC141" s="1297">
        <f>+DB141/CW141*1000</f>
        <v>29.64090718185637</v>
      </c>
      <c r="DD141" s="1295">
        <f>+(DB141/DB133-1)*100</f>
        <v>9.0644669525669741</v>
      </c>
      <c r="DE141" s="1266"/>
      <c r="DF141" s="1350">
        <f>+D141/$CW141</f>
        <v>0.63586728265434689</v>
      </c>
      <c r="DG141" s="1351"/>
      <c r="DH141" s="1351"/>
      <c r="DI141" s="1350">
        <f>+Y141/$CW141</f>
        <v>7.3078538429231413E-2</v>
      </c>
      <c r="DJ141" s="1350">
        <f>+AF141/CW141</f>
        <v>8.273834523309534E-2</v>
      </c>
      <c r="DK141" s="1350">
        <f>+AM141/CW141</f>
        <v>0.10541789164216715</v>
      </c>
      <c r="DL141" s="1350">
        <f>+AT141/CW141</f>
        <v>6.3838723225535493E-2</v>
      </c>
      <c r="DM141" s="1350">
        <f>+BA141/$CW141</f>
        <v>2.4359512809743807E-2</v>
      </c>
      <c r="DN141" s="1350">
        <f>+BH141/$CW141</f>
        <v>0</v>
      </c>
      <c r="DO141" s="1350"/>
      <c r="DP141" s="1350"/>
      <c r="DQ141" s="1350"/>
      <c r="DS141" s="1333"/>
      <c r="DT141" s="1333"/>
      <c r="DU141" s="1333"/>
      <c r="DV141" s="1333"/>
      <c r="DW141" s="1333"/>
      <c r="DX141" s="1333"/>
      <c r="DY141" s="1333"/>
      <c r="DZ141" s="1333"/>
      <c r="EA141" s="1333"/>
      <c r="EB141" s="1333"/>
      <c r="ED141" s="693">
        <f>SUM(ED137:ED140)</f>
        <v>6</v>
      </c>
      <c r="EE141" s="693">
        <f>SUM(EE137:EE140)</f>
        <v>163</v>
      </c>
      <c r="EF141" s="693">
        <f>+EE141-ED141</f>
        <v>157</v>
      </c>
      <c r="EG141" s="1333">
        <f>+EF141-CX141</f>
        <v>0</v>
      </c>
    </row>
    <row r="142" spans="1:137" ht="15" hidden="1" outlineLevel="1">
      <c r="A142" s="1266"/>
      <c r="B142" s="1266"/>
      <c r="C142" s="1266"/>
      <c r="D142" s="1306"/>
      <c r="E142" s="1317"/>
      <c r="F142" s="1295"/>
      <c r="G142" s="1296"/>
      <c r="H142" s="1297"/>
      <c r="I142" s="1295"/>
      <c r="J142" s="1266"/>
      <c r="K142" s="1306"/>
      <c r="L142" s="1256"/>
      <c r="M142" s="1295"/>
      <c r="N142" s="1325" t="str">
        <f>IF(SUM(L142:M142)=L141,"","N")</f>
        <v>N</v>
      </c>
      <c r="O142" s="1297"/>
      <c r="P142" s="1295"/>
      <c r="Q142" s="1299"/>
      <c r="R142" s="1306"/>
      <c r="S142" s="1256"/>
      <c r="T142" s="1295"/>
      <c r="U142" s="1325" t="str">
        <f>IF(SUM(S142:T142)=S141,"","N")</f>
        <v>N</v>
      </c>
      <c r="V142" s="1297"/>
      <c r="W142" s="1295"/>
      <c r="X142" s="1299"/>
      <c r="Y142" s="1306"/>
      <c r="Z142" s="1256"/>
      <c r="AA142" s="1295"/>
      <c r="AB142" s="1325" t="str">
        <f>IF(SUM(Z142:AA142)=Z141,"","N")</f>
        <v>N</v>
      </c>
      <c r="AC142" s="1297"/>
      <c r="AD142" s="1295"/>
      <c r="AE142" s="1299"/>
      <c r="AF142" s="1306"/>
      <c r="AG142" s="1256"/>
      <c r="AH142" s="1295"/>
      <c r="AI142" s="1325" t="str">
        <f>IF(SUM(AG142:AH142)=AG141,"","N")</f>
        <v>N</v>
      </c>
      <c r="AJ142" s="1297"/>
      <c r="AK142" s="1295"/>
      <c r="AL142" s="1299"/>
      <c r="AM142" s="1306"/>
      <c r="AN142" s="1256"/>
      <c r="AO142" s="1295"/>
      <c r="AP142" s="1325" t="str">
        <f>IF(SUM(AN142:AO142)=AN141,"","N")</f>
        <v>N</v>
      </c>
      <c r="AQ142" s="1297"/>
      <c r="AR142" s="1295"/>
      <c r="AS142" s="1299"/>
      <c r="AT142" s="1306"/>
      <c r="AU142" s="1256"/>
      <c r="AV142" s="1295"/>
      <c r="AW142" s="1325" t="str">
        <f>IF(SUM(AU142:AV142)=AU141,"","N")</f>
        <v>N</v>
      </c>
      <c r="AX142" s="1297"/>
      <c r="AY142" s="1295"/>
      <c r="AZ142" s="1299"/>
      <c r="BA142" s="1306"/>
      <c r="BB142" s="1256"/>
      <c r="BC142" s="1295"/>
      <c r="BD142" s="1325"/>
      <c r="BE142" s="1297"/>
      <c r="BF142" s="1295"/>
      <c r="BG142" s="1295"/>
      <c r="BH142" s="1306"/>
      <c r="BI142" s="1256"/>
      <c r="BJ142" s="1295"/>
      <c r="BK142" s="1296"/>
      <c r="BL142" s="1297"/>
      <c r="BM142" s="1295"/>
      <c r="BN142" s="1295"/>
      <c r="BO142" s="1306"/>
      <c r="BP142" s="1256"/>
      <c r="BQ142" s="1295"/>
      <c r="BR142" s="1296"/>
      <c r="BS142" s="1297"/>
      <c r="BT142" s="1295"/>
      <c r="BU142" s="1295"/>
      <c r="BV142" s="1337"/>
      <c r="BW142" s="1343"/>
      <c r="BX142" s="1357"/>
      <c r="BY142" s="1359"/>
      <c r="BZ142" s="1360"/>
      <c r="CA142" s="1357"/>
      <c r="CB142" s="1299"/>
      <c r="CC142" s="1306"/>
      <c r="CD142" s="1256"/>
      <c r="CE142" s="1295"/>
      <c r="CF142" s="1296"/>
      <c r="CG142" s="1297"/>
      <c r="CH142" s="1295"/>
      <c r="CI142" s="1306"/>
      <c r="CJ142" s="1256"/>
      <c r="CK142" s="1295"/>
      <c r="CL142" s="1296"/>
      <c r="CM142" s="1297"/>
      <c r="CN142" s="1295"/>
      <c r="CO142" s="1295"/>
      <c r="CP142" s="1306"/>
      <c r="CQ142" s="1256"/>
      <c r="CR142" s="1295"/>
      <c r="CS142" s="1296"/>
      <c r="CT142" s="1297"/>
      <c r="CU142" s="1295"/>
      <c r="CV142" s="1299"/>
      <c r="CW142" s="1306"/>
      <c r="CX142" s="1317"/>
      <c r="CY142" s="1297"/>
      <c r="CZ142" s="1297"/>
      <c r="DA142" s="1297"/>
      <c r="DB142" s="1296"/>
      <c r="DC142" s="1297"/>
      <c r="DD142" s="1302"/>
      <c r="DE142" s="1266"/>
      <c r="DF142" s="1350"/>
      <c r="DG142" s="1351"/>
      <c r="DH142" s="1351"/>
      <c r="DI142" s="1350"/>
      <c r="DJ142" s="1350"/>
      <c r="DK142" s="1350"/>
      <c r="DL142" s="1350"/>
      <c r="DM142" s="1350"/>
      <c r="DN142" s="1350"/>
      <c r="DO142" s="1350"/>
      <c r="DP142" s="1350"/>
      <c r="DQ142" s="1350"/>
      <c r="DS142" s="1333"/>
      <c r="DT142" s="1333"/>
      <c r="DU142" s="1333"/>
      <c r="DV142" s="1333"/>
      <c r="DW142" s="1333"/>
      <c r="DX142" s="1333"/>
      <c r="DY142" s="1333"/>
      <c r="DZ142" s="1333"/>
      <c r="EA142" s="1333"/>
      <c r="EB142" s="1333"/>
    </row>
    <row r="143" spans="1:137" ht="15" collapsed="1">
      <c r="A143" s="1266"/>
      <c r="B143" s="1266"/>
      <c r="C143" s="1266"/>
      <c r="D143" s="1335"/>
      <c r="E143" s="1269"/>
      <c r="F143" s="1302"/>
      <c r="G143" s="1335"/>
      <c r="H143" s="1268"/>
      <c r="I143" s="1295"/>
      <c r="J143" s="1266"/>
      <c r="K143" s="1336"/>
      <c r="L143" s="1269"/>
      <c r="M143" s="1268"/>
      <c r="N143" s="1336"/>
      <c r="O143" s="1268"/>
      <c r="P143" s="1295"/>
      <c r="Q143" s="1268"/>
      <c r="R143" s="1336"/>
      <c r="S143" s="1317"/>
      <c r="T143" s="1268"/>
      <c r="U143" s="1367"/>
      <c r="V143" s="1268"/>
      <c r="W143" s="1295"/>
      <c r="X143" s="1268"/>
      <c r="Y143" s="1336"/>
      <c r="Z143" s="1269"/>
      <c r="AA143" s="1268"/>
      <c r="AB143" s="1349">
        <f>+AB141+BD141</f>
        <v>6.5609999999999999</v>
      </c>
      <c r="AC143" s="1268"/>
      <c r="AD143" s="1295">
        <f>+(AB143/AB135-1)*100</f>
        <v>12.046587881685888</v>
      </c>
      <c r="AE143" s="1268"/>
      <c r="AF143" s="1336"/>
      <c r="AG143" s="1269"/>
      <c r="AH143" s="1270"/>
      <c r="AI143" s="1336"/>
      <c r="AJ143" s="1268"/>
      <c r="AK143" s="1302"/>
      <c r="AL143" s="1268"/>
      <c r="AM143" s="1336"/>
      <c r="AN143" s="1269"/>
      <c r="AO143" s="1268"/>
      <c r="AP143" s="1336"/>
      <c r="AQ143" s="1268"/>
      <c r="AR143" s="1295"/>
      <c r="AS143" s="1268"/>
      <c r="AT143" s="1336"/>
      <c r="AU143" s="1269"/>
      <c r="AV143" s="1266"/>
      <c r="AW143" s="1336"/>
      <c r="AX143" s="1268"/>
      <c r="AY143" s="1295"/>
      <c r="AZ143" s="1266"/>
      <c r="BA143" s="1336"/>
      <c r="BB143" s="1269"/>
      <c r="BC143" s="1266"/>
      <c r="BD143" s="1336"/>
      <c r="BE143" s="1268"/>
      <c r="BF143" s="1295"/>
      <c r="BG143" s="1295"/>
      <c r="BH143" s="1336"/>
      <c r="BI143" s="1269"/>
      <c r="BJ143" s="1266"/>
      <c r="BK143" s="1336"/>
      <c r="BL143" s="1268"/>
      <c r="BM143" s="1295"/>
      <c r="BN143" s="1295"/>
      <c r="BO143" s="1336"/>
      <c r="BP143" s="1269"/>
      <c r="BQ143" s="1266"/>
      <c r="BR143" s="1336"/>
      <c r="BS143" s="1268"/>
      <c r="BT143" s="1295"/>
      <c r="BU143" s="1295"/>
      <c r="BV143" s="1345"/>
      <c r="BW143" s="1354"/>
      <c r="BX143" s="1355"/>
      <c r="BY143" s="1345"/>
      <c r="BZ143" s="1356"/>
      <c r="CA143" s="1357"/>
      <c r="CB143" s="1266"/>
      <c r="CC143" s="1336"/>
      <c r="CD143" s="1269"/>
      <c r="CE143" s="1266"/>
      <c r="CF143" s="1336"/>
      <c r="CG143" s="1268"/>
      <c r="CH143" s="1295"/>
      <c r="CI143" s="1336"/>
      <c r="CJ143" s="1269"/>
      <c r="CK143" s="1266"/>
      <c r="CL143" s="1336"/>
      <c r="CM143" s="1268"/>
      <c r="CN143" s="1295"/>
      <c r="CO143" s="1295"/>
      <c r="CP143" s="1336"/>
      <c r="CQ143" s="1269"/>
      <c r="CR143" s="1266"/>
      <c r="CS143" s="1336"/>
      <c r="CT143" s="1268"/>
      <c r="CU143" s="1295"/>
      <c r="CV143" s="1266"/>
      <c r="CW143" s="1335"/>
      <c r="CX143" s="1266"/>
      <c r="CY143" s="1266"/>
      <c r="CZ143" s="1266"/>
      <c r="DA143" s="1266"/>
      <c r="DB143" s="1335"/>
      <c r="DC143" s="1268"/>
      <c r="DD143" s="1302"/>
      <c r="DE143" s="1266"/>
      <c r="DF143" s="1266"/>
      <c r="DG143" s="1266"/>
      <c r="DH143" s="1266"/>
      <c r="DI143" s="1266"/>
      <c r="DJ143" s="1266"/>
      <c r="DK143" s="1266"/>
      <c r="DL143" s="1266"/>
      <c r="DM143" s="1266"/>
      <c r="DN143" s="1266"/>
      <c r="DO143" s="1266"/>
      <c r="DP143" s="1266"/>
      <c r="DQ143" s="1266"/>
      <c r="DS143" s="1333"/>
      <c r="DT143" s="1333"/>
      <c r="DU143" s="1333"/>
      <c r="DV143" s="1333"/>
      <c r="DW143" s="1333"/>
      <c r="DX143" s="1333"/>
      <c r="DY143" s="1333"/>
      <c r="DZ143" s="1333"/>
      <c r="EA143" s="1333"/>
      <c r="EB143" s="1333"/>
    </row>
    <row r="144" spans="1:137" ht="15.75">
      <c r="A144" s="2118">
        <f>+A136+1</f>
        <v>2006</v>
      </c>
      <c r="B144" s="2118"/>
      <c r="C144" s="1266"/>
      <c r="D144" s="1335"/>
      <c r="E144" s="1269"/>
      <c r="F144" s="1302"/>
      <c r="G144" s="1335"/>
      <c r="H144" s="1268"/>
      <c r="I144" s="1295"/>
      <c r="J144" s="1266"/>
      <c r="K144" s="1336"/>
      <c r="L144" s="1269"/>
      <c r="M144" s="1268"/>
      <c r="N144" s="1336"/>
      <c r="O144" s="1268"/>
      <c r="P144" s="1295"/>
      <c r="Q144" s="1268"/>
      <c r="R144" s="1336"/>
      <c r="S144" s="1269"/>
      <c r="T144" s="1268"/>
      <c r="U144" s="1336"/>
      <c r="V144" s="1268"/>
      <c r="W144" s="1295"/>
      <c r="X144" s="1268"/>
      <c r="Y144" s="1336"/>
      <c r="Z144" s="1269"/>
      <c r="AA144" s="1268"/>
      <c r="AB144" s="1336"/>
      <c r="AC144" s="1268"/>
      <c r="AD144" s="1295"/>
      <c r="AE144" s="1268"/>
      <c r="AF144" s="1336"/>
      <c r="AG144" s="1269"/>
      <c r="AH144" s="1270"/>
      <c r="AI144" s="1336"/>
      <c r="AJ144" s="1268"/>
      <c r="AK144" s="1302"/>
      <c r="AL144" s="1268"/>
      <c r="AM144" s="1336"/>
      <c r="AN144" s="1269"/>
      <c r="AO144" s="1268"/>
      <c r="AP144" s="1336"/>
      <c r="AQ144" s="1268"/>
      <c r="AR144" s="1295"/>
      <c r="AS144" s="1268"/>
      <c r="AT144" s="1336"/>
      <c r="AU144" s="1269"/>
      <c r="AV144" s="1266"/>
      <c r="AW144" s="1336"/>
      <c r="AX144" s="1268"/>
      <c r="AY144" s="1295"/>
      <c r="AZ144" s="1266"/>
      <c r="BA144" s="1336"/>
      <c r="BB144" s="1269"/>
      <c r="BC144" s="1266"/>
      <c r="BD144" s="1336"/>
      <c r="BE144" s="1268"/>
      <c r="BF144" s="1295"/>
      <c r="BG144" s="1295"/>
      <c r="BH144" s="1336"/>
      <c r="BI144" s="1269"/>
      <c r="BJ144" s="1266"/>
      <c r="BK144" s="1336"/>
      <c r="BL144" s="1268"/>
      <c r="BM144" s="1295"/>
      <c r="BN144" s="1295"/>
      <c r="BO144" s="1336"/>
      <c r="BP144" s="1269"/>
      <c r="BQ144" s="1266"/>
      <c r="BR144" s="1336"/>
      <c r="BS144" s="1268"/>
      <c r="BT144" s="1295"/>
      <c r="BU144" s="1295"/>
      <c r="BV144" s="1345"/>
      <c r="BW144" s="1354"/>
      <c r="BX144" s="1355"/>
      <c r="BY144" s="1345"/>
      <c r="BZ144" s="1356"/>
      <c r="CA144" s="1357"/>
      <c r="CB144" s="1266"/>
      <c r="CC144" s="1336"/>
      <c r="CD144" s="1269"/>
      <c r="CE144" s="1266"/>
      <c r="CF144" s="1336"/>
      <c r="CG144" s="1268"/>
      <c r="CH144" s="1295"/>
      <c r="CI144" s="1336"/>
      <c r="CJ144" s="1269"/>
      <c r="CK144" s="1266"/>
      <c r="CL144" s="1336"/>
      <c r="CM144" s="1268"/>
      <c r="CN144" s="1295"/>
      <c r="CO144" s="1295"/>
      <c r="CP144" s="1336"/>
      <c r="CQ144" s="1269"/>
      <c r="CR144" s="1266"/>
      <c r="CS144" s="1336"/>
      <c r="CT144" s="1268"/>
      <c r="CU144" s="1295"/>
      <c r="CV144" s="1266"/>
      <c r="CW144" s="1335"/>
      <c r="CX144" s="1266"/>
      <c r="CY144" s="1266"/>
      <c r="CZ144" s="1266"/>
      <c r="DA144" s="1266"/>
      <c r="DB144" s="1335"/>
      <c r="DC144" s="1268"/>
      <c r="DD144" s="1302"/>
      <c r="DE144" s="1266"/>
      <c r="DF144" s="1266"/>
      <c r="DG144" s="1266"/>
      <c r="DH144" s="1266"/>
      <c r="DI144" s="1266"/>
      <c r="DJ144" s="1266"/>
      <c r="DK144" s="1266"/>
      <c r="DL144" s="1266"/>
      <c r="DM144" s="1266"/>
      <c r="DN144" s="1266"/>
      <c r="DO144" s="1266"/>
      <c r="DP144" s="1266"/>
      <c r="DQ144" s="1266"/>
      <c r="DS144" s="1333"/>
      <c r="DT144" s="1333"/>
      <c r="DU144" s="1333"/>
      <c r="DV144" s="1333"/>
      <c r="DW144" s="1333"/>
      <c r="DX144" s="1333"/>
      <c r="DY144" s="1333"/>
      <c r="DZ144" s="1333"/>
      <c r="EA144" s="1333"/>
      <c r="EB144" s="1333"/>
    </row>
    <row r="145" spans="1:137" ht="15">
      <c r="A145" s="1266" t="str">
        <f>$A$17</f>
        <v>1Q</v>
      </c>
      <c r="B145" s="1266" t="str">
        <f>$B$17</f>
        <v>Apr</v>
      </c>
      <c r="C145" s="1266"/>
      <c r="D145" s="1294">
        <f t="shared" ref="D145:E148" si="26">+K145+R145</f>
        <v>1530</v>
      </c>
      <c r="E145" s="1255">
        <f t="shared" si="26"/>
        <v>16</v>
      </c>
      <c r="F145" s="1295">
        <f>+(D145/D137-1)*100</f>
        <v>3.9402173913043459</v>
      </c>
      <c r="G145" s="1296">
        <f>+N145+U145</f>
        <v>47.1</v>
      </c>
      <c r="H145" s="1297"/>
      <c r="I145" s="1295">
        <f>+(G145/G137-1)*100</f>
        <v>5.4334619045032229</v>
      </c>
      <c r="J145" s="1266"/>
      <c r="K145" s="1300">
        <v>805</v>
      </c>
      <c r="L145" s="1255">
        <f>+K145-K140</f>
        <v>6</v>
      </c>
      <c r="M145" s="1295">
        <f>+(K145/K137-1)*100</f>
        <v>4.1397153945666343</v>
      </c>
      <c r="N145" s="1318">
        <v>24</v>
      </c>
      <c r="O145" s="1297"/>
      <c r="P145" s="1295">
        <f>+(N145/N137-1)*100</f>
        <v>5.1474398130629595</v>
      </c>
      <c r="Q145" s="1299"/>
      <c r="R145" s="1300">
        <v>725</v>
      </c>
      <c r="S145" s="1255">
        <f>+R145-R140</f>
        <v>10</v>
      </c>
      <c r="T145" s="1295">
        <f>+(R145/R137-1)*100</f>
        <v>3.7195994277539279</v>
      </c>
      <c r="U145" s="1318">
        <v>23.1</v>
      </c>
      <c r="V145" s="1297"/>
      <c r="W145" s="1295">
        <f>+(U145/U137-1)*100</f>
        <v>5.7322805802829224</v>
      </c>
      <c r="X145" s="1299"/>
      <c r="Y145" s="1300">
        <v>178</v>
      </c>
      <c r="Z145" s="1255">
        <f>+Y145-Y140</f>
        <v>4</v>
      </c>
      <c r="AA145" s="1295">
        <f>+(Y145/Y137-1)*100</f>
        <v>5.3254437869822535</v>
      </c>
      <c r="AB145" s="1318">
        <v>5.3</v>
      </c>
      <c r="AC145" s="1297"/>
      <c r="AD145" s="1295"/>
      <c r="AE145" s="1299"/>
      <c r="AF145" s="1300">
        <v>201</v>
      </c>
      <c r="AG145" s="1255">
        <f>+AF145-AF140</f>
        <v>4</v>
      </c>
      <c r="AH145" s="1295">
        <f>+(AF145/AF137-1)*100</f>
        <v>14.857142857142858</v>
      </c>
      <c r="AI145" s="1318">
        <v>6</v>
      </c>
      <c r="AJ145" s="1297"/>
      <c r="AK145" s="1295">
        <f>+(AI145/AI137-1)*100</f>
        <v>15.04489378786773</v>
      </c>
      <c r="AL145" s="1299"/>
      <c r="AM145" s="1300">
        <v>254</v>
      </c>
      <c r="AN145" s="1255">
        <f>+AM145-AM140</f>
        <v>3</v>
      </c>
      <c r="AO145" s="1295">
        <f>+(AM145/AM137-1)*100</f>
        <v>15.454545454545453</v>
      </c>
      <c r="AP145" s="1318">
        <v>6.3</v>
      </c>
      <c r="AQ145" s="1297"/>
      <c r="AR145" s="1295">
        <f>+(AP145/AP137-1)*100</f>
        <v>15.50260762859188</v>
      </c>
      <c r="AS145" s="1299"/>
      <c r="AT145" s="1300">
        <v>156</v>
      </c>
      <c r="AU145" s="1255">
        <f>+AT145-AT140</f>
        <v>4</v>
      </c>
      <c r="AV145" s="1295">
        <f>+(AT145/AT137-1)*100</f>
        <v>13.868613138686126</v>
      </c>
      <c r="AW145" s="1318">
        <v>4</v>
      </c>
      <c r="AX145" s="1297"/>
      <c r="AY145" s="1295">
        <f>+(AW145/AW137-1)*100</f>
        <v>13.468396351011091</v>
      </c>
      <c r="AZ145" s="1299"/>
      <c r="BA145" s="1300">
        <v>60</v>
      </c>
      <c r="BB145" s="1255">
        <f>+BA145-BA140</f>
        <v>2</v>
      </c>
      <c r="BC145" s="1295">
        <f>+(BA145/BA137-1)*100</f>
        <v>36.363636363636353</v>
      </c>
      <c r="BD145" s="1318">
        <v>1.5</v>
      </c>
      <c r="BE145" s="1297"/>
      <c r="BF145" s="1295">
        <f>+(BD145/BD137-1)*100</f>
        <v>42.04545454545454</v>
      </c>
      <c r="BG145" s="1295"/>
      <c r="BH145" s="1300"/>
      <c r="BI145" s="1255"/>
      <c r="BJ145" s="1295"/>
      <c r="BK145" s="1318"/>
      <c r="BL145" s="1297"/>
      <c r="BM145" s="1295"/>
      <c r="BN145" s="1295"/>
      <c r="BO145" s="1300"/>
      <c r="BP145" s="1255"/>
      <c r="BQ145" s="1295"/>
      <c r="BR145" s="1318"/>
      <c r="BS145" s="1297"/>
      <c r="BT145" s="1295"/>
      <c r="BU145" s="1295"/>
      <c r="BV145" s="1340"/>
      <c r="BW145" s="1358"/>
      <c r="BX145" s="1357"/>
      <c r="BY145" s="1359"/>
      <c r="BZ145" s="1360"/>
      <c r="CA145" s="1357"/>
      <c r="CB145" s="1299"/>
      <c r="CC145" s="1300">
        <v>35</v>
      </c>
      <c r="CD145" s="1255">
        <f>+CC145-CC140</f>
        <v>0</v>
      </c>
      <c r="CE145" s="1295">
        <f>+(CC145/CC137-1)*100</f>
        <v>2.9411764705882248</v>
      </c>
      <c r="CF145" s="1318">
        <v>1.6</v>
      </c>
      <c r="CG145" s="1297"/>
      <c r="CH145" s="1295">
        <f>+(CF145/CF137-1)*100</f>
        <v>3.0621082185382287</v>
      </c>
      <c r="CI145" s="1300"/>
      <c r="CJ145" s="1255"/>
      <c r="CK145" s="1295"/>
      <c r="CL145" s="1318"/>
      <c r="CM145" s="1297"/>
      <c r="CN145" s="1295"/>
      <c r="CO145" s="1295"/>
      <c r="CP145" s="1300"/>
      <c r="CQ145" s="1255"/>
      <c r="CR145" s="1295"/>
      <c r="CS145" s="1318"/>
      <c r="CT145" s="1297"/>
      <c r="CU145" s="1295"/>
      <c r="CV145" s="1299"/>
      <c r="CW145" s="1306">
        <f>+D145+Y145+AF145+AM145+AT145+BA145+CC145</f>
        <v>2414</v>
      </c>
      <c r="CX145" s="1307">
        <f>+CW145-CW140</f>
        <v>33</v>
      </c>
      <c r="CY145" s="1295">
        <f>+(CW145/CW137-1)*100</f>
        <v>7.2412261217236873</v>
      </c>
      <c r="CZ145" s="1297"/>
      <c r="DA145" s="1297"/>
      <c r="DB145" s="1296">
        <f>+G145+AB145+AI145+AP145+AW145+BD145+CF145</f>
        <v>71.8</v>
      </c>
      <c r="DC145" s="1297"/>
      <c r="DD145" s="1295">
        <f>+(DB145/DB137-1)*100</f>
        <v>7.9974640358319471</v>
      </c>
      <c r="DE145" s="1266"/>
      <c r="DF145" s="1350">
        <f>+D145/$CW145</f>
        <v>0.63380281690140849</v>
      </c>
      <c r="DG145" s="1351"/>
      <c r="DH145" s="1351"/>
      <c r="DI145" s="1350">
        <f>+Y145/$CW145</f>
        <v>7.3736536868268435E-2</v>
      </c>
      <c r="DJ145" s="1350">
        <f>+AF145/CW145</f>
        <v>8.3264291632145812E-2</v>
      </c>
      <c r="DK145" s="1350">
        <f>+AM145/CW145</f>
        <v>0.10521955260977631</v>
      </c>
      <c r="DL145" s="1350">
        <f>+AT145/CW145</f>
        <v>6.4623032311516157E-2</v>
      </c>
      <c r="DM145" s="1350">
        <f>+BA145/$CW145</f>
        <v>2.4855012427506214E-2</v>
      </c>
      <c r="DN145" s="1350"/>
      <c r="DO145" s="1350"/>
      <c r="DP145" s="1350"/>
      <c r="DQ145" s="1350"/>
      <c r="DS145" s="1333">
        <f t="shared" si="16"/>
        <v>6</v>
      </c>
      <c r="DT145" s="1333">
        <f t="shared" si="17"/>
        <v>10</v>
      </c>
      <c r="DU145" s="1333">
        <f t="shared" si="18"/>
        <v>4</v>
      </c>
      <c r="DV145" s="1333">
        <f t="shared" si="19"/>
        <v>4</v>
      </c>
      <c r="DW145" s="1333">
        <f t="shared" si="20"/>
        <v>3</v>
      </c>
      <c r="DX145" s="1333">
        <f t="shared" si="21"/>
        <v>4</v>
      </c>
      <c r="DY145" s="1333">
        <f t="shared" si="22"/>
        <v>2</v>
      </c>
      <c r="DZ145" s="1333">
        <f t="shared" si="23"/>
        <v>0</v>
      </c>
      <c r="EA145" s="1333">
        <f t="shared" si="24"/>
        <v>0</v>
      </c>
      <c r="EB145" s="1333">
        <f t="shared" si="25"/>
        <v>0</v>
      </c>
      <c r="ED145" s="451">
        <f>-(SUMIF(DS145:EB145,"&lt;0"))</f>
        <v>0</v>
      </c>
      <c r="EE145" s="451">
        <f>(SUMIF(DS145:EB145,"&gt;0"))</f>
        <v>33</v>
      </c>
      <c r="EF145" s="451">
        <f>+EE145-ED145</f>
        <v>33</v>
      </c>
      <c r="EG145" s="1333">
        <f>+EF145-CX145</f>
        <v>0</v>
      </c>
    </row>
    <row r="146" spans="1:137" ht="15">
      <c r="A146" s="1266" t="str">
        <f>$A$18</f>
        <v>2Q</v>
      </c>
      <c r="B146" s="1266" t="str">
        <f>$B$18</f>
        <v>Jul</v>
      </c>
      <c r="C146" s="1266"/>
      <c r="D146" s="1294">
        <f t="shared" si="26"/>
        <v>1536</v>
      </c>
      <c r="E146" s="1255">
        <f t="shared" si="26"/>
        <v>6</v>
      </c>
      <c r="F146" s="1295">
        <f>+(D146/D138-1)*100</f>
        <v>3.9945836154366976</v>
      </c>
      <c r="G146" s="1296">
        <f>+N146+U146</f>
        <v>47.3</v>
      </c>
      <c r="H146" s="1297"/>
      <c r="I146" s="1295">
        <f>+(G146/G138-1)*100</f>
        <v>5.5283189223883422</v>
      </c>
      <c r="J146" s="1309"/>
      <c r="K146" s="1300">
        <v>807</v>
      </c>
      <c r="L146" s="1255">
        <f>+K146-K145</f>
        <v>2</v>
      </c>
      <c r="M146" s="1295">
        <f>+(K146/K138-1)*100</f>
        <v>3.8610038610038533</v>
      </c>
      <c r="N146" s="1318">
        <v>24.1</v>
      </c>
      <c r="O146" s="1297"/>
      <c r="P146" s="1295">
        <f>+(N146/N138-1)*100</f>
        <v>5.0419991693207766</v>
      </c>
      <c r="Q146" s="1299"/>
      <c r="R146" s="1300">
        <v>729</v>
      </c>
      <c r="S146" s="1255">
        <f>+R146-R145</f>
        <v>4</v>
      </c>
      <c r="T146" s="1295">
        <f>+(R146/R138-1)*100</f>
        <v>4.142857142857137</v>
      </c>
      <c r="U146" s="1318">
        <v>23.2</v>
      </c>
      <c r="V146" s="1297"/>
      <c r="W146" s="1295">
        <f>+(U146/U138-1)*100</f>
        <v>6.0382960862295665</v>
      </c>
      <c r="X146" s="1299"/>
      <c r="Y146" s="1300">
        <v>178</v>
      </c>
      <c r="Z146" s="1255">
        <f>+Y146-Y145</f>
        <v>0</v>
      </c>
      <c r="AA146" s="1295">
        <f>+(Y146/Y138-1)*100</f>
        <v>6.5868263473053856</v>
      </c>
      <c r="AB146" s="1318">
        <v>5.3</v>
      </c>
      <c r="AC146" s="1297"/>
      <c r="AD146" s="1295"/>
      <c r="AE146" s="1299"/>
      <c r="AF146" s="1300">
        <v>202</v>
      </c>
      <c r="AG146" s="1255">
        <f>+AF146-AF145</f>
        <v>1</v>
      </c>
      <c r="AH146" s="1295">
        <f>+(AF146/AF138-1)*100</f>
        <v>9.7826086956521721</v>
      </c>
      <c r="AI146" s="1318">
        <v>6.1</v>
      </c>
      <c r="AJ146" s="1297"/>
      <c r="AK146" s="1295">
        <f>+(AI146/AI138-1)*100</f>
        <v>11.241326194337642</v>
      </c>
      <c r="AL146" s="1299"/>
      <c r="AM146" s="1300">
        <v>260</v>
      </c>
      <c r="AN146" s="1255">
        <f>+AM146-AM145</f>
        <v>6</v>
      </c>
      <c r="AO146" s="1295">
        <f>+(AM146/AM138-1)*100</f>
        <v>13.043478260869556</v>
      </c>
      <c r="AP146" s="1318">
        <v>6.4</v>
      </c>
      <c r="AQ146" s="1297"/>
      <c r="AR146" s="1295">
        <f>+(AP146/AP138-1)*100</f>
        <v>12.234417902731099</v>
      </c>
      <c r="AS146" s="1299"/>
      <c r="AT146" s="1300">
        <v>156</v>
      </c>
      <c r="AU146" s="1255">
        <f>+AT146-AT145</f>
        <v>0</v>
      </c>
      <c r="AV146" s="1295">
        <f>+(AT146/AT138-1)*100</f>
        <v>9.0909090909090828</v>
      </c>
      <c r="AW146" s="1318">
        <v>4</v>
      </c>
      <c r="AX146" s="1297"/>
      <c r="AY146" s="1295">
        <f>+(AW146/AW138-1)*100</f>
        <v>8.7074846160036365</v>
      </c>
      <c r="AZ146" s="1299">
        <f>AT146/AW146</f>
        <v>39</v>
      </c>
      <c r="BA146" s="1300">
        <v>61</v>
      </c>
      <c r="BB146" s="1255">
        <f>+BA146-BA145</f>
        <v>1</v>
      </c>
      <c r="BC146" s="1295">
        <f>+(BA146/BA138-1)*100</f>
        <v>29.787234042553191</v>
      </c>
      <c r="BD146" s="1318">
        <v>1.5</v>
      </c>
      <c r="BE146" s="1297"/>
      <c r="BF146" s="1295">
        <f>+(BD146/BD138-1)*100</f>
        <v>32.978723404255341</v>
      </c>
      <c r="BG146" s="1295"/>
      <c r="BH146" s="1300"/>
      <c r="BI146" s="1255"/>
      <c r="BJ146" s="1295"/>
      <c r="BK146" s="1318"/>
      <c r="BL146" s="1297"/>
      <c r="BM146" s="1295"/>
      <c r="BN146" s="1295"/>
      <c r="BO146" s="1300"/>
      <c r="BP146" s="1255"/>
      <c r="BQ146" s="1295"/>
      <c r="BR146" s="1318"/>
      <c r="BS146" s="1297"/>
      <c r="BT146" s="1295"/>
      <c r="BU146" s="1295"/>
      <c r="BV146" s="1340"/>
      <c r="BW146" s="1358"/>
      <c r="BX146" s="1357"/>
      <c r="BY146" s="1359"/>
      <c r="BZ146" s="1360"/>
      <c r="CA146" s="1357"/>
      <c r="CB146" s="1299"/>
      <c r="CC146" s="1300">
        <v>36</v>
      </c>
      <c r="CD146" s="1255">
        <f>+CC146-CC145</f>
        <v>1</v>
      </c>
      <c r="CE146" s="1295">
        <f>+(CC146/CC138-1)*100</f>
        <v>5.8823529411764719</v>
      </c>
      <c r="CF146" s="1318">
        <v>1.6</v>
      </c>
      <c r="CG146" s="1297"/>
      <c r="CH146" s="1295">
        <f>+(CF146/CF138-1)*100</f>
        <v>3.0621082185382287</v>
      </c>
      <c r="CI146" s="1300"/>
      <c r="CJ146" s="1255"/>
      <c r="CK146" s="1295"/>
      <c r="CL146" s="1318"/>
      <c r="CM146" s="1297"/>
      <c r="CN146" s="1295"/>
      <c r="CO146" s="1295"/>
      <c r="CP146" s="1300"/>
      <c r="CQ146" s="1255"/>
      <c r="CR146" s="1295"/>
      <c r="CS146" s="1318"/>
      <c r="CT146" s="1297"/>
      <c r="CU146" s="1295"/>
      <c r="CV146" s="1299"/>
      <c r="CW146" s="1306">
        <f>+D146+Y146+AF146+AM146+AT146+BA146+CC146</f>
        <v>2429</v>
      </c>
      <c r="CX146" s="1307">
        <f>+CW146-CW145</f>
        <v>15</v>
      </c>
      <c r="CY146" s="1295">
        <f>+(CW146/CW138-1)*100</f>
        <v>6.4417177914110502</v>
      </c>
      <c r="CZ146" s="1297"/>
      <c r="DA146" s="1297"/>
      <c r="DB146" s="1296">
        <f>+G146+AB146+AI146+AP146+AW146+BD146+CF146</f>
        <v>72.199999999999989</v>
      </c>
      <c r="DC146" s="1297"/>
      <c r="DD146" s="1295">
        <f>+(DB146/DB138-1)*100</f>
        <v>7.2558232550825386</v>
      </c>
      <c r="DE146" s="1370">
        <f>(AW146/AT146)*34</f>
        <v>0.87179487179487181</v>
      </c>
      <c r="DF146" s="1350">
        <f>+D146/$CW146</f>
        <v>0.63235899547138741</v>
      </c>
      <c r="DG146" s="1351"/>
      <c r="DH146" s="1351"/>
      <c r="DI146" s="1350">
        <f>+Y146/$CW146</f>
        <v>7.3281185673116506E-2</v>
      </c>
      <c r="DJ146" s="1350">
        <f>+AF146/CW146</f>
        <v>8.3161794977356943E-2</v>
      </c>
      <c r="DK146" s="1350">
        <f>+AM146/CW146</f>
        <v>0.10703993412927131</v>
      </c>
      <c r="DL146" s="1350">
        <f>+AT146/CW146</f>
        <v>6.4223960477562778E-2</v>
      </c>
      <c r="DM146" s="1350">
        <f>+BA146/$CW146</f>
        <v>2.5113215314944422E-2</v>
      </c>
      <c r="DN146" s="1350"/>
      <c r="DO146" s="1350"/>
      <c r="DP146" s="1350"/>
      <c r="DQ146" s="1350"/>
      <c r="DS146" s="1333">
        <f t="shared" si="16"/>
        <v>2</v>
      </c>
      <c r="DT146" s="1333">
        <f t="shared" si="17"/>
        <v>4</v>
      </c>
      <c r="DU146" s="1333">
        <f t="shared" si="18"/>
        <v>0</v>
      </c>
      <c r="DV146" s="1333">
        <f t="shared" si="19"/>
        <v>1</v>
      </c>
      <c r="DW146" s="1333">
        <f t="shared" si="20"/>
        <v>6</v>
      </c>
      <c r="DX146" s="1333">
        <f t="shared" si="21"/>
        <v>0</v>
      </c>
      <c r="DY146" s="1333">
        <f t="shared" si="22"/>
        <v>1</v>
      </c>
      <c r="DZ146" s="1333">
        <f t="shared" si="23"/>
        <v>0</v>
      </c>
      <c r="EA146" s="1333">
        <f t="shared" si="24"/>
        <v>0</v>
      </c>
      <c r="EB146" s="1333">
        <f t="shared" si="25"/>
        <v>1</v>
      </c>
      <c r="ED146" s="451">
        <f>-(SUMIF(DS146:EB146,"&lt;0"))</f>
        <v>0</v>
      </c>
      <c r="EE146" s="451">
        <f>(SUMIF(DS146:EB146,"&gt;0"))</f>
        <v>15</v>
      </c>
      <c r="EF146" s="451">
        <f>+EE146-ED146</f>
        <v>15</v>
      </c>
      <c r="EG146" s="1333">
        <f>+EF146-CX146</f>
        <v>0</v>
      </c>
    </row>
    <row r="147" spans="1:137" ht="15">
      <c r="A147" s="1266" t="str">
        <f>$A$19</f>
        <v>3Q</v>
      </c>
      <c r="B147" s="1266" t="str">
        <f>$B$19</f>
        <v>Oct</v>
      </c>
      <c r="C147" s="1266"/>
      <c r="D147" s="1294">
        <f t="shared" si="26"/>
        <v>1575</v>
      </c>
      <c r="E147" s="1255">
        <f t="shared" si="26"/>
        <v>39</v>
      </c>
      <c r="F147" s="1295">
        <f>+(D147/D139-1)*100</f>
        <v>4.0978189028420431</v>
      </c>
      <c r="G147" s="1296">
        <f>+N147+U147</f>
        <v>48.8</v>
      </c>
      <c r="H147" s="1297"/>
      <c r="I147" s="1295">
        <f>+(G147/G139-1)*100</f>
        <v>6.2805845327847498</v>
      </c>
      <c r="J147" s="1266"/>
      <c r="K147" s="1300">
        <v>826</v>
      </c>
      <c r="L147" s="1255">
        <f>+K147-K146</f>
        <v>19</v>
      </c>
      <c r="M147" s="1295">
        <f>+(K147/K139-1)*100</f>
        <v>3.8993710691823891</v>
      </c>
      <c r="N147" s="1318">
        <v>24.8</v>
      </c>
      <c r="O147" s="1297"/>
      <c r="P147" s="1295">
        <f>+(N147/N139-1)*100</f>
        <v>5.6456226515902763</v>
      </c>
      <c r="Q147" s="1299"/>
      <c r="R147" s="1300">
        <v>749</v>
      </c>
      <c r="S147" s="1255">
        <f>+R147-R146</f>
        <v>20</v>
      </c>
      <c r="T147" s="1295">
        <f>+(R147/R139-1)*100</f>
        <v>4.3175487465181073</v>
      </c>
      <c r="U147" s="1318">
        <v>24</v>
      </c>
      <c r="V147" s="1297"/>
      <c r="W147" s="1295">
        <f>+(U147/U139-1)*100</f>
        <v>6.9447804154654236</v>
      </c>
      <c r="X147" s="1299"/>
      <c r="Y147" s="1300">
        <v>184</v>
      </c>
      <c r="Z147" s="1255">
        <f>+Y147-Y146</f>
        <v>6</v>
      </c>
      <c r="AA147" s="1295">
        <f>+(Y147/Y139-1)*100</f>
        <v>6.9767441860465018</v>
      </c>
      <c r="AB147" s="1318">
        <v>5.4</v>
      </c>
      <c r="AC147" s="1297"/>
      <c r="AD147" s="1295"/>
      <c r="AE147" s="1299"/>
      <c r="AF147" s="1300">
        <v>210</v>
      </c>
      <c r="AG147" s="1255">
        <f>+AF147-AF146</f>
        <v>8</v>
      </c>
      <c r="AH147" s="1295">
        <f>+(AF147/AF139-1)*100</f>
        <v>6.5989847715736127</v>
      </c>
      <c r="AI147" s="1318">
        <v>6.3</v>
      </c>
      <c r="AJ147" s="1297"/>
      <c r="AK147" s="1295">
        <f>+(AI147/AI139-1)*100</f>
        <v>7.3071027082268758</v>
      </c>
      <c r="AL147" s="1299"/>
      <c r="AM147" s="1300">
        <v>270</v>
      </c>
      <c r="AN147" s="1255">
        <f>+AM147-AM146</f>
        <v>10</v>
      </c>
      <c r="AO147" s="1295">
        <f>+(AM147/AM139-1)*100</f>
        <v>10.655737704918034</v>
      </c>
      <c r="AP147" s="1318">
        <v>6.7</v>
      </c>
      <c r="AQ147" s="1297"/>
      <c r="AR147" s="1295">
        <f>+(AP147/AP139-1)*100</f>
        <v>10.753866539516288</v>
      </c>
      <c r="AS147" s="1299"/>
      <c r="AT147" s="1300">
        <v>162</v>
      </c>
      <c r="AU147" s="1255">
        <f>+AT147-AT146</f>
        <v>6</v>
      </c>
      <c r="AV147" s="1295">
        <f>+(AT147/AT139-1)*100</f>
        <v>6.578947368421062</v>
      </c>
      <c r="AW147" s="1318">
        <v>4.2</v>
      </c>
      <c r="AX147" s="1297"/>
      <c r="AY147" s="1295">
        <f>+(AW147/AW139-1)*100</f>
        <v>7.3844000992957071</v>
      </c>
      <c r="AZ147" s="1299">
        <f>AZ146*24</f>
        <v>936</v>
      </c>
      <c r="BA147" s="1300">
        <v>68</v>
      </c>
      <c r="BB147" s="1255">
        <f>+BA147-BA146</f>
        <v>7</v>
      </c>
      <c r="BC147" s="1295">
        <f>+(BA147/BA139-1)*100</f>
        <v>19.298245614035082</v>
      </c>
      <c r="BD147" s="1318">
        <v>1.6</v>
      </c>
      <c r="BE147" s="1297"/>
      <c r="BF147" s="1295">
        <f>+(BD147/BD139-1)*100</f>
        <v>16.959064327485372</v>
      </c>
      <c r="BG147" s="1295"/>
      <c r="BH147" s="1300"/>
      <c r="BI147" s="1255"/>
      <c r="BJ147" s="1295"/>
      <c r="BK147" s="1318"/>
      <c r="BL147" s="1297"/>
      <c r="BM147" s="1295"/>
      <c r="BN147" s="1295"/>
      <c r="BO147" s="1300"/>
      <c r="BP147" s="1255"/>
      <c r="BQ147" s="1295"/>
      <c r="BR147" s="1318"/>
      <c r="BS147" s="1297"/>
      <c r="BT147" s="1295"/>
      <c r="BU147" s="1295"/>
      <c r="BV147" s="1340"/>
      <c r="BW147" s="1358"/>
      <c r="BX147" s="1357"/>
      <c r="BY147" s="1359"/>
      <c r="BZ147" s="1360"/>
      <c r="CA147" s="1357"/>
      <c r="CB147" s="1299"/>
      <c r="CC147" s="1300">
        <v>36</v>
      </c>
      <c r="CD147" s="1255">
        <f>+CC147-CC146</f>
        <v>0</v>
      </c>
      <c r="CE147" s="1295">
        <f>+(CC147/CC139-1)*100</f>
        <v>0</v>
      </c>
      <c r="CF147" s="1318">
        <v>1.6</v>
      </c>
      <c r="CG147" s="1297"/>
      <c r="CH147" s="1295">
        <f>+(CF147/CF139-1)*100</f>
        <v>-2.663564460269463</v>
      </c>
      <c r="CI147" s="1300"/>
      <c r="CJ147" s="1255"/>
      <c r="CK147" s="1295"/>
      <c r="CL147" s="1318"/>
      <c r="CM147" s="1297"/>
      <c r="CN147" s="1295"/>
      <c r="CO147" s="1295"/>
      <c r="CP147" s="1300"/>
      <c r="CQ147" s="1255"/>
      <c r="CR147" s="1295"/>
      <c r="CS147" s="1318"/>
      <c r="CT147" s="1297"/>
      <c r="CU147" s="1295"/>
      <c r="CV147" s="1299"/>
      <c r="CW147" s="1306">
        <f>+D147+Y147+AF147+AM147+AT147+BA147+CC147</f>
        <v>2505</v>
      </c>
      <c r="CX147" s="1307">
        <f>+CW147-CW146</f>
        <v>76</v>
      </c>
      <c r="CY147" s="1295">
        <f>+(CW147/CW139-1)*100</f>
        <v>5.6516237874314701</v>
      </c>
      <c r="CZ147" s="1297"/>
      <c r="DA147" s="1297"/>
      <c r="DB147" s="1296">
        <f>+G147+AB147+AI147+AP147+AW147+BD147+CF147</f>
        <v>74.59999999999998</v>
      </c>
      <c r="DC147" s="1297"/>
      <c r="DD147" s="1295">
        <f>+(DB147/DB139-1)*100</f>
        <v>6.79209496508133</v>
      </c>
      <c r="DE147" s="1370">
        <f>DB146-DE146</f>
        <v>71.328205128205113</v>
      </c>
      <c r="DF147" s="1350">
        <f>+D147/$CW147</f>
        <v>0.62874251497005984</v>
      </c>
      <c r="DG147" s="1351"/>
      <c r="DH147" s="1351"/>
      <c r="DI147" s="1350">
        <f>+Y147/$CW147</f>
        <v>7.3453093812375247E-2</v>
      </c>
      <c r="DJ147" s="1350">
        <f>+AF147/CW147</f>
        <v>8.3832335329341312E-2</v>
      </c>
      <c r="DK147" s="1350">
        <f>+AM147/CW147</f>
        <v>0.10778443113772455</v>
      </c>
      <c r="DL147" s="1350">
        <f>+AT147/CW147</f>
        <v>6.4670658682634732E-2</v>
      </c>
      <c r="DM147" s="1350">
        <f>+BA147/$CW147</f>
        <v>2.714570858283433E-2</v>
      </c>
      <c r="DN147" s="1350"/>
      <c r="DO147" s="1350"/>
      <c r="DP147" s="1350"/>
      <c r="DQ147" s="1350"/>
      <c r="DS147" s="1333">
        <f t="shared" si="16"/>
        <v>19</v>
      </c>
      <c r="DT147" s="1333">
        <f t="shared" si="17"/>
        <v>20</v>
      </c>
      <c r="DU147" s="1333">
        <f t="shared" si="18"/>
        <v>6</v>
      </c>
      <c r="DV147" s="1333">
        <f t="shared" si="19"/>
        <v>8</v>
      </c>
      <c r="DW147" s="1333">
        <f t="shared" si="20"/>
        <v>10</v>
      </c>
      <c r="DX147" s="1333">
        <f t="shared" si="21"/>
        <v>6</v>
      </c>
      <c r="DY147" s="1333">
        <f t="shared" si="22"/>
        <v>7</v>
      </c>
      <c r="DZ147" s="1333">
        <f t="shared" si="23"/>
        <v>0</v>
      </c>
      <c r="EA147" s="1333">
        <f t="shared" si="24"/>
        <v>0</v>
      </c>
      <c r="EB147" s="1333">
        <f t="shared" si="25"/>
        <v>0</v>
      </c>
      <c r="ED147" s="451">
        <f>-(SUMIF(DS147:EB147,"&lt;0"))</f>
        <v>0</v>
      </c>
      <c r="EE147" s="451">
        <f>(SUMIF(DS147:EB147,"&gt;0"))</f>
        <v>76</v>
      </c>
      <c r="EF147" s="451">
        <f>+EE147-ED147</f>
        <v>76</v>
      </c>
      <c r="EG147" s="1333">
        <f>+EF147-CX147</f>
        <v>0</v>
      </c>
    </row>
    <row r="148" spans="1:137" ht="15">
      <c r="A148" s="1266" t="str">
        <f>$A$20</f>
        <v>4Q</v>
      </c>
      <c r="B148" s="1266" t="str">
        <f>$B$20</f>
        <v>Jan</v>
      </c>
      <c r="C148" s="1266"/>
      <c r="D148" s="1312">
        <f t="shared" si="26"/>
        <v>1569</v>
      </c>
      <c r="E148" s="1255">
        <f t="shared" si="26"/>
        <v>-6</v>
      </c>
      <c r="F148" s="1295">
        <f>+(D148/D140-1)*100</f>
        <v>3.6327608982827053</v>
      </c>
      <c r="G148" s="1313">
        <f>+N148+U148</f>
        <v>48.7</v>
      </c>
      <c r="H148" s="1297"/>
      <c r="I148" s="1295">
        <f>+(G148/G140-1)*100</f>
        <v>4.9184565999526031</v>
      </c>
      <c r="J148" s="1266"/>
      <c r="K148" s="1314">
        <v>821</v>
      </c>
      <c r="L148" s="1255">
        <f>+K148-K147</f>
        <v>-5</v>
      </c>
      <c r="M148" s="1295">
        <f>+(K148/K140-1)*100</f>
        <v>2.7534418022528095</v>
      </c>
      <c r="N148" s="1334">
        <v>24.7</v>
      </c>
      <c r="O148" s="1297"/>
      <c r="P148" s="1295">
        <f>+(N148/N140-1)*100</f>
        <v>3.9824871600572465</v>
      </c>
      <c r="Q148" s="1299"/>
      <c r="R148" s="1314">
        <v>748</v>
      </c>
      <c r="S148" s="1255">
        <f>+R148-R147</f>
        <v>-1</v>
      </c>
      <c r="T148" s="1295">
        <f>+(R148/R140-1)*100</f>
        <v>4.6153846153846212</v>
      </c>
      <c r="U148" s="1334">
        <v>24</v>
      </c>
      <c r="V148" s="1297"/>
      <c r="W148" s="1295">
        <f>+(U148/U140-1)*100</f>
        <v>5.8994837400167643</v>
      </c>
      <c r="X148" s="1299"/>
      <c r="Y148" s="1314">
        <v>184</v>
      </c>
      <c r="Z148" s="1255">
        <f>+Y148-Y147</f>
        <v>0</v>
      </c>
      <c r="AA148" s="1295">
        <f>+(Y148/Y140-1)*100</f>
        <v>5.7471264367816133</v>
      </c>
      <c r="AB148" s="1334">
        <v>5.4</v>
      </c>
      <c r="AC148" s="1297"/>
      <c r="AD148" s="1295">
        <f>+(AB148/AB140-1)*100</f>
        <v>4.7526673132880726</v>
      </c>
      <c r="AE148" s="1299"/>
      <c r="AF148" s="1314">
        <v>210</v>
      </c>
      <c r="AG148" s="1255">
        <f>+AF148-AF147</f>
        <v>0</v>
      </c>
      <c r="AH148" s="1295">
        <f>+(AF148/AF140-1)*100</f>
        <v>6.5989847715736127</v>
      </c>
      <c r="AI148" s="1334">
        <v>6.5</v>
      </c>
      <c r="AJ148" s="1297"/>
      <c r="AK148" s="1295">
        <f>+(AI148/AI140-1)*100</f>
        <v>10.713677397376919</v>
      </c>
      <c r="AL148" s="1299"/>
      <c r="AM148" s="1314">
        <v>270</v>
      </c>
      <c r="AN148" s="1255">
        <f>+AM148-AM147</f>
        <v>0</v>
      </c>
      <c r="AO148" s="1295">
        <f>+(AM148/AM140-1)*100</f>
        <v>7.5697211155378419</v>
      </c>
      <c r="AP148" s="1334">
        <v>6.6</v>
      </c>
      <c r="AQ148" s="1297"/>
      <c r="AR148" s="1295">
        <f>+(AP148/AP140-1)*100</f>
        <v>6.0581713000160686</v>
      </c>
      <c r="AS148" s="1299"/>
      <c r="AT148" s="1314">
        <v>129</v>
      </c>
      <c r="AU148" s="1255">
        <f>+AT148-AT147</f>
        <v>-33</v>
      </c>
      <c r="AV148" s="1295">
        <f>+(AT148/AT140-1)*100</f>
        <v>-15.131578947368418</v>
      </c>
      <c r="AW148" s="1334">
        <v>3.3</v>
      </c>
      <c r="AX148" s="1297"/>
      <c r="AY148" s="1295">
        <f>+(AW148/AW140-1)*100</f>
        <v>-15.601023017902826</v>
      </c>
      <c r="AZ148" s="1299"/>
      <c r="BA148" s="1314">
        <v>68</v>
      </c>
      <c r="BB148" s="1255">
        <f>+BA148-BA147</f>
        <v>0</v>
      </c>
      <c r="BC148" s="1295">
        <f>+(BA148/BA140-1)*100</f>
        <v>17.241379310344819</v>
      </c>
      <c r="BD148" s="1334">
        <v>1.6</v>
      </c>
      <c r="BE148" s="1297"/>
      <c r="BF148" s="1295">
        <f>+(BD148/BD140-1)*100</f>
        <v>13.798008534850648</v>
      </c>
      <c r="BG148" s="1295"/>
      <c r="BH148" s="1314"/>
      <c r="BI148" s="1255"/>
      <c r="BJ148" s="1295"/>
      <c r="BK148" s="1334"/>
      <c r="BL148" s="1297"/>
      <c r="BM148" s="1295"/>
      <c r="BN148" s="1295"/>
      <c r="BO148" s="1314"/>
      <c r="BP148" s="1255"/>
      <c r="BQ148" s="1295"/>
      <c r="BR148" s="1334"/>
      <c r="BS148" s="1297"/>
      <c r="BT148" s="1295"/>
      <c r="BU148" s="1295"/>
      <c r="BV148" s="1361"/>
      <c r="BW148" s="1358"/>
      <c r="BX148" s="1357"/>
      <c r="BY148" s="1362"/>
      <c r="BZ148" s="1360"/>
      <c r="CA148" s="1357"/>
      <c r="CB148" s="1299"/>
      <c r="CC148" s="1314">
        <v>36</v>
      </c>
      <c r="CD148" s="1255">
        <f>+CC148-CC147</f>
        <v>0</v>
      </c>
      <c r="CE148" s="1295">
        <f>+(CC148/CC140-1)*100</f>
        <v>2.857142857142847</v>
      </c>
      <c r="CF148" s="1334">
        <v>1.6</v>
      </c>
      <c r="CG148" s="1297"/>
      <c r="CH148" s="1295">
        <f>+(CF148/CF140-1)*100</f>
        <v>0.43942247332078299</v>
      </c>
      <c r="CI148" s="1314"/>
      <c r="CJ148" s="1255"/>
      <c r="CK148" s="1295"/>
      <c r="CL148" s="1334"/>
      <c r="CM148" s="1297"/>
      <c r="CN148" s="1295"/>
      <c r="CO148" s="1295"/>
      <c r="CP148" s="1314"/>
      <c r="CQ148" s="1255"/>
      <c r="CR148" s="1295"/>
      <c r="CS148" s="1334"/>
      <c r="CT148" s="1297"/>
      <c r="CU148" s="1295"/>
      <c r="CV148" s="1299"/>
      <c r="CW148" s="1312">
        <f>+D148+Y148+AF148+AM148+AT148+BA148+CC148</f>
        <v>2466</v>
      </c>
      <c r="CX148" s="1307">
        <f>+CW148-CW147</f>
        <v>-39</v>
      </c>
      <c r="CY148" s="1295">
        <f>+(CW148/CW140-1)*100</f>
        <v>3.5699286014279741</v>
      </c>
      <c r="CZ148" s="1297"/>
      <c r="DA148" s="1297"/>
      <c r="DB148" s="1313">
        <f>+G148+AB148+AI148+AP148+AW148+BD148+CF148</f>
        <v>73.699999999999989</v>
      </c>
      <c r="DC148" s="1297"/>
      <c r="DD148" s="1295">
        <f>+(DB148/DB140-1)*100</f>
        <v>4.4279135671271286</v>
      </c>
      <c r="DE148" s="1266"/>
      <c r="DF148" s="1350">
        <f>+D148/$CW148</f>
        <v>0.63625304136253036</v>
      </c>
      <c r="DG148" s="1351"/>
      <c r="DH148" s="1351"/>
      <c r="DI148" s="1350">
        <f>+Y148/$CW148</f>
        <v>7.4614760746147604E-2</v>
      </c>
      <c r="DJ148" s="1350">
        <f>+AF148/CW148</f>
        <v>8.5158150851581502E-2</v>
      </c>
      <c r="DK148" s="1350">
        <f>+AM148/CW148</f>
        <v>0.10948905109489052</v>
      </c>
      <c r="DL148" s="1350">
        <f>+AT148/CW148</f>
        <v>5.2311435523114354E-2</v>
      </c>
      <c r="DM148" s="1350">
        <f>+BA148/$CW148</f>
        <v>2.7575020275750203E-2</v>
      </c>
      <c r="DN148" s="1350"/>
      <c r="DO148" s="1350"/>
      <c r="DP148" s="1350"/>
      <c r="DQ148" s="1350"/>
      <c r="DS148" s="1333">
        <f t="shared" si="16"/>
        <v>-5</v>
      </c>
      <c r="DT148" s="1333">
        <f t="shared" si="17"/>
        <v>-1</v>
      </c>
      <c r="DU148" s="1333">
        <f t="shared" si="18"/>
        <v>0</v>
      </c>
      <c r="DV148" s="1333">
        <f t="shared" si="19"/>
        <v>0</v>
      </c>
      <c r="DW148" s="1333">
        <f t="shared" si="20"/>
        <v>0</v>
      </c>
      <c r="DX148" s="1333">
        <f t="shared" si="21"/>
        <v>-33</v>
      </c>
      <c r="DY148" s="1333">
        <f t="shared" si="22"/>
        <v>0</v>
      </c>
      <c r="DZ148" s="1333">
        <f t="shared" si="23"/>
        <v>0</v>
      </c>
      <c r="EA148" s="1333">
        <f t="shared" si="24"/>
        <v>0</v>
      </c>
      <c r="EB148" s="1333">
        <f t="shared" si="25"/>
        <v>0</v>
      </c>
      <c r="ED148" s="451">
        <f>-(SUMIF(DS148:EB148,"&lt;0"))</f>
        <v>39</v>
      </c>
      <c r="EE148" s="451">
        <f>(SUMIF(DS148:EB148,"&gt;0"))</f>
        <v>0</v>
      </c>
      <c r="EF148" s="451">
        <f>+EE148-ED148</f>
        <v>-39</v>
      </c>
      <c r="EG148" s="1333">
        <f>+EF148-CX148</f>
        <v>0</v>
      </c>
    </row>
    <row r="149" spans="1:137" ht="15">
      <c r="A149" s="1266"/>
      <c r="B149" s="1266" t="str">
        <f>$B$21</f>
        <v>Year</v>
      </c>
      <c r="C149" s="1266"/>
      <c r="D149" s="1306">
        <f>+D148</f>
        <v>1569</v>
      </c>
      <c r="E149" s="1317">
        <f>+D149-D141</f>
        <v>55</v>
      </c>
      <c r="F149" s="1295">
        <f>+(D149/D141-1)*100</f>
        <v>3.6327608982827053</v>
      </c>
      <c r="G149" s="1296">
        <f>+N149+U149</f>
        <v>48.7</v>
      </c>
      <c r="H149" s="1297">
        <f>+G149/D149*1000</f>
        <v>31.038878266411729</v>
      </c>
      <c r="I149" s="1295">
        <f>+(G149/G141-1)*100</f>
        <v>4.9184565999526031</v>
      </c>
      <c r="J149" s="1266"/>
      <c r="K149" s="1306">
        <f>+L149+K141</f>
        <v>821</v>
      </c>
      <c r="L149" s="1317">
        <f>+K148-K140</f>
        <v>22</v>
      </c>
      <c r="M149" s="1295">
        <f>+(K149/K141-1)*100</f>
        <v>2.7534418022528095</v>
      </c>
      <c r="N149" s="1296">
        <f>+N148</f>
        <v>24.7</v>
      </c>
      <c r="O149" s="1297">
        <f>+N149/K149*1000</f>
        <v>30.085261875761265</v>
      </c>
      <c r="P149" s="1295">
        <f>+(N149/N141-1)*100</f>
        <v>3.9824871600572465</v>
      </c>
      <c r="Q149" s="1299"/>
      <c r="R149" s="1306">
        <f>+S149+R141</f>
        <v>748</v>
      </c>
      <c r="S149" s="1317">
        <f>+R148-R140</f>
        <v>33</v>
      </c>
      <c r="T149" s="1295">
        <f>+(R149/R141-1)*100</f>
        <v>4.6153846153846212</v>
      </c>
      <c r="U149" s="1296">
        <f>+U148</f>
        <v>24</v>
      </c>
      <c r="V149" s="1297">
        <f>+U149/R149*1000</f>
        <v>32.085561497326204</v>
      </c>
      <c r="W149" s="1295">
        <f>+(U149/U141-1)*100</f>
        <v>5.8994837400167643</v>
      </c>
      <c r="X149" s="1299"/>
      <c r="Y149" s="1306">
        <f>+Z149+Y141</f>
        <v>184</v>
      </c>
      <c r="Z149" s="1317">
        <f>+Y148-Y140</f>
        <v>10</v>
      </c>
      <c r="AA149" s="1295">
        <f>+(Y149/Y141-1)*100</f>
        <v>5.7471264367816133</v>
      </c>
      <c r="AB149" s="1296">
        <f>+AB148</f>
        <v>5.4</v>
      </c>
      <c r="AC149" s="1297">
        <f>+AB149/Y149*1000</f>
        <v>29.347826086956523</v>
      </c>
      <c r="AD149" s="1295">
        <f>+(AB149/AB141-1)*100</f>
        <v>4.7526673132880726</v>
      </c>
      <c r="AE149" s="1299"/>
      <c r="AF149" s="1306">
        <f>+AG149+AF141</f>
        <v>210</v>
      </c>
      <c r="AG149" s="1317">
        <f>+AF148-AF140</f>
        <v>13</v>
      </c>
      <c r="AH149" s="1295">
        <f>+(AF149/AF141-1)*100</f>
        <v>6.5989847715736127</v>
      </c>
      <c r="AI149" s="1296">
        <f>+AI148</f>
        <v>6.5</v>
      </c>
      <c r="AJ149" s="1297">
        <f>+AI149/AF149*1000</f>
        <v>30.952380952380953</v>
      </c>
      <c r="AK149" s="1295">
        <f>+(AI149/AI141-1)*100</f>
        <v>10.713677397376919</v>
      </c>
      <c r="AL149" s="1299"/>
      <c r="AM149" s="1306">
        <f>+AN149+AM141</f>
        <v>270</v>
      </c>
      <c r="AN149" s="1317">
        <f>+AM148-AM140</f>
        <v>19</v>
      </c>
      <c r="AO149" s="1295">
        <f>+(AM149/AM141-1)*100</f>
        <v>7.5697211155378419</v>
      </c>
      <c r="AP149" s="1296">
        <f>+AP148</f>
        <v>6.6</v>
      </c>
      <c r="AQ149" s="1297">
        <f>+AP149/AM149*1000</f>
        <v>24.444444444444443</v>
      </c>
      <c r="AR149" s="1295">
        <f>+(AP149/AP141-1)*100</f>
        <v>6.0581713000160686</v>
      </c>
      <c r="AS149" s="1299"/>
      <c r="AT149" s="1306">
        <f>+AU149+AT141</f>
        <v>129</v>
      </c>
      <c r="AU149" s="1317">
        <f>+AT148-AT140</f>
        <v>-23</v>
      </c>
      <c r="AV149" s="1295">
        <f>+(AT149/AT141-1)*100</f>
        <v>-15.131578947368418</v>
      </c>
      <c r="AW149" s="1296">
        <f>+AW148</f>
        <v>3.3</v>
      </c>
      <c r="AX149" s="1297">
        <f>+AX141</f>
        <v>26</v>
      </c>
      <c r="AY149" s="1295">
        <f>+(AW149/AW141-1)*100</f>
        <v>-15.601023017902826</v>
      </c>
      <c r="AZ149" s="1299"/>
      <c r="BA149" s="1306">
        <f>+BB149+BA141</f>
        <v>68</v>
      </c>
      <c r="BB149" s="1317">
        <f>+BA148-BA140</f>
        <v>10</v>
      </c>
      <c r="BC149" s="1295">
        <f>+(BA149/BA141-1)*100</f>
        <v>17.241379310344819</v>
      </c>
      <c r="BD149" s="1296">
        <f>+BD148</f>
        <v>1.6</v>
      </c>
      <c r="BE149" s="1297">
        <f>+BE141</f>
        <v>24</v>
      </c>
      <c r="BF149" s="1295">
        <f>+(BD149/BD141-1)*100</f>
        <v>13.798008534850648</v>
      </c>
      <c r="BG149" s="1295"/>
      <c r="BH149" s="1306"/>
      <c r="BI149" s="1317"/>
      <c r="BJ149" s="1295"/>
      <c r="BK149" s="1296"/>
      <c r="BL149" s="1297"/>
      <c r="BM149" s="1295"/>
      <c r="BN149" s="1295"/>
      <c r="BO149" s="1306"/>
      <c r="BP149" s="1317"/>
      <c r="BQ149" s="1295"/>
      <c r="BR149" s="1296"/>
      <c r="BS149" s="1297"/>
      <c r="BT149" s="1295"/>
      <c r="BU149" s="1295"/>
      <c r="BV149" s="1337"/>
      <c r="BW149" s="1343"/>
      <c r="BX149" s="1357"/>
      <c r="BY149" s="1359"/>
      <c r="BZ149" s="1360"/>
      <c r="CA149" s="1357"/>
      <c r="CB149" s="1299"/>
      <c r="CC149" s="1306">
        <f>+CD149+CC141</f>
        <v>36</v>
      </c>
      <c r="CD149" s="1317">
        <f>+CC148-CC140</f>
        <v>1</v>
      </c>
      <c r="CE149" s="1295">
        <f>+(CC149/CC141-1)*100</f>
        <v>2.857142857142847</v>
      </c>
      <c r="CF149" s="1296">
        <f>+CF148</f>
        <v>1.6</v>
      </c>
      <c r="CG149" s="1297">
        <f>+CG141</f>
        <v>46</v>
      </c>
      <c r="CH149" s="1295">
        <f>+(CF149/CF141-1)*100</f>
        <v>0.43942247332078299</v>
      </c>
      <c r="CI149" s="1306"/>
      <c r="CJ149" s="1317"/>
      <c r="CK149" s="1295"/>
      <c r="CL149" s="1296"/>
      <c r="CM149" s="1297"/>
      <c r="CN149" s="1295"/>
      <c r="CO149" s="1295"/>
      <c r="CP149" s="1306"/>
      <c r="CQ149" s="1317"/>
      <c r="CR149" s="1295"/>
      <c r="CS149" s="1296"/>
      <c r="CT149" s="1297"/>
      <c r="CU149" s="1295"/>
      <c r="CV149" s="1299"/>
      <c r="CW149" s="1306">
        <f>+D149+Y149+AF149+AM149+AT149+BA149+CC149</f>
        <v>2466</v>
      </c>
      <c r="CX149" s="1317">
        <f>+L149+S149+Z149+AG149+AN149+AU149+BB149+CD149</f>
        <v>85</v>
      </c>
      <c r="CY149" s="1295">
        <f>+(CW149/CW141-1)*100</f>
        <v>3.5699286014279741</v>
      </c>
      <c r="CZ149" s="1297"/>
      <c r="DA149" s="1297"/>
      <c r="DB149" s="1296">
        <f>+G149+AB149+AI149+AP149+AW149+BD149+CF149</f>
        <v>73.699999999999989</v>
      </c>
      <c r="DC149" s="1297">
        <f>+DB149/CW149*1000</f>
        <v>29.886455798864553</v>
      </c>
      <c r="DD149" s="1295">
        <f>+(DB149/DB141-1)*100</f>
        <v>4.4279135671271286</v>
      </c>
      <c r="DE149" s="1266"/>
      <c r="DF149" s="1350">
        <f>+D149/$CW149</f>
        <v>0.63625304136253036</v>
      </c>
      <c r="DG149" s="1351"/>
      <c r="DH149" s="1351"/>
      <c r="DI149" s="1350">
        <f>+Y149/$CW149</f>
        <v>7.4614760746147604E-2</v>
      </c>
      <c r="DJ149" s="1350">
        <f>+AF149/CW149</f>
        <v>8.5158150851581502E-2</v>
      </c>
      <c r="DK149" s="1350">
        <f>+AM149/CW149</f>
        <v>0.10948905109489052</v>
      </c>
      <c r="DL149" s="1350">
        <f>+AT149/CW149</f>
        <v>5.2311435523114354E-2</v>
      </c>
      <c r="DM149" s="1350">
        <f>+BA149/$CW149</f>
        <v>2.7575020275750203E-2</v>
      </c>
      <c r="DN149" s="1350"/>
      <c r="DO149" s="1350"/>
      <c r="DP149" s="1350"/>
      <c r="DQ149" s="1350"/>
      <c r="DS149" s="1333">
        <f t="shared" si="16"/>
        <v>22</v>
      </c>
      <c r="DT149" s="1333">
        <f t="shared" si="17"/>
        <v>33</v>
      </c>
      <c r="DU149" s="1333">
        <f t="shared" si="18"/>
        <v>10</v>
      </c>
      <c r="DV149" s="1333">
        <f t="shared" si="19"/>
        <v>13</v>
      </c>
      <c r="DW149" s="1333">
        <f t="shared" si="20"/>
        <v>19</v>
      </c>
      <c r="DX149" s="1333">
        <f t="shared" si="21"/>
        <v>-23</v>
      </c>
      <c r="DY149" s="1333">
        <f t="shared" si="22"/>
        <v>10</v>
      </c>
      <c r="DZ149" s="1333">
        <f t="shared" si="23"/>
        <v>0</v>
      </c>
      <c r="EA149" s="1333">
        <f t="shared" si="24"/>
        <v>0</v>
      </c>
      <c r="EB149" s="1333">
        <f t="shared" si="25"/>
        <v>1</v>
      </c>
      <c r="ED149" s="693">
        <f>SUM(ED145:ED148)</f>
        <v>39</v>
      </c>
      <c r="EE149" s="693">
        <f>SUM(EE145:EE148)</f>
        <v>124</v>
      </c>
      <c r="EF149" s="693">
        <f>+EE149-ED149</f>
        <v>85</v>
      </c>
      <c r="EG149" s="1333">
        <f>+EF149-CX149</f>
        <v>0</v>
      </c>
    </row>
    <row r="150" spans="1:137" ht="15.75">
      <c r="A150" s="1266"/>
      <c r="B150" s="1266"/>
      <c r="C150" s="1266"/>
      <c r="D150" s="1268"/>
      <c r="E150" s="1269"/>
      <c r="F150" s="1302"/>
      <c r="G150" s="1266"/>
      <c r="H150" s="1268"/>
      <c r="I150" s="1295"/>
      <c r="J150" s="1266"/>
      <c r="K150" s="1268"/>
      <c r="L150" s="1269"/>
      <c r="M150" s="1268"/>
      <c r="N150" s="1266"/>
      <c r="O150" s="1268"/>
      <c r="P150" s="1295"/>
      <c r="Q150" s="1268"/>
      <c r="R150" s="1268"/>
      <c r="S150" s="1269"/>
      <c r="T150" s="1268"/>
      <c r="U150" s="1266"/>
      <c r="V150" s="1268"/>
      <c r="W150" s="1295"/>
      <c r="X150" s="1268"/>
      <c r="Y150" s="1268"/>
      <c r="Z150" s="1269"/>
      <c r="AA150" s="1268"/>
      <c r="AB150" s="1266"/>
      <c r="AC150" s="1268"/>
      <c r="AD150" s="1295"/>
      <c r="AE150" s="1268"/>
      <c r="AF150" s="1268"/>
      <c r="AG150" s="1269"/>
      <c r="AH150" s="1270"/>
      <c r="AI150" s="1266"/>
      <c r="AJ150" s="1268"/>
      <c r="AK150" s="1302"/>
      <c r="AL150" s="1268"/>
      <c r="AM150" s="1268"/>
      <c r="AN150" s="1269"/>
      <c r="AO150" s="1268"/>
      <c r="AP150" s="1266"/>
      <c r="AQ150" s="1268"/>
      <c r="AR150" s="1295"/>
      <c r="AS150" s="1268"/>
      <c r="AT150" s="1268"/>
      <c r="AU150" s="1269"/>
      <c r="AV150" s="1266"/>
      <c r="AW150" s="1266"/>
      <c r="AX150" s="1268"/>
      <c r="AY150" s="1295"/>
      <c r="AZ150" s="1266"/>
      <c r="BA150" s="1268"/>
      <c r="BB150" s="1269"/>
      <c r="BC150" s="1266"/>
      <c r="BD150" s="1266"/>
      <c r="BE150" s="1268"/>
      <c r="BF150" s="1295"/>
      <c r="BG150" s="1295"/>
      <c r="BH150" s="1268"/>
      <c r="BI150" s="1269"/>
      <c r="BJ150" s="1266"/>
      <c r="BK150" s="1266"/>
      <c r="BL150" s="1268"/>
      <c r="BM150" s="1295"/>
      <c r="BN150" s="1295"/>
      <c r="BO150" s="1268"/>
      <c r="BP150" s="1269"/>
      <c r="BQ150" s="1266"/>
      <c r="BR150" s="1266"/>
      <c r="BS150" s="1268"/>
      <c r="BT150" s="1295"/>
      <c r="BU150" s="1295"/>
      <c r="BV150" s="1356"/>
      <c r="BW150" s="1354"/>
      <c r="BX150" s="1355"/>
      <c r="BY150" s="1355"/>
      <c r="BZ150" s="1356"/>
      <c r="CA150" s="1357"/>
      <c r="CB150" s="1266"/>
      <c r="CC150" s="1268"/>
      <c r="CD150" s="1269"/>
      <c r="CE150" s="1266"/>
      <c r="CF150" s="1266"/>
      <c r="CG150" s="1268"/>
      <c r="CH150" s="1295"/>
      <c r="CI150" s="1268"/>
      <c r="CJ150" s="1269"/>
      <c r="CK150" s="1266"/>
      <c r="CL150" s="1266"/>
      <c r="CM150" s="1268"/>
      <c r="CN150" s="1295"/>
      <c r="CO150" s="1295"/>
      <c r="CP150" s="1268"/>
      <c r="CQ150" s="1269"/>
      <c r="CR150" s="1266"/>
      <c r="CS150" s="1266"/>
      <c r="CT150" s="1268"/>
      <c r="CU150" s="1295"/>
      <c r="CV150" s="1266"/>
      <c r="CW150" s="1257"/>
      <c r="CX150" s="1266"/>
      <c r="CY150" s="1266"/>
      <c r="CZ150" s="1266"/>
      <c r="DA150" s="1266"/>
      <c r="DB150" s="1257"/>
      <c r="DC150" s="1268"/>
      <c r="DD150" s="1302"/>
      <c r="DE150" s="1266"/>
      <c r="DF150" s="1266"/>
      <c r="DG150" s="1266"/>
      <c r="DH150" s="1266"/>
      <c r="DI150" s="1266"/>
      <c r="DJ150" s="1266"/>
      <c r="DK150" s="1266"/>
      <c r="DL150" s="1266"/>
      <c r="DM150" s="1266"/>
      <c r="DN150" s="1266"/>
      <c r="DO150" s="1266"/>
      <c r="DP150" s="1266"/>
      <c r="DQ150" s="1266"/>
      <c r="DS150" s="1333"/>
      <c r="DT150" s="1333"/>
      <c r="DU150" s="1333"/>
      <c r="DV150" s="1333"/>
      <c r="DW150" s="1333"/>
      <c r="DX150" s="1333"/>
      <c r="DY150" s="1333"/>
      <c r="DZ150" s="1333"/>
      <c r="EA150" s="1333"/>
      <c r="EB150" s="1333"/>
    </row>
    <row r="151" spans="1:137" ht="15.75">
      <c r="A151" s="2118">
        <f>+A144+1</f>
        <v>2007</v>
      </c>
      <c r="B151" s="2118"/>
      <c r="C151" s="1266"/>
      <c r="D151" s="1335"/>
      <c r="E151" s="1269"/>
      <c r="F151" s="1302"/>
      <c r="G151" s="1335"/>
      <c r="H151" s="1268"/>
      <c r="I151" s="1295"/>
      <c r="J151" s="1266"/>
      <c r="K151" s="1336"/>
      <c r="L151" s="1269"/>
      <c r="M151" s="1268"/>
      <c r="N151" s="1336"/>
      <c r="O151" s="1268"/>
      <c r="P151" s="1295"/>
      <c r="Q151" s="1268"/>
      <c r="R151" s="1336"/>
      <c r="S151" s="1269"/>
      <c r="T151" s="1268"/>
      <c r="U151" s="1336"/>
      <c r="V151" s="1268"/>
      <c r="W151" s="1295"/>
      <c r="X151" s="1268"/>
      <c r="Y151" s="1336"/>
      <c r="Z151" s="1269"/>
      <c r="AA151" s="1268"/>
      <c r="AB151" s="1336"/>
      <c r="AC151" s="1268"/>
      <c r="AD151" s="1295"/>
      <c r="AE151" s="1268"/>
      <c r="AF151" s="1336"/>
      <c r="AG151" s="1269"/>
      <c r="AH151" s="1270"/>
      <c r="AI151" s="1336"/>
      <c r="AJ151" s="1268"/>
      <c r="AK151" s="1302"/>
      <c r="AL151" s="1268"/>
      <c r="AM151" s="1336"/>
      <c r="AN151" s="1269"/>
      <c r="AO151" s="1268"/>
      <c r="AP151" s="1336"/>
      <c r="AQ151" s="1268"/>
      <c r="AR151" s="1295"/>
      <c r="AS151" s="1268"/>
      <c r="AT151" s="1336"/>
      <c r="AU151" s="1269"/>
      <c r="AV151" s="1266"/>
      <c r="AW151" s="1336"/>
      <c r="AX151" s="1268"/>
      <c r="AY151" s="1295"/>
      <c r="AZ151" s="1266"/>
      <c r="BA151" s="1336"/>
      <c r="BB151" s="1269"/>
      <c r="BC151" s="1266"/>
      <c r="BD151" s="1336"/>
      <c r="BE151" s="1268"/>
      <c r="BF151" s="1295"/>
      <c r="BG151" s="1295"/>
      <c r="BH151" s="1336"/>
      <c r="BI151" s="1269"/>
      <c r="BJ151" s="1266"/>
      <c r="BK151" s="1336"/>
      <c r="BL151" s="1268"/>
      <c r="BM151" s="1295"/>
      <c r="BN151" s="1295"/>
      <c r="BO151" s="1336"/>
      <c r="BP151" s="1269"/>
      <c r="BQ151" s="1266"/>
      <c r="BR151" s="1336"/>
      <c r="BS151" s="1268"/>
      <c r="BT151" s="1295"/>
      <c r="BU151" s="1295"/>
      <c r="BV151" s="1345"/>
      <c r="BW151" s="1354"/>
      <c r="BX151" s="1355"/>
      <c r="BY151" s="1345"/>
      <c r="BZ151" s="1356"/>
      <c r="CA151" s="1357"/>
      <c r="CB151" s="1266"/>
      <c r="CC151" s="1336"/>
      <c r="CD151" s="1269"/>
      <c r="CE151" s="1266"/>
      <c r="CF151" s="1336"/>
      <c r="CG151" s="1268"/>
      <c r="CH151" s="1295"/>
      <c r="CI151" s="1336"/>
      <c r="CJ151" s="1269"/>
      <c r="CK151" s="1266"/>
      <c r="CL151" s="1336"/>
      <c r="CM151" s="1268"/>
      <c r="CN151" s="1295"/>
      <c r="CO151" s="1295"/>
      <c r="CP151" s="1336"/>
      <c r="CQ151" s="1269"/>
      <c r="CR151" s="1266"/>
      <c r="CS151" s="1336"/>
      <c r="CT151" s="1268"/>
      <c r="CU151" s="1295"/>
      <c r="CV151" s="1266"/>
      <c r="CW151" s="1335"/>
      <c r="CX151" s="1266"/>
      <c r="CY151" s="1266"/>
      <c r="CZ151" s="1266"/>
      <c r="DA151" s="1266"/>
      <c r="DB151" s="1335"/>
      <c r="DC151" s="1268"/>
      <c r="DD151" s="1302"/>
      <c r="DE151" s="1266"/>
      <c r="DF151" s="1266"/>
      <c r="DG151" s="1266"/>
      <c r="DH151" s="1266"/>
      <c r="DI151" s="1266"/>
      <c r="DJ151" s="1266"/>
      <c r="DK151" s="1266"/>
      <c r="DL151" s="1266"/>
      <c r="DM151" s="1266"/>
      <c r="DN151" s="1266"/>
      <c r="DO151" s="1266"/>
      <c r="DP151" s="1266"/>
      <c r="DQ151" s="1266"/>
      <c r="DS151" s="1333"/>
      <c r="DT151" s="1333"/>
      <c r="DU151" s="1333"/>
      <c r="DV151" s="1333"/>
      <c r="DW151" s="1333"/>
      <c r="DX151" s="1333"/>
      <c r="DY151" s="1333"/>
      <c r="DZ151" s="1333"/>
      <c r="EA151" s="1333"/>
      <c r="EB151" s="1333"/>
    </row>
    <row r="152" spans="1:137" ht="15">
      <c r="A152" s="1266" t="str">
        <f>$A$17</f>
        <v>1Q</v>
      </c>
      <c r="B152" s="1266" t="str">
        <f>$B$17</f>
        <v>Apr</v>
      </c>
      <c r="C152" s="1266"/>
      <c r="D152" s="1294">
        <f t="shared" ref="D152:E155" si="27">+K152+R152</f>
        <v>1593</v>
      </c>
      <c r="E152" s="1255">
        <f t="shared" si="27"/>
        <v>24</v>
      </c>
      <c r="F152" s="1295">
        <f>+(D152/D145-1)*100</f>
        <v>4.117647058823537</v>
      </c>
      <c r="G152" s="1296">
        <f>+N152+U152</f>
        <v>49.4</v>
      </c>
      <c r="H152" s="1297"/>
      <c r="I152" s="1295">
        <f>+(G152/G145-1)*100</f>
        <v>4.8832271762208057</v>
      </c>
      <c r="J152" s="1266"/>
      <c r="K152" s="1294">
        <f>+K149+L152</f>
        <v>830</v>
      </c>
      <c r="L152" s="1254">
        <v>9</v>
      </c>
      <c r="M152" s="1295">
        <f>+(K152/K145-1)*100</f>
        <v>3.105590062111796</v>
      </c>
      <c r="N152" s="1318">
        <v>25</v>
      </c>
      <c r="O152" s="1297"/>
      <c r="P152" s="1295">
        <f>+(N152/N145-1)*100</f>
        <v>4.1666666666666741</v>
      </c>
      <c r="Q152" s="1299"/>
      <c r="R152" s="1294">
        <f>+R149+S152</f>
        <v>763</v>
      </c>
      <c r="S152" s="1254">
        <v>15</v>
      </c>
      <c r="T152" s="1295">
        <f>+(R152/R145-1)*100</f>
        <v>5.2413793103448292</v>
      </c>
      <c r="U152" s="1318">
        <v>24.4</v>
      </c>
      <c r="V152" s="1297"/>
      <c r="W152" s="1295">
        <f>+(U152/U145-1)*100</f>
        <v>5.6277056277056259</v>
      </c>
      <c r="X152" s="1299"/>
      <c r="Y152" s="1294">
        <f>+Y149+Z152</f>
        <v>185</v>
      </c>
      <c r="Z152" s="1254">
        <v>1</v>
      </c>
      <c r="AA152" s="1295">
        <f>+(Y152/Y145-1)*100</f>
        <v>3.9325842696629199</v>
      </c>
      <c r="AB152" s="1318">
        <v>5.4</v>
      </c>
      <c r="AC152" s="1297"/>
      <c r="AD152" s="1295"/>
      <c r="AE152" s="1299"/>
      <c r="AF152" s="1294">
        <f>+AF149+AG152</f>
        <v>211</v>
      </c>
      <c r="AG152" s="1254">
        <v>1</v>
      </c>
      <c r="AH152" s="1295">
        <f>+(AF152/AF145-1)*100</f>
        <v>4.9751243781094523</v>
      </c>
      <c r="AI152" s="1318">
        <v>6.4</v>
      </c>
      <c r="AJ152" s="1297"/>
      <c r="AK152" s="1295">
        <f>+(AI152/AI145-1)*100</f>
        <v>6.6666666666666652</v>
      </c>
      <c r="AL152" s="1299"/>
      <c r="AM152" s="1294">
        <f>+AM149+AN152</f>
        <v>271</v>
      </c>
      <c r="AN152" s="1254">
        <v>1</v>
      </c>
      <c r="AO152" s="1371">
        <v>6.7</v>
      </c>
      <c r="AP152" s="1318">
        <v>6.7</v>
      </c>
      <c r="AQ152" s="1297"/>
      <c r="AR152" s="1295">
        <f>+(AP152/AP145-1)*100</f>
        <v>6.3492063492063489</v>
      </c>
      <c r="AS152" s="1299"/>
      <c r="AT152" s="1294">
        <f>+AT149+AU152</f>
        <v>127</v>
      </c>
      <c r="AU152" s="1254">
        <v>-2</v>
      </c>
      <c r="AV152" s="1295">
        <f>+(AT152/AT145-1)*100</f>
        <v>-18.589743589743591</v>
      </c>
      <c r="AW152" s="1318">
        <v>3.3</v>
      </c>
      <c r="AX152" s="1297"/>
      <c r="AY152" s="1295">
        <f>+(AW152/AW145-1)*100</f>
        <v>-17.500000000000004</v>
      </c>
      <c r="AZ152" s="1299"/>
      <c r="BA152" s="1294">
        <f>+BA149+BB152</f>
        <v>69</v>
      </c>
      <c r="BB152" s="1254">
        <v>1</v>
      </c>
      <c r="BC152" s="1295">
        <f>+(BA152/BA145-1)*100</f>
        <v>14.999999999999991</v>
      </c>
      <c r="BD152" s="1318">
        <v>1.7</v>
      </c>
      <c r="BE152" s="1297"/>
      <c r="BF152" s="1295">
        <f>+(BD152/BD145-1)*100</f>
        <v>13.33333333333333</v>
      </c>
      <c r="BG152" s="1295"/>
      <c r="BH152" s="1294"/>
      <c r="BI152" s="1254"/>
      <c r="BJ152" s="1295"/>
      <c r="BK152" s="1318"/>
      <c r="BL152" s="1297"/>
      <c r="BM152" s="1295"/>
      <c r="BN152" s="1295"/>
      <c r="BO152" s="1294"/>
      <c r="BP152" s="1254"/>
      <c r="BQ152" s="1295"/>
      <c r="BR152" s="1318"/>
      <c r="BS152" s="1297"/>
      <c r="BT152" s="1295"/>
      <c r="BU152" s="1295"/>
      <c r="BV152" s="1340"/>
      <c r="BW152" s="1358"/>
      <c r="BX152" s="1357"/>
      <c r="BY152" s="1359"/>
      <c r="BZ152" s="1360"/>
      <c r="CA152" s="1357"/>
      <c r="CB152" s="1299"/>
      <c r="CC152" s="1294">
        <f>+CC149+CD152</f>
        <v>35</v>
      </c>
      <c r="CD152" s="1254">
        <v>-1</v>
      </c>
      <c r="CE152" s="1295">
        <f>+(CC152/CC145-1)*100</f>
        <v>0</v>
      </c>
      <c r="CF152" s="1318">
        <v>1.6</v>
      </c>
      <c r="CG152" s="1297"/>
      <c r="CH152" s="1295">
        <f>+(CF152/CF145-1)*100</f>
        <v>0</v>
      </c>
      <c r="CI152" s="1294"/>
      <c r="CJ152" s="1254"/>
      <c r="CK152" s="1295"/>
      <c r="CL152" s="1318"/>
      <c r="CM152" s="1297"/>
      <c r="CN152" s="1295"/>
      <c r="CO152" s="1295"/>
      <c r="CP152" s="1294"/>
      <c r="CQ152" s="1254"/>
      <c r="CR152" s="1295"/>
      <c r="CS152" s="1318"/>
      <c r="CT152" s="1297"/>
      <c r="CU152" s="1295"/>
      <c r="CV152" s="1299"/>
      <c r="CW152" s="1306">
        <f>+D152+Y152+AF152+AM152+AT152+BA152+CC152</f>
        <v>2491</v>
      </c>
      <c r="CX152" s="1307">
        <f>+CW152-CW148</f>
        <v>25</v>
      </c>
      <c r="CY152" s="1295">
        <f>+(CW152/CW145-1)*100</f>
        <v>3.1897265948632958</v>
      </c>
      <c r="CZ152" s="1297"/>
      <c r="DA152" s="1297"/>
      <c r="DB152" s="1296">
        <f>+G152+AB152+AI152+AP152+AW152+BD152+CF152</f>
        <v>74.499999999999986</v>
      </c>
      <c r="DC152" s="1297"/>
      <c r="DD152" s="1295">
        <f>+(DB152/DB145-1)*100</f>
        <v>3.7604456824512411</v>
      </c>
      <c r="DE152" s="1266"/>
      <c r="DF152" s="1350">
        <f>+D152/$CW152</f>
        <v>0.63950220794861501</v>
      </c>
      <c r="DG152" s="1351"/>
      <c r="DH152" s="1351"/>
      <c r="DI152" s="1350">
        <f>+Y152/$CW152</f>
        <v>7.4267362505018059E-2</v>
      </c>
      <c r="DJ152" s="1350">
        <f>+AF152/CW152</f>
        <v>8.4704937775993583E-2</v>
      </c>
      <c r="DK152" s="1350">
        <f>+AM152/CW152</f>
        <v>0.10879164993978321</v>
      </c>
      <c r="DL152" s="1350">
        <f>+AT152/CW152</f>
        <v>5.098354074668808E-2</v>
      </c>
      <c r="DM152" s="1350">
        <f>+BA152/$CW152</f>
        <v>2.7699718988358088E-2</v>
      </c>
      <c r="DN152" s="1350"/>
      <c r="DO152" s="1350"/>
      <c r="DP152" s="1350"/>
      <c r="DQ152" s="1350"/>
      <c r="DS152" s="1333">
        <f t="shared" si="16"/>
        <v>9</v>
      </c>
      <c r="DT152" s="1333">
        <f t="shared" si="17"/>
        <v>15</v>
      </c>
      <c r="DU152" s="1333">
        <f t="shared" si="18"/>
        <v>1</v>
      </c>
      <c r="DV152" s="1333">
        <f t="shared" si="19"/>
        <v>1</v>
      </c>
      <c r="DW152" s="1333">
        <f t="shared" si="20"/>
        <v>1</v>
      </c>
      <c r="DX152" s="1333">
        <f t="shared" si="21"/>
        <v>-2</v>
      </c>
      <c r="DY152" s="1333">
        <f t="shared" si="22"/>
        <v>1</v>
      </c>
      <c r="DZ152" s="1333">
        <f t="shared" si="23"/>
        <v>0</v>
      </c>
      <c r="EA152" s="1333">
        <f t="shared" si="24"/>
        <v>0</v>
      </c>
      <c r="EB152" s="1333">
        <f t="shared" si="25"/>
        <v>-1</v>
      </c>
      <c r="ED152" s="451">
        <f>-(SUMIF(DS152:EB152,"&lt;0"))</f>
        <v>3</v>
      </c>
      <c r="EE152" s="451">
        <f>(SUMIF(DS152:EB152,"&gt;0"))</f>
        <v>28</v>
      </c>
      <c r="EF152" s="451">
        <f>+EE152-ED152</f>
        <v>25</v>
      </c>
      <c r="EG152" s="1333">
        <f>+EF152-CX152</f>
        <v>0</v>
      </c>
    </row>
    <row r="153" spans="1:137" ht="15">
      <c r="A153" s="1266" t="str">
        <f>$A$18</f>
        <v>2Q</v>
      </c>
      <c r="B153" s="1266" t="str">
        <f>$B$18</f>
        <v>Jul</v>
      </c>
      <c r="C153" s="1266"/>
      <c r="D153" s="1294">
        <f t="shared" si="27"/>
        <v>1594</v>
      </c>
      <c r="E153" s="1255">
        <f t="shared" si="27"/>
        <v>1</v>
      </c>
      <c r="F153" s="1295">
        <f>+(D153/D146-1)*100</f>
        <v>3.7760416666666741</v>
      </c>
      <c r="G153" s="1296">
        <f>+N153+U153</f>
        <v>49.4</v>
      </c>
      <c r="H153" s="1297"/>
      <c r="I153" s="1295">
        <f>+(G153/G146-1)*100</f>
        <v>4.4397463002114224</v>
      </c>
      <c r="J153" s="1309"/>
      <c r="K153" s="1294">
        <f>+K152+L153</f>
        <v>830</v>
      </c>
      <c r="L153" s="1254">
        <v>0</v>
      </c>
      <c r="M153" s="1295">
        <f>+(K153/K146-1)*100</f>
        <v>2.8500619578686548</v>
      </c>
      <c r="N153" s="1318">
        <v>25</v>
      </c>
      <c r="O153" s="1297"/>
      <c r="P153" s="1295">
        <f>+(N153/N146-1)*100</f>
        <v>3.734439834024883</v>
      </c>
      <c r="Q153" s="1299"/>
      <c r="R153" s="1300">
        <f>+R152+S153</f>
        <v>764</v>
      </c>
      <c r="S153" s="1254">
        <v>1</v>
      </c>
      <c r="T153" s="1295">
        <f>+(R153/R146-1)*100</f>
        <v>4.8010973936899903</v>
      </c>
      <c r="U153" s="1318">
        <v>24.4</v>
      </c>
      <c r="V153" s="1297"/>
      <c r="W153" s="1295">
        <f>+(U153/U146-1)*100</f>
        <v>5.1724137931034475</v>
      </c>
      <c r="X153" s="1299"/>
      <c r="Y153" s="1300">
        <f>+Y152+Z153</f>
        <v>185</v>
      </c>
      <c r="Z153" s="1254">
        <v>0</v>
      </c>
      <c r="AA153" s="1295">
        <f>+(Y153/Y146-1)*100</f>
        <v>3.9325842696629199</v>
      </c>
      <c r="AB153" s="1318">
        <v>5.4</v>
      </c>
      <c r="AC153" s="1297"/>
      <c r="AD153" s="1295"/>
      <c r="AE153" s="1299"/>
      <c r="AF153" s="1300">
        <f>+AF152+AG153</f>
        <v>212</v>
      </c>
      <c r="AG153" s="1254">
        <v>1</v>
      </c>
      <c r="AH153" s="1295">
        <f>+(AF153/AF146-1)*100</f>
        <v>4.9504950495049549</v>
      </c>
      <c r="AI153" s="1318">
        <v>6.6</v>
      </c>
      <c r="AJ153" s="1297"/>
      <c r="AK153" s="1295">
        <f>+(AI153/AI146-1)*100</f>
        <v>8.196721311475418</v>
      </c>
      <c r="AL153" s="1299"/>
      <c r="AM153" s="1300">
        <f>+AM152+AN153</f>
        <v>273</v>
      </c>
      <c r="AN153" s="1254">
        <v>2</v>
      </c>
      <c r="AO153" s="1295">
        <f>+(AM153/AM146-1)*100</f>
        <v>5.0000000000000044</v>
      </c>
      <c r="AP153" s="1318">
        <v>6.7</v>
      </c>
      <c r="AQ153" s="1297"/>
      <c r="AR153" s="1295">
        <f>+(AP153/AP146-1)*100</f>
        <v>4.6875</v>
      </c>
      <c r="AS153" s="1299"/>
      <c r="AT153" s="1300">
        <f>+AT152+AU153</f>
        <v>128</v>
      </c>
      <c r="AU153" s="1254">
        <v>1</v>
      </c>
      <c r="AV153" s="1295">
        <f>+(AT153/AT146-1)*100</f>
        <v>-17.948717948717952</v>
      </c>
      <c r="AW153" s="1318">
        <v>3.3</v>
      </c>
      <c r="AX153" s="1297"/>
      <c r="AY153" s="1295">
        <f>+(AW153/AW146-1)*100</f>
        <v>-17.500000000000004</v>
      </c>
      <c r="AZ153" s="1299"/>
      <c r="BA153" s="1300">
        <f>+BA152+BB153</f>
        <v>70</v>
      </c>
      <c r="BB153" s="1254">
        <v>1</v>
      </c>
      <c r="BC153" s="1295">
        <f>+(BA153/BA146-1)*100</f>
        <v>14.754098360655732</v>
      </c>
      <c r="BD153" s="1318">
        <v>1.7</v>
      </c>
      <c r="BE153" s="1297"/>
      <c r="BF153" s="1295">
        <f>+(BD153/BD146-1)*100</f>
        <v>13.33333333333333</v>
      </c>
      <c r="BG153" s="1295"/>
      <c r="BH153" s="1300"/>
      <c r="BI153" s="1254"/>
      <c r="BJ153" s="1295"/>
      <c r="BK153" s="1318"/>
      <c r="BL153" s="1297"/>
      <c r="BM153" s="1295"/>
      <c r="BN153" s="1295"/>
      <c r="BO153" s="1300"/>
      <c r="BP153" s="1254"/>
      <c r="BQ153" s="1295"/>
      <c r="BR153" s="1318"/>
      <c r="BS153" s="1297"/>
      <c r="BT153" s="1295"/>
      <c r="BU153" s="1295"/>
      <c r="BV153" s="1340"/>
      <c r="BW153" s="1358"/>
      <c r="BX153" s="1357"/>
      <c r="BY153" s="1359"/>
      <c r="BZ153" s="1360"/>
      <c r="CA153" s="1357"/>
      <c r="CB153" s="1299"/>
      <c r="CC153" s="1300">
        <f>+CC152+CD153</f>
        <v>34</v>
      </c>
      <c r="CD153" s="1254">
        <v>-1</v>
      </c>
      <c r="CE153" s="1295">
        <f>+(CC153/CC146-1)*100</f>
        <v>-5.555555555555558</v>
      </c>
      <c r="CF153" s="1318">
        <v>1.5</v>
      </c>
      <c r="CG153" s="1297"/>
      <c r="CH153" s="1295">
        <f>+(CF153/CF146-1)*100</f>
        <v>-6.25</v>
      </c>
      <c r="CI153" s="1300"/>
      <c r="CJ153" s="1254"/>
      <c r="CK153" s="1295"/>
      <c r="CL153" s="1318"/>
      <c r="CM153" s="1297"/>
      <c r="CN153" s="1295"/>
      <c r="CO153" s="1295"/>
      <c r="CP153" s="1300"/>
      <c r="CQ153" s="1254"/>
      <c r="CR153" s="1295"/>
      <c r="CS153" s="1318"/>
      <c r="CT153" s="1297"/>
      <c r="CU153" s="1295"/>
      <c r="CV153" s="1299"/>
      <c r="CW153" s="1306">
        <f>+D153+Y153+AF153+AM153+AT153+BA153+CC153</f>
        <v>2496</v>
      </c>
      <c r="CX153" s="1307">
        <f>+CW153-CW152</f>
        <v>5</v>
      </c>
      <c r="CY153" s="1295">
        <f>+(CW153/CW146-1)*100</f>
        <v>2.7583367641004441</v>
      </c>
      <c r="CZ153" s="1297"/>
      <c r="DA153" s="1297"/>
      <c r="DB153" s="1296">
        <f>+G153+AB153+AI153+AP153+AW153+BD153+CF153</f>
        <v>74.599999999999994</v>
      </c>
      <c r="DC153" s="1297"/>
      <c r="DD153" s="1295">
        <f>+(DB153/DB146-1)*100</f>
        <v>3.3240997229917024</v>
      </c>
      <c r="DE153" s="1351">
        <f>DB153/DE147-1</f>
        <v>4.5869580846933822E-2</v>
      </c>
      <c r="DF153" s="1350">
        <f>+D153/$CW153</f>
        <v>0.63862179487179482</v>
      </c>
      <c r="DG153" s="1351"/>
      <c r="DH153" s="1351"/>
      <c r="DI153" s="1350">
        <f>+Y153/$CW153</f>
        <v>7.4118589743589744E-2</v>
      </c>
      <c r="DJ153" s="1350">
        <f>+AF153/CW153</f>
        <v>8.4935897435897439E-2</v>
      </c>
      <c r="DK153" s="1350">
        <f>+AM153/CW153</f>
        <v>0.109375</v>
      </c>
      <c r="DL153" s="1350">
        <f>+AT153/CW153</f>
        <v>5.128205128205128E-2</v>
      </c>
      <c r="DM153" s="1350">
        <f>+BA153/$CW153</f>
        <v>2.8044871794871796E-2</v>
      </c>
      <c r="DN153" s="1350"/>
      <c r="DO153" s="1350"/>
      <c r="DP153" s="1350"/>
      <c r="DQ153" s="1350"/>
      <c r="DS153" s="1333">
        <f t="shared" si="16"/>
        <v>0</v>
      </c>
      <c r="DT153" s="1333">
        <f t="shared" si="17"/>
        <v>1</v>
      </c>
      <c r="DU153" s="1333">
        <f t="shared" si="18"/>
        <v>0</v>
      </c>
      <c r="DV153" s="1333">
        <f t="shared" si="19"/>
        <v>1</v>
      </c>
      <c r="DW153" s="1333">
        <f t="shared" si="20"/>
        <v>2</v>
      </c>
      <c r="DX153" s="1333">
        <f t="shared" si="21"/>
        <v>1</v>
      </c>
      <c r="DY153" s="1333">
        <f t="shared" si="22"/>
        <v>1</v>
      </c>
      <c r="DZ153" s="1333">
        <f t="shared" si="23"/>
        <v>0</v>
      </c>
      <c r="EA153" s="1333">
        <f t="shared" si="24"/>
        <v>0</v>
      </c>
      <c r="EB153" s="1333">
        <f t="shared" si="25"/>
        <v>-1</v>
      </c>
      <c r="ED153" s="451">
        <f>-(SUMIF(DS153:EB153,"&lt;0"))</f>
        <v>1</v>
      </c>
      <c r="EE153" s="451">
        <f>(SUMIF(DS153:EB153,"&gt;0"))</f>
        <v>6</v>
      </c>
      <c r="EF153" s="451">
        <f>+EE153-ED153</f>
        <v>5</v>
      </c>
      <c r="EG153" s="1333">
        <f>+EF153-CX153</f>
        <v>0</v>
      </c>
    </row>
    <row r="154" spans="1:137" ht="15">
      <c r="A154" s="1266" t="str">
        <f>$A$19</f>
        <v>3Q</v>
      </c>
      <c r="B154" s="1266" t="str">
        <f>$B$19</f>
        <v>Oct</v>
      </c>
      <c r="C154" s="1266"/>
      <c r="D154" s="1294">
        <f t="shared" si="27"/>
        <v>1628</v>
      </c>
      <c r="E154" s="1255">
        <f t="shared" si="27"/>
        <v>34</v>
      </c>
      <c r="F154" s="1295">
        <f>+(D154/D147-1)*100</f>
        <v>3.3650793650793709</v>
      </c>
      <c r="G154" s="1296">
        <f>+N154+U154</f>
        <v>50.7</v>
      </c>
      <c r="H154" s="1297"/>
      <c r="I154" s="1295">
        <f>+(G154/G147-1)*100</f>
        <v>3.8934426229508379</v>
      </c>
      <c r="J154" s="1266"/>
      <c r="K154" s="1294">
        <f>+K153+L154</f>
        <v>851</v>
      </c>
      <c r="L154" s="1254">
        <v>21</v>
      </c>
      <c r="M154" s="1295">
        <f>+(K154/K147-1)*100</f>
        <v>3.0266343825665842</v>
      </c>
      <c r="N154" s="1318">
        <v>25.7</v>
      </c>
      <c r="O154" s="1297"/>
      <c r="P154" s="1295">
        <f>+(N154/N147-1)*100</f>
        <v>3.6290322580645018</v>
      </c>
      <c r="Q154" s="1299"/>
      <c r="R154" s="1294">
        <f>+R153+S154</f>
        <v>777</v>
      </c>
      <c r="S154" s="1254">
        <v>13</v>
      </c>
      <c r="T154" s="1295">
        <f>+(R154/R147-1)*100</f>
        <v>3.7383177570093462</v>
      </c>
      <c r="U154" s="1318">
        <v>25</v>
      </c>
      <c r="V154" s="1297"/>
      <c r="W154" s="1295">
        <f>+(U154/U147-1)*100</f>
        <v>4.1666666666666741</v>
      </c>
      <c r="X154" s="1299"/>
      <c r="Y154" s="1300">
        <f>+Y153+Z154</f>
        <v>190</v>
      </c>
      <c r="Z154" s="1254">
        <v>5</v>
      </c>
      <c r="AA154" s="1295">
        <f>+(Y154/Y147-1)*100</f>
        <v>3.2608695652173836</v>
      </c>
      <c r="AB154" s="1318">
        <v>5.5</v>
      </c>
      <c r="AC154" s="1297"/>
      <c r="AD154" s="1295"/>
      <c r="AE154" s="1299"/>
      <c r="AF154" s="1300">
        <f>+AF153+AG154</f>
        <v>225</v>
      </c>
      <c r="AG154" s="1254">
        <v>13</v>
      </c>
      <c r="AH154" s="1295">
        <f>+(AF154/AF147-1)*100</f>
        <v>7.1428571428571397</v>
      </c>
      <c r="AI154" s="1318">
        <v>7</v>
      </c>
      <c r="AJ154" s="1297"/>
      <c r="AK154" s="1295">
        <f>+(AI154/AI147-1)*100</f>
        <v>11.111111111111116</v>
      </c>
      <c r="AL154" s="1299"/>
      <c r="AM154" s="1300">
        <f>+AM153+AN154</f>
        <v>287</v>
      </c>
      <c r="AN154" s="1254">
        <v>14</v>
      </c>
      <c r="AO154" s="1295">
        <f>+(AM154/AM147-1)*100</f>
        <v>6.2962962962962887</v>
      </c>
      <c r="AP154" s="1318">
        <v>7.1</v>
      </c>
      <c r="AQ154" s="1297"/>
      <c r="AR154" s="1295">
        <f>+(AP154/AP147-1)*100</f>
        <v>5.9701492537313383</v>
      </c>
      <c r="AS154" s="1299"/>
      <c r="AT154" s="1300">
        <f>+AT153+AU154</f>
        <v>130</v>
      </c>
      <c r="AU154" s="1254">
        <v>2</v>
      </c>
      <c r="AV154" s="1295">
        <f>+(AT154/AT147-1)*100</f>
        <v>-19.753086419753085</v>
      </c>
      <c r="AW154" s="1318">
        <v>3.3</v>
      </c>
      <c r="AX154" s="1297"/>
      <c r="AY154" s="1295">
        <f>+(AW154/AW147-1)*100</f>
        <v>-21.428571428571441</v>
      </c>
      <c r="AZ154" s="1299"/>
      <c r="BA154" s="1300">
        <f>+BA153+BB154</f>
        <v>71</v>
      </c>
      <c r="BB154" s="1254">
        <v>1</v>
      </c>
      <c r="BC154" s="1295">
        <f>+(BA154/BA147-1)*100</f>
        <v>4.4117647058823595</v>
      </c>
      <c r="BD154" s="1318">
        <v>1.7</v>
      </c>
      <c r="BE154" s="1297"/>
      <c r="BF154" s="1295">
        <f>+(BD154/BD147-1)*100</f>
        <v>6.25</v>
      </c>
      <c r="BG154" s="1295"/>
      <c r="BH154" s="1300"/>
      <c r="BI154" s="1254"/>
      <c r="BJ154" s="1295"/>
      <c r="BK154" s="1318"/>
      <c r="BL154" s="1297"/>
      <c r="BM154" s="1295"/>
      <c r="BN154" s="1295"/>
      <c r="BO154" s="1300"/>
      <c r="BP154" s="1254"/>
      <c r="BQ154" s="1295"/>
      <c r="BR154" s="1318"/>
      <c r="BS154" s="1297"/>
      <c r="BT154" s="1295"/>
      <c r="BU154" s="1295"/>
      <c r="BV154" s="1340"/>
      <c r="BW154" s="1358"/>
      <c r="BX154" s="1357"/>
      <c r="BY154" s="1359"/>
      <c r="BZ154" s="1360"/>
      <c r="CA154" s="1357"/>
      <c r="CB154" s="1299"/>
      <c r="CC154" s="1300">
        <f>+CC153+CD154</f>
        <v>34</v>
      </c>
      <c r="CD154" s="1254">
        <v>0</v>
      </c>
      <c r="CE154" s="1295">
        <f>+(CC154/CC147-1)*100</f>
        <v>-5.555555555555558</v>
      </c>
      <c r="CF154" s="1318">
        <v>1.5</v>
      </c>
      <c r="CG154" s="1297"/>
      <c r="CH154" s="1295">
        <f>+(CF154/CF147-1)*100</f>
        <v>-6.25</v>
      </c>
      <c r="CI154" s="1300"/>
      <c r="CJ154" s="1254"/>
      <c r="CK154" s="1295"/>
      <c r="CL154" s="1318"/>
      <c r="CM154" s="1297"/>
      <c r="CN154" s="1295"/>
      <c r="CO154" s="1295"/>
      <c r="CP154" s="1300"/>
      <c r="CQ154" s="1254"/>
      <c r="CR154" s="1295"/>
      <c r="CS154" s="1318"/>
      <c r="CT154" s="1297"/>
      <c r="CU154" s="1295"/>
      <c r="CV154" s="1299"/>
      <c r="CW154" s="1306">
        <f>+D154+Y154+AF154+AM154+AT154+BA154+CC154</f>
        <v>2565</v>
      </c>
      <c r="CX154" s="1307">
        <f>+CW154-CW153</f>
        <v>69</v>
      </c>
      <c r="CY154" s="1295">
        <f>+(CW154/CW147-1)*100</f>
        <v>2.39520958083832</v>
      </c>
      <c r="CZ154" s="1297"/>
      <c r="DA154" s="1297"/>
      <c r="DB154" s="1296">
        <f>+G154+AB154+AI154+AP154+AW154+BD154+CF154+0.1</f>
        <v>76.899999999999991</v>
      </c>
      <c r="DC154" s="1297"/>
      <c r="DD154" s="1295">
        <f>+(DB154/DB147-1)*100</f>
        <v>3.0831099195710587</v>
      </c>
      <c r="DE154" s="1266"/>
      <c r="DF154" s="1350">
        <f>+D154/$CW154</f>
        <v>0.63469785575048732</v>
      </c>
      <c r="DG154" s="1351"/>
      <c r="DH154" s="1351"/>
      <c r="DI154" s="1350">
        <f>+Y154/$CW154</f>
        <v>7.407407407407407E-2</v>
      </c>
      <c r="DJ154" s="1350">
        <f>+AF154/CW154</f>
        <v>8.771929824561403E-2</v>
      </c>
      <c r="DK154" s="1350">
        <f>+AM154/CW154</f>
        <v>0.11189083820662768</v>
      </c>
      <c r="DL154" s="1350">
        <f>+AT154/CW154</f>
        <v>5.0682261208576995E-2</v>
      </c>
      <c r="DM154" s="1350">
        <f>+BA154/$CW154</f>
        <v>2.7680311890838208E-2</v>
      </c>
      <c r="DN154" s="1350"/>
      <c r="DO154" s="1350"/>
      <c r="DP154" s="1350"/>
      <c r="DQ154" s="1350"/>
      <c r="DS154" s="1333">
        <f t="shared" si="16"/>
        <v>21</v>
      </c>
      <c r="DT154" s="1333">
        <f t="shared" si="17"/>
        <v>13</v>
      </c>
      <c r="DU154" s="1333">
        <f t="shared" si="18"/>
        <v>5</v>
      </c>
      <c r="DV154" s="1333">
        <f t="shared" si="19"/>
        <v>13</v>
      </c>
      <c r="DW154" s="1333">
        <f t="shared" si="20"/>
        <v>14</v>
      </c>
      <c r="DX154" s="1333">
        <f t="shared" si="21"/>
        <v>2</v>
      </c>
      <c r="DY154" s="1333">
        <f t="shared" si="22"/>
        <v>1</v>
      </c>
      <c r="DZ154" s="1333">
        <f t="shared" si="23"/>
        <v>0</v>
      </c>
      <c r="EA154" s="1333">
        <f t="shared" si="24"/>
        <v>0</v>
      </c>
      <c r="EB154" s="1333">
        <f t="shared" si="25"/>
        <v>0</v>
      </c>
      <c r="ED154" s="451">
        <f>-(SUMIF(DS154:EB154,"&lt;0"))</f>
        <v>0</v>
      </c>
      <c r="EE154" s="451">
        <f>(SUMIF(DS154:EB154,"&gt;0"))</f>
        <v>69</v>
      </c>
      <c r="EF154" s="451">
        <f>+EE154-ED154</f>
        <v>69</v>
      </c>
      <c r="EG154" s="1333">
        <f>+EF154-CX154</f>
        <v>0</v>
      </c>
    </row>
    <row r="155" spans="1:137" ht="15">
      <c r="A155" s="1266" t="str">
        <f>$A$20</f>
        <v>4Q</v>
      </c>
      <c r="B155" s="1266" t="str">
        <f>$B$20</f>
        <v>Jan</v>
      </c>
      <c r="C155" s="1266"/>
      <c r="D155" s="1312">
        <f t="shared" si="27"/>
        <v>1623</v>
      </c>
      <c r="E155" s="1255">
        <f t="shared" si="27"/>
        <v>-5</v>
      </c>
      <c r="F155" s="1295">
        <f>+(D155/D148-1)*100</f>
        <v>3.4416826003824008</v>
      </c>
      <c r="G155" s="1313">
        <f>+N155+U155</f>
        <v>49.894000000000005</v>
      </c>
      <c r="H155" s="1297"/>
      <c r="I155" s="1295">
        <f>+(G155/G148-1)*100</f>
        <v>2.4517453798768019</v>
      </c>
      <c r="J155" s="1266"/>
      <c r="K155" s="1312">
        <f>+K156</f>
        <v>847</v>
      </c>
      <c r="L155" s="1255">
        <f>+K155-K154</f>
        <v>-4</v>
      </c>
      <c r="M155" s="1295">
        <f>+(K155/K148-1)*100</f>
        <v>3.1668696711327549</v>
      </c>
      <c r="N155" s="1334">
        <v>25.225000000000001</v>
      </c>
      <c r="O155" s="1297"/>
      <c r="P155" s="1295">
        <f>+(N155/N148-1)*100</f>
        <v>2.1255060728744946</v>
      </c>
      <c r="Q155" s="1299"/>
      <c r="R155" s="1312">
        <f>+R156</f>
        <v>776</v>
      </c>
      <c r="S155" s="1255">
        <f>+R155-R154</f>
        <v>-1</v>
      </c>
      <c r="T155" s="1295">
        <f>+(R155/R148-1)*100</f>
        <v>3.7433155080213831</v>
      </c>
      <c r="U155" s="1334">
        <v>24.669</v>
      </c>
      <c r="V155" s="1297"/>
      <c r="W155" s="1295">
        <f>+(U155/U148-1)*100</f>
        <v>2.7875000000000094</v>
      </c>
      <c r="X155" s="1299"/>
      <c r="Y155" s="1312">
        <f>+Y156</f>
        <v>191</v>
      </c>
      <c r="Z155" s="1255">
        <f>+Y155-Y154</f>
        <v>1</v>
      </c>
      <c r="AA155" s="1295">
        <f>+(Y155/Y148-1)*100</f>
        <v>3.8043478260869623</v>
      </c>
      <c r="AB155" s="1334">
        <v>5.5659999999999998</v>
      </c>
      <c r="AC155" s="1297"/>
      <c r="AD155" s="1295">
        <f>+(AB155/AB148-1)*100</f>
        <v>3.0740740740740735</v>
      </c>
      <c r="AE155" s="1299"/>
      <c r="AF155" s="1312">
        <f>+AF156</f>
        <v>226</v>
      </c>
      <c r="AG155" s="1255">
        <f>+AF155-AF154</f>
        <v>1</v>
      </c>
      <c r="AH155" s="1295">
        <f>+(AF155/AF148-1)*100</f>
        <v>7.6190476190476142</v>
      </c>
      <c r="AI155" s="1334">
        <v>7.085</v>
      </c>
      <c r="AJ155" s="1297"/>
      <c r="AK155" s="1295">
        <f>+(AI155/AI148-1)*100</f>
        <v>9.0000000000000071</v>
      </c>
      <c r="AL155" s="1299"/>
      <c r="AM155" s="1312">
        <f>+AM156</f>
        <v>289</v>
      </c>
      <c r="AN155" s="1255">
        <f>+AM155-AM154</f>
        <v>2</v>
      </c>
      <c r="AO155" s="1295">
        <f>+(AM155/AM148-1)*100</f>
        <v>7.0370370370370416</v>
      </c>
      <c r="AP155" s="1334">
        <v>7.13</v>
      </c>
      <c r="AQ155" s="1297"/>
      <c r="AR155" s="1295">
        <f>+(AP155/AP148-1)*100</f>
        <v>8.0303030303030312</v>
      </c>
      <c r="AS155" s="1299"/>
      <c r="AT155" s="1312">
        <f>+AT156</f>
        <v>129</v>
      </c>
      <c r="AU155" s="1255">
        <f>+AT155-AT154</f>
        <v>-1</v>
      </c>
      <c r="AV155" s="1295">
        <f>+(AT155/AT148-1)*100</f>
        <v>0</v>
      </c>
      <c r="AW155" s="1334">
        <v>3.3119999999999998</v>
      </c>
      <c r="AX155" s="1297"/>
      <c r="AY155" s="1295">
        <f>+(AW155/AW148-1)*100</f>
        <v>0.36363636363636598</v>
      </c>
      <c r="AZ155" s="1299"/>
      <c r="BA155" s="1312">
        <f>+BA156</f>
        <v>71</v>
      </c>
      <c r="BB155" s="1255">
        <f>+BA155-BA154</f>
        <v>0</v>
      </c>
      <c r="BC155" s="1295">
        <f>+(BA155/BA148-1)*100</f>
        <v>4.4117647058823595</v>
      </c>
      <c r="BD155" s="1334">
        <v>1.7050000000000001</v>
      </c>
      <c r="BE155" s="1297"/>
      <c r="BF155" s="1295">
        <f>+(BD155/BD148-1)*100</f>
        <v>6.5625000000000044</v>
      </c>
      <c r="BG155" s="1295"/>
      <c r="BH155" s="1312"/>
      <c r="BI155" s="1255"/>
      <c r="BJ155" s="1295"/>
      <c r="BK155" s="1334"/>
      <c r="BL155" s="1297"/>
      <c r="BM155" s="1295"/>
      <c r="BN155" s="1295"/>
      <c r="BO155" s="1312"/>
      <c r="BP155" s="1255"/>
      <c r="BQ155" s="1295"/>
      <c r="BR155" s="1334"/>
      <c r="BS155" s="1297"/>
      <c r="BT155" s="1295"/>
      <c r="BU155" s="1295"/>
      <c r="BV155" s="1361"/>
      <c r="BW155" s="1358"/>
      <c r="BX155" s="1357"/>
      <c r="BY155" s="1362"/>
      <c r="BZ155" s="1360"/>
      <c r="CA155" s="1357"/>
      <c r="CB155" s="1299"/>
      <c r="CC155" s="1312">
        <f>+CC156</f>
        <v>34</v>
      </c>
      <c r="CD155" s="1255">
        <f>+CC155-CC154</f>
        <v>0</v>
      </c>
      <c r="CE155" s="1295">
        <f>+(CC155/CC148-1)*100</f>
        <v>-5.555555555555558</v>
      </c>
      <c r="CF155" s="1334">
        <v>1.548</v>
      </c>
      <c r="CG155" s="1297"/>
      <c r="CH155" s="1295">
        <f>+(CF155/CF148-1)*100</f>
        <v>-3.2499999999999973</v>
      </c>
      <c r="CI155" s="1312"/>
      <c r="CJ155" s="1255"/>
      <c r="CK155" s="1295"/>
      <c r="CL155" s="1334"/>
      <c r="CM155" s="1297"/>
      <c r="CN155" s="1295"/>
      <c r="CO155" s="1295"/>
      <c r="CP155" s="1312"/>
      <c r="CQ155" s="1255"/>
      <c r="CR155" s="1295"/>
      <c r="CS155" s="1334"/>
      <c r="CT155" s="1297"/>
      <c r="CU155" s="1295"/>
      <c r="CV155" s="1299"/>
      <c r="CW155" s="1312">
        <f>+D155+Y155+AF155+AM155+AT155+BA155+CC155</f>
        <v>2563</v>
      </c>
      <c r="CX155" s="1307">
        <f>+CW155-CW154</f>
        <v>-2</v>
      </c>
      <c r="CY155" s="1295">
        <f>+(CW155/CW148-1)*100</f>
        <v>3.9334955393349524</v>
      </c>
      <c r="CZ155" s="1297"/>
      <c r="DA155" s="1297"/>
      <c r="DB155" s="1313">
        <f>+G155+AB155+AI155+AP155+AW155+BD155+CF155</f>
        <v>76.240000000000009</v>
      </c>
      <c r="DC155" s="1297"/>
      <c r="DD155" s="1295">
        <f>+(DB155/DB148-1)*100</f>
        <v>3.4464043419267565</v>
      </c>
      <c r="DE155" s="1266"/>
      <c r="DF155" s="1350">
        <f>+D155/$CW155</f>
        <v>0.63324229418650024</v>
      </c>
      <c r="DG155" s="1351"/>
      <c r="DH155" s="1351"/>
      <c r="DI155" s="1350">
        <f>+Y155/$CW155</f>
        <v>7.4522044479126026E-2</v>
      </c>
      <c r="DJ155" s="1350">
        <f>+AF155/CW155</f>
        <v>8.8177916504096759E-2</v>
      </c>
      <c r="DK155" s="1350">
        <f>+AM155/CW155</f>
        <v>0.11275848614904409</v>
      </c>
      <c r="DL155" s="1350">
        <f>+AT155/CW155</f>
        <v>5.0331642606320719E-2</v>
      </c>
      <c r="DM155" s="1350">
        <f>+BA155/$CW155</f>
        <v>2.7701911822083494E-2</v>
      </c>
      <c r="DN155" s="1350"/>
      <c r="DO155" s="1350"/>
      <c r="DP155" s="1350"/>
      <c r="DQ155" s="1350"/>
      <c r="DS155" s="1333">
        <f t="shared" si="16"/>
        <v>-4</v>
      </c>
      <c r="DT155" s="1333">
        <f t="shared" si="17"/>
        <v>-1</v>
      </c>
      <c r="DU155" s="1333">
        <f t="shared" si="18"/>
        <v>1</v>
      </c>
      <c r="DV155" s="1333">
        <f t="shared" si="19"/>
        <v>1</v>
      </c>
      <c r="DW155" s="1333">
        <f t="shared" si="20"/>
        <v>2</v>
      </c>
      <c r="DX155" s="1333">
        <f t="shared" si="21"/>
        <v>-1</v>
      </c>
      <c r="DY155" s="1333">
        <f t="shared" si="22"/>
        <v>0</v>
      </c>
      <c r="DZ155" s="1333">
        <f t="shared" si="23"/>
        <v>0</v>
      </c>
      <c r="EA155" s="1333">
        <f t="shared" si="24"/>
        <v>0</v>
      </c>
      <c r="EB155" s="1333">
        <f t="shared" si="25"/>
        <v>0</v>
      </c>
      <c r="ED155" s="451">
        <f>-(SUMIF(DS155:EB155,"&lt;0"))</f>
        <v>6</v>
      </c>
      <c r="EE155" s="451">
        <f>(SUMIF(DS155:EB155,"&gt;0"))</f>
        <v>4</v>
      </c>
      <c r="EF155" s="451">
        <f>+EE155-ED155</f>
        <v>-2</v>
      </c>
      <c r="EG155" s="1333">
        <f>+EF155-CX155</f>
        <v>0</v>
      </c>
    </row>
    <row r="156" spans="1:137" ht="15">
      <c r="A156" s="1266"/>
      <c r="B156" s="1266" t="str">
        <f>$B$21</f>
        <v>Year</v>
      </c>
      <c r="C156" s="1266"/>
      <c r="D156" s="1306">
        <f>+D155</f>
        <v>1623</v>
      </c>
      <c r="E156" s="1317">
        <f>+D156-D149</f>
        <v>54</v>
      </c>
      <c r="F156" s="1295">
        <f>+(D156/D149-1)*100</f>
        <v>3.4416826003824008</v>
      </c>
      <c r="G156" s="1296">
        <f>+N156+U156</f>
        <v>49.894000000000005</v>
      </c>
      <c r="H156" s="1297">
        <f>+G156/D156*1000</f>
        <v>30.741836105976589</v>
      </c>
      <c r="I156" s="1295">
        <f>+(G156/G149-1)*100</f>
        <v>2.4517453798768019</v>
      </c>
      <c r="J156" s="1266"/>
      <c r="K156" s="1306">
        <f>+L156+K149</f>
        <v>847</v>
      </c>
      <c r="L156" s="1256">
        <v>26</v>
      </c>
      <c r="M156" s="1295">
        <f>+(K156/K149-1)*100</f>
        <v>3.1668696711327549</v>
      </c>
      <c r="N156" s="1296">
        <f>N155</f>
        <v>25.225000000000001</v>
      </c>
      <c r="O156" s="1297">
        <f>+N156/K156*1000</f>
        <v>29.781582054309329</v>
      </c>
      <c r="P156" s="1295">
        <f>+(N156/N149-1)*100</f>
        <v>2.1255060728744946</v>
      </c>
      <c r="Q156" s="1299"/>
      <c r="R156" s="1306">
        <f>+S156+R149</f>
        <v>776</v>
      </c>
      <c r="S156" s="1256">
        <v>28</v>
      </c>
      <c r="T156" s="1295">
        <f>+(R156/R149-1)*100</f>
        <v>3.7433155080213831</v>
      </c>
      <c r="U156" s="1296">
        <f>U155</f>
        <v>24.669</v>
      </c>
      <c r="V156" s="1297">
        <f>+U156/R156*1000</f>
        <v>31.789948453608247</v>
      </c>
      <c r="W156" s="1295">
        <f>+(U156/U149-1)*100</f>
        <v>2.7875000000000094</v>
      </c>
      <c r="X156" s="1299"/>
      <c r="Y156" s="1306">
        <f>+Z156+Y149</f>
        <v>191</v>
      </c>
      <c r="Z156" s="1256">
        <v>7</v>
      </c>
      <c r="AA156" s="1295">
        <f>+(Y156/Y149-1)*100</f>
        <v>3.8043478260869623</v>
      </c>
      <c r="AB156" s="1296">
        <f>AB155</f>
        <v>5.5659999999999998</v>
      </c>
      <c r="AC156" s="1297">
        <f>+AB156/Y156*1000</f>
        <v>29.141361256544503</v>
      </c>
      <c r="AD156" s="1295">
        <f>+(AB156/AB149-1)*100</f>
        <v>3.0740740740740735</v>
      </c>
      <c r="AE156" s="1299"/>
      <c r="AF156" s="1306">
        <f>+AG156+AF149</f>
        <v>226</v>
      </c>
      <c r="AG156" s="1256">
        <v>16</v>
      </c>
      <c r="AH156" s="1295">
        <f>+(AF156/AF149-1)*100</f>
        <v>7.6190476190476142</v>
      </c>
      <c r="AI156" s="1296">
        <f>AI155</f>
        <v>7.085</v>
      </c>
      <c r="AJ156" s="1297">
        <f>+AI156/AF156*1000</f>
        <v>31.349557522123892</v>
      </c>
      <c r="AK156" s="1295">
        <f>+(AI156/AI149-1)*100</f>
        <v>9.0000000000000071</v>
      </c>
      <c r="AL156" s="1299"/>
      <c r="AM156" s="1306">
        <f>+AN156+AM149</f>
        <v>289</v>
      </c>
      <c r="AN156" s="1256">
        <v>19</v>
      </c>
      <c r="AO156" s="1295">
        <f>+(AM156/AM149-1)*100</f>
        <v>7.0370370370370416</v>
      </c>
      <c r="AP156" s="1296">
        <f>AP155</f>
        <v>7.13</v>
      </c>
      <c r="AQ156" s="1297">
        <f>+AP156/AM156*1000</f>
        <v>24.671280276816606</v>
      </c>
      <c r="AR156" s="1295">
        <f>+(AP156/AP149-1)*100</f>
        <v>8.0303030303030312</v>
      </c>
      <c r="AS156" s="1299"/>
      <c r="AT156" s="1306">
        <f>+AU156+AT149</f>
        <v>129</v>
      </c>
      <c r="AU156" s="1256">
        <v>0</v>
      </c>
      <c r="AV156" s="1295">
        <f>+(AT156/AT149-1)*100</f>
        <v>0</v>
      </c>
      <c r="AW156" s="1296">
        <f>AW155</f>
        <v>3.3119999999999998</v>
      </c>
      <c r="AX156" s="1297">
        <f>+AX149</f>
        <v>26</v>
      </c>
      <c r="AY156" s="1295">
        <f>+(AW156/AW149-1)*100</f>
        <v>0.36363636363636598</v>
      </c>
      <c r="AZ156" s="1299"/>
      <c r="BA156" s="1306">
        <f>+BB156+BA149</f>
        <v>71</v>
      </c>
      <c r="BB156" s="1256">
        <v>3</v>
      </c>
      <c r="BC156" s="1295">
        <f>+(BA156/BA149-1)*100</f>
        <v>4.4117647058823595</v>
      </c>
      <c r="BD156" s="1296">
        <f>BD155</f>
        <v>1.7050000000000001</v>
      </c>
      <c r="BE156" s="1297">
        <f>+BD156/BA156*1000</f>
        <v>24.014084507042252</v>
      </c>
      <c r="BF156" s="1295">
        <f>+(BD156/BD149-1)*100</f>
        <v>6.5625000000000044</v>
      </c>
      <c r="BG156" s="1295"/>
      <c r="BH156" s="1306"/>
      <c r="BI156" s="1256"/>
      <c r="BJ156" s="1295"/>
      <c r="BK156" s="1296"/>
      <c r="BL156" s="1297"/>
      <c r="BM156" s="1295"/>
      <c r="BN156" s="1295"/>
      <c r="BO156" s="1306"/>
      <c r="BP156" s="1256"/>
      <c r="BQ156" s="1295"/>
      <c r="BR156" s="1296"/>
      <c r="BS156" s="1297"/>
      <c r="BT156" s="1295"/>
      <c r="BU156" s="1295"/>
      <c r="BV156" s="1337"/>
      <c r="BW156" s="1343"/>
      <c r="BX156" s="1357"/>
      <c r="BY156" s="1359"/>
      <c r="BZ156" s="1360"/>
      <c r="CA156" s="1357"/>
      <c r="CB156" s="1299"/>
      <c r="CC156" s="1306">
        <f>+CD156+CC149</f>
        <v>34</v>
      </c>
      <c r="CD156" s="1256">
        <v>-2</v>
      </c>
      <c r="CE156" s="1295">
        <f>+(CC156/CC149-1)*100</f>
        <v>-5.555555555555558</v>
      </c>
      <c r="CF156" s="1296">
        <f>CF155</f>
        <v>1.548</v>
      </c>
      <c r="CG156" s="1297">
        <f>+CG149-0.7</f>
        <v>45.3</v>
      </c>
      <c r="CH156" s="1295">
        <f>+(CF156/CF149-1)*100</f>
        <v>-3.2499999999999973</v>
      </c>
      <c r="CI156" s="1306"/>
      <c r="CJ156" s="1256"/>
      <c r="CK156" s="1295"/>
      <c r="CL156" s="1296"/>
      <c r="CM156" s="1297"/>
      <c r="CN156" s="1295"/>
      <c r="CO156" s="1295"/>
      <c r="CP156" s="1306"/>
      <c r="CQ156" s="1256"/>
      <c r="CR156" s="1295"/>
      <c r="CS156" s="1296"/>
      <c r="CT156" s="1297"/>
      <c r="CU156" s="1295"/>
      <c r="CV156" s="1299"/>
      <c r="CW156" s="1306">
        <f>+D156+Y156+AF156+AM156+AT156+BA156+CC156</f>
        <v>2563</v>
      </c>
      <c r="CX156" s="1317">
        <f>+L156+S156+Z156+AG156+AN156+AU156+BB156+CD156</f>
        <v>97</v>
      </c>
      <c r="CY156" s="1295">
        <f>+(CW156/CW149-1)*100</f>
        <v>3.9334955393349524</v>
      </c>
      <c r="CZ156" s="1297"/>
      <c r="DA156" s="1297"/>
      <c r="DB156" s="1296">
        <f>+G156+AB156+AI156+AP156+AW156+BD156+CF156</f>
        <v>76.240000000000009</v>
      </c>
      <c r="DC156" s="1297">
        <f>+DB156/CW156*1000</f>
        <v>29.746390948107692</v>
      </c>
      <c r="DD156" s="1295">
        <f>+(DB156/DB149-1)*100</f>
        <v>3.4464043419267565</v>
      </c>
      <c r="DE156" s="1266"/>
      <c r="DF156" s="1350">
        <f>+D156/$CW156</f>
        <v>0.63324229418650024</v>
      </c>
      <c r="DG156" s="1351"/>
      <c r="DH156" s="1351"/>
      <c r="DI156" s="1350">
        <f>+Y156/$CW156</f>
        <v>7.4522044479126026E-2</v>
      </c>
      <c r="DJ156" s="1350">
        <f>+AF156/CW156</f>
        <v>8.8177916504096759E-2</v>
      </c>
      <c r="DK156" s="1350">
        <f>+AM156/CW156</f>
        <v>0.11275848614904409</v>
      </c>
      <c r="DL156" s="1350">
        <f>+AT156/CW156</f>
        <v>5.0331642606320719E-2</v>
      </c>
      <c r="DM156" s="1350">
        <f>+BA156/$CW156</f>
        <v>2.7701911822083494E-2</v>
      </c>
      <c r="DN156" s="1350"/>
      <c r="DO156" s="1350"/>
      <c r="DP156" s="1350"/>
      <c r="DQ156" s="1350"/>
      <c r="DS156" s="1333">
        <f t="shared" si="16"/>
        <v>26</v>
      </c>
      <c r="DT156" s="1333">
        <f t="shared" si="17"/>
        <v>28</v>
      </c>
      <c r="DU156" s="1333">
        <f t="shared" si="18"/>
        <v>7</v>
      </c>
      <c r="DV156" s="1333">
        <f t="shared" si="19"/>
        <v>16</v>
      </c>
      <c r="DW156" s="1333">
        <f t="shared" si="20"/>
        <v>19</v>
      </c>
      <c r="DX156" s="1333">
        <f t="shared" si="21"/>
        <v>0</v>
      </c>
      <c r="DY156" s="1333">
        <f t="shared" si="22"/>
        <v>3</v>
      </c>
      <c r="DZ156" s="1333">
        <f t="shared" si="23"/>
        <v>0</v>
      </c>
      <c r="EA156" s="1333">
        <f t="shared" si="24"/>
        <v>0</v>
      </c>
      <c r="EB156" s="1333">
        <f t="shared" si="25"/>
        <v>-2</v>
      </c>
      <c r="ED156" s="693">
        <f>SUM(ED152:ED155)</f>
        <v>10</v>
      </c>
      <c r="EE156" s="693">
        <f>SUM(EE152:EE155)</f>
        <v>107</v>
      </c>
      <c r="EF156" s="693">
        <f>+EE156-ED156</f>
        <v>97</v>
      </c>
      <c r="EG156" s="1333">
        <f>+EF156-CX156</f>
        <v>0</v>
      </c>
    </row>
    <row r="157" spans="1:137" ht="15.75">
      <c r="A157" s="1266"/>
      <c r="B157" s="1266"/>
      <c r="C157" s="1266"/>
      <c r="D157" s="1268"/>
      <c r="E157" s="1269"/>
      <c r="F157" s="1302"/>
      <c r="G157" s="1266"/>
      <c r="H157" s="1268"/>
      <c r="I157" s="1295"/>
      <c r="J157" s="1266"/>
      <c r="K157" s="1268"/>
      <c r="L157" s="1269"/>
      <c r="M157" s="1268"/>
      <c r="N157" s="1266">
        <f>20.388/0.8</f>
        <v>25.484999999999999</v>
      </c>
      <c r="O157" s="1268"/>
      <c r="P157" s="1295"/>
      <c r="Q157" s="1268"/>
      <c r="R157" s="1268"/>
      <c r="S157" s="1269"/>
      <c r="T157" s="1268"/>
      <c r="U157" s="1266"/>
      <c r="V157" s="1268"/>
      <c r="W157" s="1295"/>
      <c r="X157" s="1268"/>
      <c r="Y157" s="1268"/>
      <c r="Z157" s="1269"/>
      <c r="AA157" s="1268"/>
      <c r="AB157" s="1266"/>
      <c r="AC157" s="1268"/>
      <c r="AD157" s="1295"/>
      <c r="AE157" s="1268"/>
      <c r="AF157" s="1268"/>
      <c r="AG157" s="1269"/>
      <c r="AH157" s="1270"/>
      <c r="AI157" s="1266"/>
      <c r="AJ157" s="1268"/>
      <c r="AK157" s="1302"/>
      <c r="AL157" s="1268"/>
      <c r="AM157" s="1268"/>
      <c r="AN157" s="1269"/>
      <c r="AO157" s="1268"/>
      <c r="AP157" s="1266"/>
      <c r="AQ157" s="1268"/>
      <c r="AR157" s="1295"/>
      <c r="AS157" s="1268"/>
      <c r="AT157" s="1268"/>
      <c r="AU157" s="1269"/>
      <c r="AV157" s="1266"/>
      <c r="AW157" s="1266"/>
      <c r="AX157" s="1268"/>
      <c r="AY157" s="1295"/>
      <c r="AZ157" s="1266"/>
      <c r="BA157" s="1268"/>
      <c r="BB157" s="1269"/>
      <c r="BC157" s="1266"/>
      <c r="BD157" s="1266"/>
      <c r="BE157" s="1268"/>
      <c r="BF157" s="1295"/>
      <c r="BG157" s="1295"/>
      <c r="BH157" s="1268"/>
      <c r="BI157" s="1269"/>
      <c r="BJ157" s="1266"/>
      <c r="BK157" s="1266"/>
      <c r="BL157" s="1268"/>
      <c r="BM157" s="1295"/>
      <c r="BN157" s="1295"/>
      <c r="BO157" s="1268"/>
      <c r="BP157" s="1269"/>
      <c r="BQ157" s="1266"/>
      <c r="BR157" s="1266"/>
      <c r="BS157" s="1268"/>
      <c r="BT157" s="1295"/>
      <c r="BU157" s="1295"/>
      <c r="BV157" s="1356"/>
      <c r="BW157" s="1354"/>
      <c r="BX157" s="1355"/>
      <c r="BY157" s="1355"/>
      <c r="BZ157" s="1356"/>
      <c r="CA157" s="1357"/>
      <c r="CB157" s="1266"/>
      <c r="CC157" s="1268"/>
      <c r="CD157" s="1269"/>
      <c r="CE157" s="1266"/>
      <c r="CF157" s="1266"/>
      <c r="CG157" s="1268"/>
      <c r="CH157" s="1295"/>
      <c r="CI157" s="1268"/>
      <c r="CJ157" s="1269"/>
      <c r="CK157" s="1266"/>
      <c r="CL157" s="1266"/>
      <c r="CM157" s="1268"/>
      <c r="CN157" s="1295"/>
      <c r="CO157" s="1295"/>
      <c r="CP157" s="1268"/>
      <c r="CQ157" s="1269"/>
      <c r="CR157" s="1266"/>
      <c r="CS157" s="1266"/>
      <c r="CT157" s="1268"/>
      <c r="CU157" s="1295"/>
      <c r="CV157" s="1266"/>
      <c r="CW157" s="1257"/>
      <c r="CX157" s="1266"/>
      <c r="CY157" s="1266"/>
      <c r="CZ157" s="1266"/>
      <c r="DA157" s="1266"/>
      <c r="DB157" s="1257"/>
      <c r="DC157" s="1268"/>
      <c r="DD157" s="1302"/>
      <c r="DE157" s="1266"/>
      <c r="DF157" s="1266"/>
      <c r="DG157" s="1266"/>
      <c r="DH157" s="1266"/>
      <c r="DI157" s="1266"/>
      <c r="DJ157" s="1266"/>
      <c r="DK157" s="1266"/>
      <c r="DL157" s="1266"/>
      <c r="DM157" s="1266"/>
      <c r="DN157" s="1266"/>
      <c r="DO157" s="1266"/>
      <c r="DP157" s="1266"/>
      <c r="DQ157" s="1266"/>
      <c r="DS157" s="1333"/>
      <c r="DT157" s="1333"/>
      <c r="DU157" s="1333"/>
      <c r="DV157" s="1333"/>
      <c r="DW157" s="1333"/>
      <c r="DX157" s="1333"/>
      <c r="DY157" s="1333"/>
      <c r="DZ157" s="1333"/>
      <c r="EA157" s="1333"/>
      <c r="EB157" s="1333"/>
    </row>
    <row r="158" spans="1:137" ht="15.75">
      <c r="A158" s="2118">
        <f>+A151+1</f>
        <v>2008</v>
      </c>
      <c r="B158" s="2118"/>
      <c r="C158" s="1266"/>
      <c r="D158" s="1335"/>
      <c r="E158" s="1269"/>
      <c r="F158" s="1302"/>
      <c r="G158" s="1335"/>
      <c r="H158" s="1268"/>
      <c r="I158" s="1295"/>
      <c r="J158" s="1266"/>
      <c r="K158" s="1336"/>
      <c r="L158" s="1269"/>
      <c r="M158" s="1268"/>
      <c r="N158" s="1336"/>
      <c r="O158" s="1268"/>
      <c r="P158" s="1295"/>
      <c r="Q158" s="1268"/>
      <c r="R158" s="1336"/>
      <c r="S158" s="1269"/>
      <c r="T158" s="1268"/>
      <c r="U158" s="1336"/>
      <c r="V158" s="1268"/>
      <c r="W158" s="1295"/>
      <c r="X158" s="1268"/>
      <c r="Y158" s="1336"/>
      <c r="Z158" s="1269"/>
      <c r="AA158" s="1268"/>
      <c r="AB158" s="1336"/>
      <c r="AC158" s="1268"/>
      <c r="AD158" s="1295"/>
      <c r="AE158" s="1268"/>
      <c r="AF158" s="1336"/>
      <c r="AG158" s="1269"/>
      <c r="AH158" s="1270"/>
      <c r="AI158" s="1336"/>
      <c r="AJ158" s="1268"/>
      <c r="AK158" s="1302"/>
      <c r="AL158" s="1268"/>
      <c r="AM158" s="1336"/>
      <c r="AN158" s="1269"/>
      <c r="AO158" s="1268"/>
      <c r="AP158" s="1336"/>
      <c r="AQ158" s="1268"/>
      <c r="AR158" s="1295"/>
      <c r="AS158" s="1268"/>
      <c r="AT158" s="1336"/>
      <c r="AU158" s="1269"/>
      <c r="AV158" s="1266"/>
      <c r="AW158" s="1336"/>
      <c r="AX158" s="1268"/>
      <c r="AY158" s="1295"/>
      <c r="AZ158" s="1266"/>
      <c r="BA158" s="1336"/>
      <c r="BB158" s="1269"/>
      <c r="BC158" s="1266"/>
      <c r="BD158" s="1336"/>
      <c r="BE158" s="1268"/>
      <c r="BF158" s="1295"/>
      <c r="BG158" s="1295"/>
      <c r="BH158" s="1372"/>
      <c r="BI158" s="1292"/>
      <c r="BJ158" s="1293"/>
      <c r="BK158" s="1336"/>
      <c r="BL158" s="1290"/>
      <c r="BM158" s="1295"/>
      <c r="BN158" s="1295"/>
      <c r="BO158" s="1372"/>
      <c r="BP158" s="1292"/>
      <c r="BQ158" s="1293"/>
      <c r="BR158" s="1336"/>
      <c r="BS158" s="1290"/>
      <c r="BT158" s="1295"/>
      <c r="BU158" s="1295"/>
      <c r="BV158" s="1373"/>
      <c r="BW158" s="1346"/>
      <c r="BX158" s="1347"/>
      <c r="BY158" s="1345"/>
      <c r="BZ158" s="1348"/>
      <c r="CA158" s="1341"/>
      <c r="CB158" s="1266"/>
      <c r="CC158" s="1374" t="s">
        <v>739</v>
      </c>
      <c r="CD158" s="1375"/>
      <c r="CE158" s="1376"/>
      <c r="CF158" s="1377"/>
      <c r="CG158" s="1378"/>
      <c r="CH158" s="1379"/>
      <c r="CI158" s="1372"/>
      <c r="CJ158" s="1292"/>
      <c r="CK158" s="1293"/>
      <c r="CL158" s="1336"/>
      <c r="CM158" s="1290"/>
      <c r="CN158" s="1295"/>
      <c r="CO158" s="1295"/>
      <c r="CP158" s="1372"/>
      <c r="CQ158" s="1292"/>
      <c r="CR158" s="1293"/>
      <c r="CS158" s="1336"/>
      <c r="CT158" s="1290"/>
      <c r="CU158" s="1295"/>
      <c r="CV158" s="1266"/>
      <c r="CW158" s="1335"/>
      <c r="CX158" s="1266"/>
      <c r="CY158" s="1266"/>
      <c r="CZ158" s="1266"/>
      <c r="DA158" s="1266"/>
      <c r="DB158" s="1335"/>
      <c r="DC158" s="1268"/>
      <c r="DD158" s="1302"/>
      <c r="DE158" s="1266"/>
      <c r="DF158" s="1266"/>
      <c r="DG158" s="1266"/>
      <c r="DH158" s="1266"/>
      <c r="DI158" s="1266"/>
      <c r="DJ158" s="1266"/>
      <c r="DK158" s="1266"/>
      <c r="DL158" s="1266"/>
      <c r="DM158" s="1266"/>
      <c r="DN158" s="1266"/>
      <c r="DO158" s="1266"/>
      <c r="DP158" s="1266"/>
      <c r="DQ158" s="1266"/>
      <c r="DS158" s="1333"/>
      <c r="DT158" s="1333"/>
      <c r="DU158" s="1333"/>
      <c r="DV158" s="1333"/>
      <c r="DW158" s="1333"/>
      <c r="DX158" s="1333"/>
      <c r="DY158" s="1333"/>
      <c r="DZ158" s="1333"/>
      <c r="EA158" s="1333"/>
      <c r="EB158" s="1333"/>
    </row>
    <row r="159" spans="1:137" ht="15">
      <c r="A159" s="1266" t="str">
        <f>$A$17</f>
        <v>1Q</v>
      </c>
      <c r="B159" s="1266" t="str">
        <f>$B$17</f>
        <v>Apr</v>
      </c>
      <c r="C159" s="1266"/>
      <c r="D159" s="1294">
        <f t="shared" ref="D159:E162" si="28">+K159+R159</f>
        <v>1641</v>
      </c>
      <c r="E159" s="1255">
        <f t="shared" si="28"/>
        <v>18</v>
      </c>
      <c r="F159" s="1295">
        <f>+(D159/D152-1)*100</f>
        <v>3.0131826741996326</v>
      </c>
      <c r="G159" s="1296">
        <f t="shared" ref="G159:G164" si="29">+N159+U159</f>
        <v>50.4</v>
      </c>
      <c r="H159" s="1297"/>
      <c r="I159" s="1295">
        <f>+(G159/G152-1)*100</f>
        <v>2.0242914979757165</v>
      </c>
      <c r="J159" s="1266"/>
      <c r="K159" s="1294">
        <f>+K156+L159</f>
        <v>857</v>
      </c>
      <c r="L159" s="1254">
        <v>10</v>
      </c>
      <c r="M159" s="1295">
        <f>+(K159/K152-1)*100</f>
        <v>3.2530120481927716</v>
      </c>
      <c r="N159" s="1318">
        <v>25.5</v>
      </c>
      <c r="O159" s="1297"/>
      <c r="P159" s="1295">
        <f>+(N159/N152-1)*100</f>
        <v>2.0000000000000018</v>
      </c>
      <c r="Q159" s="1299"/>
      <c r="R159" s="1294">
        <f>+R156+S159</f>
        <v>784</v>
      </c>
      <c r="S159" s="1254">
        <v>8</v>
      </c>
      <c r="T159" s="1295">
        <f>+(R159/R152-1)*100</f>
        <v>2.7522935779816571</v>
      </c>
      <c r="U159" s="1318">
        <v>24.9</v>
      </c>
      <c r="V159" s="1297"/>
      <c r="W159" s="1295">
        <f>+(U159/U152-1)*100</f>
        <v>2.0491803278688492</v>
      </c>
      <c r="X159" s="1299"/>
      <c r="Y159" s="1294">
        <f>+Y156+Z159</f>
        <v>196</v>
      </c>
      <c r="Z159" s="1254">
        <v>5</v>
      </c>
      <c r="AA159" s="1295">
        <f>+(Y159/Y152-1)*100</f>
        <v>5.9459459459459518</v>
      </c>
      <c r="AB159" s="1318">
        <v>5.7</v>
      </c>
      <c r="AC159" s="1297"/>
      <c r="AD159" s="1295"/>
      <c r="AE159" s="1299"/>
      <c r="AF159" s="1294">
        <f>+AF156+AG159</f>
        <v>227</v>
      </c>
      <c r="AG159" s="1254">
        <v>1</v>
      </c>
      <c r="AH159" s="1295">
        <f>+(AF159/AF152-1)*100</f>
        <v>7.5829383886255819</v>
      </c>
      <c r="AI159" s="1318">
        <v>7.1</v>
      </c>
      <c r="AJ159" s="1297"/>
      <c r="AK159" s="1295">
        <f>+(AI159/AI152-1)*100</f>
        <v>10.937499999999979</v>
      </c>
      <c r="AL159" s="1299"/>
      <c r="AM159" s="1294">
        <f>+AM156+AN159</f>
        <v>294</v>
      </c>
      <c r="AN159" s="1254">
        <v>5</v>
      </c>
      <c r="AO159" s="1295">
        <f>+(AM159/AM152-1)*100</f>
        <v>8.4870848708487046</v>
      </c>
      <c r="AP159" s="1318">
        <v>7.3</v>
      </c>
      <c r="AQ159" s="1297"/>
      <c r="AR159" s="1295">
        <f>+(AP159/AP152-1)*100</f>
        <v>8.9552238805970177</v>
      </c>
      <c r="AS159" s="1299"/>
      <c r="AT159" s="1294">
        <f>+AT156+AU159</f>
        <v>130</v>
      </c>
      <c r="AU159" s="1254">
        <v>1</v>
      </c>
      <c r="AV159" s="1295">
        <f>+(AT159/AT152-1)*100</f>
        <v>2.3622047244094446</v>
      </c>
      <c r="AW159" s="1318">
        <v>3.3</v>
      </c>
      <c r="AX159" s="1297"/>
      <c r="AY159" s="1295">
        <f>+(AW159/AW152-1)*100</f>
        <v>0</v>
      </c>
      <c r="AZ159" s="1299"/>
      <c r="BA159" s="1294">
        <f>+BA156+BB159</f>
        <v>73</v>
      </c>
      <c r="BB159" s="1254">
        <v>2</v>
      </c>
      <c r="BC159" s="1295">
        <f>+(BA159/BA152-1)*100</f>
        <v>5.7971014492753659</v>
      </c>
      <c r="BD159" s="1318">
        <v>1.8</v>
      </c>
      <c r="BE159" s="1297"/>
      <c r="BF159" s="1295">
        <f>+(BD159/BD152-1)*100</f>
        <v>5.8823529411764719</v>
      </c>
      <c r="BG159" s="1295"/>
      <c r="BH159" s="1300">
        <v>1</v>
      </c>
      <c r="BI159" s="1380"/>
      <c r="BJ159" s="1381"/>
      <c r="BK159" s="1382"/>
      <c r="BL159" s="1383"/>
      <c r="BM159" s="1295"/>
      <c r="BN159" s="1295"/>
      <c r="BO159" s="1300"/>
      <c r="BP159" s="1380"/>
      <c r="BQ159" s="1381"/>
      <c r="BR159" s="1382"/>
      <c r="BS159" s="1383"/>
      <c r="BT159" s="1295"/>
      <c r="BU159" s="1295"/>
      <c r="BV159" s="1340"/>
      <c r="BW159" s="1358"/>
      <c r="BX159" s="1357"/>
      <c r="BY159" s="1359"/>
      <c r="BZ159" s="1360"/>
      <c r="CA159" s="1357"/>
      <c r="CB159" s="1299"/>
      <c r="CC159" s="1384">
        <f>+CC156+CD159</f>
        <v>34</v>
      </c>
      <c r="CD159" s="1380">
        <v>0</v>
      </c>
      <c r="CE159" s="1381">
        <f>+(CC159/CC152-1)*100</f>
        <v>-2.8571428571428581</v>
      </c>
      <c r="CF159" s="1382">
        <v>1.5</v>
      </c>
      <c r="CG159" s="1383"/>
      <c r="CH159" s="1381">
        <f>+(CF159/CF152-1)*100</f>
        <v>-6.25</v>
      </c>
      <c r="CI159" s="1300"/>
      <c r="CJ159" s="1380"/>
      <c r="CK159" s="1381"/>
      <c r="CL159" s="1382"/>
      <c r="CM159" s="1383"/>
      <c r="CN159" s="1295"/>
      <c r="CO159" s="1295"/>
      <c r="CP159" s="1300"/>
      <c r="CQ159" s="1380"/>
      <c r="CR159" s="1381"/>
      <c r="CS159" s="1382"/>
      <c r="CT159" s="1383"/>
      <c r="CU159" s="1295"/>
      <c r="CV159" s="1299"/>
      <c r="CW159" s="1306">
        <f>+D159+Y159+AF159+AM159+AT159+BA159+BH159</f>
        <v>2562</v>
      </c>
      <c r="CX159" s="1307">
        <f>+CW159-CW155</f>
        <v>-1</v>
      </c>
      <c r="CY159" s="1295">
        <f>+(CW159/CW152-1)*100</f>
        <v>2.8502609393817657</v>
      </c>
      <c r="CZ159" s="1297"/>
      <c r="DA159" s="1297"/>
      <c r="DB159" s="1296">
        <f>+G159+AB159+AI159+AP159+AW159+BD159</f>
        <v>75.599999999999994</v>
      </c>
      <c r="DC159" s="1297"/>
      <c r="DD159" s="1295">
        <f>+(DB159/DB152-1)*100</f>
        <v>1.4765100671141118</v>
      </c>
      <c r="DE159" s="1266"/>
      <c r="DF159" s="1350">
        <f>+D159/$CW159</f>
        <v>0.64051522248243564</v>
      </c>
      <c r="DG159" s="1351"/>
      <c r="DH159" s="1351"/>
      <c r="DI159" s="1350">
        <f>+Y159/$CW159</f>
        <v>7.650273224043716E-2</v>
      </c>
      <c r="DJ159" s="1350">
        <f>+AF159/CW159</f>
        <v>8.8602654176424669E-2</v>
      </c>
      <c r="DK159" s="1350">
        <f>+AM159/CW159</f>
        <v>0.11475409836065574</v>
      </c>
      <c r="DL159" s="1350">
        <f>+AT159/CW159</f>
        <v>5.07416081186573E-2</v>
      </c>
      <c r="DM159" s="1350">
        <f>+BA159/$CW159</f>
        <v>2.849336455893833E-2</v>
      </c>
      <c r="DN159" s="1350">
        <f>+BH159/$CW159</f>
        <v>3.9032006245120999E-4</v>
      </c>
      <c r="DO159" s="1350"/>
      <c r="DP159" s="1350"/>
      <c r="DQ159" s="1350"/>
      <c r="DS159" s="1333">
        <f t="shared" si="16"/>
        <v>10</v>
      </c>
      <c r="DT159" s="1333">
        <f t="shared" si="17"/>
        <v>8</v>
      </c>
      <c r="DU159" s="1333">
        <f t="shared" si="18"/>
        <v>5</v>
      </c>
      <c r="DV159" s="1333">
        <f t="shared" si="19"/>
        <v>1</v>
      </c>
      <c r="DW159" s="1333">
        <f t="shared" si="20"/>
        <v>5</v>
      </c>
      <c r="DX159" s="1333">
        <f t="shared" si="21"/>
        <v>1</v>
      </c>
      <c r="DY159" s="1333">
        <f t="shared" si="22"/>
        <v>2</v>
      </c>
      <c r="DZ159" s="1333">
        <f t="shared" si="23"/>
        <v>0</v>
      </c>
      <c r="EA159" s="1333">
        <f t="shared" si="24"/>
        <v>0</v>
      </c>
      <c r="EB159" s="1333">
        <f t="shared" si="25"/>
        <v>0</v>
      </c>
      <c r="ED159" s="451">
        <f>-(SUMIF(DS159:EB159,"&lt;0"))</f>
        <v>0</v>
      </c>
      <c r="EE159" s="451">
        <f>(SUMIF(DS159:EB159,"&gt;0"))</f>
        <v>32</v>
      </c>
      <c r="EF159" s="451">
        <f>+EE159-ED159</f>
        <v>32</v>
      </c>
      <c r="EG159" s="1333">
        <f>+EF159-CX159</f>
        <v>33</v>
      </c>
    </row>
    <row r="160" spans="1:137" ht="15">
      <c r="A160" s="1266" t="str">
        <f>$A$18</f>
        <v>2Q</v>
      </c>
      <c r="B160" s="1266" t="str">
        <f>$B$18</f>
        <v>Jul</v>
      </c>
      <c r="C160" s="1266"/>
      <c r="D160" s="1294">
        <f t="shared" si="28"/>
        <v>1646</v>
      </c>
      <c r="E160" s="1255">
        <f t="shared" si="28"/>
        <v>5</v>
      </c>
      <c r="F160" s="1295">
        <f>+(D160/D153-1)*100</f>
        <v>3.2622333751568311</v>
      </c>
      <c r="G160" s="1296">
        <f t="shared" si="29"/>
        <v>50.5</v>
      </c>
      <c r="H160" s="1297"/>
      <c r="I160" s="1295">
        <f>+(G160/G153-1)*100</f>
        <v>2.2267206477732726</v>
      </c>
      <c r="J160" s="1309"/>
      <c r="K160" s="1294">
        <f>+K159+L160</f>
        <v>859</v>
      </c>
      <c r="L160" s="1254">
        <v>2</v>
      </c>
      <c r="M160" s="1295">
        <f>+(K160/K153-1)*100</f>
        <v>3.4939759036144658</v>
      </c>
      <c r="N160" s="1318">
        <v>25.5</v>
      </c>
      <c r="O160" s="1297"/>
      <c r="P160" s="1295">
        <f>+(N160/N153-1)*100</f>
        <v>2.0000000000000018</v>
      </c>
      <c r="Q160" s="1299"/>
      <c r="R160" s="1294">
        <f>+R159+S160</f>
        <v>787</v>
      </c>
      <c r="S160" s="1254">
        <v>3</v>
      </c>
      <c r="T160" s="1295">
        <f>+(R160/R153-1)*100</f>
        <v>3.0104712041884918</v>
      </c>
      <c r="U160" s="1318">
        <v>25</v>
      </c>
      <c r="V160" s="1297"/>
      <c r="W160" s="1295">
        <f>+(U160/U153-1)*100</f>
        <v>2.4590163934426368</v>
      </c>
      <c r="X160" s="1299"/>
      <c r="Y160" s="1294">
        <f>+Y159+Z160</f>
        <v>196</v>
      </c>
      <c r="Z160" s="1254">
        <v>0</v>
      </c>
      <c r="AA160" s="1295">
        <f>+(Y160/Y153-1)*100</f>
        <v>5.9459459459459518</v>
      </c>
      <c r="AB160" s="1318">
        <v>5.7</v>
      </c>
      <c r="AC160" s="1297"/>
      <c r="AD160" s="1295"/>
      <c r="AE160" s="1299"/>
      <c r="AF160" s="1294">
        <f>+AF159+AG160</f>
        <v>231</v>
      </c>
      <c r="AG160" s="1254">
        <v>4</v>
      </c>
      <c r="AH160" s="1295">
        <f>+(AF160/AF153-1)*100</f>
        <v>8.9622641509433887</v>
      </c>
      <c r="AI160" s="1318">
        <v>7.3</v>
      </c>
      <c r="AJ160" s="1297"/>
      <c r="AK160" s="1295">
        <f>+(AI160/AI153-1)*100</f>
        <v>10.60606060606062</v>
      </c>
      <c r="AL160" s="1299"/>
      <c r="AM160" s="1294">
        <f>+AM159+AN160</f>
        <v>297</v>
      </c>
      <c r="AN160" s="1254">
        <v>3</v>
      </c>
      <c r="AO160" s="1295">
        <f>+(AM160/AM153-1)*100</f>
        <v>8.7912087912087813</v>
      </c>
      <c r="AP160" s="1318">
        <v>7.3</v>
      </c>
      <c r="AQ160" s="1297"/>
      <c r="AR160" s="1295">
        <f>+(AP160/AP153-1)*100</f>
        <v>8.9552238805970177</v>
      </c>
      <c r="AS160" s="1299"/>
      <c r="AT160" s="1294">
        <f>+AT159+AU160</f>
        <v>132</v>
      </c>
      <c r="AU160" s="1254">
        <v>2</v>
      </c>
      <c r="AV160" s="1295">
        <f>+(AT160/AT153-1)*100</f>
        <v>3.125</v>
      </c>
      <c r="AW160" s="1318">
        <v>3.4</v>
      </c>
      <c r="AX160" s="1297"/>
      <c r="AY160" s="1295">
        <f>+(AW160/AW153-1)*100</f>
        <v>3.0303030303030276</v>
      </c>
      <c r="AZ160" s="1299"/>
      <c r="BA160" s="1294">
        <f>+BA159+BB160</f>
        <v>78</v>
      </c>
      <c r="BB160" s="1254">
        <v>5</v>
      </c>
      <c r="BC160" s="1295">
        <f>+(BA160/BA153-1)*100</f>
        <v>11.428571428571432</v>
      </c>
      <c r="BD160" s="1318">
        <f>1.8+0.1</f>
        <v>1.9000000000000001</v>
      </c>
      <c r="BE160" s="1297"/>
      <c r="BF160" s="1295">
        <f>+(BD160/BD153-1)*100</f>
        <v>11.764705882352944</v>
      </c>
      <c r="BG160" s="1295"/>
      <c r="BH160" s="1384"/>
      <c r="BI160" s="1380"/>
      <c r="BJ160" s="1381"/>
      <c r="BK160" s="1382"/>
      <c r="BL160" s="1383"/>
      <c r="BM160" s="1295"/>
      <c r="BN160" s="1295"/>
      <c r="BO160" s="1384"/>
      <c r="BP160" s="1380"/>
      <c r="BQ160" s="1381"/>
      <c r="BR160" s="1382"/>
      <c r="BS160" s="1383"/>
      <c r="BT160" s="1295"/>
      <c r="BU160" s="1295"/>
      <c r="BV160" s="1340"/>
      <c r="BW160" s="1358"/>
      <c r="BX160" s="1357"/>
      <c r="BY160" s="1359"/>
      <c r="BZ160" s="1360"/>
      <c r="CA160" s="1357"/>
      <c r="CB160" s="1299"/>
      <c r="CC160" s="1384">
        <f>+CC159+CD160</f>
        <v>34</v>
      </c>
      <c r="CD160" s="1380">
        <v>0</v>
      </c>
      <c r="CE160" s="1381">
        <f>+(CC160/CC153-1)*100</f>
        <v>0</v>
      </c>
      <c r="CF160" s="1382">
        <v>1.5</v>
      </c>
      <c r="CG160" s="1383"/>
      <c r="CH160" s="1381">
        <f>+(CF160/CF153-1)*100</f>
        <v>0</v>
      </c>
      <c r="CI160" s="1384"/>
      <c r="CJ160" s="1380"/>
      <c r="CK160" s="1381"/>
      <c r="CL160" s="1382"/>
      <c r="CM160" s="1383"/>
      <c r="CN160" s="1295"/>
      <c r="CO160" s="1295"/>
      <c r="CP160" s="1384"/>
      <c r="CQ160" s="1380"/>
      <c r="CR160" s="1381"/>
      <c r="CS160" s="1382"/>
      <c r="CT160" s="1383"/>
      <c r="CU160" s="1295"/>
      <c r="CV160" s="1299"/>
      <c r="CW160" s="1306">
        <f>+D160+Y160+AF160+AM160+AT160+BA160+BH160</f>
        <v>2580</v>
      </c>
      <c r="CX160" s="1307">
        <f>+CW160-CW159</f>
        <v>18</v>
      </c>
      <c r="CY160" s="1295">
        <f>+(CW160/CW153-1)*100</f>
        <v>3.3653846153846256</v>
      </c>
      <c r="CZ160" s="1297"/>
      <c r="DA160" s="1297"/>
      <c r="DB160" s="1296">
        <f>+G160+AB160+AI160+AP160+AW160+BD160</f>
        <v>76.100000000000009</v>
      </c>
      <c r="DC160" s="1297"/>
      <c r="DD160" s="1295">
        <f>+(DB160/DB153-1)*100</f>
        <v>2.0107238605898248</v>
      </c>
      <c r="DE160" s="1266"/>
      <c r="DF160" s="1350">
        <f>+D160/$CW160</f>
        <v>0.63798449612403096</v>
      </c>
      <c r="DG160" s="1351"/>
      <c r="DH160" s="1351"/>
      <c r="DI160" s="1350">
        <f>+Y160/$CW160</f>
        <v>7.5968992248062014E-2</v>
      </c>
      <c r="DJ160" s="1350">
        <f>+AF160/CW160</f>
        <v>8.9534883720930228E-2</v>
      </c>
      <c r="DK160" s="1350">
        <f>+AM160/CW160</f>
        <v>0.11511627906976744</v>
      </c>
      <c r="DL160" s="1350">
        <f>+AT160/CW160</f>
        <v>5.1162790697674418E-2</v>
      </c>
      <c r="DM160" s="1350">
        <f>+BA160/$CW160</f>
        <v>3.0232558139534883E-2</v>
      </c>
      <c r="DN160" s="1350">
        <f>+BH160/$CW160</f>
        <v>0</v>
      </c>
      <c r="DO160" s="1350"/>
      <c r="DP160" s="1350"/>
      <c r="DQ160" s="1350"/>
      <c r="DS160" s="1333">
        <f t="shared" si="16"/>
        <v>2</v>
      </c>
      <c r="DT160" s="1333">
        <f t="shared" si="17"/>
        <v>3</v>
      </c>
      <c r="DU160" s="1333">
        <f t="shared" si="18"/>
        <v>0</v>
      </c>
      <c r="DV160" s="1333">
        <f t="shared" si="19"/>
        <v>4</v>
      </c>
      <c r="DW160" s="1333">
        <f t="shared" si="20"/>
        <v>3</v>
      </c>
      <c r="DX160" s="1333">
        <f t="shared" si="21"/>
        <v>2</v>
      </c>
      <c r="DY160" s="1333">
        <f t="shared" si="22"/>
        <v>5</v>
      </c>
      <c r="DZ160" s="1333">
        <f t="shared" si="23"/>
        <v>0</v>
      </c>
      <c r="EA160" s="1333">
        <f t="shared" si="24"/>
        <v>0</v>
      </c>
      <c r="EB160" s="1333">
        <f t="shared" si="25"/>
        <v>0</v>
      </c>
      <c r="ED160" s="451">
        <f>-(SUMIF(DS160:EB160,"&lt;0"))</f>
        <v>0</v>
      </c>
      <c r="EE160" s="451">
        <f>(SUMIF(DS160:EB160,"&gt;0"))</f>
        <v>19</v>
      </c>
      <c r="EF160" s="451">
        <f>+EE160-ED160</f>
        <v>19</v>
      </c>
      <c r="EG160" s="1333">
        <f>+EF160-CX160</f>
        <v>1</v>
      </c>
    </row>
    <row r="161" spans="1:137" ht="15">
      <c r="A161" s="1266" t="str">
        <f>$A$19</f>
        <v>3Q</v>
      </c>
      <c r="B161" s="1266" t="str">
        <f>$B$19</f>
        <v>Oct</v>
      </c>
      <c r="C161" s="1266"/>
      <c r="D161" s="1294">
        <f t="shared" si="28"/>
        <v>1679</v>
      </c>
      <c r="E161" s="1255">
        <f t="shared" si="28"/>
        <v>33</v>
      </c>
      <c r="F161" s="1295">
        <f>+(D161/D154-1)*100</f>
        <v>3.1326781326781239</v>
      </c>
      <c r="G161" s="1296">
        <f t="shared" si="29"/>
        <v>51.4</v>
      </c>
      <c r="H161" s="1297"/>
      <c r="I161" s="1295">
        <f>+(G161/G154-1)*100</f>
        <v>1.3806706114398271</v>
      </c>
      <c r="J161" s="1266"/>
      <c r="K161" s="1294">
        <f>+K160+L161</f>
        <v>872</v>
      </c>
      <c r="L161" s="1254">
        <v>13</v>
      </c>
      <c r="M161" s="1295">
        <f>+(K161/K154-1)*100</f>
        <v>2.4676850763807323</v>
      </c>
      <c r="N161" s="1318">
        <v>25.9</v>
      </c>
      <c r="O161" s="1297"/>
      <c r="P161" s="1295">
        <f>+(N161/N154-1)*100</f>
        <v>0.77821011673151474</v>
      </c>
      <c r="Q161" s="1299"/>
      <c r="R161" s="1294">
        <f>+R160+S161</f>
        <v>807</v>
      </c>
      <c r="S161" s="1254">
        <v>20</v>
      </c>
      <c r="T161" s="1295">
        <f>+(R161/R154-1)*100</f>
        <v>3.8610038610038533</v>
      </c>
      <c r="U161" s="1318">
        <v>25.5</v>
      </c>
      <c r="V161" s="1297"/>
      <c r="W161" s="1295">
        <f>+(U161/U154-1)*100</f>
        <v>2.0000000000000018</v>
      </c>
      <c r="X161" s="1299"/>
      <c r="Y161" s="1294">
        <f>+Y160+Z161</f>
        <v>201</v>
      </c>
      <c r="Z161" s="1254">
        <v>5</v>
      </c>
      <c r="AA161" s="1295">
        <f>+(Y161/Y154-1)*100</f>
        <v>5.7894736842105221</v>
      </c>
      <c r="AB161" s="1318">
        <v>5.8</v>
      </c>
      <c r="AC161" s="1297"/>
      <c r="AD161" s="1295"/>
      <c r="AE161" s="1299"/>
      <c r="AF161" s="1294">
        <f>+AF160+AG161</f>
        <v>235</v>
      </c>
      <c r="AG161" s="1254">
        <v>4</v>
      </c>
      <c r="AH161" s="1295">
        <f>+(AF161/AF154-1)*100</f>
        <v>4.4444444444444509</v>
      </c>
      <c r="AI161" s="1318">
        <v>7.4</v>
      </c>
      <c r="AJ161" s="1297"/>
      <c r="AK161" s="1295">
        <f>+(AI161/AI154-1)*100</f>
        <v>5.7142857142857162</v>
      </c>
      <c r="AL161" s="1299"/>
      <c r="AM161" s="1294">
        <f>+AM160+AN161</f>
        <v>315</v>
      </c>
      <c r="AN161" s="1254">
        <v>18</v>
      </c>
      <c r="AO161" s="1295">
        <f>+(AM161/AM154-1)*100</f>
        <v>9.7560975609756184</v>
      </c>
      <c r="AP161" s="1318">
        <v>7.8</v>
      </c>
      <c r="AQ161" s="1297"/>
      <c r="AR161" s="1295">
        <f>+(AP161/AP154-1)*100</f>
        <v>9.8591549295774747</v>
      </c>
      <c r="AS161" s="1299"/>
      <c r="AT161" s="1294">
        <f>+AT160+AU161</f>
        <v>135</v>
      </c>
      <c r="AU161" s="1254">
        <v>3</v>
      </c>
      <c r="AV161" s="1295">
        <f>+(AT161/AT154-1)*100</f>
        <v>3.8461538461538547</v>
      </c>
      <c r="AW161" s="1318">
        <v>3.4</v>
      </c>
      <c r="AX161" s="1297"/>
      <c r="AY161" s="1295">
        <f>+(AW161/AW154-1)*100</f>
        <v>3.0303030303030276</v>
      </c>
      <c r="AZ161" s="1299"/>
      <c r="BA161" s="1294">
        <f>+BA160+BB161</f>
        <v>83</v>
      </c>
      <c r="BB161" s="1254">
        <v>5</v>
      </c>
      <c r="BC161" s="1295">
        <f>+(BA161/BA154-1)*100</f>
        <v>16.901408450704224</v>
      </c>
      <c r="BD161" s="1318">
        <v>2.1</v>
      </c>
      <c r="BE161" s="1297"/>
      <c r="BF161" s="1295">
        <f>+(BD161/BD154-1)*100</f>
        <v>23.529411764705888</v>
      </c>
      <c r="BG161" s="1295"/>
      <c r="BH161" s="1384"/>
      <c r="BI161" s="1380"/>
      <c r="BJ161" s="1381"/>
      <c r="BK161" s="1382"/>
      <c r="BL161" s="1383"/>
      <c r="BM161" s="1295"/>
      <c r="BN161" s="1295"/>
      <c r="BO161" s="1384"/>
      <c r="BP161" s="1380"/>
      <c r="BQ161" s="1381"/>
      <c r="BR161" s="1382"/>
      <c r="BS161" s="1383"/>
      <c r="BT161" s="1295"/>
      <c r="BU161" s="1295"/>
      <c r="BV161" s="1340">
        <v>2</v>
      </c>
      <c r="BW161" s="1358">
        <v>2</v>
      </c>
      <c r="BX161" s="1357"/>
      <c r="BY161" s="1359"/>
      <c r="BZ161" s="1360"/>
      <c r="CA161" s="1357"/>
      <c r="CB161" s="1299"/>
      <c r="CC161" s="1384">
        <f>+CC160+CD161</f>
        <v>35</v>
      </c>
      <c r="CD161" s="1380">
        <v>1</v>
      </c>
      <c r="CE161" s="1381">
        <f>+(CC161/CC154-1)*100</f>
        <v>2.9411764705882248</v>
      </c>
      <c r="CF161" s="1382">
        <f>+CC161*CG$163/1000</f>
        <v>1.5854999999999999</v>
      </c>
      <c r="CG161" s="1383"/>
      <c r="CH161" s="1381">
        <f>+(CF161/CF154-1)*100</f>
        <v>5.699999999999994</v>
      </c>
      <c r="CI161" s="1384"/>
      <c r="CJ161" s="1380"/>
      <c r="CK161" s="1381"/>
      <c r="CL161" s="1382"/>
      <c r="CM161" s="1383"/>
      <c r="CN161" s="1295"/>
      <c r="CO161" s="1295"/>
      <c r="CP161" s="1384"/>
      <c r="CQ161" s="1380"/>
      <c r="CR161" s="1381"/>
      <c r="CS161" s="1382"/>
      <c r="CT161" s="1383"/>
      <c r="CU161" s="1295"/>
      <c r="CV161" s="1299"/>
      <c r="CW161" s="1306">
        <f>+D161+Y161+AF161+AM161+AT161+BA161+BH161</f>
        <v>2648</v>
      </c>
      <c r="CX161" s="1307">
        <f>+CW161-CW160</f>
        <v>68</v>
      </c>
      <c r="CY161" s="1295">
        <f>+(CW161/CW154-1)*100</f>
        <v>3.2358674463937698</v>
      </c>
      <c r="CZ161" s="1297"/>
      <c r="DA161" s="1297"/>
      <c r="DB161" s="1296">
        <f>+G161+AB161+AI161+AP161+AW161+BD161+0.1</f>
        <v>77.999999999999986</v>
      </c>
      <c r="DC161" s="1297"/>
      <c r="DD161" s="1295">
        <f>+(DB161/DB154-1)*100</f>
        <v>1.4304291287386084</v>
      </c>
      <c r="DE161" s="1266"/>
      <c r="DF161" s="1350">
        <f>+D161/$CW161</f>
        <v>0.63406344410876136</v>
      </c>
      <c r="DG161" s="1351"/>
      <c r="DH161" s="1351"/>
      <c r="DI161" s="1350">
        <f>+Y161/$CW161</f>
        <v>7.5906344410876139E-2</v>
      </c>
      <c r="DJ161" s="1350">
        <f>+AF161/CW161</f>
        <v>8.8746223564954679E-2</v>
      </c>
      <c r="DK161" s="1350">
        <f>+AM161/CW161</f>
        <v>0.11895770392749244</v>
      </c>
      <c r="DL161" s="1350">
        <f>+AT161/CW161</f>
        <v>5.0981873111782476E-2</v>
      </c>
      <c r="DM161" s="1350">
        <f>+BA161/$CW161</f>
        <v>3.1344410876132933E-2</v>
      </c>
      <c r="DN161" s="1350">
        <f>+BH161/$CW161</f>
        <v>0</v>
      </c>
      <c r="DO161" s="1350"/>
      <c r="DP161" s="1350"/>
      <c r="DQ161" s="1350"/>
      <c r="DS161" s="1333">
        <f t="shared" si="16"/>
        <v>13</v>
      </c>
      <c r="DT161" s="1333">
        <f t="shared" si="17"/>
        <v>20</v>
      </c>
      <c r="DU161" s="1333">
        <f t="shared" si="18"/>
        <v>5</v>
      </c>
      <c r="DV161" s="1333">
        <f t="shared" si="19"/>
        <v>4</v>
      </c>
      <c r="DW161" s="1333">
        <f t="shared" si="20"/>
        <v>18</v>
      </c>
      <c r="DX161" s="1333">
        <f t="shared" si="21"/>
        <v>3</v>
      </c>
      <c r="DY161" s="1333">
        <f t="shared" si="22"/>
        <v>5</v>
      </c>
      <c r="DZ161" s="1333">
        <f t="shared" si="23"/>
        <v>0</v>
      </c>
      <c r="EA161" s="1333">
        <f t="shared" si="24"/>
        <v>0</v>
      </c>
      <c r="EB161" s="1333">
        <f t="shared" si="25"/>
        <v>1</v>
      </c>
      <c r="ED161" s="451">
        <f>-(SUMIF(DS161:EB161,"&lt;0"))</f>
        <v>0</v>
      </c>
      <c r="EE161" s="451">
        <f>(SUMIF(DS161:EB161,"&gt;0"))</f>
        <v>69</v>
      </c>
      <c r="EF161" s="451">
        <f>+EE161-ED161</f>
        <v>69</v>
      </c>
      <c r="EG161" s="1333">
        <f>+EF161-CX161</f>
        <v>1</v>
      </c>
    </row>
    <row r="162" spans="1:137" ht="15">
      <c r="A162" s="1266" t="str">
        <f>$A$20</f>
        <v>4Q</v>
      </c>
      <c r="B162" s="1266" t="str">
        <f>$B$20</f>
        <v>Jan</v>
      </c>
      <c r="C162" s="1266"/>
      <c r="D162" s="1312">
        <f t="shared" si="28"/>
        <v>1680</v>
      </c>
      <c r="E162" s="1255">
        <f t="shared" si="28"/>
        <v>1</v>
      </c>
      <c r="F162" s="1295">
        <f>+(D162/D155-1)*100</f>
        <v>3.512014787430684</v>
      </c>
      <c r="G162" s="1313">
        <f t="shared" si="29"/>
        <v>51.4</v>
      </c>
      <c r="H162" s="1297"/>
      <c r="I162" s="1295">
        <f>+(G162/G155-1)*100</f>
        <v>3.0183990058924692</v>
      </c>
      <c r="J162" s="1266"/>
      <c r="K162" s="1312">
        <f>+K163</f>
        <v>874</v>
      </c>
      <c r="L162" s="1255">
        <f>+K162-K161</f>
        <v>2</v>
      </c>
      <c r="M162" s="1295">
        <f>+(K162/K155-1)*100</f>
        <v>3.1877213695395534</v>
      </c>
      <c r="N162" s="1334">
        <v>25.9</v>
      </c>
      <c r="O162" s="1297"/>
      <c r="P162" s="1295">
        <f>+(N162/N155-1)*100</f>
        <v>2.6759167492566682</v>
      </c>
      <c r="Q162" s="1299"/>
      <c r="R162" s="1312">
        <f>+R163</f>
        <v>806</v>
      </c>
      <c r="S162" s="1255">
        <f>+R162-R161</f>
        <v>-1</v>
      </c>
      <c r="T162" s="1295">
        <f>+(R162/R155-1)*100</f>
        <v>3.8659793814433074</v>
      </c>
      <c r="U162" s="1334">
        <v>25.5</v>
      </c>
      <c r="V162" s="1297"/>
      <c r="W162" s="1295">
        <f>+(U162/U155-1)*100</f>
        <v>3.3686002675422655</v>
      </c>
      <c r="X162" s="1299"/>
      <c r="Y162" s="1312">
        <f>+Y163</f>
        <v>202</v>
      </c>
      <c r="Z162" s="1255">
        <f>+Y162-Y161</f>
        <v>1</v>
      </c>
      <c r="AA162" s="1295">
        <f>+(Y162/Y155-1)*100</f>
        <v>5.7591623036649109</v>
      </c>
      <c r="AB162" s="1334">
        <v>5.9</v>
      </c>
      <c r="AC162" s="1297"/>
      <c r="AD162" s="1295">
        <f>+(AB162/AB155-1)*100</f>
        <v>6.0007186489400066</v>
      </c>
      <c r="AE162" s="1299"/>
      <c r="AF162" s="1312">
        <f>+AF163</f>
        <v>235</v>
      </c>
      <c r="AG162" s="1255">
        <f>+AF162-AF161</f>
        <v>0</v>
      </c>
      <c r="AH162" s="1295">
        <f>+(AF162/AF155-1)*100</f>
        <v>3.9823008849557473</v>
      </c>
      <c r="AI162" s="1334">
        <v>7.5</v>
      </c>
      <c r="AJ162" s="1297"/>
      <c r="AK162" s="1295">
        <f>+(AI162/AI155-1)*100</f>
        <v>5.8574453069865973</v>
      </c>
      <c r="AL162" s="1299"/>
      <c r="AM162" s="1312">
        <f>+AM163</f>
        <v>318</v>
      </c>
      <c r="AN162" s="1255">
        <f>+AM162-AM161</f>
        <v>3</v>
      </c>
      <c r="AO162" s="1295">
        <f>+(AM162/AM155-1)*100</f>
        <v>10.034602076124566</v>
      </c>
      <c r="AP162" s="1334">
        <v>7.9</v>
      </c>
      <c r="AQ162" s="1297"/>
      <c r="AR162" s="1295">
        <f>+(AP162/AP155-1)*100</f>
        <v>10.799438990182342</v>
      </c>
      <c r="AS162" s="1299"/>
      <c r="AT162" s="1312">
        <f>+AT163</f>
        <v>135</v>
      </c>
      <c r="AU162" s="1255">
        <f>+AT162-AT161</f>
        <v>0</v>
      </c>
      <c r="AV162" s="1295">
        <f>+(AT162/AT155-1)*100</f>
        <v>4.6511627906976827</v>
      </c>
      <c r="AW162" s="1334">
        <v>3.4</v>
      </c>
      <c r="AX162" s="1297"/>
      <c r="AY162" s="1295">
        <f>+(AW162/AW155-1)*100</f>
        <v>2.6570048309178862</v>
      </c>
      <c r="AZ162" s="1299"/>
      <c r="BA162" s="1312">
        <f>+BA163</f>
        <v>75</v>
      </c>
      <c r="BB162" s="1255">
        <f>+BA162-BA161</f>
        <v>-8</v>
      </c>
      <c r="BC162" s="1295">
        <f>+(BA162/BA155-1)*100</f>
        <v>5.6338028169014009</v>
      </c>
      <c r="BD162" s="1334">
        <v>1.8</v>
      </c>
      <c r="BE162" s="1297"/>
      <c r="BF162" s="1295">
        <f>+(BD162/BD155-1)*100</f>
        <v>5.5718475073313734</v>
      </c>
      <c r="BG162" s="1295"/>
      <c r="BH162" s="1314">
        <v>7</v>
      </c>
      <c r="BI162" s="1380">
        <v>7</v>
      </c>
      <c r="BJ162" s="1381"/>
      <c r="BK162" s="1334">
        <v>0.1</v>
      </c>
      <c r="BL162" s="1383"/>
      <c r="BM162" s="1295"/>
      <c r="BN162" s="1295"/>
      <c r="BO162" s="1314"/>
      <c r="BP162" s="1380"/>
      <c r="BQ162" s="1381"/>
      <c r="BR162" s="1334"/>
      <c r="BS162" s="1383"/>
      <c r="BT162" s="1295"/>
      <c r="BU162" s="1295"/>
      <c r="BV162" s="1361">
        <v>2</v>
      </c>
      <c r="BW162" s="1358">
        <v>0</v>
      </c>
      <c r="BX162" s="1357"/>
      <c r="BY162" s="1362">
        <v>0</v>
      </c>
      <c r="BZ162" s="1360"/>
      <c r="CA162" s="1357"/>
      <c r="CB162" s="1299"/>
      <c r="CC162" s="1385">
        <f>+CC163</f>
        <v>34</v>
      </c>
      <c r="CD162" s="1380">
        <f>+CC162-CC161</f>
        <v>-1</v>
      </c>
      <c r="CE162" s="1381">
        <f>+(CC162/CC155-1)*100</f>
        <v>0</v>
      </c>
      <c r="CF162" s="1386">
        <f>+CC162*CG$163/1000</f>
        <v>1.5401999999999998</v>
      </c>
      <c r="CG162" s="1383"/>
      <c r="CH162" s="1381">
        <f>+(CF162/CF155-1)*100</f>
        <v>-0.50387596899226228</v>
      </c>
      <c r="CI162" s="1314"/>
      <c r="CJ162" s="1380"/>
      <c r="CK162" s="1381"/>
      <c r="CL162" s="1334"/>
      <c r="CM162" s="1383"/>
      <c r="CN162" s="1295"/>
      <c r="CO162" s="1295"/>
      <c r="CP162" s="1314"/>
      <c r="CQ162" s="1380"/>
      <c r="CR162" s="1381"/>
      <c r="CS162" s="1334"/>
      <c r="CT162" s="1383"/>
      <c r="CU162" s="1295"/>
      <c r="CV162" s="1299"/>
      <c r="CW162" s="1312">
        <f>+D162+Y162+AF162+AM162+AT162+BA162+BH162</f>
        <v>2652</v>
      </c>
      <c r="CX162" s="1307">
        <f>+CW162-CW161</f>
        <v>4</v>
      </c>
      <c r="CY162" s="1295">
        <f>+(CW162/CW155-1)*100</f>
        <v>3.4724931720639951</v>
      </c>
      <c r="CZ162" s="1297"/>
      <c r="DA162" s="1297"/>
      <c r="DB162" s="1313">
        <f>+G162+AB162+AI162+AP162+AW162+BD162+BK162+BY162</f>
        <v>78</v>
      </c>
      <c r="DC162" s="1297"/>
      <c r="DD162" s="1295">
        <f>+(DB162/DB155-1)*100</f>
        <v>2.3084994753410193</v>
      </c>
      <c r="DE162" s="1266"/>
      <c r="DF162" s="1350">
        <f>+D162/$CW162</f>
        <v>0.63348416289592757</v>
      </c>
      <c r="DG162" s="1351"/>
      <c r="DH162" s="1351"/>
      <c r="DI162" s="1350">
        <f>+Y162/$CW162</f>
        <v>7.6168929110105574E-2</v>
      </c>
      <c r="DJ162" s="1350">
        <f>+AF162/CW162</f>
        <v>8.8612368024132734E-2</v>
      </c>
      <c r="DK162" s="1350">
        <f>+AM162/CW162</f>
        <v>0.11990950226244344</v>
      </c>
      <c r="DL162" s="1350">
        <f>+AT162/CW162</f>
        <v>5.090497737556561E-2</v>
      </c>
      <c r="DM162" s="1350">
        <f>+BA162/$CW162</f>
        <v>2.828054298642534E-2</v>
      </c>
      <c r="DN162" s="1350">
        <f>+BH162/$CW162</f>
        <v>2.6395173453996985E-3</v>
      </c>
      <c r="DO162" s="1350"/>
      <c r="DP162" s="1350"/>
      <c r="DQ162" s="1350"/>
      <c r="DS162" s="1333">
        <f t="shared" si="16"/>
        <v>2</v>
      </c>
      <c r="DT162" s="1333">
        <f t="shared" si="17"/>
        <v>-1</v>
      </c>
      <c r="DU162" s="1333">
        <f t="shared" si="18"/>
        <v>1</v>
      </c>
      <c r="DV162" s="1333">
        <f t="shared" si="19"/>
        <v>0</v>
      </c>
      <c r="DW162" s="1333">
        <f t="shared" si="20"/>
        <v>3</v>
      </c>
      <c r="DX162" s="1333">
        <f t="shared" si="21"/>
        <v>0</v>
      </c>
      <c r="DY162" s="1333">
        <f t="shared" si="22"/>
        <v>-8</v>
      </c>
      <c r="DZ162" s="1333">
        <f t="shared" si="23"/>
        <v>7</v>
      </c>
      <c r="EA162" s="1333">
        <f t="shared" si="24"/>
        <v>0</v>
      </c>
      <c r="EB162" s="1333">
        <f t="shared" si="25"/>
        <v>-1</v>
      </c>
      <c r="ED162" s="451">
        <f>-(SUMIF(DS162:EB162,"&lt;0"))</f>
        <v>10</v>
      </c>
      <c r="EE162" s="451">
        <f>(SUMIF(DS162:EB162,"&gt;0"))</f>
        <v>13</v>
      </c>
      <c r="EF162" s="451">
        <f>+EE162-ED162</f>
        <v>3</v>
      </c>
      <c r="EG162" s="1333">
        <f>+EF162-CX162</f>
        <v>-1</v>
      </c>
    </row>
    <row r="163" spans="1:137" ht="15">
      <c r="A163" s="1266"/>
      <c r="B163" s="1266" t="str">
        <f>$B$21</f>
        <v>Year</v>
      </c>
      <c r="C163" s="1266"/>
      <c r="D163" s="1306">
        <f>+D162</f>
        <v>1680</v>
      </c>
      <c r="E163" s="1317">
        <f>+D163-D156</f>
        <v>57</v>
      </c>
      <c r="F163" s="1295">
        <f>+(D163/D156-1)*100</f>
        <v>3.512014787430684</v>
      </c>
      <c r="G163" s="1296">
        <f t="shared" si="29"/>
        <v>51.4</v>
      </c>
      <c r="H163" s="1297">
        <f>+G163/D163*1000</f>
        <v>30.595238095238095</v>
      </c>
      <c r="I163" s="1295">
        <f>+(G163/G156-1)*100</f>
        <v>3.0183990058924692</v>
      </c>
      <c r="J163" s="1266"/>
      <c r="K163" s="1306">
        <f>+L163+K156</f>
        <v>874</v>
      </c>
      <c r="L163" s="1256">
        <v>27</v>
      </c>
      <c r="M163" s="1295">
        <f>+(K163/K156-1)*100</f>
        <v>3.1877213695395534</v>
      </c>
      <c r="N163" s="1296">
        <f>N162</f>
        <v>25.9</v>
      </c>
      <c r="O163" s="1297">
        <f>+N163/K163*1000</f>
        <v>29.633867276887873</v>
      </c>
      <c r="P163" s="1295">
        <f>+(N163/N156-1)*100</f>
        <v>2.6759167492566682</v>
      </c>
      <c r="Q163" s="1299"/>
      <c r="R163" s="1306">
        <f>+S163+R156</f>
        <v>806</v>
      </c>
      <c r="S163" s="1256">
        <v>30</v>
      </c>
      <c r="T163" s="1295">
        <f>+(R163/R156-1)*100</f>
        <v>3.8659793814433074</v>
      </c>
      <c r="U163" s="1296">
        <f>U162</f>
        <v>25.5</v>
      </c>
      <c r="V163" s="1297">
        <f>+U163/R163*1000</f>
        <v>31.637717121588089</v>
      </c>
      <c r="W163" s="1295">
        <f>+(U163/U156-1)*100</f>
        <v>3.3686002675422655</v>
      </c>
      <c r="X163" s="1299"/>
      <c r="Y163" s="1306">
        <f>+Z163+Y156</f>
        <v>202</v>
      </c>
      <c r="Z163" s="1256">
        <v>11</v>
      </c>
      <c r="AA163" s="1295">
        <f>+(Y163/Y156-1)*100</f>
        <v>5.7591623036649109</v>
      </c>
      <c r="AB163" s="1296">
        <f>AB162</f>
        <v>5.9</v>
      </c>
      <c r="AC163" s="1297">
        <f>+AB163/Y163*1000</f>
        <v>29.207920792079211</v>
      </c>
      <c r="AD163" s="1295">
        <f>+(AB163/AB156-1)*100</f>
        <v>6.0007186489400066</v>
      </c>
      <c r="AE163" s="1299"/>
      <c r="AF163" s="1306">
        <f>+AG163+AF156</f>
        <v>235</v>
      </c>
      <c r="AG163" s="1256">
        <v>9</v>
      </c>
      <c r="AH163" s="1295">
        <f>+(AF163/AF156-1)*100</f>
        <v>3.9823008849557473</v>
      </c>
      <c r="AI163" s="1296">
        <f>AI162</f>
        <v>7.5</v>
      </c>
      <c r="AJ163" s="1297">
        <f>+AI163/AF163*1000</f>
        <v>31.914893617021274</v>
      </c>
      <c r="AK163" s="1295">
        <f>+(AI163/AI156-1)*100</f>
        <v>5.8574453069865973</v>
      </c>
      <c r="AL163" s="1299"/>
      <c r="AM163" s="1306">
        <f>+AN163+AM156</f>
        <v>318</v>
      </c>
      <c r="AN163" s="1256">
        <v>29</v>
      </c>
      <c r="AO163" s="1295">
        <f>+(AM163/AM156-1)*100</f>
        <v>10.034602076124566</v>
      </c>
      <c r="AP163" s="1296">
        <f>AP162</f>
        <v>7.9</v>
      </c>
      <c r="AQ163" s="1297">
        <f>+AP163/AM163*1000</f>
        <v>24.842767295597486</v>
      </c>
      <c r="AR163" s="1295">
        <f>+(AP163/AP156-1)*100</f>
        <v>10.799438990182342</v>
      </c>
      <c r="AS163" s="1299"/>
      <c r="AT163" s="1306">
        <f>+AU163+AT156</f>
        <v>135</v>
      </c>
      <c r="AU163" s="1256">
        <v>6</v>
      </c>
      <c r="AV163" s="1295">
        <f>+(AT163/AT156-1)*100</f>
        <v>4.6511627906976827</v>
      </c>
      <c r="AW163" s="1296">
        <f>AW162</f>
        <v>3.4</v>
      </c>
      <c r="AX163" s="1297">
        <f>+AX156</f>
        <v>26</v>
      </c>
      <c r="AY163" s="1295">
        <f>+(AW163/AW156-1)*100</f>
        <v>2.6570048309178862</v>
      </c>
      <c r="AZ163" s="1299"/>
      <c r="BA163" s="1306">
        <f>+BB163+BA156</f>
        <v>75</v>
      </c>
      <c r="BB163" s="1256">
        <v>4</v>
      </c>
      <c r="BC163" s="1295">
        <f>+(BA163/BA156-1)*100</f>
        <v>5.6338028169014009</v>
      </c>
      <c r="BD163" s="1296">
        <f>BD162</f>
        <v>1.8</v>
      </c>
      <c r="BE163" s="1297">
        <f>+BD163/BA163*1000</f>
        <v>24</v>
      </c>
      <c r="BF163" s="1295">
        <f>+(BD163/BD156-1)*100</f>
        <v>5.5718475073313734</v>
      </c>
      <c r="BG163" s="1295"/>
      <c r="BH163" s="1306">
        <f>BH162</f>
        <v>7</v>
      </c>
      <c r="BI163" s="1387">
        <v>7</v>
      </c>
      <c r="BJ163" s="1381"/>
      <c r="BK163" s="1296">
        <f>BK162</f>
        <v>0.1</v>
      </c>
      <c r="BL163" s="1297">
        <f>+BK163/BH163*1000</f>
        <v>14.285714285714286</v>
      </c>
      <c r="BM163" s="1295"/>
      <c r="BN163" s="1295"/>
      <c r="BO163" s="1306"/>
      <c r="BP163" s="1387"/>
      <c r="BQ163" s="1381"/>
      <c r="BR163" s="1296"/>
      <c r="BS163" s="1297"/>
      <c r="BT163" s="1295"/>
      <c r="BU163" s="1295"/>
      <c r="BV163" s="1337">
        <f>BV162</f>
        <v>2</v>
      </c>
      <c r="BW163" s="1343">
        <v>2</v>
      </c>
      <c r="BX163" s="1357"/>
      <c r="BY163" s="1359">
        <f>BY162</f>
        <v>0</v>
      </c>
      <c r="BZ163" s="1360">
        <f>+BY163/BV163*1000</f>
        <v>0</v>
      </c>
      <c r="CA163" s="1357"/>
      <c r="CB163" s="1299"/>
      <c r="CC163" s="1388">
        <f>+CD163+CC156</f>
        <v>34</v>
      </c>
      <c r="CD163" s="1387">
        <v>0</v>
      </c>
      <c r="CE163" s="1381">
        <f>+(CC163/CC156-1)*100</f>
        <v>0</v>
      </c>
      <c r="CF163" s="1382">
        <f>+CC163*CG163/1000</f>
        <v>1.5401999999999998</v>
      </c>
      <c r="CG163" s="1383">
        <f>+CG156</f>
        <v>45.3</v>
      </c>
      <c r="CH163" s="1381">
        <f>+(CF163/CF156-1)*100</f>
        <v>-0.50387596899226228</v>
      </c>
      <c r="CI163" s="1306"/>
      <c r="CJ163" s="1387"/>
      <c r="CK163" s="1381"/>
      <c r="CL163" s="1296"/>
      <c r="CM163" s="1297"/>
      <c r="CN163" s="1295"/>
      <c r="CO163" s="1295"/>
      <c r="CP163" s="1306"/>
      <c r="CQ163" s="1387"/>
      <c r="CR163" s="1381"/>
      <c r="CS163" s="1296"/>
      <c r="CT163" s="1297"/>
      <c r="CU163" s="1295"/>
      <c r="CV163" s="1299"/>
      <c r="CW163" s="1306">
        <f>+D163+Y163+AF163+AM163+AT163+BA163+BH163</f>
        <v>2652</v>
      </c>
      <c r="CX163" s="1317">
        <f>+E163+Z163+AG163+AN163+AU163+BB163+BI163</f>
        <v>123</v>
      </c>
      <c r="CY163" s="1295">
        <f>+(CW163/CW156-1)*100</f>
        <v>3.4724931720639951</v>
      </c>
      <c r="CZ163" s="1297"/>
      <c r="DA163" s="1297"/>
      <c r="DB163" s="1296">
        <f>+G163+AB163+AI163+AP163+AW163+BD163+BK163+BY163</f>
        <v>78</v>
      </c>
      <c r="DC163" s="1297">
        <f>+DB163/CW163*1000</f>
        <v>29.411764705882351</v>
      </c>
      <c r="DD163" s="1295">
        <f>+(DB163/DB156-1)*100</f>
        <v>2.3084994753410193</v>
      </c>
      <c r="DE163" s="1266"/>
      <c r="DF163" s="1350">
        <f>+D163/$CW163</f>
        <v>0.63348416289592757</v>
      </c>
      <c r="DG163" s="1351"/>
      <c r="DH163" s="1351"/>
      <c r="DI163" s="1350">
        <f>+Y163/$CW163</f>
        <v>7.6168929110105574E-2</v>
      </c>
      <c r="DJ163" s="1350">
        <f>+AF163/CW163</f>
        <v>8.8612368024132734E-2</v>
      </c>
      <c r="DK163" s="1350">
        <f>+AM163/CW163</f>
        <v>0.11990950226244344</v>
      </c>
      <c r="DL163" s="1350">
        <f>+AT163/CW163</f>
        <v>5.090497737556561E-2</v>
      </c>
      <c r="DM163" s="1350">
        <f>+BA163/$CW163</f>
        <v>2.828054298642534E-2</v>
      </c>
      <c r="DN163" s="1350">
        <f>+BH163/$CW163</f>
        <v>2.6395173453996985E-3</v>
      </c>
      <c r="DO163" s="1350"/>
      <c r="DP163" s="1350"/>
      <c r="DQ163" s="1350"/>
      <c r="DS163" s="1333"/>
      <c r="DT163" s="1333"/>
      <c r="DU163" s="1333"/>
      <c r="DV163" s="1333"/>
      <c r="DW163" s="1333"/>
      <c r="DX163" s="1333"/>
      <c r="DY163" s="1333"/>
      <c r="DZ163" s="1333"/>
      <c r="EA163" s="1333"/>
      <c r="EB163" s="1333"/>
      <c r="ED163" s="693">
        <f>SUM(ED159:ED162)</f>
        <v>10</v>
      </c>
      <c r="EE163" s="693">
        <f>SUM(EE159:EE162)</f>
        <v>133</v>
      </c>
      <c r="EF163" s="693">
        <f>+EE163-ED163</f>
        <v>123</v>
      </c>
      <c r="EG163" s="1333">
        <f>+EF163-CX163</f>
        <v>0</v>
      </c>
    </row>
    <row r="164" spans="1:137" ht="15.75">
      <c r="A164" s="1266"/>
      <c r="B164" s="1266"/>
      <c r="C164" s="1266"/>
      <c r="D164" s="1268"/>
      <c r="E164" s="1269"/>
      <c r="F164" s="1302"/>
      <c r="G164" s="1266">
        <f t="shared" si="29"/>
        <v>0</v>
      </c>
      <c r="H164" s="1268"/>
      <c r="I164" s="1295"/>
      <c r="J164" s="1266"/>
      <c r="K164" s="1268"/>
      <c r="L164" s="1269"/>
      <c r="M164" s="1268"/>
      <c r="N164" s="1266"/>
      <c r="O164" s="1268"/>
      <c r="P164" s="1295"/>
      <c r="Q164" s="1268"/>
      <c r="R164" s="1268"/>
      <c r="S164" s="1269"/>
      <c r="T164" s="1268"/>
      <c r="U164" s="1266"/>
      <c r="V164" s="1268"/>
      <c r="W164" s="1295"/>
      <c r="X164" s="1268"/>
      <c r="Y164" s="1268"/>
      <c r="Z164" s="1269"/>
      <c r="AA164" s="1268"/>
      <c r="AB164" s="1266"/>
      <c r="AC164" s="1268"/>
      <c r="AD164" s="1295"/>
      <c r="AE164" s="1268"/>
      <c r="AF164" s="1268"/>
      <c r="AG164" s="1269"/>
      <c r="AH164" s="1270"/>
      <c r="AI164" s="1266"/>
      <c r="AJ164" s="1268"/>
      <c r="AK164" s="1302"/>
      <c r="AL164" s="1268"/>
      <c r="AM164" s="1268"/>
      <c r="AN164" s="1269"/>
      <c r="AO164" s="1268"/>
      <c r="AP164" s="1266"/>
      <c r="AQ164" s="1268"/>
      <c r="AR164" s="1295"/>
      <c r="AS164" s="1268"/>
      <c r="AT164" s="1268"/>
      <c r="AU164" s="1269"/>
      <c r="AV164" s="1266"/>
      <c r="AW164" s="1266"/>
      <c r="AX164" s="1268"/>
      <c r="AY164" s="1295"/>
      <c r="AZ164" s="1266"/>
      <c r="BA164" s="1268"/>
      <c r="BB164" s="1269"/>
      <c r="BC164" s="1266"/>
      <c r="BD164" s="1266"/>
      <c r="BE164" s="1268"/>
      <c r="BF164" s="1295"/>
      <c r="BG164" s="1295"/>
      <c r="BH164" s="1268"/>
      <c r="BI164" s="1269"/>
      <c r="BJ164" s="1266"/>
      <c r="BK164" s="1266"/>
      <c r="BL164" s="1268"/>
      <c r="BM164" s="1295"/>
      <c r="BN164" s="1295"/>
      <c r="BO164" s="1268"/>
      <c r="BP164" s="1269"/>
      <c r="BQ164" s="1266"/>
      <c r="BR164" s="1266"/>
      <c r="BS164" s="1268"/>
      <c r="BT164" s="1295"/>
      <c r="BU164" s="1295"/>
      <c r="BV164" s="1356"/>
      <c r="BW164" s="1354"/>
      <c r="BX164" s="1355"/>
      <c r="BY164" s="1355"/>
      <c r="BZ164" s="1356"/>
      <c r="CA164" s="1357"/>
      <c r="CB164" s="1266"/>
      <c r="CC164" s="1268"/>
      <c r="CD164" s="1269"/>
      <c r="CE164" s="1266"/>
      <c r="CF164" s="1266"/>
      <c r="CG164" s="1268"/>
      <c r="CH164" s="1295"/>
      <c r="CI164" s="1268"/>
      <c r="CJ164" s="1269"/>
      <c r="CK164" s="1266"/>
      <c r="CL164" s="1266"/>
      <c r="CM164" s="1268"/>
      <c r="CN164" s="1295"/>
      <c r="CO164" s="1295"/>
      <c r="CP164" s="1268"/>
      <c r="CQ164" s="1269"/>
      <c r="CR164" s="1266"/>
      <c r="CS164" s="1266"/>
      <c r="CT164" s="1268"/>
      <c r="CU164" s="1295"/>
      <c r="CV164" s="1266"/>
      <c r="CW164" s="1389"/>
      <c r="CX164" s="1266"/>
      <c r="CY164" s="1266"/>
      <c r="CZ164" s="1266"/>
      <c r="DA164" s="1266"/>
      <c r="DB164" s="1257"/>
      <c r="DC164" s="1268"/>
      <c r="DD164" s="1302"/>
      <c r="DE164" s="1266"/>
      <c r="DF164" s="1266"/>
      <c r="DG164" s="1266"/>
      <c r="DH164" s="1266"/>
      <c r="DI164" s="1266"/>
      <c r="DJ164" s="1266"/>
      <c r="DK164" s="1266"/>
      <c r="DL164" s="1266"/>
      <c r="DM164" s="1266"/>
      <c r="DN164" s="1266"/>
      <c r="DO164" s="1266"/>
      <c r="DP164" s="1266"/>
      <c r="DQ164" s="1266"/>
      <c r="DS164" s="1333"/>
      <c r="DT164" s="1333"/>
      <c r="DU164" s="1333"/>
      <c r="DV164" s="1333"/>
      <c r="DW164" s="1333"/>
      <c r="DX164" s="1333"/>
      <c r="DY164" s="1333"/>
      <c r="DZ164" s="1333"/>
      <c r="EA164" s="1333"/>
      <c r="EB164" s="1333"/>
    </row>
    <row r="165" spans="1:137" ht="15.75">
      <c r="A165" s="2118">
        <f>+A158+1</f>
        <v>2009</v>
      </c>
      <c r="B165" s="2118"/>
      <c r="C165" s="1266"/>
      <c r="D165" s="1335"/>
      <c r="E165" s="1269"/>
      <c r="F165" s="1302"/>
      <c r="G165" s="1335"/>
      <c r="H165" s="1268"/>
      <c r="I165" s="1295"/>
      <c r="J165" s="1266"/>
      <c r="K165" s="1336"/>
      <c r="L165" s="1269"/>
      <c r="M165" s="1268"/>
      <c r="N165" s="1367"/>
      <c r="O165" s="1268"/>
      <c r="P165" s="1295"/>
      <c r="Q165" s="1268"/>
      <c r="R165" s="1336"/>
      <c r="S165" s="1269"/>
      <c r="T165" s="1268"/>
      <c r="U165" s="1336"/>
      <c r="V165" s="1268"/>
      <c r="W165" s="1295"/>
      <c r="X165" s="1268"/>
      <c r="Y165" s="1336"/>
      <c r="Z165" s="1269"/>
      <c r="AA165" s="1268"/>
      <c r="AB165" s="1336"/>
      <c r="AC165" s="1268"/>
      <c r="AD165" s="1295"/>
      <c r="AE165" s="1268"/>
      <c r="AF165" s="1336"/>
      <c r="AG165" s="1269"/>
      <c r="AH165" s="1270"/>
      <c r="AI165" s="1336"/>
      <c r="AJ165" s="1268"/>
      <c r="AK165" s="1302"/>
      <c r="AL165" s="1268"/>
      <c r="AM165" s="1336"/>
      <c r="AN165" s="1269"/>
      <c r="AO165" s="1268"/>
      <c r="AP165" s="1336"/>
      <c r="AQ165" s="1268"/>
      <c r="AR165" s="1295"/>
      <c r="AS165" s="1268"/>
      <c r="AT165" s="1336"/>
      <c r="AU165" s="1269"/>
      <c r="AV165" s="1266"/>
      <c r="AW165" s="1336"/>
      <c r="AX165" s="1268"/>
      <c r="AY165" s="1295"/>
      <c r="AZ165" s="1266"/>
      <c r="BA165" s="1336"/>
      <c r="BB165" s="1269"/>
      <c r="BC165" s="1266"/>
      <c r="BD165" s="1336"/>
      <c r="BE165" s="1268"/>
      <c r="BF165" s="1295"/>
      <c r="BG165" s="1295"/>
      <c r="BH165" s="1336"/>
      <c r="BI165" s="1269"/>
      <c r="BJ165" s="1266"/>
      <c r="BK165" s="1336"/>
      <c r="BL165" s="1268"/>
      <c r="BM165" s="1295"/>
      <c r="BN165" s="1295"/>
      <c r="BO165" s="1336"/>
      <c r="BP165" s="1269"/>
      <c r="BQ165" s="1266"/>
      <c r="BR165" s="1336"/>
      <c r="BS165" s="1268"/>
      <c r="BT165" s="1295"/>
      <c r="BU165" s="1295"/>
      <c r="BV165" s="1345"/>
      <c r="BW165" s="1354"/>
      <c r="BX165" s="1355"/>
      <c r="BY165" s="1345"/>
      <c r="BZ165" s="1356"/>
      <c r="CA165" s="1357"/>
      <c r="CB165" s="1266"/>
      <c r="CC165" s="1336"/>
      <c r="CD165" s="1269"/>
      <c r="CE165" s="1266"/>
      <c r="CF165" s="1336"/>
      <c r="CG165" s="1268"/>
      <c r="CH165" s="1295"/>
      <c r="CI165" s="1336"/>
      <c r="CJ165" s="1269"/>
      <c r="CK165" s="1266"/>
      <c r="CL165" s="1336"/>
      <c r="CM165" s="1268"/>
      <c r="CN165" s="1295"/>
      <c r="CO165" s="1295"/>
      <c r="CP165" s="1336"/>
      <c r="CQ165" s="1269"/>
      <c r="CR165" s="1266"/>
      <c r="CS165" s="1336"/>
      <c r="CT165" s="1268"/>
      <c r="CU165" s="1295"/>
      <c r="CV165" s="1266"/>
      <c r="CW165" s="1335"/>
      <c r="CX165" s="1266"/>
      <c r="CY165" s="1266"/>
      <c r="CZ165" s="1266"/>
      <c r="DA165" s="1266"/>
      <c r="DB165" s="1335"/>
      <c r="DC165" s="1268"/>
      <c r="DD165" s="1302"/>
      <c r="DE165" s="1266"/>
      <c r="DF165" s="1266"/>
      <c r="DG165" s="1266"/>
      <c r="DH165" s="1266"/>
      <c r="DI165" s="1266"/>
      <c r="DJ165" s="1266"/>
      <c r="DK165" s="1266"/>
      <c r="DL165" s="1266"/>
      <c r="DM165" s="1266"/>
      <c r="DN165" s="1266"/>
      <c r="DO165" s="1266"/>
      <c r="DP165" s="1266"/>
      <c r="DQ165" s="1266"/>
      <c r="DS165" s="1333"/>
      <c r="DT165" s="1333"/>
      <c r="DU165" s="1333"/>
      <c r="DV165" s="1333"/>
      <c r="DW165" s="1333"/>
      <c r="DX165" s="1333"/>
      <c r="DY165" s="1333"/>
      <c r="DZ165" s="1333"/>
      <c r="EA165" s="1333"/>
      <c r="EB165" s="1333"/>
    </row>
    <row r="166" spans="1:137" ht="15">
      <c r="A166" s="1266" t="str">
        <f>$A$17</f>
        <v>1Q</v>
      </c>
      <c r="B166" s="1266" t="str">
        <f>$B$17</f>
        <v>Apr</v>
      </c>
      <c r="C166" s="1266"/>
      <c r="D166" s="1294">
        <f t="shared" ref="D166:E169" si="30">+K166+R166</f>
        <v>1691</v>
      </c>
      <c r="E166" s="1255">
        <f t="shared" si="30"/>
        <v>11</v>
      </c>
      <c r="F166" s="1295">
        <f>+(D166/D159-1)*100</f>
        <v>3.0469226081657474</v>
      </c>
      <c r="G166" s="1296">
        <f>+N166+U166</f>
        <v>51.7</v>
      </c>
      <c r="H166" s="1297"/>
      <c r="I166" s="1295">
        <f>+(G166/G159-1)*100</f>
        <v>2.5793650793650924</v>
      </c>
      <c r="J166" s="1266"/>
      <c r="K166" s="1294">
        <f>+K163+L166</f>
        <v>882</v>
      </c>
      <c r="L166" s="1254">
        <v>8</v>
      </c>
      <c r="M166" s="1295">
        <f>+(K166/K159-1)*100</f>
        <v>2.9171528588098017</v>
      </c>
      <c r="N166" s="1318">
        <v>26.2</v>
      </c>
      <c r="O166" s="1297"/>
      <c r="P166" s="1295">
        <f>+(N166/N159-1)*100</f>
        <v>2.7450980392156765</v>
      </c>
      <c r="Q166" s="1299"/>
      <c r="R166" s="1294">
        <f>+R163+S166</f>
        <v>809</v>
      </c>
      <c r="S166" s="1254">
        <v>3</v>
      </c>
      <c r="T166" s="1295">
        <f>+(R166/R159-1)*100</f>
        <v>3.1887755102040893</v>
      </c>
      <c r="U166" s="1318">
        <v>25.5</v>
      </c>
      <c r="V166" s="1297"/>
      <c r="W166" s="1295">
        <f>+(U166/U159-1)*100</f>
        <v>2.4096385542168752</v>
      </c>
      <c r="X166" s="1299"/>
      <c r="Y166" s="1294">
        <f>+Y163+Z166</f>
        <v>206</v>
      </c>
      <c r="Z166" s="1254">
        <v>4</v>
      </c>
      <c r="AA166" s="1295">
        <f>+(Y166/Y159-1)*100</f>
        <v>5.1020408163265252</v>
      </c>
      <c r="AB166" s="1318">
        <v>6</v>
      </c>
      <c r="AC166" s="1297"/>
      <c r="AD166" s="1295"/>
      <c r="AE166" s="1299"/>
      <c r="AF166" s="1294">
        <f>+AF163+AG166</f>
        <v>238</v>
      </c>
      <c r="AG166" s="1254">
        <v>3</v>
      </c>
      <c r="AH166" s="1295">
        <f>+(AF166/AF159-1)*100</f>
        <v>4.8458149779735615</v>
      </c>
      <c r="AI166" s="1318">
        <v>7.6</v>
      </c>
      <c r="AJ166" s="1297"/>
      <c r="AK166" s="1295">
        <f>+(AI166/AI159-1)*100</f>
        <v>7.0422535211267512</v>
      </c>
      <c r="AL166" s="1299"/>
      <c r="AM166" s="1294">
        <f>+AM163+AN166</f>
        <v>322</v>
      </c>
      <c r="AN166" s="1254">
        <v>4</v>
      </c>
      <c r="AO166" s="1295">
        <f>+(AM166/AM159-1)*100</f>
        <v>9.5238095238095344</v>
      </c>
      <c r="AP166" s="1318">
        <v>8</v>
      </c>
      <c r="AQ166" s="1297"/>
      <c r="AR166" s="1295">
        <f>+(AP166/AP159-1)*100</f>
        <v>9.5890410958904049</v>
      </c>
      <c r="AS166" s="1299"/>
      <c r="AT166" s="1294">
        <f>+AT163+AU166</f>
        <v>140</v>
      </c>
      <c r="AU166" s="1254">
        <v>5</v>
      </c>
      <c r="AV166" s="1295">
        <f>+(AT166/AT159-1)*100</f>
        <v>7.6923076923076872</v>
      </c>
      <c r="AW166" s="1318">
        <v>3.6</v>
      </c>
      <c r="AX166" s="1297"/>
      <c r="AY166" s="1295">
        <f>+(AW166/AW159-1)*100</f>
        <v>9.0909090909091042</v>
      </c>
      <c r="AZ166" s="1299"/>
      <c r="BA166" s="1294">
        <f>+BA163+BB166</f>
        <v>75</v>
      </c>
      <c r="BB166" s="1254">
        <v>0</v>
      </c>
      <c r="BC166" s="1295">
        <f>+(BA166/BA159-1)*100</f>
        <v>2.7397260273972712</v>
      </c>
      <c r="BD166" s="1318">
        <v>1.8</v>
      </c>
      <c r="BE166" s="1297"/>
      <c r="BF166" s="1295">
        <f>+(BD166/BD159-1)*100</f>
        <v>0</v>
      </c>
      <c r="BG166" s="1295"/>
      <c r="BH166" s="1294">
        <f>+BH163+BI166</f>
        <v>8</v>
      </c>
      <c r="BI166" s="1254">
        <v>1</v>
      </c>
      <c r="BJ166" s="1295">
        <f>+(BH166/BH159-1)*100</f>
        <v>700</v>
      </c>
      <c r="BK166" s="1318">
        <v>0.2</v>
      </c>
      <c r="BL166" s="1297"/>
      <c r="BM166" s="1295"/>
      <c r="BN166" s="1295"/>
      <c r="BO166" s="1294"/>
      <c r="BP166" s="1254"/>
      <c r="BQ166" s="1295"/>
      <c r="BR166" s="1318"/>
      <c r="BS166" s="1297"/>
      <c r="BT166" s="1295"/>
      <c r="BU166" s="1295"/>
      <c r="BV166" s="1340">
        <f>+BV163+BW166</f>
        <v>3</v>
      </c>
      <c r="BW166" s="1358">
        <v>1</v>
      </c>
      <c r="BX166" s="1357"/>
      <c r="BY166" s="1359">
        <f>BY163+BW166*$BL$163/1000</f>
        <v>1.4285714285714287E-2</v>
      </c>
      <c r="BZ166" s="1360"/>
      <c r="CA166" s="1357"/>
      <c r="CB166" s="1299"/>
      <c r="CC166" s="1390"/>
      <c r="CD166" s="1391"/>
      <c r="CE166" s="1392"/>
      <c r="CF166" s="1393"/>
      <c r="CG166" s="1394"/>
      <c r="CH166" s="1392"/>
      <c r="CI166" s="1294"/>
      <c r="CJ166" s="1254"/>
      <c r="CK166" s="1295"/>
      <c r="CL166" s="1318"/>
      <c r="CM166" s="1297"/>
      <c r="CN166" s="1295"/>
      <c r="CO166" s="1295"/>
      <c r="CP166" s="1294"/>
      <c r="CQ166" s="1254"/>
      <c r="CR166" s="1295"/>
      <c r="CS166" s="1318"/>
      <c r="CT166" s="1297"/>
      <c r="CU166" s="1295"/>
      <c r="CV166" s="1299"/>
      <c r="CW166" s="1306">
        <f>+D166+Y166+AF166+AM166+AT166+BA166+BH166</f>
        <v>2680</v>
      </c>
      <c r="CX166" s="1307">
        <f>+CW166-CW162</f>
        <v>28</v>
      </c>
      <c r="CY166" s="1295">
        <f>+(CW166/CW159-1)*100</f>
        <v>4.605776736924283</v>
      </c>
      <c r="CZ166" s="1297"/>
      <c r="DA166" s="1297"/>
      <c r="DB166" s="1318">
        <v>78.8</v>
      </c>
      <c r="DC166" s="1297"/>
      <c r="DD166" s="1295">
        <f>+(DB166/DB159-1)*100</f>
        <v>4.2328042328042326</v>
      </c>
      <c r="DE166" s="1266"/>
      <c r="DF166" s="1350">
        <f>+D166/$CW166</f>
        <v>0.63097014925373129</v>
      </c>
      <c r="DG166" s="1351"/>
      <c r="DH166" s="1351"/>
      <c r="DI166" s="1350">
        <f>+Y166/$CW166</f>
        <v>7.6865671641791047E-2</v>
      </c>
      <c r="DJ166" s="1350">
        <f>+AF166/CW166</f>
        <v>8.8805970149253732E-2</v>
      </c>
      <c r="DK166" s="1350">
        <f>+AM166/CW166</f>
        <v>0.12014925373134329</v>
      </c>
      <c r="DL166" s="1350">
        <f>+AT166/CW166</f>
        <v>5.2238805970149252E-2</v>
      </c>
      <c r="DM166" s="1350">
        <f>+BA166/$CW166</f>
        <v>2.7985074626865673E-2</v>
      </c>
      <c r="DN166" s="1350">
        <f>+BH166/$CW166</f>
        <v>2.9850746268656717E-3</v>
      </c>
      <c r="DO166" s="1350"/>
      <c r="DP166" s="1350"/>
      <c r="DQ166" s="1350"/>
      <c r="DR166" s="1395"/>
      <c r="DS166" s="1333">
        <f t="shared" si="16"/>
        <v>8</v>
      </c>
      <c r="DT166" s="1333">
        <f t="shared" si="17"/>
        <v>3</v>
      </c>
      <c r="DU166" s="1333">
        <f t="shared" si="18"/>
        <v>4</v>
      </c>
      <c r="DV166" s="1333">
        <f t="shared" si="19"/>
        <v>3</v>
      </c>
      <c r="DW166" s="1333">
        <f t="shared" si="20"/>
        <v>4</v>
      </c>
      <c r="DX166" s="1333">
        <f t="shared" si="21"/>
        <v>5</v>
      </c>
      <c r="DY166" s="1333">
        <f t="shared" si="22"/>
        <v>0</v>
      </c>
      <c r="DZ166" s="1333">
        <f t="shared" si="23"/>
        <v>1</v>
      </c>
      <c r="EA166" s="1333">
        <f t="shared" si="24"/>
        <v>0</v>
      </c>
      <c r="EB166" s="1333">
        <f t="shared" si="25"/>
        <v>0</v>
      </c>
      <c r="ED166" s="451">
        <f>-(SUMIF(DS166:EB166,"&lt;0"))</f>
        <v>0</v>
      </c>
      <c r="EE166" s="451">
        <f>(SUMIF(DS166:EB166,"&gt;0"))</f>
        <v>28</v>
      </c>
      <c r="EF166" s="451">
        <f>+EE166-ED166</f>
        <v>28</v>
      </c>
      <c r="EG166" s="1333">
        <f>+EF166-CX166</f>
        <v>0</v>
      </c>
    </row>
    <row r="167" spans="1:137" ht="15">
      <c r="A167" s="1266" t="str">
        <f>$A$18</f>
        <v>2Q</v>
      </c>
      <c r="B167" s="1266" t="str">
        <f>$B$18</f>
        <v>Jul</v>
      </c>
      <c r="C167" s="1266"/>
      <c r="D167" s="1294">
        <f t="shared" si="30"/>
        <v>1693</v>
      </c>
      <c r="E167" s="1255">
        <f t="shared" si="30"/>
        <v>2</v>
      </c>
      <c r="F167" s="1295">
        <f>+(D167/D160-1)*100</f>
        <v>2.8554070473876036</v>
      </c>
      <c r="G167" s="1296">
        <f>+N167+U167</f>
        <v>51.8</v>
      </c>
      <c r="H167" s="1297"/>
      <c r="I167" s="1295">
        <f>+(G167/G160-1)*100</f>
        <v>2.5742574257425765</v>
      </c>
      <c r="J167" s="1309"/>
      <c r="K167" s="1294">
        <f>+K166+L167</f>
        <v>882</v>
      </c>
      <c r="L167" s="1254">
        <v>0</v>
      </c>
      <c r="M167" s="1295">
        <f>+(K167/K160-1)*100</f>
        <v>2.6775320139697412</v>
      </c>
      <c r="N167" s="1318">
        <v>26.2</v>
      </c>
      <c r="O167" s="1297"/>
      <c r="P167" s="1295">
        <f>+(N167/N160-1)*100</f>
        <v>2.7450980392156765</v>
      </c>
      <c r="Q167" s="1299"/>
      <c r="R167" s="1294">
        <f>+R166+S167</f>
        <v>811</v>
      </c>
      <c r="S167" s="1254">
        <v>2</v>
      </c>
      <c r="T167" s="1295">
        <f>+(R167/R160-1)*100</f>
        <v>3.0495552731893305</v>
      </c>
      <c r="U167" s="1318">
        <v>25.6</v>
      </c>
      <c r="V167" s="1297"/>
      <c r="W167" s="1295">
        <f>+(U167/U160-1)*100</f>
        <v>2.4000000000000021</v>
      </c>
      <c r="X167" s="1299"/>
      <c r="Y167" s="1294">
        <f>+Y166+Z167</f>
        <v>206</v>
      </c>
      <c r="Z167" s="1254">
        <v>0</v>
      </c>
      <c r="AA167" s="1295">
        <f>+(Y167/Y160-1)*100</f>
        <v>5.1020408163265252</v>
      </c>
      <c r="AB167" s="1318">
        <v>6</v>
      </c>
      <c r="AC167" s="1297"/>
      <c r="AD167" s="1295"/>
      <c r="AE167" s="1299"/>
      <c r="AF167" s="1294">
        <f>+AF166+AG167</f>
        <v>244</v>
      </c>
      <c r="AG167" s="1254">
        <v>6</v>
      </c>
      <c r="AH167" s="1295">
        <f>+(AF167/AF160-1)*100</f>
        <v>5.6277056277056259</v>
      </c>
      <c r="AI167" s="1318">
        <v>7.9</v>
      </c>
      <c r="AJ167" s="1297"/>
      <c r="AK167" s="1295">
        <f>+(AI167/AI160-1)*100</f>
        <v>8.2191780821917924</v>
      </c>
      <c r="AL167" s="1299"/>
      <c r="AM167" s="1294">
        <f>+AM166+AN167</f>
        <v>323</v>
      </c>
      <c r="AN167" s="1254">
        <v>1</v>
      </c>
      <c r="AO167" s="1295">
        <f>+(AM167/AM160-1)*100</f>
        <v>8.7542087542087579</v>
      </c>
      <c r="AP167" s="1318">
        <v>8</v>
      </c>
      <c r="AQ167" s="1297"/>
      <c r="AR167" s="1295">
        <f>+(AP167/AP160-1)*100</f>
        <v>9.5890410958904049</v>
      </c>
      <c r="AS167" s="1299"/>
      <c r="AT167" s="1294">
        <f>+AT166+AU167</f>
        <v>141</v>
      </c>
      <c r="AU167" s="1254">
        <v>1</v>
      </c>
      <c r="AV167" s="1295">
        <f>+(AT167/AT160-1)*100</f>
        <v>6.8181818181818121</v>
      </c>
      <c r="AW167" s="1318">
        <v>3.6</v>
      </c>
      <c r="AX167" s="1297"/>
      <c r="AY167" s="1295">
        <f>+(AW167/AW160-1)*100</f>
        <v>5.8823529411764719</v>
      </c>
      <c r="AZ167" s="1299"/>
      <c r="BA167" s="1294">
        <f>+BA166+BB167</f>
        <v>75</v>
      </c>
      <c r="BB167" s="1254">
        <v>0</v>
      </c>
      <c r="BC167" s="1295">
        <f>+(BA167/BA160-1)*100</f>
        <v>-3.8461538461538436</v>
      </c>
      <c r="BD167" s="1318">
        <v>1.8</v>
      </c>
      <c r="BE167" s="1297"/>
      <c r="BF167" s="1295">
        <f>+(BD167/BD160-1)*100</f>
        <v>-5.2631578947368478</v>
      </c>
      <c r="BG167" s="1295"/>
      <c r="BH167" s="1294">
        <f>+BH166+BI167</f>
        <v>8</v>
      </c>
      <c r="BI167" s="1254">
        <v>0</v>
      </c>
      <c r="BJ167" s="1295"/>
      <c r="BK167" s="1318">
        <v>0.2</v>
      </c>
      <c r="BL167" s="1297"/>
      <c r="BM167" s="1295"/>
      <c r="BN167" s="1295"/>
      <c r="BO167" s="1294"/>
      <c r="BP167" s="1254"/>
      <c r="BQ167" s="1295"/>
      <c r="BR167" s="1318"/>
      <c r="BS167" s="1297"/>
      <c r="BT167" s="1295"/>
      <c r="BU167" s="1295"/>
      <c r="BV167" s="1340">
        <f>+BV166+BW167</f>
        <v>3</v>
      </c>
      <c r="BW167" s="1358">
        <v>0</v>
      </c>
      <c r="BX167" s="1357"/>
      <c r="BY167" s="1359">
        <f>BY166+BW167*$BE$163/1000</f>
        <v>1.4285714285714287E-2</v>
      </c>
      <c r="BZ167" s="1360"/>
      <c r="CA167" s="1357"/>
      <c r="CB167" s="1299"/>
      <c r="CC167" s="1390"/>
      <c r="CD167" s="1391"/>
      <c r="CE167" s="1392"/>
      <c r="CF167" s="1393"/>
      <c r="CG167" s="1394"/>
      <c r="CH167" s="1392"/>
      <c r="CI167" s="1294"/>
      <c r="CJ167" s="1254"/>
      <c r="CK167" s="1295"/>
      <c r="CL167" s="1318"/>
      <c r="CM167" s="1297"/>
      <c r="CN167" s="1295"/>
      <c r="CO167" s="1295"/>
      <c r="CP167" s="1294"/>
      <c r="CQ167" s="1254"/>
      <c r="CR167" s="1295"/>
      <c r="CS167" s="1318"/>
      <c r="CT167" s="1297"/>
      <c r="CU167" s="1295"/>
      <c r="CV167" s="1299"/>
      <c r="CW167" s="1306">
        <f>+D167+Y167+AF167+AM167+AT167+BA167+BH167</f>
        <v>2690</v>
      </c>
      <c r="CX167" s="1307">
        <f>+CW167-CW166</f>
        <v>10</v>
      </c>
      <c r="CY167" s="1295">
        <f>+(CW167/CW160-1)*100</f>
        <v>4.2635658914728758</v>
      </c>
      <c r="CZ167" s="1297"/>
      <c r="DA167" s="1297"/>
      <c r="DB167" s="1318">
        <v>79.2</v>
      </c>
      <c r="DC167" s="1297"/>
      <c r="DD167" s="1295">
        <f>+(DB167/DB160-1)*100</f>
        <v>4.0735873850197057</v>
      </c>
      <c r="DE167" s="1266"/>
      <c r="DF167" s="1350">
        <f>+D167/$CW167</f>
        <v>0.6293680297397769</v>
      </c>
      <c r="DG167" s="1351"/>
      <c r="DH167" s="1351"/>
      <c r="DI167" s="1350">
        <f>+Y167/$CW167</f>
        <v>7.6579925650557615E-2</v>
      </c>
      <c r="DJ167" s="1350">
        <f>+AF167/CW167</f>
        <v>9.0706319702602234E-2</v>
      </c>
      <c r="DK167" s="1350">
        <f>+AM167/CW167</f>
        <v>0.12007434944237919</v>
      </c>
      <c r="DL167" s="1350">
        <f>+AT167/CW167</f>
        <v>5.241635687732342E-2</v>
      </c>
      <c r="DM167" s="1350">
        <f>+BA167/$CW167</f>
        <v>2.7881040892193308E-2</v>
      </c>
      <c r="DN167" s="1350">
        <f>+BH167/$CW167</f>
        <v>2.9739776951672862E-3</v>
      </c>
      <c r="DO167" s="1350"/>
      <c r="DP167" s="1350"/>
      <c r="DQ167" s="1350"/>
      <c r="DR167" s="1395"/>
      <c r="DS167" s="1333">
        <f t="shared" si="16"/>
        <v>0</v>
      </c>
      <c r="DT167" s="1333">
        <f t="shared" si="17"/>
        <v>2</v>
      </c>
      <c r="DU167" s="1333">
        <f t="shared" si="18"/>
        <v>0</v>
      </c>
      <c r="DV167" s="1333">
        <f t="shared" si="19"/>
        <v>6</v>
      </c>
      <c r="DW167" s="1333">
        <f t="shared" si="20"/>
        <v>1</v>
      </c>
      <c r="DX167" s="1333">
        <f t="shared" si="21"/>
        <v>1</v>
      </c>
      <c r="DY167" s="1333">
        <f t="shared" si="22"/>
        <v>0</v>
      </c>
      <c r="DZ167" s="1333">
        <f t="shared" si="23"/>
        <v>0</v>
      </c>
      <c r="EA167" s="1333">
        <f t="shared" si="24"/>
        <v>0</v>
      </c>
      <c r="EB167" s="1333">
        <f t="shared" si="25"/>
        <v>0</v>
      </c>
      <c r="ED167" s="451">
        <f>-(SUMIF(DS167:EB167,"&lt;0"))</f>
        <v>0</v>
      </c>
      <c r="EE167" s="451">
        <f>(SUMIF(DS167:EB167,"&gt;0"))</f>
        <v>10</v>
      </c>
      <c r="EF167" s="451">
        <f>+EE167-ED167</f>
        <v>10</v>
      </c>
      <c r="EG167" s="1333">
        <f>+EF167-CX167</f>
        <v>0</v>
      </c>
    </row>
    <row r="168" spans="1:137" ht="15">
      <c r="A168" s="1266" t="str">
        <f>$A$19</f>
        <v>3Q</v>
      </c>
      <c r="B168" s="1266" t="str">
        <f>$B$19</f>
        <v>Oct</v>
      </c>
      <c r="C168" s="1266"/>
      <c r="D168" s="1294">
        <f t="shared" si="30"/>
        <v>1709</v>
      </c>
      <c r="E168" s="1255">
        <f t="shared" si="30"/>
        <v>16</v>
      </c>
      <c r="F168" s="1295">
        <f>+(D168/D161-1)*100</f>
        <v>1.7867778439547344</v>
      </c>
      <c r="G168" s="1296">
        <f>+N168+U168</f>
        <v>52.3</v>
      </c>
      <c r="H168" s="1297"/>
      <c r="I168" s="1295">
        <f>+(G168/G161-1)*100</f>
        <v>1.7509727626459082</v>
      </c>
      <c r="J168" s="1266"/>
      <c r="K168" s="1294">
        <f>+K167+L168</f>
        <v>889</v>
      </c>
      <c r="L168" s="1254">
        <v>7</v>
      </c>
      <c r="M168" s="1295">
        <f>+(K168/K161-1)*100</f>
        <v>1.9495412844036775</v>
      </c>
      <c r="N168" s="1318">
        <v>26.4</v>
      </c>
      <c r="O168" s="1297"/>
      <c r="P168" s="1295">
        <f>+(N168/N161-1)*100</f>
        <v>1.9305019305019266</v>
      </c>
      <c r="Q168" s="1299"/>
      <c r="R168" s="1294">
        <f>+R167+S168</f>
        <v>820</v>
      </c>
      <c r="S168" s="1254">
        <v>9</v>
      </c>
      <c r="T168" s="1295">
        <f>+(R168/R161-1)*100</f>
        <v>1.6109045848822889</v>
      </c>
      <c r="U168" s="1318">
        <v>25.9</v>
      </c>
      <c r="V168" s="1297"/>
      <c r="W168" s="1295">
        <f>+(U168/U161-1)*100</f>
        <v>1.5686274509803866</v>
      </c>
      <c r="X168" s="1299"/>
      <c r="Y168" s="1294">
        <f>+Y167+Z168</f>
        <v>211</v>
      </c>
      <c r="Z168" s="1254">
        <v>5</v>
      </c>
      <c r="AA168" s="1295">
        <f>+(Y168/Y161-1)*100</f>
        <v>4.9751243781094523</v>
      </c>
      <c r="AB168" s="1318">
        <v>6.9</v>
      </c>
      <c r="AC168" s="1297"/>
      <c r="AD168" s="1295"/>
      <c r="AE168" s="1299"/>
      <c r="AF168" s="1294">
        <f>+AF167+AG168</f>
        <v>262</v>
      </c>
      <c r="AG168" s="1254">
        <v>18</v>
      </c>
      <c r="AH168" s="1295">
        <f>+(AF168/AF161-1)*100</f>
        <v>11.489361702127665</v>
      </c>
      <c r="AI168" s="1318">
        <v>8.4</v>
      </c>
      <c r="AJ168" s="1297"/>
      <c r="AK168" s="1295">
        <f>+(AI168/AI161-1)*100</f>
        <v>13.513513513513509</v>
      </c>
      <c r="AL168" s="1299"/>
      <c r="AM168" s="1294">
        <f>+AM167+AN168</f>
        <v>324</v>
      </c>
      <c r="AN168" s="1254">
        <v>1</v>
      </c>
      <c r="AO168" s="1295">
        <f>+(AM168/AM161-1)*100</f>
        <v>2.857142857142847</v>
      </c>
      <c r="AP168" s="1318">
        <v>8</v>
      </c>
      <c r="AQ168" s="1297"/>
      <c r="AR168" s="1295">
        <f>+(AP168/AP161-1)*100</f>
        <v>2.5641025641025772</v>
      </c>
      <c r="AS168" s="1299"/>
      <c r="AT168" s="1294">
        <f>+AT167+AU168</f>
        <v>148</v>
      </c>
      <c r="AU168" s="1254">
        <v>7</v>
      </c>
      <c r="AV168" s="1295">
        <f>+(AT168/AT161-1)*100</f>
        <v>9.6296296296296333</v>
      </c>
      <c r="AW168" s="1318">
        <v>3.8</v>
      </c>
      <c r="AX168" s="1297"/>
      <c r="AY168" s="1295">
        <f>+(AW168/AW161-1)*100</f>
        <v>11.764705882352944</v>
      </c>
      <c r="AZ168" s="1299"/>
      <c r="BA168" s="1294">
        <f>+BA167+BB168</f>
        <v>79</v>
      </c>
      <c r="BB168" s="1254">
        <v>4</v>
      </c>
      <c r="BC168" s="1295">
        <f>+(BA168/BA161-1)*100</f>
        <v>-4.8192771084337398</v>
      </c>
      <c r="BD168" s="1318">
        <v>1.9</v>
      </c>
      <c r="BE168" s="1297"/>
      <c r="BF168" s="1295">
        <f>+(BD168/BD161-1)*100</f>
        <v>-9.5238095238095344</v>
      </c>
      <c r="BG168" s="1295"/>
      <c r="BH168" s="1294">
        <f>+BH167+BI168</f>
        <v>14</v>
      </c>
      <c r="BI168" s="1254">
        <v>6</v>
      </c>
      <c r="BJ168" s="1295"/>
      <c r="BK168" s="1318">
        <v>0.3</v>
      </c>
      <c r="BL168" s="1297"/>
      <c r="BM168" s="1295"/>
      <c r="BN168" s="1295"/>
      <c r="BO168" s="1294"/>
      <c r="BP168" s="1254"/>
      <c r="BQ168" s="1295"/>
      <c r="BR168" s="1318"/>
      <c r="BS168" s="1297"/>
      <c r="BT168" s="1295"/>
      <c r="BU168" s="1295"/>
      <c r="BV168" s="1340">
        <f>+BV167+BW168</f>
        <v>3</v>
      </c>
      <c r="BW168" s="1358">
        <v>0</v>
      </c>
      <c r="BX168" s="1357">
        <f>+(BV168/BV161-1)*100</f>
        <v>50</v>
      </c>
      <c r="BY168" s="1359">
        <f>BY167+BW168*$BE$163/1000</f>
        <v>1.4285714285714287E-2</v>
      </c>
      <c r="BZ168" s="1360"/>
      <c r="CA168" s="1357"/>
      <c r="CB168" s="1299"/>
      <c r="CC168" s="1390"/>
      <c r="CD168" s="1391"/>
      <c r="CE168" s="1392"/>
      <c r="CF168" s="1393"/>
      <c r="CG168" s="1394"/>
      <c r="CH168" s="1392"/>
      <c r="CI168" s="1294"/>
      <c r="CJ168" s="1254"/>
      <c r="CK168" s="1295"/>
      <c r="CL168" s="1318"/>
      <c r="CM168" s="1297"/>
      <c r="CN168" s="1295"/>
      <c r="CO168" s="1295"/>
      <c r="CP168" s="1294"/>
      <c r="CQ168" s="1254"/>
      <c r="CR168" s="1295"/>
      <c r="CS168" s="1318"/>
      <c r="CT168" s="1297"/>
      <c r="CU168" s="1295"/>
      <c r="CV168" s="1299"/>
      <c r="CW168" s="1306">
        <f>+D168+Y168+AF168+AM168+AT168+BA168+BH168</f>
        <v>2747</v>
      </c>
      <c r="CX168" s="1307">
        <f>+CW168-CW167</f>
        <v>57</v>
      </c>
      <c r="CY168" s="1295">
        <f>+(CW168/CW161-1)*100</f>
        <v>3.7386706948640436</v>
      </c>
      <c r="CZ168" s="1297"/>
      <c r="DA168" s="1297"/>
      <c r="DB168" s="1318">
        <v>81.5</v>
      </c>
      <c r="DC168" s="1297"/>
      <c r="DD168" s="1295">
        <f>+(DB168/DB161-1)*100</f>
        <v>4.4871794871795156</v>
      </c>
      <c r="DE168" s="1266"/>
      <c r="DF168" s="1350">
        <f>+D168/$CW168</f>
        <v>0.62213323625773576</v>
      </c>
      <c r="DG168" s="1351"/>
      <c r="DH168" s="1351"/>
      <c r="DI168" s="1350">
        <f>+Y168/$CW168</f>
        <v>7.6811066618128865E-2</v>
      </c>
      <c r="DJ168" s="1350">
        <f>+AF168/CW168</f>
        <v>9.5376774663269021E-2</v>
      </c>
      <c r="DK168" s="1350">
        <f>+AM168/CW168</f>
        <v>0.11794685111030215</v>
      </c>
      <c r="DL168" s="1350">
        <f>+AT168/CW168</f>
        <v>5.3876956680014562E-2</v>
      </c>
      <c r="DM168" s="1350">
        <f>+BA168/$CW168</f>
        <v>2.8758645795413179E-2</v>
      </c>
      <c r="DN168" s="1350">
        <f>+BH168/$CW168</f>
        <v>5.0964688751365126E-3</v>
      </c>
      <c r="DO168" s="1350"/>
      <c r="DP168" s="1350"/>
      <c r="DQ168" s="1350"/>
      <c r="DR168" s="1395"/>
      <c r="DS168" s="1333">
        <f t="shared" si="16"/>
        <v>7</v>
      </c>
      <c r="DT168" s="1333">
        <f t="shared" si="17"/>
        <v>9</v>
      </c>
      <c r="DU168" s="1333">
        <f t="shared" si="18"/>
        <v>5</v>
      </c>
      <c r="DV168" s="1333">
        <f t="shared" si="19"/>
        <v>18</v>
      </c>
      <c r="DW168" s="1333">
        <f t="shared" si="20"/>
        <v>1</v>
      </c>
      <c r="DX168" s="1333">
        <f t="shared" si="21"/>
        <v>7</v>
      </c>
      <c r="DY168" s="1333">
        <f t="shared" si="22"/>
        <v>4</v>
      </c>
      <c r="DZ168" s="1333">
        <f t="shared" si="23"/>
        <v>6</v>
      </c>
      <c r="EA168" s="1333">
        <f t="shared" si="24"/>
        <v>0</v>
      </c>
      <c r="EB168" s="1333">
        <f t="shared" si="25"/>
        <v>0</v>
      </c>
      <c r="ED168" s="451">
        <f>-(SUMIF(DS168:EB168,"&lt;0"))</f>
        <v>0</v>
      </c>
      <c r="EE168" s="451">
        <f>(SUMIF(DS168:EB168,"&gt;0"))</f>
        <v>57</v>
      </c>
      <c r="EF168" s="451">
        <f>+EE168-ED168</f>
        <v>57</v>
      </c>
      <c r="EG168" s="1333">
        <f>+EF168-CX168</f>
        <v>0</v>
      </c>
    </row>
    <row r="169" spans="1:137" ht="15">
      <c r="A169" s="1266" t="str">
        <f>$A$20</f>
        <v>4Q</v>
      </c>
      <c r="B169" s="1266" t="str">
        <f>$B$20</f>
        <v>Jan</v>
      </c>
      <c r="C169" s="1266"/>
      <c r="D169" s="1312">
        <f t="shared" si="30"/>
        <v>1703</v>
      </c>
      <c r="E169" s="1255">
        <f t="shared" si="30"/>
        <v>-6</v>
      </c>
      <c r="F169" s="1295">
        <f>+(D169/D162-1)*100</f>
        <v>1.3690476190476142</v>
      </c>
      <c r="G169" s="1313">
        <f>+N169+U169</f>
        <v>52.099999999999994</v>
      </c>
      <c r="H169" s="1297"/>
      <c r="I169" s="1295">
        <f>+(G169/G162-1)*100</f>
        <v>1.3618677042801508</v>
      </c>
      <c r="J169" s="1266"/>
      <c r="K169" s="1312">
        <f>+K170</f>
        <v>890</v>
      </c>
      <c r="L169" s="1255">
        <f>+K169-K168</f>
        <v>1</v>
      </c>
      <c r="M169" s="1295">
        <f>+(K169/K162-1)*100</f>
        <v>1.8306636155606348</v>
      </c>
      <c r="N169" s="1334">
        <v>26.4</v>
      </c>
      <c r="O169" s="1297"/>
      <c r="P169" s="1295">
        <f>+(N169/N162-1)*100</f>
        <v>1.9305019305019266</v>
      </c>
      <c r="Q169" s="1299"/>
      <c r="R169" s="1312">
        <f>+R170</f>
        <v>813</v>
      </c>
      <c r="S169" s="1255">
        <f>+R169-R168</f>
        <v>-7</v>
      </c>
      <c r="T169" s="1295">
        <f>+(R169/R162-1)*100</f>
        <v>0.86848635235732274</v>
      </c>
      <c r="U169" s="1334">
        <v>25.7</v>
      </c>
      <c r="V169" s="1297"/>
      <c r="W169" s="1295">
        <f>+(U169/U162-1)*100</f>
        <v>0.78431372549019329</v>
      </c>
      <c r="X169" s="1299"/>
      <c r="Y169" s="1312">
        <f>+Y170</f>
        <v>211</v>
      </c>
      <c r="Z169" s="1255">
        <f>+Y169-Y168</f>
        <v>0</v>
      </c>
      <c r="AA169" s="1295">
        <f>+(Y169/Y162-1)*100</f>
        <v>4.4554455445544594</v>
      </c>
      <c r="AB169" s="1334">
        <v>6.1</v>
      </c>
      <c r="AC169" s="1297"/>
      <c r="AD169" s="1295">
        <f>+(AB169/AB162-1)*100</f>
        <v>3.3898305084745672</v>
      </c>
      <c r="AE169" s="1299"/>
      <c r="AF169" s="1312">
        <f>+AF170</f>
        <v>263</v>
      </c>
      <c r="AG169" s="1255">
        <f>+AF169-AF168</f>
        <v>1</v>
      </c>
      <c r="AH169" s="1295">
        <f>+(AF169/AF162-1)*100</f>
        <v>11.914893617021271</v>
      </c>
      <c r="AI169" s="1334">
        <v>8.5</v>
      </c>
      <c r="AJ169" s="1297"/>
      <c r="AK169" s="1295">
        <f>+(AI169/AI162-1)*100</f>
        <v>13.33333333333333</v>
      </c>
      <c r="AL169" s="1299"/>
      <c r="AM169" s="1312">
        <f>+AM170</f>
        <v>323</v>
      </c>
      <c r="AN169" s="1255">
        <f>+AM169-AM168</f>
        <v>-1</v>
      </c>
      <c r="AO169" s="1295">
        <f>+(AM169/AM162-1)*100</f>
        <v>1.572327044025168</v>
      </c>
      <c r="AP169" s="1334">
        <v>8</v>
      </c>
      <c r="AQ169" s="1297"/>
      <c r="AR169" s="1295">
        <f>+(AP169/AP162-1)*100</f>
        <v>1.2658227848101111</v>
      </c>
      <c r="AS169" s="1299"/>
      <c r="AT169" s="1312">
        <f>+AT170</f>
        <v>150</v>
      </c>
      <c r="AU169" s="1255">
        <f>+AT169-AT168</f>
        <v>2</v>
      </c>
      <c r="AV169" s="1295">
        <f>+(AT169/AT162-1)*100</f>
        <v>11.111111111111116</v>
      </c>
      <c r="AW169" s="1334">
        <v>3.8</v>
      </c>
      <c r="AX169" s="1297"/>
      <c r="AY169" s="1295">
        <f>+(AW169/AW162-1)*100</f>
        <v>11.764705882352944</v>
      </c>
      <c r="AZ169" s="1299"/>
      <c r="BA169" s="1312">
        <f>+BA170</f>
        <v>79</v>
      </c>
      <c r="BB169" s="1255">
        <f>+BA169-BA168</f>
        <v>0</v>
      </c>
      <c r="BC169" s="1295">
        <f>+(BA169/BA162-1)*100</f>
        <v>5.3333333333333233</v>
      </c>
      <c r="BD169" s="1334">
        <v>1.9</v>
      </c>
      <c r="BE169" s="1297"/>
      <c r="BF169" s="1295">
        <f>+(BD169/BD162-1)*100</f>
        <v>5.555555555555558</v>
      </c>
      <c r="BG169" s="1295"/>
      <c r="BH169" s="1312">
        <f>+BH170</f>
        <v>14</v>
      </c>
      <c r="BI169" s="1255">
        <f>+BH169-BH168</f>
        <v>0</v>
      </c>
      <c r="BJ169" s="1295">
        <f>+(BH169/BH162-1)*100</f>
        <v>100</v>
      </c>
      <c r="BK169" s="1334">
        <v>0.3</v>
      </c>
      <c r="BL169" s="1297"/>
      <c r="BM169" s="1295">
        <f>+(BK169/BK162-1)*100</f>
        <v>199.99999999999994</v>
      </c>
      <c r="BN169" s="1295"/>
      <c r="BO169" s="1312"/>
      <c r="BP169" s="1255"/>
      <c r="BQ169" s="1295"/>
      <c r="BR169" s="1334"/>
      <c r="BS169" s="1297"/>
      <c r="BT169" s="1295"/>
      <c r="BU169" s="1295"/>
      <c r="BV169" s="1361">
        <f>+BV170</f>
        <v>3</v>
      </c>
      <c r="BW169" s="1358">
        <f>+BV169-BV168</f>
        <v>0</v>
      </c>
      <c r="BX169" s="1357">
        <f>+(BV169/BV162-1)*100</f>
        <v>50</v>
      </c>
      <c r="BY169" s="1362">
        <f>BY168+BW169*$BE$163/1000</f>
        <v>1.4285714285714287E-2</v>
      </c>
      <c r="BZ169" s="1360"/>
      <c r="CA169" s="1357"/>
      <c r="CB169" s="1299"/>
      <c r="CC169" s="1396"/>
      <c r="CD169" s="1391"/>
      <c r="CE169" s="1392"/>
      <c r="CF169" s="1397"/>
      <c r="CG169" s="1394"/>
      <c r="CH169" s="1392"/>
      <c r="CI169" s="1312"/>
      <c r="CJ169" s="1255"/>
      <c r="CK169" s="1295"/>
      <c r="CL169" s="1334"/>
      <c r="CM169" s="1297"/>
      <c r="CN169" s="1295"/>
      <c r="CO169" s="1295"/>
      <c r="CP169" s="1312"/>
      <c r="CQ169" s="1255"/>
      <c r="CR169" s="1295"/>
      <c r="CS169" s="1334"/>
      <c r="CT169" s="1297"/>
      <c r="CU169" s="1295"/>
      <c r="CV169" s="1299"/>
      <c r="CW169" s="1312">
        <f>+D169+Y169+AF169+AM169+AT169+BA169+BH169</f>
        <v>2743</v>
      </c>
      <c r="CX169" s="1307">
        <f>+CW169-CW168</f>
        <v>-4</v>
      </c>
      <c r="CY169" s="1295">
        <f>+(CW169/CW162-1)*100</f>
        <v>3.4313725490196179</v>
      </c>
      <c r="CZ169" s="1297"/>
      <c r="DA169" s="1297"/>
      <c r="DB169" s="1334">
        <v>80.7</v>
      </c>
      <c r="DC169" s="1297"/>
      <c r="DD169" s="1295">
        <f>+(DB169/DB162-1)*100</f>
        <v>3.4615384615384714</v>
      </c>
      <c r="DE169" s="1266"/>
      <c r="DF169" s="1350">
        <f>+D169/$CW169</f>
        <v>0.62085308056872035</v>
      </c>
      <c r="DG169" s="1351"/>
      <c r="DH169" s="1351"/>
      <c r="DI169" s="1350">
        <f>+Y169/$CW169</f>
        <v>7.6923076923076927E-2</v>
      </c>
      <c r="DJ169" s="1350">
        <f>+AF169/CW169</f>
        <v>9.588042289464091E-2</v>
      </c>
      <c r="DK169" s="1350">
        <f>+AM169/CW169</f>
        <v>0.11775428363106089</v>
      </c>
      <c r="DL169" s="1350">
        <f>+AT169/CW169</f>
        <v>5.4684651841049946E-2</v>
      </c>
      <c r="DM169" s="1350">
        <f>+BA169/$CW169</f>
        <v>2.8800583302952973E-2</v>
      </c>
      <c r="DN169" s="1350">
        <f>+BH169/$CW169</f>
        <v>5.1039008384979948E-3</v>
      </c>
      <c r="DO169" s="1350"/>
      <c r="DP169" s="1350"/>
      <c r="DQ169" s="1350"/>
      <c r="DR169" s="1395"/>
      <c r="DS169" s="1333">
        <f t="shared" si="16"/>
        <v>1</v>
      </c>
      <c r="DT169" s="1333">
        <f t="shared" si="17"/>
        <v>-7</v>
      </c>
      <c r="DU169" s="1333">
        <f t="shared" si="18"/>
        <v>0</v>
      </c>
      <c r="DV169" s="1333">
        <f t="shared" si="19"/>
        <v>1</v>
      </c>
      <c r="DW169" s="1333">
        <f t="shared" si="20"/>
        <v>-1</v>
      </c>
      <c r="DX169" s="1333">
        <f t="shared" si="21"/>
        <v>2</v>
      </c>
      <c r="DY169" s="1333">
        <f t="shared" si="22"/>
        <v>0</v>
      </c>
      <c r="DZ169" s="1333">
        <f t="shared" si="23"/>
        <v>0</v>
      </c>
      <c r="EA169" s="1333">
        <f t="shared" si="24"/>
        <v>0</v>
      </c>
      <c r="EB169" s="1333">
        <f t="shared" si="25"/>
        <v>0</v>
      </c>
      <c r="ED169" s="451">
        <f>-(SUMIF(DS169:EB169,"&lt;0"))</f>
        <v>8</v>
      </c>
      <c r="EE169" s="451">
        <f>(SUMIF(DS169:EB169,"&gt;0"))</f>
        <v>4</v>
      </c>
      <c r="EF169" s="451">
        <f>+EE169-ED169</f>
        <v>-4</v>
      </c>
      <c r="EG169" s="1333">
        <f>+EF169-CX169</f>
        <v>0</v>
      </c>
    </row>
    <row r="170" spans="1:137" ht="15">
      <c r="A170" s="1266"/>
      <c r="B170" s="1266" t="str">
        <f>$B$21</f>
        <v>Year</v>
      </c>
      <c r="C170" s="1266"/>
      <c r="D170" s="1306">
        <f>+D169</f>
        <v>1703</v>
      </c>
      <c r="E170" s="1317">
        <f>+D170-D163</f>
        <v>23</v>
      </c>
      <c r="F170" s="1295">
        <f>+(D170/D163-1)*100</f>
        <v>1.3690476190476142</v>
      </c>
      <c r="G170" s="1296">
        <f>+N170+U170</f>
        <v>52.099999999999994</v>
      </c>
      <c r="H170" s="1297">
        <f>+G170/D170*1000</f>
        <v>30.593071051086316</v>
      </c>
      <c r="I170" s="1295">
        <f>+(G170/G163-1)*100</f>
        <v>1.3618677042801508</v>
      </c>
      <c r="J170" s="1266"/>
      <c r="K170" s="1306">
        <f>+L170+K163</f>
        <v>890</v>
      </c>
      <c r="L170" s="1256">
        <v>16</v>
      </c>
      <c r="M170" s="1295">
        <f>+(K170/K163-1)*100</f>
        <v>1.8306636155606348</v>
      </c>
      <c r="N170" s="1296">
        <f>N169:N169</f>
        <v>26.4</v>
      </c>
      <c r="O170" s="1317">
        <f>+N170/K170*1000</f>
        <v>29.662921348314605</v>
      </c>
      <c r="P170" s="1295">
        <f>+(N170/N163-1)*100</f>
        <v>1.9305019305019266</v>
      </c>
      <c r="Q170" s="1299"/>
      <c r="R170" s="1306">
        <f>+S170+R163</f>
        <v>813</v>
      </c>
      <c r="S170" s="1256">
        <v>7</v>
      </c>
      <c r="T170" s="1295">
        <f>+(R170/R163-1)*100</f>
        <v>0.86848635235732274</v>
      </c>
      <c r="U170" s="1296">
        <f>U169</f>
        <v>25.7</v>
      </c>
      <c r="V170" s="1317">
        <f>+U170/R170*1000</f>
        <v>31.611316113161134</v>
      </c>
      <c r="W170" s="1295">
        <f>+(U170/U163-1)*100</f>
        <v>0.78431372549019329</v>
      </c>
      <c r="X170" s="1299"/>
      <c r="Y170" s="1306">
        <f>+Z170+Y163</f>
        <v>211</v>
      </c>
      <c r="Z170" s="1256">
        <v>9</v>
      </c>
      <c r="AA170" s="1295">
        <f>+(Y170/Y163-1)*100</f>
        <v>4.4554455445544594</v>
      </c>
      <c r="AB170" s="1296">
        <f>AB169</f>
        <v>6.1</v>
      </c>
      <c r="AC170" s="1317">
        <f>+AB170/Y170*1000</f>
        <v>28.909952606635066</v>
      </c>
      <c r="AD170" s="1295">
        <f>+(AB170/AB163-1)*100</f>
        <v>3.3898305084745672</v>
      </c>
      <c r="AE170" s="1299"/>
      <c r="AF170" s="1306">
        <f>+AG170+AF163</f>
        <v>263</v>
      </c>
      <c r="AG170" s="1256">
        <v>28</v>
      </c>
      <c r="AH170" s="1295">
        <f>+(AF170/AF163-1)*100</f>
        <v>11.914893617021271</v>
      </c>
      <c r="AI170" s="1296">
        <f>AI169</f>
        <v>8.5</v>
      </c>
      <c r="AJ170" s="1317">
        <f>+AI170/AF170*1000</f>
        <v>32.319391634980988</v>
      </c>
      <c r="AK170" s="1295">
        <f>+(AI170/AI163-1)*100</f>
        <v>13.33333333333333</v>
      </c>
      <c r="AL170" s="1299"/>
      <c r="AM170" s="1306">
        <f>+AN170+AM163</f>
        <v>323</v>
      </c>
      <c r="AN170" s="1256">
        <v>5</v>
      </c>
      <c r="AO170" s="1295">
        <f>+(AM170/AM163-1)*100</f>
        <v>1.572327044025168</v>
      </c>
      <c r="AP170" s="1296">
        <f>AP169</f>
        <v>8</v>
      </c>
      <c r="AQ170" s="1317">
        <f>+AP170/AM170*1000</f>
        <v>24.767801857585141</v>
      </c>
      <c r="AR170" s="1295">
        <f>+(AP170/AP163-1)*100</f>
        <v>1.2658227848101111</v>
      </c>
      <c r="AS170" s="1299"/>
      <c r="AT170" s="1306">
        <f>+AU170+AT163</f>
        <v>150</v>
      </c>
      <c r="AU170" s="1256">
        <v>15</v>
      </c>
      <c r="AV170" s="1295">
        <f>+(AT170/AT163-1)*100</f>
        <v>11.111111111111116</v>
      </c>
      <c r="AW170" s="1296">
        <f>AW169</f>
        <v>3.8</v>
      </c>
      <c r="AX170" s="1317">
        <f>+AX163</f>
        <v>26</v>
      </c>
      <c r="AY170" s="1295">
        <f>+(AW170/AW163-1)*100</f>
        <v>11.764705882352944</v>
      </c>
      <c r="AZ170" s="1299"/>
      <c r="BA170" s="1306">
        <f>+BB170+BA163</f>
        <v>79</v>
      </c>
      <c r="BB170" s="1256">
        <v>4</v>
      </c>
      <c r="BC170" s="1295">
        <f>+(BA170/BA163-1)*100</f>
        <v>5.3333333333333233</v>
      </c>
      <c r="BD170" s="1296">
        <f>BD169</f>
        <v>1.9</v>
      </c>
      <c r="BE170" s="1317">
        <f>+BD170/BA170*1000</f>
        <v>24.050632911392405</v>
      </c>
      <c r="BF170" s="1295">
        <f>+(BD170/BD163-1)*100</f>
        <v>5.555555555555558</v>
      </c>
      <c r="BG170" s="1295"/>
      <c r="BH170" s="1306">
        <f>+BI170+BH163</f>
        <v>14</v>
      </c>
      <c r="BI170" s="1256">
        <v>7</v>
      </c>
      <c r="BJ170" s="1295">
        <f>+(BH170/BH163-1)*100</f>
        <v>100</v>
      </c>
      <c r="BK170" s="1296">
        <f>BK169</f>
        <v>0.3</v>
      </c>
      <c r="BL170" s="1317">
        <f>+BK170/BH170*1000</f>
        <v>21.428571428571427</v>
      </c>
      <c r="BM170" s="1295">
        <f>+(BK170/BK163-1)*100</f>
        <v>199.99999999999994</v>
      </c>
      <c r="BN170" s="1295"/>
      <c r="BO170" s="1306"/>
      <c r="BP170" s="1256"/>
      <c r="BQ170" s="1295"/>
      <c r="BR170" s="1296"/>
      <c r="BS170" s="1317"/>
      <c r="BT170" s="1295"/>
      <c r="BU170" s="1295"/>
      <c r="BV170" s="1337">
        <f>+BW170+BV163</f>
        <v>3</v>
      </c>
      <c r="BW170" s="1343">
        <v>1</v>
      </c>
      <c r="BX170" s="1357">
        <f>+(BV170/BV163-1)*100</f>
        <v>50</v>
      </c>
      <c r="BY170" s="1359">
        <f>BY169</f>
        <v>1.4285714285714287E-2</v>
      </c>
      <c r="BZ170" s="1360">
        <f>+BY170/BV170*1000</f>
        <v>4.7619047619047628</v>
      </c>
      <c r="CA170" s="1357"/>
      <c r="CB170" s="1299"/>
      <c r="CC170" s="1398"/>
      <c r="CD170" s="1399"/>
      <c r="CE170" s="1392"/>
      <c r="CF170" s="1393"/>
      <c r="CG170" s="1394"/>
      <c r="CH170" s="1392"/>
      <c r="CI170" s="1306"/>
      <c r="CJ170" s="1256"/>
      <c r="CK170" s="1295"/>
      <c r="CL170" s="1296"/>
      <c r="CM170" s="1317"/>
      <c r="CN170" s="1295"/>
      <c r="CO170" s="1295"/>
      <c r="CP170" s="1306"/>
      <c r="CQ170" s="1256"/>
      <c r="CR170" s="1295"/>
      <c r="CS170" s="1296"/>
      <c r="CT170" s="1317"/>
      <c r="CU170" s="1295"/>
      <c r="CV170" s="1299"/>
      <c r="CW170" s="1306">
        <f>+D170+Y170+AF170+AM170+AT170+BA170+BH170</f>
        <v>2743</v>
      </c>
      <c r="CX170" s="1317">
        <f>+E170+Z170+AG170+AN170+AU170+BB170+BI170</f>
        <v>91</v>
      </c>
      <c r="CY170" s="1295">
        <f>+(CW170/CW163-1)*100</f>
        <v>3.4313725490196179</v>
      </c>
      <c r="CZ170" s="1297"/>
      <c r="DA170" s="1297"/>
      <c r="DB170" s="1296">
        <f>DB169</f>
        <v>80.7</v>
      </c>
      <c r="DC170" s="1297">
        <f>+DB170/CW170*1000</f>
        <v>29.420342690484873</v>
      </c>
      <c r="DD170" s="1295">
        <f>+(DB170/DB163-1)*100</f>
        <v>3.4615384615384714</v>
      </c>
      <c r="DE170" s="1266"/>
      <c r="DF170" s="1350">
        <f>+D170/$CW170</f>
        <v>0.62085308056872035</v>
      </c>
      <c r="DG170" s="1351"/>
      <c r="DH170" s="1351"/>
      <c r="DI170" s="1350">
        <f>+Y170/$CW170</f>
        <v>7.6923076923076927E-2</v>
      </c>
      <c r="DJ170" s="1350">
        <f>+AF170/CW170</f>
        <v>9.588042289464091E-2</v>
      </c>
      <c r="DK170" s="1350">
        <f>+AM170/CW170</f>
        <v>0.11775428363106089</v>
      </c>
      <c r="DL170" s="1350">
        <f>+AT170/CW170</f>
        <v>5.4684651841049946E-2</v>
      </c>
      <c r="DM170" s="1350">
        <f>+BA170/$CW170</f>
        <v>2.8800583302952973E-2</v>
      </c>
      <c r="DN170" s="1350">
        <f>+BH170/$CW170</f>
        <v>5.1039008384979948E-3</v>
      </c>
      <c r="DO170" s="1350"/>
      <c r="DP170" s="1350"/>
      <c r="DQ170" s="1350"/>
      <c r="DR170" s="1395"/>
      <c r="DS170" s="1333"/>
      <c r="DT170" s="1333"/>
      <c r="DU170" s="1333"/>
      <c r="DV170" s="1333"/>
      <c r="DW170" s="1333"/>
      <c r="DX170" s="1333"/>
      <c r="DY170" s="1333"/>
      <c r="DZ170" s="1333"/>
      <c r="EA170" s="1333"/>
      <c r="EB170" s="1333"/>
      <c r="ED170" s="693">
        <f>SUM(ED166:ED169)</f>
        <v>8</v>
      </c>
      <c r="EE170" s="693">
        <f>SUM(EE166:EE169)</f>
        <v>99</v>
      </c>
      <c r="EF170" s="693">
        <f>+EE170-ED170</f>
        <v>91</v>
      </c>
      <c r="EG170" s="1333">
        <f>+EF170-CX170</f>
        <v>0</v>
      </c>
    </row>
    <row r="171" spans="1:137" ht="15.75">
      <c r="A171" s="1266"/>
      <c r="B171" s="1266"/>
      <c r="C171" s="1266"/>
      <c r="D171" s="1268"/>
      <c r="E171" s="1269"/>
      <c r="F171" s="1302"/>
      <c r="G171" s="1266"/>
      <c r="H171" s="1268"/>
      <c r="I171" s="1295"/>
      <c r="J171" s="1266"/>
      <c r="K171" s="1268"/>
      <c r="L171" s="1269"/>
      <c r="M171" s="1268"/>
      <c r="N171" s="1266"/>
      <c r="O171" s="1268"/>
      <c r="P171" s="1295"/>
      <c r="Q171" s="1268"/>
      <c r="R171" s="1268"/>
      <c r="S171" s="1269"/>
      <c r="T171" s="1268"/>
      <c r="U171" s="1266"/>
      <c r="V171" s="1268"/>
      <c r="W171" s="1295"/>
      <c r="X171" s="1268"/>
      <c r="Y171" s="1268"/>
      <c r="Z171" s="1269"/>
      <c r="AA171" s="1268"/>
      <c r="AB171" s="1266"/>
      <c r="AC171" s="1268"/>
      <c r="AD171" s="1295"/>
      <c r="AE171" s="1268"/>
      <c r="AF171" s="1268"/>
      <c r="AG171" s="1269"/>
      <c r="AH171" s="1270"/>
      <c r="AI171" s="1266"/>
      <c r="AJ171" s="1268"/>
      <c r="AK171" s="1302"/>
      <c r="AL171" s="1268"/>
      <c r="AM171" s="1268"/>
      <c r="AN171" s="1269"/>
      <c r="AO171" s="1268"/>
      <c r="AP171" s="1266"/>
      <c r="AQ171" s="1268"/>
      <c r="AR171" s="1295"/>
      <c r="AS171" s="1268"/>
      <c r="AT171" s="1268"/>
      <c r="AU171" s="1269"/>
      <c r="AV171" s="1266"/>
      <c r="AW171" s="1266"/>
      <c r="AX171" s="1268"/>
      <c r="AY171" s="1295"/>
      <c r="AZ171" s="1266"/>
      <c r="BA171" s="1268"/>
      <c r="BB171" s="1269"/>
      <c r="BC171" s="1266"/>
      <c r="BD171" s="1266"/>
      <c r="BE171" s="1268"/>
      <c r="BF171" s="1295"/>
      <c r="BG171" s="1295"/>
      <c r="BH171" s="1400"/>
      <c r="BI171" s="1401"/>
      <c r="BJ171" s="1402"/>
      <c r="BK171" s="1402"/>
      <c r="BL171" s="1400"/>
      <c r="BM171" s="1295"/>
      <c r="BN171" s="1295"/>
      <c r="BO171" s="1400"/>
      <c r="BP171" s="1401"/>
      <c r="BQ171" s="1402"/>
      <c r="BR171" s="1402"/>
      <c r="BS171" s="1400"/>
      <c r="BT171" s="1295"/>
      <c r="BU171" s="1295"/>
      <c r="BV171" s="1356"/>
      <c r="BW171" s="1354"/>
      <c r="BX171" s="1355"/>
      <c r="BY171" s="1355"/>
      <c r="BZ171" s="1356"/>
      <c r="CA171" s="1357"/>
      <c r="CB171" s="1266"/>
      <c r="CC171" s="1400"/>
      <c r="CD171" s="1401"/>
      <c r="CE171" s="1402"/>
      <c r="CF171" s="1402"/>
      <c r="CG171" s="1400"/>
      <c r="CH171" s="1392"/>
      <c r="CI171" s="1400"/>
      <c r="CJ171" s="1401"/>
      <c r="CK171" s="1402"/>
      <c r="CL171" s="1402"/>
      <c r="CM171" s="1400"/>
      <c r="CN171" s="1295"/>
      <c r="CO171" s="1295"/>
      <c r="CP171" s="1400"/>
      <c r="CQ171" s="1401"/>
      <c r="CR171" s="1402"/>
      <c r="CS171" s="1402"/>
      <c r="CT171" s="1400"/>
      <c r="CU171" s="1295"/>
      <c r="CV171" s="1266"/>
      <c r="CW171" s="1403"/>
      <c r="CX171" s="1404"/>
      <c r="CY171" s="1266"/>
      <c r="CZ171" s="1266"/>
      <c r="DA171" s="1266"/>
      <c r="DB171" s="1257"/>
      <c r="DC171" s="1268"/>
      <c r="DD171" s="1302"/>
      <c r="DE171" s="1266"/>
      <c r="DF171" s="1266"/>
      <c r="DG171" s="1266"/>
      <c r="DH171" s="1266"/>
      <c r="DI171" s="1266"/>
      <c r="DJ171" s="1266"/>
      <c r="DK171" s="1266"/>
      <c r="DL171" s="1266"/>
      <c r="DM171" s="1266"/>
      <c r="DN171" s="1266"/>
      <c r="DO171" s="1266"/>
      <c r="DP171" s="1266"/>
      <c r="DQ171" s="1266"/>
      <c r="DS171" s="1333"/>
      <c r="DT171" s="1333"/>
      <c r="DU171" s="1333"/>
      <c r="DV171" s="1333"/>
      <c r="DW171" s="1333"/>
      <c r="DX171" s="1333"/>
      <c r="DY171" s="1333"/>
      <c r="DZ171" s="1333"/>
      <c r="EA171" s="1333"/>
      <c r="EB171" s="1333"/>
    </row>
    <row r="172" spans="1:137" ht="15.75">
      <c r="A172" s="2118">
        <f>+A165+1</f>
        <v>2010</v>
      </c>
      <c r="B172" s="2118"/>
      <c r="C172" s="1266"/>
      <c r="D172" s="1335"/>
      <c r="E172" s="1269"/>
      <c r="F172" s="1302"/>
      <c r="G172" s="1335"/>
      <c r="H172" s="1268"/>
      <c r="I172" s="1295"/>
      <c r="J172" s="1266"/>
      <c r="K172" s="1336"/>
      <c r="L172" s="1269"/>
      <c r="M172" s="1268"/>
      <c r="N172" s="1336"/>
      <c r="O172" s="1268"/>
      <c r="P172" s="1295"/>
      <c r="Q172" s="1268"/>
      <c r="R172" s="1336"/>
      <c r="S172" s="1269"/>
      <c r="T172" s="1268"/>
      <c r="U172" s="1336"/>
      <c r="V172" s="1268"/>
      <c r="W172" s="1295"/>
      <c r="X172" s="1268"/>
      <c r="Y172" s="1336"/>
      <c r="Z172" s="1269"/>
      <c r="AA172" s="1268"/>
      <c r="AB172" s="1336"/>
      <c r="AC172" s="1268"/>
      <c r="AD172" s="1295"/>
      <c r="AE172" s="1268"/>
      <c r="AF172" s="1336"/>
      <c r="AG172" s="1269"/>
      <c r="AH172" s="1270"/>
      <c r="AI172" s="1336"/>
      <c r="AJ172" s="1268"/>
      <c r="AK172" s="1302"/>
      <c r="AL172" s="1268"/>
      <c r="AM172" s="1336"/>
      <c r="AN172" s="1269"/>
      <c r="AO172" s="1268"/>
      <c r="AP172" s="1336"/>
      <c r="AQ172" s="1268"/>
      <c r="AR172" s="1295"/>
      <c r="AS172" s="1268"/>
      <c r="AT172" s="1336"/>
      <c r="AU172" s="1269"/>
      <c r="AV172" s="1266"/>
      <c r="AW172" s="1336"/>
      <c r="AX172" s="1268"/>
      <c r="AY172" s="1295"/>
      <c r="AZ172" s="1266"/>
      <c r="BA172" s="1336"/>
      <c r="BB172" s="1269"/>
      <c r="BC172" s="1266"/>
      <c r="BD172" s="1336"/>
      <c r="BE172" s="1268"/>
      <c r="BF172" s="1295"/>
      <c r="BG172" s="1295"/>
      <c r="BH172" s="1405"/>
      <c r="BI172" s="1401"/>
      <c r="BJ172" s="1402"/>
      <c r="BK172" s="1405"/>
      <c r="BL172" s="1400"/>
      <c r="BM172" s="1295"/>
      <c r="BN172" s="1295"/>
      <c r="BO172" s="1405"/>
      <c r="BP172" s="1401"/>
      <c r="BQ172" s="1402"/>
      <c r="BR172" s="1405"/>
      <c r="BS172" s="1400"/>
      <c r="BT172" s="1295"/>
      <c r="BU172" s="1295"/>
      <c r="BV172" s="1345"/>
      <c r="BW172" s="1354"/>
      <c r="BX172" s="1355"/>
      <c r="BY172" s="1345"/>
      <c r="BZ172" s="1356"/>
      <c r="CA172" s="1357"/>
      <c r="CB172" s="1266"/>
      <c r="CC172" s="1405"/>
      <c r="CD172" s="1401"/>
      <c r="CE172" s="1402"/>
      <c r="CF172" s="1405"/>
      <c r="CG172" s="1400"/>
      <c r="CH172" s="1392"/>
      <c r="CI172" s="1405"/>
      <c r="CJ172" s="1401"/>
      <c r="CK172" s="1402"/>
      <c r="CL172" s="1405"/>
      <c r="CM172" s="1400"/>
      <c r="CN172" s="1295"/>
      <c r="CO172" s="1295"/>
      <c r="CP172" s="1405"/>
      <c r="CQ172" s="1401"/>
      <c r="CR172" s="1402"/>
      <c r="CS172" s="1405"/>
      <c r="CT172" s="1400"/>
      <c r="CU172" s="1295"/>
      <c r="CV172" s="1266"/>
      <c r="CW172" s="1335"/>
      <c r="CX172" s="1266"/>
      <c r="CY172" s="1266"/>
      <c r="CZ172" s="1266"/>
      <c r="DA172" s="1266"/>
      <c r="DB172" s="1335"/>
      <c r="DC172" s="1268"/>
      <c r="DD172" s="1302"/>
      <c r="DE172" s="1266"/>
      <c r="DF172" s="1266"/>
      <c r="DG172" s="1266"/>
      <c r="DH172" s="1266"/>
      <c r="DI172" s="1266"/>
      <c r="DJ172" s="1266"/>
      <c r="DK172" s="1266"/>
      <c r="DL172" s="1266"/>
      <c r="DM172" s="1266"/>
      <c r="DN172" s="1266"/>
      <c r="DO172" s="1266"/>
      <c r="DP172" s="1266"/>
      <c r="DQ172" s="1266"/>
      <c r="DS172" s="1333"/>
      <c r="DT172" s="1333"/>
      <c r="DU172" s="1333"/>
      <c r="DV172" s="1333"/>
      <c r="DW172" s="1333"/>
      <c r="DX172" s="1333"/>
      <c r="DY172" s="1333"/>
      <c r="DZ172" s="1333"/>
      <c r="EA172" s="1333"/>
      <c r="EB172" s="1333"/>
    </row>
    <row r="173" spans="1:137" ht="15">
      <c r="A173" s="1266" t="str">
        <f>$A$17</f>
        <v>1Q</v>
      </c>
      <c r="B173" s="1266" t="str">
        <f>$B$17</f>
        <v>Apr</v>
      </c>
      <c r="C173" s="1266"/>
      <c r="D173" s="1294">
        <f t="shared" ref="D173:E176" si="31">+K173+R173</f>
        <v>1713</v>
      </c>
      <c r="E173" s="1255">
        <f t="shared" si="31"/>
        <v>10</v>
      </c>
      <c r="F173" s="1295">
        <f>+(D173/D166-1)*100</f>
        <v>1.3010053222944906</v>
      </c>
      <c r="G173" s="1296">
        <f t="shared" ref="G173:G178" si="32">+N173+U173</f>
        <v>52.2</v>
      </c>
      <c r="H173" s="1297"/>
      <c r="I173" s="1295">
        <f>+(G173/G166-1)*100</f>
        <v>0.96711798839459462</v>
      </c>
      <c r="J173" s="1266"/>
      <c r="K173" s="1294">
        <f>+K170+L173</f>
        <v>896</v>
      </c>
      <c r="L173" s="1254">
        <v>6</v>
      </c>
      <c r="M173" s="1295">
        <f>+(K173/K166-1)*100</f>
        <v>1.5873015873015817</v>
      </c>
      <c r="N173" s="1318">
        <v>26.4</v>
      </c>
      <c r="O173" s="1297"/>
      <c r="P173" s="1295">
        <f>+(N173/N166-1)*100</f>
        <v>0.76335877862594437</v>
      </c>
      <c r="Q173" s="1299"/>
      <c r="R173" s="1294">
        <f>+R170+S173</f>
        <v>817</v>
      </c>
      <c r="S173" s="1254">
        <v>4</v>
      </c>
      <c r="T173" s="1295">
        <f>+(R173/R166-1)*100</f>
        <v>0.98887515451173691</v>
      </c>
      <c r="U173" s="1318">
        <v>25.8</v>
      </c>
      <c r="V173" s="1297"/>
      <c r="W173" s="1295">
        <f>+(U173/U166-1)*100</f>
        <v>1.1764705882352899</v>
      </c>
      <c r="X173" s="1299"/>
      <c r="Y173" s="1294">
        <f>+Y170+Z173</f>
        <v>211</v>
      </c>
      <c r="Z173" s="1254">
        <v>0</v>
      </c>
      <c r="AA173" s="1295">
        <f>+(Y173/Y166-1)*100</f>
        <v>2.4271844660194164</v>
      </c>
      <c r="AB173" s="1318">
        <v>6.2</v>
      </c>
      <c r="AC173" s="1297"/>
      <c r="AD173" s="1295">
        <f>+(AB173/AB166-1)*100</f>
        <v>3.3333333333333437</v>
      </c>
      <c r="AE173" s="1299"/>
      <c r="AF173" s="1294">
        <f>+AF170+AG173</f>
        <v>272</v>
      </c>
      <c r="AG173" s="1254">
        <v>9</v>
      </c>
      <c r="AH173" s="1295">
        <f>+(AF173/AF166-1)*100</f>
        <v>14.285714285714279</v>
      </c>
      <c r="AI173" s="1318">
        <v>8.6999999999999993</v>
      </c>
      <c r="AJ173" s="1297"/>
      <c r="AK173" s="1295">
        <f>+(AI173/AI166-1)*100</f>
        <v>14.473684210526304</v>
      </c>
      <c r="AL173" s="1299"/>
      <c r="AM173" s="1294">
        <f>+AM170+AN173</f>
        <v>325</v>
      </c>
      <c r="AN173" s="1254">
        <v>2</v>
      </c>
      <c r="AO173" s="1295">
        <f>+(AM173/AM166-1)*100</f>
        <v>0.93167701863354768</v>
      </c>
      <c r="AP173" s="1318">
        <v>8.1</v>
      </c>
      <c r="AQ173" s="1297"/>
      <c r="AR173" s="1295">
        <f>+(AP173/AP166-1)*100</f>
        <v>1.2499999999999956</v>
      </c>
      <c r="AS173" s="1299"/>
      <c r="AT173" s="1294">
        <f>+AT170+AU173</f>
        <v>152</v>
      </c>
      <c r="AU173" s="1254">
        <v>2</v>
      </c>
      <c r="AV173" s="1295">
        <f>+(AT173/AT166-1)*100</f>
        <v>8.5714285714285623</v>
      </c>
      <c r="AW173" s="1318">
        <v>3.9</v>
      </c>
      <c r="AX173" s="1297"/>
      <c r="AY173" s="1295">
        <f>+(AW173/AW166-1)*100</f>
        <v>8.333333333333325</v>
      </c>
      <c r="AZ173" s="1299"/>
      <c r="BA173" s="1294">
        <f>+BA170+BB173</f>
        <v>79</v>
      </c>
      <c r="BB173" s="1254">
        <v>0</v>
      </c>
      <c r="BC173" s="1295">
        <f>+(BA173/BA166-1)*100</f>
        <v>5.3333333333333233</v>
      </c>
      <c r="BD173" s="1318">
        <v>1.9</v>
      </c>
      <c r="BE173" s="1297"/>
      <c r="BF173" s="1295">
        <f>+(BD173/BD166-1)*100</f>
        <v>5.555555555555558</v>
      </c>
      <c r="BG173" s="1295"/>
      <c r="BH173" s="1294">
        <f>+BH170+BI173</f>
        <v>14</v>
      </c>
      <c r="BI173" s="1254">
        <v>0</v>
      </c>
      <c r="BJ173" s="1295">
        <f>+(BH173/BH166-1)*100</f>
        <v>75</v>
      </c>
      <c r="BK173" s="1318">
        <v>0.3</v>
      </c>
      <c r="BL173" s="1297"/>
      <c r="BM173" s="1295">
        <f>+(BK173/BK166-1)*100</f>
        <v>49.999999999999979</v>
      </c>
      <c r="BN173" s="1295"/>
      <c r="BO173" s="1294">
        <f>+BO170+BP173</f>
        <v>0</v>
      </c>
      <c r="BP173" s="1254">
        <v>0</v>
      </c>
      <c r="BQ173" s="1295"/>
      <c r="BR173" s="1296">
        <v>0</v>
      </c>
      <c r="BS173" s="1297"/>
      <c r="BT173" s="1295"/>
      <c r="BU173" s="1295"/>
      <c r="BV173" s="1340">
        <f>+BV170+BW173</f>
        <v>3</v>
      </c>
      <c r="BW173" s="1358">
        <v>0</v>
      </c>
      <c r="BX173" s="1357">
        <f>+(BV173/BV166-1)*100</f>
        <v>0</v>
      </c>
      <c r="BY173" s="1359">
        <f>BY170+BW173*$BL$163/1000</f>
        <v>1.4285714285714287E-2</v>
      </c>
      <c r="BZ173" s="1360"/>
      <c r="CA173" s="1357">
        <f>+(BY173/BY166-1)*100</f>
        <v>0</v>
      </c>
      <c r="CB173" s="1299"/>
      <c r="CC173" s="1390"/>
      <c r="CD173" s="1391"/>
      <c r="CE173" s="1392"/>
      <c r="CF173" s="1393"/>
      <c r="CG173" s="1394"/>
      <c r="CH173" s="1392"/>
      <c r="CI173" s="1294"/>
      <c r="CJ173" s="1254"/>
      <c r="CK173" s="1295"/>
      <c r="CL173" s="1296"/>
      <c r="CM173" s="1297"/>
      <c r="CN173" s="1295"/>
      <c r="CO173" s="1295"/>
      <c r="CP173" s="1294"/>
      <c r="CQ173" s="1254"/>
      <c r="CR173" s="1295"/>
      <c r="CS173" s="1296"/>
      <c r="CT173" s="1297"/>
      <c r="CU173" s="1295"/>
      <c r="CV173" s="1299"/>
      <c r="CW173" s="1306">
        <f>+D173+Y173+AF173+AM173+AT173+BA173+BH173</f>
        <v>2766</v>
      </c>
      <c r="CX173" s="1307">
        <f>+CW173-CW169</f>
        <v>23</v>
      </c>
      <c r="CY173" s="1295">
        <f>+(CW173/CW166-1)*100</f>
        <v>3.2089552238806052</v>
      </c>
      <c r="CZ173" s="1297"/>
      <c r="DA173" s="1297"/>
      <c r="DB173" s="1318">
        <v>81.099999999999994</v>
      </c>
      <c r="DC173" s="1297"/>
      <c r="DD173" s="1295">
        <f>+(DB173/DB166-1)*100</f>
        <v>2.9187817258883308</v>
      </c>
      <c r="DE173" s="1266"/>
      <c r="DF173" s="1350">
        <f>+D173/$CW173</f>
        <v>0.61930585683297179</v>
      </c>
      <c r="DG173" s="1351"/>
      <c r="DH173" s="1351"/>
      <c r="DI173" s="1350">
        <f>+Y173/$CW173</f>
        <v>7.6283441793203177E-2</v>
      </c>
      <c r="DJ173" s="1350">
        <f>+AF173/CW173</f>
        <v>9.8336948662328269E-2</v>
      </c>
      <c r="DK173" s="1350">
        <f>+AM173/CW173</f>
        <v>0.11749819233550253</v>
      </c>
      <c r="DL173" s="1350">
        <f>+AT173/CW173</f>
        <v>5.4953000723065797E-2</v>
      </c>
      <c r="DM173" s="1350">
        <f>+BA173/$CW173</f>
        <v>2.8561099060014462E-2</v>
      </c>
      <c r="DN173" s="1350">
        <f>+BH173/$CW173</f>
        <v>5.0614605929139552E-3</v>
      </c>
      <c r="DO173" s="1350"/>
      <c r="DP173" s="1350"/>
      <c r="DQ173" s="1350"/>
      <c r="DR173" s="1395"/>
      <c r="DS173" s="1333">
        <f t="shared" si="16"/>
        <v>6</v>
      </c>
      <c r="DT173" s="1333">
        <f t="shared" si="17"/>
        <v>4</v>
      </c>
      <c r="DU173" s="1333">
        <f t="shared" si="18"/>
        <v>0</v>
      </c>
      <c r="DV173" s="1333">
        <f t="shared" si="19"/>
        <v>9</v>
      </c>
      <c r="DW173" s="1333">
        <f t="shared" si="20"/>
        <v>2</v>
      </c>
      <c r="DX173" s="1333">
        <f t="shared" si="21"/>
        <v>2</v>
      </c>
      <c r="DY173" s="1333">
        <f t="shared" si="22"/>
        <v>0</v>
      </c>
      <c r="DZ173" s="1333">
        <f t="shared" si="23"/>
        <v>0</v>
      </c>
      <c r="EA173" s="1333">
        <f t="shared" si="24"/>
        <v>0</v>
      </c>
      <c r="EB173" s="1333">
        <f t="shared" si="25"/>
        <v>0</v>
      </c>
      <c r="ED173" s="451">
        <f>-(SUMIF(DS173:EB173,"&lt;0"))</f>
        <v>0</v>
      </c>
      <c r="EE173" s="451">
        <f>(SUMIF(DS173:EB173,"&gt;0"))</f>
        <v>23</v>
      </c>
      <c r="EF173" s="451">
        <f>+EE173-ED173</f>
        <v>23</v>
      </c>
      <c r="EG173" s="1333">
        <f>+EF173-CX173</f>
        <v>0</v>
      </c>
    </row>
    <row r="174" spans="1:137" ht="15">
      <c r="A174" s="1266" t="str">
        <f>$A$18</f>
        <v>2Q</v>
      </c>
      <c r="B174" s="1266" t="str">
        <f>$B$18</f>
        <v>Jul</v>
      </c>
      <c r="C174" s="1266"/>
      <c r="D174" s="1294">
        <f t="shared" si="31"/>
        <v>1723</v>
      </c>
      <c r="E174" s="1255">
        <f t="shared" si="31"/>
        <v>10</v>
      </c>
      <c r="F174" s="1295">
        <f>+(D174/D167-1)*100</f>
        <v>1.7720023626698111</v>
      </c>
      <c r="G174" s="1296">
        <f t="shared" si="32"/>
        <v>52.599999999999994</v>
      </c>
      <c r="H174" s="1297"/>
      <c r="I174" s="1295">
        <f>+(G174/G167-1)*100</f>
        <v>1.5444015444015413</v>
      </c>
      <c r="J174" s="1309"/>
      <c r="K174" s="1294">
        <f>+K173+L174</f>
        <v>903</v>
      </c>
      <c r="L174" s="1254">
        <v>7</v>
      </c>
      <c r="M174" s="1295">
        <f>+(K174/K167-1)*100</f>
        <v>2.3809523809523725</v>
      </c>
      <c r="N174" s="1318">
        <v>26.7</v>
      </c>
      <c r="O174" s="1297"/>
      <c r="P174" s="1295">
        <f>+(N174/N167-1)*100</f>
        <v>1.9083969465648831</v>
      </c>
      <c r="Q174" s="1299"/>
      <c r="R174" s="1294">
        <f>+R173+S174</f>
        <v>820</v>
      </c>
      <c r="S174" s="1254">
        <v>3</v>
      </c>
      <c r="T174" s="1295">
        <f>+(R174/R167-1)*100</f>
        <v>1.1097410604192337</v>
      </c>
      <c r="U174" s="1318">
        <v>25.9</v>
      </c>
      <c r="V174" s="1297"/>
      <c r="W174" s="1295">
        <f>+(U174/U167-1)*100</f>
        <v>1.1718749999999778</v>
      </c>
      <c r="X174" s="1299"/>
      <c r="Y174" s="1294">
        <f>+Y173+Z174</f>
        <v>211</v>
      </c>
      <c r="Z174" s="1254">
        <v>0</v>
      </c>
      <c r="AA174" s="1295">
        <f>+(Y174/Y167-1)*100</f>
        <v>2.4271844660194164</v>
      </c>
      <c r="AB174" s="1318">
        <v>6.2</v>
      </c>
      <c r="AC174" s="1297"/>
      <c r="AD174" s="1295">
        <f>+(AB174/AB167-1)*100</f>
        <v>3.3333333333333437</v>
      </c>
      <c r="AE174" s="1299"/>
      <c r="AF174" s="1294">
        <f>+AF173+AG174</f>
        <v>283</v>
      </c>
      <c r="AG174" s="1254">
        <v>11</v>
      </c>
      <c r="AH174" s="1295">
        <f>+(AF174/AF167-1)*100</f>
        <v>15.983606557377051</v>
      </c>
      <c r="AI174" s="1318">
        <v>9</v>
      </c>
      <c r="AJ174" s="1297"/>
      <c r="AK174" s="1295">
        <f>+(AI174/AI167-1)*100</f>
        <v>13.924050632911378</v>
      </c>
      <c r="AL174" s="1299"/>
      <c r="AM174" s="1294">
        <f>+AM173+AN174</f>
        <v>328</v>
      </c>
      <c r="AN174" s="1254">
        <v>3</v>
      </c>
      <c r="AO174" s="1295">
        <f>+(AM174/AM167-1)*100</f>
        <v>1.5479876160990669</v>
      </c>
      <c r="AP174" s="1318">
        <v>8.1</v>
      </c>
      <c r="AQ174" s="1297"/>
      <c r="AR174" s="1295">
        <f>+(AP174/AP167-1)*100</f>
        <v>1.2499999999999956</v>
      </c>
      <c r="AS174" s="1299"/>
      <c r="AT174" s="1294">
        <f>+AT173+AU174</f>
        <v>154</v>
      </c>
      <c r="AU174" s="1254">
        <v>2</v>
      </c>
      <c r="AV174" s="1295">
        <f>+(AT174/AT167-1)*100</f>
        <v>9.219858156028371</v>
      </c>
      <c r="AW174" s="1318">
        <v>3.9</v>
      </c>
      <c r="AX174" s="1297"/>
      <c r="AY174" s="1295">
        <f>+(AW174/AW167-1)*100</f>
        <v>8.333333333333325</v>
      </c>
      <c r="AZ174" s="1299"/>
      <c r="BA174" s="1294">
        <f>+BA173+BB174</f>
        <v>79</v>
      </c>
      <c r="BB174" s="1254">
        <v>0</v>
      </c>
      <c r="BC174" s="1295">
        <f>+(BA174/BA167-1)*100</f>
        <v>5.3333333333333233</v>
      </c>
      <c r="BD174" s="1318">
        <v>1.9</v>
      </c>
      <c r="BE174" s="1297"/>
      <c r="BF174" s="1295">
        <f>+(BD174/BD167-1)*100</f>
        <v>5.555555555555558</v>
      </c>
      <c r="BG174" s="1295"/>
      <c r="BH174" s="1294">
        <f>+BH173+BI174</f>
        <v>21</v>
      </c>
      <c r="BI174" s="1254">
        <v>7</v>
      </c>
      <c r="BJ174" s="1295">
        <f>+(BH174/BH167-1)*100</f>
        <v>162.5</v>
      </c>
      <c r="BK174" s="1318">
        <v>0.4</v>
      </c>
      <c r="BL174" s="1297"/>
      <c r="BM174" s="1295">
        <f>+(BK174/BK167-1)*100</f>
        <v>100</v>
      </c>
      <c r="BN174" s="1295"/>
      <c r="BO174" s="1294">
        <f>+BO173+BP174</f>
        <v>0</v>
      </c>
      <c r="BP174" s="1254">
        <v>0</v>
      </c>
      <c r="BQ174" s="1295"/>
      <c r="BR174" s="1296">
        <f>BR173+BP174*$BS$177/1000</f>
        <v>0</v>
      </c>
      <c r="BS174" s="1297"/>
      <c r="BT174" s="1295"/>
      <c r="BU174" s="1295"/>
      <c r="BV174" s="1340">
        <f>+BV173+BW174</f>
        <v>3</v>
      </c>
      <c r="BW174" s="1358">
        <v>0</v>
      </c>
      <c r="BX174" s="1357">
        <f>+(BV174/BV167-1)*100</f>
        <v>0</v>
      </c>
      <c r="BY174" s="1359">
        <f>BY173+BW174*$BE$163/1000</f>
        <v>1.4285714285714287E-2</v>
      </c>
      <c r="BZ174" s="1360"/>
      <c r="CA174" s="1357">
        <f>+(BY174/BY167-1)*100</f>
        <v>0</v>
      </c>
      <c r="CB174" s="1299"/>
      <c r="CC174" s="1390"/>
      <c r="CD174" s="1391"/>
      <c r="CE174" s="1392"/>
      <c r="CF174" s="1393"/>
      <c r="CG174" s="1394"/>
      <c r="CH174" s="1392"/>
      <c r="CI174" s="1294"/>
      <c r="CJ174" s="1254"/>
      <c r="CK174" s="1295"/>
      <c r="CL174" s="1296"/>
      <c r="CM174" s="1297"/>
      <c r="CN174" s="1295"/>
      <c r="CO174" s="1295"/>
      <c r="CP174" s="1294"/>
      <c r="CQ174" s="1254"/>
      <c r="CR174" s="1295"/>
      <c r="CS174" s="1296"/>
      <c r="CT174" s="1297"/>
      <c r="CU174" s="1295"/>
      <c r="CV174" s="1299"/>
      <c r="CW174" s="1306">
        <f>+D174+Y174+AF174+AM174+AT174+BA174+BH174</f>
        <v>2799</v>
      </c>
      <c r="CX174" s="1307">
        <f>+CW174-CW173</f>
        <v>33</v>
      </c>
      <c r="CY174" s="1295">
        <f>+(CW174/CW167-1)*100</f>
        <v>4.0520446096654172</v>
      </c>
      <c r="CZ174" s="1297"/>
      <c r="DA174" s="1297"/>
      <c r="DB174" s="1318">
        <v>82.2</v>
      </c>
      <c r="DC174" s="1297"/>
      <c r="DD174" s="1295">
        <f>+(DB174/DB167-1)*100</f>
        <v>3.7878787878787845</v>
      </c>
      <c r="DE174" s="1266"/>
      <c r="DF174" s="1350">
        <f>+D174/$CW174</f>
        <v>0.61557699178277958</v>
      </c>
      <c r="DG174" s="1351"/>
      <c r="DH174" s="1351"/>
      <c r="DI174" s="1350">
        <f>+Y174/$CW174</f>
        <v>7.5384065737763489E-2</v>
      </c>
      <c r="DJ174" s="1350">
        <f>+AF174/CW174</f>
        <v>0.10110753840657377</v>
      </c>
      <c r="DK174" s="1350">
        <f>+AM174/CW174</f>
        <v>0.11718470882458021</v>
      </c>
      <c r="DL174" s="1350">
        <f>+AT174/CW174</f>
        <v>5.5019649874955341E-2</v>
      </c>
      <c r="DM174" s="1350">
        <f>+BA174/$CW174</f>
        <v>2.8224365844944622E-2</v>
      </c>
      <c r="DN174" s="1350">
        <f>+BH174/$CW174</f>
        <v>7.502679528403001E-3</v>
      </c>
      <c r="DO174" s="1350"/>
      <c r="DP174" s="1350"/>
      <c r="DQ174" s="1350"/>
      <c r="DR174" s="1395"/>
      <c r="DS174" s="1333">
        <f t="shared" si="16"/>
        <v>7</v>
      </c>
      <c r="DT174" s="1333">
        <f t="shared" si="17"/>
        <v>3</v>
      </c>
      <c r="DU174" s="1333">
        <f t="shared" si="18"/>
        <v>0</v>
      </c>
      <c r="DV174" s="1333">
        <f t="shared" si="19"/>
        <v>11</v>
      </c>
      <c r="DW174" s="1333">
        <f t="shared" si="20"/>
        <v>3</v>
      </c>
      <c r="DX174" s="1333">
        <f t="shared" si="21"/>
        <v>2</v>
      </c>
      <c r="DY174" s="1333">
        <f t="shared" si="22"/>
        <v>0</v>
      </c>
      <c r="DZ174" s="1333">
        <f t="shared" si="23"/>
        <v>7</v>
      </c>
      <c r="EA174" s="1333">
        <f t="shared" si="24"/>
        <v>0</v>
      </c>
      <c r="EB174" s="1333">
        <f t="shared" si="25"/>
        <v>0</v>
      </c>
      <c r="ED174" s="451">
        <f>-(SUMIF(DS174:EB174,"&lt;0"))</f>
        <v>0</v>
      </c>
      <c r="EE174" s="451">
        <f>(SUMIF(DS174:EB174,"&gt;0"))</f>
        <v>33</v>
      </c>
      <c r="EF174" s="451">
        <f>+EE174-ED174</f>
        <v>33</v>
      </c>
      <c r="EG174" s="1333">
        <f>+EF174-CX174</f>
        <v>0</v>
      </c>
    </row>
    <row r="175" spans="1:137" ht="15">
      <c r="A175" s="1266" t="str">
        <f>$A$19</f>
        <v>3Q</v>
      </c>
      <c r="B175" s="1266" t="str">
        <f>$B$19</f>
        <v>Oct</v>
      </c>
      <c r="C175" s="1266"/>
      <c r="D175" s="1294">
        <f t="shared" si="31"/>
        <v>1751</v>
      </c>
      <c r="E175" s="1255">
        <f t="shared" si="31"/>
        <v>28</v>
      </c>
      <c r="F175" s="1295">
        <f>+(D175/D168-1)*100</f>
        <v>2.4575775307197123</v>
      </c>
      <c r="G175" s="1296">
        <f t="shared" si="32"/>
        <v>53.4</v>
      </c>
      <c r="H175" s="1297"/>
      <c r="I175" s="1295">
        <f>+(G175/G168-1)*100</f>
        <v>2.1032504780114758</v>
      </c>
      <c r="J175" s="1266"/>
      <c r="K175" s="1294">
        <f>+K174+L175</f>
        <v>919</v>
      </c>
      <c r="L175" s="1254">
        <v>16</v>
      </c>
      <c r="M175" s="1295">
        <f>+(K175/K168-1)*100</f>
        <v>3.3745781777277939</v>
      </c>
      <c r="N175" s="1318">
        <v>27.2</v>
      </c>
      <c r="O175" s="1297"/>
      <c r="P175" s="1295">
        <f>+(N175/N168-1)*100</f>
        <v>3.0303030303030276</v>
      </c>
      <c r="Q175" s="1299"/>
      <c r="R175" s="1294">
        <f>+R174+S175</f>
        <v>832</v>
      </c>
      <c r="S175" s="1254">
        <v>12</v>
      </c>
      <c r="T175" s="1295">
        <f>+(R175/R168-1)*100</f>
        <v>1.4634146341463428</v>
      </c>
      <c r="U175" s="1318">
        <v>26.2</v>
      </c>
      <c r="V175" s="1297"/>
      <c r="W175" s="1295">
        <f>+(U175/U168-1)*100</f>
        <v>1.158301158301156</v>
      </c>
      <c r="X175" s="1299"/>
      <c r="Y175" s="1294">
        <f>+Y174+Z175</f>
        <v>215</v>
      </c>
      <c r="Z175" s="1254">
        <v>4</v>
      </c>
      <c r="AA175" s="1295">
        <f>+(Y175/Y168-1)*100</f>
        <v>1.8957345971563955</v>
      </c>
      <c r="AB175" s="1318">
        <v>6.3</v>
      </c>
      <c r="AC175" s="1297"/>
      <c r="AD175" s="1295">
        <f>+(AB175/AB168-1)*100</f>
        <v>-8.6956521739130483</v>
      </c>
      <c r="AE175" s="1299"/>
      <c r="AF175" s="1294">
        <f>+AF174+AG175</f>
        <v>304</v>
      </c>
      <c r="AG175" s="1254">
        <v>21</v>
      </c>
      <c r="AH175" s="1295">
        <f>+(AF175/AF168-1)*100</f>
        <v>16.030534351145032</v>
      </c>
      <c r="AI175" s="1318">
        <v>9.6999999999999993</v>
      </c>
      <c r="AJ175" s="1297"/>
      <c r="AK175" s="1295">
        <f>+(AI175/AI168-1)*100</f>
        <v>15.476190476190466</v>
      </c>
      <c r="AL175" s="1299"/>
      <c r="AM175" s="1294">
        <f>+AM174+AN175</f>
        <v>336</v>
      </c>
      <c r="AN175" s="1254">
        <v>8</v>
      </c>
      <c r="AO175" s="1295">
        <f>+(AM175/AM168-1)*100</f>
        <v>3.7037037037036979</v>
      </c>
      <c r="AP175" s="1318">
        <v>8.4</v>
      </c>
      <c r="AQ175" s="1297"/>
      <c r="AR175" s="1295">
        <f>+(AP175/AP168-1)*100</f>
        <v>5.0000000000000044</v>
      </c>
      <c r="AS175" s="1299"/>
      <c r="AT175" s="1294">
        <f>+AT174+AU175</f>
        <v>161</v>
      </c>
      <c r="AU175" s="1254">
        <v>7</v>
      </c>
      <c r="AV175" s="1295">
        <f>+(AT175/AT168-1)*100</f>
        <v>8.7837837837837931</v>
      </c>
      <c r="AW175" s="1318">
        <v>4.0999999999999996</v>
      </c>
      <c r="AX175" s="1297"/>
      <c r="AY175" s="1295">
        <f>+(AW175/AW168-1)*100</f>
        <v>7.8947368421052655</v>
      </c>
      <c r="AZ175" s="1299"/>
      <c r="BA175" s="1294">
        <f>+BA174+BB175</f>
        <v>82</v>
      </c>
      <c r="BB175" s="1254">
        <v>3</v>
      </c>
      <c r="BC175" s="1295">
        <f>+(BA175/BA168-1)*100</f>
        <v>3.7974683544303778</v>
      </c>
      <c r="BD175" s="1318">
        <v>2</v>
      </c>
      <c r="BE175" s="1297"/>
      <c r="BF175" s="1295">
        <f>+(BD175/BD168-1)*100</f>
        <v>5.2631578947368363</v>
      </c>
      <c r="BG175" s="1295"/>
      <c r="BH175" s="1294">
        <f>+BH174+BI175</f>
        <v>24</v>
      </c>
      <c r="BI175" s="1254">
        <v>3</v>
      </c>
      <c r="BJ175" s="1295">
        <f>+(BH175/BH168-1)*100</f>
        <v>71.428571428571416</v>
      </c>
      <c r="BK175" s="1318">
        <v>0.5</v>
      </c>
      <c r="BL175" s="1297"/>
      <c r="BM175" s="1295">
        <f>+(BK175/BK168-1)*100</f>
        <v>66.666666666666671</v>
      </c>
      <c r="BN175" s="1295"/>
      <c r="BO175" s="1294">
        <f>+BO174+BP175</f>
        <v>0</v>
      </c>
      <c r="BP175" s="1254">
        <v>0</v>
      </c>
      <c r="BQ175" s="1295"/>
      <c r="BR175" s="1296">
        <f>BR174+BP175*$BS$177/1000</f>
        <v>0</v>
      </c>
      <c r="BS175" s="1297"/>
      <c r="BT175" s="1295"/>
      <c r="BU175" s="1295"/>
      <c r="BV175" s="1340">
        <f>+BV174+BW175</f>
        <v>3</v>
      </c>
      <c r="BW175" s="1358">
        <v>0</v>
      </c>
      <c r="BX175" s="1357">
        <f>+(BV175/BV168-1)*100</f>
        <v>0</v>
      </c>
      <c r="BY175" s="1359">
        <f>BY174+BW175*$BE$163/1000</f>
        <v>1.4285714285714287E-2</v>
      </c>
      <c r="BZ175" s="1360"/>
      <c r="CA175" s="1357">
        <f>+(BY175/BY168-1)*100</f>
        <v>0</v>
      </c>
      <c r="CB175" s="1299"/>
      <c r="CC175" s="1390"/>
      <c r="CD175" s="1391"/>
      <c r="CE175" s="1392"/>
      <c r="CF175" s="1393"/>
      <c r="CG175" s="1394"/>
      <c r="CH175" s="1392"/>
      <c r="CI175" s="1294"/>
      <c r="CJ175" s="1254"/>
      <c r="CK175" s="1295"/>
      <c r="CL175" s="1296"/>
      <c r="CM175" s="1297"/>
      <c r="CN175" s="1295"/>
      <c r="CO175" s="1295"/>
      <c r="CP175" s="1294"/>
      <c r="CQ175" s="1254"/>
      <c r="CR175" s="1295"/>
      <c r="CS175" s="1296"/>
      <c r="CT175" s="1297"/>
      <c r="CU175" s="1295"/>
      <c r="CV175" s="1299"/>
      <c r="CW175" s="1306">
        <f>+D175+Y175+AF175+AM175+AT175+BA175+BH175</f>
        <v>2873</v>
      </c>
      <c r="CX175" s="1307">
        <f>+CW175-CW174</f>
        <v>74</v>
      </c>
      <c r="CY175" s="1295">
        <f>+(CW175/CW168-1)*100</f>
        <v>4.5868219876228578</v>
      </c>
      <c r="CZ175" s="1297"/>
      <c r="DA175" s="1297"/>
      <c r="DB175" s="1318">
        <v>84.3</v>
      </c>
      <c r="DC175" s="1297"/>
      <c r="DD175" s="1295">
        <f>+(DB175/DB168-1)*100</f>
        <v>3.4355828220858919</v>
      </c>
      <c r="DE175" s="1266"/>
      <c r="DF175" s="1350">
        <f>+D175/$CW175</f>
        <v>0.60946745562130178</v>
      </c>
      <c r="DG175" s="1351"/>
      <c r="DH175" s="1351"/>
      <c r="DI175" s="1350">
        <f>+Y175/$CW175</f>
        <v>7.4834667594848595E-2</v>
      </c>
      <c r="DJ175" s="1350">
        <f>+AF175/CW175</f>
        <v>0.10581273929690219</v>
      </c>
      <c r="DK175" s="1350">
        <f>+AM175/CW175</f>
        <v>0.11695092238078664</v>
      </c>
      <c r="DL175" s="1350">
        <f>+AT175/CW175</f>
        <v>5.6038983640793592E-2</v>
      </c>
      <c r="DM175" s="1350">
        <f>+BA175/$CW175</f>
        <v>2.8541594152453879E-2</v>
      </c>
      <c r="DN175" s="1350">
        <f>+BH175/$CW175</f>
        <v>8.3536373129133312E-3</v>
      </c>
      <c r="DO175" s="1350"/>
      <c r="DP175" s="1350"/>
      <c r="DQ175" s="1350"/>
      <c r="DR175" s="1395"/>
      <c r="DS175" s="1333">
        <f t="shared" si="16"/>
        <v>16</v>
      </c>
      <c r="DT175" s="1333">
        <f t="shared" si="17"/>
        <v>12</v>
      </c>
      <c r="DU175" s="1333">
        <f t="shared" si="18"/>
        <v>4</v>
      </c>
      <c r="DV175" s="1333">
        <f t="shared" si="19"/>
        <v>21</v>
      </c>
      <c r="DW175" s="1333">
        <f t="shared" si="20"/>
        <v>8</v>
      </c>
      <c r="DX175" s="1333">
        <f t="shared" si="21"/>
        <v>7</v>
      </c>
      <c r="DY175" s="1333">
        <f t="shared" si="22"/>
        <v>3</v>
      </c>
      <c r="DZ175" s="1333">
        <f t="shared" si="23"/>
        <v>3</v>
      </c>
      <c r="EA175" s="1333">
        <f t="shared" si="24"/>
        <v>0</v>
      </c>
      <c r="EB175" s="1333">
        <f t="shared" si="25"/>
        <v>0</v>
      </c>
      <c r="ED175" s="451">
        <f>-(SUMIF(DS175:EB175,"&lt;0"))</f>
        <v>0</v>
      </c>
      <c r="EE175" s="451">
        <f>(SUMIF(DS175:EB175,"&gt;0"))</f>
        <v>74</v>
      </c>
      <c r="EF175" s="451">
        <f>+EE175-ED175</f>
        <v>74</v>
      </c>
      <c r="EG175" s="1333">
        <f>+EF175-CX175</f>
        <v>0</v>
      </c>
    </row>
    <row r="176" spans="1:137" ht="15">
      <c r="A176" s="1266" t="str">
        <f>$A$20</f>
        <v>4Q</v>
      </c>
      <c r="B176" s="1266" t="str">
        <f>$B$20</f>
        <v>Jan</v>
      </c>
      <c r="C176" s="1266"/>
      <c r="D176" s="1312">
        <f t="shared" si="31"/>
        <v>1753</v>
      </c>
      <c r="E176" s="1255">
        <f t="shared" si="31"/>
        <v>2</v>
      </c>
      <c r="F176" s="1295">
        <f>+(D176/D169-1)*100</f>
        <v>2.9359953024075125</v>
      </c>
      <c r="G176" s="1313">
        <f t="shared" si="32"/>
        <v>53.5</v>
      </c>
      <c r="H176" s="1297"/>
      <c r="I176" s="1295">
        <f>+(G176/G169-1)*100</f>
        <v>2.6871401151631558</v>
      </c>
      <c r="J176" s="1266"/>
      <c r="K176" s="1312">
        <f>+K177</f>
        <v>923</v>
      </c>
      <c r="L176" s="1255">
        <f>+K176-K175</f>
        <v>4</v>
      </c>
      <c r="M176" s="1295">
        <f>+(K176/K169-1)*100</f>
        <v>3.7078651685393149</v>
      </c>
      <c r="N176" s="1334">
        <v>27.3</v>
      </c>
      <c r="O176" s="1297"/>
      <c r="P176" s="1295">
        <f>+(N176/N169-1)*100</f>
        <v>3.4090909090909172</v>
      </c>
      <c r="Q176" s="1299"/>
      <c r="R176" s="1312">
        <f>+R177</f>
        <v>830</v>
      </c>
      <c r="S176" s="1255">
        <f>+R176-R175</f>
        <v>-2</v>
      </c>
      <c r="T176" s="1295">
        <f>+(R176/R169-1)*100</f>
        <v>2.091020910209096</v>
      </c>
      <c r="U176" s="1334">
        <v>26.2</v>
      </c>
      <c r="V176" s="1297"/>
      <c r="W176" s="1295">
        <f>+(U176/U169-1)*100</f>
        <v>1.9455252918287869</v>
      </c>
      <c r="X176" s="1299"/>
      <c r="Y176" s="1312">
        <f>+Y177</f>
        <v>215</v>
      </c>
      <c r="Z176" s="1255">
        <f>+Y176-Y175</f>
        <v>0</v>
      </c>
      <c r="AA176" s="1295">
        <f>+(Y176/Y169-1)*100</f>
        <v>1.8957345971563955</v>
      </c>
      <c r="AB176" s="1334">
        <v>6.3</v>
      </c>
      <c r="AC176" s="1297"/>
      <c r="AD176" s="1295">
        <f>+(AB176/AB169-1)*100</f>
        <v>3.2786885245901676</v>
      </c>
      <c r="AE176" s="1299"/>
      <c r="AF176" s="1312">
        <f>+AF177</f>
        <v>307</v>
      </c>
      <c r="AG176" s="1255">
        <f>+AF176-AF175</f>
        <v>3</v>
      </c>
      <c r="AH176" s="1295">
        <f>+(AF176/AF169-1)*100</f>
        <v>16.730038022813698</v>
      </c>
      <c r="AI176" s="1334">
        <v>9.8000000000000007</v>
      </c>
      <c r="AJ176" s="1297"/>
      <c r="AK176" s="1295">
        <f>+(AI176/AI169-1)*100</f>
        <v>15.294117647058837</v>
      </c>
      <c r="AL176" s="1299"/>
      <c r="AM176" s="1312">
        <f>+AM177</f>
        <v>336</v>
      </c>
      <c r="AN176" s="1255">
        <f>+AM176-AM175</f>
        <v>0</v>
      </c>
      <c r="AO176" s="1295">
        <f>+(AM176/AM169-1)*100</f>
        <v>4.0247678018575872</v>
      </c>
      <c r="AP176" s="1334">
        <v>8.4</v>
      </c>
      <c r="AQ176" s="1297"/>
      <c r="AR176" s="1295">
        <f>+(AP176/AP169-1)*100</f>
        <v>5.0000000000000044</v>
      </c>
      <c r="AS176" s="1299"/>
      <c r="AT176" s="1312">
        <f>+AT177</f>
        <v>142</v>
      </c>
      <c r="AU176" s="1255">
        <f>+AT176-AT175</f>
        <v>-19</v>
      </c>
      <c r="AV176" s="1295">
        <f>+(AT176/AT169-1)*100</f>
        <v>-5.3333333333333339</v>
      </c>
      <c r="AW176" s="1334">
        <v>3.6</v>
      </c>
      <c r="AX176" s="1297"/>
      <c r="AY176" s="1295">
        <f>+(AW176/AW169-1)*100</f>
        <v>-5.2631578947368363</v>
      </c>
      <c r="AZ176" s="1299"/>
      <c r="BA176" s="1312">
        <f>+BA177</f>
        <v>82</v>
      </c>
      <c r="BB176" s="1255">
        <f>+BA176-BA175</f>
        <v>0</v>
      </c>
      <c r="BC176" s="1295">
        <f>+(BA176/BA169-1)*100</f>
        <v>3.7974683544303778</v>
      </c>
      <c r="BD176" s="1334">
        <v>2</v>
      </c>
      <c r="BE176" s="1297"/>
      <c r="BF176" s="1295">
        <f>+(BD176/BD169-1)*100</f>
        <v>5.2631578947368363</v>
      </c>
      <c r="BG176" s="1295"/>
      <c r="BH176" s="1312">
        <f>+BH177</f>
        <v>24</v>
      </c>
      <c r="BI176" s="1255">
        <f>+BH176-BH175</f>
        <v>0</v>
      </c>
      <c r="BJ176" s="1295">
        <f>+(BH176/BH169-1)*100</f>
        <v>71.428571428571416</v>
      </c>
      <c r="BK176" s="1334">
        <v>0.5</v>
      </c>
      <c r="BL176" s="1297"/>
      <c r="BM176" s="1295">
        <f>+(BK176/BK169-1)*100</f>
        <v>66.666666666666671</v>
      </c>
      <c r="BN176" s="1295"/>
      <c r="BO176" s="1312">
        <f>+BO177</f>
        <v>0</v>
      </c>
      <c r="BP176" s="1255">
        <f>+BO176-BO175</f>
        <v>0</v>
      </c>
      <c r="BQ176" s="1295"/>
      <c r="BR176" s="1313">
        <f>BR175+BP176*$BS$163/1000</f>
        <v>0</v>
      </c>
      <c r="BS176" s="1297"/>
      <c r="BT176" s="1295"/>
      <c r="BU176" s="1295"/>
      <c r="BV176" s="1361">
        <f>+BV177</f>
        <v>3</v>
      </c>
      <c r="BW176" s="1358">
        <f>+BV176-BV175</f>
        <v>0</v>
      </c>
      <c r="BX176" s="1357">
        <f>+(BV176/BV169-1)*100</f>
        <v>0</v>
      </c>
      <c r="BY176" s="1362">
        <f>BY175+BW176*$BE$163/1000</f>
        <v>1.4285714285714287E-2</v>
      </c>
      <c r="BZ176" s="1360"/>
      <c r="CA176" s="1357">
        <f>+(BY176/BY169-1)*100</f>
        <v>0</v>
      </c>
      <c r="CB176" s="1299"/>
      <c r="CC176" s="1396"/>
      <c r="CD176" s="1391"/>
      <c r="CE176" s="1392"/>
      <c r="CF176" s="1397"/>
      <c r="CG176" s="1394"/>
      <c r="CH176" s="1392"/>
      <c r="CI176" s="1312"/>
      <c r="CJ176" s="1255"/>
      <c r="CK176" s="1295"/>
      <c r="CL176" s="1313"/>
      <c r="CM176" s="1297"/>
      <c r="CN176" s="1295"/>
      <c r="CO176" s="1295"/>
      <c r="CP176" s="1312"/>
      <c r="CQ176" s="1255"/>
      <c r="CR176" s="1295"/>
      <c r="CS176" s="1313"/>
      <c r="CT176" s="1297"/>
      <c r="CU176" s="1295"/>
      <c r="CV176" s="1299"/>
      <c r="CW176" s="1312">
        <f>+D176+Y176+AF176+AM176+AT176+BA176+BH176</f>
        <v>2859</v>
      </c>
      <c r="CX176" s="1307">
        <f>+CW176-CW175</f>
        <v>-14</v>
      </c>
      <c r="CY176" s="1295">
        <f>+(CW176/CW169-1)*100</f>
        <v>4.2289464090411899</v>
      </c>
      <c r="CZ176" s="1297"/>
      <c r="DA176" s="1297"/>
      <c r="DB176" s="1334">
        <v>84</v>
      </c>
      <c r="DC176" s="1297"/>
      <c r="DD176" s="1295">
        <f>+(DB176/DB169-1)*100</f>
        <v>4.0892193308550207</v>
      </c>
      <c r="DE176" s="1266"/>
      <c r="DF176" s="1350">
        <f>+D176/$CW176</f>
        <v>0.61315145155648831</v>
      </c>
      <c r="DG176" s="1351"/>
      <c r="DH176" s="1351"/>
      <c r="DI176" s="1350">
        <f>+Y176/$CW176</f>
        <v>7.5201119272472888E-2</v>
      </c>
      <c r="DJ176" s="1350">
        <f>+AF176/CW176</f>
        <v>0.10738020286813571</v>
      </c>
      <c r="DK176" s="1350">
        <f>+AM176/CW176</f>
        <v>0.11752360965372508</v>
      </c>
      <c r="DL176" s="1350">
        <f>+AT176/CW176</f>
        <v>4.9667715984610006E-2</v>
      </c>
      <c r="DM176" s="1350">
        <f>+BA176/$CW176</f>
        <v>2.8681357117873382E-2</v>
      </c>
      <c r="DN176" s="1350">
        <f>+BH176/$CW176</f>
        <v>8.3945435466946487E-3</v>
      </c>
      <c r="DO176" s="1350"/>
      <c r="DP176" s="1350"/>
      <c r="DQ176" s="1350"/>
      <c r="DR176" s="1395"/>
      <c r="DS176" s="1333">
        <f t="shared" si="16"/>
        <v>4</v>
      </c>
      <c r="DT176" s="1333">
        <f t="shared" si="17"/>
        <v>-2</v>
      </c>
      <c r="DU176" s="1333">
        <f t="shared" si="18"/>
        <v>0</v>
      </c>
      <c r="DV176" s="1333">
        <f t="shared" si="19"/>
        <v>3</v>
      </c>
      <c r="DW176" s="1333">
        <f t="shared" si="20"/>
        <v>0</v>
      </c>
      <c r="DX176" s="1333">
        <f t="shared" si="21"/>
        <v>-19</v>
      </c>
      <c r="DY176" s="1333">
        <f t="shared" si="22"/>
        <v>0</v>
      </c>
      <c r="DZ176" s="1333">
        <f t="shared" si="23"/>
        <v>0</v>
      </c>
      <c r="EA176" s="1333">
        <f t="shared" si="24"/>
        <v>0</v>
      </c>
      <c r="EB176" s="1333">
        <f t="shared" si="25"/>
        <v>0</v>
      </c>
      <c r="ED176" s="451">
        <f>-(SUMIF(DS176:EB176,"&lt;0"))</f>
        <v>21</v>
      </c>
      <c r="EE176" s="451">
        <f>(SUMIF(DS176:EB176,"&gt;0"))</f>
        <v>7</v>
      </c>
      <c r="EF176" s="451">
        <f>+EE176-ED176</f>
        <v>-14</v>
      </c>
      <c r="EG176" s="1333">
        <f>+EF176-CX176</f>
        <v>0</v>
      </c>
    </row>
    <row r="177" spans="1:137" ht="15">
      <c r="A177" s="1266"/>
      <c r="B177" s="1266" t="str">
        <f>$B$21</f>
        <v>Year</v>
      </c>
      <c r="C177" s="1266"/>
      <c r="D177" s="1306">
        <f>+D176</f>
        <v>1753</v>
      </c>
      <c r="E177" s="1317">
        <f>+D177-D170</f>
        <v>50</v>
      </c>
      <c r="F177" s="1295">
        <f>+(D177/D170-1)*100</f>
        <v>2.9359953024075125</v>
      </c>
      <c r="G177" s="1296">
        <f t="shared" si="32"/>
        <v>53.5</v>
      </c>
      <c r="H177" s="1297">
        <f>+G177/D177*1000</f>
        <v>30.519110096976611</v>
      </c>
      <c r="I177" s="1295">
        <f>+(G177/G170-1)*100</f>
        <v>2.6871401151631558</v>
      </c>
      <c r="J177" s="1266"/>
      <c r="K177" s="1306">
        <f>+L177+K170</f>
        <v>923</v>
      </c>
      <c r="L177" s="1256">
        <v>33</v>
      </c>
      <c r="M177" s="1295">
        <f>+(K177/K170-1)*100</f>
        <v>3.7078651685393149</v>
      </c>
      <c r="N177" s="1296">
        <f>+N176</f>
        <v>27.3</v>
      </c>
      <c r="O177" s="1317">
        <f>+N177/K177*1000</f>
        <v>29.577464788732396</v>
      </c>
      <c r="P177" s="1295">
        <f>+(N177/N170-1)*100</f>
        <v>3.4090909090909172</v>
      </c>
      <c r="Q177" s="1299"/>
      <c r="R177" s="1306">
        <f>+S177+R170</f>
        <v>830</v>
      </c>
      <c r="S177" s="1256">
        <v>17</v>
      </c>
      <c r="T177" s="1295">
        <f>+(R177/R170-1)*100</f>
        <v>2.091020910209096</v>
      </c>
      <c r="U177" s="1296">
        <f>+U176</f>
        <v>26.2</v>
      </c>
      <c r="V177" s="1317">
        <f>+U177/R177*1000</f>
        <v>31.566265060240962</v>
      </c>
      <c r="W177" s="1295">
        <f>+(U177/U170-1)*100</f>
        <v>1.9455252918287869</v>
      </c>
      <c r="X177" s="1299"/>
      <c r="Y177" s="1306">
        <f>+Z177+Y170</f>
        <v>215</v>
      </c>
      <c r="Z177" s="1256">
        <v>4</v>
      </c>
      <c r="AA177" s="1295">
        <f>+(Y177/Y170-1)*100</f>
        <v>1.8957345971563955</v>
      </c>
      <c r="AB177" s="1296">
        <f>+AB176</f>
        <v>6.3</v>
      </c>
      <c r="AC177" s="1317">
        <f>+AB177/Y177*1000</f>
        <v>29.302325581395348</v>
      </c>
      <c r="AD177" s="1295">
        <f>+(AB177/AB170-1)*100</f>
        <v>3.2786885245901676</v>
      </c>
      <c r="AE177" s="1299"/>
      <c r="AF177" s="1306">
        <f>+AG177+AF170</f>
        <v>307</v>
      </c>
      <c r="AG177" s="1256">
        <v>44</v>
      </c>
      <c r="AH177" s="1295">
        <f>+(AF177/AF170-1)*100</f>
        <v>16.730038022813698</v>
      </c>
      <c r="AI177" s="1296">
        <f>+AI176</f>
        <v>9.8000000000000007</v>
      </c>
      <c r="AJ177" s="1317">
        <f>+AI177/AF177*1000</f>
        <v>31.921824104234531</v>
      </c>
      <c r="AK177" s="1295">
        <f>+(AI177/AI170-1)*100</f>
        <v>15.294117647058837</v>
      </c>
      <c r="AL177" s="1299"/>
      <c r="AM177" s="1306">
        <f>+AN177+AM170</f>
        <v>336</v>
      </c>
      <c r="AN177" s="1256">
        <v>13</v>
      </c>
      <c r="AO177" s="1295">
        <f>+(AM177/AM170-1)*100</f>
        <v>4.0247678018575872</v>
      </c>
      <c r="AP177" s="1296">
        <f>+AP176</f>
        <v>8.4</v>
      </c>
      <c r="AQ177" s="1317">
        <f>+AP177/AM177*1000</f>
        <v>25</v>
      </c>
      <c r="AR177" s="1295">
        <f>+(AP177/AP170-1)*100</f>
        <v>5.0000000000000044</v>
      </c>
      <c r="AS177" s="1299"/>
      <c r="AT177" s="1306">
        <f>+AU177+AT170</f>
        <v>142</v>
      </c>
      <c r="AU177" s="1256">
        <v>-8</v>
      </c>
      <c r="AV177" s="1295">
        <f>+(AT177/AT170-1)*100</f>
        <v>-5.3333333333333339</v>
      </c>
      <c r="AW177" s="1296">
        <f>AW176</f>
        <v>3.6</v>
      </c>
      <c r="AX177" s="1317">
        <f>+AX170</f>
        <v>26</v>
      </c>
      <c r="AY177" s="1295">
        <f>+(AW177/AW170-1)*100</f>
        <v>-5.2631578947368363</v>
      </c>
      <c r="AZ177" s="1299"/>
      <c r="BA177" s="1306">
        <f>+BB177+BA170</f>
        <v>82</v>
      </c>
      <c r="BB177" s="1256">
        <v>3</v>
      </c>
      <c r="BC177" s="1295">
        <f>+(BA177/BA170-1)*100</f>
        <v>3.7974683544303778</v>
      </c>
      <c r="BD177" s="1296">
        <f>BD176</f>
        <v>2</v>
      </c>
      <c r="BE177" s="1317">
        <f>+BD177/BA177*1000</f>
        <v>24.390243902439025</v>
      </c>
      <c r="BF177" s="1295">
        <f>+(BD177/BD170-1)*100</f>
        <v>5.2631578947368363</v>
      </c>
      <c r="BG177" s="1295"/>
      <c r="BH177" s="1306">
        <f>+BI177+BH170</f>
        <v>24</v>
      </c>
      <c r="BI177" s="1256">
        <v>10</v>
      </c>
      <c r="BJ177" s="1295">
        <f>+(BH177/BH170-1)*100</f>
        <v>71.428571428571416</v>
      </c>
      <c r="BK177" s="1296">
        <f>BK176</f>
        <v>0.5</v>
      </c>
      <c r="BL177" s="1317">
        <f>+BK177/BH177*1000</f>
        <v>20.833333333333332</v>
      </c>
      <c r="BM177" s="1295">
        <f>+(BK177/BK170-1)*100</f>
        <v>66.666666666666671</v>
      </c>
      <c r="BN177" s="1295"/>
      <c r="BO177" s="1306">
        <f>+BP177+BO170</f>
        <v>0</v>
      </c>
      <c r="BP177" s="1256">
        <v>0</v>
      </c>
      <c r="BQ177" s="1295"/>
      <c r="BR177" s="1296">
        <f>+BO177*BS177/1000</f>
        <v>0</v>
      </c>
      <c r="BS177" s="1297">
        <v>0</v>
      </c>
      <c r="BT177" s="1295"/>
      <c r="BU177" s="1295"/>
      <c r="BV177" s="1337">
        <f>+BW177+BV170</f>
        <v>3</v>
      </c>
      <c r="BW177" s="1343">
        <v>0</v>
      </c>
      <c r="BX177" s="1357">
        <f>+(BV177/BV170-1)*100</f>
        <v>0</v>
      </c>
      <c r="BY177" s="1359">
        <f>+BV177*BZ177/1000</f>
        <v>1.4285714285714289E-2</v>
      </c>
      <c r="BZ177" s="1360">
        <f>+BZ170</f>
        <v>4.7619047619047628</v>
      </c>
      <c r="CA177" s="1357">
        <f>+(BY177/BY170-1)*100</f>
        <v>2.2204460492503131E-14</v>
      </c>
      <c r="CB177" s="1299"/>
      <c r="CC177" s="1398"/>
      <c r="CD177" s="1399"/>
      <c r="CE177" s="1392"/>
      <c r="CF177" s="1393"/>
      <c r="CG177" s="1394"/>
      <c r="CH177" s="1392"/>
      <c r="CI177" s="1306" t="s">
        <v>164</v>
      </c>
      <c r="CJ177" s="1256"/>
      <c r="CK177" s="1295"/>
      <c r="CL177" s="1296"/>
      <c r="CM177" s="1297"/>
      <c r="CN177" s="1295"/>
      <c r="CO177" s="1295"/>
      <c r="CP177" s="1306" t="s">
        <v>164</v>
      </c>
      <c r="CQ177" s="1256"/>
      <c r="CR177" s="1295"/>
      <c r="CS177" s="1296"/>
      <c r="CT177" s="1297"/>
      <c r="CU177" s="1295"/>
      <c r="CV177" s="1299"/>
      <c r="CW177" s="1306">
        <f>+D177+Y177+AF177+AM177+AT177+BA177+BH177</f>
        <v>2859</v>
      </c>
      <c r="CX177" s="1317">
        <f>+E177+Z177+AG177+AN177+AU177+BB177+BI177+BP177</f>
        <v>116</v>
      </c>
      <c r="CY177" s="1295">
        <f>+(CW177/CW170-1)*100</f>
        <v>4.2289464090411899</v>
      </c>
      <c r="CZ177" s="1297"/>
      <c r="DA177" s="1297"/>
      <c r="DB177" s="1296">
        <f>+G177+AB177+AI177+AP177+AW177+BD177+BK177</f>
        <v>84.1</v>
      </c>
      <c r="DC177" s="1297">
        <f>+DB177/CW177*1000</f>
        <v>29.415879678209162</v>
      </c>
      <c r="DD177" s="1295">
        <f>+(DB177/DB170-1)*100</f>
        <v>4.2131350681536395</v>
      </c>
      <c r="DE177" s="1266"/>
      <c r="DF177" s="1350">
        <f>+D177/$CW177</f>
        <v>0.61315145155648831</v>
      </c>
      <c r="DG177" s="1351"/>
      <c r="DH177" s="1351"/>
      <c r="DI177" s="1350">
        <f>+Y177/$CW177</f>
        <v>7.5201119272472888E-2</v>
      </c>
      <c r="DJ177" s="1350">
        <f>+AF177/CW177</f>
        <v>0.10738020286813571</v>
      </c>
      <c r="DK177" s="1350">
        <f>+AM177/CW177</f>
        <v>0.11752360965372508</v>
      </c>
      <c r="DL177" s="1350">
        <f>+AT177/CW177</f>
        <v>4.9667715984610006E-2</v>
      </c>
      <c r="DM177" s="1350">
        <f>+BA177/$CW177</f>
        <v>2.8681357117873382E-2</v>
      </c>
      <c r="DN177" s="1350">
        <f>+BH177/$CW177</f>
        <v>8.3945435466946487E-3</v>
      </c>
      <c r="DO177" s="1350"/>
      <c r="DP177" s="1350"/>
      <c r="DQ177" s="1350"/>
      <c r="DR177" s="1395"/>
      <c r="DS177" s="1333"/>
      <c r="DT177" s="1333"/>
      <c r="DU177" s="1333"/>
      <c r="DV177" s="1333"/>
      <c r="DW177" s="1333"/>
      <c r="DX177" s="1333"/>
      <c r="DY177" s="1333"/>
      <c r="DZ177" s="1333"/>
      <c r="EA177" s="1333"/>
      <c r="EB177" s="1333"/>
      <c r="ED177" s="693">
        <f>SUM(ED173:ED176)</f>
        <v>21</v>
      </c>
      <c r="EE177" s="693">
        <f>SUM(EE173:EE176)</f>
        <v>137</v>
      </c>
      <c r="EF177" s="693">
        <f>+EE177-ED177</f>
        <v>116</v>
      </c>
      <c r="EG177" s="1333">
        <f>+EF177-CX177</f>
        <v>0</v>
      </c>
    </row>
    <row r="178" spans="1:137" ht="16.5">
      <c r="A178" s="1285"/>
      <c r="B178" s="1285"/>
      <c r="C178" s="1285"/>
      <c r="D178" s="1406"/>
      <c r="E178" s="1269"/>
      <c r="F178" s="1302"/>
      <c r="G178" s="1285">
        <f t="shared" si="32"/>
        <v>0</v>
      </c>
      <c r="H178" s="1286"/>
      <c r="I178" s="1295"/>
      <c r="J178" s="1285"/>
      <c r="K178" s="1286"/>
      <c r="L178" s="1269"/>
      <c r="M178" s="1286"/>
      <c r="N178" s="1285"/>
      <c r="O178" s="1286"/>
      <c r="P178" s="1295"/>
      <c r="Q178" s="1286"/>
      <c r="R178" s="1286"/>
      <c r="S178" s="1269"/>
      <c r="T178" s="1286"/>
      <c r="U178" s="1285"/>
      <c r="V178" s="1286"/>
      <c r="W178" s="1295"/>
      <c r="X178" s="1286"/>
      <c r="Y178" s="1286"/>
      <c r="Z178" s="1269"/>
      <c r="AA178" s="1268"/>
      <c r="AB178" s="1407"/>
      <c r="AC178" s="1286"/>
      <c r="AD178" s="1295"/>
      <c r="AE178" s="1268"/>
      <c r="AF178" s="1286"/>
      <c r="AG178" s="1269"/>
      <c r="AH178" s="1270"/>
      <c r="AI178" s="1285"/>
      <c r="AJ178" s="1286"/>
      <c r="AK178" s="1302"/>
      <c r="AL178" s="1268"/>
      <c r="AM178" s="1286"/>
      <c r="AN178" s="1269"/>
      <c r="AO178" s="1268"/>
      <c r="AP178" s="1285"/>
      <c r="AQ178" s="1286"/>
      <c r="AR178" s="1295"/>
      <c r="AS178" s="1268"/>
      <c r="AT178" s="1286"/>
      <c r="AU178" s="1269"/>
      <c r="AV178" s="1266"/>
      <c r="AW178" s="1285"/>
      <c r="AX178" s="1286"/>
      <c r="AY178" s="1295"/>
      <c r="AZ178" s="1266"/>
      <c r="BA178" s="1286"/>
      <c r="BB178" s="1269"/>
      <c r="BC178" s="1266"/>
      <c r="BD178" s="1285"/>
      <c r="BE178" s="1286"/>
      <c r="BF178" s="1295"/>
      <c r="BG178" s="1295"/>
      <c r="BH178" s="1408"/>
      <c r="BI178" s="1401"/>
      <c r="BJ178" s="1402"/>
      <c r="BK178" s="1409"/>
      <c r="BL178" s="1408"/>
      <c r="BM178" s="1295"/>
      <c r="BN178" s="1295"/>
      <c r="BO178" s="1408"/>
      <c r="BP178" s="1401"/>
      <c r="BQ178" s="1402"/>
      <c r="BR178" s="1409"/>
      <c r="BS178" s="1408"/>
      <c r="BT178" s="1295"/>
      <c r="BU178" s="1295"/>
      <c r="BV178" s="1410"/>
      <c r="BW178" s="1354"/>
      <c r="BX178" s="1355"/>
      <c r="BY178" s="1411"/>
      <c r="BZ178" s="1410"/>
      <c r="CA178" s="1357"/>
      <c r="CB178" s="1266"/>
      <c r="CC178" s="1408"/>
      <c r="CD178" s="1401"/>
      <c r="CE178" s="1402"/>
      <c r="CF178" s="1409"/>
      <c r="CG178" s="1408"/>
      <c r="CH178" s="1392"/>
      <c r="CI178" s="1408"/>
      <c r="CJ178" s="1401"/>
      <c r="CK178" s="1402"/>
      <c r="CL178" s="1409"/>
      <c r="CM178" s="1408"/>
      <c r="CN178" s="1295"/>
      <c r="CO178" s="1295"/>
      <c r="CP178" s="1408"/>
      <c r="CQ178" s="1401"/>
      <c r="CR178" s="1402"/>
      <c r="CS178" s="1409"/>
      <c r="CT178" s="1408"/>
      <c r="CU178" s="1295"/>
      <c r="CV178" s="1266"/>
      <c r="CW178" s="1412"/>
      <c r="CX178" s="1266"/>
      <c r="CY178" s="1266"/>
      <c r="CZ178" s="1266"/>
      <c r="DA178" s="1266"/>
      <c r="DB178" s="1413"/>
      <c r="DC178" s="1286"/>
      <c r="DD178" s="1302"/>
      <c r="DE178" s="1285"/>
      <c r="DF178" s="1285"/>
      <c r="DG178" s="1285"/>
      <c r="DH178" s="1285"/>
      <c r="DI178" s="1285"/>
      <c r="DJ178" s="1285"/>
      <c r="DK178" s="1285"/>
      <c r="DL178" s="1285"/>
      <c r="DM178" s="1285"/>
      <c r="DN178" s="1285"/>
      <c r="DO178" s="1285"/>
      <c r="DP178" s="1285"/>
      <c r="DQ178" s="1285"/>
      <c r="DS178" s="1333"/>
      <c r="DT178" s="1333"/>
      <c r="DU178" s="1333"/>
      <c r="DV178" s="1333"/>
      <c r="DW178" s="1333"/>
      <c r="DX178" s="1333"/>
      <c r="DY178" s="1333"/>
      <c r="DZ178" s="1333"/>
      <c r="EA178" s="1333"/>
      <c r="EB178" s="1333"/>
    </row>
    <row r="179" spans="1:137" ht="15.75">
      <c r="A179" s="2118">
        <f>+A172+1</f>
        <v>2011</v>
      </c>
      <c r="B179" s="2118"/>
      <c r="C179" s="1266"/>
      <c r="D179" s="1335"/>
      <c r="E179" s="1414"/>
      <c r="F179" s="1302"/>
      <c r="G179" s="1335"/>
      <c r="H179" s="1268"/>
      <c r="I179" s="1295"/>
      <c r="J179" s="1266"/>
      <c r="K179" s="1336"/>
      <c r="L179" s="1269"/>
      <c r="M179" s="1268"/>
      <c r="N179" s="1336"/>
      <c r="O179" s="1268"/>
      <c r="P179" s="1295"/>
      <c r="Q179" s="1268"/>
      <c r="R179" s="1336"/>
      <c r="S179" s="1269"/>
      <c r="T179" s="1268"/>
      <c r="U179" s="1336"/>
      <c r="V179" s="1268"/>
      <c r="W179" s="1295"/>
      <c r="X179" s="1268"/>
      <c r="Y179" s="1336"/>
      <c r="Z179" s="1269"/>
      <c r="AA179" s="1268"/>
      <c r="AB179" s="1336"/>
      <c r="AC179" s="1268"/>
      <c r="AD179" s="1295"/>
      <c r="AE179" s="1268"/>
      <c r="AF179" s="1336"/>
      <c r="AG179" s="1269"/>
      <c r="AH179" s="1270"/>
      <c r="AI179" s="1336"/>
      <c r="AJ179" s="1268"/>
      <c r="AK179" s="1302"/>
      <c r="AL179" s="1268"/>
      <c r="AM179" s="1336"/>
      <c r="AN179" s="1269"/>
      <c r="AO179" s="1268"/>
      <c r="AP179" s="1336"/>
      <c r="AQ179" s="1268"/>
      <c r="AR179" s="1295"/>
      <c r="AS179" s="1268"/>
      <c r="AT179" s="1336"/>
      <c r="AU179" s="1266"/>
      <c r="AV179" s="1266"/>
      <c r="AW179" s="1336"/>
      <c r="AX179" s="1268"/>
      <c r="AY179" s="1295"/>
      <c r="AZ179" s="1266"/>
      <c r="BA179" s="1336"/>
      <c r="BB179" s="1269"/>
      <c r="BC179" s="1266"/>
      <c r="BD179" s="1336"/>
      <c r="BE179" s="1268"/>
      <c r="BF179" s="1295"/>
      <c r="BG179" s="1295"/>
      <c r="BH179" s="1405"/>
      <c r="BI179" s="1401"/>
      <c r="BJ179" s="1402"/>
      <c r="BK179" s="1405"/>
      <c r="BL179" s="1400"/>
      <c r="BM179" s="1295"/>
      <c r="BN179" s="1295"/>
      <c r="BO179" s="1405"/>
      <c r="BP179" s="1401"/>
      <c r="BQ179" s="1402"/>
      <c r="BR179" s="1349"/>
      <c r="BS179" s="1400"/>
      <c r="BT179" s="1295"/>
      <c r="BU179" s="1295"/>
      <c r="BV179" s="1345"/>
      <c r="BW179" s="1354"/>
      <c r="BX179" s="1355"/>
      <c r="BY179" s="1345"/>
      <c r="BZ179" s="1356"/>
      <c r="CA179" s="1357"/>
      <c r="CB179" s="1266"/>
      <c r="CC179" s="1405"/>
      <c r="CD179" s="1401"/>
      <c r="CE179" s="1402"/>
      <c r="CF179" s="1405"/>
      <c r="CG179" s="1400"/>
      <c r="CH179" s="1392"/>
      <c r="CI179" s="1405"/>
      <c r="CJ179" s="1401"/>
      <c r="CK179" s="1402"/>
      <c r="CL179" s="1349"/>
      <c r="CM179" s="1400"/>
      <c r="CN179" s="1295"/>
      <c r="CO179" s="1295"/>
      <c r="CP179" s="1405"/>
      <c r="CQ179" s="1401"/>
      <c r="CR179" s="1402"/>
      <c r="CS179" s="1349"/>
      <c r="CT179" s="1400"/>
      <c r="CU179" s="1295"/>
      <c r="CV179" s="1266"/>
      <c r="CW179" s="1335"/>
      <c r="CX179" s="1266"/>
      <c r="CY179" s="1266"/>
      <c r="CZ179" s="1266"/>
      <c r="DA179" s="1266"/>
      <c r="DB179" s="1335"/>
      <c r="DC179" s="1268"/>
      <c r="DD179" s="1302"/>
      <c r="DE179" s="1266"/>
      <c r="DF179" s="1266"/>
      <c r="DG179" s="1266"/>
      <c r="DH179" s="1266"/>
      <c r="DI179" s="1266"/>
      <c r="DJ179" s="1266"/>
      <c r="DK179" s="1266"/>
      <c r="DL179" s="1266"/>
      <c r="DM179" s="1266"/>
      <c r="DN179" s="1266"/>
      <c r="DO179" s="1266"/>
      <c r="DP179" s="1266"/>
      <c r="DQ179" s="1266"/>
      <c r="DS179" s="1333"/>
      <c r="DT179" s="1333"/>
      <c r="DU179" s="1333"/>
      <c r="DV179" s="1333"/>
      <c r="DW179" s="1333"/>
      <c r="DX179" s="1333"/>
      <c r="DY179" s="1333"/>
      <c r="DZ179" s="1333"/>
      <c r="EA179" s="1333"/>
      <c r="EB179" s="1333"/>
    </row>
    <row r="180" spans="1:137" ht="15">
      <c r="A180" s="1266" t="str">
        <f>$A$17</f>
        <v>1Q</v>
      </c>
      <c r="B180" s="1266" t="str">
        <f>$B$17</f>
        <v>Apr</v>
      </c>
      <c r="C180" s="1266"/>
      <c r="D180" s="1294">
        <f t="shared" ref="D180:E183" si="33">+K180+R180</f>
        <v>1828</v>
      </c>
      <c r="E180" s="1255">
        <f t="shared" si="33"/>
        <v>75</v>
      </c>
      <c r="F180" s="1295">
        <f>+(D180/D173-1)*100</f>
        <v>6.7133683596030336</v>
      </c>
      <c r="G180" s="1296">
        <f>+N180+U180</f>
        <v>55.3</v>
      </c>
      <c r="H180" s="1297"/>
      <c r="I180" s="1295">
        <f>+(G180/G173-1)*100</f>
        <v>5.9386973180076463</v>
      </c>
      <c r="J180" s="1266"/>
      <c r="K180" s="1294">
        <f>+K177+L180</f>
        <v>956</v>
      </c>
      <c r="L180" s="1254">
        <v>33</v>
      </c>
      <c r="M180" s="1295">
        <f>+(K180/K173-1)*100</f>
        <v>6.6964285714285809</v>
      </c>
      <c r="N180" s="1318">
        <v>28.1</v>
      </c>
      <c r="O180" s="1297"/>
      <c r="P180" s="1295">
        <f>+(N180/N173-1)*100</f>
        <v>6.4393939393939448</v>
      </c>
      <c r="Q180" s="1299"/>
      <c r="R180" s="1294">
        <f>+R177+S180</f>
        <v>872</v>
      </c>
      <c r="S180" s="1254">
        <v>42</v>
      </c>
      <c r="T180" s="1295">
        <f>+(R180/R173-1)*100</f>
        <v>6.7319461444308448</v>
      </c>
      <c r="U180" s="1318">
        <v>27.2</v>
      </c>
      <c r="V180" s="1297"/>
      <c r="W180" s="1295">
        <f>+(U180/U173-1)*100</f>
        <v>5.4263565891472743</v>
      </c>
      <c r="X180" s="1299"/>
      <c r="Y180" s="1294">
        <f>+Y177+Z180</f>
        <v>216</v>
      </c>
      <c r="Z180" s="1254">
        <v>1</v>
      </c>
      <c r="AA180" s="1295">
        <f>+(Y180/Y173-1)*100</f>
        <v>2.3696682464454888</v>
      </c>
      <c r="AB180" s="1318">
        <v>6.3</v>
      </c>
      <c r="AC180" s="1297"/>
      <c r="AD180" s="1295"/>
      <c r="AE180" s="1299"/>
      <c r="AF180" s="1294">
        <f>+AF177+AG180</f>
        <v>316</v>
      </c>
      <c r="AG180" s="1254">
        <v>9</v>
      </c>
      <c r="AH180" s="1295">
        <f>+(AF180/AF173-1)*100</f>
        <v>16.176470588235304</v>
      </c>
      <c r="AI180" s="1318">
        <v>10.1</v>
      </c>
      <c r="AJ180" s="1297"/>
      <c r="AK180" s="1295">
        <f>+(AI180/AI173-1)*100</f>
        <v>16.09195402298851</v>
      </c>
      <c r="AL180" s="1299"/>
      <c r="AM180" s="1294">
        <f>+AM177+AN180</f>
        <v>350</v>
      </c>
      <c r="AN180" s="1254">
        <v>14</v>
      </c>
      <c r="AO180" s="1295">
        <f>+(AM180/AM173-1)*100</f>
        <v>7.6923076923076872</v>
      </c>
      <c r="AP180" s="1318">
        <v>8.6999999999999993</v>
      </c>
      <c r="AQ180" s="1297"/>
      <c r="AR180" s="1295">
        <f>+(AP180/AP173-1)*100</f>
        <v>7.4074074074073959</v>
      </c>
      <c r="AS180" s="1299"/>
      <c r="AT180" s="1294">
        <f>+AT177+AU180</f>
        <v>0</v>
      </c>
      <c r="AU180" s="1254">
        <v>-142</v>
      </c>
      <c r="AV180" s="1295">
        <f>+(AT180/AT173-1)*100</f>
        <v>-100</v>
      </c>
      <c r="AW180" s="1318">
        <v>0</v>
      </c>
      <c r="AX180" s="1297"/>
      <c r="AY180" s="1295">
        <f>+(AW180/AW173-1)*100</f>
        <v>-100</v>
      </c>
      <c r="AZ180" s="1299"/>
      <c r="BA180" s="1294">
        <f>+BA177+BB180</f>
        <v>82</v>
      </c>
      <c r="BB180" s="1254">
        <v>0</v>
      </c>
      <c r="BC180" s="1295">
        <f>+(BA180/BA173-1)*100</f>
        <v>3.7974683544303778</v>
      </c>
      <c r="BD180" s="1318">
        <v>2</v>
      </c>
      <c r="BE180" s="1297"/>
      <c r="BF180" s="1295">
        <f>+(BD180/BD173-1)*100</f>
        <v>5.2631578947368363</v>
      </c>
      <c r="BG180" s="1295"/>
      <c r="BH180" s="1294">
        <f>+BH177+BI180</f>
        <v>24</v>
      </c>
      <c r="BI180" s="1254">
        <v>0</v>
      </c>
      <c r="BJ180" s="1295">
        <f>+(BH180/BH173-1)*100</f>
        <v>71.428571428571416</v>
      </c>
      <c r="BK180" s="1318">
        <v>0.5</v>
      </c>
      <c r="BL180" s="1297"/>
      <c r="BM180" s="1295">
        <f>+(BK180/BK173-1)*100</f>
        <v>66.666666666666671</v>
      </c>
      <c r="BN180" s="1295"/>
      <c r="BO180" s="1294">
        <f>+BO177+BP180</f>
        <v>5</v>
      </c>
      <c r="BP180" s="1254">
        <v>5</v>
      </c>
      <c r="BQ180" s="1295"/>
      <c r="BR180" s="1318">
        <v>0.2</v>
      </c>
      <c r="BS180" s="1297"/>
      <c r="BT180" s="1295"/>
      <c r="BU180" s="1295"/>
      <c r="BV180" s="1340">
        <f>+BV177+BW180</f>
        <v>3</v>
      </c>
      <c r="BW180" s="1358">
        <v>0</v>
      </c>
      <c r="BX180" s="1357">
        <f>+(BV180/BV173-1)*100</f>
        <v>0</v>
      </c>
      <c r="BY180" s="1359">
        <f>BY177+BW180*$BL$163/1000</f>
        <v>1.4285714285714289E-2</v>
      </c>
      <c r="BZ180" s="1360"/>
      <c r="CA180" s="1357">
        <f>+(BY180/BY173-1)*100</f>
        <v>2.2204460492503131E-14</v>
      </c>
      <c r="CB180" s="1299"/>
      <c r="CC180" s="1390"/>
      <c r="CD180" s="1391"/>
      <c r="CE180" s="1392"/>
      <c r="CF180" s="1393"/>
      <c r="CG180" s="1394"/>
      <c r="CH180" s="1392"/>
      <c r="CI180" s="1294"/>
      <c r="CJ180" s="1254"/>
      <c r="CK180" s="1295"/>
      <c r="CL180" s="1318"/>
      <c r="CM180" s="1297"/>
      <c r="CN180" s="1295"/>
      <c r="CO180" s="1295"/>
      <c r="CP180" s="1294"/>
      <c r="CQ180" s="1254"/>
      <c r="CR180" s="1295"/>
      <c r="CS180" s="1318"/>
      <c r="CT180" s="1297"/>
      <c r="CU180" s="1295"/>
      <c r="CV180" s="1299"/>
      <c r="CW180" s="1306">
        <f>+D180+Y180+AF180+AM180+AT180+BA180+BH180+BO180</f>
        <v>2821</v>
      </c>
      <c r="CX180" s="1307">
        <f>+CW180-CW176</f>
        <v>-38</v>
      </c>
      <c r="CY180" s="1295">
        <f>+(CW180/CW173-1)*100</f>
        <v>1.988430947216191</v>
      </c>
      <c r="CZ180" s="1297"/>
      <c r="DA180" s="1297"/>
      <c r="DB180" s="1318">
        <v>83.1</v>
      </c>
      <c r="DC180" s="1297"/>
      <c r="DD180" s="1295">
        <f>+(DB180/DB173-1)*100</f>
        <v>2.4660912453760897</v>
      </c>
      <c r="DE180" s="1266"/>
      <c r="DF180" s="1350">
        <f>+D180/$CW180</f>
        <v>0.64799716412619635</v>
      </c>
      <c r="DG180" s="1351"/>
      <c r="DH180" s="1351"/>
      <c r="DI180" s="1350">
        <f>+Y180/$CW180</f>
        <v>7.6568592697624963E-2</v>
      </c>
      <c r="DJ180" s="1350">
        <f>+AF180/CW180</f>
        <v>0.11201701524282169</v>
      </c>
      <c r="DK180" s="1350">
        <f>+AM180/CW180</f>
        <v>0.12406947890818859</v>
      </c>
      <c r="DL180" s="1350">
        <f>+AT180/CW180</f>
        <v>0</v>
      </c>
      <c r="DM180" s="1350">
        <f>+BA180/$CW180</f>
        <v>2.9067706487061327E-2</v>
      </c>
      <c r="DN180" s="1350">
        <f>+BH180/$CW180</f>
        <v>8.5076214108472173E-3</v>
      </c>
      <c r="DO180" s="1350">
        <f>+BO180/$CW180</f>
        <v>1.7724211272598369E-3</v>
      </c>
      <c r="DP180" s="1350"/>
      <c r="DQ180" s="1350"/>
      <c r="DR180" s="1395"/>
      <c r="DS180" s="1333">
        <f t="shared" si="16"/>
        <v>33</v>
      </c>
      <c r="DT180" s="1333">
        <f t="shared" si="17"/>
        <v>42</v>
      </c>
      <c r="DU180" s="1333">
        <f t="shared" si="18"/>
        <v>1</v>
      </c>
      <c r="DV180" s="1333">
        <f t="shared" si="19"/>
        <v>9</v>
      </c>
      <c r="DW180" s="1333">
        <f t="shared" si="20"/>
        <v>14</v>
      </c>
      <c r="DX180" s="1333">
        <f t="shared" si="21"/>
        <v>-142</v>
      </c>
      <c r="DY180" s="1333">
        <f t="shared" si="22"/>
        <v>0</v>
      </c>
      <c r="DZ180" s="1333">
        <f t="shared" si="23"/>
        <v>0</v>
      </c>
      <c r="EA180" s="1333">
        <f t="shared" si="24"/>
        <v>5</v>
      </c>
      <c r="EB180" s="1333">
        <f t="shared" si="25"/>
        <v>0</v>
      </c>
      <c r="ED180" s="451">
        <f>-(SUMIF(DS180:EB180,"&lt;0"))</f>
        <v>142</v>
      </c>
      <c r="EE180" s="451">
        <f>(SUMIF(DS180:EB180,"&gt;0"))</f>
        <v>104</v>
      </c>
      <c r="EF180" s="451">
        <f>+EE180-ED180</f>
        <v>-38</v>
      </c>
      <c r="EG180" s="1333">
        <f>+EF180-CX180</f>
        <v>0</v>
      </c>
    </row>
    <row r="181" spans="1:137" ht="15">
      <c r="A181" s="1266" t="str">
        <f>$A$18</f>
        <v>2Q</v>
      </c>
      <c r="B181" s="1266" t="str">
        <f>$B$18</f>
        <v>Jul</v>
      </c>
      <c r="C181" s="1266"/>
      <c r="D181" s="1294">
        <f t="shared" si="33"/>
        <v>1838</v>
      </c>
      <c r="E181" s="1255">
        <f t="shared" si="33"/>
        <v>10</v>
      </c>
      <c r="F181" s="1295">
        <f>+(D181/D174-1)*100</f>
        <v>6.6744051073708732</v>
      </c>
      <c r="G181" s="1296">
        <f>+N181+U181</f>
        <v>55.6</v>
      </c>
      <c r="H181" s="1297"/>
      <c r="I181" s="1295">
        <f>+(G181/G174-1)*100</f>
        <v>5.7034220532319546</v>
      </c>
      <c r="J181" s="1309"/>
      <c r="K181" s="1294">
        <f>+K180+L181</f>
        <v>963</v>
      </c>
      <c r="L181" s="1254">
        <v>7</v>
      </c>
      <c r="M181" s="1295">
        <f>+(K181/K174-1)*100</f>
        <v>6.6445182724252483</v>
      </c>
      <c r="N181" s="1318">
        <v>28.3</v>
      </c>
      <c r="O181" s="1297"/>
      <c r="P181" s="1295">
        <f>+(N181/N174-1)*100</f>
        <v>5.9925093632958948</v>
      </c>
      <c r="Q181" s="1299"/>
      <c r="R181" s="1294">
        <f>+R180+S181</f>
        <v>875</v>
      </c>
      <c r="S181" s="1254">
        <v>3</v>
      </c>
      <c r="T181" s="1295">
        <f>+(R181/R174-1)*100</f>
        <v>6.7073170731707377</v>
      </c>
      <c r="U181" s="1318">
        <v>27.3</v>
      </c>
      <c r="V181" s="1297"/>
      <c r="W181" s="1295">
        <f>+(U181/U174-1)*100</f>
        <v>5.4054054054054168</v>
      </c>
      <c r="X181" s="1299"/>
      <c r="Y181" s="1294">
        <f>+Y180+Z181</f>
        <v>216</v>
      </c>
      <c r="Z181" s="1254">
        <v>0</v>
      </c>
      <c r="AA181" s="1295">
        <f>+(Y181/Y174-1)*100</f>
        <v>2.3696682464454888</v>
      </c>
      <c r="AB181" s="1318">
        <v>6.3</v>
      </c>
      <c r="AC181" s="1297"/>
      <c r="AD181" s="1295"/>
      <c r="AE181" s="1299"/>
      <c r="AF181" s="1294">
        <f>+AF180+AG181</f>
        <v>322</v>
      </c>
      <c r="AG181" s="1254">
        <v>6</v>
      </c>
      <c r="AH181" s="1295">
        <f>+(AF181/AF174-1)*100</f>
        <v>13.780918727915203</v>
      </c>
      <c r="AI181" s="1318">
        <v>10.3</v>
      </c>
      <c r="AJ181" s="1297"/>
      <c r="AK181" s="1295">
        <f>+(AI181/AI174-1)*100</f>
        <v>14.444444444444461</v>
      </c>
      <c r="AL181" s="1299"/>
      <c r="AM181" s="1294">
        <f>+AM180+AN181</f>
        <v>366</v>
      </c>
      <c r="AN181" s="1254">
        <v>16</v>
      </c>
      <c r="AO181" s="1295">
        <f>+(AM181/AM174-1)*100</f>
        <v>11.585365853658548</v>
      </c>
      <c r="AP181" s="1318">
        <v>9.1</v>
      </c>
      <c r="AQ181" s="1297"/>
      <c r="AR181" s="1295">
        <f>+(AP181/AP174-1)*100</f>
        <v>12.345679012345689</v>
      </c>
      <c r="AS181" s="1299"/>
      <c r="AT181" s="1294">
        <f>+AT180+AU181</f>
        <v>0</v>
      </c>
      <c r="AU181" s="1254">
        <v>0</v>
      </c>
      <c r="AV181" s="1295">
        <f>+(AT181/AT174-1)*100</f>
        <v>-100</v>
      </c>
      <c r="AW181" s="1296">
        <f>AW180+AU181*$AX$163/1000</f>
        <v>0</v>
      </c>
      <c r="AX181" s="1297"/>
      <c r="AY181" s="1295">
        <f>+(AW181/AW174-1)*100</f>
        <v>-100</v>
      </c>
      <c r="AZ181" s="1299"/>
      <c r="BA181" s="1294">
        <f>+BA180+BB181</f>
        <v>82</v>
      </c>
      <c r="BB181" s="1254">
        <v>0</v>
      </c>
      <c r="BC181" s="1295">
        <f>+(BA181/BA174-1)*100</f>
        <v>3.7974683544303778</v>
      </c>
      <c r="BD181" s="1318">
        <v>2</v>
      </c>
      <c r="BE181" s="1297"/>
      <c r="BF181" s="1295">
        <f>+(BD181/BD174-1)*100</f>
        <v>5.2631578947368363</v>
      </c>
      <c r="BG181" s="1295"/>
      <c r="BH181" s="1294">
        <f>+BH180+BI181</f>
        <v>24</v>
      </c>
      <c r="BI181" s="1254">
        <v>0</v>
      </c>
      <c r="BJ181" s="1295">
        <f>+(BH181/BH174-1)*100</f>
        <v>14.285714285714279</v>
      </c>
      <c r="BK181" s="1318">
        <v>0.5</v>
      </c>
      <c r="BL181" s="1297"/>
      <c r="BM181" s="1295">
        <f>+(BK181/BK174-1)*100</f>
        <v>25</v>
      </c>
      <c r="BN181" s="1295"/>
      <c r="BO181" s="1294">
        <f>+BO180+BP181</f>
        <v>5</v>
      </c>
      <c r="BP181" s="1254">
        <v>0</v>
      </c>
      <c r="BQ181" s="1295"/>
      <c r="BR181" s="1318">
        <v>0.2</v>
      </c>
      <c r="BS181" s="1297"/>
      <c r="BT181" s="1295"/>
      <c r="BU181" s="1295"/>
      <c r="BV181" s="1340">
        <f>+BV180+BW181</f>
        <v>3</v>
      </c>
      <c r="BW181" s="1358">
        <v>0</v>
      </c>
      <c r="BX181" s="1357">
        <f>+(BV181/BV174-1)*100</f>
        <v>0</v>
      </c>
      <c r="BY181" s="1359">
        <f>BY180+BW181*$BE$163/1000</f>
        <v>1.4285714285714289E-2</v>
      </c>
      <c r="BZ181" s="1360"/>
      <c r="CA181" s="1357">
        <f>+(BY181/BY174-1)*100</f>
        <v>2.2204460492503131E-14</v>
      </c>
      <c r="CB181" s="1299"/>
      <c r="CC181" s="1390"/>
      <c r="CD181" s="1391"/>
      <c r="CE181" s="1392"/>
      <c r="CF181" s="1393"/>
      <c r="CG181" s="1394"/>
      <c r="CH181" s="1392"/>
      <c r="CI181" s="1294"/>
      <c r="CJ181" s="1254"/>
      <c r="CK181" s="1295"/>
      <c r="CL181" s="1318"/>
      <c r="CM181" s="1297"/>
      <c r="CN181" s="1295"/>
      <c r="CO181" s="1295"/>
      <c r="CP181" s="1294"/>
      <c r="CQ181" s="1254"/>
      <c r="CR181" s="1295"/>
      <c r="CS181" s="1318"/>
      <c r="CT181" s="1297"/>
      <c r="CU181" s="1295"/>
      <c r="CV181" s="1299"/>
      <c r="CW181" s="1306">
        <f>+D181+Y181+AF181+AM181+AT181+BA181+BH181+BO181</f>
        <v>2853</v>
      </c>
      <c r="CX181" s="1307">
        <f>+CW181-CW180</f>
        <v>32</v>
      </c>
      <c r="CY181" s="1295">
        <f>+(CW181/CW174-1)*100</f>
        <v>1.9292604501607746</v>
      </c>
      <c r="CZ181" s="1297"/>
      <c r="DA181" s="1297"/>
      <c r="DB181" s="1318">
        <v>83.9</v>
      </c>
      <c r="DC181" s="1297"/>
      <c r="DD181" s="1295">
        <f>+(DB181/DB174-1)*100</f>
        <v>2.0681265206812682</v>
      </c>
      <c r="DE181" s="1266"/>
      <c r="DF181" s="1350">
        <f>+D181/$CW181</f>
        <v>0.64423413950227826</v>
      </c>
      <c r="DG181" s="1351"/>
      <c r="DH181" s="1351"/>
      <c r="DI181" s="1350">
        <f>+Y181/$CW181</f>
        <v>7.5709779179810727E-2</v>
      </c>
      <c r="DJ181" s="1350">
        <f>+AF181/CW181</f>
        <v>0.11286365229582895</v>
      </c>
      <c r="DK181" s="1350">
        <f>+AM181/CW181</f>
        <v>0.12828601472134596</v>
      </c>
      <c r="DL181" s="1350">
        <f>+AT181/CW181</f>
        <v>0</v>
      </c>
      <c r="DM181" s="1350">
        <f>+BA181/$CW181</f>
        <v>2.8741675429372591E-2</v>
      </c>
      <c r="DN181" s="1350">
        <f>+BH181/$CW181</f>
        <v>8.4121976866456359E-3</v>
      </c>
      <c r="DO181" s="1350">
        <f>+BO181/$CW181</f>
        <v>1.7525411847178409E-3</v>
      </c>
      <c r="DP181" s="1350"/>
      <c r="DQ181" s="1350"/>
      <c r="DR181" s="1395"/>
      <c r="DS181" s="1333">
        <f t="shared" si="16"/>
        <v>7</v>
      </c>
      <c r="DT181" s="1333">
        <f t="shared" si="17"/>
        <v>3</v>
      </c>
      <c r="DU181" s="1333">
        <f t="shared" si="18"/>
        <v>0</v>
      </c>
      <c r="DV181" s="1333">
        <f t="shared" si="19"/>
        <v>6</v>
      </c>
      <c r="DW181" s="1333">
        <f t="shared" si="20"/>
        <v>16</v>
      </c>
      <c r="DX181" s="1333">
        <f t="shared" si="21"/>
        <v>0</v>
      </c>
      <c r="DY181" s="1333">
        <f t="shared" si="22"/>
        <v>0</v>
      </c>
      <c r="DZ181" s="1333">
        <f t="shared" si="23"/>
        <v>0</v>
      </c>
      <c r="EA181" s="1333">
        <f t="shared" si="24"/>
        <v>0</v>
      </c>
      <c r="EB181" s="1333">
        <f t="shared" si="25"/>
        <v>0</v>
      </c>
      <c r="ED181" s="451">
        <f>-(SUMIF(DS181:EB181,"&lt;0"))</f>
        <v>0</v>
      </c>
      <c r="EE181" s="451">
        <f>(SUMIF(DS181:EB181,"&gt;0"))</f>
        <v>32</v>
      </c>
      <c r="EF181" s="451">
        <f>+EE181-ED181</f>
        <v>32</v>
      </c>
      <c r="EG181" s="1333">
        <f>+EF181-CX181</f>
        <v>0</v>
      </c>
    </row>
    <row r="182" spans="1:137" ht="15">
      <c r="A182" s="1266" t="str">
        <f>$A$19</f>
        <v>3Q</v>
      </c>
      <c r="B182" s="1266" t="str">
        <f>$B$19</f>
        <v>Oct</v>
      </c>
      <c r="C182" s="1266"/>
      <c r="D182" s="1294">
        <f t="shared" si="33"/>
        <v>1864</v>
      </c>
      <c r="E182" s="1255">
        <f t="shared" si="33"/>
        <v>26</v>
      </c>
      <c r="F182" s="1295">
        <f>+(D182/D175-1)*100</f>
        <v>6.4534551684751529</v>
      </c>
      <c r="G182" s="1296">
        <f>+N182+U182</f>
        <v>56.2</v>
      </c>
      <c r="H182" s="1297"/>
      <c r="I182" s="1295">
        <f>+(G182/G175-1)*100</f>
        <v>5.2434456928839079</v>
      </c>
      <c r="J182" s="1266"/>
      <c r="K182" s="1294">
        <f>+K181+L182</f>
        <v>980</v>
      </c>
      <c r="L182" s="1254">
        <v>17</v>
      </c>
      <c r="M182" s="1295">
        <f>+(K182/K175-1)*100</f>
        <v>6.6376496191512535</v>
      </c>
      <c r="N182" s="1318">
        <v>28.7</v>
      </c>
      <c r="O182" s="1297"/>
      <c r="P182" s="1295">
        <f>+(N182/N175-1)*100</f>
        <v>5.5147058823529438</v>
      </c>
      <c r="Q182" s="1299"/>
      <c r="R182" s="1294">
        <f>+R181+S182</f>
        <v>884</v>
      </c>
      <c r="S182" s="1254">
        <v>9</v>
      </c>
      <c r="T182" s="1295">
        <f>+(R182/R175-1)*100</f>
        <v>6.25</v>
      </c>
      <c r="U182" s="1318">
        <v>27.5</v>
      </c>
      <c r="V182" s="1297"/>
      <c r="W182" s="1295">
        <f>+(U182/U175-1)*100</f>
        <v>4.961832061068705</v>
      </c>
      <c r="X182" s="1299"/>
      <c r="Y182" s="1294">
        <f>+Y181+Z182</f>
        <v>218</v>
      </c>
      <c r="Z182" s="1254">
        <v>2</v>
      </c>
      <c r="AA182" s="1295">
        <f>+(Y182/Y175-1)*100</f>
        <v>1.3953488372093092</v>
      </c>
      <c r="AB182" s="1318">
        <v>6.4</v>
      </c>
      <c r="AC182" s="1297"/>
      <c r="AD182" s="1295"/>
      <c r="AE182" s="1299"/>
      <c r="AF182" s="1294">
        <f>+AF181+AG182</f>
        <v>333</v>
      </c>
      <c r="AG182" s="1254">
        <v>11</v>
      </c>
      <c r="AH182" s="1295">
        <f>+(AF182/AF175-1)*100</f>
        <v>9.539473684210531</v>
      </c>
      <c r="AI182" s="1318">
        <v>10.5</v>
      </c>
      <c r="AJ182" s="1297"/>
      <c r="AK182" s="1295">
        <f>+(AI182/AI175-1)*100</f>
        <v>8.2474226804123862</v>
      </c>
      <c r="AL182" s="1299"/>
      <c r="AM182" s="1294">
        <f>+AM181+AN182</f>
        <v>375</v>
      </c>
      <c r="AN182" s="1254">
        <v>9</v>
      </c>
      <c r="AO182" s="1295">
        <f>+(AM182/AM175-1)*100</f>
        <v>11.607142857142861</v>
      </c>
      <c r="AP182" s="1318">
        <v>9.4</v>
      </c>
      <c r="AQ182" s="1297"/>
      <c r="AR182" s="1295">
        <f>+(AP182/AP175-1)*100</f>
        <v>11.904761904761907</v>
      </c>
      <c r="AS182" s="1299"/>
      <c r="AT182" s="1294">
        <f>+AT181+AU182</f>
        <v>0</v>
      </c>
      <c r="AU182" s="1254">
        <v>0</v>
      </c>
      <c r="AV182" s="1295">
        <f>+(AT182/AT175-1)*100</f>
        <v>-100</v>
      </c>
      <c r="AW182" s="1296">
        <f>AW181+AU182*$AX$163/1000</f>
        <v>0</v>
      </c>
      <c r="AX182" s="1297"/>
      <c r="AY182" s="1295">
        <f>+(AW182/AW175-1)*100</f>
        <v>-100</v>
      </c>
      <c r="AZ182" s="1299"/>
      <c r="BA182" s="1294">
        <f>+BA181+BB182</f>
        <v>85</v>
      </c>
      <c r="BB182" s="1254">
        <v>3</v>
      </c>
      <c r="BC182" s="1295">
        <f>+(BA182/BA175-1)*100</f>
        <v>3.6585365853658569</v>
      </c>
      <c r="BD182" s="1318">
        <v>2</v>
      </c>
      <c r="BE182" s="1297"/>
      <c r="BF182" s="1295">
        <f>+(BD182/BD175-1)*100</f>
        <v>0</v>
      </c>
      <c r="BG182" s="1295"/>
      <c r="BH182" s="1294">
        <f>+BH181+BI182</f>
        <v>24</v>
      </c>
      <c r="BI182" s="1254">
        <v>0</v>
      </c>
      <c r="BJ182" s="1295">
        <f>+(BH182/BH175-1)*100</f>
        <v>0</v>
      </c>
      <c r="BK182" s="1318">
        <v>0.5</v>
      </c>
      <c r="BL182" s="1297"/>
      <c r="BM182" s="1295">
        <f>+(BK182/BK175-1)*100</f>
        <v>0</v>
      </c>
      <c r="BN182" s="1295"/>
      <c r="BO182" s="1294">
        <f>+BO181+BP182</f>
        <v>6</v>
      </c>
      <c r="BP182" s="1254">
        <v>1</v>
      </c>
      <c r="BQ182" s="1295"/>
      <c r="BR182" s="1318">
        <v>0.2</v>
      </c>
      <c r="BS182" s="1297"/>
      <c r="BT182" s="1295"/>
      <c r="BU182" s="1295"/>
      <c r="BV182" s="1340">
        <f>+BV181+BW182</f>
        <v>3</v>
      </c>
      <c r="BW182" s="1358">
        <v>0</v>
      </c>
      <c r="BX182" s="1357">
        <f>+(BV182/BV175-1)*100</f>
        <v>0</v>
      </c>
      <c r="BY182" s="1359">
        <f>BY181+BW182*$BE$163/1000</f>
        <v>1.4285714285714289E-2</v>
      </c>
      <c r="BZ182" s="1360"/>
      <c r="CA182" s="1357">
        <f>+(BY182/BY175-1)*100</f>
        <v>2.2204460492503131E-14</v>
      </c>
      <c r="CB182" s="1299"/>
      <c r="CC182" s="1390"/>
      <c r="CD182" s="1391"/>
      <c r="CE182" s="1392"/>
      <c r="CF182" s="1393"/>
      <c r="CG182" s="1394"/>
      <c r="CH182" s="1392"/>
      <c r="CI182" s="1294"/>
      <c r="CJ182" s="1254"/>
      <c r="CK182" s="1295"/>
      <c r="CL182" s="1318"/>
      <c r="CM182" s="1297"/>
      <c r="CN182" s="1295"/>
      <c r="CO182" s="1295"/>
      <c r="CP182" s="1294"/>
      <c r="CQ182" s="1254"/>
      <c r="CR182" s="1295"/>
      <c r="CS182" s="1318"/>
      <c r="CT182" s="1297"/>
      <c r="CU182" s="1295"/>
      <c r="CV182" s="1299"/>
      <c r="CW182" s="1306">
        <f>+D182+Y182+AF182+AM182+AT182+BA182+BH182+BO182</f>
        <v>2905</v>
      </c>
      <c r="CX182" s="1307">
        <f>+CW182-CW181</f>
        <v>52</v>
      </c>
      <c r="CY182" s="1295">
        <f>+(CW182/CW175-1)*100</f>
        <v>1.1138183083884368</v>
      </c>
      <c r="CZ182" s="1297"/>
      <c r="DA182" s="1297"/>
      <c r="DB182" s="1318">
        <v>85.3</v>
      </c>
      <c r="DC182" s="1297"/>
      <c r="DD182" s="1295">
        <f>+(DB182/DB175-1)*100</f>
        <v>1.1862396204033177</v>
      </c>
      <c r="DE182" s="1266"/>
      <c r="DF182" s="1350">
        <f>+D182/$CW182</f>
        <v>0.64165232358003443</v>
      </c>
      <c r="DG182" s="1351"/>
      <c r="DH182" s="1351"/>
      <c r="DI182" s="1350">
        <f>+Y182/$CW182</f>
        <v>7.5043029259896726E-2</v>
      </c>
      <c r="DJ182" s="1350">
        <f>+AF182/CW182</f>
        <v>0.11462994836488813</v>
      </c>
      <c r="DK182" s="1350">
        <f>+AM182/CW182</f>
        <v>0.12908777969018934</v>
      </c>
      <c r="DL182" s="1350">
        <f>+AT182/CW182</f>
        <v>0</v>
      </c>
      <c r="DM182" s="1350">
        <f>+BA182/$CW182</f>
        <v>2.9259896729776247E-2</v>
      </c>
      <c r="DN182" s="1350">
        <f>+BH182/$CW182</f>
        <v>8.2616179001721163E-3</v>
      </c>
      <c r="DO182" s="1350">
        <f>+BO182/$CW182</f>
        <v>2.0654044750430291E-3</v>
      </c>
      <c r="DP182" s="1350"/>
      <c r="DQ182" s="1350"/>
      <c r="DR182" s="1395"/>
      <c r="DS182" s="1333">
        <f t="shared" si="16"/>
        <v>17</v>
      </c>
      <c r="DT182" s="1333">
        <f t="shared" si="17"/>
        <v>9</v>
      </c>
      <c r="DU182" s="1333">
        <f t="shared" si="18"/>
        <v>2</v>
      </c>
      <c r="DV182" s="1333">
        <f t="shared" si="19"/>
        <v>11</v>
      </c>
      <c r="DW182" s="1333">
        <f t="shared" si="20"/>
        <v>9</v>
      </c>
      <c r="DX182" s="1333">
        <f t="shared" si="21"/>
        <v>0</v>
      </c>
      <c r="DY182" s="1333">
        <f t="shared" si="22"/>
        <v>3</v>
      </c>
      <c r="DZ182" s="1333">
        <f t="shared" si="23"/>
        <v>0</v>
      </c>
      <c r="EA182" s="1333">
        <f t="shared" si="24"/>
        <v>1</v>
      </c>
      <c r="EB182" s="1333">
        <f t="shared" si="25"/>
        <v>0</v>
      </c>
      <c r="ED182" s="451">
        <f>-(SUMIF(DS182:EB182,"&lt;0"))</f>
        <v>0</v>
      </c>
      <c r="EE182" s="451">
        <f>(SUMIF(DS182:EB182,"&gt;0"))</f>
        <v>52</v>
      </c>
      <c r="EF182" s="451">
        <f>+EE182-ED182</f>
        <v>52</v>
      </c>
      <c r="EG182" s="1333">
        <f>+EF182-CX182</f>
        <v>0</v>
      </c>
    </row>
    <row r="183" spans="1:137" ht="15">
      <c r="A183" s="1266" t="str">
        <f>$A$20</f>
        <v>4Q</v>
      </c>
      <c r="B183" s="1266" t="str">
        <f>$B$20</f>
        <v>Jan</v>
      </c>
      <c r="C183" s="1266"/>
      <c r="D183" s="1312">
        <f t="shared" si="33"/>
        <v>1867</v>
      </c>
      <c r="E183" s="1255">
        <f t="shared" si="33"/>
        <v>3</v>
      </c>
      <c r="F183" s="1295">
        <f>+(D183/D176-1)*100</f>
        <v>6.5031374786080898</v>
      </c>
      <c r="G183" s="1313">
        <f>+N183+U183</f>
        <v>56.3</v>
      </c>
      <c r="H183" s="1297"/>
      <c r="I183" s="1295">
        <f>+(G183/G176-1)*100</f>
        <v>5.2336448598130803</v>
      </c>
      <c r="J183" s="1266"/>
      <c r="K183" s="1312">
        <f>+K184</f>
        <v>983</v>
      </c>
      <c r="L183" s="1255">
        <f>+K183-K182</f>
        <v>3</v>
      </c>
      <c r="M183" s="1295">
        <f>+(K183/K176-1)*100</f>
        <v>6.5005417118093156</v>
      </c>
      <c r="N183" s="1334">
        <v>28.7</v>
      </c>
      <c r="O183" s="1297"/>
      <c r="P183" s="1295">
        <f>+(N183/N176-1)*100</f>
        <v>5.1282051282051322</v>
      </c>
      <c r="Q183" s="1299"/>
      <c r="R183" s="1312">
        <f>+R184</f>
        <v>884</v>
      </c>
      <c r="S183" s="1255">
        <f>+R183-R182</f>
        <v>0</v>
      </c>
      <c r="T183" s="1295">
        <f>+(R183/R176-1)*100</f>
        <v>6.5060240963855431</v>
      </c>
      <c r="U183" s="1334">
        <v>27.6</v>
      </c>
      <c r="V183" s="1297"/>
      <c r="W183" s="1295">
        <f>+(U183/U176-1)*100</f>
        <v>5.3435114503816772</v>
      </c>
      <c r="X183" s="1299"/>
      <c r="Y183" s="1312">
        <f>+Y184</f>
        <v>216</v>
      </c>
      <c r="Z183" s="1255">
        <f>+Y183-Y182</f>
        <v>-2</v>
      </c>
      <c r="AA183" s="1295">
        <f>+(Y183/Y176-1)*100</f>
        <v>0.46511627906977715</v>
      </c>
      <c r="AB183" s="1334">
        <v>6.3</v>
      </c>
      <c r="AC183" s="1297"/>
      <c r="AD183" s="1295">
        <f>+(AB183/AB176-1)*100</f>
        <v>0</v>
      </c>
      <c r="AE183" s="1299"/>
      <c r="AF183" s="1312">
        <f>+AF184</f>
        <v>332</v>
      </c>
      <c r="AG183" s="1255">
        <f>+AF183-AF182</f>
        <v>-1</v>
      </c>
      <c r="AH183" s="1295">
        <f>+(AF183/AF176-1)*100</f>
        <v>8.1433224755700362</v>
      </c>
      <c r="AI183" s="1334">
        <v>10.5</v>
      </c>
      <c r="AJ183" s="1297"/>
      <c r="AK183" s="1295">
        <f>+(AI183/AI176-1)*100</f>
        <v>7.1428571428571397</v>
      </c>
      <c r="AL183" s="1299"/>
      <c r="AM183" s="1312">
        <f>+AM184</f>
        <v>374</v>
      </c>
      <c r="AN183" s="1255">
        <f>+AM183-AM182</f>
        <v>-1</v>
      </c>
      <c r="AO183" s="1295">
        <f>+(AM183/AM176-1)*100</f>
        <v>11.309523809523814</v>
      </c>
      <c r="AP183" s="1334">
        <v>9.3000000000000007</v>
      </c>
      <c r="AQ183" s="1297"/>
      <c r="AR183" s="1295">
        <f>+(AP183/AP176-1)*100</f>
        <v>10.714285714285721</v>
      </c>
      <c r="AS183" s="1299"/>
      <c r="AT183" s="1312">
        <f>+AT184</f>
        <v>0</v>
      </c>
      <c r="AU183" s="1255">
        <f>+AT183-AT182</f>
        <v>0</v>
      </c>
      <c r="AV183" s="1295">
        <f>+(AT183/AT176-1)*100</f>
        <v>-100</v>
      </c>
      <c r="AW183" s="1313">
        <f>AW182+AU183*$AX$163/1000</f>
        <v>0</v>
      </c>
      <c r="AX183" s="1297"/>
      <c r="AY183" s="1295">
        <f>+(AW183/AW176-1)*100</f>
        <v>-100</v>
      </c>
      <c r="AZ183" s="1299"/>
      <c r="BA183" s="1312">
        <f>+BA184</f>
        <v>86</v>
      </c>
      <c r="BB183" s="1255">
        <f>+BA183-BA182</f>
        <v>1</v>
      </c>
      <c r="BC183" s="1295">
        <f>+(BA183/BA176-1)*100</f>
        <v>4.8780487804878092</v>
      </c>
      <c r="BD183" s="1334">
        <v>2.1</v>
      </c>
      <c r="BE183" s="1297"/>
      <c r="BF183" s="1295">
        <f>+(BD183/BD176-1)*100</f>
        <v>5.0000000000000044</v>
      </c>
      <c r="BG183" s="1295"/>
      <c r="BH183" s="1312">
        <f>+BH184</f>
        <v>24</v>
      </c>
      <c r="BI183" s="1255">
        <f>+BH183-BH182</f>
        <v>0</v>
      </c>
      <c r="BJ183" s="1295">
        <f>+(BH183/BH176-1)*100</f>
        <v>0</v>
      </c>
      <c r="BK183" s="1334">
        <v>0.5</v>
      </c>
      <c r="BL183" s="1297"/>
      <c r="BM183" s="1295">
        <f>+(BK183/BK176-1)*100</f>
        <v>0</v>
      </c>
      <c r="BN183" s="1295"/>
      <c r="BO183" s="1312">
        <f>+BO184</f>
        <v>6</v>
      </c>
      <c r="BP183" s="1255">
        <f>+BO183-BO182</f>
        <v>0</v>
      </c>
      <c r="BQ183" s="1295"/>
      <c r="BR183" s="1334">
        <v>0.2</v>
      </c>
      <c r="BS183" s="1297"/>
      <c r="BT183" s="1295"/>
      <c r="BU183" s="1295"/>
      <c r="BV183" s="1361">
        <f>+BV184</f>
        <v>3</v>
      </c>
      <c r="BW183" s="1358">
        <f>+BV183-BV182</f>
        <v>0</v>
      </c>
      <c r="BX183" s="1357">
        <f>+(BV183/BV176-1)*100</f>
        <v>0</v>
      </c>
      <c r="BY183" s="1362">
        <f>BY182+BW183*$BE$163/1000</f>
        <v>1.4285714285714289E-2</v>
      </c>
      <c r="BZ183" s="1360"/>
      <c r="CA183" s="1357">
        <f>+(BY183/BY176-1)*100</f>
        <v>2.2204460492503131E-14</v>
      </c>
      <c r="CB183" s="1299"/>
      <c r="CC183" s="1396"/>
      <c r="CD183" s="1391"/>
      <c r="CE183" s="1392"/>
      <c r="CF183" s="1397"/>
      <c r="CG183" s="1394"/>
      <c r="CH183" s="1392"/>
      <c r="CI183" s="1312"/>
      <c r="CJ183" s="1255"/>
      <c r="CK183" s="1295"/>
      <c r="CL183" s="1334"/>
      <c r="CM183" s="1297"/>
      <c r="CN183" s="1295"/>
      <c r="CO183" s="1295"/>
      <c r="CP183" s="1312"/>
      <c r="CQ183" s="1255"/>
      <c r="CR183" s="1295"/>
      <c r="CS183" s="1334"/>
      <c r="CT183" s="1297"/>
      <c r="CU183" s="1295"/>
      <c r="CV183" s="1299"/>
      <c r="CW183" s="1312">
        <f>+D183+Y183+AF183+AM183+AT183+BA183+BH183+BO183</f>
        <v>2905</v>
      </c>
      <c r="CX183" s="1307">
        <f>+CW183-CW182</f>
        <v>0</v>
      </c>
      <c r="CY183" s="1295">
        <f>+(CW183/CW176-1)*100</f>
        <v>1.6089541797831508</v>
      </c>
      <c r="CZ183" s="1297"/>
      <c r="DA183" s="1297"/>
      <c r="DB183" s="1334">
        <v>85.3</v>
      </c>
      <c r="DC183" s="1297"/>
      <c r="DD183" s="1295">
        <f>+(DB183/DB176-1)*100</f>
        <v>1.5476190476190421</v>
      </c>
      <c r="DE183" s="1266"/>
      <c r="DF183" s="1350">
        <f>+D183/$CW183</f>
        <v>0.64268502581755593</v>
      </c>
      <c r="DG183" s="1351"/>
      <c r="DH183" s="1351"/>
      <c r="DI183" s="1350">
        <f>+Y183/$CW183</f>
        <v>7.4354561101549047E-2</v>
      </c>
      <c r="DJ183" s="1350">
        <f>+AF183/CW183</f>
        <v>0.11428571428571428</v>
      </c>
      <c r="DK183" s="1350">
        <f>+AM183/CW183</f>
        <v>0.1287435456110155</v>
      </c>
      <c r="DL183" s="1350">
        <f>+AT183/CW183</f>
        <v>0</v>
      </c>
      <c r="DM183" s="1350">
        <f>+BA183/$CW183</f>
        <v>2.9604130808950087E-2</v>
      </c>
      <c r="DN183" s="1350">
        <f>+BH183/$CW183</f>
        <v>8.2616179001721163E-3</v>
      </c>
      <c r="DO183" s="1350">
        <f>+BO183/$CW183</f>
        <v>2.0654044750430291E-3</v>
      </c>
      <c r="DP183" s="1350"/>
      <c r="DQ183" s="1350"/>
      <c r="DR183" s="1395"/>
      <c r="DS183" s="1333">
        <f t="shared" si="16"/>
        <v>3</v>
      </c>
      <c r="DT183" s="1333">
        <f t="shared" si="17"/>
        <v>0</v>
      </c>
      <c r="DU183" s="1333">
        <f t="shared" si="18"/>
        <v>-2</v>
      </c>
      <c r="DV183" s="1333">
        <f t="shared" si="19"/>
        <v>-1</v>
      </c>
      <c r="DW183" s="1333">
        <f t="shared" si="20"/>
        <v>-1</v>
      </c>
      <c r="DX183" s="1333">
        <f t="shared" si="21"/>
        <v>0</v>
      </c>
      <c r="DY183" s="1333">
        <f t="shared" si="22"/>
        <v>1</v>
      </c>
      <c r="DZ183" s="1333">
        <f t="shared" si="23"/>
        <v>0</v>
      </c>
      <c r="EA183" s="1333">
        <f t="shared" si="24"/>
        <v>0</v>
      </c>
      <c r="EB183" s="1333">
        <f t="shared" si="25"/>
        <v>0</v>
      </c>
      <c r="ED183" s="451">
        <f>-(SUMIF(DS183:EB183,"&lt;0"))</f>
        <v>4</v>
      </c>
      <c r="EE183" s="451">
        <f>(SUMIF(DS183:EB183,"&gt;0"))</f>
        <v>4</v>
      </c>
      <c r="EF183" s="451">
        <f>+EE183-ED183</f>
        <v>0</v>
      </c>
      <c r="EG183" s="1333">
        <f>+EF183-CX183</f>
        <v>0</v>
      </c>
    </row>
    <row r="184" spans="1:137" ht="15">
      <c r="A184" s="1266"/>
      <c r="B184" s="1266" t="str">
        <f>$B$21</f>
        <v>Year</v>
      </c>
      <c r="C184" s="1266"/>
      <c r="D184" s="1306">
        <f>+D183</f>
        <v>1867</v>
      </c>
      <c r="E184" s="1317">
        <f>+D184-D177</f>
        <v>114</v>
      </c>
      <c r="F184" s="1295">
        <f>+(D184/D177-1)*100</f>
        <v>6.5031374786080898</v>
      </c>
      <c r="G184" s="1296">
        <f>+N184+U184</f>
        <v>56.3</v>
      </c>
      <c r="H184" s="1297">
        <f>+G184/D184*1000</f>
        <v>30.155329405463309</v>
      </c>
      <c r="I184" s="1295">
        <f>+(G184/G177-1)*100</f>
        <v>5.2336448598130803</v>
      </c>
      <c r="J184" s="1266"/>
      <c r="K184" s="1306">
        <f>+L184+K177</f>
        <v>983</v>
      </c>
      <c r="L184" s="1256">
        <v>60</v>
      </c>
      <c r="M184" s="1295">
        <f>+(K184/K177-1)*100</f>
        <v>6.5005417118093156</v>
      </c>
      <c r="N184" s="1296">
        <f>+N183</f>
        <v>28.7</v>
      </c>
      <c r="O184" s="1317">
        <f>+N184/K184*1000</f>
        <v>29.196337741607323</v>
      </c>
      <c r="P184" s="1295">
        <f>+(N184/N177-1)*100</f>
        <v>5.1282051282051322</v>
      </c>
      <c r="Q184" s="1299"/>
      <c r="R184" s="1306">
        <f>+S184+R177</f>
        <v>884</v>
      </c>
      <c r="S184" s="1256">
        <v>54</v>
      </c>
      <c r="T184" s="1295">
        <f>+(R184/R177-1)*100</f>
        <v>6.5060240963855431</v>
      </c>
      <c r="U184" s="1296">
        <f>U183</f>
        <v>27.6</v>
      </c>
      <c r="V184" s="1317">
        <f>+U184/R184*1000</f>
        <v>31.221719457013574</v>
      </c>
      <c r="W184" s="1295">
        <f>+(U184/U177-1)*100</f>
        <v>5.3435114503816772</v>
      </c>
      <c r="X184" s="1299"/>
      <c r="Y184" s="1306">
        <f>+Z184+Y177</f>
        <v>216</v>
      </c>
      <c r="Z184" s="1256">
        <v>1</v>
      </c>
      <c r="AA184" s="1295">
        <f>+(Y184/Y177-1)*100</f>
        <v>0.46511627906977715</v>
      </c>
      <c r="AB184" s="1296">
        <f>AB183</f>
        <v>6.3</v>
      </c>
      <c r="AC184" s="1317">
        <f>+AB184/Y184*1000</f>
        <v>29.166666666666668</v>
      </c>
      <c r="AD184" s="1295">
        <f>+(AB184/AB177-1)*100</f>
        <v>0</v>
      </c>
      <c r="AE184" s="1299"/>
      <c r="AF184" s="1306">
        <f>+AG184+AF177</f>
        <v>332</v>
      </c>
      <c r="AG184" s="1256">
        <v>25</v>
      </c>
      <c r="AH184" s="1295">
        <f>+(AF184/AF177-1)*100</f>
        <v>8.1433224755700362</v>
      </c>
      <c r="AI184" s="1296">
        <f>AI183</f>
        <v>10.5</v>
      </c>
      <c r="AJ184" s="1317">
        <f>+AI184/AF184*1000</f>
        <v>31.626506024096383</v>
      </c>
      <c r="AK184" s="1295">
        <f>+(AI184/AI177-1)*100</f>
        <v>7.1428571428571397</v>
      </c>
      <c r="AL184" s="1299"/>
      <c r="AM184" s="1306">
        <f>+AN184+AM177</f>
        <v>374</v>
      </c>
      <c r="AN184" s="1256">
        <f>22+16</f>
        <v>38</v>
      </c>
      <c r="AO184" s="1295">
        <f>+(AM184/AM177-1)*100</f>
        <v>11.309523809523814</v>
      </c>
      <c r="AP184" s="1296">
        <f>AP183</f>
        <v>9.3000000000000007</v>
      </c>
      <c r="AQ184" s="1317">
        <f>+AP184/AM184*1000</f>
        <v>24.866310160427808</v>
      </c>
      <c r="AR184" s="1295">
        <f>+(AP184/AP177-1)*100</f>
        <v>10.714285714285721</v>
      </c>
      <c r="AS184" s="1299"/>
      <c r="AT184" s="1306">
        <f>+AU184+AT177</f>
        <v>0</v>
      </c>
      <c r="AU184" s="1256">
        <v>-142</v>
      </c>
      <c r="AV184" s="1295">
        <f>+(AT184/AT177-1)*100</f>
        <v>-100</v>
      </c>
      <c r="AW184" s="1296">
        <f>+AT184*AX184/1000</f>
        <v>0</v>
      </c>
      <c r="AX184" s="1297">
        <f>+AX177</f>
        <v>26</v>
      </c>
      <c r="AY184" s="1295">
        <f>+(AW184/AW177-1)*100</f>
        <v>-100</v>
      </c>
      <c r="AZ184" s="1299"/>
      <c r="BA184" s="1306">
        <f>+BB184+BA177</f>
        <v>86</v>
      </c>
      <c r="BB184" s="1256">
        <v>4</v>
      </c>
      <c r="BC184" s="1295">
        <f>+(BA184/BA177-1)*100</f>
        <v>4.8780487804878092</v>
      </c>
      <c r="BD184" s="1296">
        <f>BD183</f>
        <v>2.1</v>
      </c>
      <c r="BE184" s="1317">
        <f>+BD184/BA184*1000</f>
        <v>24.418604651162791</v>
      </c>
      <c r="BF184" s="1295">
        <f>+(BD184/BD177-1)*100</f>
        <v>5.0000000000000044</v>
      </c>
      <c r="BG184" s="1295"/>
      <c r="BH184" s="1306">
        <f>+BI184+BH177</f>
        <v>24</v>
      </c>
      <c r="BI184" s="1317">
        <v>0</v>
      </c>
      <c r="BJ184" s="1295">
        <f>+(BH184/BH177-1)*100</f>
        <v>0</v>
      </c>
      <c r="BK184" s="1296">
        <f>BK183</f>
        <v>0.5</v>
      </c>
      <c r="BL184" s="1317">
        <f>+BK184/BH184*1000</f>
        <v>20.833333333333332</v>
      </c>
      <c r="BM184" s="1295">
        <f>+(BK184/BK177-1)*100</f>
        <v>0</v>
      </c>
      <c r="BN184" s="1295"/>
      <c r="BO184" s="1306">
        <f>+BP184+BO177</f>
        <v>6</v>
      </c>
      <c r="BP184" s="1256">
        <v>6</v>
      </c>
      <c r="BQ184" s="1295"/>
      <c r="BR184" s="1296">
        <f>BR183</f>
        <v>0.2</v>
      </c>
      <c r="BS184" s="1317">
        <f>+BR184/BO184*1000</f>
        <v>33.333333333333336</v>
      </c>
      <c r="BT184" s="1295"/>
      <c r="BU184" s="1295"/>
      <c r="BV184" s="1337">
        <f>+BW184+BV177</f>
        <v>3</v>
      </c>
      <c r="BW184" s="1343">
        <v>0</v>
      </c>
      <c r="BX184" s="1357">
        <f>+(BV184/BV177-1)*100</f>
        <v>0</v>
      </c>
      <c r="BY184" s="1359">
        <f>+BV184*BZ184/1000</f>
        <v>1.4285714285714289E-2</v>
      </c>
      <c r="BZ184" s="1360">
        <f>+BZ177</f>
        <v>4.7619047619047628</v>
      </c>
      <c r="CA184" s="1357">
        <f>+(BY184/BY177-1)*100</f>
        <v>0</v>
      </c>
      <c r="CB184" s="1299"/>
      <c r="CC184" s="1398"/>
      <c r="CD184" s="1399"/>
      <c r="CE184" s="1392"/>
      <c r="CF184" s="1393"/>
      <c r="CG184" s="1394"/>
      <c r="CH184" s="1392"/>
      <c r="CI184" s="1306"/>
      <c r="CJ184" s="1256"/>
      <c r="CK184" s="1295"/>
      <c r="CL184" s="1296"/>
      <c r="CM184" s="1297"/>
      <c r="CN184" s="1295"/>
      <c r="CO184" s="1295"/>
      <c r="CP184" s="1306"/>
      <c r="CQ184" s="1256"/>
      <c r="CR184" s="1295"/>
      <c r="CS184" s="1296"/>
      <c r="CT184" s="1297"/>
      <c r="CU184" s="1295"/>
      <c r="CV184" s="1299"/>
      <c r="CW184" s="1306">
        <f>+D184+Y184+AF184+AM184+AT184+BA184+BH184+BO184</f>
        <v>2905</v>
      </c>
      <c r="CX184" s="1317">
        <f>+E184+Z184+AG184+AN184+AU184+BB184+BI184+BP184</f>
        <v>46</v>
      </c>
      <c r="CY184" s="1295">
        <f>+(CW184/CW177-1)*100</f>
        <v>1.6089541797831508</v>
      </c>
      <c r="CZ184" s="1297"/>
      <c r="DA184" s="1297"/>
      <c r="DB184" s="1318">
        <v>85.3</v>
      </c>
      <c r="DC184" s="1297">
        <f>+DB184/CW184*1000</f>
        <v>29.363166953528399</v>
      </c>
      <c r="DD184" s="1295">
        <f>+(DB184/DB177-1)*100</f>
        <v>1.4268727705113005</v>
      </c>
      <c r="DE184" s="1266"/>
      <c r="DF184" s="1350">
        <f>+D184/$CW184</f>
        <v>0.64268502581755593</v>
      </c>
      <c r="DG184" s="1351"/>
      <c r="DH184" s="1351"/>
      <c r="DI184" s="1350">
        <f>+Y184/$CW184</f>
        <v>7.4354561101549047E-2</v>
      </c>
      <c r="DJ184" s="1350">
        <f>+AF184/CW184</f>
        <v>0.11428571428571428</v>
      </c>
      <c r="DK184" s="1350">
        <f>+AM184/CW184</f>
        <v>0.1287435456110155</v>
      </c>
      <c r="DL184" s="1350">
        <f>+AT184/CW184</f>
        <v>0</v>
      </c>
      <c r="DM184" s="1350">
        <f>+BA184/$CW184</f>
        <v>2.9604130808950087E-2</v>
      </c>
      <c r="DN184" s="1350">
        <f>+BH184/$CW184</f>
        <v>8.2616179001721163E-3</v>
      </c>
      <c r="DO184" s="1350">
        <f>+BO184/$CW184</f>
        <v>2.0654044750430291E-3</v>
      </c>
      <c r="DP184" s="1350"/>
      <c r="DQ184" s="1350"/>
      <c r="DR184" s="1395"/>
      <c r="DS184" s="1333">
        <f t="shared" si="16"/>
        <v>60</v>
      </c>
      <c r="DT184" s="1333">
        <f t="shared" si="17"/>
        <v>54</v>
      </c>
      <c r="DU184" s="1333">
        <f t="shared" si="18"/>
        <v>1</v>
      </c>
      <c r="DV184" s="1333">
        <f t="shared" si="19"/>
        <v>25</v>
      </c>
      <c r="DW184" s="1333">
        <f t="shared" si="20"/>
        <v>38</v>
      </c>
      <c r="DX184" s="1333">
        <f t="shared" si="21"/>
        <v>-142</v>
      </c>
      <c r="DY184" s="1333">
        <f t="shared" si="22"/>
        <v>4</v>
      </c>
      <c r="DZ184" s="1333">
        <f t="shared" si="23"/>
        <v>0</v>
      </c>
      <c r="EA184" s="1333">
        <f t="shared" si="24"/>
        <v>6</v>
      </c>
      <c r="EB184" s="1333">
        <f t="shared" si="25"/>
        <v>0</v>
      </c>
      <c r="ED184" s="693">
        <f>SUM(ED180:ED183)</f>
        <v>146</v>
      </c>
      <c r="EE184" s="693">
        <f>SUM(EE180:EE183)</f>
        <v>192</v>
      </c>
      <c r="EF184" s="693">
        <f>+EE184-ED184</f>
        <v>46</v>
      </c>
      <c r="EG184" s="1333">
        <f>+EF184-CX184</f>
        <v>0</v>
      </c>
    </row>
    <row r="185" spans="1:137" ht="16.5">
      <c r="A185" s="1285"/>
      <c r="B185" s="1285"/>
      <c r="C185" s="1285"/>
      <c r="D185" s="1286"/>
      <c r="E185" s="1415"/>
      <c r="F185" s="1302"/>
      <c r="G185" s="1285"/>
      <c r="H185" s="1286"/>
      <c r="I185" s="1295"/>
      <c r="J185" s="1285"/>
      <c r="K185" s="1286"/>
      <c r="L185" s="1317"/>
      <c r="M185" s="1286"/>
      <c r="N185" s="1285"/>
      <c r="O185" s="1286"/>
      <c r="P185" s="1295"/>
      <c r="Q185" s="1286"/>
      <c r="R185" s="1286"/>
      <c r="S185" s="1269"/>
      <c r="T185" s="1286"/>
      <c r="U185" s="1285"/>
      <c r="V185" s="1286"/>
      <c r="W185" s="1295"/>
      <c r="X185" s="1286"/>
      <c r="Y185" s="1286"/>
      <c r="Z185" s="1269"/>
      <c r="AA185" s="1268"/>
      <c r="AB185" s="1407"/>
      <c r="AC185" s="1286"/>
      <c r="AD185" s="1295"/>
      <c r="AE185" s="1268"/>
      <c r="AF185" s="1286"/>
      <c r="AG185" s="1269"/>
      <c r="AH185" s="1270"/>
      <c r="AI185" s="1285"/>
      <c r="AJ185" s="1286"/>
      <c r="AK185" s="1302"/>
      <c r="AL185" s="1268"/>
      <c r="AM185" s="1286"/>
      <c r="AN185" s="1269"/>
      <c r="AO185" s="1268"/>
      <c r="AP185" s="1285"/>
      <c r="AQ185" s="1286"/>
      <c r="AR185" s="1295"/>
      <c r="AS185" s="1268"/>
      <c r="AT185" s="1286"/>
      <c r="AU185" s="1269"/>
      <c r="AV185" s="1266"/>
      <c r="AW185" s="1285"/>
      <c r="AX185" s="1286"/>
      <c r="AY185" s="1295"/>
      <c r="AZ185" s="1266"/>
      <c r="BA185" s="1286"/>
      <c r="BB185" s="1269"/>
      <c r="BC185" s="1266"/>
      <c r="BD185" s="1285"/>
      <c r="BE185" s="1286"/>
      <c r="BF185" s="1295"/>
      <c r="BG185" s="1295"/>
      <c r="BH185" s="1408"/>
      <c r="BI185" s="1401"/>
      <c r="BJ185" s="1402"/>
      <c r="BK185" s="1409"/>
      <c r="BL185" s="1408"/>
      <c r="BM185" s="1295"/>
      <c r="BN185" s="1295"/>
      <c r="BO185" s="1408"/>
      <c r="BP185" s="1401"/>
      <c r="BQ185" s="1402"/>
      <c r="BR185" s="1409"/>
      <c r="BS185" s="1408"/>
      <c r="BT185" s="1295"/>
      <c r="BU185" s="1295"/>
      <c r="BV185" s="1410"/>
      <c r="BW185" s="1354"/>
      <c r="BX185" s="1355"/>
      <c r="BY185" s="1411"/>
      <c r="BZ185" s="1410"/>
      <c r="CA185" s="1357"/>
      <c r="CB185" s="1266"/>
      <c r="CC185" s="1408"/>
      <c r="CD185" s="1401"/>
      <c r="CE185" s="1402"/>
      <c r="CF185" s="1409"/>
      <c r="CG185" s="1408"/>
      <c r="CH185" s="1392"/>
      <c r="CI185" s="1408"/>
      <c r="CJ185" s="1401"/>
      <c r="CK185" s="1402"/>
      <c r="CL185" s="1409"/>
      <c r="CM185" s="1408"/>
      <c r="CN185" s="1295"/>
      <c r="CO185" s="1295"/>
      <c r="CP185" s="1408"/>
      <c r="CQ185" s="1401"/>
      <c r="CR185" s="1402"/>
      <c r="CS185" s="1409"/>
      <c r="CT185" s="1408"/>
      <c r="CU185" s="1295"/>
      <c r="CV185" s="1266"/>
      <c r="CW185" s="1412"/>
      <c r="CX185" s="1266"/>
      <c r="CY185" s="1266"/>
      <c r="CZ185" s="1266"/>
      <c r="DA185" s="1266"/>
      <c r="DB185" s="1413"/>
      <c r="DC185" s="1286"/>
      <c r="DD185" s="1302"/>
      <c r="DE185" s="1285"/>
      <c r="DF185" s="1285"/>
      <c r="DG185" s="1285"/>
      <c r="DH185" s="1285"/>
      <c r="DI185" s="1285"/>
      <c r="DJ185" s="1285"/>
      <c r="DK185" s="1285"/>
      <c r="DL185" s="1285"/>
      <c r="DM185" s="1285"/>
      <c r="DN185" s="1285"/>
      <c r="DO185" s="1285"/>
      <c r="DP185" s="1285"/>
      <c r="DQ185" s="1285"/>
      <c r="DS185" s="1333"/>
      <c r="DT185" s="1333"/>
      <c r="DU185" s="1333"/>
      <c r="DV185" s="1333"/>
      <c r="DW185" s="1333"/>
      <c r="DX185" s="1333"/>
      <c r="DY185" s="1333"/>
      <c r="DZ185" s="1333"/>
      <c r="EA185" s="1333"/>
      <c r="EB185" s="1333"/>
    </row>
    <row r="186" spans="1:137" ht="15.75">
      <c r="A186" s="2118">
        <f>+A179+1</f>
        <v>2012</v>
      </c>
      <c r="B186" s="2118"/>
      <c r="C186" s="1266"/>
      <c r="D186" s="1335"/>
      <c r="E186" s="1269"/>
      <c r="F186" s="1302"/>
      <c r="G186" s="1335"/>
      <c r="H186" s="1268"/>
      <c r="I186" s="1295"/>
      <c r="J186" s="1266"/>
      <c r="K186" s="1336"/>
      <c r="L186" s="1269"/>
      <c r="M186" s="1268"/>
      <c r="N186" s="1336"/>
      <c r="O186" s="1268"/>
      <c r="P186" s="1295"/>
      <c r="Q186" s="1268"/>
      <c r="R186" s="1336"/>
      <c r="S186" s="1269"/>
      <c r="T186" s="1268"/>
      <c r="U186" s="1336"/>
      <c r="V186" s="1268"/>
      <c r="W186" s="1295"/>
      <c r="X186" s="1268"/>
      <c r="Y186" s="1336"/>
      <c r="Z186" s="1269"/>
      <c r="AA186" s="1268"/>
      <c r="AB186" s="1336"/>
      <c r="AC186" s="1268"/>
      <c r="AD186" s="1295"/>
      <c r="AE186" s="1268"/>
      <c r="AF186" s="1336"/>
      <c r="AG186" s="1269"/>
      <c r="AH186" s="1270"/>
      <c r="AI186" s="1336"/>
      <c r="AJ186" s="1268"/>
      <c r="AK186" s="1302"/>
      <c r="AL186" s="1268"/>
      <c r="AM186" s="1336"/>
      <c r="AN186" s="1269"/>
      <c r="AO186" s="1268"/>
      <c r="AP186" s="1336"/>
      <c r="AQ186" s="1268"/>
      <c r="AR186" s="1295"/>
      <c r="AS186" s="1268"/>
      <c r="AT186" s="1336"/>
      <c r="AU186" s="1269"/>
      <c r="AV186" s="1266"/>
      <c r="AW186" s="1336"/>
      <c r="AX186" s="1268"/>
      <c r="AY186" s="1295"/>
      <c r="AZ186" s="1266"/>
      <c r="BA186" s="1336"/>
      <c r="BB186" s="1269"/>
      <c r="BC186" s="1266"/>
      <c r="BD186" s="1336"/>
      <c r="BE186" s="1268"/>
      <c r="BF186" s="1295"/>
      <c r="BG186" s="1295"/>
      <c r="BH186" s="1405"/>
      <c r="BI186" s="1401"/>
      <c r="BJ186" s="1402"/>
      <c r="BK186" s="1405"/>
      <c r="BL186" s="1400"/>
      <c r="BM186" s="1295"/>
      <c r="BN186" s="1295"/>
      <c r="BO186" s="1405"/>
      <c r="BP186" s="1401"/>
      <c r="BQ186" s="1402"/>
      <c r="BR186" s="1405"/>
      <c r="BS186" s="1400"/>
      <c r="BT186" s="1295"/>
      <c r="BU186" s="1295"/>
      <c r="BV186" s="1345"/>
      <c r="BW186" s="1354"/>
      <c r="BX186" s="1355"/>
      <c r="BY186" s="1345"/>
      <c r="BZ186" s="1356"/>
      <c r="CA186" s="1357"/>
      <c r="CB186" s="1266"/>
      <c r="CC186" s="1405"/>
      <c r="CD186" s="1401"/>
      <c r="CE186" s="1402"/>
      <c r="CF186" s="1405"/>
      <c r="CG186" s="1400"/>
      <c r="CH186" s="1392"/>
      <c r="CI186" s="1405"/>
      <c r="CJ186" s="1401"/>
      <c r="CK186" s="1402"/>
      <c r="CL186" s="1405"/>
      <c r="CM186" s="1400"/>
      <c r="CN186" s="1295"/>
      <c r="CO186" s="1295"/>
      <c r="CP186" s="1405"/>
      <c r="CQ186" s="1401"/>
      <c r="CR186" s="1402"/>
      <c r="CS186" s="1405"/>
      <c r="CT186" s="1400"/>
      <c r="CU186" s="1295"/>
      <c r="CV186" s="1266"/>
      <c r="CW186" s="1335"/>
      <c r="CX186" s="1266"/>
      <c r="CY186" s="1266"/>
      <c r="CZ186" s="1266"/>
      <c r="DA186" s="1266"/>
      <c r="DB186" s="1335"/>
      <c r="DC186" s="1268"/>
      <c r="DD186" s="1302"/>
      <c r="DE186" s="1266"/>
      <c r="DF186" s="1266"/>
      <c r="DG186" s="1266"/>
      <c r="DH186" s="1266"/>
      <c r="DI186" s="1266"/>
      <c r="DJ186" s="1266"/>
      <c r="DK186" s="1266"/>
      <c r="DL186" s="1266"/>
      <c r="DM186" s="1266"/>
      <c r="DN186" s="1266"/>
      <c r="DO186" s="1266"/>
      <c r="DP186" s="1266"/>
      <c r="DQ186" s="1266"/>
      <c r="DS186" s="1333"/>
      <c r="DT186" s="1333"/>
      <c r="DU186" s="1333"/>
      <c r="DV186" s="1333"/>
      <c r="DW186" s="1333"/>
      <c r="DX186" s="1333"/>
      <c r="DY186" s="1333"/>
      <c r="DZ186" s="1333"/>
      <c r="EA186" s="1333"/>
      <c r="EB186" s="1333"/>
    </row>
    <row r="187" spans="1:137" ht="15">
      <c r="A187" s="1266" t="str">
        <f>$A$17</f>
        <v>1Q</v>
      </c>
      <c r="B187" s="1266" t="str">
        <f>$B$17</f>
        <v>Apr</v>
      </c>
      <c r="C187" s="1266"/>
      <c r="D187" s="1294">
        <f t="shared" ref="D187:E190" si="34">+K187+R187</f>
        <v>1878</v>
      </c>
      <c r="E187" s="1255">
        <f t="shared" si="34"/>
        <v>11</v>
      </c>
      <c r="F187" s="1295">
        <f>+(D187/D180-1)*100</f>
        <v>2.7352297592997843</v>
      </c>
      <c r="G187" s="1296">
        <f>+N187+U187</f>
        <v>56.5</v>
      </c>
      <c r="H187" s="1297"/>
      <c r="I187" s="1295">
        <f>+(G187/G180-1)*100</f>
        <v>2.1699819168173651</v>
      </c>
      <c r="J187" s="1295"/>
      <c r="K187" s="1294">
        <f>+K184+L187</f>
        <v>990</v>
      </c>
      <c r="L187" s="1254">
        <v>7</v>
      </c>
      <c r="M187" s="1295">
        <f>+(K187/K180-1)*100</f>
        <v>3.5564853556485421</v>
      </c>
      <c r="N187" s="1318">
        <v>29</v>
      </c>
      <c r="O187" s="1297"/>
      <c r="P187" s="1295">
        <f>+(N187/N180-1)*100</f>
        <v>3.2028469750889688</v>
      </c>
      <c r="Q187" s="1299"/>
      <c r="R187" s="1294">
        <f>+R184+S187</f>
        <v>888</v>
      </c>
      <c r="S187" s="1254">
        <v>4</v>
      </c>
      <c r="T187" s="1295">
        <f>+(R187/R180-1)*100</f>
        <v>1.8348623853210899</v>
      </c>
      <c r="U187" s="1318">
        <v>27.5</v>
      </c>
      <c r="V187" s="1297"/>
      <c r="W187" s="1295">
        <f>+(U187/U180-1)*100</f>
        <v>1.1029411764705843</v>
      </c>
      <c r="X187" s="1299"/>
      <c r="Y187" s="1294">
        <f>+Y184+Z187</f>
        <v>220</v>
      </c>
      <c r="Z187" s="1254">
        <v>4</v>
      </c>
      <c r="AA187" s="1295">
        <f>+(Y187/Y180-1)*100</f>
        <v>1.8518518518518601</v>
      </c>
      <c r="AB187" s="1318">
        <v>6.4</v>
      </c>
      <c r="AC187" s="1297"/>
      <c r="AD187" s="1295"/>
      <c r="AE187" s="1299"/>
      <c r="AF187" s="1294">
        <f>+AF184+AG187</f>
        <v>335</v>
      </c>
      <c r="AG187" s="1254">
        <v>3</v>
      </c>
      <c r="AH187" s="1295">
        <f>+(AF187/AF180-1)*100</f>
        <v>6.0126582278481111</v>
      </c>
      <c r="AI187" s="1318">
        <v>10.6</v>
      </c>
      <c r="AJ187" s="1297"/>
      <c r="AK187" s="1295">
        <f>+(AI187/AI180-1)*100</f>
        <v>4.9504950495049549</v>
      </c>
      <c r="AL187" s="1299"/>
      <c r="AM187" s="1294">
        <f>+AM184+AN187</f>
        <v>383</v>
      </c>
      <c r="AN187" s="1254">
        <v>9</v>
      </c>
      <c r="AO187" s="1295">
        <f>+(AM187/AM180-1)*100</f>
        <v>9.4285714285714306</v>
      </c>
      <c r="AP187" s="1318">
        <v>9.6</v>
      </c>
      <c r="AQ187" s="1297"/>
      <c r="AR187" s="1295">
        <f>+(AP187/AP180-1)*100</f>
        <v>10.344827586206895</v>
      </c>
      <c r="AS187" s="1299"/>
      <c r="AT187" s="1294">
        <f>+AT184+AU187</f>
        <v>0</v>
      </c>
      <c r="AU187" s="1254">
        <v>0</v>
      </c>
      <c r="AV187" s="1295"/>
      <c r="AW187" s="1296">
        <f>AW184+AU187*$AX$163/1000</f>
        <v>0</v>
      </c>
      <c r="AX187" s="1297"/>
      <c r="AY187" s="1295"/>
      <c r="AZ187" s="1299"/>
      <c r="BA187" s="1294">
        <f>+BA184+BB187</f>
        <v>86</v>
      </c>
      <c r="BB187" s="1254">
        <v>0</v>
      </c>
      <c r="BC187" s="1295">
        <f>+(BA187/BA180-1)*100</f>
        <v>4.8780487804878092</v>
      </c>
      <c r="BD187" s="1318">
        <v>2.1</v>
      </c>
      <c r="BE187" s="1297"/>
      <c r="BF187" s="1295">
        <f>+(BD187/BD180-1)*100</f>
        <v>5.0000000000000044</v>
      </c>
      <c r="BG187" s="1295"/>
      <c r="BH187" s="1294">
        <f>+BH184+BI187</f>
        <v>24</v>
      </c>
      <c r="BI187" s="1254">
        <v>0</v>
      </c>
      <c r="BJ187" s="1295">
        <f>+(BH187/BH180-1)*100</f>
        <v>0</v>
      </c>
      <c r="BK187" s="1318">
        <v>0.5</v>
      </c>
      <c r="BL187" s="1297"/>
      <c r="BM187" s="1295">
        <f>+(BK187/BK180-1)*100</f>
        <v>0</v>
      </c>
      <c r="BN187" s="1295"/>
      <c r="BO187" s="1294">
        <f>+BO184+BP187</f>
        <v>12</v>
      </c>
      <c r="BP187" s="1254">
        <v>6</v>
      </c>
      <c r="BQ187" s="1295"/>
      <c r="BR187" s="1318">
        <v>0.4</v>
      </c>
      <c r="BS187" s="1297"/>
      <c r="BT187" s="1295"/>
      <c r="BU187" s="1295"/>
      <c r="BV187" s="1340">
        <f>+BV184+BW187</f>
        <v>3</v>
      </c>
      <c r="BW187" s="1358">
        <v>0</v>
      </c>
      <c r="BX187" s="1357">
        <f>+(BV187/BV180-1)*100</f>
        <v>0</v>
      </c>
      <c r="BY187" s="1359">
        <f>BY184+BW187*$BL$163/1000</f>
        <v>1.4285714285714289E-2</v>
      </c>
      <c r="BZ187" s="1360"/>
      <c r="CA187" s="1357">
        <f>+(BY187/BY180-1)*100</f>
        <v>0</v>
      </c>
      <c r="CB187" s="1299"/>
      <c r="CC187" s="1390"/>
      <c r="CD187" s="1391"/>
      <c r="CE187" s="1392"/>
      <c r="CF187" s="1393"/>
      <c r="CG187" s="1394"/>
      <c r="CH187" s="1392"/>
      <c r="CI187" s="1294"/>
      <c r="CJ187" s="1254"/>
      <c r="CK187" s="1295"/>
      <c r="CL187" s="1318"/>
      <c r="CM187" s="1297"/>
      <c r="CN187" s="1295"/>
      <c r="CO187" s="1295"/>
      <c r="CP187" s="1294"/>
      <c r="CQ187" s="1254"/>
      <c r="CR187" s="1295"/>
      <c r="CS187" s="1318"/>
      <c r="CT187" s="1297"/>
      <c r="CU187" s="1295"/>
      <c r="CV187" s="1299"/>
      <c r="CW187" s="1306">
        <f>+D187+Y187+AF187+AM187+AT187+BA187+BH187+BO187</f>
        <v>2938</v>
      </c>
      <c r="CX187" s="1307">
        <f>+CW187-CW183</f>
        <v>33</v>
      </c>
      <c r="CY187" s="1295">
        <f>+(CW187/CW180-1)*100</f>
        <v>4.1474654377880116</v>
      </c>
      <c r="CZ187" s="1297"/>
      <c r="DA187" s="1297"/>
      <c r="DB187" s="1318">
        <v>86.1</v>
      </c>
      <c r="DC187" s="1297"/>
      <c r="DD187" s="1295">
        <f>+(DB187/DB180-1)*100</f>
        <v>3.6101083032491044</v>
      </c>
      <c r="DE187" s="1266"/>
      <c r="DF187" s="1350">
        <f>+D187/$CW187</f>
        <v>0.63921034717494896</v>
      </c>
      <c r="DG187" s="1351"/>
      <c r="DH187" s="1351"/>
      <c r="DI187" s="1350">
        <f>+Y187/$CW187</f>
        <v>7.488087134104833E-2</v>
      </c>
      <c r="DJ187" s="1350">
        <f>+AF187/CW187</f>
        <v>0.11402314499659633</v>
      </c>
      <c r="DK187" s="1350">
        <f>+AM187/CW187</f>
        <v>0.13036078965282505</v>
      </c>
      <c r="DL187" s="1350">
        <f>+AT187/CW187</f>
        <v>0</v>
      </c>
      <c r="DM187" s="1350">
        <f>+BA187/$CW187</f>
        <v>2.9271613342409804E-2</v>
      </c>
      <c r="DN187" s="1350">
        <f>+BH187/$CW187</f>
        <v>8.168822328114363E-3</v>
      </c>
      <c r="DO187" s="1350">
        <f>+BO187/$CW187</f>
        <v>4.0844111640571815E-3</v>
      </c>
      <c r="DP187" s="1350">
        <f>+CI187/$CW187</f>
        <v>0</v>
      </c>
      <c r="DQ187" s="1350">
        <f>+CP187/$CW187</f>
        <v>0</v>
      </c>
      <c r="DR187" s="1395"/>
      <c r="DS187" s="1333">
        <f t="shared" si="16"/>
        <v>7</v>
      </c>
      <c r="DT187" s="1333">
        <f t="shared" si="17"/>
        <v>4</v>
      </c>
      <c r="DU187" s="1333">
        <f t="shared" si="18"/>
        <v>4</v>
      </c>
      <c r="DV187" s="1333">
        <f t="shared" si="19"/>
        <v>3</v>
      </c>
      <c r="DW187" s="1333">
        <f t="shared" si="20"/>
        <v>9</v>
      </c>
      <c r="DX187" s="1333">
        <f t="shared" si="21"/>
        <v>0</v>
      </c>
      <c r="DY187" s="1333">
        <f t="shared" si="22"/>
        <v>0</v>
      </c>
      <c r="DZ187" s="1333">
        <f t="shared" si="23"/>
        <v>0</v>
      </c>
      <c r="EA187" s="1333">
        <f t="shared" si="24"/>
        <v>6</v>
      </c>
      <c r="EB187" s="1333">
        <f t="shared" si="25"/>
        <v>0</v>
      </c>
      <c r="ED187" s="451">
        <f>-(SUMIF(DS187:EB187,"&lt;0"))</f>
        <v>0</v>
      </c>
      <c r="EE187" s="451">
        <f>(SUMIF(DS187:EB187,"&gt;0"))</f>
        <v>33</v>
      </c>
      <c r="EF187" s="451">
        <f>+EE187-ED187</f>
        <v>33</v>
      </c>
      <c r="EG187" s="1333">
        <f>+EF187-CX187</f>
        <v>0</v>
      </c>
    </row>
    <row r="188" spans="1:137" ht="15">
      <c r="A188" s="1266" t="str">
        <f>$A$18</f>
        <v>2Q</v>
      </c>
      <c r="B188" s="1266" t="str">
        <f>$B$18</f>
        <v>Jul</v>
      </c>
      <c r="C188" s="1266"/>
      <c r="D188" s="1294">
        <f t="shared" si="34"/>
        <v>1896</v>
      </c>
      <c r="E188" s="1255">
        <f t="shared" si="34"/>
        <v>18</v>
      </c>
      <c r="F188" s="1295">
        <f>+(D188/D181-1)*100</f>
        <v>3.1556039173014083</v>
      </c>
      <c r="G188" s="1296">
        <f>+N188+U188</f>
        <v>57.099999999999994</v>
      </c>
      <c r="H188" s="1297"/>
      <c r="I188" s="1295">
        <f>+(G188/G181-1)*100</f>
        <v>2.6978417266186883</v>
      </c>
      <c r="J188" s="1309"/>
      <c r="K188" s="1294">
        <f>+K187+L188</f>
        <v>1005</v>
      </c>
      <c r="L188" s="1254">
        <v>15</v>
      </c>
      <c r="M188" s="1295">
        <f>+(K188/K181-1)*100</f>
        <v>4.3613707165109039</v>
      </c>
      <c r="N188" s="1318">
        <v>29.4</v>
      </c>
      <c r="O188" s="1297"/>
      <c r="P188" s="1295">
        <f>+(N188/N181-1)*100</f>
        <v>3.8869257950529867</v>
      </c>
      <c r="Q188" s="1299"/>
      <c r="R188" s="1294">
        <f>+R187+S188</f>
        <v>891</v>
      </c>
      <c r="S188" s="1254">
        <v>3</v>
      </c>
      <c r="T188" s="1295">
        <f>+(R188/R181-1)*100</f>
        <v>1.8285714285714239</v>
      </c>
      <c r="U188" s="1318">
        <v>27.7</v>
      </c>
      <c r="V188" s="1297"/>
      <c r="W188" s="1295">
        <f>+(U188/U181-1)*100</f>
        <v>1.46520146520146</v>
      </c>
      <c r="X188" s="1299"/>
      <c r="Y188" s="1294">
        <f>+Y187+Z188</f>
        <v>220</v>
      </c>
      <c r="Z188" s="1254">
        <v>0</v>
      </c>
      <c r="AA188" s="1295">
        <f>+(Y188/Y181-1)*100</f>
        <v>1.8518518518518601</v>
      </c>
      <c r="AB188" s="1318">
        <v>6.4</v>
      </c>
      <c r="AC188" s="1297"/>
      <c r="AD188" s="1295"/>
      <c r="AE188" s="1299"/>
      <c r="AF188" s="1294">
        <f>+AF187+AG188</f>
        <v>338</v>
      </c>
      <c r="AG188" s="1254">
        <v>3</v>
      </c>
      <c r="AH188" s="1295">
        <f>+(AF188/AF181-1)*100</f>
        <v>4.9689440993788914</v>
      </c>
      <c r="AI188" s="1318">
        <v>10.7</v>
      </c>
      <c r="AJ188" s="1297"/>
      <c r="AK188" s="1295">
        <f>+(AI188/AI181-1)*100</f>
        <v>3.883495145631044</v>
      </c>
      <c r="AL188" s="1299"/>
      <c r="AM188" s="1294">
        <f>+AM187+AN188</f>
        <v>393</v>
      </c>
      <c r="AN188" s="1254">
        <v>10</v>
      </c>
      <c r="AO188" s="1295">
        <f>+(AM188/AM181-1)*100</f>
        <v>7.3770491803278659</v>
      </c>
      <c r="AP188" s="1318">
        <v>9.8000000000000007</v>
      </c>
      <c r="AQ188" s="1297"/>
      <c r="AR188" s="1295">
        <f>+(AP188/AP181-1)*100</f>
        <v>7.6923076923077094</v>
      </c>
      <c r="AS188" s="1299"/>
      <c r="AT188" s="1294">
        <f>+AT187+AU188</f>
        <v>0</v>
      </c>
      <c r="AU188" s="1254">
        <v>0</v>
      </c>
      <c r="AV188" s="1295"/>
      <c r="AW188" s="1296">
        <f>AW187+AU188*$AX$163/1000</f>
        <v>0</v>
      </c>
      <c r="AX188" s="1297"/>
      <c r="AY188" s="1295"/>
      <c r="AZ188" s="1299"/>
      <c r="BA188" s="1294">
        <f>+BA187+BB188</f>
        <v>87</v>
      </c>
      <c r="BB188" s="1254">
        <v>1</v>
      </c>
      <c r="BC188" s="1295">
        <f>+(BA188/BA181-1)*100</f>
        <v>6.0975609756097615</v>
      </c>
      <c r="BD188" s="1318">
        <v>2.1</v>
      </c>
      <c r="BE188" s="1297"/>
      <c r="BF188" s="1295">
        <f>+(BD188/BD181-1)*100</f>
        <v>5.0000000000000044</v>
      </c>
      <c r="BG188" s="1295"/>
      <c r="BH188" s="1294">
        <f>+BH187+BI188</f>
        <v>24</v>
      </c>
      <c r="BI188" s="1254">
        <v>0</v>
      </c>
      <c r="BJ188" s="1295">
        <f>+(BH188/BH181-1)*100</f>
        <v>0</v>
      </c>
      <c r="BK188" s="1318">
        <v>0.5</v>
      </c>
      <c r="BL188" s="1297"/>
      <c r="BM188" s="1295">
        <f>+(BK188/BK181-1)*100</f>
        <v>0</v>
      </c>
      <c r="BN188" s="1295"/>
      <c r="BO188" s="1294">
        <f>+BO187+BP188</f>
        <v>12</v>
      </c>
      <c r="BP188" s="1254">
        <v>0</v>
      </c>
      <c r="BQ188" s="1295"/>
      <c r="BR188" s="1318">
        <v>0.4</v>
      </c>
      <c r="BS188" s="1297"/>
      <c r="BT188" s="1295"/>
      <c r="BU188" s="1295"/>
      <c r="BV188" s="1340">
        <f>+BV187+BW188</f>
        <v>3</v>
      </c>
      <c r="BW188" s="1358">
        <v>0</v>
      </c>
      <c r="BX188" s="1357">
        <f>+(BV188/BV181-1)*100</f>
        <v>0</v>
      </c>
      <c r="BY188" s="1359">
        <f>BY187+BW188*$BE$163/1000</f>
        <v>1.4285714285714289E-2</v>
      </c>
      <c r="BZ188" s="1360"/>
      <c r="CA188" s="1357">
        <f>+(BY188/BY181-1)*100</f>
        <v>0</v>
      </c>
      <c r="CB188" s="1299"/>
      <c r="CC188" s="1390"/>
      <c r="CD188" s="1391"/>
      <c r="CE188" s="1392"/>
      <c r="CF188" s="1393"/>
      <c r="CG188" s="1394"/>
      <c r="CH188" s="1392"/>
      <c r="CI188" s="1294"/>
      <c r="CJ188" s="1254"/>
      <c r="CK188" s="1295"/>
      <c r="CL188" s="1318"/>
      <c r="CM188" s="1297"/>
      <c r="CN188" s="1295"/>
      <c r="CO188" s="1295"/>
      <c r="CP188" s="1294"/>
      <c r="CQ188" s="1254"/>
      <c r="CR188" s="1295"/>
      <c r="CS188" s="1318"/>
      <c r="CT188" s="1297"/>
      <c r="CU188" s="1295"/>
      <c r="CV188" s="1299"/>
      <c r="CW188" s="1306">
        <f>+D188+Y188+AF188+AM188+AT188+BA188+BH188+BO188</f>
        <v>2970</v>
      </c>
      <c r="CX188" s="1307">
        <f>+CW188-CW187</f>
        <v>32</v>
      </c>
      <c r="CY188" s="1295">
        <f>+(CW188/CW181-1)*100</f>
        <v>4.1009463722397443</v>
      </c>
      <c r="CZ188" s="1297"/>
      <c r="DA188" s="1297"/>
      <c r="DB188" s="1318">
        <v>87</v>
      </c>
      <c r="DC188" s="1297"/>
      <c r="DD188" s="1295">
        <f>+(DB188/DB181-1)*100</f>
        <v>3.6948748510130969</v>
      </c>
      <c r="DE188" s="1266"/>
      <c r="DF188" s="1350">
        <f>+D188/$CW188</f>
        <v>0.63838383838383839</v>
      </c>
      <c r="DG188" s="1351"/>
      <c r="DH188" s="1351"/>
      <c r="DI188" s="1350">
        <f>+Y188/$CW188</f>
        <v>7.407407407407407E-2</v>
      </c>
      <c r="DJ188" s="1350">
        <f>+AF188/CW188</f>
        <v>0.11380471380471381</v>
      </c>
      <c r="DK188" s="1350">
        <f>+AM188/CW188</f>
        <v>0.13232323232323231</v>
      </c>
      <c r="DL188" s="1350">
        <f>+AT188/CW188</f>
        <v>0</v>
      </c>
      <c r="DM188" s="1350">
        <f>+BA188/$CW188</f>
        <v>2.9292929292929294E-2</v>
      </c>
      <c r="DN188" s="1350">
        <f>+BH188/$CW188</f>
        <v>8.0808080808080808E-3</v>
      </c>
      <c r="DO188" s="1350">
        <f>+BO188/$CW188</f>
        <v>4.0404040404040404E-3</v>
      </c>
      <c r="DP188" s="1350">
        <f>+CI188/$CW188</f>
        <v>0</v>
      </c>
      <c r="DQ188" s="1350">
        <f t="shared" ref="DQ188:DQ240" si="35">+CP188/$CW188</f>
        <v>0</v>
      </c>
      <c r="DR188" s="1395"/>
      <c r="DS188" s="1333">
        <f t="shared" si="16"/>
        <v>15</v>
      </c>
      <c r="DT188" s="1333">
        <f t="shared" si="17"/>
        <v>3</v>
      </c>
      <c r="DU188" s="1333">
        <f t="shared" si="18"/>
        <v>0</v>
      </c>
      <c r="DV188" s="1333">
        <f t="shared" si="19"/>
        <v>3</v>
      </c>
      <c r="DW188" s="1333">
        <f t="shared" si="20"/>
        <v>10</v>
      </c>
      <c r="DX188" s="1333">
        <f t="shared" si="21"/>
        <v>0</v>
      </c>
      <c r="DY188" s="1333">
        <f t="shared" si="22"/>
        <v>1</v>
      </c>
      <c r="DZ188" s="1333">
        <f t="shared" si="23"/>
        <v>0</v>
      </c>
      <c r="EA188" s="1333">
        <f t="shared" si="24"/>
        <v>0</v>
      </c>
      <c r="EB188" s="1333">
        <f t="shared" si="25"/>
        <v>0</v>
      </c>
      <c r="ED188" s="451">
        <f>-(SUMIF(DS188:EB188,"&lt;0"))</f>
        <v>0</v>
      </c>
      <c r="EE188" s="451">
        <f>(SUMIF(DS188:EB188,"&gt;0"))</f>
        <v>32</v>
      </c>
      <c r="EF188" s="451">
        <f>+EE188-ED188</f>
        <v>32</v>
      </c>
      <c r="EG188" s="1333">
        <f>+EF188-CX188</f>
        <v>0</v>
      </c>
    </row>
    <row r="189" spans="1:137" ht="15">
      <c r="A189" s="1266" t="str">
        <f>$A$19</f>
        <v>3Q</v>
      </c>
      <c r="B189" s="1266" t="str">
        <f>$B$19</f>
        <v>Oct</v>
      </c>
      <c r="C189" s="1266"/>
      <c r="D189" s="1294">
        <f t="shared" si="34"/>
        <v>1941</v>
      </c>
      <c r="E189" s="1255">
        <f t="shared" si="34"/>
        <v>45</v>
      </c>
      <c r="F189" s="1295">
        <f>+(D189/D182-1)*100</f>
        <v>4.1309012875536455</v>
      </c>
      <c r="G189" s="1296">
        <f>+N189+U189</f>
        <v>58.2</v>
      </c>
      <c r="H189" s="1297"/>
      <c r="I189" s="1295">
        <f>+(G189/G182-1)*100</f>
        <v>3.5587188612099752</v>
      </c>
      <c r="J189" s="1266"/>
      <c r="K189" s="1294">
        <f>+K188+L189</f>
        <v>1030</v>
      </c>
      <c r="L189" s="1254">
        <v>25</v>
      </c>
      <c r="M189" s="1295">
        <f>+(K189/K182-1)*100</f>
        <v>5.1020408163265252</v>
      </c>
      <c r="N189" s="1318">
        <v>30</v>
      </c>
      <c r="O189" s="1297"/>
      <c r="P189" s="1295">
        <f>+(N189/N182-1)*100</f>
        <v>4.5296167247386832</v>
      </c>
      <c r="Q189" s="1299"/>
      <c r="R189" s="1294">
        <f>+R188+S189</f>
        <v>911</v>
      </c>
      <c r="S189" s="1254">
        <v>20</v>
      </c>
      <c r="T189" s="1295">
        <f>+(R189/R182-1)*100</f>
        <v>3.0542986425339258</v>
      </c>
      <c r="U189" s="1318">
        <v>28.2</v>
      </c>
      <c r="V189" s="1297"/>
      <c r="W189" s="1295">
        <f>+(U189/U182-1)*100</f>
        <v>2.5454545454545396</v>
      </c>
      <c r="X189" s="1299"/>
      <c r="Y189" s="1294">
        <f>+Y188+Z189</f>
        <v>222</v>
      </c>
      <c r="Z189" s="1254">
        <v>2</v>
      </c>
      <c r="AA189" s="1295">
        <f>+(Y189/Y182-1)*100</f>
        <v>1.8348623853210899</v>
      </c>
      <c r="AB189" s="1318">
        <v>6.5</v>
      </c>
      <c r="AC189" s="1297"/>
      <c r="AD189" s="1295"/>
      <c r="AE189" s="1299"/>
      <c r="AF189" s="1294">
        <f>+AF188+AG189</f>
        <v>343</v>
      </c>
      <c r="AG189" s="1254">
        <v>5</v>
      </c>
      <c r="AH189" s="1295">
        <f>+(AF189/AF182-1)*100</f>
        <v>3.0030030030030019</v>
      </c>
      <c r="AI189" s="1318">
        <v>10.9</v>
      </c>
      <c r="AJ189" s="1297"/>
      <c r="AK189" s="1295">
        <f>+(AI189/AI182-1)*100</f>
        <v>3.8095238095238182</v>
      </c>
      <c r="AL189" s="1299"/>
      <c r="AM189" s="1294">
        <f>+AM188+AN189</f>
        <v>414</v>
      </c>
      <c r="AN189" s="1254">
        <v>21</v>
      </c>
      <c r="AO189" s="1295">
        <f>+(AM189/AM182-1)*100</f>
        <v>10.400000000000009</v>
      </c>
      <c r="AP189" s="1318">
        <v>10.4</v>
      </c>
      <c r="AQ189" s="1297"/>
      <c r="AR189" s="1295">
        <f>+(AP189/AP182-1)*100</f>
        <v>10.638297872340431</v>
      </c>
      <c r="AS189" s="1299"/>
      <c r="AT189" s="1294">
        <f>+AT188+AU189</f>
        <v>0</v>
      </c>
      <c r="AU189" s="1254">
        <v>0</v>
      </c>
      <c r="AV189" s="1295"/>
      <c r="AW189" s="1296">
        <f>AW188+AU189*$AX$163/1000</f>
        <v>0</v>
      </c>
      <c r="AX189" s="1297"/>
      <c r="AY189" s="1295"/>
      <c r="AZ189" s="1299"/>
      <c r="BA189" s="1294">
        <f>+BA188+BB189</f>
        <v>88</v>
      </c>
      <c r="BB189" s="1254">
        <v>1</v>
      </c>
      <c r="BC189" s="1295">
        <f>+(BA189/BA182-1)*100</f>
        <v>3.529411764705892</v>
      </c>
      <c r="BD189" s="1318">
        <v>2.1</v>
      </c>
      <c r="BE189" s="1297"/>
      <c r="BF189" s="1295">
        <f>+(BD189/BD182-1)*100</f>
        <v>5.0000000000000044</v>
      </c>
      <c r="BG189" s="1295"/>
      <c r="BH189" s="1294">
        <f>+BH188+BI189</f>
        <v>24</v>
      </c>
      <c r="BI189" s="1254">
        <v>0</v>
      </c>
      <c r="BJ189" s="1295">
        <f>+(BH189/BH182-1)*100</f>
        <v>0</v>
      </c>
      <c r="BK189" s="1318">
        <v>0.5</v>
      </c>
      <c r="BL189" s="1297"/>
      <c r="BM189" s="1295">
        <f>+(BK189/BK182-1)*100</f>
        <v>0</v>
      </c>
      <c r="BN189" s="1295"/>
      <c r="BO189" s="1294">
        <f>+BO188+BP189</f>
        <v>14</v>
      </c>
      <c r="BP189" s="1254">
        <v>2</v>
      </c>
      <c r="BQ189" s="1295"/>
      <c r="BR189" s="1318">
        <v>0.5</v>
      </c>
      <c r="BS189" s="1297"/>
      <c r="BT189" s="1295"/>
      <c r="BU189" s="1295"/>
      <c r="BV189" s="1340">
        <f>+BV188+BW189</f>
        <v>3</v>
      </c>
      <c r="BW189" s="1358">
        <v>0</v>
      </c>
      <c r="BX189" s="1357">
        <f>+(BV189/BV182-1)*100</f>
        <v>0</v>
      </c>
      <c r="BY189" s="1359">
        <f>BY188+BW189*$BE$163/1000</f>
        <v>1.4285714285714289E-2</v>
      </c>
      <c r="BZ189" s="1360"/>
      <c r="CA189" s="1357">
        <f>+(BY189/BY182-1)*100</f>
        <v>0</v>
      </c>
      <c r="CB189" s="1299"/>
      <c r="CC189" s="1390"/>
      <c r="CD189" s="1391"/>
      <c r="CE189" s="1392"/>
      <c r="CF189" s="1393"/>
      <c r="CG189" s="1394"/>
      <c r="CH189" s="1392"/>
      <c r="CI189" s="1294"/>
      <c r="CJ189" s="1254"/>
      <c r="CK189" s="1295"/>
      <c r="CL189" s="1318"/>
      <c r="CM189" s="1297"/>
      <c r="CN189" s="1295"/>
      <c r="CO189" s="1295"/>
      <c r="CP189" s="1294"/>
      <c r="CQ189" s="1254"/>
      <c r="CR189" s="1295"/>
      <c r="CS189" s="1318"/>
      <c r="CT189" s="1297"/>
      <c r="CU189" s="1295"/>
      <c r="CV189" s="1299"/>
      <c r="CW189" s="1306">
        <f>+D189+Y189+AF189+AM189+AT189+BA189+BH189+BO189</f>
        <v>3046</v>
      </c>
      <c r="CX189" s="1307">
        <f>+CW189-CW188</f>
        <v>76</v>
      </c>
      <c r="CY189" s="1295">
        <f>+(CW189/CW182-1)*100</f>
        <v>4.8537005163511227</v>
      </c>
      <c r="CZ189" s="1297"/>
      <c r="DA189" s="1297"/>
      <c r="DB189" s="1318">
        <v>88.9</v>
      </c>
      <c r="DC189" s="1297"/>
      <c r="DD189" s="1295">
        <f>+(DB189/DB182-1)*100</f>
        <v>4.2203985932004695</v>
      </c>
      <c r="DE189" s="1266"/>
      <c r="DF189" s="1350">
        <f>+D189/$CW189</f>
        <v>0.63722915298752458</v>
      </c>
      <c r="DG189" s="1351"/>
      <c r="DH189" s="1351"/>
      <c r="DI189" s="1350">
        <f>+Y189/$CW189</f>
        <v>7.2882468811556134E-2</v>
      </c>
      <c r="DJ189" s="1350">
        <f>+AF189/CW189</f>
        <v>0.11260669730794484</v>
      </c>
      <c r="DK189" s="1350">
        <f>+AM189/CW189</f>
        <v>0.13591595535128037</v>
      </c>
      <c r="DL189" s="1350">
        <f>+AT189/CW189</f>
        <v>0</v>
      </c>
      <c r="DM189" s="1350">
        <f>+BA189/$CW189</f>
        <v>2.8890347997373604E-2</v>
      </c>
      <c r="DN189" s="1350">
        <f>+BH189/$CW189</f>
        <v>7.8791858174655279E-3</v>
      </c>
      <c r="DO189" s="1350">
        <f>+BO189/$CW189</f>
        <v>4.5961917268548917E-3</v>
      </c>
      <c r="DP189" s="1350">
        <f>+CI189/$CW189</f>
        <v>0</v>
      </c>
      <c r="DQ189" s="1350">
        <f t="shared" si="35"/>
        <v>0</v>
      </c>
      <c r="DR189" s="1395"/>
      <c r="DS189" s="1333">
        <f t="shared" si="16"/>
        <v>25</v>
      </c>
      <c r="DT189" s="1333">
        <f t="shared" si="17"/>
        <v>20</v>
      </c>
      <c r="DU189" s="1333">
        <f t="shared" si="18"/>
        <v>2</v>
      </c>
      <c r="DV189" s="1333">
        <f t="shared" si="19"/>
        <v>5</v>
      </c>
      <c r="DW189" s="1333">
        <f t="shared" si="20"/>
        <v>21</v>
      </c>
      <c r="DX189" s="1333">
        <f t="shared" si="21"/>
        <v>0</v>
      </c>
      <c r="DY189" s="1333">
        <f t="shared" si="22"/>
        <v>1</v>
      </c>
      <c r="DZ189" s="1333">
        <f t="shared" si="23"/>
        <v>0</v>
      </c>
      <c r="EA189" s="1333">
        <f t="shared" si="24"/>
        <v>2</v>
      </c>
      <c r="EB189" s="1333">
        <f t="shared" si="25"/>
        <v>0</v>
      </c>
      <c r="ED189" s="451">
        <f>-(SUMIF(DS189:EB189,"&lt;0"))</f>
        <v>0</v>
      </c>
      <c r="EE189" s="451">
        <f>(SUMIF(DS189:EB189,"&gt;0"))</f>
        <v>76</v>
      </c>
      <c r="EF189" s="451">
        <f>+EE189-ED189</f>
        <v>76</v>
      </c>
      <c r="EG189" s="1333">
        <f>+EF189-CX189</f>
        <v>0</v>
      </c>
    </row>
    <row r="190" spans="1:137" ht="15">
      <c r="A190" s="1266" t="str">
        <f>$A$20</f>
        <v>4Q</v>
      </c>
      <c r="B190" s="1266" t="str">
        <f>$B$20</f>
        <v>Jan</v>
      </c>
      <c r="C190" s="1266"/>
      <c r="D190" s="1312">
        <f t="shared" si="34"/>
        <v>1940</v>
      </c>
      <c r="E190" s="1255">
        <f t="shared" si="34"/>
        <v>-1</v>
      </c>
      <c r="F190" s="1295">
        <f>+(D190/D183-1)*100</f>
        <v>3.9100160685591856</v>
      </c>
      <c r="G190" s="1313">
        <f>+N190+U190</f>
        <v>58.2</v>
      </c>
      <c r="H190" s="1297"/>
      <c r="I190" s="1295">
        <f>+(G190/G183-1)*100</f>
        <v>3.3747779751332141</v>
      </c>
      <c r="J190" s="1266"/>
      <c r="K190" s="1312">
        <f>+K189+L190</f>
        <v>1036</v>
      </c>
      <c r="L190" s="1254">
        <v>6</v>
      </c>
      <c r="M190" s="1295">
        <f>+(K190/K183-1)*100</f>
        <v>5.3916581892166748</v>
      </c>
      <c r="N190" s="1334">
        <v>30.2</v>
      </c>
      <c r="O190" s="1297"/>
      <c r="P190" s="1295">
        <f>+(N190/N183-1)*100</f>
        <v>5.2264808362369353</v>
      </c>
      <c r="Q190" s="1299"/>
      <c r="R190" s="1312">
        <f>+R189+S190</f>
        <v>904</v>
      </c>
      <c r="S190" s="1254">
        <v>-7</v>
      </c>
      <c r="T190" s="1295">
        <f>+(R190/R183-1)*100</f>
        <v>2.2624434389140191</v>
      </c>
      <c r="U190" s="1334">
        <v>28</v>
      </c>
      <c r="V190" s="1297"/>
      <c r="W190" s="1295">
        <f>+(U190/U183-1)*100</f>
        <v>1.4492753623188248</v>
      </c>
      <c r="X190" s="1299"/>
      <c r="Y190" s="1312">
        <f>+Y189+Z190</f>
        <v>222</v>
      </c>
      <c r="Z190" s="1254">
        <v>0</v>
      </c>
      <c r="AA190" s="1295">
        <f>+(Y190/Y183-1)*100</f>
        <v>2.7777777777777679</v>
      </c>
      <c r="AB190" s="1334">
        <v>6.5</v>
      </c>
      <c r="AC190" s="1297"/>
      <c r="AD190" s="1295">
        <f>+(AB190/AB183-1)*100</f>
        <v>3.1746031746031855</v>
      </c>
      <c r="AE190" s="1299"/>
      <c r="AF190" s="1312">
        <f>+AF189+AG190</f>
        <v>343</v>
      </c>
      <c r="AG190" s="1254">
        <v>0</v>
      </c>
      <c r="AH190" s="1295">
        <f>+(AF190/AF183-1)*100</f>
        <v>3.3132530120481896</v>
      </c>
      <c r="AI190" s="1334">
        <v>10.8</v>
      </c>
      <c r="AJ190" s="1297"/>
      <c r="AK190" s="1295">
        <f>+(AI190/AI183-1)*100</f>
        <v>2.8571428571428692</v>
      </c>
      <c r="AL190" s="1299"/>
      <c r="AM190" s="1312">
        <f>+AM189+AN190</f>
        <v>415</v>
      </c>
      <c r="AN190" s="1254">
        <v>1</v>
      </c>
      <c r="AO190" s="1295">
        <f>+(AM190/AM183-1)*100</f>
        <v>10.962566844919785</v>
      </c>
      <c r="AP190" s="1334">
        <v>10.4</v>
      </c>
      <c r="AQ190" s="1297"/>
      <c r="AR190" s="1295">
        <f>+(AP190/AP183-1)*100</f>
        <v>11.827956989247301</v>
      </c>
      <c r="AS190" s="1299"/>
      <c r="AT190" s="1312">
        <f>+AT191</f>
        <v>0</v>
      </c>
      <c r="AU190" s="1255">
        <f>+AT190-AT189</f>
        <v>0</v>
      </c>
      <c r="AV190" s="1295"/>
      <c r="AW190" s="1313">
        <f>AW189+AU190*$AX$163/1000</f>
        <v>0</v>
      </c>
      <c r="AX190" s="1297"/>
      <c r="AY190" s="1295"/>
      <c r="AZ190" s="1299"/>
      <c r="BA190" s="1312">
        <f>+BA189+BB190</f>
        <v>88</v>
      </c>
      <c r="BB190" s="1254">
        <v>0</v>
      </c>
      <c r="BC190" s="1295">
        <f>+(BA190/BA183-1)*100</f>
        <v>2.3255813953488413</v>
      </c>
      <c r="BD190" s="1334">
        <v>2.1</v>
      </c>
      <c r="BE190" s="1297"/>
      <c r="BF190" s="1295">
        <f>+(BD190/BD183-1)*100</f>
        <v>0</v>
      </c>
      <c r="BG190" s="1295"/>
      <c r="BH190" s="1312">
        <f>+BH189+BI190</f>
        <v>24</v>
      </c>
      <c r="BI190" s="1254">
        <v>0</v>
      </c>
      <c r="BJ190" s="1295">
        <f>+(BH190/BH183-1)*100</f>
        <v>0</v>
      </c>
      <c r="BK190" s="1334">
        <v>0.5</v>
      </c>
      <c r="BL190" s="1297"/>
      <c r="BM190" s="1295">
        <f>+(BK190/BK183-1)*100</f>
        <v>0</v>
      </c>
      <c r="BN190" s="1295"/>
      <c r="BO190" s="1312">
        <f>+BO189+BP190</f>
        <v>14</v>
      </c>
      <c r="BP190" s="1254">
        <v>0</v>
      </c>
      <c r="BQ190" s="1295"/>
      <c r="BR190" s="1334">
        <v>0.5</v>
      </c>
      <c r="BS190" s="1297"/>
      <c r="BT190" s="1295"/>
      <c r="BU190" s="1295"/>
      <c r="BV190" s="1361">
        <f>+BV191</f>
        <v>3</v>
      </c>
      <c r="BW190" s="1358">
        <f>+BV190-BV189</f>
        <v>0</v>
      </c>
      <c r="BX190" s="1357">
        <f>+(BV190/BV183-1)*100</f>
        <v>0</v>
      </c>
      <c r="BY190" s="1362">
        <f>BY189+BW190*$BE$163/1000</f>
        <v>1.4285714285714289E-2</v>
      </c>
      <c r="BZ190" s="1360"/>
      <c r="CA190" s="1357">
        <f>+(BY190/BY183-1)*100</f>
        <v>0</v>
      </c>
      <c r="CB190" s="1299"/>
      <c r="CC190" s="1396"/>
      <c r="CD190" s="1391"/>
      <c r="CE190" s="1392"/>
      <c r="CF190" s="1397"/>
      <c r="CG190" s="1394"/>
      <c r="CH190" s="1392"/>
      <c r="CI190" s="1314">
        <v>4</v>
      </c>
      <c r="CJ190" s="1255">
        <f>+CI190-CI189</f>
        <v>4</v>
      </c>
      <c r="CK190" s="1295"/>
      <c r="CL190" s="1334">
        <v>0.1</v>
      </c>
      <c r="CM190" s="1297"/>
      <c r="CN190" s="1295"/>
      <c r="CO190" s="1295"/>
      <c r="CP190" s="1314"/>
      <c r="CQ190" s="1255"/>
      <c r="CR190" s="1295"/>
      <c r="CS190" s="1334"/>
      <c r="CT190" s="1297"/>
      <c r="CU190" s="1295"/>
      <c r="CV190" s="1299"/>
      <c r="CW190" s="1312">
        <f>+D190+Y190+AF190+AM190+AT190+BA190+BH190+BO190+CI190</f>
        <v>3050</v>
      </c>
      <c r="CX190" s="1307">
        <f>+CW190-CW189</f>
        <v>4</v>
      </c>
      <c r="CY190" s="1295">
        <f>+(CW190/CW183-1)*100</f>
        <v>4.9913941480206558</v>
      </c>
      <c r="CZ190" s="1297"/>
      <c r="DA190" s="1297"/>
      <c r="DB190" s="1334">
        <v>89.1</v>
      </c>
      <c r="DC190" s="1297"/>
      <c r="DD190" s="1295">
        <f>+(DB190/DB183-1)*100</f>
        <v>4.4548651817116092</v>
      </c>
      <c r="DE190" s="1266"/>
      <c r="DF190" s="1350">
        <f>+D190/$CW190</f>
        <v>0.63606557377049178</v>
      </c>
      <c r="DG190" s="1351"/>
      <c r="DH190" s="1351"/>
      <c r="DI190" s="1350">
        <f>+Y190/$CW190</f>
        <v>7.2786885245901642E-2</v>
      </c>
      <c r="DJ190" s="1350">
        <f>+AF190/CW190</f>
        <v>0.11245901639344262</v>
      </c>
      <c r="DK190" s="1350">
        <f>+AM190/CW190</f>
        <v>0.1360655737704918</v>
      </c>
      <c r="DL190" s="1350">
        <f>+AT190/CW190</f>
        <v>0</v>
      </c>
      <c r="DM190" s="1350">
        <f>+BA190/$CW190</f>
        <v>2.8852459016393443E-2</v>
      </c>
      <c r="DN190" s="1350">
        <f>+BH190/$CW190</f>
        <v>7.8688524590163934E-3</v>
      </c>
      <c r="DO190" s="1350">
        <f>+BO190/$CW190</f>
        <v>4.5901639344262295E-3</v>
      </c>
      <c r="DP190" s="1350">
        <f>+CI190/$CW190</f>
        <v>1.3114754098360656E-3</v>
      </c>
      <c r="DQ190" s="1350">
        <f t="shared" si="35"/>
        <v>0</v>
      </c>
      <c r="DR190" s="1395"/>
      <c r="DS190" s="1333">
        <f t="shared" si="16"/>
        <v>6</v>
      </c>
      <c r="DT190" s="1333">
        <f t="shared" si="17"/>
        <v>-7</v>
      </c>
      <c r="DU190" s="1333">
        <f t="shared" si="18"/>
        <v>0</v>
      </c>
      <c r="DV190" s="1333">
        <f t="shared" si="19"/>
        <v>0</v>
      </c>
      <c r="DW190" s="1333">
        <f t="shared" si="20"/>
        <v>1</v>
      </c>
      <c r="DX190" s="1333">
        <f t="shared" si="21"/>
        <v>0</v>
      </c>
      <c r="DY190" s="1333">
        <f t="shared" si="22"/>
        <v>0</v>
      </c>
      <c r="DZ190" s="1333">
        <f t="shared" si="23"/>
        <v>0</v>
      </c>
      <c r="EA190" s="1333">
        <f t="shared" si="24"/>
        <v>0</v>
      </c>
      <c r="EB190" s="1333">
        <f t="shared" si="25"/>
        <v>0</v>
      </c>
      <c r="ED190" s="451">
        <f>-(SUMIF(DS190:EB190,"&lt;0"))</f>
        <v>7</v>
      </c>
      <c r="EE190" s="451">
        <f>(SUMIF(DS190:EB190,"&gt;0"))</f>
        <v>7</v>
      </c>
      <c r="EF190" s="451">
        <f>+EE190-ED190</f>
        <v>0</v>
      </c>
      <c r="EG190" s="1333">
        <f>+EF190-CX190</f>
        <v>-4</v>
      </c>
    </row>
    <row r="191" spans="1:137" ht="15">
      <c r="A191" s="1266"/>
      <c r="B191" s="1266" t="str">
        <f>$B$21</f>
        <v>Year</v>
      </c>
      <c r="C191" s="1266"/>
      <c r="D191" s="1306">
        <f>+D190</f>
        <v>1940</v>
      </c>
      <c r="E191" s="1317">
        <f>+D191-D184</f>
        <v>73</v>
      </c>
      <c r="F191" s="1295">
        <f>+(D191/D184-1)*100</f>
        <v>3.9100160685591856</v>
      </c>
      <c r="G191" s="1296">
        <f>+N191+U191</f>
        <v>58.2</v>
      </c>
      <c r="H191" s="1297">
        <f>+G191/D191*1000</f>
        <v>30.000000000000004</v>
      </c>
      <c r="I191" s="1295">
        <f>+(G191/G184-1)*100</f>
        <v>3.3747779751332141</v>
      </c>
      <c r="J191" s="1266"/>
      <c r="K191" s="1306">
        <f>+L191+K184</f>
        <v>1036</v>
      </c>
      <c r="L191" s="1317">
        <f>SUM(L187:L190)</f>
        <v>53</v>
      </c>
      <c r="M191" s="1295">
        <f>+(K191/K184-1)*100</f>
        <v>5.3916581892166748</v>
      </c>
      <c r="N191" s="1296">
        <f>N190</f>
        <v>30.2</v>
      </c>
      <c r="O191" s="1317">
        <f>+N191/K191*1000</f>
        <v>29.150579150579148</v>
      </c>
      <c r="P191" s="1295">
        <f>+(N191/N184-1)*100</f>
        <v>5.2264808362369353</v>
      </c>
      <c r="Q191" s="1299"/>
      <c r="R191" s="1306">
        <f>R190</f>
        <v>904</v>
      </c>
      <c r="S191" s="1317">
        <f>SUM(S187:S190)</f>
        <v>20</v>
      </c>
      <c r="T191" s="1295">
        <f>+(R191/R184-1)*100</f>
        <v>2.2624434389140191</v>
      </c>
      <c r="U191" s="1296">
        <f>U190</f>
        <v>28</v>
      </c>
      <c r="V191" s="1317">
        <f>+U191/R191*1000</f>
        <v>30.973451327433629</v>
      </c>
      <c r="W191" s="1295">
        <f>+(U191/U184-1)*100</f>
        <v>1.4492753623188248</v>
      </c>
      <c r="X191" s="1299"/>
      <c r="Y191" s="1306">
        <f>Y190</f>
        <v>222</v>
      </c>
      <c r="Z191" s="1317">
        <f>SUM(Z187:Z190)</f>
        <v>6</v>
      </c>
      <c r="AA191" s="1295">
        <f>+(Y191/Y184-1)*100</f>
        <v>2.7777777777777679</v>
      </c>
      <c r="AB191" s="1296">
        <f>AB190</f>
        <v>6.5</v>
      </c>
      <c r="AC191" s="1317">
        <f>+AB191/Y191*1000</f>
        <v>29.27927927927928</v>
      </c>
      <c r="AD191" s="1295">
        <f>+(AB191/AB184-1)*100</f>
        <v>3.1746031746031855</v>
      </c>
      <c r="AE191" s="1299"/>
      <c r="AF191" s="1306">
        <f>AF190</f>
        <v>343</v>
      </c>
      <c r="AG191" s="1317">
        <f>SUM(AG187:AG190)</f>
        <v>11</v>
      </c>
      <c r="AH191" s="1295">
        <f>+(AF191/AF184-1)*100</f>
        <v>3.3132530120481896</v>
      </c>
      <c r="AI191" s="1296">
        <f>AI190</f>
        <v>10.8</v>
      </c>
      <c r="AJ191" s="1317">
        <f>+AI191/AF191*1000</f>
        <v>31.486880466472307</v>
      </c>
      <c r="AK191" s="1295">
        <f>+(AI191/AI184-1)*100</f>
        <v>2.8571428571428692</v>
      </c>
      <c r="AL191" s="1299"/>
      <c r="AM191" s="1306">
        <f>+AN191+AM184</f>
        <v>415</v>
      </c>
      <c r="AN191" s="1306">
        <f>SUM(AN187:AN190)</f>
        <v>41</v>
      </c>
      <c r="AO191" s="1295">
        <f>+(AM191/AM184-1)*100</f>
        <v>10.962566844919785</v>
      </c>
      <c r="AP191" s="1296">
        <f>AP190</f>
        <v>10.4</v>
      </c>
      <c r="AQ191" s="1317">
        <f>+AP191/AM191*1000</f>
        <v>25.060240963855424</v>
      </c>
      <c r="AR191" s="1295">
        <f>+(AP191/AP184-1)*100</f>
        <v>11.827956989247301</v>
      </c>
      <c r="AS191" s="1299"/>
      <c r="AT191" s="1306">
        <f>+AU191+AT184</f>
        <v>0</v>
      </c>
      <c r="AU191" s="1256">
        <v>0</v>
      </c>
      <c r="AV191" s="1295"/>
      <c r="AW191" s="1296">
        <f>+AT191*AX191/1000</f>
        <v>0</v>
      </c>
      <c r="AX191" s="1297">
        <f>+AX184</f>
        <v>26</v>
      </c>
      <c r="AY191" s="1295"/>
      <c r="AZ191" s="1299"/>
      <c r="BA191" s="1306">
        <f>BA190</f>
        <v>88</v>
      </c>
      <c r="BB191" s="1317">
        <f>SUM(BB187:BB190)</f>
        <v>2</v>
      </c>
      <c r="BC191" s="1295">
        <f>+(BA191/BA184-1)*100</f>
        <v>2.3255813953488413</v>
      </c>
      <c r="BD191" s="1296">
        <f>BD190</f>
        <v>2.1</v>
      </c>
      <c r="BE191" s="1317">
        <f>+BD191/BA191*1000</f>
        <v>23.863636363636363</v>
      </c>
      <c r="BF191" s="1295">
        <f>+(BD191/BD184-1)*100</f>
        <v>0</v>
      </c>
      <c r="BG191" s="1295"/>
      <c r="BH191" s="1306">
        <f>BH190</f>
        <v>24</v>
      </c>
      <c r="BI191" s="1317">
        <f>SUM(BI187:BI190)</f>
        <v>0</v>
      </c>
      <c r="BJ191" s="1295">
        <f>+(BH191/BH184-1)*100</f>
        <v>0</v>
      </c>
      <c r="BK191" s="1296">
        <f>BK190</f>
        <v>0.5</v>
      </c>
      <c r="BL191" s="1317">
        <f>+BK191/BH191*1000</f>
        <v>20.833333333333332</v>
      </c>
      <c r="BM191" s="1295">
        <f>+(BK191/BK184-1)*100</f>
        <v>0</v>
      </c>
      <c r="BN191" s="1295"/>
      <c r="BO191" s="1306">
        <f>BO190</f>
        <v>14</v>
      </c>
      <c r="BP191" s="1317">
        <f>SUM(BP187:BP190)</f>
        <v>8</v>
      </c>
      <c r="BQ191" s="1295"/>
      <c r="BR191" s="1296">
        <f>BR190</f>
        <v>0.5</v>
      </c>
      <c r="BS191" s="1317">
        <f>+BR191/BO191*1000</f>
        <v>35.714285714285715</v>
      </c>
      <c r="BT191" s="1295"/>
      <c r="BU191" s="1295"/>
      <c r="BV191" s="1337">
        <f>+BW191+BV184</f>
        <v>3</v>
      </c>
      <c r="BW191" s="1343">
        <v>0</v>
      </c>
      <c r="BX191" s="1357">
        <f>+(BV191/BV184-1)*100</f>
        <v>0</v>
      </c>
      <c r="BY191" s="1359">
        <f>+BV191*BZ191/1000</f>
        <v>1.4285714285714289E-2</v>
      </c>
      <c r="BZ191" s="1360">
        <f>+BZ184</f>
        <v>4.7619047619047628</v>
      </c>
      <c r="CA191" s="1357">
        <f>+(BY191/BY184-1)*100</f>
        <v>0</v>
      </c>
      <c r="CB191" s="1299"/>
      <c r="CC191" s="1398"/>
      <c r="CD191" s="1399"/>
      <c r="CE191" s="1392"/>
      <c r="CF191" s="1393"/>
      <c r="CG191" s="1394"/>
      <c r="CH191" s="1392"/>
      <c r="CI191" s="1306">
        <f>CI190</f>
        <v>4</v>
      </c>
      <c r="CJ191" s="1317">
        <f>CJ190</f>
        <v>4</v>
      </c>
      <c r="CK191" s="1295"/>
      <c r="CL191" s="1296">
        <f>CL190</f>
        <v>0.1</v>
      </c>
      <c r="CM191" s="1317">
        <f>+CL191/CI191*1000</f>
        <v>25</v>
      </c>
      <c r="CN191" s="1295"/>
      <c r="CO191" s="1295"/>
      <c r="CP191" s="1306"/>
      <c r="CQ191" s="1317"/>
      <c r="CR191" s="1295"/>
      <c r="CS191" s="1296"/>
      <c r="CT191" s="1317"/>
      <c r="CU191" s="1295"/>
      <c r="CV191" s="1299"/>
      <c r="CW191" s="1306">
        <f>+D191+Y191+AF191+AM191+AT191+BA191+BH191+BO191+CI191</f>
        <v>3050</v>
      </c>
      <c r="CX191" s="1317">
        <f>SUM(CX187:CX190)</f>
        <v>145</v>
      </c>
      <c r="CY191" s="1295">
        <f>+(CW191/CW184-1)*100</f>
        <v>4.9913941480206558</v>
      </c>
      <c r="CZ191" s="1297"/>
      <c r="DA191" s="1297"/>
      <c r="DB191" s="1318">
        <v>89.1</v>
      </c>
      <c r="DC191" s="1297">
        <f>+DB191/CW191*1000</f>
        <v>29.21311475409836</v>
      </c>
      <c r="DD191" s="1295">
        <f>+(DB191/DB184-1)*100</f>
        <v>4.4548651817116092</v>
      </c>
      <c r="DE191" s="1266"/>
      <c r="DF191" s="1350">
        <f>+D191/$CW191</f>
        <v>0.63606557377049178</v>
      </c>
      <c r="DG191" s="1351"/>
      <c r="DH191" s="1351"/>
      <c r="DI191" s="1350">
        <f>+Y191/$CW191</f>
        <v>7.2786885245901642E-2</v>
      </c>
      <c r="DJ191" s="1350">
        <f>+AF191/CW191</f>
        <v>0.11245901639344262</v>
      </c>
      <c r="DK191" s="1350">
        <f>+AM191/CW191</f>
        <v>0.1360655737704918</v>
      </c>
      <c r="DL191" s="1350">
        <f>+AT191/CW191</f>
        <v>0</v>
      </c>
      <c r="DM191" s="1350">
        <f>+BA191/$CW191</f>
        <v>2.8852459016393443E-2</v>
      </c>
      <c r="DN191" s="1350">
        <f>+BH191/$CW191</f>
        <v>7.8688524590163934E-3</v>
      </c>
      <c r="DO191" s="1350">
        <f>+BO191/$CW191</f>
        <v>4.5901639344262295E-3</v>
      </c>
      <c r="DP191" s="1350">
        <f>+CI191/$CW191</f>
        <v>1.3114754098360656E-3</v>
      </c>
      <c r="DQ191" s="1350">
        <f t="shared" si="35"/>
        <v>0</v>
      </c>
      <c r="DR191" s="1395"/>
      <c r="ED191" s="693">
        <f>SUM(ED187:ED190)</f>
        <v>7</v>
      </c>
      <c r="EE191" s="693">
        <f>SUM(EE187:EE190)</f>
        <v>148</v>
      </c>
      <c r="EF191" s="693">
        <f>+EE191-ED191</f>
        <v>141</v>
      </c>
      <c r="EG191" s="1333">
        <f>+EF191-CX191</f>
        <v>-4</v>
      </c>
    </row>
    <row r="192" spans="1:137" ht="16.5">
      <c r="A192" s="1285"/>
      <c r="B192" s="1285"/>
      <c r="C192" s="1285"/>
      <c r="D192" s="1406"/>
      <c r="E192" s="1269"/>
      <c r="F192" s="1302"/>
      <c r="G192" s="1285"/>
      <c r="H192" s="1286"/>
      <c r="I192" s="1295"/>
      <c r="J192" s="1285"/>
      <c r="K192" s="1286"/>
      <c r="L192" s="1269"/>
      <c r="M192" s="1286"/>
      <c r="N192" s="1285"/>
      <c r="O192" s="1286"/>
      <c r="P192" s="1295"/>
      <c r="Q192" s="1286"/>
      <c r="R192" s="1286"/>
      <c r="S192" s="1269"/>
      <c r="T192" s="1286"/>
      <c r="U192" s="1285"/>
      <c r="V192" s="1286"/>
      <c r="W192" s="1295"/>
      <c r="X192" s="1286"/>
      <c r="Y192" s="1286"/>
      <c r="Z192" s="1269"/>
      <c r="AA192" s="1268"/>
      <c r="AB192" s="1285"/>
      <c r="AC192" s="1286"/>
      <c r="AD192" s="1295"/>
      <c r="AE192" s="1268"/>
      <c r="AF192" s="1286"/>
      <c r="AG192" s="1269"/>
      <c r="AH192" s="1270"/>
      <c r="AI192" s="1285"/>
      <c r="AJ192" s="1286"/>
      <c r="AK192" s="1302"/>
      <c r="AL192" s="1268"/>
      <c r="AM192" s="1286"/>
      <c r="AN192" s="1269"/>
      <c r="AO192" s="1268"/>
      <c r="AP192" s="1285"/>
      <c r="AQ192" s="1286"/>
      <c r="AR192" s="1295"/>
      <c r="AS192" s="1268"/>
      <c r="AT192" s="1286"/>
      <c r="AU192" s="1269"/>
      <c r="AV192" s="1266"/>
      <c r="AW192" s="1285"/>
      <c r="AX192" s="1286"/>
      <c r="AY192" s="1295"/>
      <c r="AZ192" s="1266"/>
      <c r="BA192" s="1286"/>
      <c r="BB192" s="1269"/>
      <c r="BC192" s="1266"/>
      <c r="BD192" s="1285"/>
      <c r="BE192" s="1286"/>
      <c r="BF192" s="1295"/>
      <c r="BG192" s="1295"/>
      <c r="BH192" s="1408"/>
      <c r="BI192" s="1401"/>
      <c r="BJ192" s="1402"/>
      <c r="BK192" s="1409"/>
      <c r="BL192" s="1408"/>
      <c r="BM192" s="1295"/>
      <c r="BN192" s="1295"/>
      <c r="BO192" s="1408"/>
      <c r="BP192" s="1401"/>
      <c r="BQ192" s="1402"/>
      <c r="BR192" s="1409"/>
      <c r="BS192" s="1408"/>
      <c r="BT192" s="1295"/>
      <c r="BU192" s="1295"/>
      <c r="BV192" s="1410"/>
      <c r="BW192" s="1354"/>
      <c r="BX192" s="1355"/>
      <c r="BY192" s="1411"/>
      <c r="BZ192" s="1410"/>
      <c r="CA192" s="1357"/>
      <c r="CB192" s="1266"/>
      <c r="CC192" s="1408"/>
      <c r="CD192" s="1401"/>
      <c r="CE192" s="1402"/>
      <c r="CF192" s="1409"/>
      <c r="CG192" s="1408"/>
      <c r="CH192" s="1392"/>
      <c r="CI192" s="1408"/>
      <c r="CJ192" s="1401"/>
      <c r="CK192" s="1402"/>
      <c r="CL192" s="1409"/>
      <c r="CM192" s="1408"/>
      <c r="CN192" s="1295"/>
      <c r="CO192" s="1295"/>
      <c r="CP192" s="1408"/>
      <c r="CQ192" s="1401"/>
      <c r="CR192" s="1402"/>
      <c r="CS192" s="1409"/>
      <c r="CT192" s="1408"/>
      <c r="CU192" s="1295"/>
      <c r="CV192" s="1266"/>
      <c r="CW192" s="1412"/>
      <c r="CX192" s="1266"/>
      <c r="CY192" s="1266"/>
      <c r="CZ192" s="1266"/>
      <c r="DA192" s="1266"/>
      <c r="DB192" s="1413"/>
      <c r="DC192" s="1286"/>
      <c r="DD192" s="1302"/>
      <c r="DE192" s="1285"/>
      <c r="DF192" s="1285"/>
      <c r="DG192" s="1285"/>
      <c r="DH192" s="1285"/>
      <c r="DI192" s="1285"/>
      <c r="DJ192" s="1285"/>
      <c r="DK192" s="1285"/>
      <c r="DL192" s="1285"/>
      <c r="DM192" s="1285"/>
      <c r="DN192" s="1285"/>
      <c r="DO192" s="1285"/>
      <c r="DP192" s="1285"/>
      <c r="DQ192" s="1285"/>
    </row>
    <row r="193" spans="1:137" ht="15.75">
      <c r="A193" s="2118">
        <f>+A186+1</f>
        <v>2013</v>
      </c>
      <c r="B193" s="2118"/>
      <c r="C193" s="1266"/>
      <c r="D193" s="1335"/>
      <c r="E193" s="1269"/>
      <c r="F193" s="1302"/>
      <c r="G193" s="1335"/>
      <c r="H193" s="1268"/>
      <c r="I193" s="1295"/>
      <c r="J193" s="1266"/>
      <c r="K193" s="1336"/>
      <c r="L193" s="1269"/>
      <c r="M193" s="1268"/>
      <c r="N193" s="1336"/>
      <c r="O193" s="1268"/>
      <c r="P193" s="1295"/>
      <c r="Q193" s="1268"/>
      <c r="R193" s="1336"/>
      <c r="S193" s="1269"/>
      <c r="T193" s="1268"/>
      <c r="U193" s="1336"/>
      <c r="V193" s="1268"/>
      <c r="W193" s="1295"/>
      <c r="X193" s="1268"/>
      <c r="Y193" s="1336"/>
      <c r="Z193" s="1269"/>
      <c r="AA193" s="1268"/>
      <c r="AB193" s="1336"/>
      <c r="AC193" s="1268"/>
      <c r="AD193" s="1295"/>
      <c r="AE193" s="1268"/>
      <c r="AF193" s="1336"/>
      <c r="AG193" s="1269"/>
      <c r="AH193" s="1270"/>
      <c r="AI193" s="1336"/>
      <c r="AJ193" s="1268"/>
      <c r="AK193" s="1302"/>
      <c r="AL193" s="1268"/>
      <c r="AM193" s="1336"/>
      <c r="AN193" s="1269"/>
      <c r="AO193" s="1268"/>
      <c r="AP193" s="1336"/>
      <c r="AQ193" s="1268"/>
      <c r="AR193" s="1295"/>
      <c r="AS193" s="1268"/>
      <c r="AT193" s="1336"/>
      <c r="AU193" s="1269"/>
      <c r="AV193" s="1266"/>
      <c r="AW193" s="1336"/>
      <c r="AX193" s="1268"/>
      <c r="AY193" s="1295"/>
      <c r="AZ193" s="1266"/>
      <c r="BA193" s="1336"/>
      <c r="BB193" s="1269"/>
      <c r="BC193" s="1266"/>
      <c r="BD193" s="1336"/>
      <c r="BE193" s="1268"/>
      <c r="BF193" s="1295"/>
      <c r="BG193" s="1295"/>
      <c r="BH193" s="1405"/>
      <c r="BI193" s="1401"/>
      <c r="BJ193" s="1402"/>
      <c r="BK193" s="1405"/>
      <c r="BL193" s="1400"/>
      <c r="BM193" s="1295"/>
      <c r="BN193" s="1295"/>
      <c r="BO193" s="1405"/>
      <c r="BP193" s="1401"/>
      <c r="BQ193" s="1402"/>
      <c r="BR193" s="1405"/>
      <c r="BS193" s="1400"/>
      <c r="BT193" s="1295"/>
      <c r="BU193" s="1295"/>
      <c r="BV193" s="1345"/>
      <c r="BW193" s="1354"/>
      <c r="BX193" s="1355"/>
      <c r="BY193" s="1345"/>
      <c r="BZ193" s="1356"/>
      <c r="CA193" s="1357"/>
      <c r="CB193" s="1266"/>
      <c r="CC193" s="1405"/>
      <c r="CD193" s="1401"/>
      <c r="CE193" s="1402"/>
      <c r="CF193" s="1405"/>
      <c r="CG193" s="1400"/>
      <c r="CH193" s="1392"/>
      <c r="CI193" s="1405"/>
      <c r="CJ193" s="1401"/>
      <c r="CK193" s="1402"/>
      <c r="CL193" s="1405"/>
      <c r="CM193" s="1400"/>
      <c r="CN193" s="1295"/>
      <c r="CO193" s="1295"/>
      <c r="CP193" s="1405"/>
      <c r="CQ193" s="1401"/>
      <c r="CR193" s="1402"/>
      <c r="CS193" s="1405"/>
      <c r="CT193" s="1400"/>
      <c r="CU193" s="1295"/>
      <c r="CV193" s="1266"/>
      <c r="CW193" s="1335"/>
      <c r="CX193" s="1266"/>
      <c r="CY193" s="1266"/>
      <c r="CZ193" s="1266"/>
      <c r="DA193" s="1266"/>
      <c r="DB193" s="1335"/>
      <c r="DC193" s="1268"/>
      <c r="DD193" s="1302"/>
      <c r="DE193" s="1266"/>
      <c r="DF193" s="1266"/>
      <c r="DG193" s="1266"/>
      <c r="DH193" s="1266"/>
      <c r="DI193" s="1266"/>
      <c r="DJ193" s="1266"/>
      <c r="DK193" s="1266"/>
      <c r="DL193" s="1266"/>
      <c r="DM193" s="1266"/>
      <c r="DN193" s="1266"/>
      <c r="DO193" s="1266"/>
      <c r="DP193" s="1266"/>
      <c r="DQ193" s="1266"/>
      <c r="DS193" s="1333"/>
      <c r="DT193" s="1333"/>
      <c r="DU193" s="1333"/>
      <c r="DV193" s="1333"/>
      <c r="DW193" s="1333"/>
      <c r="DX193" s="1333"/>
      <c r="DY193" s="1333"/>
      <c r="DZ193" s="1333"/>
      <c r="EA193" s="1333"/>
      <c r="EB193" s="1333"/>
    </row>
    <row r="194" spans="1:137" ht="15">
      <c r="A194" s="1266" t="str">
        <f>$A$17</f>
        <v>1Q</v>
      </c>
      <c r="B194" s="1266" t="str">
        <f>$B$17</f>
        <v>Apr</v>
      </c>
      <c r="C194" s="1266"/>
      <c r="D194" s="1294">
        <f>+K194+R194</f>
        <v>1958</v>
      </c>
      <c r="E194" s="1255">
        <f t="shared" ref="D194:E197" si="36">+L194+S194</f>
        <v>18</v>
      </c>
      <c r="F194" s="1295">
        <f>+(D194/D187-1)*100</f>
        <v>4.2598509052183209</v>
      </c>
      <c r="G194" s="1296">
        <f>+N194+U194</f>
        <v>58.7</v>
      </c>
      <c r="H194" s="1297"/>
      <c r="I194" s="1295">
        <f>+(G194/G187-1)*100</f>
        <v>3.8938053097345104</v>
      </c>
      <c r="J194" s="1309"/>
      <c r="K194" s="1294">
        <f>+K191+L194</f>
        <v>1047</v>
      </c>
      <c r="L194" s="1254">
        <v>11</v>
      </c>
      <c r="M194" s="1295">
        <f>+(K194/K187-1)*100</f>
        <v>5.7575757575757613</v>
      </c>
      <c r="N194" s="1318">
        <v>30.5</v>
      </c>
      <c r="O194" s="1297"/>
      <c r="P194" s="1295">
        <f>+(N194/N187-1)*100</f>
        <v>5.1724137931034475</v>
      </c>
      <c r="Q194" s="1299"/>
      <c r="R194" s="1294">
        <f>+R191+S194</f>
        <v>911</v>
      </c>
      <c r="S194" s="1254">
        <v>7</v>
      </c>
      <c r="T194" s="1295">
        <f>+(R194/R187-1)*100</f>
        <v>2.5900900900900803</v>
      </c>
      <c r="U194" s="1318">
        <v>28.2</v>
      </c>
      <c r="V194" s="1297"/>
      <c r="W194" s="1295">
        <f>+(U194/U187-1)*100</f>
        <v>2.5454545454545396</v>
      </c>
      <c r="X194" s="1299"/>
      <c r="Y194" s="1294">
        <f>+Y191+Z194</f>
        <v>226</v>
      </c>
      <c r="Z194" s="1254">
        <v>4</v>
      </c>
      <c r="AA194" s="1295">
        <f>+(Y194/Y187-1)*100</f>
        <v>2.7272727272727337</v>
      </c>
      <c r="AB194" s="1318">
        <v>6.6</v>
      </c>
      <c r="AC194" s="1297"/>
      <c r="AD194" s="1295"/>
      <c r="AE194" s="1299"/>
      <c r="AF194" s="1294">
        <f>+AF191+AG194</f>
        <v>352</v>
      </c>
      <c r="AG194" s="1254">
        <v>9</v>
      </c>
      <c r="AH194" s="1295">
        <f>+(AF194/AF187-1)*100</f>
        <v>5.0746268656716387</v>
      </c>
      <c r="AI194" s="1318">
        <v>11.1</v>
      </c>
      <c r="AJ194" s="1297"/>
      <c r="AK194" s="1295">
        <f>+(AI194/AI187-1)*100</f>
        <v>4.7169811320754818</v>
      </c>
      <c r="AL194" s="1299"/>
      <c r="AM194" s="1294">
        <f>+AM191+AN194</f>
        <v>426</v>
      </c>
      <c r="AN194" s="1254">
        <v>11</v>
      </c>
      <c r="AO194" s="1295">
        <f>+(AM194/AM187-1)*100</f>
        <v>11.22715404699739</v>
      </c>
      <c r="AP194" s="1318">
        <v>10.7</v>
      </c>
      <c r="AQ194" s="1297"/>
      <c r="AR194" s="1295">
        <f>+(AP194/AP187-1)*100</f>
        <v>11.458333333333325</v>
      </c>
      <c r="AS194" s="1299"/>
      <c r="AT194" s="1294">
        <f>+AT191+AU194</f>
        <v>0</v>
      </c>
      <c r="AU194" s="1254">
        <v>0</v>
      </c>
      <c r="AV194" s="1295"/>
      <c r="AW194" s="1296">
        <f>AW191+AU194*$AX$163/1000</f>
        <v>0</v>
      </c>
      <c r="AX194" s="1297"/>
      <c r="AY194" s="1295"/>
      <c r="AZ194" s="1299"/>
      <c r="BA194" s="1294">
        <f>+BA191+BB194</f>
        <v>89</v>
      </c>
      <c r="BB194" s="1254">
        <v>1</v>
      </c>
      <c r="BC194" s="1295">
        <f>+(BA194/BA187-1)*100</f>
        <v>3.488372093023262</v>
      </c>
      <c r="BD194" s="1318">
        <v>2.1</v>
      </c>
      <c r="BE194" s="1297"/>
      <c r="BF194" s="1295">
        <f>+(BD194/BD187-1)*100</f>
        <v>0</v>
      </c>
      <c r="BG194" s="1295"/>
      <c r="BH194" s="1294">
        <f>+BH191+BI194</f>
        <v>24</v>
      </c>
      <c r="BI194" s="1254">
        <v>0</v>
      </c>
      <c r="BJ194" s="1295">
        <f>+(BH194/BH187-1)*100</f>
        <v>0</v>
      </c>
      <c r="BK194" s="1318">
        <v>0.5</v>
      </c>
      <c r="BL194" s="1297"/>
      <c r="BM194" s="1295">
        <f>+(BK194/BK187-1)*100</f>
        <v>0</v>
      </c>
      <c r="BN194" s="1295"/>
      <c r="BO194" s="1294">
        <f>+BO191+BP194</f>
        <v>21</v>
      </c>
      <c r="BP194" s="1254">
        <v>7</v>
      </c>
      <c r="BQ194" s="1295"/>
      <c r="BR194" s="1318">
        <v>0.7</v>
      </c>
      <c r="BS194" s="1297"/>
      <c r="BT194" s="1295"/>
      <c r="BU194" s="1295"/>
      <c r="BV194" s="1340">
        <f>+BV191+BW194</f>
        <v>3</v>
      </c>
      <c r="BW194" s="1358">
        <v>0</v>
      </c>
      <c r="BX194" s="1357">
        <f>+(BV194/BV187-1)*100</f>
        <v>0</v>
      </c>
      <c r="BY194" s="1359">
        <f>BY191+BW194*$BL$163/1000</f>
        <v>1.4285714285714289E-2</v>
      </c>
      <c r="BZ194" s="1360"/>
      <c r="CA194" s="1357">
        <f>+(BY194/BY187-1)*100</f>
        <v>0</v>
      </c>
      <c r="CB194" s="1299"/>
      <c r="CC194" s="1390"/>
      <c r="CD194" s="1391"/>
      <c r="CE194" s="1392"/>
      <c r="CF194" s="1393"/>
      <c r="CG194" s="1394"/>
      <c r="CH194" s="1392"/>
      <c r="CI194" s="1294">
        <f>+CI191+CJ194</f>
        <v>4</v>
      </c>
      <c r="CJ194" s="1254">
        <v>0</v>
      </c>
      <c r="CK194" s="1295"/>
      <c r="CL194" s="1318">
        <v>0.1</v>
      </c>
      <c r="CM194" s="1297"/>
      <c r="CN194" s="1295"/>
      <c r="CO194" s="1295"/>
      <c r="CP194" s="1294"/>
      <c r="CQ194" s="1254"/>
      <c r="CR194" s="1295"/>
      <c r="CS194" s="1318"/>
      <c r="CT194" s="1297"/>
      <c r="CU194" s="1295"/>
      <c r="CV194" s="1299"/>
      <c r="CW194" s="1306">
        <f>+D194+Y194+AF194+AM194+AT194+BA194+BH194+BO194+CI194</f>
        <v>3100</v>
      </c>
      <c r="CX194" s="1307">
        <f>+CW194-CW190</f>
        <v>50</v>
      </c>
      <c r="CY194" s="1295">
        <f>+(CW194/CW187-1)*100</f>
        <v>5.5139550714772056</v>
      </c>
      <c r="CZ194" s="1297"/>
      <c r="DA194" s="1297"/>
      <c r="DB194" s="1318">
        <v>90.4</v>
      </c>
      <c r="DC194" s="1297"/>
      <c r="DD194" s="1295">
        <f>+(DB194/DB187-1)*100</f>
        <v>4.9941927990708512</v>
      </c>
      <c r="DE194" s="1266"/>
      <c r="DF194" s="1350">
        <f>+D194/$CW194</f>
        <v>0.63161290322580643</v>
      </c>
      <c r="DG194" s="1351"/>
      <c r="DH194" s="1351"/>
      <c r="DI194" s="1350">
        <f>+Y194/$CW194</f>
        <v>7.2903225806451616E-2</v>
      </c>
      <c r="DJ194" s="1350">
        <f>+AF194/CW194</f>
        <v>0.1135483870967742</v>
      </c>
      <c r="DK194" s="1350">
        <f>+AM194/CW194</f>
        <v>0.13741935483870968</v>
      </c>
      <c r="DL194" s="1350">
        <f>+AT194/CW194</f>
        <v>0</v>
      </c>
      <c r="DM194" s="1350">
        <f>+BA194/$CW194</f>
        <v>2.8709677419354838E-2</v>
      </c>
      <c r="DN194" s="1350">
        <f>+BH194/$CW194</f>
        <v>7.7419354838709677E-3</v>
      </c>
      <c r="DO194" s="1350">
        <f>+BO194/$CW194</f>
        <v>6.7741935483870966E-3</v>
      </c>
      <c r="DP194" s="1350">
        <f>+CI194/$CW194</f>
        <v>1.2903225806451613E-3</v>
      </c>
      <c r="DQ194" s="1350">
        <f t="shared" si="35"/>
        <v>0</v>
      </c>
      <c r="DR194" s="1395"/>
      <c r="DS194" s="1333">
        <f>+L194</f>
        <v>11</v>
      </c>
      <c r="DT194" s="1333">
        <f>+S194</f>
        <v>7</v>
      </c>
      <c r="DU194" s="1333">
        <f>+Z194</f>
        <v>4</v>
      </c>
      <c r="DV194" s="1333">
        <f>+AG194</f>
        <v>9</v>
      </c>
      <c r="DW194" s="1333">
        <f>+AN194</f>
        <v>11</v>
      </c>
      <c r="DX194" s="1333">
        <f>+AU194</f>
        <v>0</v>
      </c>
      <c r="DY194" s="1333">
        <f>+BB194</f>
        <v>1</v>
      </c>
      <c r="DZ194" s="1333">
        <f>+BI194</f>
        <v>0</v>
      </c>
      <c r="EA194" s="1333">
        <f>+BP194</f>
        <v>7</v>
      </c>
      <c r="EB194" s="1333">
        <f>+CD194</f>
        <v>0</v>
      </c>
      <c r="ED194" s="451">
        <f>-(SUMIF(DS194:EB194,"&lt;0"))</f>
        <v>0</v>
      </c>
      <c r="EE194" s="451">
        <f>(SUMIF(DS194:EB194,"&gt;0"))</f>
        <v>50</v>
      </c>
      <c r="EF194" s="451">
        <f>+EE194-ED194</f>
        <v>50</v>
      </c>
      <c r="EG194" s="1333">
        <f>+EF194-CX194</f>
        <v>0</v>
      </c>
    </row>
    <row r="195" spans="1:137" ht="15">
      <c r="A195" s="1266" t="str">
        <f>$A$18</f>
        <v>2Q</v>
      </c>
      <c r="B195" s="1266" t="str">
        <f>$B$18</f>
        <v>Jul</v>
      </c>
      <c r="C195" s="1266"/>
      <c r="D195" s="1294">
        <f t="shared" si="36"/>
        <v>1966</v>
      </c>
      <c r="E195" s="1255">
        <f t="shared" si="36"/>
        <v>8</v>
      </c>
      <c r="F195" s="1295">
        <f>+(D195/D188-1)*100</f>
        <v>3.6919831223628741</v>
      </c>
      <c r="G195" s="1296">
        <f>+N195+U195</f>
        <v>58.900000000000006</v>
      </c>
      <c r="H195" s="1297"/>
      <c r="I195" s="1295">
        <f>+(G195/G188-1)*100</f>
        <v>3.1523642732049328</v>
      </c>
      <c r="J195" s="1309"/>
      <c r="K195" s="1294">
        <f>+K194+L195</f>
        <v>1052</v>
      </c>
      <c r="L195" s="1254">
        <v>5</v>
      </c>
      <c r="M195" s="1295">
        <f>+(K195/K188-1)*100</f>
        <v>4.6766169154228932</v>
      </c>
      <c r="N195" s="1318">
        <v>30.6</v>
      </c>
      <c r="O195" s="1297"/>
      <c r="P195" s="1295">
        <f>+(N195/N188-1)*100</f>
        <v>4.081632653061229</v>
      </c>
      <c r="Q195" s="1299"/>
      <c r="R195" s="1294">
        <f>+R194+S195</f>
        <v>914</v>
      </c>
      <c r="S195" s="1254">
        <v>3</v>
      </c>
      <c r="T195" s="1295">
        <f>+(R195/R188-1)*100</f>
        <v>2.5813692480359141</v>
      </c>
      <c r="U195" s="1318">
        <v>28.3</v>
      </c>
      <c r="V195" s="1297"/>
      <c r="W195" s="1295">
        <f>+(U195/U188-1)*100</f>
        <v>2.1660649819494671</v>
      </c>
      <c r="X195" s="1299"/>
      <c r="Y195" s="1294">
        <f>+Y194+Z195</f>
        <v>226</v>
      </c>
      <c r="Z195" s="1254">
        <v>0</v>
      </c>
      <c r="AA195" s="1295">
        <f>+(Y195/Y188-1)*100</f>
        <v>2.7272727272727337</v>
      </c>
      <c r="AB195" s="1318">
        <v>6.6</v>
      </c>
      <c r="AC195" s="1297"/>
      <c r="AD195" s="1295"/>
      <c r="AE195" s="1299"/>
      <c r="AF195" s="1294">
        <f>+AF194+AG195</f>
        <v>355</v>
      </c>
      <c r="AG195" s="1254">
        <v>3</v>
      </c>
      <c r="AH195" s="1295">
        <f>+(AF195/AF188-1)*100</f>
        <v>5.0295857988165604</v>
      </c>
      <c r="AI195" s="1318">
        <v>11.2</v>
      </c>
      <c r="AJ195" s="1297"/>
      <c r="AK195" s="1295">
        <f>+(AI195/AI188-1)*100</f>
        <v>4.6728971962616717</v>
      </c>
      <c r="AL195" s="1299"/>
      <c r="AM195" s="1294">
        <f>+AM194+AN195</f>
        <v>430</v>
      </c>
      <c r="AN195" s="1254">
        <v>4</v>
      </c>
      <c r="AO195" s="1295">
        <f>+(AM195/AM188-1)*100</f>
        <v>9.4147582697200924</v>
      </c>
      <c r="AP195" s="1318">
        <v>10.8</v>
      </c>
      <c r="AQ195" s="1297"/>
      <c r="AR195" s="1295">
        <f>+(AP195/AP188-1)*100</f>
        <v>10.20408163265305</v>
      </c>
      <c r="AS195" s="1299"/>
      <c r="AT195" s="1294">
        <f>+AT194+AU195</f>
        <v>0</v>
      </c>
      <c r="AU195" s="1254">
        <v>0</v>
      </c>
      <c r="AV195" s="1295"/>
      <c r="AW195" s="1296">
        <f>AW194+AU195*$AX$163/1000</f>
        <v>0</v>
      </c>
      <c r="AX195" s="1297"/>
      <c r="AY195" s="1295"/>
      <c r="AZ195" s="1299"/>
      <c r="BA195" s="1294">
        <f>+BA194+BB195</f>
        <v>89</v>
      </c>
      <c r="BB195" s="1254">
        <v>0</v>
      </c>
      <c r="BC195" s="1295">
        <f>+(BA195/BA188-1)*100</f>
        <v>2.2988505747126409</v>
      </c>
      <c r="BD195" s="1318">
        <v>2.1</v>
      </c>
      <c r="BE195" s="1297"/>
      <c r="BF195" s="1295">
        <f>+(BD195/BD188-1)*100</f>
        <v>0</v>
      </c>
      <c r="BG195" s="1295"/>
      <c r="BH195" s="1294">
        <f>+BH194+BI195</f>
        <v>27</v>
      </c>
      <c r="BI195" s="1254">
        <v>3</v>
      </c>
      <c r="BJ195" s="1295">
        <f>+(BH195/BH188-1)*100</f>
        <v>12.5</v>
      </c>
      <c r="BK195" s="1318">
        <v>0.6</v>
      </c>
      <c r="BL195" s="1297"/>
      <c r="BM195" s="1295">
        <f>+(BK195/BK188-1)*100</f>
        <v>19.999999999999996</v>
      </c>
      <c r="BN195" s="1295"/>
      <c r="BO195" s="1294">
        <f>+BO194+BP195</f>
        <v>22</v>
      </c>
      <c r="BP195" s="1254">
        <v>1</v>
      </c>
      <c r="BQ195" s="1295"/>
      <c r="BR195" s="1318">
        <v>0.7</v>
      </c>
      <c r="BS195" s="1297"/>
      <c r="BT195" s="1295"/>
      <c r="BU195" s="1295"/>
      <c r="BV195" s="1340">
        <f>+BV194+BW195</f>
        <v>3</v>
      </c>
      <c r="BW195" s="1358">
        <v>0</v>
      </c>
      <c r="BX195" s="1357">
        <f>+(BV195/BV188-1)*100</f>
        <v>0</v>
      </c>
      <c r="BY195" s="1359">
        <f>BY194+BW195*$BE$163/1000</f>
        <v>1.4285714285714289E-2</v>
      </c>
      <c r="BZ195" s="1360"/>
      <c r="CA195" s="1357">
        <f>+(BY195/BY188-1)*100</f>
        <v>0</v>
      </c>
      <c r="CB195" s="1299"/>
      <c r="CC195" s="1390"/>
      <c r="CD195" s="1391"/>
      <c r="CE195" s="1392"/>
      <c r="CF195" s="1393"/>
      <c r="CG195" s="1394"/>
      <c r="CH195" s="1392"/>
      <c r="CI195" s="1294">
        <f>+CI194+CJ195</f>
        <v>4</v>
      </c>
      <c r="CJ195" s="1254">
        <v>0</v>
      </c>
      <c r="CK195" s="1295"/>
      <c r="CL195" s="1352">
        <v>0.1</v>
      </c>
      <c r="CM195" s="1297"/>
      <c r="CN195" s="1295"/>
      <c r="CO195" s="1295"/>
      <c r="CP195" s="1294"/>
      <c r="CQ195" s="1254"/>
      <c r="CR195" s="1295"/>
      <c r="CS195" s="1352"/>
      <c r="CT195" s="1297"/>
      <c r="CU195" s="1295"/>
      <c r="CV195" s="1299"/>
      <c r="CW195" s="1306">
        <f>+D195+Y195+AF195+AM195+AT195+BA195+BH195+BO195+CI195</f>
        <v>3119</v>
      </c>
      <c r="CX195" s="1307">
        <f>+CW195-CW194</f>
        <v>19</v>
      </c>
      <c r="CY195" s="1295">
        <f>+(CW195/CW188-1)*100</f>
        <v>5.0168350168350084</v>
      </c>
      <c r="CZ195" s="1297"/>
      <c r="DA195" s="1297"/>
      <c r="DB195" s="1318">
        <v>90.9</v>
      </c>
      <c r="DC195" s="1297"/>
      <c r="DD195" s="1295">
        <f>+(DB195/DB188-1)*100</f>
        <v>4.482758620689653</v>
      </c>
      <c r="DE195" s="1266"/>
      <c r="DF195" s="1350">
        <f>+D195/$CW195</f>
        <v>0.63033023404937483</v>
      </c>
      <c r="DG195" s="1351"/>
      <c r="DH195" s="1351"/>
      <c r="DI195" s="1350">
        <f>+Y195/$CW195</f>
        <v>7.2459121513305552E-2</v>
      </c>
      <c r="DJ195" s="1350">
        <f>+AF195/CW195</f>
        <v>0.11381853158063482</v>
      </c>
      <c r="DK195" s="1350">
        <f>+AM195/CW195</f>
        <v>0.1378647002244309</v>
      </c>
      <c r="DL195" s="1350">
        <f>+AT195/CW195</f>
        <v>0</v>
      </c>
      <c r="DM195" s="1350">
        <f>+BA195/$CW195</f>
        <v>2.8534786790638023E-2</v>
      </c>
      <c r="DN195" s="1350">
        <f>+BH195/$CW195</f>
        <v>8.6566207117665921E-3</v>
      </c>
      <c r="DO195" s="1350">
        <f>+BO195/$CW195</f>
        <v>7.0535428021801863E-3</v>
      </c>
      <c r="DP195" s="1350">
        <f>+CI195/$CW195</f>
        <v>1.2824623276691247E-3</v>
      </c>
      <c r="DQ195" s="1350">
        <f t="shared" si="35"/>
        <v>0</v>
      </c>
      <c r="DR195" s="1395"/>
      <c r="DS195" s="1333">
        <f>+L195</f>
        <v>5</v>
      </c>
      <c r="DT195" s="1333">
        <f>+S195</f>
        <v>3</v>
      </c>
      <c r="DU195" s="1333">
        <f>+Z195</f>
        <v>0</v>
      </c>
      <c r="DV195" s="1333">
        <f>+AG195</f>
        <v>3</v>
      </c>
      <c r="DW195" s="1333">
        <f>+AN195</f>
        <v>4</v>
      </c>
      <c r="DX195" s="1333">
        <f>+AU195</f>
        <v>0</v>
      </c>
      <c r="DY195" s="1333">
        <f>+BB195</f>
        <v>0</v>
      </c>
      <c r="DZ195" s="1333">
        <f>+BI195</f>
        <v>3</v>
      </c>
      <c r="EA195" s="1333">
        <f>+BP195</f>
        <v>1</v>
      </c>
      <c r="EB195" s="1333">
        <f>+CD195</f>
        <v>0</v>
      </c>
      <c r="ED195" s="451">
        <f>-(SUMIF(DS195:EB195,"&lt;0"))</f>
        <v>0</v>
      </c>
      <c r="EE195" s="451">
        <f>(SUMIF(DS195:EB195,"&gt;0"))</f>
        <v>19</v>
      </c>
      <c r="EF195" s="451">
        <f>+EE195-ED195</f>
        <v>19</v>
      </c>
      <c r="EG195" s="1333">
        <f>+EF195-CX195</f>
        <v>0</v>
      </c>
    </row>
    <row r="196" spans="1:137" ht="15">
      <c r="A196" s="1266" t="str">
        <f>$A$19</f>
        <v>3Q</v>
      </c>
      <c r="B196" s="1266" t="str">
        <f>$B$19</f>
        <v>Oct</v>
      </c>
      <c r="C196" s="1266"/>
      <c r="D196" s="1294">
        <f t="shared" si="36"/>
        <v>2016</v>
      </c>
      <c r="E196" s="1255">
        <f t="shared" si="36"/>
        <v>50</v>
      </c>
      <c r="F196" s="1295">
        <f>+(D196/D189-1)*100</f>
        <v>3.863987635239563</v>
      </c>
      <c r="G196" s="1296">
        <f>+N196+U196</f>
        <v>60</v>
      </c>
      <c r="H196" s="1297"/>
      <c r="I196" s="1295">
        <f>+(G196/G189-1)*100</f>
        <v>3.0927835051546282</v>
      </c>
      <c r="J196" s="1309"/>
      <c r="K196" s="1294">
        <f>+K195+L196</f>
        <v>1075</v>
      </c>
      <c r="L196" s="1254">
        <v>23</v>
      </c>
      <c r="M196" s="1295">
        <f>+(K196/K189-1)*100</f>
        <v>4.3689320388349495</v>
      </c>
      <c r="N196" s="1318">
        <v>31.1</v>
      </c>
      <c r="O196" s="1297"/>
      <c r="P196" s="1295">
        <f>+(N196/N189-1)*100</f>
        <v>3.6666666666666625</v>
      </c>
      <c r="Q196" s="1299"/>
      <c r="R196" s="1294">
        <f>+R195+S196</f>
        <v>941</v>
      </c>
      <c r="S196" s="1254">
        <v>27</v>
      </c>
      <c r="T196" s="1295">
        <f>+(R196/R189-1)*100</f>
        <v>3.2930845225027428</v>
      </c>
      <c r="U196" s="1318">
        <v>28.9</v>
      </c>
      <c r="V196" s="1297"/>
      <c r="W196" s="1295">
        <f>+(U196/U189-1)*100</f>
        <v>2.4822695035460862</v>
      </c>
      <c r="X196" s="1299"/>
      <c r="Y196" s="1294">
        <f>+Y195+Z196</f>
        <v>227</v>
      </c>
      <c r="Z196" s="1254">
        <v>1</v>
      </c>
      <c r="AA196" s="1295">
        <f>+(Y196/Y189-1)*100</f>
        <v>2.2522522522522515</v>
      </c>
      <c r="AB196" s="1318">
        <v>6.6</v>
      </c>
      <c r="AC196" s="1297"/>
      <c r="AD196" s="1295"/>
      <c r="AE196" s="1299"/>
      <c r="AF196" s="1294">
        <f>+AF195+AG196</f>
        <v>371</v>
      </c>
      <c r="AG196" s="1254">
        <v>16</v>
      </c>
      <c r="AH196" s="1295">
        <f>+(AF196/AF189-1)*100</f>
        <v>8.163265306122458</v>
      </c>
      <c r="AI196" s="1318">
        <v>11.6</v>
      </c>
      <c r="AJ196" s="1297"/>
      <c r="AK196" s="1295">
        <f>+(AI196/AI189-1)*100</f>
        <v>6.4220183486238369</v>
      </c>
      <c r="AL196" s="1299"/>
      <c r="AM196" s="1294">
        <f>+AM195+AN196</f>
        <v>448</v>
      </c>
      <c r="AN196" s="1254">
        <v>18</v>
      </c>
      <c r="AO196" s="1295">
        <f>+(AM196/AM189-1)*100</f>
        <v>8.212560386473422</v>
      </c>
      <c r="AP196" s="1318">
        <v>11.2</v>
      </c>
      <c r="AQ196" s="1297"/>
      <c r="AR196" s="1295">
        <f>+(AP196/AP189-1)*100</f>
        <v>7.6923076923076872</v>
      </c>
      <c r="AS196" s="1299"/>
      <c r="AT196" s="1294">
        <f>+AT195+AU196</f>
        <v>0</v>
      </c>
      <c r="AU196" s="1254">
        <v>0</v>
      </c>
      <c r="AV196" s="1295"/>
      <c r="AW196" s="1296">
        <f>AW195+AU196*$AX$163/1000</f>
        <v>0</v>
      </c>
      <c r="AX196" s="1297"/>
      <c r="AY196" s="1295"/>
      <c r="AZ196" s="1299"/>
      <c r="BA196" s="1294">
        <f>+BA195+BB196</f>
        <v>91</v>
      </c>
      <c r="BB196" s="1254">
        <v>2</v>
      </c>
      <c r="BC196" s="1295">
        <f>+(BA196/BA189-1)*100</f>
        <v>3.4090909090909172</v>
      </c>
      <c r="BD196" s="1318">
        <v>2.2000000000000002</v>
      </c>
      <c r="BE196" s="1297"/>
      <c r="BF196" s="1295">
        <f>+(BD196/BD189-1)*100</f>
        <v>4.7619047619047672</v>
      </c>
      <c r="BG196" s="1295"/>
      <c r="BH196" s="1294">
        <f>+BH195+BI196</f>
        <v>28</v>
      </c>
      <c r="BI196" s="1254">
        <v>1</v>
      </c>
      <c r="BJ196" s="1295">
        <f>+(BH196/BH189-1)*100</f>
        <v>16.666666666666675</v>
      </c>
      <c r="BK196" s="1318">
        <v>0.6</v>
      </c>
      <c r="BL196" s="1297"/>
      <c r="BM196" s="1295">
        <f>+(BK196/BK189-1)*100</f>
        <v>19.999999999999996</v>
      </c>
      <c r="BN196" s="1295"/>
      <c r="BO196" s="1294">
        <f>+BO195+BP196</f>
        <v>27</v>
      </c>
      <c r="BP196" s="1254">
        <v>5</v>
      </c>
      <c r="BQ196" s="1295"/>
      <c r="BR196" s="1318">
        <v>0.8</v>
      </c>
      <c r="BS196" s="1297"/>
      <c r="BT196" s="1295"/>
      <c r="BU196" s="1295"/>
      <c r="BV196" s="1340">
        <f>+BV195+BW196</f>
        <v>3</v>
      </c>
      <c r="BW196" s="1358">
        <v>0</v>
      </c>
      <c r="BX196" s="1357">
        <f>+(BV196/BV189-1)*100</f>
        <v>0</v>
      </c>
      <c r="BY196" s="1359">
        <f>BY195+BW196*$BE$163/1000</f>
        <v>1.4285714285714289E-2</v>
      </c>
      <c r="BZ196" s="1360"/>
      <c r="CA196" s="1357">
        <f>+(BY196/BY189-1)*100</f>
        <v>0</v>
      </c>
      <c r="CB196" s="1299"/>
      <c r="CC196" s="1390"/>
      <c r="CD196" s="1391"/>
      <c r="CE196" s="1392"/>
      <c r="CF196" s="1393"/>
      <c r="CG196" s="1394"/>
      <c r="CH196" s="1392"/>
      <c r="CI196" s="1294">
        <f>+CI195+CJ196</f>
        <v>4</v>
      </c>
      <c r="CJ196" s="1254">
        <v>0</v>
      </c>
      <c r="CK196" s="1295"/>
      <c r="CL196" s="1352">
        <v>0.1</v>
      </c>
      <c r="CM196" s="1297"/>
      <c r="CN196" s="1295"/>
      <c r="CO196" s="1295"/>
      <c r="CP196" s="1294"/>
      <c r="CQ196" s="1254"/>
      <c r="CR196" s="1295"/>
      <c r="CS196" s="1352"/>
      <c r="CT196" s="1297"/>
      <c r="CU196" s="1295"/>
      <c r="CV196" s="1299"/>
      <c r="CW196" s="1306">
        <f>+D196+Y196+AF196+AM196+AT196+BA196+BH196+BO196+CI196</f>
        <v>3212</v>
      </c>
      <c r="CX196" s="1307">
        <f>+CW196-CW195</f>
        <v>93</v>
      </c>
      <c r="CY196" s="1295">
        <f>+(CW196/CW189-1)*100</f>
        <v>5.4497701904136608</v>
      </c>
      <c r="CZ196" s="1297"/>
      <c r="DA196" s="1297"/>
      <c r="DB196" s="1318">
        <v>93.1</v>
      </c>
      <c r="DC196" s="1297"/>
      <c r="DD196" s="1295">
        <f>+(DB196/DB189-1)*100</f>
        <v>4.7244094488188892</v>
      </c>
      <c r="DE196" s="1266"/>
      <c r="DF196" s="1350">
        <f>+D196/$CW196</f>
        <v>0.62764632627646322</v>
      </c>
      <c r="DG196" s="1351"/>
      <c r="DH196" s="1351"/>
      <c r="DI196" s="1350">
        <f>+Y196/$CW196</f>
        <v>7.0672478206724787E-2</v>
      </c>
      <c r="DJ196" s="1350">
        <f>+AF196/CW196</f>
        <v>0.11550435865504359</v>
      </c>
      <c r="DK196" s="1350">
        <f>+AM196/CW196</f>
        <v>0.13947696139476962</v>
      </c>
      <c r="DL196" s="1350">
        <f>+AT196/CW196</f>
        <v>0</v>
      </c>
      <c r="DM196" s="1350">
        <f>+BA196/$CW196</f>
        <v>2.8331257783312577E-2</v>
      </c>
      <c r="DN196" s="1350">
        <f>+BH196/$CW196</f>
        <v>8.717310087173101E-3</v>
      </c>
      <c r="DO196" s="1350">
        <f>+BO196/$CW196</f>
        <v>8.4059775840597765E-3</v>
      </c>
      <c r="DP196" s="1350">
        <f>+CI196/$CW196</f>
        <v>1.2453300124533001E-3</v>
      </c>
      <c r="DQ196" s="1350">
        <f t="shared" si="35"/>
        <v>0</v>
      </c>
      <c r="DR196" s="1395"/>
      <c r="DS196" s="1333">
        <f>+L196</f>
        <v>23</v>
      </c>
      <c r="DT196" s="1333">
        <f>+S196</f>
        <v>27</v>
      </c>
      <c r="DU196" s="1333">
        <f>+Z196</f>
        <v>1</v>
      </c>
      <c r="DV196" s="1333">
        <f>+AG196</f>
        <v>16</v>
      </c>
      <c r="DW196" s="1333">
        <f>+AN196</f>
        <v>18</v>
      </c>
      <c r="DX196" s="1333">
        <f>+AU196</f>
        <v>0</v>
      </c>
      <c r="DY196" s="1333">
        <f>+BB196</f>
        <v>2</v>
      </c>
      <c r="DZ196" s="1333">
        <f>+BI196</f>
        <v>1</v>
      </c>
      <c r="EA196" s="1333">
        <f>+BP196</f>
        <v>5</v>
      </c>
      <c r="EB196" s="1333">
        <f>+CD196</f>
        <v>0</v>
      </c>
      <c r="ED196" s="451">
        <f>-(SUMIF(DS196:EB196,"&lt;0"))</f>
        <v>0</v>
      </c>
      <c r="EE196" s="451">
        <f>(SUMIF(DS196:EB196,"&gt;0"))</f>
        <v>93</v>
      </c>
      <c r="EF196" s="451">
        <f>+EE196-ED196</f>
        <v>93</v>
      </c>
      <c r="EG196" s="1333">
        <f>+EF196-CX196</f>
        <v>0</v>
      </c>
    </row>
    <row r="197" spans="1:137" ht="15">
      <c r="A197" s="1266" t="str">
        <f>$A$20</f>
        <v>4Q</v>
      </c>
      <c r="B197" s="1266" t="str">
        <f>$B$20</f>
        <v>Jan</v>
      </c>
      <c r="C197" s="1266"/>
      <c r="D197" s="1312">
        <f t="shared" si="36"/>
        <v>2021</v>
      </c>
      <c r="E197" s="1255">
        <f t="shared" si="36"/>
        <v>5</v>
      </c>
      <c r="F197" s="1295">
        <f>+(D197/D190-1)*100</f>
        <v>4.1752577319587703</v>
      </c>
      <c r="G197" s="1313">
        <f>+N197+U197</f>
        <v>60.099999999999994</v>
      </c>
      <c r="H197" s="1297"/>
      <c r="I197" s="1295">
        <f>+(G197/G190-1)*100</f>
        <v>3.264604810996552</v>
      </c>
      <c r="J197" s="1266"/>
      <c r="K197" s="1312">
        <f>+K198</f>
        <v>1079</v>
      </c>
      <c r="L197" s="1254">
        <v>4</v>
      </c>
      <c r="M197" s="1295">
        <f>+(K197/K190-1)*100</f>
        <v>4.1505791505791478</v>
      </c>
      <c r="N197" s="1334">
        <v>31.2</v>
      </c>
      <c r="O197" s="1297"/>
      <c r="P197" s="1295">
        <f>+(N197/N190-1)*100</f>
        <v>3.3112582781456901</v>
      </c>
      <c r="Q197" s="1299"/>
      <c r="R197" s="1312">
        <f>+R198</f>
        <v>942</v>
      </c>
      <c r="S197" s="1254">
        <v>1</v>
      </c>
      <c r="T197" s="1295">
        <f>+(R197/R190-1)*100</f>
        <v>4.2035398230088505</v>
      </c>
      <c r="U197" s="1334">
        <v>28.9</v>
      </c>
      <c r="V197" s="1297"/>
      <c r="W197" s="1295">
        <f>+(U197/U190-1)*100</f>
        <v>3.2142857142857029</v>
      </c>
      <c r="X197" s="1299"/>
      <c r="Y197" s="1312">
        <f>+Y198</f>
        <v>227</v>
      </c>
      <c r="Z197" s="1254">
        <v>0</v>
      </c>
      <c r="AA197" s="1295">
        <f>+(Y197/Y190-1)*100</f>
        <v>2.2522522522522515</v>
      </c>
      <c r="AB197" s="1334">
        <v>6.6</v>
      </c>
      <c r="AC197" s="1297"/>
      <c r="AD197" s="1295">
        <f>+(AB197/AB190-1)*100</f>
        <v>1.538461538461533</v>
      </c>
      <c r="AE197" s="1299"/>
      <c r="AF197" s="1312">
        <f>+AF198</f>
        <v>371</v>
      </c>
      <c r="AG197" s="1254">
        <v>0</v>
      </c>
      <c r="AH197" s="1295">
        <f>+(AF197/AF190-1)*100</f>
        <v>8.163265306122458</v>
      </c>
      <c r="AI197" s="1334">
        <v>11.6</v>
      </c>
      <c r="AJ197" s="1297"/>
      <c r="AK197" s="1295">
        <f>+(AI197/AI190-1)*100</f>
        <v>7.4074074074073959</v>
      </c>
      <c r="AL197" s="1299"/>
      <c r="AM197" s="1312">
        <f>+AM198</f>
        <v>450</v>
      </c>
      <c r="AN197" s="1254">
        <v>2</v>
      </c>
      <c r="AO197" s="1295">
        <f>+(AM197/AM190-1)*100</f>
        <v>8.4337349397590309</v>
      </c>
      <c r="AP197" s="1334">
        <v>11.3</v>
      </c>
      <c r="AQ197" s="1297"/>
      <c r="AR197" s="1295">
        <f>+(AP197/AP190-1)*100</f>
        <v>8.6538461538461675</v>
      </c>
      <c r="AS197" s="1299"/>
      <c r="AT197" s="1312">
        <f>+AT198</f>
        <v>0</v>
      </c>
      <c r="AU197" s="1255">
        <f>+AT197-AT196</f>
        <v>0</v>
      </c>
      <c r="AV197" s="1295"/>
      <c r="AW197" s="1313">
        <f>AW196+AU197*$AX$163/1000</f>
        <v>0</v>
      </c>
      <c r="AX197" s="1297"/>
      <c r="AY197" s="1295"/>
      <c r="AZ197" s="1299"/>
      <c r="BA197" s="1312">
        <f>+BA198</f>
        <v>91</v>
      </c>
      <c r="BB197" s="1254">
        <v>0</v>
      </c>
      <c r="BC197" s="1295">
        <f>+(BA197/BA190-1)*100</f>
        <v>3.4090909090909172</v>
      </c>
      <c r="BD197" s="1334">
        <v>2.2000000000000002</v>
      </c>
      <c r="BE197" s="1297"/>
      <c r="BF197" s="1295">
        <f>+(BD197/BD190-1)*100</f>
        <v>4.7619047619047672</v>
      </c>
      <c r="BG197" s="1295"/>
      <c r="BH197" s="1312">
        <f>+BH198</f>
        <v>28</v>
      </c>
      <c r="BI197" s="1254">
        <v>0</v>
      </c>
      <c r="BJ197" s="1295">
        <f>+(BH197/BH190-1)*100</f>
        <v>16.666666666666675</v>
      </c>
      <c r="BK197" s="1334">
        <v>0.6</v>
      </c>
      <c r="BL197" s="1297"/>
      <c r="BM197" s="1295">
        <f>+(BK197/BK190-1)*100</f>
        <v>19.999999999999996</v>
      </c>
      <c r="BN197" s="1295"/>
      <c r="BO197" s="1312">
        <f>+BO198</f>
        <v>27</v>
      </c>
      <c r="BP197" s="1254">
        <v>0</v>
      </c>
      <c r="BQ197" s="1295"/>
      <c r="BR197" s="1334">
        <v>0.8</v>
      </c>
      <c r="BS197" s="1297"/>
      <c r="BT197" s="1295"/>
      <c r="BU197" s="1295"/>
      <c r="BV197" s="1361">
        <f>+BV198</f>
        <v>3</v>
      </c>
      <c r="BW197" s="1358">
        <f>+BV197-BV196</f>
        <v>0</v>
      </c>
      <c r="BX197" s="1357">
        <f>+(BV197/BV190-1)*100</f>
        <v>0</v>
      </c>
      <c r="BY197" s="1362">
        <f>BY196+BW197*$BE$163/1000</f>
        <v>1.4285714285714289E-2</v>
      </c>
      <c r="BZ197" s="1360"/>
      <c r="CA197" s="1357">
        <f>+(BY197/BY190-1)*100</f>
        <v>0</v>
      </c>
      <c r="CB197" s="1299"/>
      <c r="CC197" s="1396"/>
      <c r="CD197" s="1391"/>
      <c r="CE197" s="1392"/>
      <c r="CF197" s="1397"/>
      <c r="CG197" s="1394"/>
      <c r="CH197" s="1392"/>
      <c r="CI197" s="1312">
        <f>+CI198</f>
        <v>4</v>
      </c>
      <c r="CJ197" s="1254">
        <v>0</v>
      </c>
      <c r="CK197" s="1295"/>
      <c r="CL197" s="1334">
        <v>0.1</v>
      </c>
      <c r="CM197" s="1297"/>
      <c r="CN197" s="1295"/>
      <c r="CO197" s="1295"/>
      <c r="CP197" s="1312"/>
      <c r="CQ197" s="1254"/>
      <c r="CR197" s="1295"/>
      <c r="CS197" s="1334"/>
      <c r="CT197" s="1297"/>
      <c r="CU197" s="1295"/>
      <c r="CV197" s="1299"/>
      <c r="CW197" s="1312">
        <f>+D197+Y197+AF197+AM197+AT197+BA197+BH197+BO197+CI197</f>
        <v>3219</v>
      </c>
      <c r="CX197" s="1307">
        <f>+CW197-CW196</f>
        <v>7</v>
      </c>
      <c r="CY197" s="1295">
        <f>+(CW197/CW190-1)*100</f>
        <v>5.5409836065573703</v>
      </c>
      <c r="CZ197" s="1297"/>
      <c r="DA197" s="1297"/>
      <c r="DB197" s="1334">
        <v>93.3</v>
      </c>
      <c r="DC197" s="1297"/>
      <c r="DD197" s="1295">
        <f>+(DB197/DB190-1)*100</f>
        <v>4.7138047138047146</v>
      </c>
      <c r="DE197" s="1266"/>
      <c r="DF197" s="1350">
        <f>+D197/$CW197</f>
        <v>0.62783473128300715</v>
      </c>
      <c r="DG197" s="1351"/>
      <c r="DH197" s="1351"/>
      <c r="DI197" s="1350">
        <f>+Y197/$CW197</f>
        <v>7.0518794656725697E-2</v>
      </c>
      <c r="DJ197" s="1350">
        <f>+AF197/CW197</f>
        <v>0.11525318421870145</v>
      </c>
      <c r="DK197" s="1350">
        <f>+AM197/CW197</f>
        <v>0.13979496738117428</v>
      </c>
      <c r="DL197" s="1350">
        <f>+AT197/CW197</f>
        <v>0</v>
      </c>
      <c r="DM197" s="1350">
        <f>+BA197/$CW197</f>
        <v>2.8269648959304131E-2</v>
      </c>
      <c r="DN197" s="1350">
        <f>+BH197/$CW197</f>
        <v>8.6983535259397334E-3</v>
      </c>
      <c r="DO197" s="1350">
        <f>+BO197/$CW197</f>
        <v>8.3876980428704562E-3</v>
      </c>
      <c r="DP197" s="1350">
        <f>+CI197/$CW197</f>
        <v>1.2426219322771047E-3</v>
      </c>
      <c r="DQ197" s="1350">
        <f t="shared" si="35"/>
        <v>0</v>
      </c>
      <c r="DR197" s="1395"/>
      <c r="DS197" s="1333">
        <f>+L197</f>
        <v>4</v>
      </c>
      <c r="DT197" s="1333">
        <f>+S197</f>
        <v>1</v>
      </c>
      <c r="DU197" s="1333">
        <f>+Z197</f>
        <v>0</v>
      </c>
      <c r="DV197" s="1333">
        <f>+AG197</f>
        <v>0</v>
      </c>
      <c r="DW197" s="1333">
        <f>+AN197</f>
        <v>2</v>
      </c>
      <c r="DX197" s="1333">
        <f>+AU197</f>
        <v>0</v>
      </c>
      <c r="DY197" s="1333">
        <f>+BB197</f>
        <v>0</v>
      </c>
      <c r="DZ197" s="1333">
        <f>+BI197</f>
        <v>0</v>
      </c>
      <c r="EA197" s="1333">
        <f>+BP197</f>
        <v>0</v>
      </c>
      <c r="EB197" s="1333">
        <f>+CD197</f>
        <v>0</v>
      </c>
      <c r="ED197" s="451">
        <f>-(SUMIF(DS197:EB197,"&lt;0"))</f>
        <v>0</v>
      </c>
      <c r="EE197" s="451">
        <f>(SUMIF(DS197:EB197,"&gt;0"))</f>
        <v>7</v>
      </c>
      <c r="EF197" s="451">
        <f>+EE197-ED197</f>
        <v>7</v>
      </c>
      <c r="EG197" s="1333">
        <f>+EF197-CX197</f>
        <v>0</v>
      </c>
    </row>
    <row r="198" spans="1:137" ht="15">
      <c r="A198" s="1266"/>
      <c r="B198" s="1266" t="str">
        <f>$B$21</f>
        <v>Year</v>
      </c>
      <c r="C198" s="1266"/>
      <c r="D198" s="1306">
        <f>+D197</f>
        <v>2021</v>
      </c>
      <c r="E198" s="1317">
        <f>+D198-D191</f>
        <v>81</v>
      </c>
      <c r="F198" s="1295">
        <f>+(D198/D191-1)*100</f>
        <v>4.1752577319587703</v>
      </c>
      <c r="G198" s="1296">
        <f>+N198+U198</f>
        <v>60.630466053917381</v>
      </c>
      <c r="H198" s="1297">
        <f>+G198/D198*1000</f>
        <v>30.000230605599892</v>
      </c>
      <c r="I198" s="1295">
        <f>+(G198/G191-1)*100</f>
        <v>4.1760585118855387</v>
      </c>
      <c r="J198" s="1266"/>
      <c r="K198" s="1306">
        <f>+L198+K191</f>
        <v>1079</v>
      </c>
      <c r="L198" s="1317">
        <f>SUM(L194:L197)</f>
        <v>43</v>
      </c>
      <c r="M198" s="1295">
        <f>+(K198/K191-1)*100</f>
        <v>4.1505791505791478</v>
      </c>
      <c r="N198" s="1296">
        <f>+K198*O198/1000</f>
        <v>31.453474903474902</v>
      </c>
      <c r="O198" s="1297">
        <f>+O191</f>
        <v>29.150579150579148</v>
      </c>
      <c r="P198" s="1295">
        <f>+(N198/N191-1)*100</f>
        <v>4.1505791505791478</v>
      </c>
      <c r="Q198" s="1299"/>
      <c r="R198" s="1306">
        <f>+S198+R191</f>
        <v>942</v>
      </c>
      <c r="S198" s="1317">
        <f>SUM(S194:S197)</f>
        <v>38</v>
      </c>
      <c r="T198" s="1295">
        <f>+(R198/R191-1)*100</f>
        <v>4.2035398230088505</v>
      </c>
      <c r="U198" s="1296">
        <f>+R198*V198/1000</f>
        <v>29.176991150442479</v>
      </c>
      <c r="V198" s="1297">
        <f>+V191</f>
        <v>30.973451327433629</v>
      </c>
      <c r="W198" s="1295">
        <f>+(U198/U191-1)*100</f>
        <v>4.2035398230088505</v>
      </c>
      <c r="X198" s="1299"/>
      <c r="Y198" s="1306">
        <f>+Z198+Y191</f>
        <v>227</v>
      </c>
      <c r="Z198" s="1317">
        <f>SUM(Z194:Z197)</f>
        <v>5</v>
      </c>
      <c r="AA198" s="1295">
        <f>+(Y198/Y191-1)*100</f>
        <v>2.2522522522522515</v>
      </c>
      <c r="AB198" s="1296">
        <f>+Y198*AC198/1000</f>
        <v>6.6463963963963959</v>
      </c>
      <c r="AC198" s="1297">
        <f>+AC191</f>
        <v>29.27927927927928</v>
      </c>
      <c r="AD198" s="1295">
        <f>+(AB198/AB191-1)*100</f>
        <v>2.2522522522522515</v>
      </c>
      <c r="AE198" s="1299"/>
      <c r="AF198" s="1306">
        <f>+AG198+AF191</f>
        <v>371</v>
      </c>
      <c r="AG198" s="1317">
        <f>SUM(AG194:AG197)</f>
        <v>28</v>
      </c>
      <c r="AH198" s="1295">
        <f>+(AF198/AF191-1)*100</f>
        <v>8.163265306122458</v>
      </c>
      <c r="AI198" s="1296">
        <f>+AF198*AJ198/1000</f>
        <v>11.681632653061225</v>
      </c>
      <c r="AJ198" s="1297">
        <f>+AJ191</f>
        <v>31.486880466472307</v>
      </c>
      <c r="AK198" s="1295">
        <f>+(AI198/AI191-1)*100</f>
        <v>8.163265306122458</v>
      </c>
      <c r="AL198" s="1299"/>
      <c r="AM198" s="1306">
        <f>+AN198+AM191</f>
        <v>450</v>
      </c>
      <c r="AN198" s="1306">
        <f>SUM(AN194:AN197)</f>
        <v>35</v>
      </c>
      <c r="AO198" s="1295">
        <f>+(AM198/AM191-1)*100</f>
        <v>8.4337349397590309</v>
      </c>
      <c r="AP198" s="1296">
        <f>+AM198*AQ198/1000</f>
        <v>11.27710843373494</v>
      </c>
      <c r="AQ198" s="1297">
        <f>+AQ191</f>
        <v>25.060240963855424</v>
      </c>
      <c r="AR198" s="1295">
        <f>+(AP198/AP191-1)*100</f>
        <v>8.4337349397590309</v>
      </c>
      <c r="AS198" s="1299"/>
      <c r="AT198" s="1306">
        <f>+AU198+AT191</f>
        <v>0</v>
      </c>
      <c r="AU198" s="1256">
        <v>0</v>
      </c>
      <c r="AV198" s="1295"/>
      <c r="AW198" s="1296">
        <f>+AT198*AX198/1000</f>
        <v>0</v>
      </c>
      <c r="AX198" s="1297">
        <f>+AX191</f>
        <v>26</v>
      </c>
      <c r="AY198" s="1295"/>
      <c r="AZ198" s="1299"/>
      <c r="BA198" s="1306">
        <f>+BB198+BA191</f>
        <v>91</v>
      </c>
      <c r="BB198" s="1317">
        <f>SUM(BB194:BB197)</f>
        <v>3</v>
      </c>
      <c r="BC198" s="1295">
        <f>+(BA198/BA191-1)*100</f>
        <v>3.4090909090909172</v>
      </c>
      <c r="BD198" s="1296">
        <f>+BA198*BE198/1000</f>
        <v>2.1715909090909089</v>
      </c>
      <c r="BE198" s="1297">
        <f>+BE191</f>
        <v>23.863636363636363</v>
      </c>
      <c r="BF198" s="1295">
        <f>+(BD198/BD191-1)*100</f>
        <v>3.409090909090895</v>
      </c>
      <c r="BG198" s="1295"/>
      <c r="BH198" s="1306">
        <f>+BI198+BH191</f>
        <v>28</v>
      </c>
      <c r="BI198" s="1317">
        <f>SUM(BI194:BI197)</f>
        <v>4</v>
      </c>
      <c r="BJ198" s="1295">
        <f>+(BH198/BH191-1)*100</f>
        <v>16.666666666666675</v>
      </c>
      <c r="BK198" s="1296">
        <f>+BH198*BL198/1000</f>
        <v>0.58333333333333326</v>
      </c>
      <c r="BL198" s="1297">
        <f>+BL191</f>
        <v>20.833333333333332</v>
      </c>
      <c r="BM198" s="1295">
        <f>+(BK198/BK191-1)*100</f>
        <v>16.66666666666665</v>
      </c>
      <c r="BN198" s="1295"/>
      <c r="BO198" s="1306">
        <f>+BP198+BO191</f>
        <v>27</v>
      </c>
      <c r="BP198" s="1317">
        <f>SUM(BP194:BP197)</f>
        <v>13</v>
      </c>
      <c r="BQ198" s="1295"/>
      <c r="BR198" s="1296">
        <f>+BO198*BS198/1000</f>
        <v>0.9642857142857143</v>
      </c>
      <c r="BS198" s="1297">
        <f>+BS191</f>
        <v>35.714285714285715</v>
      </c>
      <c r="BT198" s="1295"/>
      <c r="BU198" s="1295"/>
      <c r="BV198" s="1337">
        <f>+BW198+BV191</f>
        <v>3</v>
      </c>
      <c r="BW198" s="1343">
        <v>0</v>
      </c>
      <c r="BX198" s="1357">
        <f>+(BV198/BV191-1)*100</f>
        <v>0</v>
      </c>
      <c r="BY198" s="1359">
        <f>+BV198*BZ198/1000</f>
        <v>1.4285714285714289E-2</v>
      </c>
      <c r="BZ198" s="1360">
        <f>+BZ191</f>
        <v>4.7619047619047628</v>
      </c>
      <c r="CA198" s="1357">
        <f>+(BY198/BY191-1)*100</f>
        <v>0</v>
      </c>
      <c r="CB198" s="1299"/>
      <c r="CC198" s="1398"/>
      <c r="CD198" s="1399"/>
      <c r="CE198" s="1392"/>
      <c r="CF198" s="1393"/>
      <c r="CG198" s="1394"/>
      <c r="CH198" s="1392"/>
      <c r="CI198" s="1306">
        <f>+CJ198+CI191</f>
        <v>4</v>
      </c>
      <c r="CJ198" s="1256">
        <v>0</v>
      </c>
      <c r="CK198" s="1295"/>
      <c r="CL198" s="1296">
        <f>+CI198*CM198/1000</f>
        <v>0.1</v>
      </c>
      <c r="CM198" s="1297">
        <f>+CM191</f>
        <v>25</v>
      </c>
      <c r="CN198" s="1295"/>
      <c r="CO198" s="1295"/>
      <c r="CP198" s="1306"/>
      <c r="CQ198" s="1256"/>
      <c r="CR198" s="1295"/>
      <c r="CS198" s="1296"/>
      <c r="CT198" s="1297"/>
      <c r="CU198" s="1295"/>
      <c r="CV198" s="1299"/>
      <c r="CW198" s="1306">
        <f>+D198+Y198+AF198+AM198+AT198+BA198+BH198+BO198+CI198</f>
        <v>3219</v>
      </c>
      <c r="CX198" s="1317">
        <f>+E198+Z198+AG198+AN198+AU198+BB198+BI198+BP198</f>
        <v>169</v>
      </c>
      <c r="CY198" s="1295">
        <f>+(CW198/CW191-1)*100</f>
        <v>5.5409836065573703</v>
      </c>
      <c r="CZ198" s="1297"/>
      <c r="DA198" s="1297"/>
      <c r="DB198" s="1318">
        <v>93.3</v>
      </c>
      <c r="DC198" s="1297">
        <f>+DB198/CW198*1000</f>
        <v>28.984156570363464</v>
      </c>
      <c r="DD198" s="1295">
        <f>+(DB198/DB191-1)*100</f>
        <v>4.7138047138047146</v>
      </c>
      <c r="DE198" s="1266"/>
      <c r="DF198" s="1350">
        <f>+D198/$CW198</f>
        <v>0.62783473128300715</v>
      </c>
      <c r="DG198" s="1351"/>
      <c r="DH198" s="1351"/>
      <c r="DI198" s="1350">
        <f>+Y198/$CW198</f>
        <v>7.0518794656725697E-2</v>
      </c>
      <c r="DJ198" s="1350">
        <f>+AF198/CW198</f>
        <v>0.11525318421870145</v>
      </c>
      <c r="DK198" s="1350">
        <f>+AM198/CW198</f>
        <v>0.13979496738117428</v>
      </c>
      <c r="DL198" s="1350">
        <f>+AT198/CW198</f>
        <v>0</v>
      </c>
      <c r="DM198" s="1350">
        <f>+BA198/$CW198</f>
        <v>2.8269648959304131E-2</v>
      </c>
      <c r="DN198" s="1350">
        <f>+BH198/$CW198</f>
        <v>8.6983535259397334E-3</v>
      </c>
      <c r="DO198" s="1350">
        <f>+BO198/$CW198</f>
        <v>8.3876980428704562E-3</v>
      </c>
      <c r="DP198" s="1350">
        <f>+CI198/$CW198</f>
        <v>1.2426219322771047E-3</v>
      </c>
      <c r="DQ198" s="1350">
        <f t="shared" si="35"/>
        <v>0</v>
      </c>
      <c r="DR198" s="1395"/>
      <c r="ED198" s="693">
        <f>SUM(ED194:ED197)</f>
        <v>0</v>
      </c>
      <c r="EE198" s="693">
        <f>SUM(EE194:EE197)</f>
        <v>169</v>
      </c>
      <c r="EF198" s="693">
        <f>+EE198-ED198</f>
        <v>169</v>
      </c>
      <c r="EG198" s="1333">
        <f>+EF198-CX198</f>
        <v>0</v>
      </c>
    </row>
    <row r="199" spans="1:137" ht="16.5">
      <c r="A199" s="1285"/>
      <c r="B199" s="1285"/>
      <c r="C199" s="1285"/>
      <c r="D199" s="1286"/>
      <c r="E199" s="1269"/>
      <c r="F199" s="1302"/>
      <c r="G199" s="1285"/>
      <c r="H199" s="1286"/>
      <c r="I199" s="1295"/>
      <c r="J199" s="1285"/>
      <c r="K199" s="1286"/>
      <c r="L199" s="1269"/>
      <c r="M199" s="1286"/>
      <c r="N199" s="1285"/>
      <c r="O199" s="1286"/>
      <c r="P199" s="1295"/>
      <c r="Q199" s="1286"/>
      <c r="R199" s="1286"/>
      <c r="S199" s="1269"/>
      <c r="T199" s="1286"/>
      <c r="U199" s="1285"/>
      <c r="V199" s="1286"/>
      <c r="W199" s="1295"/>
      <c r="X199" s="1286"/>
      <c r="Y199" s="1286"/>
      <c r="Z199" s="1269"/>
      <c r="AA199" s="1268"/>
      <c r="AB199" s="1285"/>
      <c r="AC199" s="1286"/>
      <c r="AD199" s="1295"/>
      <c r="AE199" s="1268"/>
      <c r="AF199" s="1286"/>
      <c r="AG199" s="1269"/>
      <c r="AH199" s="1270"/>
      <c r="AI199" s="1285"/>
      <c r="AJ199" s="1286"/>
      <c r="AK199" s="1302"/>
      <c r="AL199" s="1268"/>
      <c r="AM199" s="1286"/>
      <c r="AN199" s="1269"/>
      <c r="AO199" s="1268"/>
      <c r="AP199" s="1285"/>
      <c r="AQ199" s="1286"/>
      <c r="AR199" s="1295"/>
      <c r="AS199" s="1268"/>
      <c r="AT199" s="1286"/>
      <c r="AU199" s="1269"/>
      <c r="AV199" s="1266"/>
      <c r="AW199" s="1285"/>
      <c r="AX199" s="1286"/>
      <c r="AY199" s="1295"/>
      <c r="AZ199" s="1266"/>
      <c r="BA199" s="1286"/>
      <c r="BB199" s="1269"/>
      <c r="BC199" s="1266"/>
      <c r="BD199" s="1285"/>
      <c r="BE199" s="1286"/>
      <c r="BF199" s="1295"/>
      <c r="BG199" s="1295"/>
      <c r="BH199" s="1408"/>
      <c r="BI199" s="1401"/>
      <c r="BJ199" s="1402"/>
      <c r="BK199" s="1409"/>
      <c r="BL199" s="1408"/>
      <c r="BM199" s="1295"/>
      <c r="BN199" s="1295"/>
      <c r="BO199" s="1408"/>
      <c r="BP199" s="1401"/>
      <c r="BQ199" s="1402"/>
      <c r="BR199" s="1409"/>
      <c r="BS199" s="1408"/>
      <c r="BT199" s="1295"/>
      <c r="BU199" s="1295"/>
      <c r="BV199" s="1410"/>
      <c r="BW199" s="1354"/>
      <c r="BX199" s="1355"/>
      <c r="BY199" s="1411"/>
      <c r="BZ199" s="1410"/>
      <c r="CA199" s="1357"/>
      <c r="CB199" s="1266"/>
      <c r="CC199" s="1408"/>
      <c r="CD199" s="1401"/>
      <c r="CE199" s="1402"/>
      <c r="CF199" s="1409"/>
      <c r="CG199" s="1408"/>
      <c r="CH199" s="1392"/>
      <c r="CI199" s="1408"/>
      <c r="CJ199" s="1401"/>
      <c r="CK199" s="1402"/>
      <c r="CL199" s="1409"/>
      <c r="CM199" s="1408"/>
      <c r="CN199" s="1295"/>
      <c r="CO199" s="1295"/>
      <c r="CP199" s="1408"/>
      <c r="CQ199" s="1401"/>
      <c r="CR199" s="1402"/>
      <c r="CS199" s="1409"/>
      <c r="CT199" s="1408"/>
      <c r="CU199" s="1295"/>
      <c r="CV199" s="1266"/>
      <c r="CW199" s="1412"/>
      <c r="CX199" s="1266"/>
      <c r="CY199" s="1266"/>
      <c r="CZ199" s="1266"/>
      <c r="DA199" s="1266"/>
      <c r="DB199" s="1413"/>
      <c r="DC199" s="1286"/>
      <c r="DD199" s="1302"/>
      <c r="DE199" s="1285"/>
      <c r="DF199" s="1285"/>
      <c r="DG199" s="1285"/>
      <c r="DH199" s="1285"/>
      <c r="DI199" s="1285"/>
      <c r="DJ199" s="1285"/>
      <c r="DK199" s="1285"/>
      <c r="DL199" s="1285"/>
      <c r="DM199" s="1285"/>
      <c r="DN199" s="1285"/>
      <c r="DO199" s="1285"/>
      <c r="DP199" s="1285"/>
      <c r="DQ199" s="1285"/>
    </row>
    <row r="200" spans="1:137" ht="15.75">
      <c r="A200" s="2118">
        <f>+A193+1</f>
        <v>2014</v>
      </c>
      <c r="B200" s="2118"/>
      <c r="C200" s="1266"/>
      <c r="D200" s="1335"/>
      <c r="E200" s="1269"/>
      <c r="F200" s="1302"/>
      <c r="G200" s="1335"/>
      <c r="H200" s="1268"/>
      <c r="I200" s="1295"/>
      <c r="J200" s="1266"/>
      <c r="K200" s="1336"/>
      <c r="L200" s="1269"/>
      <c r="M200" s="1268"/>
      <c r="N200" s="1336"/>
      <c r="O200" s="1268"/>
      <c r="P200" s="1295"/>
      <c r="Q200" s="1268"/>
      <c r="R200" s="1336"/>
      <c r="S200" s="1269"/>
      <c r="T200" s="1268"/>
      <c r="U200" s="1336"/>
      <c r="V200" s="1268"/>
      <c r="W200" s="1295"/>
      <c r="X200" s="1268"/>
      <c r="Y200" s="1336"/>
      <c r="Z200" s="1269"/>
      <c r="AA200" s="1268"/>
      <c r="AB200" s="1336"/>
      <c r="AC200" s="1268"/>
      <c r="AD200" s="1295"/>
      <c r="AE200" s="1268"/>
      <c r="AF200" s="1336"/>
      <c r="AG200" s="1269"/>
      <c r="AH200" s="1270"/>
      <c r="AI200" s="1336"/>
      <c r="AJ200" s="1268"/>
      <c r="AK200" s="1302"/>
      <c r="AL200" s="1268"/>
      <c r="AM200" s="1336"/>
      <c r="AN200" s="1269"/>
      <c r="AO200" s="1268"/>
      <c r="AP200" s="1336"/>
      <c r="AQ200" s="1268"/>
      <c r="AR200" s="1295"/>
      <c r="AS200" s="1268"/>
      <c r="AT200" s="1336"/>
      <c r="AU200" s="1269"/>
      <c r="AV200" s="1266"/>
      <c r="AW200" s="1336"/>
      <c r="AX200" s="1268"/>
      <c r="AY200" s="1295"/>
      <c r="AZ200" s="1266"/>
      <c r="BA200" s="1336"/>
      <c r="BB200" s="1269"/>
      <c r="BC200" s="1266"/>
      <c r="BD200" s="1336"/>
      <c r="BE200" s="1268"/>
      <c r="BF200" s="1295"/>
      <c r="BG200" s="1295"/>
      <c r="BH200" s="1405"/>
      <c r="BI200" s="1401"/>
      <c r="BJ200" s="1402"/>
      <c r="BK200" s="1405"/>
      <c r="BL200" s="1400"/>
      <c r="BM200" s="1295"/>
      <c r="BN200" s="1295"/>
      <c r="BO200" s="1405"/>
      <c r="BP200" s="1401"/>
      <c r="BQ200" s="1402"/>
      <c r="BR200" s="1405"/>
      <c r="BS200" s="1400"/>
      <c r="BT200" s="1295"/>
      <c r="BU200" s="1295"/>
      <c r="BV200" s="1345"/>
      <c r="BW200" s="1354"/>
      <c r="BX200" s="1355"/>
      <c r="BY200" s="1345"/>
      <c r="BZ200" s="1356"/>
      <c r="CA200" s="1357"/>
      <c r="CB200" s="1266"/>
      <c r="CC200" s="1405"/>
      <c r="CD200" s="1401"/>
      <c r="CE200" s="1402"/>
      <c r="CF200" s="1405"/>
      <c r="CG200" s="1400"/>
      <c r="CH200" s="1392"/>
      <c r="CI200" s="1405"/>
      <c r="CJ200" s="1401"/>
      <c r="CK200" s="1402"/>
      <c r="CL200" s="1405"/>
      <c r="CM200" s="1400"/>
      <c r="CN200" s="1295"/>
      <c r="CO200" s="1295"/>
      <c r="CP200" s="1405"/>
      <c r="CQ200" s="1401"/>
      <c r="CR200" s="1402"/>
      <c r="CS200" s="1405"/>
      <c r="CT200" s="1400"/>
      <c r="CU200" s="1295"/>
      <c r="CV200" s="1266"/>
      <c r="CW200" s="1335"/>
      <c r="CX200" s="1266"/>
      <c r="CY200" s="1266"/>
      <c r="CZ200" s="1266"/>
      <c r="DA200" s="1266"/>
      <c r="DB200" s="1335"/>
      <c r="DC200" s="1268"/>
      <c r="DD200" s="1302"/>
      <c r="DE200" s="1266"/>
      <c r="DF200" s="1266"/>
      <c r="DG200" s="1266"/>
      <c r="DH200" s="1266"/>
      <c r="DI200" s="1266"/>
      <c r="DJ200" s="1266"/>
      <c r="DK200" s="1266"/>
      <c r="DL200" s="1266"/>
      <c r="DM200" s="1266"/>
      <c r="DN200" s="1266"/>
      <c r="DO200" s="1266"/>
      <c r="DP200" s="1266"/>
      <c r="DQ200" s="1266"/>
    </row>
    <row r="201" spans="1:137" ht="15">
      <c r="A201" s="1266" t="str">
        <f>$A$17</f>
        <v>1Q</v>
      </c>
      <c r="B201" s="1266" t="str">
        <f>$B$17</f>
        <v>Apr</v>
      </c>
      <c r="C201" s="1266"/>
      <c r="D201" s="1294">
        <f>+K201+R201</f>
        <v>2032</v>
      </c>
      <c r="E201" s="1255">
        <f t="shared" ref="D201:E204" si="37">+L201+S201</f>
        <v>11</v>
      </c>
      <c r="F201" s="1295">
        <f>+(D201/D194-1)*100</f>
        <v>3.7793667007150145</v>
      </c>
      <c r="G201" s="1296">
        <f>+N201+U201</f>
        <v>60.3</v>
      </c>
      <c r="H201" s="1297"/>
      <c r="I201" s="1295">
        <f>+(G201/G194-1)*100</f>
        <v>2.7257240204429101</v>
      </c>
      <c r="J201" s="1266"/>
      <c r="K201" s="1294">
        <f>+K198+L201</f>
        <v>1085</v>
      </c>
      <c r="L201" s="1254">
        <v>6</v>
      </c>
      <c r="M201" s="1295">
        <f>+(K201/K194-1)*100</f>
        <v>3.629417382999045</v>
      </c>
      <c r="N201" s="1318">
        <v>31.3</v>
      </c>
      <c r="O201" s="1297"/>
      <c r="P201" s="1295">
        <f>+(N201/N194-1)*100</f>
        <v>2.6229508196721429</v>
      </c>
      <c r="Q201" s="1299"/>
      <c r="R201" s="1294">
        <f>+R198+S201</f>
        <v>947</v>
      </c>
      <c r="S201" s="1254">
        <v>5</v>
      </c>
      <c r="T201" s="1295">
        <f>+(R201/R194-1)*100</f>
        <v>3.9517014270032957</v>
      </c>
      <c r="U201" s="1318">
        <v>29</v>
      </c>
      <c r="V201" s="1297"/>
      <c r="W201" s="1295">
        <f>+(U201/U194-1)*100</f>
        <v>2.8368794326241176</v>
      </c>
      <c r="X201" s="1299"/>
      <c r="Y201" s="1294">
        <f>+Y198+Z201</f>
        <v>230</v>
      </c>
      <c r="Z201" s="1254">
        <v>3</v>
      </c>
      <c r="AA201" s="1295">
        <f>+(Y201/Y194-1)*100</f>
        <v>1.7699115044247815</v>
      </c>
      <c r="AB201" s="1318">
        <v>6.7</v>
      </c>
      <c r="AC201" s="1297"/>
      <c r="AD201" s="1295"/>
      <c r="AE201" s="1299"/>
      <c r="AF201" s="1294">
        <f>+AF198+AG201</f>
        <v>380</v>
      </c>
      <c r="AG201" s="1254">
        <v>9</v>
      </c>
      <c r="AH201" s="1295">
        <f>+(AF201/AF194-1)*100</f>
        <v>7.9545454545454586</v>
      </c>
      <c r="AI201" s="1318">
        <v>11.9</v>
      </c>
      <c r="AJ201" s="1297"/>
      <c r="AK201" s="1295">
        <f>+(AI201/AI194-1)*100</f>
        <v>7.2072072072072224</v>
      </c>
      <c r="AL201" s="1299"/>
      <c r="AM201" s="1294">
        <f>+AM198+AN201</f>
        <v>458</v>
      </c>
      <c r="AN201" s="1254">
        <v>8</v>
      </c>
      <c r="AO201" s="1295">
        <f>+(AM201/AM194-1)*100</f>
        <v>7.5117370892018753</v>
      </c>
      <c r="AP201" s="1318">
        <v>11.4</v>
      </c>
      <c r="AQ201" s="1297"/>
      <c r="AR201" s="1295">
        <f>+(AP201/AP194-1)*100</f>
        <v>6.542056074766367</v>
      </c>
      <c r="AS201" s="1299"/>
      <c r="AT201" s="1294">
        <f>+AT198+AU201</f>
        <v>0</v>
      </c>
      <c r="AU201" s="1254">
        <v>0</v>
      </c>
      <c r="AV201" s="1295"/>
      <c r="AW201" s="1296">
        <f>AW198+AU201*$AX$163/1000</f>
        <v>0</v>
      </c>
      <c r="AX201" s="1297"/>
      <c r="AY201" s="1295"/>
      <c r="AZ201" s="1299"/>
      <c r="BA201" s="1294">
        <f>+BA198+BB201</f>
        <v>92</v>
      </c>
      <c r="BB201" s="1254">
        <v>1</v>
      </c>
      <c r="BC201" s="1295">
        <f>+(BA201/BA194-1)*100</f>
        <v>3.3707865168539408</v>
      </c>
      <c r="BD201" s="1318">
        <v>2.2000000000000002</v>
      </c>
      <c r="BE201" s="1297"/>
      <c r="BF201" s="1295">
        <f>+(BD201/BD194-1)*100</f>
        <v>4.7619047619047672</v>
      </c>
      <c r="BG201" s="1295"/>
      <c r="BH201" s="1294">
        <f>+BH198+BI201</f>
        <v>28</v>
      </c>
      <c r="BI201" s="1254">
        <v>0</v>
      </c>
      <c r="BJ201" s="1295">
        <f>+(BH201/BH194-1)*100</f>
        <v>16.666666666666675</v>
      </c>
      <c r="BK201" s="1318">
        <v>0.6</v>
      </c>
      <c r="BL201" s="1297"/>
      <c r="BM201" s="1295">
        <f>+(BK201/BK194-1)*100</f>
        <v>19.999999999999996</v>
      </c>
      <c r="BN201" s="1295"/>
      <c r="BO201" s="1294">
        <f>+BO198+BP201</f>
        <v>32</v>
      </c>
      <c r="BP201" s="1254">
        <v>5</v>
      </c>
      <c r="BQ201" s="1295"/>
      <c r="BR201" s="1318">
        <v>1</v>
      </c>
      <c r="BS201" s="1297"/>
      <c r="BT201" s="1295"/>
      <c r="BU201" s="1295"/>
      <c r="BV201" s="1340">
        <f>+BV198+BW201</f>
        <v>3</v>
      </c>
      <c r="BW201" s="1358">
        <v>0</v>
      </c>
      <c r="BX201" s="1357">
        <f>+(BV201/BV194-1)*100</f>
        <v>0</v>
      </c>
      <c r="BY201" s="1359">
        <f>BY198+BW201*$BL$163/1000</f>
        <v>1.4285714285714289E-2</v>
      </c>
      <c r="BZ201" s="1360"/>
      <c r="CA201" s="1357">
        <f>+(BY201/BY194-1)*100</f>
        <v>0</v>
      </c>
      <c r="CB201" s="1299"/>
      <c r="CC201" s="1390"/>
      <c r="CD201" s="1391"/>
      <c r="CE201" s="1392"/>
      <c r="CF201" s="1393"/>
      <c r="CG201" s="1394"/>
      <c r="CH201" s="1392"/>
      <c r="CI201" s="1294">
        <f>+CI198+CJ201</f>
        <v>4</v>
      </c>
      <c r="CJ201" s="1254">
        <v>0</v>
      </c>
      <c r="CK201" s="1295"/>
      <c r="CL201" s="1352">
        <v>0.1</v>
      </c>
      <c r="CM201" s="1297"/>
      <c r="CN201" s="1295"/>
      <c r="CO201" s="1295"/>
      <c r="CP201" s="1294"/>
      <c r="CQ201" s="1254"/>
      <c r="CR201" s="1295"/>
      <c r="CS201" s="1352"/>
      <c r="CT201" s="1297"/>
      <c r="CU201" s="1295"/>
      <c r="CV201" s="1299"/>
      <c r="CW201" s="1306">
        <f>+D201+Y201+AF201+AM201+AT201+BA201+BH201+BO201+CI201</f>
        <v>3256</v>
      </c>
      <c r="CX201" s="1307">
        <f>+CW201-CW197</f>
        <v>37</v>
      </c>
      <c r="CY201" s="1295">
        <f>+(CW201/CW194-1)*100</f>
        <v>5.0322580645161263</v>
      </c>
      <c r="CZ201" s="1297"/>
      <c r="DA201" s="1297"/>
      <c r="DB201" s="1318">
        <v>94.3</v>
      </c>
      <c r="DC201" s="1297"/>
      <c r="DD201" s="1295">
        <f>+(DB201/DB194-1)*100</f>
        <v>4.31415929203538</v>
      </c>
      <c r="DE201" s="1266"/>
      <c r="DF201" s="1350">
        <f>+D201/$CW201</f>
        <v>0.62407862407862413</v>
      </c>
      <c r="DG201" s="1351"/>
      <c r="DH201" s="1351"/>
      <c r="DI201" s="1350">
        <f>+Y201/$CW201</f>
        <v>7.063882063882064E-2</v>
      </c>
      <c r="DJ201" s="1350">
        <f>+AF201/CW201</f>
        <v>0.1167076167076167</v>
      </c>
      <c r="DK201" s="1350">
        <f>+AM201/CW201</f>
        <v>0.14066339066339067</v>
      </c>
      <c r="DL201" s="1350">
        <f>+AT201/CW201</f>
        <v>0</v>
      </c>
      <c r="DM201" s="1350">
        <f>+BA201/$CW201</f>
        <v>2.8255528255528257E-2</v>
      </c>
      <c r="DN201" s="1350">
        <f>+BH201/$CW201</f>
        <v>8.5995085995085995E-3</v>
      </c>
      <c r="DO201" s="1350">
        <f>+BO201/$CW201</f>
        <v>9.8280098280098278E-3</v>
      </c>
      <c r="DP201" s="1350">
        <f>+CI201/$CW201</f>
        <v>1.2285012285012285E-3</v>
      </c>
      <c r="DQ201" s="1350">
        <f t="shared" si="35"/>
        <v>0</v>
      </c>
      <c r="DR201" s="1395"/>
      <c r="DS201" s="1333">
        <f>+L201</f>
        <v>6</v>
      </c>
      <c r="DT201" s="1333">
        <f>+S201</f>
        <v>5</v>
      </c>
      <c r="DU201" s="1333">
        <f>+Z201</f>
        <v>3</v>
      </c>
      <c r="DV201" s="1333">
        <f>+AG201</f>
        <v>9</v>
      </c>
      <c r="DW201" s="1333">
        <f>+AN201</f>
        <v>8</v>
      </c>
      <c r="DX201" s="1333">
        <f>+AU201</f>
        <v>0</v>
      </c>
      <c r="DY201" s="1333">
        <f>+BB201</f>
        <v>1</v>
      </c>
      <c r="DZ201" s="1333">
        <f>+BI201</f>
        <v>0</v>
      </c>
      <c r="EA201" s="1333">
        <f>+BP201</f>
        <v>5</v>
      </c>
      <c r="EB201" s="1333">
        <f>+CD201</f>
        <v>0</v>
      </c>
      <c r="ED201" s="451">
        <f>-(SUMIF(DS201:EB201,"&lt;0"))</f>
        <v>0</v>
      </c>
      <c r="EE201" s="451">
        <f>(SUMIF(DS201:EB201,"&gt;0"))</f>
        <v>37</v>
      </c>
      <c r="EF201" s="451">
        <f>+EE201-ED201</f>
        <v>37</v>
      </c>
      <c r="EG201" s="1333">
        <f>+EF201-CX201</f>
        <v>0</v>
      </c>
    </row>
    <row r="202" spans="1:137" ht="15">
      <c r="A202" s="1266" t="str">
        <f>$A$18</f>
        <v>2Q</v>
      </c>
      <c r="B202" s="1266" t="str">
        <f>$B$18</f>
        <v>Jul</v>
      </c>
      <c r="C202" s="1266"/>
      <c r="D202" s="1294">
        <f t="shared" si="37"/>
        <v>2046</v>
      </c>
      <c r="E202" s="1255">
        <f t="shared" si="37"/>
        <v>14</v>
      </c>
      <c r="F202" s="1295">
        <f>+(D202/D195-1)*100</f>
        <v>4.069175991861651</v>
      </c>
      <c r="G202" s="1296">
        <f>+N202+U202</f>
        <v>60.7</v>
      </c>
      <c r="H202" s="1297"/>
      <c r="I202" s="1295">
        <f>+(G202/G195-1)*100</f>
        <v>3.0560271646858927</v>
      </c>
      <c r="J202" s="1309"/>
      <c r="K202" s="1294">
        <f>+K201+L202</f>
        <v>1090</v>
      </c>
      <c r="L202" s="1254">
        <v>5</v>
      </c>
      <c r="M202" s="1295">
        <f>+(K202/K195-1)*100</f>
        <v>3.6121673003802313</v>
      </c>
      <c r="N202" s="1318">
        <v>31.4</v>
      </c>
      <c r="O202" s="1297"/>
      <c r="P202" s="1295">
        <f>+(N202/N195-1)*100</f>
        <v>2.614379084967311</v>
      </c>
      <c r="Q202" s="1299"/>
      <c r="R202" s="1294">
        <f>+R201+S202</f>
        <v>956</v>
      </c>
      <c r="S202" s="1254">
        <v>9</v>
      </c>
      <c r="T202" s="1295">
        <f>+(R202/R195-1)*100</f>
        <v>4.5951859956236296</v>
      </c>
      <c r="U202" s="1318">
        <v>29.3</v>
      </c>
      <c r="V202" s="1297"/>
      <c r="W202" s="1295">
        <f>+(U202/U195-1)*100</f>
        <v>3.5335689045936425</v>
      </c>
      <c r="X202" s="1299"/>
      <c r="Y202" s="1294">
        <f>+Y201+Z202</f>
        <v>230</v>
      </c>
      <c r="Z202" s="1254">
        <v>0</v>
      </c>
      <c r="AA202" s="1295">
        <f>+(Y202/Y195-1)*100</f>
        <v>1.7699115044247815</v>
      </c>
      <c r="AB202" s="1318">
        <v>6.7</v>
      </c>
      <c r="AC202" s="1297"/>
      <c r="AD202" s="1295"/>
      <c r="AE202" s="1299"/>
      <c r="AF202" s="1294">
        <f>+AF201+AG202</f>
        <v>382</v>
      </c>
      <c r="AG202" s="1254">
        <v>2</v>
      </c>
      <c r="AH202" s="1295">
        <f>+(AF202/AF195-1)*100</f>
        <v>7.6056338028168913</v>
      </c>
      <c r="AI202" s="1318">
        <v>12</v>
      </c>
      <c r="AJ202" s="1297"/>
      <c r="AK202" s="1295">
        <f>+(AI202/AI195-1)*100</f>
        <v>7.1428571428571397</v>
      </c>
      <c r="AL202" s="1299"/>
      <c r="AM202" s="1294">
        <f>+AM201+AN202</f>
        <v>464</v>
      </c>
      <c r="AN202" s="1254">
        <v>6</v>
      </c>
      <c r="AO202" s="1295">
        <f>+(AM202/AM195-1)*100</f>
        <v>7.9069767441860561</v>
      </c>
      <c r="AP202" s="1318">
        <v>11.6</v>
      </c>
      <c r="AQ202" s="1297"/>
      <c r="AR202" s="1295">
        <f>+(AP202/AP195-1)*100</f>
        <v>7.4074074074073959</v>
      </c>
      <c r="AS202" s="1299"/>
      <c r="AT202" s="1294">
        <f>+AT201+AU202</f>
        <v>0</v>
      </c>
      <c r="AU202" s="1254">
        <v>0</v>
      </c>
      <c r="AV202" s="1295"/>
      <c r="AW202" s="1296">
        <f>AW201+AU202*$AX$163/1000</f>
        <v>0</v>
      </c>
      <c r="AX202" s="1297"/>
      <c r="AY202" s="1295"/>
      <c r="AZ202" s="1299"/>
      <c r="BA202" s="1294">
        <f>+BA201+BB202</f>
        <v>92</v>
      </c>
      <c r="BB202" s="1254">
        <v>0</v>
      </c>
      <c r="BC202" s="1295">
        <f>+(BA202/BA195-1)*100</f>
        <v>3.3707865168539408</v>
      </c>
      <c r="BD202" s="1318">
        <v>2.2000000000000002</v>
      </c>
      <c r="BE202" s="1297"/>
      <c r="BF202" s="1295">
        <f>+(BD202/BD195-1)*100</f>
        <v>4.7619047619047672</v>
      </c>
      <c r="BG202" s="1295"/>
      <c r="BH202" s="1294">
        <f>+BH201+BI202</f>
        <v>28</v>
      </c>
      <c r="BI202" s="1254">
        <v>0</v>
      </c>
      <c r="BJ202" s="1295">
        <f>+(BH202/BH195-1)*100</f>
        <v>3.7037037037036979</v>
      </c>
      <c r="BK202" s="1318">
        <v>0.6</v>
      </c>
      <c r="BL202" s="1297"/>
      <c r="BM202" s="1295">
        <f>+(BK202/BK195-1)*100</f>
        <v>0</v>
      </c>
      <c r="BN202" s="1295"/>
      <c r="BO202" s="1294">
        <f>+BO201+BP202</f>
        <v>33</v>
      </c>
      <c r="BP202" s="1254">
        <v>1</v>
      </c>
      <c r="BQ202" s="1295"/>
      <c r="BR202" s="1318">
        <v>1</v>
      </c>
      <c r="BS202" s="1297"/>
      <c r="BT202" s="1295"/>
      <c r="BU202" s="1295"/>
      <c r="BV202" s="1340">
        <f>+BV201+BW202</f>
        <v>3</v>
      </c>
      <c r="BW202" s="1358">
        <v>0</v>
      </c>
      <c r="BX202" s="1357">
        <f>+(BV202/BV195-1)*100</f>
        <v>0</v>
      </c>
      <c r="BY202" s="1359">
        <f>BY201+BW202*$BE$163/1000</f>
        <v>1.4285714285714289E-2</v>
      </c>
      <c r="BZ202" s="1360"/>
      <c r="CA202" s="1357">
        <f>+(BY202/BY195-1)*100</f>
        <v>0</v>
      </c>
      <c r="CB202" s="1299"/>
      <c r="CC202" s="1390"/>
      <c r="CD202" s="1391"/>
      <c r="CE202" s="1392"/>
      <c r="CF202" s="1393"/>
      <c r="CG202" s="1394"/>
      <c r="CH202" s="1392"/>
      <c r="CI202" s="1294">
        <f>+CI201+CJ202</f>
        <v>4</v>
      </c>
      <c r="CJ202" s="1254">
        <v>0</v>
      </c>
      <c r="CK202" s="1295"/>
      <c r="CL202" s="1352">
        <v>0.1</v>
      </c>
      <c r="CM202" s="1297"/>
      <c r="CN202" s="1295"/>
      <c r="CO202" s="1295"/>
      <c r="CP202" s="1294"/>
      <c r="CQ202" s="1254"/>
      <c r="CR202" s="1295"/>
      <c r="CS202" s="1352"/>
      <c r="CT202" s="1297"/>
      <c r="CU202" s="1295"/>
      <c r="CV202" s="1299"/>
      <c r="CW202" s="1306">
        <f>+D202+Y202+AF202+AM202+AT202+BA202+BH202+BO202+CI202</f>
        <v>3279</v>
      </c>
      <c r="CX202" s="1307">
        <f>+CW202-CW201</f>
        <v>23</v>
      </c>
      <c r="CY202" s="1295">
        <f>+(CW202/CW195-1)*100</f>
        <v>5.1298493106765042</v>
      </c>
      <c r="CZ202" s="1297"/>
      <c r="DA202" s="1297"/>
      <c r="DB202" s="1318">
        <v>94.8</v>
      </c>
      <c r="DC202" s="1297"/>
      <c r="DD202" s="1295">
        <f>+(DB202/DB195-1)*100</f>
        <v>4.2904290429042868</v>
      </c>
      <c r="DE202" s="1266"/>
      <c r="DF202" s="1350">
        <f>+D202/$CW202</f>
        <v>0.62397072278133581</v>
      </c>
      <c r="DG202" s="1351"/>
      <c r="DH202" s="1351"/>
      <c r="DI202" s="1350">
        <f>+Y202/$CW202</f>
        <v>7.0143336383043611E-2</v>
      </c>
      <c r="DJ202" s="1350">
        <f>+AF202/CW202</f>
        <v>0.11649893260140287</v>
      </c>
      <c r="DK202" s="1350">
        <f>+AM202/CW202</f>
        <v>0.14150655687709668</v>
      </c>
      <c r="DL202" s="1350">
        <f>+AT202/CW202</f>
        <v>0</v>
      </c>
      <c r="DM202" s="1350">
        <f>+BA202/$CW202</f>
        <v>2.8057334553217444E-2</v>
      </c>
      <c r="DN202" s="1350">
        <f>+BH202/$CW202</f>
        <v>8.5391887770661784E-3</v>
      </c>
      <c r="DO202" s="1350">
        <f>+BO202/$CW202</f>
        <v>1.0064043915827997E-2</v>
      </c>
      <c r="DP202" s="1350">
        <f>+CI202/$CW202</f>
        <v>1.2198841110094541E-3</v>
      </c>
      <c r="DQ202" s="1350">
        <f t="shared" si="35"/>
        <v>0</v>
      </c>
      <c r="DR202" s="1395"/>
      <c r="DS202" s="1333">
        <f>+L202</f>
        <v>5</v>
      </c>
      <c r="DT202" s="1333">
        <f>+S202</f>
        <v>9</v>
      </c>
      <c r="DU202" s="1333">
        <f>+Z202</f>
        <v>0</v>
      </c>
      <c r="DV202" s="1333">
        <f>+AG202</f>
        <v>2</v>
      </c>
      <c r="DW202" s="1333">
        <f>+AN202</f>
        <v>6</v>
      </c>
      <c r="DX202" s="1333">
        <f>+AU202</f>
        <v>0</v>
      </c>
      <c r="DY202" s="1333">
        <f>+BB202</f>
        <v>0</v>
      </c>
      <c r="DZ202" s="1333">
        <f>+BI202</f>
        <v>0</v>
      </c>
      <c r="EA202" s="1333">
        <f>+BP202</f>
        <v>1</v>
      </c>
      <c r="EB202" s="1333">
        <f>+CD202</f>
        <v>0</v>
      </c>
      <c r="ED202" s="451">
        <f>-(SUMIF(DS202:EB202,"&lt;0"))</f>
        <v>0</v>
      </c>
      <c r="EE202" s="451">
        <f>(SUMIF(DS202:EB202,"&gt;0"))</f>
        <v>23</v>
      </c>
      <c r="EF202" s="451">
        <f>+EE202-ED202</f>
        <v>23</v>
      </c>
      <c r="EG202" s="1333">
        <f>+EF202-CX202</f>
        <v>0</v>
      </c>
    </row>
    <row r="203" spans="1:137" ht="15">
      <c r="A203" s="1266" t="str">
        <f>$A$19</f>
        <v>3Q</v>
      </c>
      <c r="B203" s="1266" t="str">
        <f>$B$19</f>
        <v>Oct</v>
      </c>
      <c r="C203" s="1266"/>
      <c r="D203" s="1294">
        <f t="shared" si="37"/>
        <v>2086</v>
      </c>
      <c r="E203" s="1255">
        <f t="shared" si="37"/>
        <v>40</v>
      </c>
      <c r="F203" s="1295">
        <f>+(D203/D196-1)*100</f>
        <v>3.4722222222222321</v>
      </c>
      <c r="G203" s="1296">
        <f>+N203+U203</f>
        <v>61.6</v>
      </c>
      <c r="H203" s="1297"/>
      <c r="I203" s="1295">
        <f>+(G203/G196-1)*100</f>
        <v>2.6666666666666616</v>
      </c>
      <c r="J203" s="1266"/>
      <c r="K203" s="1294">
        <f>+K202+L203</f>
        <v>1113</v>
      </c>
      <c r="L203" s="1254">
        <v>23</v>
      </c>
      <c r="M203" s="1295">
        <f>+(K203/K196-1)*100</f>
        <v>3.5348837209302264</v>
      </c>
      <c r="N203" s="1318">
        <v>32</v>
      </c>
      <c r="O203" s="1297"/>
      <c r="P203" s="1295">
        <f>+(N203/N196-1)*100</f>
        <v>2.8938906752411508</v>
      </c>
      <c r="Q203" s="1299"/>
      <c r="R203" s="1294">
        <f>+R202+S203</f>
        <v>973</v>
      </c>
      <c r="S203" s="1254">
        <v>17</v>
      </c>
      <c r="T203" s="1295">
        <f>+(R203/R196-1)*100</f>
        <v>3.4006376195536703</v>
      </c>
      <c r="U203" s="1318">
        <v>29.6</v>
      </c>
      <c r="V203" s="1297"/>
      <c r="W203" s="1295">
        <f>+(U203/U196-1)*100</f>
        <v>2.4221453287197381</v>
      </c>
      <c r="X203" s="1299"/>
      <c r="Y203" s="1294">
        <f>+Y202+Z203</f>
        <v>234</v>
      </c>
      <c r="Z203" s="1254">
        <v>4</v>
      </c>
      <c r="AA203" s="1295">
        <f>+(Y203/Y196-1)*100</f>
        <v>3.0837004405286361</v>
      </c>
      <c r="AB203" s="1318">
        <v>6.7</v>
      </c>
      <c r="AC203" s="1297"/>
      <c r="AD203" s="1295"/>
      <c r="AE203" s="1299"/>
      <c r="AF203" s="1294">
        <f>+AF202+AG203</f>
        <v>407</v>
      </c>
      <c r="AG203" s="1254">
        <v>25</v>
      </c>
      <c r="AH203" s="1295">
        <f>+(AF203/AF196-1)*100</f>
        <v>9.7035040431266761</v>
      </c>
      <c r="AI203" s="1318">
        <v>12.6</v>
      </c>
      <c r="AJ203" s="1297"/>
      <c r="AK203" s="1295">
        <f>+(AI203/AI196-1)*100</f>
        <v>8.6206896551724199</v>
      </c>
      <c r="AL203" s="1299"/>
      <c r="AM203" s="1294">
        <f>+AM202+AN203</f>
        <v>485</v>
      </c>
      <c r="AN203" s="1254">
        <v>21</v>
      </c>
      <c r="AO203" s="1295">
        <f>+(AM203/AM196-1)*100</f>
        <v>8.2589285714285801</v>
      </c>
      <c r="AP203" s="1318">
        <v>12.1</v>
      </c>
      <c r="AQ203" s="1297"/>
      <c r="AR203" s="1295">
        <f>+(AP203/AP196-1)*100</f>
        <v>8.0357142857142794</v>
      </c>
      <c r="AS203" s="1299"/>
      <c r="AT203" s="1294">
        <f>+AT202+AU203</f>
        <v>0</v>
      </c>
      <c r="AU203" s="1254">
        <v>0</v>
      </c>
      <c r="AV203" s="1295"/>
      <c r="AW203" s="1296">
        <f>AW202+AU203*$AX$163/1000</f>
        <v>0</v>
      </c>
      <c r="AX203" s="1297"/>
      <c r="AY203" s="1295"/>
      <c r="AZ203" s="1299"/>
      <c r="BA203" s="1294">
        <f>+BA202+BB203</f>
        <v>96</v>
      </c>
      <c r="BB203" s="1254">
        <v>4</v>
      </c>
      <c r="BC203" s="1295">
        <f>+(BA203/BA196-1)*100</f>
        <v>5.4945054945054972</v>
      </c>
      <c r="BD203" s="1318">
        <v>2.2999999999999998</v>
      </c>
      <c r="BE203" s="1297"/>
      <c r="BF203" s="1295">
        <f>+(BD203/BD196-1)*100</f>
        <v>4.5454545454545192</v>
      </c>
      <c r="BG203" s="1295"/>
      <c r="BH203" s="1294">
        <f>+BH202+BI203</f>
        <v>33</v>
      </c>
      <c r="BI203" s="1254">
        <v>5</v>
      </c>
      <c r="BJ203" s="1295">
        <f>+(BH203/BH196-1)*100</f>
        <v>17.857142857142861</v>
      </c>
      <c r="BK203" s="1318">
        <v>0.7</v>
      </c>
      <c r="BL203" s="1297"/>
      <c r="BM203" s="1295">
        <f>+(BK203/BK196-1)*100</f>
        <v>16.666666666666675</v>
      </c>
      <c r="BN203" s="1295"/>
      <c r="BO203" s="1294">
        <f>+BO202+BP203</f>
        <v>38</v>
      </c>
      <c r="BP203" s="1254">
        <v>5</v>
      </c>
      <c r="BQ203" s="1295"/>
      <c r="BR203" s="1318">
        <v>1.2</v>
      </c>
      <c r="BS203" s="1297"/>
      <c r="BT203" s="1295"/>
      <c r="BU203" s="1295"/>
      <c r="BV203" s="1340">
        <f>+BV202+BW203</f>
        <v>3</v>
      </c>
      <c r="BW203" s="1358">
        <v>0</v>
      </c>
      <c r="BX203" s="1357">
        <f>+(BV203/BV196-1)*100</f>
        <v>0</v>
      </c>
      <c r="BY203" s="1359">
        <f>BY202+BW203*$BE$163/1000</f>
        <v>1.4285714285714289E-2</v>
      </c>
      <c r="BZ203" s="1360"/>
      <c r="CA203" s="1357">
        <f>+(BY203/BY196-1)*100</f>
        <v>0</v>
      </c>
      <c r="CB203" s="1299"/>
      <c r="CC203" s="1390"/>
      <c r="CD203" s="1391"/>
      <c r="CE203" s="1392"/>
      <c r="CF203" s="1393"/>
      <c r="CG203" s="1394"/>
      <c r="CH203" s="1392"/>
      <c r="CI203" s="1294">
        <f>+CI202+CJ203</f>
        <v>6</v>
      </c>
      <c r="CJ203" s="1254">
        <v>2</v>
      </c>
      <c r="CK203" s="1295"/>
      <c r="CL203" s="1352">
        <v>0.2</v>
      </c>
      <c r="CM203" s="1297"/>
      <c r="CN203" s="1295"/>
      <c r="CO203" s="1295"/>
      <c r="CP203" s="1294"/>
      <c r="CQ203" s="1254"/>
      <c r="CR203" s="1295"/>
      <c r="CS203" s="1352"/>
      <c r="CT203" s="1297"/>
      <c r="CU203" s="1295"/>
      <c r="CV203" s="1299"/>
      <c r="CW203" s="1306">
        <f>+D203+Y203+AF203+AM203+AT203+BA203+BH203+BO203+CI203</f>
        <v>3385</v>
      </c>
      <c r="CX203" s="1307">
        <f>+CW203-CW202</f>
        <v>106</v>
      </c>
      <c r="CY203" s="1295">
        <f>+(CW203/CW196-1)*100</f>
        <v>5.3860523038605335</v>
      </c>
      <c r="CZ203" s="1297"/>
      <c r="DA203" s="1297"/>
      <c r="DB203" s="1318">
        <v>97.3</v>
      </c>
      <c r="DC203" s="1297"/>
      <c r="DD203" s="1295">
        <f>+(DB203/DB196-1)*100</f>
        <v>4.5112781954887327</v>
      </c>
      <c r="DE203" s="1266"/>
      <c r="DF203" s="1350">
        <f>+D203/$CW203</f>
        <v>0.61624815361890695</v>
      </c>
      <c r="DG203" s="1351"/>
      <c r="DH203" s="1351"/>
      <c r="DI203" s="1350">
        <f>+Y203/$CW203</f>
        <v>6.912850812407681E-2</v>
      </c>
      <c r="DJ203" s="1350">
        <f>+AF203/CW203</f>
        <v>0.12023633677991137</v>
      </c>
      <c r="DK203" s="1350">
        <f>+AM203/CW203</f>
        <v>0.14327917282127031</v>
      </c>
      <c r="DL203" s="1350">
        <f>+AT203/CW203</f>
        <v>0</v>
      </c>
      <c r="DM203" s="1350">
        <f>+BA203/$CW203</f>
        <v>2.8360413589364846E-2</v>
      </c>
      <c r="DN203" s="1350">
        <f>+BH203/$CW203</f>
        <v>9.7488921713441649E-3</v>
      </c>
      <c r="DO203" s="1350">
        <f>+BO203/$CW203</f>
        <v>1.1225997045790252E-2</v>
      </c>
      <c r="DP203" s="1350">
        <f>+CI203/$CW203</f>
        <v>1.7725258493353029E-3</v>
      </c>
      <c r="DQ203" s="1350">
        <f t="shared" si="35"/>
        <v>0</v>
      </c>
      <c r="DR203" s="1395"/>
      <c r="DS203" s="1333">
        <f>+L203</f>
        <v>23</v>
      </c>
      <c r="DT203" s="1333">
        <f>+S203</f>
        <v>17</v>
      </c>
      <c r="DU203" s="1333">
        <f>+Z203</f>
        <v>4</v>
      </c>
      <c r="DV203" s="1333">
        <f>+AG203</f>
        <v>25</v>
      </c>
      <c r="DW203" s="1333">
        <f>+AN203</f>
        <v>21</v>
      </c>
      <c r="DX203" s="1333">
        <f>+AU203</f>
        <v>0</v>
      </c>
      <c r="DY203" s="1333">
        <f>+BB203</f>
        <v>4</v>
      </c>
      <c r="DZ203" s="1333">
        <f>+BI203</f>
        <v>5</v>
      </c>
      <c r="EA203" s="1333">
        <f>+BP203</f>
        <v>5</v>
      </c>
      <c r="EB203" s="1333">
        <f>+CD203</f>
        <v>0</v>
      </c>
      <c r="ED203" s="451">
        <f>-(SUMIF(DS203:EB203,"&lt;0"))</f>
        <v>0</v>
      </c>
      <c r="EE203" s="451">
        <f>(SUMIF(DS203:EB203,"&gt;0"))</f>
        <v>104</v>
      </c>
      <c r="EF203" s="451">
        <f>+EE203-ED203</f>
        <v>104</v>
      </c>
      <c r="EG203" s="1333">
        <f>+EF203-CX203</f>
        <v>-2</v>
      </c>
    </row>
    <row r="204" spans="1:137" ht="15">
      <c r="A204" s="1266" t="str">
        <f>$A$20</f>
        <v>4Q</v>
      </c>
      <c r="B204" s="1266" t="str">
        <f>$B$20</f>
        <v>Jan</v>
      </c>
      <c r="C204" s="1266"/>
      <c r="D204" s="1312">
        <f t="shared" si="37"/>
        <v>2094</v>
      </c>
      <c r="E204" s="1255">
        <f t="shared" si="37"/>
        <v>8</v>
      </c>
      <c r="F204" s="1295">
        <f>+(D204/D197-1)*100</f>
        <v>3.6120732310737313</v>
      </c>
      <c r="G204" s="1313">
        <f>+N204+U204</f>
        <v>61.8</v>
      </c>
      <c r="H204" s="1297"/>
      <c r="I204" s="1295">
        <f>+(G204/G197-1)*100</f>
        <v>2.8286189683860208</v>
      </c>
      <c r="J204" s="1266"/>
      <c r="K204" s="1312">
        <f>+K205</f>
        <v>1119</v>
      </c>
      <c r="L204" s="1254">
        <f>K204-K203</f>
        <v>6</v>
      </c>
      <c r="M204" s="1295">
        <f>+(K204/K197-1)*100</f>
        <v>3.707136237256714</v>
      </c>
      <c r="N204" s="1334">
        <v>32.1</v>
      </c>
      <c r="O204" s="1297"/>
      <c r="P204" s="1295">
        <f>+(N204/N197-1)*100</f>
        <v>2.8846153846153966</v>
      </c>
      <c r="Q204" s="1299"/>
      <c r="R204" s="1312">
        <f>+R205</f>
        <v>975</v>
      </c>
      <c r="S204" s="1255">
        <f>+R204-R203</f>
        <v>2</v>
      </c>
      <c r="T204" s="1295">
        <f>+(R204/R197-1)*100</f>
        <v>3.5031847133758065</v>
      </c>
      <c r="U204" s="1334">
        <v>29.7</v>
      </c>
      <c r="V204" s="1297"/>
      <c r="W204" s="1295">
        <f>+(U204/U197-1)*100</f>
        <v>2.7681660899653959</v>
      </c>
      <c r="X204" s="1299"/>
      <c r="Y204" s="1312">
        <f>+Y205</f>
        <v>234</v>
      </c>
      <c r="Z204" s="1255">
        <f>+Y204-Y203</f>
        <v>0</v>
      </c>
      <c r="AA204" s="1295">
        <f>+(Y204/Y197-1)*100</f>
        <v>3.0837004405286361</v>
      </c>
      <c r="AB204" s="1334">
        <v>6.7</v>
      </c>
      <c r="AC204" s="1297"/>
      <c r="AD204" s="1295">
        <f>+(AB204/AB197-1)*100</f>
        <v>1.5151515151515138</v>
      </c>
      <c r="AE204" s="1299"/>
      <c r="AF204" s="1312">
        <f>+AF205</f>
        <v>407</v>
      </c>
      <c r="AG204" s="1255">
        <f>+AF204-AF203</f>
        <v>0</v>
      </c>
      <c r="AH204" s="1295">
        <f>+(AF204/AF197-1)*100</f>
        <v>9.7035040431266761</v>
      </c>
      <c r="AI204" s="1334">
        <v>12.6</v>
      </c>
      <c r="AJ204" s="1297"/>
      <c r="AK204" s="1295">
        <f>+(AI204/AI197-1)*100</f>
        <v>8.6206896551724199</v>
      </c>
      <c r="AL204" s="1299"/>
      <c r="AM204" s="1312">
        <f>+AM205</f>
        <v>487</v>
      </c>
      <c r="AN204" s="1255">
        <f>+AM204-AM203</f>
        <v>2</v>
      </c>
      <c r="AO204" s="1295">
        <f>+(AM204/AM197-1)*100</f>
        <v>8.2222222222222197</v>
      </c>
      <c r="AP204" s="1334">
        <v>12.1</v>
      </c>
      <c r="AQ204" s="1297"/>
      <c r="AR204" s="1295">
        <f>+(AP204/AP197-1)*100</f>
        <v>7.0796460176991038</v>
      </c>
      <c r="AS204" s="1299"/>
      <c r="AT204" s="1312">
        <f>+AT205</f>
        <v>0</v>
      </c>
      <c r="AU204" s="1255">
        <f>+AT204-AT203</f>
        <v>0</v>
      </c>
      <c r="AV204" s="1295"/>
      <c r="AW204" s="1313">
        <f>AW203+AU204*$AX$163/1000</f>
        <v>0</v>
      </c>
      <c r="AX204" s="1297"/>
      <c r="AY204" s="1295"/>
      <c r="AZ204" s="1299"/>
      <c r="BA204" s="1312">
        <f>+BA205</f>
        <v>96</v>
      </c>
      <c r="BB204" s="1255">
        <f>+BA204-BA203</f>
        <v>0</v>
      </c>
      <c r="BC204" s="1295">
        <f>+(BA204/BA197-1)*100</f>
        <v>5.4945054945054972</v>
      </c>
      <c r="BD204" s="1334">
        <v>2.2999999999999998</v>
      </c>
      <c r="BE204" s="1297"/>
      <c r="BF204" s="1295">
        <f>+(BD204/BD197-1)*100</f>
        <v>4.5454545454545192</v>
      </c>
      <c r="BG204" s="1295"/>
      <c r="BH204" s="1312">
        <f>+BH205</f>
        <v>33</v>
      </c>
      <c r="BI204" s="1255">
        <f>+BH204-BH203</f>
        <v>0</v>
      </c>
      <c r="BJ204" s="1295">
        <f>+(BH204/BH197-1)*100</f>
        <v>17.857142857142861</v>
      </c>
      <c r="BK204" s="1334">
        <v>0.7</v>
      </c>
      <c r="BL204" s="1297"/>
      <c r="BM204" s="1295">
        <f>+(BK204/BK197-1)*100</f>
        <v>16.666666666666675</v>
      </c>
      <c r="BN204" s="1295"/>
      <c r="BO204" s="1312">
        <f>+BO205</f>
        <v>38</v>
      </c>
      <c r="BP204" s="1255">
        <f>+BO204-BO203</f>
        <v>0</v>
      </c>
      <c r="BQ204" s="1295"/>
      <c r="BR204" s="1334">
        <v>1.2</v>
      </c>
      <c r="BS204" s="1297"/>
      <c r="BT204" s="1295"/>
      <c r="BU204" s="1295"/>
      <c r="BV204" s="1361">
        <f>+BV205</f>
        <v>3</v>
      </c>
      <c r="BW204" s="1358">
        <f>+BV204-BV203</f>
        <v>0</v>
      </c>
      <c r="BX204" s="1357">
        <f>+(BV204/BV197-1)*100</f>
        <v>0</v>
      </c>
      <c r="BY204" s="1362">
        <f>BY203+BW204*$BE$163/1000</f>
        <v>1.4285714285714289E-2</v>
      </c>
      <c r="BZ204" s="1360"/>
      <c r="CA204" s="1357">
        <f>+(BY204/BY197-1)*100</f>
        <v>0</v>
      </c>
      <c r="CB204" s="1299"/>
      <c r="CC204" s="1396"/>
      <c r="CD204" s="1391"/>
      <c r="CE204" s="1392"/>
      <c r="CF204" s="1397"/>
      <c r="CG204" s="1394"/>
      <c r="CH204" s="1392"/>
      <c r="CI204" s="1312">
        <f>+CI205</f>
        <v>6</v>
      </c>
      <c r="CJ204" s="1255">
        <f>+CI204-CI203</f>
        <v>0</v>
      </c>
      <c r="CK204" s="1295"/>
      <c r="CL204" s="1334">
        <v>0.2</v>
      </c>
      <c r="CM204" s="1297"/>
      <c r="CN204" s="1295"/>
      <c r="CO204" s="1295"/>
      <c r="CP204" s="1312"/>
      <c r="CQ204" s="1255"/>
      <c r="CR204" s="1295"/>
      <c r="CS204" s="1334"/>
      <c r="CT204" s="1297"/>
      <c r="CU204" s="1295"/>
      <c r="CV204" s="1299"/>
      <c r="CW204" s="1312">
        <f>+D204+Y204+AF204+AM204+AT204+BA204+BH204+BO204+CI204</f>
        <v>3395</v>
      </c>
      <c r="CX204" s="1307">
        <f>+CW204-CW203</f>
        <v>10</v>
      </c>
      <c r="CY204" s="1295">
        <f>+(CW204/CW197-1)*100</f>
        <v>5.4675365020192546</v>
      </c>
      <c r="CZ204" s="1297"/>
      <c r="DA204" s="1297"/>
      <c r="DB204" s="1334">
        <v>97.5</v>
      </c>
      <c r="DC204" s="1297"/>
      <c r="DD204" s="1295">
        <f>+(DB204/DB197-1)*100</f>
        <v>4.5016077170418001</v>
      </c>
      <c r="DE204" s="1266"/>
      <c r="DF204" s="1350">
        <f>+D204/$CW204</f>
        <v>0.6167893961708395</v>
      </c>
      <c r="DG204" s="1351"/>
      <c r="DH204" s="1351"/>
      <c r="DI204" s="1350">
        <f>+Y204/$CW204</f>
        <v>6.8924889543446249E-2</v>
      </c>
      <c r="DJ204" s="1350">
        <f>+AF204/CW204</f>
        <v>0.11988217967599411</v>
      </c>
      <c r="DK204" s="1350">
        <f>+AM204/CW204</f>
        <v>0.1434462444771723</v>
      </c>
      <c r="DL204" s="1350">
        <f>+AT204/CW204</f>
        <v>0</v>
      </c>
      <c r="DM204" s="1350">
        <f>+BA204/$CW204</f>
        <v>2.8276877761413844E-2</v>
      </c>
      <c r="DN204" s="1350">
        <f>+BH204/$CW204</f>
        <v>9.720176730486009E-3</v>
      </c>
      <c r="DO204" s="1350">
        <f>+BO204/$CW204</f>
        <v>1.1192930780559647E-2</v>
      </c>
      <c r="DP204" s="1350">
        <f>+CI204/$CW204</f>
        <v>1.7673048600883653E-3</v>
      </c>
      <c r="DQ204" s="1350">
        <f t="shared" si="35"/>
        <v>0</v>
      </c>
      <c r="DR204" s="1395"/>
      <c r="DS204" s="1333">
        <f>+L204</f>
        <v>6</v>
      </c>
      <c r="DT204" s="1333">
        <f>+S204</f>
        <v>2</v>
      </c>
      <c r="DU204" s="1333">
        <f>+Z204</f>
        <v>0</v>
      </c>
      <c r="DV204" s="1333">
        <f>+AG204</f>
        <v>0</v>
      </c>
      <c r="DW204" s="1333">
        <f>+AN204</f>
        <v>2</v>
      </c>
      <c r="DX204" s="1333">
        <f>+AU204</f>
        <v>0</v>
      </c>
      <c r="DY204" s="1333">
        <f>+BB204</f>
        <v>0</v>
      </c>
      <c r="DZ204" s="1333">
        <f>+BI204</f>
        <v>0</v>
      </c>
      <c r="EA204" s="1333">
        <f>+BP204</f>
        <v>0</v>
      </c>
      <c r="EB204" s="1333">
        <f>+CD204</f>
        <v>0</v>
      </c>
      <c r="ED204" s="451">
        <f>-(SUMIF(DS204:EB204,"&lt;0"))</f>
        <v>0</v>
      </c>
      <c r="EE204" s="451">
        <f>(SUMIF(DS204:EB204,"&gt;0"))</f>
        <v>10</v>
      </c>
      <c r="EF204" s="451">
        <f>+EE204-ED204</f>
        <v>10</v>
      </c>
      <c r="EG204" s="1333">
        <f>+EF204-CX204</f>
        <v>0</v>
      </c>
    </row>
    <row r="205" spans="1:137" ht="15">
      <c r="A205" s="1266"/>
      <c r="B205" s="1266" t="str">
        <f>$B$21</f>
        <v>Year</v>
      </c>
      <c r="C205" s="1266"/>
      <c r="D205" s="1306">
        <f>+D204</f>
        <v>2094</v>
      </c>
      <c r="E205" s="1317">
        <f>+D205-D198</f>
        <v>73</v>
      </c>
      <c r="F205" s="1295">
        <f>+(D205/D198-1)*100</f>
        <v>3.6120732310737313</v>
      </c>
      <c r="G205" s="1296">
        <f>+N205+U205</f>
        <v>61.8</v>
      </c>
      <c r="H205" s="1297">
        <f>+G205/D205*1000</f>
        <v>29.51289398280802</v>
      </c>
      <c r="I205" s="1295">
        <f>+(G205/G198-1)*100</f>
        <v>1.9289542406660365</v>
      </c>
      <c r="J205" s="1266"/>
      <c r="K205" s="1306">
        <f>+L205+K198</f>
        <v>1119</v>
      </c>
      <c r="L205" s="1256">
        <v>40</v>
      </c>
      <c r="M205" s="1295">
        <f>+(K205/K198-1)*100</f>
        <v>3.707136237256714</v>
      </c>
      <c r="N205" s="1296">
        <f>N204</f>
        <v>32.1</v>
      </c>
      <c r="O205" s="1317">
        <f>+N205/K205*1000</f>
        <v>28.68632707774799</v>
      </c>
      <c r="P205" s="1295">
        <f>+(N205/N198-1)*100</f>
        <v>2.055496565988868</v>
      </c>
      <c r="Q205" s="1299"/>
      <c r="R205" s="1306">
        <f>+S205+R198</f>
        <v>975</v>
      </c>
      <c r="S205" s="1256">
        <v>33</v>
      </c>
      <c r="T205" s="1295">
        <f>+(R205/R198-1)*100</f>
        <v>3.5031847133758065</v>
      </c>
      <c r="U205" s="1296">
        <f>U204</f>
        <v>29.7</v>
      </c>
      <c r="V205" s="1317">
        <f>+U205/R205*1000</f>
        <v>30.46153846153846</v>
      </c>
      <c r="W205" s="1295">
        <f>+(U205/U198-1)*100</f>
        <v>1.7925386715195613</v>
      </c>
      <c r="X205" s="1299"/>
      <c r="Y205" s="1306">
        <f>+Z205+Y198</f>
        <v>234</v>
      </c>
      <c r="Z205" s="1256">
        <v>7</v>
      </c>
      <c r="AA205" s="1295">
        <f>+(Y205/Y198-1)*100</f>
        <v>3.0837004405286361</v>
      </c>
      <c r="AB205" s="1296">
        <f>AB204</f>
        <v>6.7</v>
      </c>
      <c r="AC205" s="1317">
        <f>+AB205/Y205*1000</f>
        <v>28.632478632478634</v>
      </c>
      <c r="AD205" s="1295">
        <f>+(AB205/AB198-1)*100</f>
        <v>0.8065062690613356</v>
      </c>
      <c r="AE205" s="1299"/>
      <c r="AF205" s="1306">
        <f>+AG205+AF198</f>
        <v>407</v>
      </c>
      <c r="AG205" s="1256">
        <v>36</v>
      </c>
      <c r="AH205" s="1295">
        <f>+(AF205/AF198-1)*100</f>
        <v>9.7035040431266761</v>
      </c>
      <c r="AI205" s="1296">
        <f>AI204</f>
        <v>12.6</v>
      </c>
      <c r="AJ205" s="1317">
        <f>+AI205/AF205*1000</f>
        <v>30.958230958230956</v>
      </c>
      <c r="AK205" s="1295">
        <f>+(AI205/AI198-1)*100</f>
        <v>7.8616352201257733</v>
      </c>
      <c r="AL205" s="1299"/>
      <c r="AM205" s="1306">
        <f>+AN205+AM198</f>
        <v>487</v>
      </c>
      <c r="AN205" s="1256">
        <v>37</v>
      </c>
      <c r="AO205" s="1295">
        <f>+(AM205/AM198-1)*100</f>
        <v>8.2222222222222197</v>
      </c>
      <c r="AP205" s="1296">
        <f>AP204</f>
        <v>12.1</v>
      </c>
      <c r="AQ205" s="1317">
        <f>+AP205/AM205*1000</f>
        <v>24.845995893223819</v>
      </c>
      <c r="AR205" s="1295">
        <f>+(AP205/AP198-1)*100</f>
        <v>7.2970085470085433</v>
      </c>
      <c r="AS205" s="1299"/>
      <c r="AT205" s="1306">
        <f>+AU205+AT198</f>
        <v>0</v>
      </c>
      <c r="AU205" s="1256">
        <v>0</v>
      </c>
      <c r="AV205" s="1295"/>
      <c r="AW205" s="1296">
        <f>+AT205*AX205/1000</f>
        <v>0</v>
      </c>
      <c r="AX205" s="1297">
        <f>+AX198</f>
        <v>26</v>
      </c>
      <c r="AY205" s="1295"/>
      <c r="AZ205" s="1299"/>
      <c r="BA205" s="1306">
        <f>+BB205+BA198</f>
        <v>96</v>
      </c>
      <c r="BB205" s="1256">
        <v>5</v>
      </c>
      <c r="BC205" s="1295">
        <f>+(BA205/BA198-1)*100</f>
        <v>5.4945054945054972</v>
      </c>
      <c r="BD205" s="1296">
        <f>BD204</f>
        <v>2.2999999999999998</v>
      </c>
      <c r="BE205" s="1317">
        <f>+BD205/BA205*1000</f>
        <v>23.958333333333332</v>
      </c>
      <c r="BF205" s="1295">
        <f>+(BD205/BD198-1)*100</f>
        <v>5.913134484563054</v>
      </c>
      <c r="BG205" s="1295"/>
      <c r="BH205" s="1306">
        <f>+BI205+BH198</f>
        <v>33</v>
      </c>
      <c r="BI205" s="1256">
        <v>5</v>
      </c>
      <c r="BJ205" s="1295">
        <f>+(BH205/BH198-1)*100</f>
        <v>17.857142857142861</v>
      </c>
      <c r="BK205" s="1296">
        <f>BK204</f>
        <v>0.7</v>
      </c>
      <c r="BL205" s="1317">
        <f>+BK205/BH205*1000</f>
        <v>21.212121212121211</v>
      </c>
      <c r="BM205" s="1295">
        <f>+(BK205/BK198-1)*100</f>
        <v>20.000000000000018</v>
      </c>
      <c r="BN205" s="1295"/>
      <c r="BO205" s="1306">
        <f>+BP205+BO198</f>
        <v>38</v>
      </c>
      <c r="BP205" s="1256">
        <v>11</v>
      </c>
      <c r="BQ205" s="1295"/>
      <c r="BR205" s="1296">
        <f>BR204</f>
        <v>1.2</v>
      </c>
      <c r="BS205" s="1317">
        <f>+BR205/BO205*1000</f>
        <v>31.578947368421055</v>
      </c>
      <c r="BT205" s="1295">
        <f>+(BR205/BR198-1)*100</f>
        <v>24.444444444444446</v>
      </c>
      <c r="BU205" s="1295"/>
      <c r="BV205" s="1337">
        <f>+BW205+BV198</f>
        <v>3</v>
      </c>
      <c r="BW205" s="1343">
        <v>0</v>
      </c>
      <c r="BX205" s="1357">
        <f>+(BV205/BV198-1)*100</f>
        <v>0</v>
      </c>
      <c r="BY205" s="1359">
        <f>+BV205*BZ205/1000</f>
        <v>1.4285714285714289E-2</v>
      </c>
      <c r="BZ205" s="1360">
        <f>+BZ198</f>
        <v>4.7619047619047628</v>
      </c>
      <c r="CA205" s="1357">
        <f>+(BY205/BY198-1)*100</f>
        <v>0</v>
      </c>
      <c r="CB205" s="1299"/>
      <c r="CC205" s="1398"/>
      <c r="CD205" s="1399"/>
      <c r="CE205" s="1392"/>
      <c r="CF205" s="1393"/>
      <c r="CG205" s="1394"/>
      <c r="CH205" s="1392"/>
      <c r="CI205" s="1306">
        <f>+CJ205+CI198</f>
        <v>6</v>
      </c>
      <c r="CJ205" s="1256">
        <v>2</v>
      </c>
      <c r="CK205" s="1295"/>
      <c r="CL205" s="1296">
        <f>CL204</f>
        <v>0.2</v>
      </c>
      <c r="CM205" s="1317">
        <f>+CL205/CI205*1000</f>
        <v>33.333333333333336</v>
      </c>
      <c r="CN205" s="1295">
        <f>+(CL205/CL198-1)*100</f>
        <v>100</v>
      </c>
      <c r="CO205" s="1295"/>
      <c r="CP205" s="1306"/>
      <c r="CQ205" s="1256"/>
      <c r="CR205" s="1295"/>
      <c r="CS205" s="1296"/>
      <c r="CT205" s="1297"/>
      <c r="CU205" s="1295"/>
      <c r="CV205" s="1299"/>
      <c r="CW205" s="1306">
        <f>+D205+Y205+AF205+AM205+AT205+BA205+BH205+BO205+CI205</f>
        <v>3395</v>
      </c>
      <c r="CX205" s="1317">
        <f>+E205+Z205+AG205+AN205+AU205+BB205+BI205+BP205+CJ205</f>
        <v>176</v>
      </c>
      <c r="CY205" s="1295">
        <f>+(CW205/CW198-1)*100</f>
        <v>5.4675365020192546</v>
      </c>
      <c r="CZ205" s="1297"/>
      <c r="DA205" s="1297"/>
      <c r="DB205" s="1296">
        <f>+G205+AB205+AI205+AP205+AW205+BD205+BK205+BR205+CL205</f>
        <v>97.6</v>
      </c>
      <c r="DC205" s="1297">
        <f>+DB205/CW205*1000</f>
        <v>28.748159057437409</v>
      </c>
      <c r="DD205" s="1295">
        <f>+(DB205/DB198-1)*100</f>
        <v>4.6087888531618493</v>
      </c>
      <c r="DE205" s="1266"/>
      <c r="DF205" s="1350">
        <f>+D205/$CW205</f>
        <v>0.6167893961708395</v>
      </c>
      <c r="DG205" s="1351"/>
      <c r="DH205" s="1351"/>
      <c r="DI205" s="1350">
        <f>+Y205/$CW205</f>
        <v>6.8924889543446249E-2</v>
      </c>
      <c r="DJ205" s="1350">
        <f>+AF205/CW205</f>
        <v>0.11988217967599411</v>
      </c>
      <c r="DK205" s="1350">
        <f>+AM205/CW205</f>
        <v>0.1434462444771723</v>
      </c>
      <c r="DL205" s="1350">
        <f>+AT205/CW205</f>
        <v>0</v>
      </c>
      <c r="DM205" s="1350">
        <f>+BA205/$CW205</f>
        <v>2.8276877761413844E-2</v>
      </c>
      <c r="DN205" s="1350">
        <f>+BH205/$CW205</f>
        <v>9.720176730486009E-3</v>
      </c>
      <c r="DO205" s="1350">
        <f>+BO205/$CW205</f>
        <v>1.1192930780559647E-2</v>
      </c>
      <c r="DP205" s="1350">
        <f>+CI205/$CW205</f>
        <v>1.7673048600883653E-3</v>
      </c>
      <c r="DQ205" s="1350">
        <f t="shared" si="35"/>
        <v>0</v>
      </c>
      <c r="DR205" s="1395"/>
      <c r="ED205" s="693">
        <f>SUM(ED201:ED204)</f>
        <v>0</v>
      </c>
      <c r="EE205" s="693">
        <f>SUM(EE201:EE204)</f>
        <v>174</v>
      </c>
      <c r="EF205" s="693">
        <f>+EE205-ED205</f>
        <v>174</v>
      </c>
      <c r="EG205" s="1333">
        <f>+EF205-CX205</f>
        <v>-2</v>
      </c>
    </row>
    <row r="206" spans="1:137" ht="16.5">
      <c r="A206" s="1285"/>
      <c r="B206" s="1285"/>
      <c r="C206" s="1285"/>
      <c r="D206" s="1286"/>
      <c r="E206" s="1269"/>
      <c r="F206" s="1302"/>
      <c r="G206" s="1285"/>
      <c r="H206" s="1286"/>
      <c r="I206" s="1295"/>
      <c r="J206" s="1285"/>
      <c r="K206" s="1286"/>
      <c r="L206" s="1269"/>
      <c r="M206" s="1286"/>
      <c r="N206" s="1285"/>
      <c r="O206" s="1286"/>
      <c r="P206" s="1295"/>
      <c r="Q206" s="1286"/>
      <c r="R206" s="1286"/>
      <c r="S206" s="1269"/>
      <c r="T206" s="1286"/>
      <c r="U206" s="1285"/>
      <c r="V206" s="1286"/>
      <c r="W206" s="1295"/>
      <c r="X206" s="1286"/>
      <c r="Y206" s="1286"/>
      <c r="Z206" s="1269"/>
      <c r="AA206" s="1268"/>
      <c r="AB206" s="1285"/>
      <c r="AC206" s="1286"/>
      <c r="AD206" s="1295"/>
      <c r="AE206" s="1268"/>
      <c r="AF206" s="1286"/>
      <c r="AG206" s="1269"/>
      <c r="AH206" s="1270"/>
      <c r="AI206" s="1285"/>
      <c r="AJ206" s="1286"/>
      <c r="AK206" s="1302"/>
      <c r="AL206" s="1268"/>
      <c r="AM206" s="1286"/>
      <c r="AN206" s="1269"/>
      <c r="AO206" s="1268"/>
      <c r="AP206" s="1285"/>
      <c r="AQ206" s="1286"/>
      <c r="AR206" s="1295"/>
      <c r="AS206" s="1268"/>
      <c r="AT206" s="1286"/>
      <c r="AU206" s="1269"/>
      <c r="AV206" s="1266"/>
      <c r="AW206" s="1285"/>
      <c r="AX206" s="1286"/>
      <c r="AY206" s="1295"/>
      <c r="AZ206" s="1266"/>
      <c r="BA206" s="1286"/>
      <c r="BB206" s="1269"/>
      <c r="BC206" s="1266"/>
      <c r="BD206" s="1285"/>
      <c r="BE206" s="1286"/>
      <c r="BF206" s="1295"/>
      <c r="BG206" s="1295"/>
      <c r="BH206" s="1408"/>
      <c r="BI206" s="1401"/>
      <c r="BJ206" s="1402"/>
      <c r="BK206" s="1409"/>
      <c r="BL206" s="1408"/>
      <c r="BM206" s="1295"/>
      <c r="BN206" s="1295"/>
      <c r="BO206" s="1408"/>
      <c r="BP206" s="1401"/>
      <c r="BQ206" s="1402"/>
      <c r="BR206" s="1409"/>
      <c r="BS206" s="1408"/>
      <c r="BT206" s="1295"/>
      <c r="BU206" s="1295"/>
      <c r="BV206" s="1408"/>
      <c r="BW206" s="1401"/>
      <c r="BX206" s="1402"/>
      <c r="BY206" s="1409"/>
      <c r="BZ206" s="1408"/>
      <c r="CA206" s="1392"/>
      <c r="CB206" s="1266"/>
      <c r="CC206" s="1408"/>
      <c r="CD206" s="1401"/>
      <c r="CE206" s="1402"/>
      <c r="CF206" s="1409"/>
      <c r="CG206" s="1408"/>
      <c r="CH206" s="1392"/>
      <c r="CI206" s="1408"/>
      <c r="CJ206" s="1401"/>
      <c r="CK206" s="1402"/>
      <c r="CL206" s="1409"/>
      <c r="CM206" s="1408"/>
      <c r="CN206" s="1295"/>
      <c r="CO206" s="1295"/>
      <c r="CP206" s="1408"/>
      <c r="CQ206" s="1401"/>
      <c r="CR206" s="1402"/>
      <c r="CS206" s="1409"/>
      <c r="CT206" s="1408"/>
      <c r="CU206" s="1295"/>
      <c r="CV206" s="1266"/>
      <c r="CW206" s="1412"/>
      <c r="CX206" s="1266"/>
      <c r="CY206" s="1266"/>
      <c r="CZ206" s="1266"/>
      <c r="DA206" s="1266"/>
      <c r="DB206" s="1413"/>
      <c r="DC206" s="1286"/>
      <c r="DD206" s="1302"/>
      <c r="DE206" s="1285"/>
      <c r="DF206" s="1285"/>
      <c r="DG206" s="1285"/>
      <c r="DH206" s="1285"/>
      <c r="DI206" s="1285"/>
      <c r="DJ206" s="1285"/>
      <c r="DK206" s="1285"/>
      <c r="DL206" s="1285"/>
      <c r="DM206" s="1285"/>
      <c r="DN206" s="1285"/>
      <c r="DO206" s="1285"/>
      <c r="DP206" s="1285"/>
      <c r="DQ206" s="1285"/>
    </row>
    <row r="207" spans="1:137" ht="15.75">
      <c r="A207" s="2118">
        <f>+A200+1</f>
        <v>2015</v>
      </c>
      <c r="B207" s="2118"/>
      <c r="C207" s="1266"/>
      <c r="D207" s="1335"/>
      <c r="E207" s="1269"/>
      <c r="F207" s="1302"/>
      <c r="G207" s="1335"/>
      <c r="H207" s="1268"/>
      <c r="I207" s="1295"/>
      <c r="J207" s="1266"/>
      <c r="K207" s="1336"/>
      <c r="L207" s="1269"/>
      <c r="M207" s="1268"/>
      <c r="N207" s="1336"/>
      <c r="O207" s="1268"/>
      <c r="P207" s="1295"/>
      <c r="Q207" s="1268"/>
      <c r="R207" s="1336"/>
      <c r="S207" s="1269"/>
      <c r="T207" s="1268"/>
      <c r="U207" s="1336"/>
      <c r="V207" s="1268"/>
      <c r="W207" s="1295"/>
      <c r="X207" s="1268"/>
      <c r="Y207" s="1336"/>
      <c r="Z207" s="1269"/>
      <c r="AA207" s="1268"/>
      <c r="AB207" s="1336"/>
      <c r="AC207" s="1268"/>
      <c r="AD207" s="1295"/>
      <c r="AE207" s="1268"/>
      <c r="AF207" s="1336"/>
      <c r="AG207" s="1269"/>
      <c r="AH207" s="1270"/>
      <c r="AI207" s="1336"/>
      <c r="AJ207" s="1268"/>
      <c r="AK207" s="1302"/>
      <c r="AL207" s="1268"/>
      <c r="AM207" s="1336"/>
      <c r="AN207" s="1269"/>
      <c r="AO207" s="1268"/>
      <c r="AP207" s="1336"/>
      <c r="AQ207" s="1268"/>
      <c r="AR207" s="1295"/>
      <c r="AS207" s="1268"/>
      <c r="AT207" s="1336"/>
      <c r="AU207" s="1269"/>
      <c r="AV207" s="1266"/>
      <c r="AW207" s="1336"/>
      <c r="AX207" s="1268"/>
      <c r="AY207" s="1295"/>
      <c r="AZ207" s="1266"/>
      <c r="BA207" s="1336"/>
      <c r="BB207" s="1269"/>
      <c r="BC207" s="1266"/>
      <c r="BD207" s="1336"/>
      <c r="BE207" s="1268"/>
      <c r="BF207" s="1295"/>
      <c r="BG207" s="1295"/>
      <c r="BH207" s="1405"/>
      <c r="BI207" s="1401"/>
      <c r="BJ207" s="1402"/>
      <c r="BK207" s="1405"/>
      <c r="BL207" s="1400"/>
      <c r="BM207" s="1295"/>
      <c r="BN207" s="1295"/>
      <c r="BO207" s="1405"/>
      <c r="BP207" s="1401"/>
      <c r="BQ207" s="1402"/>
      <c r="BR207" s="1405"/>
      <c r="BS207" s="1400"/>
      <c r="BT207" s="1295"/>
      <c r="BU207" s="1295"/>
      <c r="BV207" s="1345"/>
      <c r="BW207" s="1354"/>
      <c r="BX207" s="1355"/>
      <c r="BY207" s="1345"/>
      <c r="BZ207" s="1356"/>
      <c r="CA207" s="1357"/>
      <c r="CB207" s="1266"/>
      <c r="CC207" s="1405"/>
      <c r="CD207" s="1401"/>
      <c r="CE207" s="1402"/>
      <c r="CF207" s="1405"/>
      <c r="CG207" s="1400"/>
      <c r="CH207" s="1392"/>
      <c r="CI207" s="1405"/>
      <c r="CJ207" s="1401"/>
      <c r="CK207" s="1402"/>
      <c r="CL207" s="1405"/>
      <c r="CM207" s="1400"/>
      <c r="CN207" s="1295"/>
      <c r="CO207" s="1295"/>
      <c r="CP207" s="1405"/>
      <c r="CQ207" s="1401"/>
      <c r="CR207" s="1402"/>
      <c r="CS207" s="1405"/>
      <c r="CT207" s="1400"/>
      <c r="CU207" s="1295"/>
      <c r="CV207" s="1266"/>
      <c r="CW207" s="1335"/>
      <c r="CX207" s="1266"/>
      <c r="CY207" s="1266"/>
      <c r="CZ207" s="1266"/>
      <c r="DA207" s="1266"/>
      <c r="DB207" s="1335"/>
      <c r="DC207" s="1268"/>
      <c r="DD207" s="1302"/>
      <c r="DE207" s="1266"/>
      <c r="DF207" s="1266"/>
      <c r="DG207" s="1266"/>
      <c r="DH207" s="1266"/>
      <c r="DI207" s="1266"/>
      <c r="DJ207" s="1266"/>
      <c r="DK207" s="1266"/>
      <c r="DL207" s="1266"/>
      <c r="DM207" s="1266"/>
      <c r="DN207" s="1266"/>
      <c r="DO207" s="1266"/>
      <c r="DP207" s="1266"/>
      <c r="DQ207" s="1266"/>
    </row>
    <row r="208" spans="1:137" ht="15">
      <c r="A208" s="1266" t="str">
        <f>$A$17</f>
        <v>1Q</v>
      </c>
      <c r="B208" s="1266" t="str">
        <f>$B$17</f>
        <v>Apr</v>
      </c>
      <c r="C208" s="1266"/>
      <c r="D208" s="1294">
        <f t="shared" ref="D208:E211" si="38">+K208+R208</f>
        <v>2113</v>
      </c>
      <c r="E208" s="1255">
        <f t="shared" si="38"/>
        <v>19</v>
      </c>
      <c r="F208" s="1295">
        <f>+(D208/D201-1)*100</f>
        <v>3.9862204724409489</v>
      </c>
      <c r="G208" s="1296">
        <f>+N208+U208</f>
        <v>62.4</v>
      </c>
      <c r="H208" s="1297"/>
      <c r="I208" s="1295">
        <f>+(G208/G201-1)*100</f>
        <v>3.4825870646766122</v>
      </c>
      <c r="J208" s="1266"/>
      <c r="K208" s="1294">
        <f>+K205+L208</f>
        <v>1126</v>
      </c>
      <c r="L208" s="1254">
        <v>7</v>
      </c>
      <c r="M208" s="1295">
        <f>+(K208/K201-1)*100</f>
        <v>3.7788018433179804</v>
      </c>
      <c r="N208" s="1318">
        <v>32.4</v>
      </c>
      <c r="O208" s="1297"/>
      <c r="P208" s="1295">
        <f>+(N208/N201-1)*100</f>
        <v>3.514376996805102</v>
      </c>
      <c r="Q208" s="1299"/>
      <c r="R208" s="1294">
        <f>+R205+S208</f>
        <v>987</v>
      </c>
      <c r="S208" s="1254">
        <v>12</v>
      </c>
      <c r="T208" s="1295">
        <f>+(R208/R201-1)*100</f>
        <v>4.2238648363252418</v>
      </c>
      <c r="U208" s="1318">
        <v>30</v>
      </c>
      <c r="V208" s="1297"/>
      <c r="W208" s="1295">
        <f>+(U208/U201-1)*100</f>
        <v>3.4482758620689724</v>
      </c>
      <c r="X208" s="1299"/>
      <c r="Y208" s="1294">
        <f>+Y205+Z208</f>
        <v>239</v>
      </c>
      <c r="Z208" s="1254">
        <v>5</v>
      </c>
      <c r="AA208" s="1295">
        <f>+(Y208/Y201-1)*100</f>
        <v>3.9130434782608692</v>
      </c>
      <c r="AB208" s="1318">
        <v>6.8</v>
      </c>
      <c r="AC208" s="1297"/>
      <c r="AD208" s="1295"/>
      <c r="AE208" s="1299"/>
      <c r="AF208" s="1294">
        <f>+AF205+AG208</f>
        <v>416</v>
      </c>
      <c r="AG208" s="1254">
        <v>9</v>
      </c>
      <c r="AH208" s="1295">
        <f>+(AF208/AF201-1)*100</f>
        <v>9.4736842105263221</v>
      </c>
      <c r="AI208" s="1318">
        <v>12.8</v>
      </c>
      <c r="AJ208" s="1297"/>
      <c r="AK208" s="1295">
        <f>+(AI208/AI201-1)*100</f>
        <v>7.5630252100840289</v>
      </c>
      <c r="AL208" s="1299"/>
      <c r="AM208" s="1294">
        <f>+AM205+AN208</f>
        <v>498</v>
      </c>
      <c r="AN208" s="1254">
        <v>11</v>
      </c>
      <c r="AO208" s="1295">
        <f>+(AM208/AM201-1)*100</f>
        <v>8.7336244541484689</v>
      </c>
      <c r="AP208" s="1318">
        <v>12.4</v>
      </c>
      <c r="AQ208" s="1297"/>
      <c r="AR208" s="1295">
        <f>+(AP208/AP201-1)*100</f>
        <v>8.7719298245614077</v>
      </c>
      <c r="AS208" s="1299"/>
      <c r="AT208" s="1294">
        <f>+AT205+AU208</f>
        <v>0</v>
      </c>
      <c r="AU208" s="1254">
        <v>0</v>
      </c>
      <c r="AV208" s="1295"/>
      <c r="AW208" s="1296">
        <f>AW205+AU208*$AX$163/1000</f>
        <v>0</v>
      </c>
      <c r="AX208" s="1297"/>
      <c r="AY208" s="1295"/>
      <c r="AZ208" s="1299"/>
      <c r="BA208" s="1294">
        <f>+BA205+BB208</f>
        <v>97</v>
      </c>
      <c r="BB208" s="1254">
        <v>1</v>
      </c>
      <c r="BC208" s="1295">
        <f>+(BA208/BA201-1)*100</f>
        <v>5.4347826086956541</v>
      </c>
      <c r="BD208" s="1318">
        <v>2.2999999999999998</v>
      </c>
      <c r="BE208" s="1297"/>
      <c r="BF208" s="1295">
        <f>+(BD208/BD201-1)*100</f>
        <v>4.5454545454545192</v>
      </c>
      <c r="BG208" s="1295"/>
      <c r="BH208" s="1294">
        <f>+BH205+BI208</f>
        <v>33</v>
      </c>
      <c r="BI208" s="1254">
        <v>0</v>
      </c>
      <c r="BJ208" s="1295">
        <f>+(BH208/BH201-1)*100</f>
        <v>17.857142857142861</v>
      </c>
      <c r="BK208" s="1318">
        <v>0.7</v>
      </c>
      <c r="BL208" s="1297"/>
      <c r="BM208" s="1295">
        <f>+(BK208/BK201-1)*100</f>
        <v>16.666666666666675</v>
      </c>
      <c r="BN208" s="1295"/>
      <c r="BO208" s="1294">
        <f>+BO205+BP208</f>
        <v>39</v>
      </c>
      <c r="BP208" s="1254">
        <v>1</v>
      </c>
      <c r="BQ208" s="1295"/>
      <c r="BR208" s="1318">
        <v>1.2</v>
      </c>
      <c r="BS208" s="1297"/>
      <c r="BT208" s="1295"/>
      <c r="BU208" s="1295"/>
      <c r="BV208" s="1340">
        <f>+BV205+BW208</f>
        <v>3</v>
      </c>
      <c r="BW208" s="1358">
        <v>0</v>
      </c>
      <c r="BX208" s="1357">
        <f>+(BV208/BV201-1)*100</f>
        <v>0</v>
      </c>
      <c r="BY208" s="1359">
        <f>BY205+BW208*$BL$163/1000</f>
        <v>1.4285714285714289E-2</v>
      </c>
      <c r="BZ208" s="1360"/>
      <c r="CA208" s="1357">
        <f>+(BY208/BY201-1)*100</f>
        <v>0</v>
      </c>
      <c r="CB208" s="1299"/>
      <c r="CC208" s="1390"/>
      <c r="CD208" s="1391"/>
      <c r="CE208" s="1392"/>
      <c r="CF208" s="1393"/>
      <c r="CG208" s="1394"/>
      <c r="CH208" s="1392"/>
      <c r="CI208" s="1294">
        <f>+CI205+CJ208</f>
        <v>6</v>
      </c>
      <c r="CJ208" s="1254">
        <v>0</v>
      </c>
      <c r="CK208" s="1295"/>
      <c r="CL208" s="1352">
        <v>0.2</v>
      </c>
      <c r="CM208" s="1297"/>
      <c r="CN208" s="1295"/>
      <c r="CO208" s="1295"/>
      <c r="CP208" s="1294"/>
      <c r="CQ208" s="1254"/>
      <c r="CR208" s="1295"/>
      <c r="CS208" s="1352"/>
      <c r="CT208" s="1297"/>
      <c r="CU208" s="1295"/>
      <c r="CV208" s="1299"/>
      <c r="CW208" s="1306">
        <f>+D208+Y208+AF208+AM208+AT208+BA208+BH208+BO208+CI208</f>
        <v>3441</v>
      </c>
      <c r="CX208" s="1307">
        <f>+CW208-CW204</f>
        <v>46</v>
      </c>
      <c r="CY208" s="1295">
        <f>+(CW208/CW201-1)*100</f>
        <v>5.6818181818181879</v>
      </c>
      <c r="CZ208" s="1297"/>
      <c r="DA208" s="1297"/>
      <c r="DB208" s="1318">
        <v>98.7</v>
      </c>
      <c r="DC208" s="1297"/>
      <c r="DD208" s="1295">
        <f>+(DB208/DB201-1)*100</f>
        <v>4.6659597030753064</v>
      </c>
      <c r="DE208" s="1266"/>
      <c r="DF208" s="1350">
        <f>+D208/$CW208</f>
        <v>0.61406567858180761</v>
      </c>
      <c r="DG208" s="1351"/>
      <c r="DH208" s="1351"/>
      <c r="DI208" s="1350">
        <f>+Y208/$CW208</f>
        <v>6.945655332752107E-2</v>
      </c>
      <c r="DJ208" s="1350">
        <f>+AF208/CW208</f>
        <v>0.12089508863702413</v>
      </c>
      <c r="DK208" s="1350">
        <f>+AM208/CW208</f>
        <v>0.14472537053182213</v>
      </c>
      <c r="DL208" s="1350">
        <f>+AT208/CW208</f>
        <v>0</v>
      </c>
      <c r="DM208" s="1350">
        <f>+BA208/$CW208</f>
        <v>2.8189479802383028E-2</v>
      </c>
      <c r="DN208" s="1350">
        <f>+BH208/$CW208</f>
        <v>9.5902353966870104E-3</v>
      </c>
      <c r="DO208" s="1350">
        <f>+BO208/$CW208</f>
        <v>1.1333914559721011E-2</v>
      </c>
      <c r="DP208" s="1350">
        <f>+CI208/$CW208</f>
        <v>1.7436791630340018E-3</v>
      </c>
      <c r="DQ208" s="1350">
        <f t="shared" si="35"/>
        <v>0</v>
      </c>
      <c r="DR208" s="1395"/>
      <c r="DS208" s="1333">
        <f>+L208</f>
        <v>7</v>
      </c>
      <c r="DT208" s="1333">
        <f>+S208</f>
        <v>12</v>
      </c>
      <c r="DU208" s="1333">
        <f>+Z208</f>
        <v>5</v>
      </c>
      <c r="DV208" s="1333">
        <f>+AG208</f>
        <v>9</v>
      </c>
      <c r="DW208" s="1333">
        <f>+AN208</f>
        <v>11</v>
      </c>
      <c r="DX208" s="1333">
        <f>+AU208</f>
        <v>0</v>
      </c>
      <c r="DY208" s="1333">
        <f>+BB208</f>
        <v>1</v>
      </c>
      <c r="DZ208" s="1333">
        <f>+BI208</f>
        <v>0</v>
      </c>
      <c r="EA208" s="1333">
        <f>+BP208</f>
        <v>1</v>
      </c>
      <c r="EB208" s="1333">
        <f>+CD208</f>
        <v>0</v>
      </c>
      <c r="ED208" s="451">
        <f>-(SUMIF(DS208:EB208,"&lt;0"))</f>
        <v>0</v>
      </c>
      <c r="EE208" s="451">
        <f>(SUMIF(DS208:EB208,"&gt;0"))</f>
        <v>46</v>
      </c>
      <c r="EF208" s="451">
        <f>+EE208-ED208</f>
        <v>46</v>
      </c>
      <c r="EG208" s="1333">
        <f>+EF208-CX208</f>
        <v>0</v>
      </c>
    </row>
    <row r="209" spans="1:137" ht="15">
      <c r="A209" s="1266" t="str">
        <f>$A$18</f>
        <v>2Q</v>
      </c>
      <c r="B209" s="1266" t="str">
        <f>$B$18</f>
        <v>Jul</v>
      </c>
      <c r="C209" s="1266"/>
      <c r="D209" s="1294">
        <f t="shared" si="38"/>
        <v>2120</v>
      </c>
      <c r="E209" s="1255">
        <f>+L209+S209</f>
        <v>7</v>
      </c>
      <c r="F209" s="1295">
        <f>+(D209/D202-1)*100</f>
        <v>3.6168132942326459</v>
      </c>
      <c r="G209" s="1296">
        <f>+N209+U209</f>
        <v>62.4</v>
      </c>
      <c r="H209" s="1297"/>
      <c r="I209" s="1295">
        <f>+(G209/G202-1)*100</f>
        <v>2.8006589785831926</v>
      </c>
      <c r="J209" s="1309"/>
      <c r="K209" s="1294">
        <f>+K208+L209</f>
        <v>1130</v>
      </c>
      <c r="L209" s="1254">
        <v>4</v>
      </c>
      <c r="M209" s="1295">
        <f>+(K209/K202-1)*100</f>
        <v>3.669724770642202</v>
      </c>
      <c r="N209" s="1318">
        <v>32.4</v>
      </c>
      <c r="O209" s="1297"/>
      <c r="P209" s="1295">
        <f>+(N209/N202-1)*100</f>
        <v>3.1847133757961776</v>
      </c>
      <c r="Q209" s="1299"/>
      <c r="R209" s="1294">
        <f>+R208+S209</f>
        <v>990</v>
      </c>
      <c r="S209" s="1254">
        <v>3</v>
      </c>
      <c r="T209" s="1295">
        <f>+(R209/R202-1)*100</f>
        <v>3.5564853556485421</v>
      </c>
      <c r="U209" s="1318">
        <v>30</v>
      </c>
      <c r="V209" s="1297"/>
      <c r="W209" s="1295">
        <f>+(U209/U202-1)*100</f>
        <v>2.3890784982935065</v>
      </c>
      <c r="X209" s="1299"/>
      <c r="Y209" s="1294">
        <f>+Y208+Z209</f>
        <v>240</v>
      </c>
      <c r="Z209" s="1254">
        <v>1</v>
      </c>
      <c r="AA209" s="1295">
        <f>+(Y209/Y202-1)*100</f>
        <v>4.3478260869565188</v>
      </c>
      <c r="AB209" s="1318">
        <v>6.8</v>
      </c>
      <c r="AC209" s="1297"/>
      <c r="AD209" s="1295"/>
      <c r="AE209" s="1299"/>
      <c r="AF209" s="1294">
        <f>+AF208+AG209</f>
        <v>423</v>
      </c>
      <c r="AG209" s="1254">
        <v>7</v>
      </c>
      <c r="AH209" s="1295">
        <f>+(AF209/AF202-1)*100</f>
        <v>10.732984293193715</v>
      </c>
      <c r="AI209" s="1318">
        <v>13</v>
      </c>
      <c r="AJ209" s="1297"/>
      <c r="AK209" s="1295">
        <f>+(AI209/AI202-1)*100</f>
        <v>8.333333333333325</v>
      </c>
      <c r="AL209" s="1299"/>
      <c r="AM209" s="1294">
        <f>+AM208+AN209</f>
        <v>503</v>
      </c>
      <c r="AN209" s="1254">
        <v>5</v>
      </c>
      <c r="AO209" s="1295">
        <f>+(AM209/AM202-1)*100</f>
        <v>8.405172413793105</v>
      </c>
      <c r="AP209" s="1318">
        <v>12.4</v>
      </c>
      <c r="AQ209" s="1297"/>
      <c r="AR209" s="1295">
        <f>+(AP209/AP202-1)*100</f>
        <v>6.8965517241379448</v>
      </c>
      <c r="AS209" s="1299"/>
      <c r="AT209" s="1294">
        <f>+AT208+AU209</f>
        <v>0</v>
      </c>
      <c r="AU209" s="1254">
        <v>0</v>
      </c>
      <c r="AV209" s="1295"/>
      <c r="AW209" s="1296">
        <f>AW208+AU209*$AX$163/1000</f>
        <v>0</v>
      </c>
      <c r="AX209" s="1297"/>
      <c r="AY209" s="1295"/>
      <c r="AZ209" s="1299"/>
      <c r="BA209" s="1294">
        <f>+BA208+BB209</f>
        <v>97</v>
      </c>
      <c r="BB209" s="1254">
        <v>0</v>
      </c>
      <c r="BC209" s="1295">
        <f>+(BA209/BA202-1)*100</f>
        <v>5.4347826086956541</v>
      </c>
      <c r="BD209" s="1318">
        <v>2.2999999999999998</v>
      </c>
      <c r="BE209" s="1297"/>
      <c r="BF209" s="1295">
        <f>+(BD209/BD202-1)*100</f>
        <v>4.5454545454545192</v>
      </c>
      <c r="BG209" s="1295"/>
      <c r="BH209" s="1294">
        <f>+BH208+BI209</f>
        <v>33</v>
      </c>
      <c r="BI209" s="1254">
        <v>0</v>
      </c>
      <c r="BJ209" s="1295">
        <f>+(BH209/BH202-1)*100</f>
        <v>17.857142857142861</v>
      </c>
      <c r="BK209" s="1318">
        <v>0.7</v>
      </c>
      <c r="BL209" s="1297"/>
      <c r="BM209" s="1295">
        <f>+(BK209/BK202-1)*100</f>
        <v>16.666666666666675</v>
      </c>
      <c r="BN209" s="1295"/>
      <c r="BO209" s="1294">
        <f>+BO208+BP209</f>
        <v>39</v>
      </c>
      <c r="BP209" s="1254">
        <v>0</v>
      </c>
      <c r="BQ209" s="1295"/>
      <c r="BR209" s="1318">
        <v>1.2</v>
      </c>
      <c r="BS209" s="1297"/>
      <c r="BT209" s="1295"/>
      <c r="BU209" s="1295"/>
      <c r="BV209" s="1340">
        <f>+BV208+BW209</f>
        <v>3</v>
      </c>
      <c r="BW209" s="1358">
        <v>0</v>
      </c>
      <c r="BX209" s="1357">
        <f>+(BV209/BV202-1)*100</f>
        <v>0</v>
      </c>
      <c r="BY209" s="1359">
        <f>BY208+BW209*$BE$163/1000</f>
        <v>1.4285714285714289E-2</v>
      </c>
      <c r="BZ209" s="1360"/>
      <c r="CA209" s="1357">
        <f>+(BY209/BY202-1)*100</f>
        <v>0</v>
      </c>
      <c r="CB209" s="1299"/>
      <c r="CC209" s="1390"/>
      <c r="CD209" s="1391"/>
      <c r="CE209" s="1392"/>
      <c r="CF209" s="1393"/>
      <c r="CG209" s="1394"/>
      <c r="CH209" s="1392"/>
      <c r="CI209" s="1294">
        <f>+CI208+CJ209</f>
        <v>6</v>
      </c>
      <c r="CJ209" s="1254">
        <v>0</v>
      </c>
      <c r="CK209" s="1295"/>
      <c r="CL209" s="1352">
        <v>0.2</v>
      </c>
      <c r="CM209" s="1297"/>
      <c r="CN209" s="1295"/>
      <c r="CO209" s="1295"/>
      <c r="CP209" s="1294"/>
      <c r="CQ209" s="1254"/>
      <c r="CR209" s="1295"/>
      <c r="CS209" s="1352"/>
      <c r="CT209" s="1297"/>
      <c r="CU209" s="1295"/>
      <c r="CV209" s="1299"/>
      <c r="CW209" s="1306">
        <f>+D209+Y209+AF209+AM209+AT209+BA209+BH209+BO209+CI209</f>
        <v>3461</v>
      </c>
      <c r="CX209" s="1307">
        <f>+CW209-CW208</f>
        <v>20</v>
      </c>
      <c r="CY209" s="1295">
        <f>+(CW209/CW202-1)*100</f>
        <v>5.5504727050930125</v>
      </c>
      <c r="CZ209" s="1297"/>
      <c r="DA209" s="1297"/>
      <c r="DB209" s="1296">
        <f>+G209+AB209+AI209+AP209+AW209+BD209+BK209+BR209+CL209</f>
        <v>99.000000000000014</v>
      </c>
      <c r="DC209" s="1297"/>
      <c r="DD209" s="1295">
        <f>+(DB209/DB202-1)*100</f>
        <v>4.4303797468354666</v>
      </c>
      <c r="DE209" s="1266"/>
      <c r="DF209" s="1350">
        <f>+D209/$CW209</f>
        <v>0.61253972840219595</v>
      </c>
      <c r="DG209" s="1351"/>
      <c r="DH209" s="1351"/>
      <c r="DI209" s="1350">
        <f>+Y209/$CW209</f>
        <v>6.9344120196475012E-2</v>
      </c>
      <c r="DJ209" s="1350">
        <f>+AF209/CW209</f>
        <v>0.1222190118462872</v>
      </c>
      <c r="DK209" s="1350">
        <f>+AM209/CW209</f>
        <v>0.14533371857844554</v>
      </c>
      <c r="DL209" s="1350">
        <f>+AT209/CW209</f>
        <v>0</v>
      </c>
      <c r="DM209" s="1350">
        <f>+BA209/$CW209</f>
        <v>2.8026581912741981E-2</v>
      </c>
      <c r="DN209" s="1350">
        <f>+BH209/$CW209</f>
        <v>9.5348165270153131E-3</v>
      </c>
      <c r="DO209" s="1350">
        <f>+BO209/$CW209</f>
        <v>1.1268419531927188E-2</v>
      </c>
      <c r="DP209" s="1350">
        <f>+CI209/$CW209</f>
        <v>1.7336030049118752E-3</v>
      </c>
      <c r="DQ209" s="1350">
        <f t="shared" si="35"/>
        <v>0</v>
      </c>
      <c r="DR209" s="1395"/>
      <c r="DS209" s="1333">
        <f>+L209</f>
        <v>4</v>
      </c>
      <c r="DT209" s="1333">
        <f>+S209</f>
        <v>3</v>
      </c>
      <c r="DU209" s="1333">
        <f>+Z209</f>
        <v>1</v>
      </c>
      <c r="DV209" s="1333">
        <f>+AG209</f>
        <v>7</v>
      </c>
      <c r="DW209" s="1333">
        <f>+AN209</f>
        <v>5</v>
      </c>
      <c r="DX209" s="1333">
        <f>+AU209</f>
        <v>0</v>
      </c>
      <c r="DY209" s="1333">
        <f>+BB209</f>
        <v>0</v>
      </c>
      <c r="DZ209" s="1333">
        <f>+BI209</f>
        <v>0</v>
      </c>
      <c r="EA209" s="1333">
        <f>+BP209</f>
        <v>0</v>
      </c>
      <c r="EB209" s="1333">
        <f>+CD209</f>
        <v>0</v>
      </c>
      <c r="ED209" s="451">
        <f>-(SUMIF(DS209:EB209,"&lt;0"))</f>
        <v>0</v>
      </c>
      <c r="EE209" s="451">
        <f>(SUMIF(DS209:EB209,"&gt;0"))</f>
        <v>20</v>
      </c>
      <c r="EF209" s="451">
        <f>+EE209-ED209</f>
        <v>20</v>
      </c>
      <c r="EG209" s="1333">
        <f>+EF209-CX209</f>
        <v>0</v>
      </c>
    </row>
    <row r="210" spans="1:137" ht="15">
      <c r="A210" s="1266" t="str">
        <f>$A$19</f>
        <v>3Q</v>
      </c>
      <c r="B210" s="1266" t="str">
        <f>$B$19</f>
        <v>Oct</v>
      </c>
      <c r="C210" s="1266"/>
      <c r="D210" s="1294">
        <f t="shared" si="38"/>
        <v>2150</v>
      </c>
      <c r="E210" s="1255">
        <f t="shared" si="38"/>
        <v>30</v>
      </c>
      <c r="F210" s="1295">
        <f>+(D210/D203-1)*100</f>
        <v>3.0680728667305868</v>
      </c>
      <c r="G210" s="1296">
        <f>+N210+U210</f>
        <v>63.099999999999994</v>
      </c>
      <c r="H210" s="1297"/>
      <c r="I210" s="1295">
        <f>+(G210/G203-1)*100</f>
        <v>2.4350649350649345</v>
      </c>
      <c r="J210" s="1266"/>
      <c r="K210" s="1294">
        <f>+K209+L210</f>
        <v>1149</v>
      </c>
      <c r="L210" s="1254">
        <v>19</v>
      </c>
      <c r="M210" s="1295">
        <f>+(K210/K203-1)*100</f>
        <v>3.2345013477088846</v>
      </c>
      <c r="N210" s="1318">
        <v>32.799999999999997</v>
      </c>
      <c r="O210" s="1297"/>
      <c r="P210" s="1295">
        <f>+(N210/N203-1)*100</f>
        <v>2.4999999999999911</v>
      </c>
      <c r="Q210" s="1299"/>
      <c r="R210" s="1294">
        <f>+R209+S210</f>
        <v>1001</v>
      </c>
      <c r="S210" s="1254">
        <v>11</v>
      </c>
      <c r="T210" s="1295">
        <f>+(R210/R203-1)*100</f>
        <v>2.877697841726623</v>
      </c>
      <c r="U210" s="1318">
        <v>30.3</v>
      </c>
      <c r="V210" s="1297"/>
      <c r="W210" s="1295">
        <f>+(U210/U203-1)*100</f>
        <v>2.3648648648648685</v>
      </c>
      <c r="X210" s="1299"/>
      <c r="Y210" s="1294">
        <f>+Y209+Z210</f>
        <v>245</v>
      </c>
      <c r="Z210" s="1254">
        <v>5</v>
      </c>
      <c r="AA210" s="1295">
        <f>+(Y210/Y203-1)*100</f>
        <v>4.7008547008547064</v>
      </c>
      <c r="AB210" s="1318">
        <v>6.9</v>
      </c>
      <c r="AC210" s="1297"/>
      <c r="AD210" s="1295"/>
      <c r="AE210" s="1299"/>
      <c r="AF210" s="1294">
        <f>+AF209+AG210</f>
        <v>454</v>
      </c>
      <c r="AG210" s="1254">
        <v>31</v>
      </c>
      <c r="AH210" s="1295">
        <f>+(AF210/AF203-1)*100</f>
        <v>11.54791154791155</v>
      </c>
      <c r="AI210" s="1318">
        <v>13.8</v>
      </c>
      <c r="AJ210" s="1297"/>
      <c r="AK210" s="1295">
        <f>+(AI210/AI203-1)*100</f>
        <v>9.5238095238095344</v>
      </c>
      <c r="AL210" s="1299"/>
      <c r="AM210" s="1294">
        <f>+AM209+AN210</f>
        <v>522</v>
      </c>
      <c r="AN210" s="1254">
        <v>19</v>
      </c>
      <c r="AO210" s="1295">
        <f>+(AM210/AM203-1)*100</f>
        <v>7.6288659793814384</v>
      </c>
      <c r="AP210" s="1318">
        <v>12.9</v>
      </c>
      <c r="AQ210" s="1297"/>
      <c r="AR210" s="1295">
        <f>+(AP210/AP203-1)*100</f>
        <v>6.6115702479338845</v>
      </c>
      <c r="AS210" s="1299"/>
      <c r="AT210" s="1294">
        <f>+AT209+AU210</f>
        <v>0</v>
      </c>
      <c r="AU210" s="1254">
        <v>0</v>
      </c>
      <c r="AV210" s="1295"/>
      <c r="AW210" s="1296">
        <f>AW209+AU210*$AX$163/1000</f>
        <v>0</v>
      </c>
      <c r="AX210" s="1297"/>
      <c r="AY210" s="1295"/>
      <c r="AZ210" s="1299"/>
      <c r="BA210" s="1294">
        <f>+BA209+BB210</f>
        <v>101</v>
      </c>
      <c r="BB210" s="1254">
        <v>4</v>
      </c>
      <c r="BC210" s="1295">
        <f>+(BA210/BA203-1)*100</f>
        <v>5.2083333333333259</v>
      </c>
      <c r="BD210" s="1318">
        <v>2.4</v>
      </c>
      <c r="BE210" s="1297"/>
      <c r="BF210" s="1295">
        <f>+(BD210/BD203-1)*100</f>
        <v>4.3478260869565188</v>
      </c>
      <c r="BG210" s="1295"/>
      <c r="BH210" s="1294">
        <f>+BH209+BI210</f>
        <v>39</v>
      </c>
      <c r="BI210" s="1254">
        <v>6</v>
      </c>
      <c r="BJ210" s="1295">
        <f>+(BH210/BH203-1)*100</f>
        <v>18.181818181818187</v>
      </c>
      <c r="BK210" s="1318">
        <v>0.8</v>
      </c>
      <c r="BL210" s="1297"/>
      <c r="BM210" s="1295">
        <f>+(BK210/BK203-1)*100</f>
        <v>14.285714285714302</v>
      </c>
      <c r="BN210" s="1295"/>
      <c r="BO210" s="1294">
        <f>+BO209+BP210</f>
        <v>41</v>
      </c>
      <c r="BP210" s="1254">
        <v>2</v>
      </c>
      <c r="BQ210" s="1295"/>
      <c r="BR210" s="1318">
        <v>1.2</v>
      </c>
      <c r="BS210" s="1297"/>
      <c r="BT210" s="1295"/>
      <c r="BU210" s="1295"/>
      <c r="BV210" s="1340">
        <f>+BV209+BW210</f>
        <v>3</v>
      </c>
      <c r="BW210" s="1358">
        <v>0</v>
      </c>
      <c r="BX210" s="1357">
        <f>+(BV210/BV203-1)*100</f>
        <v>0</v>
      </c>
      <c r="BY210" s="1359">
        <f>BY209+BW210*$BE$163/1000</f>
        <v>1.4285714285714289E-2</v>
      </c>
      <c r="BZ210" s="1360"/>
      <c r="CA210" s="1357">
        <f>+(BY210/BY203-1)*100</f>
        <v>0</v>
      </c>
      <c r="CB210" s="1299"/>
      <c r="CC210" s="1390"/>
      <c r="CD210" s="1391"/>
      <c r="CE210" s="1392"/>
      <c r="CF210" s="1393"/>
      <c r="CG210" s="1394"/>
      <c r="CH210" s="1392"/>
      <c r="CI210" s="1294">
        <f>+CI209+CJ210</f>
        <v>7</v>
      </c>
      <c r="CJ210" s="1254">
        <v>1</v>
      </c>
      <c r="CK210" s="1295"/>
      <c r="CL210" s="1352">
        <v>0.2</v>
      </c>
      <c r="CM210" s="1297"/>
      <c r="CN210" s="1295"/>
      <c r="CO210" s="1295"/>
      <c r="CP210" s="1294">
        <f>+CP209+CQ210</f>
        <v>35</v>
      </c>
      <c r="CQ210" s="1254">
        <v>35</v>
      </c>
      <c r="CR210" s="1295"/>
      <c r="CS210" s="1352">
        <v>0.8</v>
      </c>
      <c r="CT210" s="1297"/>
      <c r="CU210" s="1295"/>
      <c r="CV210" s="1299"/>
      <c r="CW210" s="1306">
        <f>+D210+Y210+AF210+AM210+AT210+BA210+BH210+BO210+CI210+CP210</f>
        <v>3594</v>
      </c>
      <c r="CX210" s="1307">
        <f>+CW210-CW209</f>
        <v>133</v>
      </c>
      <c r="CY210" s="1295">
        <f>+(CW210/CW203-1)*100</f>
        <v>6.1742983751846392</v>
      </c>
      <c r="CZ210" s="1297"/>
      <c r="DA210" s="1297"/>
      <c r="DB210" s="1296">
        <f>+G210+AB210+AI210+AP210+AW210+BD210+BK210+BR210+CL210+CS210</f>
        <v>102.10000000000001</v>
      </c>
      <c r="DC210" s="1297"/>
      <c r="DD210" s="1295">
        <f>+(DB210/DB203-1)*100</f>
        <v>4.9331963001027823</v>
      </c>
      <c r="DE210" s="1266"/>
      <c r="DF210" s="1350">
        <f>+D210/$CW210</f>
        <v>0.59821925431274348</v>
      </c>
      <c r="DG210" s="1351"/>
      <c r="DH210" s="1351"/>
      <c r="DI210" s="1350">
        <f>+Y210/$CW210</f>
        <v>6.8169170840289367E-2</v>
      </c>
      <c r="DJ210" s="1350">
        <f>+AF210/CW210</f>
        <v>0.12632164718976072</v>
      </c>
      <c r="DK210" s="1350">
        <f>+AM210/CW210</f>
        <v>0.14524207011686144</v>
      </c>
      <c r="DL210" s="1350">
        <f>+AT210/CW210</f>
        <v>0</v>
      </c>
      <c r="DM210" s="1350">
        <f>+BA210/$CW210</f>
        <v>2.8102392877017251E-2</v>
      </c>
      <c r="DN210" s="1350">
        <f>+BH210/$CW210</f>
        <v>1.0851419031719533E-2</v>
      </c>
      <c r="DO210" s="1350">
        <f>+BO210/$CW210</f>
        <v>1.1407902058987202E-2</v>
      </c>
      <c r="DP210" s="1350">
        <f>+CI210/$CW210</f>
        <v>1.9476905954368391E-3</v>
      </c>
      <c r="DQ210" s="1350">
        <f t="shared" si="35"/>
        <v>9.7384529771841963E-3</v>
      </c>
      <c r="DR210" s="1395"/>
      <c r="DS210" s="1333">
        <f>+L210</f>
        <v>19</v>
      </c>
      <c r="DT210" s="1333">
        <f>+S210</f>
        <v>11</v>
      </c>
      <c r="DU210" s="1333">
        <f>+Z210</f>
        <v>5</v>
      </c>
      <c r="DV210" s="1333">
        <f>+AG210</f>
        <v>31</v>
      </c>
      <c r="DW210" s="1333">
        <f>+AN210</f>
        <v>19</v>
      </c>
      <c r="DX210" s="1333">
        <f>+AU210</f>
        <v>0</v>
      </c>
      <c r="DY210" s="1333">
        <f>+BB210</f>
        <v>4</v>
      </c>
      <c r="DZ210" s="1333">
        <f>+BI210</f>
        <v>6</v>
      </c>
      <c r="EA210" s="1333">
        <f>+BP210</f>
        <v>2</v>
      </c>
      <c r="EB210" s="1333">
        <f>+CD210</f>
        <v>0</v>
      </c>
      <c r="ED210" s="451">
        <f>-(SUMIF(DS210:EB210,"&lt;0"))</f>
        <v>0</v>
      </c>
      <c r="EE210" s="451">
        <f>(SUMIF(DS210:EB210,"&gt;0"))</f>
        <v>97</v>
      </c>
      <c r="EF210" s="451">
        <f>+EE210-ED210</f>
        <v>97</v>
      </c>
      <c r="EG210" s="1333">
        <f>+EF210-CX210</f>
        <v>-36</v>
      </c>
    </row>
    <row r="211" spans="1:137" ht="15">
      <c r="A211" s="1266" t="str">
        <f>$A$20</f>
        <v>4Q</v>
      </c>
      <c r="B211" s="1266" t="str">
        <f>$B$20</f>
        <v>Jan</v>
      </c>
      <c r="C211" s="1266"/>
      <c r="D211" s="1312">
        <f t="shared" si="38"/>
        <v>2163</v>
      </c>
      <c r="E211" s="1255">
        <f t="shared" si="38"/>
        <v>13</v>
      </c>
      <c r="F211" s="1295">
        <f>+(D211/D204-1)*100</f>
        <v>3.2951289398280847</v>
      </c>
      <c r="G211" s="1313">
        <f>+N211+U211</f>
        <v>63.3</v>
      </c>
      <c r="H211" s="1297"/>
      <c r="I211" s="1295">
        <f>+(G211/G204-1)*100</f>
        <v>2.4271844660194164</v>
      </c>
      <c r="J211" s="1266"/>
      <c r="K211" s="1312">
        <f>+K212</f>
        <v>1156</v>
      </c>
      <c r="L211" s="1255">
        <f>+K211-K210</f>
        <v>7</v>
      </c>
      <c r="M211" s="1295">
        <f>+(K211/K204-1)*100</f>
        <v>3.3065236818587973</v>
      </c>
      <c r="N211" s="1334">
        <v>32.9</v>
      </c>
      <c r="O211" s="1297"/>
      <c r="P211" s="1295">
        <f>+(N211/N204-1)*100</f>
        <v>2.4922118380062308</v>
      </c>
      <c r="Q211" s="1299"/>
      <c r="R211" s="1312">
        <f>+R212</f>
        <v>1007</v>
      </c>
      <c r="S211" s="1255">
        <f>+R211-R210</f>
        <v>6</v>
      </c>
      <c r="T211" s="1295">
        <f>+(R211/R204-1)*100</f>
        <v>3.2820512820512793</v>
      </c>
      <c r="U211" s="1334">
        <v>30.4</v>
      </c>
      <c r="V211" s="1297"/>
      <c r="W211" s="1295">
        <f>+(U211/U204-1)*100</f>
        <v>2.3569023569023573</v>
      </c>
      <c r="X211" s="1299"/>
      <c r="Y211" s="1312">
        <f>+Y212</f>
        <v>245</v>
      </c>
      <c r="Z211" s="1255">
        <f>+Y211-Y210</f>
        <v>0</v>
      </c>
      <c r="AA211" s="1295">
        <f>+(Y211/Y204-1)*100</f>
        <v>4.7008547008547064</v>
      </c>
      <c r="AB211" s="1334">
        <v>6.9</v>
      </c>
      <c r="AC211" s="1297"/>
      <c r="AD211" s="1295">
        <f>+(AB211/AB204-1)*100</f>
        <v>2.9850746268656803</v>
      </c>
      <c r="AE211" s="1299"/>
      <c r="AF211" s="1312">
        <f>+AF212</f>
        <v>456</v>
      </c>
      <c r="AG211" s="1255">
        <f>+AF211-AF210</f>
        <v>2</v>
      </c>
      <c r="AH211" s="1295">
        <f>+(AF211/AF204-1)*100</f>
        <v>12.039312039312033</v>
      </c>
      <c r="AI211" s="1318">
        <v>13.8</v>
      </c>
      <c r="AJ211" s="1297"/>
      <c r="AK211" s="1295">
        <f>+(AI211/AI204-1)*100</f>
        <v>9.5238095238095344</v>
      </c>
      <c r="AL211" s="1299"/>
      <c r="AM211" s="1312">
        <f>+AM212</f>
        <v>526</v>
      </c>
      <c r="AN211" s="1255">
        <f>+AM211-AM210</f>
        <v>4</v>
      </c>
      <c r="AO211" s="1295">
        <f>+(AM211/AM204-1)*100</f>
        <v>8.0082135523613864</v>
      </c>
      <c r="AP211" s="1334">
        <v>13</v>
      </c>
      <c r="AQ211" s="1297"/>
      <c r="AR211" s="1295">
        <f>+(AP211/AP204-1)*100</f>
        <v>7.4380165289256173</v>
      </c>
      <c r="AS211" s="1299"/>
      <c r="AT211" s="1312">
        <f>+AT212</f>
        <v>0</v>
      </c>
      <c r="AU211" s="1255">
        <f>+AT211-AT210</f>
        <v>0</v>
      </c>
      <c r="AV211" s="1295"/>
      <c r="AW211" s="1313">
        <f>AW210+AU211*$AX$163/1000</f>
        <v>0</v>
      </c>
      <c r="AX211" s="1297"/>
      <c r="AY211" s="1295"/>
      <c r="AZ211" s="1299"/>
      <c r="BA211" s="1312">
        <f>+BA212</f>
        <v>101</v>
      </c>
      <c r="BB211" s="1255">
        <f>+BA211-BA210</f>
        <v>0</v>
      </c>
      <c r="BC211" s="1295">
        <f>+(BA211/BA204-1)*100</f>
        <v>5.2083333333333259</v>
      </c>
      <c r="BD211" s="1318">
        <v>2.4</v>
      </c>
      <c r="BE211" s="1297"/>
      <c r="BF211" s="1295">
        <f>+(BD211/BD204-1)*100</f>
        <v>4.3478260869565188</v>
      </c>
      <c r="BG211" s="1295"/>
      <c r="BH211" s="1312">
        <f>+BH212</f>
        <v>39</v>
      </c>
      <c r="BI211" s="1255">
        <f>+BH211-BH210</f>
        <v>0</v>
      </c>
      <c r="BJ211" s="1295">
        <f>+(BH211/BH204-1)*100</f>
        <v>18.181818181818187</v>
      </c>
      <c r="BK211" s="1318">
        <v>0.8</v>
      </c>
      <c r="BL211" s="1297"/>
      <c r="BM211" s="1295">
        <f>+(BK211/BK204-1)*100</f>
        <v>14.285714285714302</v>
      </c>
      <c r="BN211" s="1295"/>
      <c r="BO211" s="1312">
        <f>+BO212</f>
        <v>41</v>
      </c>
      <c r="BP211" s="1255">
        <f>+BO211-BO210</f>
        <v>0</v>
      </c>
      <c r="BQ211" s="1295"/>
      <c r="BR211" s="1334">
        <v>1.2</v>
      </c>
      <c r="BS211" s="1297"/>
      <c r="BT211" s="1295"/>
      <c r="BU211" s="1295"/>
      <c r="BV211" s="1361">
        <f>+BV212</f>
        <v>3</v>
      </c>
      <c r="BW211" s="1358">
        <f>+BV211-BV210</f>
        <v>0</v>
      </c>
      <c r="BX211" s="1357">
        <f>+(BV211/BV204-1)*100</f>
        <v>0</v>
      </c>
      <c r="BY211" s="1362">
        <f>BY210+BW211*$BE$163/1000</f>
        <v>1.4285714285714289E-2</v>
      </c>
      <c r="BZ211" s="1360"/>
      <c r="CA211" s="1357">
        <f>+(BY211/BY204-1)*100</f>
        <v>0</v>
      </c>
      <c r="CB211" s="1299"/>
      <c r="CC211" s="1396"/>
      <c r="CD211" s="1391"/>
      <c r="CE211" s="1392"/>
      <c r="CF211" s="1397"/>
      <c r="CG211" s="1394"/>
      <c r="CH211" s="1392"/>
      <c r="CI211" s="1312">
        <f>+CI212</f>
        <v>8</v>
      </c>
      <c r="CJ211" s="1254">
        <v>0</v>
      </c>
      <c r="CK211" s="1295"/>
      <c r="CL211" s="1334">
        <v>0.2</v>
      </c>
      <c r="CM211" s="1297"/>
      <c r="CN211" s="1295"/>
      <c r="CO211" s="1295"/>
      <c r="CP211" s="1312">
        <f>+CP212</f>
        <v>35</v>
      </c>
      <c r="CQ211" s="1254">
        <v>0</v>
      </c>
      <c r="CR211" s="1295"/>
      <c r="CS211" s="1352">
        <v>0.8</v>
      </c>
      <c r="CT211" s="1297"/>
      <c r="CU211" s="1295"/>
      <c r="CV211" s="1299"/>
      <c r="CW211" s="1312">
        <f>+D211+Y211+AF211+AM211+AT211+BA211+BH211+BO211+CI211+CP211</f>
        <v>3614</v>
      </c>
      <c r="CX211" s="1307">
        <f>+CW211-CW210</f>
        <v>20</v>
      </c>
      <c r="CY211" s="1295">
        <f>+(CW211/CW204-1)*100</f>
        <v>6.4506627393225324</v>
      </c>
      <c r="CZ211" s="1297"/>
      <c r="DA211" s="1297"/>
      <c r="DB211" s="1313">
        <f>+G211+AB211+AI211+AP211+AW211+BD211+BK211+BR211+CL211+CS211</f>
        <v>102.4</v>
      </c>
      <c r="DC211" s="1297"/>
      <c r="DD211" s="1295">
        <f>+(DB211/DB204-1)*100</f>
        <v>5.0256410256410255</v>
      </c>
      <c r="DE211" s="1266"/>
      <c r="DF211" s="1350">
        <f>+D211/$CW211</f>
        <v>0.5985058107360266</v>
      </c>
      <c r="DG211" s="1351"/>
      <c r="DH211" s="1351"/>
      <c r="DI211" s="1350">
        <f>+Y211/$CW211</f>
        <v>6.7791920309905926E-2</v>
      </c>
      <c r="DJ211" s="1350">
        <f>+AF211/CW211</f>
        <v>0.1261759822910902</v>
      </c>
      <c r="DK211" s="1350">
        <f>+AM211/CW211</f>
        <v>0.14554510237963475</v>
      </c>
      <c r="DL211" s="1350">
        <f>+AT211/CW211</f>
        <v>0</v>
      </c>
      <c r="DM211" s="1350">
        <f>+BA211/$CW211</f>
        <v>2.7946873270614278E-2</v>
      </c>
      <c r="DN211" s="1350">
        <f>+BH211/$CW211</f>
        <v>1.0791366906474821E-2</v>
      </c>
      <c r="DO211" s="1350">
        <f>+BO211/$CW211</f>
        <v>1.1344770337576093E-2</v>
      </c>
      <c r="DP211" s="1350">
        <f>+CI211/$CW211</f>
        <v>2.2136137244050912E-3</v>
      </c>
      <c r="DQ211" s="1350">
        <f t="shared" si="35"/>
        <v>9.6845600442722751E-3</v>
      </c>
      <c r="DR211" s="1395"/>
      <c r="DS211" s="1333">
        <f>+L211</f>
        <v>7</v>
      </c>
      <c r="DT211" s="1333">
        <f>+S211</f>
        <v>6</v>
      </c>
      <c r="DU211" s="1333">
        <f>+Z211</f>
        <v>0</v>
      </c>
      <c r="DV211" s="1333">
        <f>+AG211</f>
        <v>2</v>
      </c>
      <c r="DW211" s="1333">
        <f>+AN211</f>
        <v>4</v>
      </c>
      <c r="DX211" s="1333">
        <f>+AU211</f>
        <v>0</v>
      </c>
      <c r="DY211" s="1333">
        <f>+BB211</f>
        <v>0</v>
      </c>
      <c r="DZ211" s="1333">
        <f>+BI211</f>
        <v>0</v>
      </c>
      <c r="EA211" s="1333">
        <f>+BP211</f>
        <v>0</v>
      </c>
      <c r="EB211" s="1333">
        <f>+CD211</f>
        <v>0</v>
      </c>
      <c r="ED211" s="451">
        <f>-(SUMIF(DS211:EB211,"&lt;0"))</f>
        <v>0</v>
      </c>
      <c r="EE211" s="451">
        <f>(SUMIF(DS211:EB211,"&gt;0"))</f>
        <v>19</v>
      </c>
      <c r="EF211" s="451">
        <f>+EE211-ED211</f>
        <v>19</v>
      </c>
      <c r="EG211" s="1333">
        <f>+EF211-CX211</f>
        <v>-1</v>
      </c>
    </row>
    <row r="212" spans="1:137" ht="15">
      <c r="A212" s="1266"/>
      <c r="B212" s="1266" t="str">
        <f>$B$21</f>
        <v>Year</v>
      </c>
      <c r="C212" s="1266"/>
      <c r="D212" s="1306">
        <f>+D211</f>
        <v>2163</v>
      </c>
      <c r="E212" s="1317">
        <f>+D212-D205</f>
        <v>69</v>
      </c>
      <c r="F212" s="1295">
        <f>+(D212/D205-1)*100</f>
        <v>3.2951289398280847</v>
      </c>
      <c r="G212" s="1296">
        <f>+N212+U212</f>
        <v>63.3</v>
      </c>
      <c r="H212" s="1297">
        <f>+G212/D212*1000</f>
        <v>29.264909847434119</v>
      </c>
      <c r="I212" s="1295">
        <f>+(G212/G205-1)*100</f>
        <v>2.4271844660194164</v>
      </c>
      <c r="J212" s="1266"/>
      <c r="K212" s="1306">
        <f>+L212+K205</f>
        <v>1156</v>
      </c>
      <c r="L212" s="1256">
        <v>37</v>
      </c>
      <c r="M212" s="1295">
        <f>+(K212/K205-1)*100</f>
        <v>3.3065236818587973</v>
      </c>
      <c r="N212" s="1296">
        <f>N211</f>
        <v>32.9</v>
      </c>
      <c r="O212" s="1317">
        <f>+N212/K212*1000</f>
        <v>28.460207612456745</v>
      </c>
      <c r="P212" s="1295">
        <f>+(N212/N205-1)*100</f>
        <v>2.4922118380062308</v>
      </c>
      <c r="Q212" s="1299"/>
      <c r="R212" s="1306">
        <f>+S212+R205</f>
        <v>1007</v>
      </c>
      <c r="S212" s="1256">
        <v>32</v>
      </c>
      <c r="T212" s="1295">
        <f>+(R212/R205-1)*100</f>
        <v>3.2820512820512793</v>
      </c>
      <c r="U212" s="1296">
        <f>U211</f>
        <v>30.4</v>
      </c>
      <c r="V212" s="1317">
        <f>+U212/R212*1000</f>
        <v>30.188679245283019</v>
      </c>
      <c r="W212" s="1295">
        <f>+(U212/U205-1)*100</f>
        <v>2.3569023569023573</v>
      </c>
      <c r="X212" s="1299"/>
      <c r="Y212" s="1306">
        <f>+Z212+Y205</f>
        <v>245</v>
      </c>
      <c r="Z212" s="1256">
        <v>11</v>
      </c>
      <c r="AA212" s="1295">
        <f>+(Y212/Y205-1)*100</f>
        <v>4.7008547008547064</v>
      </c>
      <c r="AB212" s="1296">
        <f>AB211</f>
        <v>6.9</v>
      </c>
      <c r="AC212" s="1317">
        <f>+AB212/Y212*1000</f>
        <v>28.163265306122451</v>
      </c>
      <c r="AD212" s="1295">
        <f>+(AB212/AB205-1)*100</f>
        <v>2.9850746268656803</v>
      </c>
      <c r="AE212" s="1299"/>
      <c r="AF212" s="1306">
        <f>+AG212+AF205</f>
        <v>456</v>
      </c>
      <c r="AG212" s="1256">
        <v>49</v>
      </c>
      <c r="AH212" s="1295">
        <f>+(AF212/AF205-1)*100</f>
        <v>12.039312039312033</v>
      </c>
      <c r="AI212" s="1296">
        <f>AI211</f>
        <v>13.8</v>
      </c>
      <c r="AJ212" s="1317">
        <f>+AI212/AF212*1000</f>
        <v>30.263157894736842</v>
      </c>
      <c r="AK212" s="1295">
        <f>+(AI212/AI205-1)*100</f>
        <v>9.5238095238095344</v>
      </c>
      <c r="AL212" s="1299"/>
      <c r="AM212" s="1306">
        <f>+AN212+AM205</f>
        <v>526</v>
      </c>
      <c r="AN212" s="1256">
        <v>39</v>
      </c>
      <c r="AO212" s="1295">
        <f>+(AM212/AM205-1)*100</f>
        <v>8.0082135523613864</v>
      </c>
      <c r="AP212" s="1296">
        <f>AP211</f>
        <v>13</v>
      </c>
      <c r="AQ212" s="1317">
        <f>+AP212/AM212*1000</f>
        <v>24.714828897338403</v>
      </c>
      <c r="AR212" s="1295">
        <f>+(AP212/AP205-1)*100</f>
        <v>7.4380165289256173</v>
      </c>
      <c r="AS212" s="1299"/>
      <c r="AT212" s="1306">
        <f>+AU212+AT205</f>
        <v>0</v>
      </c>
      <c r="AU212" s="1256">
        <v>0</v>
      </c>
      <c r="AV212" s="1295"/>
      <c r="AW212" s="1296">
        <f>+AT212*AX212/1000</f>
        <v>0</v>
      </c>
      <c r="AX212" s="1297">
        <f>+AX205</f>
        <v>26</v>
      </c>
      <c r="AY212" s="1295"/>
      <c r="AZ212" s="1299"/>
      <c r="BA212" s="1306">
        <f>+BB212+BA205</f>
        <v>101</v>
      </c>
      <c r="BB212" s="1256">
        <v>5</v>
      </c>
      <c r="BC212" s="1295">
        <f>+(BA212/BA205-1)*100</f>
        <v>5.2083333333333259</v>
      </c>
      <c r="BD212" s="1296">
        <f>+BA212*BE212/1000</f>
        <v>2.4197916666666663</v>
      </c>
      <c r="BE212" s="1297">
        <f>+BE205</f>
        <v>23.958333333333332</v>
      </c>
      <c r="BF212" s="1295">
        <f>+(BD212/BD205-1)*100</f>
        <v>5.2083333333333259</v>
      </c>
      <c r="BG212" s="1295"/>
      <c r="BH212" s="1306">
        <f>+BI212+BH205</f>
        <v>39</v>
      </c>
      <c r="BI212" s="1256">
        <v>6</v>
      </c>
      <c r="BJ212" s="1295">
        <f>+(BH212/BH205-1)*100</f>
        <v>18.181818181818187</v>
      </c>
      <c r="BK212" s="1296">
        <f>+BH212*BL212/1000</f>
        <v>0.82727272727272727</v>
      </c>
      <c r="BL212" s="1297">
        <f>+BL205</f>
        <v>21.212121212121211</v>
      </c>
      <c r="BM212" s="1295">
        <f>+(BK212/BK205-1)*100</f>
        <v>18.181818181818187</v>
      </c>
      <c r="BN212" s="1295"/>
      <c r="BO212" s="1306">
        <f>+BP212+BO205</f>
        <v>41</v>
      </c>
      <c r="BP212" s="1256">
        <v>3</v>
      </c>
      <c r="BQ212" s="1295"/>
      <c r="BR212" s="1296">
        <f>+BO212*BS212/1000</f>
        <v>1.2947368421052634</v>
      </c>
      <c r="BS212" s="1297">
        <f>+BS205</f>
        <v>31.578947368421055</v>
      </c>
      <c r="BT212" s="1295">
        <f>+(BR212/BR205-1)*100</f>
        <v>7.8947368421052877</v>
      </c>
      <c r="BU212" s="1295"/>
      <c r="BV212" s="1337">
        <f>+BW212+BV205</f>
        <v>3</v>
      </c>
      <c r="BW212" s="1343">
        <v>0</v>
      </c>
      <c r="BX212" s="1357">
        <f>+(BV212/BV205-1)*100</f>
        <v>0</v>
      </c>
      <c r="BY212" s="1359">
        <f>+BV212*BZ212/1000</f>
        <v>1.4285714285714289E-2</v>
      </c>
      <c r="BZ212" s="1360">
        <f>+BZ205</f>
        <v>4.7619047619047628</v>
      </c>
      <c r="CA212" s="1357">
        <f>+(BY212/BY205-1)*100</f>
        <v>0</v>
      </c>
      <c r="CB212" s="1299"/>
      <c r="CC212" s="1398"/>
      <c r="CD212" s="1399"/>
      <c r="CE212" s="1392"/>
      <c r="CF212" s="1393"/>
      <c r="CG212" s="1394"/>
      <c r="CH212" s="1392"/>
      <c r="CI212" s="1306">
        <f>+CJ212+CI205</f>
        <v>8</v>
      </c>
      <c r="CJ212" s="1256">
        <v>2</v>
      </c>
      <c r="CK212" s="1295"/>
      <c r="CL212" s="1296">
        <f>+CI212*CM212/1000</f>
        <v>0.26666666666666666</v>
      </c>
      <c r="CM212" s="1297">
        <f>+CM205</f>
        <v>33.333333333333336</v>
      </c>
      <c r="CN212" s="1295">
        <f>+(CL212/CL205-1)*100</f>
        <v>33.333333333333329</v>
      </c>
      <c r="CO212" s="1295"/>
      <c r="CP212" s="1306">
        <f>+CQ212+CP205</f>
        <v>35</v>
      </c>
      <c r="CQ212" s="1256">
        <v>35</v>
      </c>
      <c r="CR212" s="1295"/>
      <c r="CS212" s="1296">
        <f>CS211</f>
        <v>0.8</v>
      </c>
      <c r="CT212" s="1317">
        <f>+CS212/CP212*1000</f>
        <v>22.857142857142858</v>
      </c>
      <c r="CU212" s="1295"/>
      <c r="CV212" s="1299"/>
      <c r="CW212" s="1306">
        <f>+D212+Y212+AF212+AM212+AT212+BA212+BH212+BO212+CI212+CP212</f>
        <v>3614</v>
      </c>
      <c r="CX212" s="1317">
        <f>+E212+Z212+AG212+AN212+AU212+BB212+BI212+BP212+CJ212+CQ212</f>
        <v>219</v>
      </c>
      <c r="CY212" s="1295">
        <f>+(CW212/CW205-1)*100</f>
        <v>6.4506627393225324</v>
      </c>
      <c r="CZ212" s="1297"/>
      <c r="DA212" s="1297"/>
      <c r="DB212" s="1416">
        <f>+G212+AB212+AI212+AP212+AW212+BD212+BK212+BR212+CL212+CS212</f>
        <v>102.60846790271133</v>
      </c>
      <c r="DC212" s="1297">
        <f>+DB212/CW212*1000</f>
        <v>28.391939098702636</v>
      </c>
      <c r="DD212" s="1295">
        <f>+(DB212/DB205-1)*100</f>
        <v>5.1316269494993128</v>
      </c>
      <c r="DE212" s="1266"/>
      <c r="DF212" s="1350">
        <f>+D212/$CW212</f>
        <v>0.5985058107360266</v>
      </c>
      <c r="DG212" s="1351"/>
      <c r="DH212" s="1351"/>
      <c r="DI212" s="1350">
        <f>+Y212/$CW212</f>
        <v>6.7791920309905926E-2</v>
      </c>
      <c r="DJ212" s="1350">
        <f>+AF212/CW212</f>
        <v>0.1261759822910902</v>
      </c>
      <c r="DK212" s="1350">
        <f>+AM212/CW212</f>
        <v>0.14554510237963475</v>
      </c>
      <c r="DL212" s="1350">
        <f>+AT212/CW212</f>
        <v>0</v>
      </c>
      <c r="DM212" s="1350">
        <f>+BA212/$CW212</f>
        <v>2.7946873270614278E-2</v>
      </c>
      <c r="DN212" s="1350">
        <f>+BH212/$CW212</f>
        <v>1.0791366906474821E-2</v>
      </c>
      <c r="DO212" s="1350">
        <f>+BO212/$CW212</f>
        <v>1.1344770337576093E-2</v>
      </c>
      <c r="DP212" s="1350">
        <f>+CI212/$CW212</f>
        <v>2.2136137244050912E-3</v>
      </c>
      <c r="DQ212" s="1350">
        <f t="shared" si="35"/>
        <v>9.6845600442722751E-3</v>
      </c>
      <c r="DR212" s="1395"/>
      <c r="ED212" s="693">
        <f>SUM(ED208:ED211)</f>
        <v>0</v>
      </c>
      <c r="EE212" s="693">
        <f>SUM(EE208:EE211)</f>
        <v>182</v>
      </c>
      <c r="EF212" s="693">
        <f>+EE212-ED212</f>
        <v>182</v>
      </c>
      <c r="EG212" s="1417">
        <f>+EF212-CX212</f>
        <v>-37</v>
      </c>
    </row>
    <row r="213" spans="1:137" ht="16.5">
      <c r="A213" s="1285"/>
      <c r="B213" s="1285"/>
      <c r="C213" s="1285"/>
      <c r="D213" s="1286"/>
      <c r="E213" s="1269"/>
      <c r="F213" s="1302"/>
      <c r="G213" s="1285"/>
      <c r="H213" s="1286"/>
      <c r="I213" s="1295"/>
      <c r="J213" s="1285"/>
      <c r="K213" s="1286"/>
      <c r="L213" s="1269"/>
      <c r="M213" s="1286"/>
      <c r="N213" s="1285"/>
      <c r="O213" s="1286"/>
      <c r="P213" s="1295"/>
      <c r="Q213" s="1286"/>
      <c r="R213" s="1286"/>
      <c r="S213" s="1269"/>
      <c r="T213" s="1286"/>
      <c r="U213" s="1285"/>
      <c r="V213" s="1285"/>
      <c r="W213" s="1285"/>
      <c r="X213" s="1285"/>
      <c r="Y213" s="1285"/>
      <c r="Z213" s="1285"/>
      <c r="AA213" s="1285"/>
      <c r="AB213" s="1285"/>
      <c r="AC213" s="1285"/>
      <c r="AD213" s="1285"/>
      <c r="AE213" s="1285"/>
      <c r="AF213" s="1285"/>
      <c r="AG213" s="1285"/>
      <c r="AH213" s="1285"/>
      <c r="AI213" s="1285"/>
      <c r="AJ213" s="1285"/>
      <c r="AK213" s="1285"/>
      <c r="AL213" s="1285"/>
      <c r="AM213" s="1285"/>
      <c r="AN213" s="1285"/>
      <c r="AO213" s="1285"/>
      <c r="AP213" s="1285"/>
      <c r="AQ213" s="1286"/>
      <c r="AR213" s="1295"/>
      <c r="AS213" s="1268"/>
      <c r="AT213" s="1286"/>
      <c r="AU213" s="1269"/>
      <c r="AV213" s="1266"/>
      <c r="AW213" s="1285"/>
      <c r="AX213" s="1286"/>
      <c r="AY213" s="1295"/>
      <c r="AZ213" s="1266"/>
      <c r="BA213" s="1286"/>
      <c r="BB213" s="1269"/>
      <c r="BC213" s="1266"/>
      <c r="BD213" s="1285"/>
      <c r="BE213" s="1286"/>
      <c r="BF213" s="1295"/>
      <c r="BG213" s="1295"/>
      <c r="BH213" s="1408"/>
      <c r="BI213" s="1401"/>
      <c r="BJ213" s="1402"/>
      <c r="BK213" s="1409"/>
      <c r="BL213" s="1408"/>
      <c r="BM213" s="1295"/>
      <c r="BN213" s="1295"/>
      <c r="BO213" s="1408"/>
      <c r="BP213" s="1401"/>
      <c r="BQ213" s="1402"/>
      <c r="BR213" s="1409"/>
      <c r="BS213" s="1408"/>
      <c r="BT213" s="1295"/>
      <c r="BU213" s="1295"/>
      <c r="BV213" s="1408"/>
      <c r="BW213" s="1401"/>
      <c r="BX213" s="1402"/>
      <c r="BY213" s="1409"/>
      <c r="BZ213" s="1408"/>
      <c r="CA213" s="1392"/>
      <c r="CB213" s="1266"/>
      <c r="CC213" s="1408"/>
      <c r="CD213" s="1401"/>
      <c r="CE213" s="1402"/>
      <c r="CF213" s="1409"/>
      <c r="CG213" s="1408"/>
      <c r="CH213" s="1392"/>
      <c r="CI213" s="1408"/>
      <c r="CJ213" s="1401"/>
      <c r="CK213" s="1402"/>
      <c r="CL213" s="1409"/>
      <c r="CM213" s="1408"/>
      <c r="CN213" s="1295"/>
      <c r="CO213" s="1295"/>
      <c r="CP213" s="1408"/>
      <c r="CQ213" s="1401"/>
      <c r="CR213" s="1402"/>
      <c r="CS213" s="1409"/>
      <c r="CT213" s="1408"/>
      <c r="CU213" s="1295"/>
      <c r="CV213" s="1266"/>
      <c r="CW213" s="1413"/>
      <c r="CX213" s="1266"/>
      <c r="CY213" s="1266"/>
      <c r="CZ213" s="1266"/>
      <c r="DA213" s="1266"/>
      <c r="DB213" s="1413"/>
      <c r="DC213" s="1286"/>
      <c r="DD213" s="1302"/>
      <c r="DE213" s="1285"/>
      <c r="DF213" s="1285"/>
      <c r="DG213" s="1285"/>
      <c r="DH213" s="1285"/>
      <c r="DI213" s="1285"/>
      <c r="DJ213" s="1285"/>
      <c r="DK213" s="1285"/>
      <c r="DL213" s="1285"/>
      <c r="DM213" s="1285"/>
      <c r="DN213" s="1285"/>
      <c r="DO213" s="1285"/>
      <c r="DP213" s="1285"/>
      <c r="DQ213" s="1285"/>
    </row>
    <row r="214" spans="1:137" ht="15.75">
      <c r="A214" s="2119">
        <f>+A207+1</f>
        <v>2016</v>
      </c>
      <c r="B214" s="2119"/>
      <c r="C214" s="1266"/>
      <c r="D214" s="1335"/>
      <c r="E214" s="1269"/>
      <c r="F214" s="1302"/>
      <c r="G214" s="1335"/>
      <c r="H214" s="1268"/>
      <c r="I214" s="1295"/>
      <c r="J214" s="1266"/>
      <c r="K214" s="1336"/>
      <c r="L214" s="1269"/>
      <c r="M214" s="1268"/>
      <c r="N214" s="1336"/>
      <c r="O214" s="1268"/>
      <c r="P214" s="1295"/>
      <c r="Q214" s="1268"/>
      <c r="R214" s="1336"/>
      <c r="S214" s="1269"/>
      <c r="T214" s="1268"/>
      <c r="U214" s="1336"/>
      <c r="V214" s="1268"/>
      <c r="W214" s="1295"/>
      <c r="X214" s="1268"/>
      <c r="Y214" s="1336"/>
      <c r="Z214" s="1269"/>
      <c r="AA214" s="1268"/>
      <c r="AB214" s="1336"/>
      <c r="AC214" s="1268"/>
      <c r="AD214" s="1295"/>
      <c r="AE214" s="1268"/>
      <c r="AF214" s="1336"/>
      <c r="AG214" s="1269"/>
      <c r="AH214" s="1270"/>
      <c r="AI214" s="1336"/>
      <c r="AJ214" s="1268"/>
      <c r="AK214" s="1302"/>
      <c r="AL214" s="1268"/>
      <c r="AM214" s="1336"/>
      <c r="AN214" s="1269"/>
      <c r="AO214" s="1268"/>
      <c r="AP214" s="1336"/>
      <c r="AQ214" s="1268"/>
      <c r="AR214" s="1295"/>
      <c r="AS214" s="1268"/>
      <c r="AT214" s="1336"/>
      <c r="AU214" s="1269"/>
      <c r="AV214" s="1266"/>
      <c r="AW214" s="1336"/>
      <c r="AX214" s="1268"/>
      <c r="AY214" s="1295"/>
      <c r="AZ214" s="1266"/>
      <c r="BA214" s="1336"/>
      <c r="BB214" s="1269"/>
      <c r="BC214" s="1266"/>
      <c r="BD214" s="1336"/>
      <c r="BE214" s="1268"/>
      <c r="BF214" s="1295"/>
      <c r="BG214" s="1295"/>
      <c r="BH214" s="1405"/>
      <c r="BI214" s="1401"/>
      <c r="BJ214" s="1402"/>
      <c r="BK214" s="1405"/>
      <c r="BL214" s="1400"/>
      <c r="BM214" s="1295"/>
      <c r="BN214" s="1295"/>
      <c r="BO214" s="1405"/>
      <c r="BP214" s="1401"/>
      <c r="BQ214" s="1402"/>
      <c r="BR214" s="1405"/>
      <c r="BS214" s="1400"/>
      <c r="BT214" s="1295"/>
      <c r="BU214" s="1295"/>
      <c r="BV214" s="1345"/>
      <c r="BW214" s="1354"/>
      <c r="BX214" s="1355"/>
      <c r="BY214" s="1345"/>
      <c r="BZ214" s="1356"/>
      <c r="CA214" s="1357"/>
      <c r="CB214" s="1266"/>
      <c r="CC214" s="1405"/>
      <c r="CD214" s="1401"/>
      <c r="CE214" s="1402"/>
      <c r="CF214" s="1405"/>
      <c r="CG214" s="1400"/>
      <c r="CH214" s="1392"/>
      <c r="CI214" s="1405"/>
      <c r="CJ214" s="1401"/>
      <c r="CK214" s="1402"/>
      <c r="CL214" s="1405"/>
      <c r="CM214" s="1400"/>
      <c r="CN214" s="1295"/>
      <c r="CO214" s="1295"/>
      <c r="CP214" s="1405"/>
      <c r="CQ214" s="1401"/>
      <c r="CR214" s="1402"/>
      <c r="CS214" s="1405"/>
      <c r="CT214" s="1400"/>
      <c r="CU214" s="1295"/>
      <c r="CV214" s="1266"/>
      <c r="CW214" s="1335"/>
      <c r="CX214" s="1266"/>
      <c r="CY214" s="1266"/>
      <c r="CZ214" s="1266"/>
      <c r="DA214" s="1266"/>
      <c r="DB214" s="1335"/>
      <c r="DC214" s="1268"/>
      <c r="DD214" s="1302"/>
      <c r="DE214" s="1266"/>
      <c r="DF214" s="1266"/>
      <c r="DG214" s="1266"/>
      <c r="DH214" s="1266"/>
      <c r="DI214" s="1266"/>
      <c r="DJ214" s="1266"/>
      <c r="DK214" s="1266"/>
      <c r="DL214" s="1266"/>
      <c r="DM214" s="1266"/>
      <c r="DN214" s="1266"/>
      <c r="DO214" s="1266"/>
      <c r="DP214" s="1266"/>
      <c r="DQ214" s="1266"/>
    </row>
    <row r="215" spans="1:137" ht="15">
      <c r="A215" s="1266" t="str">
        <f>$A$17</f>
        <v>1Q</v>
      </c>
      <c r="B215" s="1266" t="str">
        <f>$B$17</f>
        <v>Apr</v>
      </c>
      <c r="C215" s="1266"/>
      <c r="D215" s="1294">
        <f t="shared" ref="D215:E218" si="39">+K215+R215</f>
        <v>2173</v>
      </c>
      <c r="E215" s="1255">
        <f t="shared" si="39"/>
        <v>10</v>
      </c>
      <c r="F215" s="1295">
        <f>+(D215/D208-1)*100</f>
        <v>2.8395646000946462</v>
      </c>
      <c r="G215" s="1296">
        <f>+N215+U215</f>
        <v>63.6</v>
      </c>
      <c r="H215" s="1297"/>
      <c r="I215" s="1295">
        <f>+(G215/G208-1)*100</f>
        <v>1.9230769230769384</v>
      </c>
      <c r="J215" s="1266"/>
      <c r="K215" s="1294">
        <f>+K212+L215</f>
        <v>1163</v>
      </c>
      <c r="L215" s="1254">
        <v>7</v>
      </c>
      <c r="M215" s="1295">
        <f>+(K215/K208-1)*100</f>
        <v>3.2859680284191839</v>
      </c>
      <c r="N215" s="1318">
        <v>33.1</v>
      </c>
      <c r="O215" s="1297"/>
      <c r="P215" s="1295">
        <f>+(N215/N208-1)*100</f>
        <v>2.1604938271605034</v>
      </c>
      <c r="Q215" s="1299"/>
      <c r="R215" s="1294">
        <f>+R212+S215</f>
        <v>1010</v>
      </c>
      <c r="S215" s="1254">
        <v>3</v>
      </c>
      <c r="T215" s="1295">
        <f>+(R215/R208-1)*100</f>
        <v>2.3302938196555267</v>
      </c>
      <c r="U215" s="1318">
        <v>30.5</v>
      </c>
      <c r="V215" s="1297"/>
      <c r="W215" s="1295">
        <f>+(U215/U208-1)*100</f>
        <v>1.6666666666666607</v>
      </c>
      <c r="X215" s="1299"/>
      <c r="Y215" s="1294">
        <f>+Y212+Z215</f>
        <v>250</v>
      </c>
      <c r="Z215" s="1254">
        <v>5</v>
      </c>
      <c r="AA215" s="1295">
        <f>+(Y215/Y208-1)*100</f>
        <v>4.6025104602510414</v>
      </c>
      <c r="AB215" s="1318">
        <v>7</v>
      </c>
      <c r="AC215" s="1297"/>
      <c r="AD215" s="1295"/>
      <c r="AE215" s="1299"/>
      <c r="AF215" s="1294">
        <f>+AF212+AG215</f>
        <v>471</v>
      </c>
      <c r="AG215" s="1254">
        <v>15</v>
      </c>
      <c r="AH215" s="1295">
        <f>+(AF215/AF208-1)*100</f>
        <v>13.221153846153854</v>
      </c>
      <c r="AI215" s="1318">
        <v>14.2</v>
      </c>
      <c r="AJ215" s="1297"/>
      <c r="AK215" s="1295">
        <f>+(AI215/AI208-1)*100</f>
        <v>10.937499999999979</v>
      </c>
      <c r="AL215" s="1299"/>
      <c r="AM215" s="1294">
        <f>+AM212+AN215</f>
        <v>534</v>
      </c>
      <c r="AN215" s="1254">
        <v>8</v>
      </c>
      <c r="AO215" s="1295">
        <f>+(AM215/AM208-1)*100</f>
        <v>7.2289156626506035</v>
      </c>
      <c r="AP215" s="1318">
        <v>13.2</v>
      </c>
      <c r="AQ215" s="1297"/>
      <c r="AR215" s="1295">
        <f>+(AP215/AP208-1)*100</f>
        <v>6.4516129032258007</v>
      </c>
      <c r="AS215" s="1299"/>
      <c r="AT215" s="1294">
        <f>+AT212+AU215</f>
        <v>0</v>
      </c>
      <c r="AU215" s="1254">
        <v>0</v>
      </c>
      <c r="AV215" s="1295"/>
      <c r="AW215" s="1296">
        <f>AW212+AU215*$AX$163/1000</f>
        <v>0</v>
      </c>
      <c r="AX215" s="1297"/>
      <c r="AY215" s="1295"/>
      <c r="AZ215" s="1299"/>
      <c r="BA215" s="1294">
        <f>+BA212+BB215</f>
        <v>104</v>
      </c>
      <c r="BB215" s="1254">
        <v>3</v>
      </c>
      <c r="BC215" s="1295">
        <f>+(BA215/BA208-1)*100</f>
        <v>7.2164948453608213</v>
      </c>
      <c r="BD215" s="1318">
        <v>2.4</v>
      </c>
      <c r="BE215" s="1297"/>
      <c r="BF215" s="1295">
        <f>+(BD215/BD208-1)*100</f>
        <v>4.3478260869565188</v>
      </c>
      <c r="BG215" s="1295"/>
      <c r="BH215" s="1294">
        <f>+BH212+BI215</f>
        <v>41</v>
      </c>
      <c r="BI215" s="1254">
        <v>2</v>
      </c>
      <c r="BJ215" s="1295">
        <f>+(BH215/BH208-1)*100</f>
        <v>24.242424242424242</v>
      </c>
      <c r="BK215" s="1318">
        <v>0.8</v>
      </c>
      <c r="BL215" s="1297"/>
      <c r="BM215" s="1295">
        <f>+(BK215/BK208-1)*100</f>
        <v>14.285714285714302</v>
      </c>
      <c r="BN215" s="1295"/>
      <c r="BO215" s="1294">
        <f>+BO212+BP215</f>
        <v>45</v>
      </c>
      <c r="BP215" s="1254">
        <v>4</v>
      </c>
      <c r="BQ215" s="1295"/>
      <c r="BR215" s="1318">
        <v>1.3</v>
      </c>
      <c r="BS215" s="1297"/>
      <c r="BT215" s="1295"/>
      <c r="BU215" s="1295"/>
      <c r="BV215" s="1340">
        <f>+BV212+BW215</f>
        <v>3</v>
      </c>
      <c r="BW215" s="1358">
        <v>0</v>
      </c>
      <c r="BX215" s="1357">
        <f>+(BV215/BV208-1)*100</f>
        <v>0</v>
      </c>
      <c r="BY215" s="1359">
        <f>BY212+BW215*$BL$163/1000</f>
        <v>1.4285714285714289E-2</v>
      </c>
      <c r="BZ215" s="1360"/>
      <c r="CA215" s="1357">
        <f>+(BY215/BY208-1)*100</f>
        <v>0</v>
      </c>
      <c r="CB215" s="1299"/>
      <c r="CC215" s="1390"/>
      <c r="CD215" s="1391"/>
      <c r="CE215" s="1392"/>
      <c r="CF215" s="1393"/>
      <c r="CG215" s="1394"/>
      <c r="CH215" s="1392"/>
      <c r="CI215" s="1294">
        <f>+CI212+CJ215</f>
        <v>8</v>
      </c>
      <c r="CJ215" s="1254">
        <v>0</v>
      </c>
      <c r="CK215" s="1295"/>
      <c r="CL215" s="1352">
        <v>0.2</v>
      </c>
      <c r="CM215" s="1297"/>
      <c r="CN215" s="1295"/>
      <c r="CO215" s="1295"/>
      <c r="CP215" s="1294">
        <f>+CP212+CQ215</f>
        <v>35</v>
      </c>
      <c r="CQ215" s="1254">
        <v>0</v>
      </c>
      <c r="CR215" s="1295"/>
      <c r="CS215" s="1352">
        <v>0.8</v>
      </c>
      <c r="CT215" s="1297"/>
      <c r="CU215" s="1295"/>
      <c r="CV215" s="1299"/>
      <c r="CW215" s="1306">
        <f>+D215+Y215+AF215+AM215+AT215+BA215+BH215+BO215+CI215+CP215</f>
        <v>3661</v>
      </c>
      <c r="CX215" s="1307">
        <f>+CW215-CW214</f>
        <v>3661</v>
      </c>
      <c r="CY215" s="1295">
        <f>+(CW215/CW208-1)*100</f>
        <v>6.3934902644580127</v>
      </c>
      <c r="CZ215" s="1297"/>
      <c r="DA215" s="1297"/>
      <c r="DB215" s="1318">
        <v>103.6</v>
      </c>
      <c r="DC215" s="1297"/>
      <c r="DD215" s="1295">
        <f>+(DB215/DB208-1)*100</f>
        <v>4.9645390070921946</v>
      </c>
      <c r="DE215" s="1266"/>
      <c r="DF215" s="1350">
        <f>+D215/$CW215</f>
        <v>0.59355367385960123</v>
      </c>
      <c r="DG215" s="1351"/>
      <c r="DH215" s="1351"/>
      <c r="DI215" s="1350">
        <f>+Y215/$CW215</f>
        <v>6.828735318219066E-2</v>
      </c>
      <c r="DJ215" s="1350">
        <f>+AF215/CW215</f>
        <v>0.12865337339524721</v>
      </c>
      <c r="DK215" s="1350">
        <f>+AM215/CW215</f>
        <v>0.14586178639715924</v>
      </c>
      <c r="DL215" s="1350">
        <f>+AT215/CW215</f>
        <v>0</v>
      </c>
      <c r="DM215" s="1350">
        <f>+BA215/$CW215</f>
        <v>2.8407538923791314E-2</v>
      </c>
      <c r="DN215" s="1350">
        <f>+BH215/$CW215</f>
        <v>1.1199125921879268E-2</v>
      </c>
      <c r="DO215" s="1350">
        <f>+BO215/$CW215</f>
        <v>1.2291723572794318E-2</v>
      </c>
      <c r="DP215" s="1350">
        <f>+CI215/$CW215</f>
        <v>2.1851953018301009E-3</v>
      </c>
      <c r="DQ215" s="1350">
        <f>+CP215/$CW215</f>
        <v>9.5602294455066923E-3</v>
      </c>
      <c r="DR215" s="1395"/>
      <c r="DS215" s="1333">
        <f>+L215</f>
        <v>7</v>
      </c>
      <c r="DT215" s="1333">
        <f>+S215</f>
        <v>3</v>
      </c>
      <c r="DU215" s="1333">
        <f>+Z215</f>
        <v>5</v>
      </c>
      <c r="DV215" s="1333">
        <f>+AG215</f>
        <v>15</v>
      </c>
      <c r="DW215" s="1333">
        <f>+AN215</f>
        <v>8</v>
      </c>
      <c r="DX215" s="1333">
        <f>+AU215</f>
        <v>0</v>
      </c>
      <c r="DY215" s="1333">
        <f>+BB215</f>
        <v>3</v>
      </c>
      <c r="DZ215" s="1333">
        <f>+BI215</f>
        <v>2</v>
      </c>
      <c r="EA215" s="1333">
        <f>+BP215</f>
        <v>4</v>
      </c>
      <c r="EB215" s="1333">
        <f>+CD215</f>
        <v>0</v>
      </c>
      <c r="ED215" s="451">
        <f>-(SUMIF(DS215:EB215,"&lt;0"))</f>
        <v>0</v>
      </c>
      <c r="EE215" s="451">
        <f>(SUMIF(DS215:EB215,"&gt;0"))</f>
        <v>47</v>
      </c>
      <c r="EF215" s="451">
        <f>+EE215-ED215</f>
        <v>47</v>
      </c>
      <c r="EG215" s="1333">
        <f>+EF215-CX215</f>
        <v>-3614</v>
      </c>
    </row>
    <row r="216" spans="1:137" ht="15">
      <c r="A216" s="1266" t="str">
        <f>$A$18</f>
        <v>2Q</v>
      </c>
      <c r="B216" s="1266" t="str">
        <f>$B$18</f>
        <v>Jul</v>
      </c>
      <c r="C216" s="1266"/>
      <c r="D216" s="1294">
        <f>+K216+R216</f>
        <v>2178</v>
      </c>
      <c r="E216" s="1255">
        <f t="shared" si="39"/>
        <v>5</v>
      </c>
      <c r="F216" s="1295">
        <f>+(D216/D209-1)*100</f>
        <v>2.7358490566037785</v>
      </c>
      <c r="G216" s="1296">
        <f>+N216+U216</f>
        <v>63.6</v>
      </c>
      <c r="H216" s="1297"/>
      <c r="I216" s="1295">
        <f>+(G216/G209-1)*100</f>
        <v>1.9230769230769384</v>
      </c>
      <c r="J216" s="1309"/>
      <c r="K216" s="1294">
        <f>+K215+L216</f>
        <v>1165</v>
      </c>
      <c r="L216" s="1254">
        <v>2</v>
      </c>
      <c r="M216" s="1295">
        <f>+(K216/K209-1)*100</f>
        <v>3.0973451327433565</v>
      </c>
      <c r="N216" s="1318">
        <v>33.1</v>
      </c>
      <c r="O216" s="1297"/>
      <c r="P216" s="1295">
        <f>+(N216/N209-1)*100</f>
        <v>2.1604938271605034</v>
      </c>
      <c r="Q216" s="1299"/>
      <c r="R216" s="1294">
        <f>+R215+S216</f>
        <v>1013</v>
      </c>
      <c r="S216" s="1254">
        <v>3</v>
      </c>
      <c r="T216" s="1295">
        <f>+(R216/R209-1)*100</f>
        <v>2.3232323232323271</v>
      </c>
      <c r="U216" s="1318">
        <v>30.5</v>
      </c>
      <c r="V216" s="1297"/>
      <c r="W216" s="1295">
        <f>+(U216/U209-1)*100</f>
        <v>1.6666666666666607</v>
      </c>
      <c r="X216" s="1299"/>
      <c r="Y216" s="1294">
        <f>+Y215+Z216</f>
        <v>250</v>
      </c>
      <c r="Z216" s="1254">
        <v>0</v>
      </c>
      <c r="AA216" s="1295">
        <f>+(Y216/Y209-1)*100</f>
        <v>4.1666666666666741</v>
      </c>
      <c r="AB216" s="1318">
        <v>7</v>
      </c>
      <c r="AC216" s="1297"/>
      <c r="AD216" s="1295"/>
      <c r="AE216" s="1299"/>
      <c r="AF216" s="1294">
        <f>+AF215+AG216</f>
        <v>473</v>
      </c>
      <c r="AG216" s="1254">
        <v>2</v>
      </c>
      <c r="AH216" s="1295">
        <f>+(AF216/AF209-1)*100</f>
        <v>11.820330969267134</v>
      </c>
      <c r="AI216" s="1318">
        <v>14.3</v>
      </c>
      <c r="AJ216" s="1297"/>
      <c r="AK216" s="1295">
        <f>+(AI216/AI209-1)*100</f>
        <v>10.000000000000009</v>
      </c>
      <c r="AL216" s="1299"/>
      <c r="AM216" s="1294">
        <f>+AM215+AN216</f>
        <v>538</v>
      </c>
      <c r="AN216" s="1254">
        <v>4</v>
      </c>
      <c r="AO216" s="1295">
        <f>+(AM216/AM209-1)*100</f>
        <v>6.9582504970178816</v>
      </c>
      <c r="AP216" s="1318">
        <v>13.3</v>
      </c>
      <c r="AQ216" s="1297"/>
      <c r="AR216" s="1295">
        <f>+(AP216/AP209-1)*100</f>
        <v>7.2580645161290258</v>
      </c>
      <c r="AS216" s="1299"/>
      <c r="AT216" s="1294">
        <f>+AT215+AU216</f>
        <v>0</v>
      </c>
      <c r="AU216" s="1254">
        <v>0</v>
      </c>
      <c r="AV216" s="1295"/>
      <c r="AW216" s="1296">
        <f>AW215+AU216*$AX$163/1000</f>
        <v>0</v>
      </c>
      <c r="AX216" s="1297"/>
      <c r="AY216" s="1295"/>
      <c r="AZ216" s="1299"/>
      <c r="BA216" s="1294">
        <f>+BA215+BB216</f>
        <v>104</v>
      </c>
      <c r="BB216" s="1254">
        <v>0</v>
      </c>
      <c r="BC216" s="1295">
        <f>+(BA216/BA209-1)*100</f>
        <v>7.2164948453608213</v>
      </c>
      <c r="BD216" s="1318">
        <v>2.4</v>
      </c>
      <c r="BE216" s="1297"/>
      <c r="BF216" s="1295">
        <f>+(BD216/BD209-1)*100</f>
        <v>4.3478260869565188</v>
      </c>
      <c r="BG216" s="1295"/>
      <c r="BH216" s="1294">
        <f>+BH215+BI216</f>
        <v>43</v>
      </c>
      <c r="BI216" s="1254">
        <v>2</v>
      </c>
      <c r="BJ216" s="1295">
        <f>+(BH216/BH209-1)*100</f>
        <v>30.303030303030297</v>
      </c>
      <c r="BK216" s="1318">
        <v>0.9</v>
      </c>
      <c r="BL216" s="1297"/>
      <c r="BM216" s="1295">
        <f>+(BK216/BK209-1)*100</f>
        <v>28.57142857142858</v>
      </c>
      <c r="BN216" s="1295"/>
      <c r="BO216" s="1294">
        <f>+BO215+BP216</f>
        <v>45</v>
      </c>
      <c r="BP216" s="1254">
        <v>0</v>
      </c>
      <c r="BQ216" s="1295"/>
      <c r="BR216" s="1318">
        <v>1.3</v>
      </c>
      <c r="BS216" s="1297"/>
      <c r="BT216" s="1295"/>
      <c r="BU216" s="1295"/>
      <c r="BV216" s="1340">
        <f>+BV215+BW216</f>
        <v>3</v>
      </c>
      <c r="BW216" s="1358">
        <v>0</v>
      </c>
      <c r="BX216" s="1357">
        <f>+(BV216/BV209-1)*100</f>
        <v>0</v>
      </c>
      <c r="BY216" s="1359">
        <f>BY215+BW216*$BE$163/1000</f>
        <v>1.4285714285714289E-2</v>
      </c>
      <c r="BZ216" s="1360"/>
      <c r="CA216" s="1357">
        <f>+(BY216/BY209-1)*100</f>
        <v>0</v>
      </c>
      <c r="CB216" s="1299"/>
      <c r="CC216" s="1390"/>
      <c r="CD216" s="1391"/>
      <c r="CE216" s="1392"/>
      <c r="CF216" s="1393"/>
      <c r="CG216" s="1394"/>
      <c r="CH216" s="1392"/>
      <c r="CI216" s="1294">
        <f>+CI215+CJ216</f>
        <v>9</v>
      </c>
      <c r="CJ216" s="1254">
        <v>1</v>
      </c>
      <c r="CK216" s="1295"/>
      <c r="CL216" s="1352">
        <v>0.2</v>
      </c>
      <c r="CM216" s="1297"/>
      <c r="CN216" s="1295"/>
      <c r="CO216" s="1295"/>
      <c r="CP216" s="1294">
        <f>+CP215+CQ216</f>
        <v>35</v>
      </c>
      <c r="CQ216" s="1254">
        <v>0</v>
      </c>
      <c r="CR216" s="1295"/>
      <c r="CS216" s="1352">
        <v>0.8</v>
      </c>
      <c r="CT216" s="1297"/>
      <c r="CU216" s="1295"/>
      <c r="CV216" s="1299"/>
      <c r="CW216" s="1306">
        <f>+D216+Y216+AF216+AM216+AT216+BA216+BH216+BO216+CI216+CP216</f>
        <v>3675</v>
      </c>
      <c r="CX216" s="1307">
        <f>+CW216-CW215</f>
        <v>14</v>
      </c>
      <c r="CY216" s="1295">
        <f>+(CW216/CW209-1)*100</f>
        <v>6.1831840508523639</v>
      </c>
      <c r="CZ216" s="1297"/>
      <c r="DA216" s="1297"/>
      <c r="DB216" s="1318">
        <v>103.9</v>
      </c>
      <c r="DC216" s="1297"/>
      <c r="DD216" s="1295">
        <f>+(DB216/DB209-1)*100</f>
        <v>4.9494949494949481</v>
      </c>
      <c r="DE216" s="1266"/>
      <c r="DF216" s="1350">
        <f>+D216/$CW216</f>
        <v>0.5926530612244898</v>
      </c>
      <c r="DG216" s="1351"/>
      <c r="DH216" s="1351"/>
      <c r="DI216" s="1350">
        <f>+Y216/$CW216</f>
        <v>6.8027210884353748E-2</v>
      </c>
      <c r="DJ216" s="1350">
        <f>+AF216/CW216</f>
        <v>0.12870748299319729</v>
      </c>
      <c r="DK216" s="1350">
        <f>+AM216/CW216</f>
        <v>0.14639455782312924</v>
      </c>
      <c r="DL216" s="1350">
        <f>+AT216/CW216</f>
        <v>0</v>
      </c>
      <c r="DM216" s="1350">
        <f>+BA216/$CW216</f>
        <v>2.8299319727891157E-2</v>
      </c>
      <c r="DN216" s="1350">
        <f>+BH216/$CW216</f>
        <v>1.1700680272108844E-2</v>
      </c>
      <c r="DO216" s="1350">
        <f>+BO216/$CW216</f>
        <v>1.2244897959183673E-2</v>
      </c>
      <c r="DP216" s="1350">
        <f>+CI216/$CW216</f>
        <v>2.4489795918367346E-3</v>
      </c>
      <c r="DQ216" s="1350">
        <f t="shared" si="35"/>
        <v>9.5238095238095247E-3</v>
      </c>
      <c r="DR216" s="1395"/>
      <c r="DS216" s="1333">
        <f>+L216</f>
        <v>2</v>
      </c>
      <c r="DT216" s="1333">
        <f>+S216</f>
        <v>3</v>
      </c>
      <c r="DU216" s="1333">
        <f>+Z216</f>
        <v>0</v>
      </c>
      <c r="DV216" s="1333">
        <f>+AG216</f>
        <v>2</v>
      </c>
      <c r="DW216" s="1333">
        <f>+AN216</f>
        <v>4</v>
      </c>
      <c r="DX216" s="1333">
        <f>+AU216</f>
        <v>0</v>
      </c>
      <c r="DY216" s="1333">
        <f>+BB216</f>
        <v>0</v>
      </c>
      <c r="DZ216" s="1333">
        <f>+BI216</f>
        <v>2</v>
      </c>
      <c r="EA216" s="1333">
        <f>+BP216</f>
        <v>0</v>
      </c>
      <c r="EB216" s="1333">
        <f>+CD216</f>
        <v>0</v>
      </c>
      <c r="ED216" s="451">
        <f>-(SUMIF(DS216:EB216,"&lt;0"))</f>
        <v>0</v>
      </c>
      <c r="EE216" s="451">
        <f>(SUMIF(DS216:EB216,"&gt;0"))</f>
        <v>13</v>
      </c>
      <c r="EF216" s="451">
        <f>+EE216-ED216</f>
        <v>13</v>
      </c>
      <c r="EG216" s="1333">
        <f>+EF216-CX216</f>
        <v>-1</v>
      </c>
    </row>
    <row r="217" spans="1:137" ht="15">
      <c r="A217" s="1266" t="str">
        <f>$A$19</f>
        <v>3Q</v>
      </c>
      <c r="B217" s="1266" t="str">
        <f>$B$19</f>
        <v>Oct</v>
      </c>
      <c r="C217" s="1266"/>
      <c r="D217" s="1294">
        <f>+K217+R217</f>
        <v>2206</v>
      </c>
      <c r="E217" s="1255">
        <f t="shared" si="39"/>
        <v>28</v>
      </c>
      <c r="F217" s="1295">
        <f>+(D217/D210-1)*100</f>
        <v>2.6046511627906943</v>
      </c>
      <c r="G217" s="1296">
        <f>+N217+U217</f>
        <v>64.2</v>
      </c>
      <c r="H217" s="1297"/>
      <c r="I217" s="1295">
        <f>+(G217/G210-1)*100</f>
        <v>1.7432646592710155</v>
      </c>
      <c r="J217" s="1266"/>
      <c r="K217" s="1294">
        <f>+K216+L217</f>
        <v>1179</v>
      </c>
      <c r="L217" s="1254">
        <v>14</v>
      </c>
      <c r="M217" s="1295">
        <f>+(K217/K210-1)*100</f>
        <v>2.6109660574412441</v>
      </c>
      <c r="N217" s="1318">
        <v>33.4</v>
      </c>
      <c r="O217" s="1297"/>
      <c r="P217" s="1295">
        <f>+(N217/N210-1)*100</f>
        <v>1.8292682926829285</v>
      </c>
      <c r="Q217" s="1299"/>
      <c r="R217" s="1294">
        <f>+R216+S217</f>
        <v>1027</v>
      </c>
      <c r="S217" s="1254">
        <v>14</v>
      </c>
      <c r="T217" s="1295">
        <f>+(R217/R210-1)*100</f>
        <v>2.5974025974025983</v>
      </c>
      <c r="U217" s="1318">
        <v>30.8</v>
      </c>
      <c r="V217" s="1297"/>
      <c r="W217" s="1295">
        <f>+(U217/U210-1)*100</f>
        <v>1.650165016501659</v>
      </c>
      <c r="X217" s="1299"/>
      <c r="Y217" s="1294">
        <f>+Y216+Z217</f>
        <v>255</v>
      </c>
      <c r="Z217" s="1254">
        <v>5</v>
      </c>
      <c r="AA217" s="1295">
        <f>+(Y217/Y210-1)*100</f>
        <v>4.081632653061229</v>
      </c>
      <c r="AB217" s="1318">
        <v>7.2</v>
      </c>
      <c r="AC217" s="1297"/>
      <c r="AD217" s="1295"/>
      <c r="AE217" s="1299"/>
      <c r="AF217" s="1294">
        <f>+AF216+AG217</f>
        <v>503</v>
      </c>
      <c r="AG217" s="1254">
        <v>30</v>
      </c>
      <c r="AH217" s="1295">
        <f>+(AF217/AF210-1)*100</f>
        <v>10.792951541850226</v>
      </c>
      <c r="AI217" s="1318">
        <v>15</v>
      </c>
      <c r="AJ217" s="1297"/>
      <c r="AK217" s="1295">
        <f>+(AI217/AI210-1)*100</f>
        <v>8.6956521739130377</v>
      </c>
      <c r="AL217" s="1299"/>
      <c r="AM217" s="1294">
        <f>+AM216+AN217</f>
        <v>568</v>
      </c>
      <c r="AN217" s="1254">
        <v>30</v>
      </c>
      <c r="AO217" s="1295">
        <f>+(AM217/AM210-1)*100</f>
        <v>8.8122605363984761</v>
      </c>
      <c r="AP217" s="1318">
        <v>13.9</v>
      </c>
      <c r="AQ217" s="1297"/>
      <c r="AR217" s="1295">
        <f>+(AP217/AP210-1)*100</f>
        <v>7.7519379844961156</v>
      </c>
      <c r="AS217" s="1299"/>
      <c r="AT217" s="1294">
        <f>+AT216+AU217</f>
        <v>0</v>
      </c>
      <c r="AU217" s="1254">
        <v>0</v>
      </c>
      <c r="AV217" s="1295"/>
      <c r="AW217" s="1296">
        <f>AW216+AU217*$AX$163/1000</f>
        <v>0</v>
      </c>
      <c r="AX217" s="1297"/>
      <c r="AY217" s="1295"/>
      <c r="AZ217" s="1299"/>
      <c r="BA217" s="1294">
        <f>+BA216+BB217</f>
        <v>106</v>
      </c>
      <c r="BB217" s="1254">
        <v>2</v>
      </c>
      <c r="BC217" s="1295">
        <f>+(BA217/BA210-1)*100</f>
        <v>4.9504950495049549</v>
      </c>
      <c r="BD217" s="1318">
        <v>2.5</v>
      </c>
      <c r="BE217" s="1297"/>
      <c r="BF217" s="1295">
        <f>+(BD217/BD210-1)*100</f>
        <v>4.1666666666666741</v>
      </c>
      <c r="BG217" s="1295"/>
      <c r="BH217" s="1294">
        <f>+BH216+BI217</f>
        <v>44</v>
      </c>
      <c r="BI217" s="1254">
        <v>1</v>
      </c>
      <c r="BJ217" s="1295">
        <f>+(BH217/BH210-1)*100</f>
        <v>12.820512820512819</v>
      </c>
      <c r="BK217" s="1318">
        <v>0.9</v>
      </c>
      <c r="BL217" s="1297"/>
      <c r="BM217" s="1295">
        <f>+(BK217/BK210-1)*100</f>
        <v>12.5</v>
      </c>
      <c r="BN217" s="1295"/>
      <c r="BO217" s="1294">
        <f>+BO216+BP217</f>
        <v>57</v>
      </c>
      <c r="BP217" s="1254">
        <v>12</v>
      </c>
      <c r="BQ217" s="1295"/>
      <c r="BR217" s="1318">
        <v>1.7</v>
      </c>
      <c r="BS217" s="1297"/>
      <c r="BT217" s="1295"/>
      <c r="BU217" s="1295"/>
      <c r="BV217" s="1340">
        <f>+BV216+BW217</f>
        <v>3</v>
      </c>
      <c r="BW217" s="1358">
        <v>0</v>
      </c>
      <c r="BX217" s="1357">
        <f>+(BV217/BV210-1)*100</f>
        <v>0</v>
      </c>
      <c r="BY217" s="1359">
        <f>BY216+BW217*$BE$163/1000</f>
        <v>1.4285714285714289E-2</v>
      </c>
      <c r="BZ217" s="1360"/>
      <c r="CA217" s="1357">
        <f>+(BY217/BY210-1)*100</f>
        <v>0</v>
      </c>
      <c r="CB217" s="1299"/>
      <c r="CC217" s="1390"/>
      <c r="CD217" s="1391"/>
      <c r="CE217" s="1392"/>
      <c r="CF217" s="1393"/>
      <c r="CG217" s="1394"/>
      <c r="CH217" s="1392"/>
      <c r="CI217" s="1294">
        <f>+CI216+CJ217</f>
        <v>11</v>
      </c>
      <c r="CJ217" s="1254">
        <v>2</v>
      </c>
      <c r="CK217" s="1295"/>
      <c r="CL217" s="1352">
        <v>0.3</v>
      </c>
      <c r="CM217" s="1297"/>
      <c r="CN217" s="1295"/>
      <c r="CO217" s="1295"/>
      <c r="CP217" s="1294">
        <f>+CP216+CQ217</f>
        <v>35</v>
      </c>
      <c r="CQ217" s="1254">
        <v>0</v>
      </c>
      <c r="CR217" s="1295"/>
      <c r="CS217" s="1352">
        <f>CS216+CQ217*CT219/1000</f>
        <v>0.8</v>
      </c>
      <c r="CT217" s="1297"/>
      <c r="CU217" s="1295"/>
      <c r="CV217" s="1299"/>
      <c r="CW217" s="1306">
        <f>+D217+Y217+AF217+AM217+AT217+BA217+BH217+BO217+CI217+CP217</f>
        <v>3785</v>
      </c>
      <c r="CX217" s="1307">
        <f>+CW217-CW216</f>
        <v>110</v>
      </c>
      <c r="CY217" s="1295">
        <f>+(CW217/CW210-1)*100</f>
        <v>5.314412910406241</v>
      </c>
      <c r="CZ217" s="1297"/>
      <c r="DA217" s="1297"/>
      <c r="DB217" s="1318">
        <v>106.3</v>
      </c>
      <c r="DC217" s="1297"/>
      <c r="DD217" s="1295">
        <f>+(DB217/DB210-1)*100</f>
        <v>4.1136141038197627</v>
      </c>
      <c r="DE217" s="1266"/>
      <c r="DF217" s="1350">
        <f>+D217/$CW217</f>
        <v>0.58282694848084549</v>
      </c>
      <c r="DG217" s="1351"/>
      <c r="DH217" s="1351"/>
      <c r="DI217" s="1350">
        <f>+Y217/$CW217</f>
        <v>6.7371202113606338E-2</v>
      </c>
      <c r="DJ217" s="1350">
        <f>+AF217/CW217</f>
        <v>0.13289299867899604</v>
      </c>
      <c r="DK217" s="1350">
        <f>+AM217/CW217</f>
        <v>0.15006605019815059</v>
      </c>
      <c r="DL217" s="1350">
        <f>+AT217/CW217</f>
        <v>0</v>
      </c>
      <c r="DM217" s="1350">
        <f>+BA217/$CW217</f>
        <v>2.8005284015852047E-2</v>
      </c>
      <c r="DN217" s="1350">
        <f>+BH217/$CW217</f>
        <v>1.1624834874504624E-2</v>
      </c>
      <c r="DO217" s="1350">
        <f>+BO217/$CW217</f>
        <v>1.5059445178335535E-2</v>
      </c>
      <c r="DP217" s="1350">
        <f>+CI217/$CW217</f>
        <v>2.9062087186261559E-3</v>
      </c>
      <c r="DQ217" s="1350">
        <f t="shared" si="35"/>
        <v>9.247027741083224E-3</v>
      </c>
      <c r="DR217" s="1395"/>
      <c r="DS217" s="1333">
        <f>+L217</f>
        <v>14</v>
      </c>
      <c r="DT217" s="1333">
        <f>+S217</f>
        <v>14</v>
      </c>
      <c r="DU217" s="1333">
        <f>+Z217</f>
        <v>5</v>
      </c>
      <c r="DV217" s="1333">
        <f>+AG217</f>
        <v>30</v>
      </c>
      <c r="DW217" s="1333">
        <f>+AN217</f>
        <v>30</v>
      </c>
      <c r="DX217" s="1333">
        <f>+AU217</f>
        <v>0</v>
      </c>
      <c r="DY217" s="1333">
        <f>+BB217</f>
        <v>2</v>
      </c>
      <c r="DZ217" s="1333">
        <f>+BI217</f>
        <v>1</v>
      </c>
      <c r="EA217" s="1333">
        <f>+BP217</f>
        <v>12</v>
      </c>
      <c r="EB217" s="1333">
        <f>+CD217</f>
        <v>0</v>
      </c>
      <c r="ED217" s="451">
        <f>-(SUMIF(DS217:EB217,"&lt;0"))</f>
        <v>0</v>
      </c>
      <c r="EE217" s="451">
        <f>(SUMIF(DS217:EB217,"&gt;0"))</f>
        <v>108</v>
      </c>
      <c r="EF217" s="451">
        <f>+EE217-ED217</f>
        <v>108</v>
      </c>
      <c r="EG217" s="1333">
        <f>+EF217-CX217</f>
        <v>-2</v>
      </c>
    </row>
    <row r="218" spans="1:137" ht="15">
      <c r="A218" s="1266" t="str">
        <f>$A$20</f>
        <v>4Q</v>
      </c>
      <c r="B218" s="1266" t="str">
        <f>$B$20</f>
        <v>Jan</v>
      </c>
      <c r="C218" s="1266"/>
      <c r="D218" s="1312">
        <f>+K218+R218</f>
        <v>2221</v>
      </c>
      <c r="E218" s="1255">
        <f t="shared" si="39"/>
        <v>15</v>
      </c>
      <c r="F218" s="1295">
        <f>+(D218/D211-1)*100</f>
        <v>2.6814609338881246</v>
      </c>
      <c r="G218" s="1313">
        <f>+N218+U218</f>
        <v>64.5</v>
      </c>
      <c r="H218" s="1297"/>
      <c r="I218" s="1295">
        <f>+(G218/G211-1)*100</f>
        <v>1.8957345971563955</v>
      </c>
      <c r="J218" s="1266"/>
      <c r="K218" s="1312">
        <f>+K217+L218</f>
        <v>1186</v>
      </c>
      <c r="L218" s="1927">
        <v>7</v>
      </c>
      <c r="M218" s="1295">
        <f>+(K218/K211-1)*100</f>
        <v>2.595155709342567</v>
      </c>
      <c r="N218" s="1928">
        <v>33.5</v>
      </c>
      <c r="O218" s="1297"/>
      <c r="P218" s="1295">
        <f>+(N218/N211-1)*100</f>
        <v>1.8237082066869359</v>
      </c>
      <c r="Q218" s="1299"/>
      <c r="R218" s="1312">
        <f>+R217+S218</f>
        <v>1035</v>
      </c>
      <c r="S218" s="1927">
        <v>8</v>
      </c>
      <c r="T218" s="1295">
        <f>+(R218/R211-1)*100</f>
        <v>2.7805362462760774</v>
      </c>
      <c r="U218" s="1928">
        <v>31</v>
      </c>
      <c r="V218" s="1297"/>
      <c r="W218" s="1295">
        <f>+(U218/U211-1)*100</f>
        <v>1.9736842105263275</v>
      </c>
      <c r="X218" s="1299"/>
      <c r="Y218" s="1312">
        <f>+Y217+Z218</f>
        <v>255</v>
      </c>
      <c r="Z218" s="1927">
        <v>0</v>
      </c>
      <c r="AA218" s="1295">
        <f>+(Y218/Y211-1)*100</f>
        <v>4.081632653061229</v>
      </c>
      <c r="AB218" s="1928">
        <v>7.2</v>
      </c>
      <c r="AC218" s="1297"/>
      <c r="AD218" s="1295">
        <f>+(AB218/AB211-1)*100</f>
        <v>4.3478260869565188</v>
      </c>
      <c r="AE218" s="1299"/>
      <c r="AF218" s="1312">
        <f>+AF217+AG218</f>
        <v>503</v>
      </c>
      <c r="AG218" s="1927">
        <v>0</v>
      </c>
      <c r="AH218" s="1295">
        <f>+(AF218/AF211-1)*100</f>
        <v>10.307017543859654</v>
      </c>
      <c r="AI218" s="1928">
        <v>15</v>
      </c>
      <c r="AJ218" s="1297"/>
      <c r="AK218" s="1295">
        <f>+(AI218/AI211-1)*100</f>
        <v>8.6956521739130377</v>
      </c>
      <c r="AL218" s="1299"/>
      <c r="AM218" s="1312">
        <f>+AM217+AN218</f>
        <v>579</v>
      </c>
      <c r="AN218" s="1927">
        <v>11</v>
      </c>
      <c r="AO218" s="1295">
        <f>+(AM218/AM211-1)*100</f>
        <v>10.076045627376429</v>
      </c>
      <c r="AP218" s="1928">
        <v>14.2</v>
      </c>
      <c r="AQ218" s="1297"/>
      <c r="AR218" s="1295">
        <f>+(AP218/AP211-1)*100</f>
        <v>9.2307692307692193</v>
      </c>
      <c r="AS218" s="1299"/>
      <c r="AT218" s="1294">
        <f>+AT217+AU218</f>
        <v>0</v>
      </c>
      <c r="AU218" s="1927">
        <v>0</v>
      </c>
      <c r="AV218" s="1295"/>
      <c r="AW218" s="1313">
        <f>AW217+AU218*$AX$163/1000</f>
        <v>0</v>
      </c>
      <c r="AX218" s="1297"/>
      <c r="AY218" s="1295"/>
      <c r="AZ218" s="1299"/>
      <c r="BA218" s="1312">
        <f>+BA217+BB218</f>
        <v>106</v>
      </c>
      <c r="BB218" s="1927">
        <v>0</v>
      </c>
      <c r="BC218" s="1295">
        <f>+(BA218/BA211-1)*100</f>
        <v>4.9504950495049549</v>
      </c>
      <c r="BD218" s="1928">
        <v>2.5</v>
      </c>
      <c r="BE218" s="1297"/>
      <c r="BF218" s="1295">
        <f>+(BD218/BD211-1)*100</f>
        <v>4.1666666666666741</v>
      </c>
      <c r="BG218" s="1295"/>
      <c r="BH218" s="1312">
        <f>+BH217+BI218</f>
        <v>44</v>
      </c>
      <c r="BI218" s="1927">
        <v>0</v>
      </c>
      <c r="BJ218" s="1295">
        <f>+(BH218/BH211-1)*100</f>
        <v>12.820512820512819</v>
      </c>
      <c r="BK218" s="1928">
        <v>0.9</v>
      </c>
      <c r="BL218" s="1297"/>
      <c r="BM218" s="1295">
        <f>+(BK218/BK211-1)*100</f>
        <v>12.5</v>
      </c>
      <c r="BN218" s="1295"/>
      <c r="BO218" s="1312">
        <f>+BO217+BP218</f>
        <v>57</v>
      </c>
      <c r="BP218" s="1927">
        <v>0</v>
      </c>
      <c r="BQ218" s="1295"/>
      <c r="BR218" s="1928">
        <v>1.7</v>
      </c>
      <c r="BS218" s="1297"/>
      <c r="BT218" s="1295"/>
      <c r="BU218" s="1295"/>
      <c r="BV218" s="1361">
        <f>+BV219</f>
        <v>3</v>
      </c>
      <c r="BW218" s="1358">
        <f>+BV218-BV217</f>
        <v>0</v>
      </c>
      <c r="BX218" s="1357">
        <f>+(BV218/BV211-1)*100</f>
        <v>0</v>
      </c>
      <c r="BY218" s="1362">
        <f>BY217+BW218*$BE$163/1000</f>
        <v>1.4285714285714289E-2</v>
      </c>
      <c r="BZ218" s="1360"/>
      <c r="CA218" s="1357">
        <f>+(BY218/BY211-1)*100</f>
        <v>0</v>
      </c>
      <c r="CB218" s="1299"/>
      <c r="CC218" s="1396"/>
      <c r="CD218" s="1391"/>
      <c r="CE218" s="1392"/>
      <c r="CF218" s="1397"/>
      <c r="CG218" s="1394"/>
      <c r="CH218" s="1392"/>
      <c r="CI218" s="1312">
        <f>+CI217+CJ218</f>
        <v>12</v>
      </c>
      <c r="CJ218" s="1254">
        <v>1</v>
      </c>
      <c r="CK218" s="1295"/>
      <c r="CL218" s="1928">
        <v>0.3</v>
      </c>
      <c r="CM218" s="1297"/>
      <c r="CN218" s="1295"/>
      <c r="CO218" s="1295"/>
      <c r="CP218" s="1312">
        <f>+CP217+CQ218</f>
        <v>35</v>
      </c>
      <c r="CQ218" s="1254">
        <v>0</v>
      </c>
      <c r="CR218" s="1295"/>
      <c r="CS218" s="1928">
        <v>0.8</v>
      </c>
      <c r="CT218" s="1297"/>
      <c r="CU218" s="1295"/>
      <c r="CV218" s="1299"/>
      <c r="CW218" s="1312">
        <f>+D218+Y218+AF218+AM218+AT218+BA218+BH218+BO218+CI218+CP218</f>
        <v>3812</v>
      </c>
      <c r="CX218" s="1307">
        <f>+CW218-CW217</f>
        <v>27</v>
      </c>
      <c r="CY218" s="1295">
        <f>+(CW218/CW211-1)*100</f>
        <v>5.4786939679025926</v>
      </c>
      <c r="CZ218" s="1297"/>
      <c r="DA218" s="1297"/>
      <c r="DB218" s="1928">
        <v>106.9</v>
      </c>
      <c r="DC218" s="1297"/>
      <c r="DD218" s="1295">
        <f>+(DB218/DB211-1)*100</f>
        <v>4.39453125</v>
      </c>
      <c r="DE218" s="1266"/>
      <c r="DF218" s="1350">
        <f>+D218/$CW218</f>
        <v>0.58263378803777544</v>
      </c>
      <c r="DG218" s="1351"/>
      <c r="DH218" s="1351"/>
      <c r="DI218" s="1350">
        <f>+Y218/$CW218</f>
        <v>6.6894018887722978E-2</v>
      </c>
      <c r="DJ218" s="1350">
        <f>+AF218/CW218</f>
        <v>0.1319517313746065</v>
      </c>
      <c r="DK218" s="1350">
        <f>+AM218/CW218</f>
        <v>0.15188877229800629</v>
      </c>
      <c r="DL218" s="1350">
        <f>+AT218/CW218</f>
        <v>0</v>
      </c>
      <c r="DM218" s="1350">
        <f>+BA218/$CW218</f>
        <v>2.7806925498426022E-2</v>
      </c>
      <c r="DN218" s="1350">
        <f>+BH218/$CW218</f>
        <v>1.1542497376705142E-2</v>
      </c>
      <c r="DO218" s="1350">
        <f>+BO218/$CW218</f>
        <v>1.4952780692549843E-2</v>
      </c>
      <c r="DP218" s="1350">
        <f>+CI218/$CW218</f>
        <v>3.1479538300104933E-3</v>
      </c>
      <c r="DQ218" s="1350">
        <f t="shared" si="35"/>
        <v>9.1815320041972719E-3</v>
      </c>
      <c r="DR218" s="1395"/>
      <c r="DS218" s="1333">
        <f>+L218</f>
        <v>7</v>
      </c>
      <c r="DT218" s="1333">
        <f>+S218</f>
        <v>8</v>
      </c>
      <c r="DU218" s="1333">
        <f>+Z218</f>
        <v>0</v>
      </c>
      <c r="DV218" s="1333">
        <f>+AG218</f>
        <v>0</v>
      </c>
      <c r="DW218" s="1333">
        <f>+AN218</f>
        <v>11</v>
      </c>
      <c r="DX218" s="1333">
        <f>+AU218</f>
        <v>0</v>
      </c>
      <c r="DY218" s="1333">
        <f>+BB218</f>
        <v>0</v>
      </c>
      <c r="DZ218" s="1333">
        <f>+BI218</f>
        <v>0</v>
      </c>
      <c r="EA218" s="1333">
        <f>+BP218</f>
        <v>0</v>
      </c>
      <c r="EB218" s="1333">
        <f>+CD218</f>
        <v>0</v>
      </c>
      <c r="ED218" s="451">
        <f>-(SUMIF(DS218:EB218,"&lt;0"))</f>
        <v>0</v>
      </c>
      <c r="EE218" s="451">
        <f>(SUMIF(DS218:EB218,"&gt;0"))</f>
        <v>26</v>
      </c>
      <c r="EF218" s="451">
        <f>+EE218-ED218</f>
        <v>26</v>
      </c>
      <c r="EG218" s="1333">
        <f>+EF218-CX218</f>
        <v>-1</v>
      </c>
    </row>
    <row r="219" spans="1:137" ht="15">
      <c r="A219" s="1266"/>
      <c r="B219" s="1266" t="str">
        <f>$B$21</f>
        <v>Year</v>
      </c>
      <c r="C219" s="1266"/>
      <c r="D219" s="1306">
        <f>+D218</f>
        <v>2221</v>
      </c>
      <c r="E219" s="1317">
        <f>+D219-D212</f>
        <v>58</v>
      </c>
      <c r="F219" s="1295">
        <f>+(D219/D212-1)*100</f>
        <v>2.6814609338881246</v>
      </c>
      <c r="G219" s="1296">
        <f>+N219+U219</f>
        <v>64.5</v>
      </c>
      <c r="H219" s="1297">
        <f>+G219/D219*1000</f>
        <v>29.040972534894195</v>
      </c>
      <c r="I219" s="1295">
        <f>+(G219/G212-1)*100</f>
        <v>1.8957345971563955</v>
      </c>
      <c r="J219" s="1266"/>
      <c r="K219" s="1306">
        <f>+K218</f>
        <v>1186</v>
      </c>
      <c r="L219" s="1317">
        <f>+K219-K212</f>
        <v>30</v>
      </c>
      <c r="M219" s="1295">
        <f>+(K219/K212-1)*100</f>
        <v>2.595155709342567</v>
      </c>
      <c r="N219" s="1296">
        <f>N218</f>
        <v>33.5</v>
      </c>
      <c r="O219" s="1297">
        <f>+O212</f>
        <v>28.460207612456745</v>
      </c>
      <c r="P219" s="1295">
        <f>+(N219/N212-1)*100</f>
        <v>1.8237082066869359</v>
      </c>
      <c r="Q219" s="1299"/>
      <c r="R219" s="1306">
        <f>R218</f>
        <v>1035</v>
      </c>
      <c r="S219" s="1317">
        <f>+R219-R212</f>
        <v>28</v>
      </c>
      <c r="T219" s="1295">
        <f>+(R219/R212-1)*100</f>
        <v>2.7805362462760774</v>
      </c>
      <c r="U219" s="1296">
        <f>U218</f>
        <v>31</v>
      </c>
      <c r="V219" s="1297">
        <f>+V212</f>
        <v>30.188679245283019</v>
      </c>
      <c r="W219" s="1295">
        <f>+(U219/U212-1)*100</f>
        <v>1.9736842105263275</v>
      </c>
      <c r="X219" s="1299"/>
      <c r="Y219" s="1306">
        <f>Y218</f>
        <v>255</v>
      </c>
      <c r="Z219" s="1317">
        <f>+Y219-Y212</f>
        <v>10</v>
      </c>
      <c r="AA219" s="1295">
        <f>+(Y219/Y212-1)*100</f>
        <v>4.081632653061229</v>
      </c>
      <c r="AB219" s="1296">
        <f>AB218</f>
        <v>7.2</v>
      </c>
      <c r="AC219" s="1297">
        <f>+AC212</f>
        <v>28.163265306122451</v>
      </c>
      <c r="AD219" s="1295">
        <f>+(AB219/AB212-1)*100</f>
        <v>4.3478260869565188</v>
      </c>
      <c r="AE219" s="1299"/>
      <c r="AF219" s="1306">
        <f>AF218</f>
        <v>503</v>
      </c>
      <c r="AG219" s="1317">
        <f>+AF219-AF212</f>
        <v>47</v>
      </c>
      <c r="AH219" s="1295">
        <f>+(AF219/AF212-1)*100</f>
        <v>10.307017543859654</v>
      </c>
      <c r="AI219" s="1296">
        <f>AI218</f>
        <v>15</v>
      </c>
      <c r="AJ219" s="1297">
        <f>+AJ212</f>
        <v>30.263157894736842</v>
      </c>
      <c r="AK219" s="1295">
        <f>+(AI219/AI212-1)*100</f>
        <v>8.6956521739130377</v>
      </c>
      <c r="AL219" s="1299"/>
      <c r="AM219" s="1306">
        <f>AM218</f>
        <v>579</v>
      </c>
      <c r="AN219" s="1317">
        <f>+AM219-AM212</f>
        <v>53</v>
      </c>
      <c r="AO219" s="1295">
        <f>+(AM219/AM212-1)*100</f>
        <v>10.076045627376429</v>
      </c>
      <c r="AP219" s="1296">
        <f>AP218</f>
        <v>14.2</v>
      </c>
      <c r="AQ219" s="1297">
        <f>+AQ212</f>
        <v>24.714828897338403</v>
      </c>
      <c r="AR219" s="1295">
        <f>+(AP219/AP212-1)*100</f>
        <v>9.2307692307692193</v>
      </c>
      <c r="AS219" s="1299"/>
      <c r="AT219" s="1306">
        <f>AT218</f>
        <v>0</v>
      </c>
      <c r="AU219" s="1317">
        <f>AT219-AT212</f>
        <v>0</v>
      </c>
      <c r="AV219" s="1295"/>
      <c r="AW219" s="1296">
        <f>AW218</f>
        <v>0</v>
      </c>
      <c r="AX219" s="1297">
        <f>+AX212</f>
        <v>26</v>
      </c>
      <c r="AY219" s="1295"/>
      <c r="AZ219" s="1299"/>
      <c r="BA219" s="1306">
        <f>BA218</f>
        <v>106</v>
      </c>
      <c r="BB219" s="1317">
        <f>+BA219-BA212</f>
        <v>5</v>
      </c>
      <c r="BC219" s="1295">
        <f>+(BA219/BA212-1)*100</f>
        <v>4.9504950495049549</v>
      </c>
      <c r="BD219" s="1296">
        <f>BD218</f>
        <v>2.5</v>
      </c>
      <c r="BE219" s="1297">
        <f>+BE212</f>
        <v>23.958333333333332</v>
      </c>
      <c r="BF219" s="1295">
        <f>+(BD219/BD212-1)*100</f>
        <v>3.314679294016365</v>
      </c>
      <c r="BG219" s="1295"/>
      <c r="BH219" s="1306">
        <f>BH218</f>
        <v>44</v>
      </c>
      <c r="BI219" s="1317">
        <f>+BH219-BH212</f>
        <v>5</v>
      </c>
      <c r="BJ219" s="1295">
        <f>+(BH219/BH212-1)*100</f>
        <v>12.820512820512819</v>
      </c>
      <c r="BK219" s="1296">
        <f>BK218</f>
        <v>0.9</v>
      </c>
      <c r="BL219" s="1297">
        <f>+BL212</f>
        <v>21.212121212121211</v>
      </c>
      <c r="BM219" s="1295">
        <f>+(BK219/BK212-1)*100</f>
        <v>8.7912087912088044</v>
      </c>
      <c r="BN219" s="1295"/>
      <c r="BO219" s="1306">
        <f>BO218</f>
        <v>57</v>
      </c>
      <c r="BP219" s="1317">
        <f>+BO219-BO212</f>
        <v>16</v>
      </c>
      <c r="BQ219" s="1295"/>
      <c r="BR219" s="1296">
        <f>BR218</f>
        <v>1.7</v>
      </c>
      <c r="BS219" s="1297">
        <f>+BS212</f>
        <v>31.578947368421055</v>
      </c>
      <c r="BT219" s="1295"/>
      <c r="BU219" s="1295"/>
      <c r="BV219" s="1337">
        <f>+BW219+BV212</f>
        <v>3</v>
      </c>
      <c r="BW219" s="1343">
        <v>0</v>
      </c>
      <c r="BX219" s="1357">
        <f>+(BV219/BV212-1)*100</f>
        <v>0</v>
      </c>
      <c r="BY219" s="1359">
        <f>+BV219*BZ219/1000</f>
        <v>1.4285714285714289E-2</v>
      </c>
      <c r="BZ219" s="1360">
        <f>+BZ212</f>
        <v>4.7619047619047628</v>
      </c>
      <c r="CA219" s="1357">
        <f>+(BY219/BY212-1)*100</f>
        <v>0</v>
      </c>
      <c r="CB219" s="1299"/>
      <c r="CC219" s="1398"/>
      <c r="CD219" s="1399"/>
      <c r="CE219" s="1392"/>
      <c r="CF219" s="1393"/>
      <c r="CG219" s="1394"/>
      <c r="CH219" s="1392"/>
      <c r="CI219" s="1306">
        <f>CI218</f>
        <v>12</v>
      </c>
      <c r="CJ219" s="1317">
        <f>+CI219-CI212</f>
        <v>4</v>
      </c>
      <c r="CK219" s="1295"/>
      <c r="CL219" s="1296">
        <f>CL218</f>
        <v>0.3</v>
      </c>
      <c r="CM219" s="1297">
        <f>+CM212</f>
        <v>33.333333333333336</v>
      </c>
      <c r="CN219" s="1295"/>
      <c r="CO219" s="1295"/>
      <c r="CP219" s="1306">
        <f>CP218</f>
        <v>35</v>
      </c>
      <c r="CQ219" s="1317">
        <f>+CP219-CP212</f>
        <v>0</v>
      </c>
      <c r="CR219" s="1295"/>
      <c r="CS219" s="1296">
        <f>CS218</f>
        <v>0.8</v>
      </c>
      <c r="CT219" s="1297">
        <f>+CT212</f>
        <v>22.857142857142858</v>
      </c>
      <c r="CU219" s="1295"/>
      <c r="CV219" s="1299"/>
      <c r="CW219" s="1306">
        <f>CW218</f>
        <v>3812</v>
      </c>
      <c r="CX219" s="1317">
        <f>+E219+Z219+AG219+AN219+AU219+BB219+BI219+BP219+CJ219+CQ219</f>
        <v>198</v>
      </c>
      <c r="CY219" s="1295">
        <f>+(CW219/CW212-1)*100</f>
        <v>5.4786939679025926</v>
      </c>
      <c r="CZ219" s="1297"/>
      <c r="DA219" s="1297"/>
      <c r="DB219" s="1296">
        <f>DB218</f>
        <v>106.9</v>
      </c>
      <c r="DC219" s="1297">
        <f>+DB219/CW219*1000</f>
        <v>28.043022035676813</v>
      </c>
      <c r="DD219" s="1295">
        <f>+(DB219/DB212-1)*100</f>
        <v>4.1824346323519057</v>
      </c>
      <c r="DE219" s="1266"/>
      <c r="DF219" s="1350">
        <f>+D219/$CW219</f>
        <v>0.58263378803777544</v>
      </c>
      <c r="DG219" s="1351"/>
      <c r="DH219" s="1351"/>
      <c r="DI219" s="1350">
        <f>+Y219/$CW219</f>
        <v>6.6894018887722978E-2</v>
      </c>
      <c r="DJ219" s="1350">
        <f>+AF219/CW219</f>
        <v>0.1319517313746065</v>
      </c>
      <c r="DK219" s="1350">
        <f>+AM219/CW219</f>
        <v>0.15188877229800629</v>
      </c>
      <c r="DL219" s="1350">
        <f>+AT219/CW219</f>
        <v>0</v>
      </c>
      <c r="DM219" s="1350">
        <f>+BA219/$CW219</f>
        <v>2.7806925498426022E-2</v>
      </c>
      <c r="DN219" s="1350">
        <f>+BH219/$CW219</f>
        <v>1.1542497376705142E-2</v>
      </c>
      <c r="DO219" s="1350">
        <f>+BO219/$CW219</f>
        <v>1.4952780692549843E-2</v>
      </c>
      <c r="DP219" s="1350">
        <f>+CI219/$CW219</f>
        <v>3.1479538300104933E-3</v>
      </c>
      <c r="DQ219" s="1350">
        <f t="shared" si="35"/>
        <v>9.1815320041972719E-3</v>
      </c>
      <c r="DR219" s="1395"/>
      <c r="ED219" s="693">
        <f>SUM(ED215:ED218)</f>
        <v>0</v>
      </c>
      <c r="EE219" s="693">
        <f>SUM(EE215:EE218)</f>
        <v>194</v>
      </c>
      <c r="EF219" s="693">
        <f>+EE219-ED219</f>
        <v>194</v>
      </c>
      <c r="EG219" s="1417">
        <f>+EF219-CX219</f>
        <v>-4</v>
      </c>
    </row>
    <row r="220" spans="1:137" ht="16.5">
      <c r="A220" s="1285"/>
      <c r="B220" s="1285"/>
      <c r="C220" s="1285"/>
      <c r="D220" s="1286"/>
      <c r="E220" s="1269"/>
      <c r="F220" s="1302"/>
      <c r="G220" s="1285"/>
      <c r="H220" s="1286"/>
      <c r="I220" s="1295"/>
      <c r="J220" s="1285"/>
      <c r="K220" s="1286"/>
      <c r="L220" s="1269"/>
      <c r="M220" s="1286"/>
      <c r="N220" s="1285"/>
      <c r="O220" s="1286"/>
      <c r="P220" s="1295"/>
      <c r="Q220" s="1286"/>
      <c r="R220" s="1286"/>
      <c r="S220" s="1269"/>
      <c r="T220" s="1286"/>
      <c r="U220" s="1285"/>
      <c r="V220" s="1286"/>
      <c r="W220" s="1295"/>
      <c r="X220" s="1286"/>
      <c r="Y220" s="1286"/>
      <c r="Z220" s="1269"/>
      <c r="AA220" s="1268"/>
      <c r="AB220" s="1285"/>
      <c r="AC220" s="1286"/>
      <c r="AD220" s="1295"/>
      <c r="AE220" s="1268"/>
      <c r="AF220" s="1286"/>
      <c r="AG220" s="1269" t="s">
        <v>798</v>
      </c>
      <c r="AH220" s="1270"/>
      <c r="AI220" s="1285"/>
      <c r="AJ220" s="1286"/>
      <c r="AK220" s="1302"/>
      <c r="AL220" s="1268"/>
      <c r="AM220" s="1286"/>
      <c r="AN220" s="1269"/>
      <c r="AO220" s="1268"/>
      <c r="AP220" s="1285"/>
      <c r="AQ220" s="1286"/>
      <c r="AR220" s="1295"/>
      <c r="AS220" s="1268"/>
      <c r="AT220" s="1286"/>
      <c r="AU220" s="1269"/>
      <c r="AV220" s="1266"/>
      <c r="AW220" s="1285"/>
      <c r="AX220" s="1286"/>
      <c r="AY220" s="1295"/>
      <c r="AZ220" s="1266"/>
      <c r="BA220" s="1286"/>
      <c r="BB220" s="1269"/>
      <c r="BC220" s="1266"/>
      <c r="BD220" s="1285"/>
      <c r="BE220" s="1286"/>
      <c r="BF220" s="1295"/>
      <c r="BG220" s="1295"/>
      <c r="BH220" s="1408"/>
      <c r="BI220" s="1401"/>
      <c r="BJ220" s="1402"/>
      <c r="BK220" s="1409"/>
      <c r="BL220" s="1408"/>
      <c r="BM220" s="1295"/>
      <c r="BN220" s="1295"/>
      <c r="BO220" s="1408"/>
      <c r="BP220" s="1401"/>
      <c r="BQ220" s="1402"/>
      <c r="BR220" s="1409"/>
      <c r="BS220" s="1408"/>
      <c r="BT220" s="1295"/>
      <c r="BU220" s="1295"/>
      <c r="BV220" s="1408"/>
      <c r="BW220" s="1401"/>
      <c r="BX220" s="1402"/>
      <c r="BY220" s="1409"/>
      <c r="BZ220" s="1408"/>
      <c r="CA220" s="1392"/>
      <c r="CB220" s="1266"/>
      <c r="CC220" s="1408"/>
      <c r="CD220" s="1401"/>
      <c r="CE220" s="1402"/>
      <c r="CF220" s="1409"/>
      <c r="CG220" s="1408"/>
      <c r="CH220" s="1392"/>
      <c r="CI220" s="1408"/>
      <c r="CJ220" s="1401"/>
      <c r="CK220" s="1402"/>
      <c r="CL220" s="1409"/>
      <c r="CM220" s="1408"/>
      <c r="CN220" s="1295"/>
      <c r="CO220" s="1295"/>
      <c r="CP220" s="1408"/>
      <c r="CQ220" s="1401"/>
      <c r="CR220" s="1402"/>
      <c r="CS220" s="1409"/>
      <c r="CT220" s="1408"/>
      <c r="CU220" s="1295"/>
      <c r="CV220" s="1266"/>
      <c r="CW220" s="1413"/>
      <c r="CX220" s="1266"/>
      <c r="CY220" s="1266"/>
      <c r="CZ220" s="1266"/>
      <c r="DA220" s="1266"/>
      <c r="DB220" s="1413"/>
      <c r="DC220" s="1286"/>
      <c r="DD220" s="1302"/>
      <c r="DE220" s="1285"/>
      <c r="DF220" s="1285"/>
      <c r="DG220" s="1285"/>
      <c r="DH220" s="1285"/>
      <c r="DI220" s="1285"/>
      <c r="DJ220" s="1285"/>
      <c r="DK220" s="1285"/>
      <c r="DL220" s="1285"/>
      <c r="DM220" s="1285"/>
      <c r="DN220" s="1285"/>
      <c r="DO220" s="1285"/>
      <c r="DP220" s="1285"/>
      <c r="DQ220" s="1285"/>
    </row>
    <row r="221" spans="1:137" ht="15.75">
      <c r="A221" s="2119">
        <f>+A214+1</f>
        <v>2017</v>
      </c>
      <c r="B221" s="2119"/>
      <c r="C221" s="1266"/>
      <c r="D221" s="1335"/>
      <c r="E221" s="1269"/>
      <c r="F221" s="1302"/>
      <c r="G221" s="1335"/>
      <c r="H221" s="1268"/>
      <c r="I221" s="1295"/>
      <c r="J221" s="1266"/>
      <c r="K221" s="1336"/>
      <c r="L221" s="1269"/>
      <c r="M221" s="1268"/>
      <c r="N221" s="1336"/>
      <c r="O221" s="1268"/>
      <c r="P221" s="1295"/>
      <c r="Q221" s="1268"/>
      <c r="R221" s="1336"/>
      <c r="S221" s="1269"/>
      <c r="T221" s="1268"/>
      <c r="U221" s="1336"/>
      <c r="V221" s="1268"/>
      <c r="W221" s="1295"/>
      <c r="X221" s="1268"/>
      <c r="Y221" s="1336"/>
      <c r="Z221" s="1269"/>
      <c r="AA221" s="1268"/>
      <c r="AB221" s="1336"/>
      <c r="AC221" s="1268"/>
      <c r="AD221" s="1295"/>
      <c r="AE221" s="1268"/>
      <c r="AF221" s="1336"/>
      <c r="AG221" s="1269"/>
      <c r="AH221" s="1270"/>
      <c r="AI221" s="1336"/>
      <c r="AJ221" s="1268"/>
      <c r="AK221" s="1302"/>
      <c r="AL221" s="1268"/>
      <c r="AM221" s="1336"/>
      <c r="AN221" s="1269"/>
      <c r="AO221" s="1268"/>
      <c r="AP221" s="1336"/>
      <c r="AQ221" s="1268"/>
      <c r="AR221" s="1295"/>
      <c r="AS221" s="1268"/>
      <c r="AT221" s="1336"/>
      <c r="AU221" s="1269"/>
      <c r="AV221" s="1266"/>
      <c r="AW221" s="1336"/>
      <c r="AX221" s="1268"/>
      <c r="AY221" s="1295"/>
      <c r="AZ221" s="1266"/>
      <c r="BA221" s="1336"/>
      <c r="BB221" s="1269"/>
      <c r="BC221" s="1266"/>
      <c r="BD221" s="1336"/>
      <c r="BE221" s="1268"/>
      <c r="BF221" s="1295"/>
      <c r="BG221" s="1295"/>
      <c r="BH221" s="1405"/>
      <c r="BI221" s="1401"/>
      <c r="BJ221" s="1402"/>
      <c r="BK221" s="1405"/>
      <c r="BL221" s="1400"/>
      <c r="BM221" s="1295"/>
      <c r="BN221" s="1295"/>
      <c r="BO221" s="1405"/>
      <c r="BP221" s="1401"/>
      <c r="BQ221" s="1402"/>
      <c r="BR221" s="1405"/>
      <c r="BS221" s="1400"/>
      <c r="BT221" s="1295"/>
      <c r="BU221" s="1295"/>
      <c r="BV221" s="1345"/>
      <c r="BW221" s="1354"/>
      <c r="BX221" s="1355"/>
      <c r="BY221" s="1345"/>
      <c r="BZ221" s="1356"/>
      <c r="CA221" s="1357"/>
      <c r="CB221" s="1266"/>
      <c r="CC221" s="1405"/>
      <c r="CD221" s="1401"/>
      <c r="CE221" s="1402"/>
      <c r="CF221" s="1405"/>
      <c r="CG221" s="1400"/>
      <c r="CH221" s="1392"/>
      <c r="CI221" s="1405"/>
      <c r="CJ221" s="1401"/>
      <c r="CK221" s="1402"/>
      <c r="CL221" s="1405"/>
      <c r="CM221" s="1400"/>
      <c r="CN221" s="1295"/>
      <c r="CO221" s="1295"/>
      <c r="CP221" s="1405"/>
      <c r="CQ221" s="1401"/>
      <c r="CR221" s="1402"/>
      <c r="CS221" s="1405"/>
      <c r="CT221" s="1400"/>
      <c r="CU221" s="1295"/>
      <c r="CV221" s="1266"/>
      <c r="CW221" s="1335"/>
      <c r="CX221" s="1266"/>
      <c r="CY221" s="1266"/>
      <c r="CZ221" s="1266"/>
      <c r="DA221" s="1266"/>
      <c r="DB221" s="1335"/>
      <c r="DC221" s="1268"/>
      <c r="DD221" s="1302"/>
      <c r="DE221" s="1266"/>
      <c r="DF221" s="1266"/>
      <c r="DG221" s="1266"/>
      <c r="DH221" s="1266"/>
      <c r="DI221" s="1266"/>
      <c r="DJ221" s="1266"/>
      <c r="DK221" s="1266"/>
      <c r="DL221" s="1266"/>
      <c r="DM221" s="1266"/>
      <c r="DN221" s="1266"/>
      <c r="DO221" s="1266"/>
      <c r="DP221" s="1266"/>
      <c r="DQ221" s="1266"/>
    </row>
    <row r="222" spans="1:137" ht="15">
      <c r="A222" s="1266" t="str">
        <f>$A$17</f>
        <v>1Q</v>
      </c>
      <c r="B222" s="1266" t="str">
        <f>$B$17</f>
        <v>Apr</v>
      </c>
      <c r="C222" s="1266"/>
      <c r="D222" s="1294">
        <f t="shared" ref="D222:E225" si="40">+K222+R222</f>
        <v>2230</v>
      </c>
      <c r="E222" s="1255">
        <f t="shared" si="40"/>
        <v>9</v>
      </c>
      <c r="F222" s="1295">
        <f>+(D222/D215-1)*100</f>
        <v>2.623101702715136</v>
      </c>
      <c r="G222" s="1296">
        <f>+N222+U222</f>
        <v>64.5</v>
      </c>
      <c r="H222" s="1297"/>
      <c r="I222" s="1295">
        <f>+(G222/G215-1)*100</f>
        <v>1.4150943396226356</v>
      </c>
      <c r="J222" s="1266"/>
      <c r="K222" s="1294">
        <f>+K219+L222</f>
        <v>1191</v>
      </c>
      <c r="L222" s="1254">
        <v>5</v>
      </c>
      <c r="M222" s="1295">
        <f>+(K222/K215-1)*100</f>
        <v>2.4075666380051652</v>
      </c>
      <c r="N222" s="1318">
        <v>33.6</v>
      </c>
      <c r="O222" s="1297"/>
      <c r="P222" s="1295">
        <f>+(N222/N215-1)*100</f>
        <v>1.5105740181268867</v>
      </c>
      <c r="Q222" s="1299"/>
      <c r="R222" s="1294">
        <f>+R219+S222</f>
        <v>1039</v>
      </c>
      <c r="S222" s="1254">
        <v>4</v>
      </c>
      <c r="T222" s="1295">
        <f>+(R222/R215-1)*100</f>
        <v>2.8712871287128738</v>
      </c>
      <c r="U222" s="1318">
        <v>30.9</v>
      </c>
      <c r="V222" s="1297"/>
      <c r="W222" s="1295">
        <f>+(U222/U215-1)*100</f>
        <v>1.3114754098360715</v>
      </c>
      <c r="X222" s="1299"/>
      <c r="Y222" s="1294">
        <f>+Y219+Z222</f>
        <v>258</v>
      </c>
      <c r="Z222" s="1254">
        <v>3</v>
      </c>
      <c r="AA222" s="1295">
        <f>+(Y222/Y215-1)*100</f>
        <v>3.2000000000000028</v>
      </c>
      <c r="AB222" s="1318">
        <v>7.2</v>
      </c>
      <c r="AC222" s="1297"/>
      <c r="AD222" s="1295"/>
      <c r="AE222" s="1299"/>
      <c r="AF222" s="1294">
        <f>+AF219+AG222</f>
        <v>515</v>
      </c>
      <c r="AG222" s="1254">
        <v>12</v>
      </c>
      <c r="AH222" s="1295">
        <f>+(AF222/AF215-1)*100</f>
        <v>9.3418259023354544</v>
      </c>
      <c r="AI222" s="1318">
        <v>15.3</v>
      </c>
      <c r="AJ222" s="1297"/>
      <c r="AK222" s="1295">
        <f>+(AI222/AI215-1)*100</f>
        <v>7.7464788732394485</v>
      </c>
      <c r="AL222" s="1299"/>
      <c r="AM222" s="1294">
        <f>+AM219+AN222</f>
        <v>596</v>
      </c>
      <c r="AN222" s="1254">
        <v>17</v>
      </c>
      <c r="AO222" s="1295">
        <f>+(AM222/AM215-1)*100</f>
        <v>11.610486891385774</v>
      </c>
      <c r="AP222" s="1318">
        <v>14.5</v>
      </c>
      <c r="AQ222" s="1297"/>
      <c r="AR222" s="1295">
        <f>+(AP222/AP215-1)*100</f>
        <v>9.8484848484848619</v>
      </c>
      <c r="AS222" s="1299"/>
      <c r="AT222" s="1294">
        <f>+AT219+AU222</f>
        <v>0</v>
      </c>
      <c r="AU222" s="1254">
        <v>0</v>
      </c>
      <c r="AV222" s="1295"/>
      <c r="AW222" s="1296">
        <f>AW219+AU222*$AX$163/1000</f>
        <v>0</v>
      </c>
      <c r="AX222" s="1297"/>
      <c r="AY222" s="1295"/>
      <c r="AZ222" s="1299"/>
      <c r="BA222" s="1294">
        <f>+BA219+BB222</f>
        <v>109</v>
      </c>
      <c r="BB222" s="1254">
        <v>3</v>
      </c>
      <c r="BC222" s="1295">
        <f>+(BA222/BA215-1)*100</f>
        <v>4.8076923076923128</v>
      </c>
      <c r="BD222" s="1318">
        <v>2.6</v>
      </c>
      <c r="BE222" s="1297"/>
      <c r="BF222" s="1295">
        <f>+(BD222/BD215-1)*100</f>
        <v>8.3333333333333481</v>
      </c>
      <c r="BG222" s="1295"/>
      <c r="BH222" s="1294">
        <f>+BH219+BI222</f>
        <v>46</v>
      </c>
      <c r="BI222" s="1254">
        <v>2</v>
      </c>
      <c r="BJ222" s="1295">
        <f>+(BH222/BH215-1)*100</f>
        <v>12.195121951219523</v>
      </c>
      <c r="BK222" s="1318">
        <v>0.9</v>
      </c>
      <c r="BL222" s="1297"/>
      <c r="BM222" s="1295">
        <f>+(BK222/BK215-1)*100</f>
        <v>12.5</v>
      </c>
      <c r="BN222" s="1295"/>
      <c r="BO222" s="1294">
        <f>+BO219+BP222</f>
        <v>61</v>
      </c>
      <c r="BP222" s="1254">
        <v>4</v>
      </c>
      <c r="BQ222" s="1295"/>
      <c r="BR222" s="1318">
        <v>1.8</v>
      </c>
      <c r="BS222" s="1297"/>
      <c r="BT222" s="1295"/>
      <c r="BU222" s="1295"/>
      <c r="BV222" s="1340">
        <f>+BV219+BW222</f>
        <v>3</v>
      </c>
      <c r="BW222" s="1358">
        <v>0</v>
      </c>
      <c r="BX222" s="1357">
        <f>+(BV222/BV215-1)*100</f>
        <v>0</v>
      </c>
      <c r="BY222" s="1359">
        <f>BY219+BW222*$BL$163/1000</f>
        <v>1.4285714285714289E-2</v>
      </c>
      <c r="BZ222" s="1360"/>
      <c r="CA222" s="1357">
        <f>+(BY222/BY215-1)*100</f>
        <v>0</v>
      </c>
      <c r="CB222" s="1299"/>
      <c r="CC222" s="1390"/>
      <c r="CD222" s="1391"/>
      <c r="CE222" s="1392"/>
      <c r="CF222" s="1393"/>
      <c r="CG222" s="1394"/>
      <c r="CH222" s="1392"/>
      <c r="CI222" s="1294">
        <f>+CI219+CJ222</f>
        <v>12</v>
      </c>
      <c r="CJ222" s="1254">
        <v>0</v>
      </c>
      <c r="CK222" s="1295"/>
      <c r="CL222" s="1352">
        <v>0.3</v>
      </c>
      <c r="CM222" s="1297"/>
      <c r="CN222" s="1295"/>
      <c r="CO222" s="1295"/>
      <c r="CP222" s="1294">
        <f>+CP219+CQ222</f>
        <v>35</v>
      </c>
      <c r="CQ222" s="1254">
        <v>0</v>
      </c>
      <c r="CR222" s="1295"/>
      <c r="CS222" s="1352">
        <v>0.8</v>
      </c>
      <c r="CT222" s="1297"/>
      <c r="CU222" s="1295"/>
      <c r="CV222" s="1299"/>
      <c r="CW222" s="1306">
        <f>+D222+Y222+AF222+AM222+AT222+BA222+BH222+BO222+CI222+CP222</f>
        <v>3862</v>
      </c>
      <c r="CX222" s="1307">
        <f>+CW222-CW218</f>
        <v>50</v>
      </c>
      <c r="CY222" s="1295">
        <f>+(CW222/CW215-1)*100</f>
        <v>5.4903031958481341</v>
      </c>
      <c r="CZ222" s="1297"/>
      <c r="DA222" s="1297"/>
      <c r="DB222" s="1318">
        <v>107.8</v>
      </c>
      <c r="DC222" s="1297"/>
      <c r="DD222" s="1295">
        <f>+(DB222/DB215-1)*100</f>
        <v>4.0540540540540571</v>
      </c>
      <c r="DE222" s="1266"/>
      <c r="DF222" s="1350">
        <f>+D222/$CW222</f>
        <v>0.57742102537545315</v>
      </c>
      <c r="DG222" s="1351"/>
      <c r="DH222" s="1351"/>
      <c r="DI222" s="1350">
        <f>+Y222/$CW222</f>
        <v>6.680476437079233E-2</v>
      </c>
      <c r="DJ222" s="1350">
        <f>+AF222/CW222</f>
        <v>0.13335059554634904</v>
      </c>
      <c r="DK222" s="1350">
        <f>+AM222/CW222</f>
        <v>0.15432418436043502</v>
      </c>
      <c r="DL222" s="1350">
        <f>+AT222/CW222</f>
        <v>0</v>
      </c>
      <c r="DM222" s="1350">
        <f>+BA222/$CW222</f>
        <v>2.8223718280683582E-2</v>
      </c>
      <c r="DN222" s="1350">
        <f>+BH222/$CW222</f>
        <v>1.1910926980838944E-2</v>
      </c>
      <c r="DO222" s="1350">
        <f>+BO222/$CW222</f>
        <v>1.5794924909373381E-2</v>
      </c>
      <c r="DP222" s="1350">
        <f>+CI222/$CW222</f>
        <v>3.1071983428275505E-3</v>
      </c>
      <c r="DQ222" s="1350">
        <f t="shared" si="35"/>
        <v>9.0626618332470231E-3</v>
      </c>
      <c r="DR222" s="1395"/>
      <c r="DS222" s="1333">
        <f>+L222</f>
        <v>5</v>
      </c>
      <c r="DT222" s="1333">
        <f>+S222</f>
        <v>4</v>
      </c>
      <c r="DU222" s="1333">
        <f>+Z222</f>
        <v>3</v>
      </c>
      <c r="DV222" s="1333">
        <f>+AG222</f>
        <v>12</v>
      </c>
      <c r="DW222" s="1333">
        <f>+AN222</f>
        <v>17</v>
      </c>
      <c r="DX222" s="1333">
        <f>+AU222</f>
        <v>0</v>
      </c>
      <c r="DY222" s="1333">
        <f>+BB222</f>
        <v>3</v>
      </c>
      <c r="DZ222" s="1333">
        <f>+BI222</f>
        <v>2</v>
      </c>
      <c r="EA222" s="1333">
        <f>+BP222</f>
        <v>4</v>
      </c>
      <c r="EB222" s="1333">
        <f>+CD222</f>
        <v>0</v>
      </c>
      <c r="ED222" s="451">
        <f>-(SUMIF(DS222:EB222,"&lt;0"))</f>
        <v>0</v>
      </c>
      <c r="EE222" s="451">
        <f>(SUMIF(DS222:EB222,"&gt;0"))</f>
        <v>50</v>
      </c>
      <c r="EF222" s="451">
        <f>+EE222-ED222</f>
        <v>50</v>
      </c>
      <c r="EG222" s="1333">
        <f>+EF222-CX222</f>
        <v>0</v>
      </c>
    </row>
    <row r="223" spans="1:137" ht="15">
      <c r="A223" s="1266" t="str">
        <f>$A$18</f>
        <v>2Q</v>
      </c>
      <c r="B223" s="1266" t="str">
        <f>$B$18</f>
        <v>Jul</v>
      </c>
      <c r="C223" s="1266"/>
      <c r="D223" s="1294">
        <f t="shared" si="40"/>
        <v>2237</v>
      </c>
      <c r="E223" s="1255">
        <f t="shared" si="40"/>
        <v>7</v>
      </c>
      <c r="F223" s="1295">
        <f>+(D223/D216-1)*100</f>
        <v>2.708907254361792</v>
      </c>
      <c r="G223" s="1296">
        <f>+N223+U223</f>
        <v>64.5</v>
      </c>
      <c r="H223" s="1297"/>
      <c r="I223" s="1295">
        <f>+(G223/G216-1)*100</f>
        <v>1.4150943396226356</v>
      </c>
      <c r="J223" s="1309"/>
      <c r="K223" s="1294">
        <f>+K222+L223</f>
        <v>1194</v>
      </c>
      <c r="L223" s="1254">
        <v>3</v>
      </c>
      <c r="M223" s="1295">
        <f>+(K223/K216-1)*100</f>
        <v>2.4892703862660959</v>
      </c>
      <c r="N223" s="2050">
        <v>33.6</v>
      </c>
      <c r="O223" s="1297"/>
      <c r="P223" s="1295">
        <f>+(N223/N216-1)*100</f>
        <v>1.5105740181268867</v>
      </c>
      <c r="Q223" s="1299"/>
      <c r="R223" s="1294">
        <f>+R222+S223</f>
        <v>1043</v>
      </c>
      <c r="S223" s="1254">
        <v>4</v>
      </c>
      <c r="T223" s="1295">
        <f>+(R223/R216-1)*100</f>
        <v>2.9615004935834133</v>
      </c>
      <c r="U223" s="2050">
        <v>30.9</v>
      </c>
      <c r="V223" s="1297"/>
      <c r="W223" s="1295">
        <f>+(U223/U216-1)*100</f>
        <v>1.3114754098360715</v>
      </c>
      <c r="X223" s="1299"/>
      <c r="Y223" s="1294">
        <f>+Y222+Z223</f>
        <v>258</v>
      </c>
      <c r="Z223" s="1254">
        <v>0</v>
      </c>
      <c r="AA223" s="1295">
        <f>+(Y223/Y216-1)*100</f>
        <v>3.2000000000000028</v>
      </c>
      <c r="AB223" s="2050">
        <v>7.2</v>
      </c>
      <c r="AC223" s="1297"/>
      <c r="AD223" s="1295"/>
      <c r="AE223" s="1299"/>
      <c r="AF223" s="1294">
        <f>+AF222+AG223</f>
        <v>522</v>
      </c>
      <c r="AG223" s="1254">
        <v>7</v>
      </c>
      <c r="AH223" s="1295">
        <f>+(AF223/AF216-1)*100</f>
        <v>10.359408033826645</v>
      </c>
      <c r="AI223" s="2050">
        <v>15.5</v>
      </c>
      <c r="AJ223" s="1297"/>
      <c r="AK223" s="1295">
        <f>+(AI223/AI216-1)*100</f>
        <v>8.391608391608397</v>
      </c>
      <c r="AL223" s="1299"/>
      <c r="AM223" s="1294">
        <f>+AM222+AN223</f>
        <v>619</v>
      </c>
      <c r="AN223" s="1254">
        <v>23</v>
      </c>
      <c r="AO223" s="1295">
        <f>+(AM223/AM216-1)*100</f>
        <v>15.055762081784385</v>
      </c>
      <c r="AP223" s="2050">
        <v>14.9</v>
      </c>
      <c r="AQ223" s="1297"/>
      <c r="AR223" s="1295">
        <f>+(AP223/AP216-1)*100</f>
        <v>12.030075187969924</v>
      </c>
      <c r="AS223" s="1299"/>
      <c r="AT223" s="1294">
        <f>+AT222+AU223</f>
        <v>0</v>
      </c>
      <c r="AU223" s="1254">
        <v>0</v>
      </c>
      <c r="AV223" s="1295"/>
      <c r="AW223" s="1296">
        <f>AW222+AU223*$AX$163/1000</f>
        <v>0</v>
      </c>
      <c r="AX223" s="1297"/>
      <c r="AY223" s="1295"/>
      <c r="AZ223" s="1299"/>
      <c r="BA223" s="1294">
        <f>+BA222+BB223</f>
        <v>112</v>
      </c>
      <c r="BB223" s="1254">
        <v>3</v>
      </c>
      <c r="BC223" s="1295">
        <f>+(BA223/BA216-1)*100</f>
        <v>7.6923076923076872</v>
      </c>
      <c r="BD223" s="2050">
        <v>2.6</v>
      </c>
      <c r="BE223" s="1297"/>
      <c r="BF223" s="1295">
        <f>+(BD223/BD216-1)*100</f>
        <v>8.3333333333333481</v>
      </c>
      <c r="BG223" s="1295"/>
      <c r="BH223" s="1294">
        <f>+BH222+BI223</f>
        <v>51</v>
      </c>
      <c r="BI223" s="1254">
        <v>5</v>
      </c>
      <c r="BJ223" s="1295">
        <f>+(BH223/BH216-1)*100</f>
        <v>18.604651162790709</v>
      </c>
      <c r="BK223" s="2050">
        <v>1.1000000000000001</v>
      </c>
      <c r="BL223" s="1297"/>
      <c r="BM223" s="1295">
        <f>+(BK223/BK216-1)*100</f>
        <v>22.222222222222232</v>
      </c>
      <c r="BN223" s="1295"/>
      <c r="BO223" s="1294">
        <f>+BO222+BP223</f>
        <v>63</v>
      </c>
      <c r="BP223" s="1254">
        <v>2</v>
      </c>
      <c r="BQ223" s="1295"/>
      <c r="BR223" s="2050">
        <v>1.8</v>
      </c>
      <c r="BS223" s="1297"/>
      <c r="BT223" s="1295"/>
      <c r="BU223" s="1295"/>
      <c r="BV223" s="1340">
        <f>+BV222+BW223</f>
        <v>3</v>
      </c>
      <c r="BW223" s="1358">
        <v>0</v>
      </c>
      <c r="BX223" s="1357">
        <f>+(BV223/BV216-1)*100</f>
        <v>0</v>
      </c>
      <c r="BY223" s="1359">
        <f>BY222+BW223*$BE$163/1000</f>
        <v>1.4285714285714289E-2</v>
      </c>
      <c r="BZ223" s="1360"/>
      <c r="CA223" s="1357">
        <f>+(BY223/BY216-1)*100</f>
        <v>0</v>
      </c>
      <c r="CB223" s="1299"/>
      <c r="CC223" s="1390"/>
      <c r="CD223" s="1391"/>
      <c r="CE223" s="1392"/>
      <c r="CF223" s="1393"/>
      <c r="CG223" s="1394"/>
      <c r="CH223" s="1392"/>
      <c r="CI223" s="1294">
        <f>+CI222+CJ223</f>
        <v>16</v>
      </c>
      <c r="CJ223" s="1254">
        <v>4</v>
      </c>
      <c r="CK223" s="1295"/>
      <c r="CL223" s="2050">
        <v>0.4</v>
      </c>
      <c r="CM223" s="1297"/>
      <c r="CN223" s="1295"/>
      <c r="CO223" s="1295"/>
      <c r="CP223" s="1294">
        <f>+CP222+CQ223</f>
        <v>35</v>
      </c>
      <c r="CQ223" s="1254">
        <v>0</v>
      </c>
      <c r="CR223" s="1295"/>
      <c r="CS223" s="1352">
        <v>0.8</v>
      </c>
      <c r="CT223" s="1297"/>
      <c r="CU223" s="1295"/>
      <c r="CV223" s="1299"/>
      <c r="CW223" s="1306">
        <f>+D223+Y223+AF223+AM223+AT223+BA223+BH223+BO223+CI223+CP223</f>
        <v>3913</v>
      </c>
      <c r="CX223" s="1307">
        <f>+CW223-CW222</f>
        <v>51</v>
      </c>
      <c r="CY223" s="1295">
        <f>+(CW223/CW216-1)*100</f>
        <v>6.4761904761904798</v>
      </c>
      <c r="CZ223" s="1297"/>
      <c r="DA223" s="1297"/>
      <c r="DB223" s="2050">
        <v>108.7</v>
      </c>
      <c r="DC223" s="1297"/>
      <c r="DD223" s="1295">
        <f>+(DB223/DB216-1)*100</f>
        <v>4.6198267564966367</v>
      </c>
      <c r="DE223" s="1266"/>
      <c r="DF223" s="1350">
        <f>+D223/$CW223</f>
        <v>0.57168412982366468</v>
      </c>
      <c r="DG223" s="1351"/>
      <c r="DH223" s="1351"/>
      <c r="DI223" s="1350">
        <f>+Y223/$CW223</f>
        <v>6.5934065934065936E-2</v>
      </c>
      <c r="DJ223" s="1350">
        <f>+AF223/CW223</f>
        <v>0.13340148223869155</v>
      </c>
      <c r="DK223" s="1350">
        <f>+AM223/CW223</f>
        <v>0.1581906465627396</v>
      </c>
      <c r="DL223" s="1350">
        <f>+AT223/CW223</f>
        <v>0</v>
      </c>
      <c r="DM223" s="1350">
        <f>+BA223/$CW223</f>
        <v>2.8622540250447227E-2</v>
      </c>
      <c r="DN223" s="1350">
        <f>+BH223/$CW223</f>
        <v>1.303347814975722E-2</v>
      </c>
      <c r="DO223" s="1350">
        <f>+BO223/$CW223</f>
        <v>1.6100178890876567E-2</v>
      </c>
      <c r="DP223" s="1350">
        <f>+CI223/$CW223</f>
        <v>4.0889343214924609E-3</v>
      </c>
      <c r="DQ223" s="1350">
        <f t="shared" si="35"/>
        <v>8.9445438282647581E-3</v>
      </c>
      <c r="DR223" s="1395"/>
      <c r="DS223" s="1333">
        <f>+L223</f>
        <v>3</v>
      </c>
      <c r="DT223" s="1333">
        <f>+S223</f>
        <v>4</v>
      </c>
      <c r="DU223" s="1333">
        <f>+Z223</f>
        <v>0</v>
      </c>
      <c r="DV223" s="1333">
        <f>+AG223</f>
        <v>7</v>
      </c>
      <c r="DW223" s="1333">
        <f>+AN223</f>
        <v>23</v>
      </c>
      <c r="DX223" s="1333">
        <f>+AU223</f>
        <v>0</v>
      </c>
      <c r="DY223" s="1333">
        <f>+BB223</f>
        <v>3</v>
      </c>
      <c r="DZ223" s="1333">
        <f>+BI223</f>
        <v>5</v>
      </c>
      <c r="EA223" s="1333">
        <f>+BP223</f>
        <v>2</v>
      </c>
      <c r="EB223" s="1333">
        <f>+CD223</f>
        <v>0</v>
      </c>
      <c r="ED223" s="451">
        <f>-(SUMIF(DS223:EB223,"&lt;0"))</f>
        <v>0</v>
      </c>
      <c r="EE223" s="451">
        <f>(SUMIF(DS223:EB223,"&gt;0"))</f>
        <v>47</v>
      </c>
      <c r="EF223" s="451">
        <f>+EE223-ED223</f>
        <v>47</v>
      </c>
      <c r="EG223" s="1333">
        <f>+EF223-CX223</f>
        <v>-4</v>
      </c>
    </row>
    <row r="224" spans="1:137" ht="15">
      <c r="A224" s="1266" t="str">
        <f>$A$19</f>
        <v>3Q</v>
      </c>
      <c r="B224" s="1266" t="str">
        <f>$B$19</f>
        <v>Oct</v>
      </c>
      <c r="C224" s="1266"/>
      <c r="D224" s="1294">
        <f t="shared" si="40"/>
        <v>2276</v>
      </c>
      <c r="E224" s="1255">
        <f t="shared" si="40"/>
        <v>39</v>
      </c>
      <c r="F224" s="1295">
        <f>+(D224/D217-1)*100</f>
        <v>3.1731640979147713</v>
      </c>
      <c r="G224" s="1296">
        <f>+N224+U224</f>
        <v>65</v>
      </c>
      <c r="H224" s="1297"/>
      <c r="I224" s="1295">
        <f>+(G224/G217-1)*100</f>
        <v>1.2461059190031154</v>
      </c>
      <c r="J224" s="1266"/>
      <c r="K224" s="1294">
        <f>+K223+L224</f>
        <v>1219</v>
      </c>
      <c r="L224" s="1254">
        <v>25</v>
      </c>
      <c r="M224" s="1295">
        <f>+(K224/K217-1)*100</f>
        <v>3.3927056827820268</v>
      </c>
      <c r="N224" s="2050">
        <v>34</v>
      </c>
      <c r="O224" s="1297"/>
      <c r="P224" s="1295">
        <f>+(N224/N217-1)*100</f>
        <v>1.7964071856287456</v>
      </c>
      <c r="Q224" s="1299"/>
      <c r="R224" s="1294">
        <f>+R223+S224</f>
        <v>1057</v>
      </c>
      <c r="S224" s="1254">
        <v>14</v>
      </c>
      <c r="T224" s="1295">
        <f>+(R224/R217-1)*100</f>
        <v>2.9211295034079932</v>
      </c>
      <c r="U224" s="2050">
        <v>31</v>
      </c>
      <c r="V224" s="1297"/>
      <c r="W224" s="1295">
        <f>+(U224/U217-1)*100</f>
        <v>0.64935064935065512</v>
      </c>
      <c r="X224" s="1299"/>
      <c r="Y224" s="1294">
        <f>+Y223+Z224</f>
        <v>265</v>
      </c>
      <c r="Z224" s="1254">
        <v>7</v>
      </c>
      <c r="AA224" s="1295">
        <f>+(Y224/Y217-1)*100</f>
        <v>3.9215686274509887</v>
      </c>
      <c r="AB224" s="2050">
        <v>7.4</v>
      </c>
      <c r="AC224" s="1297"/>
      <c r="AD224" s="1295"/>
      <c r="AE224" s="1299"/>
      <c r="AF224" s="1294">
        <f>+AF223+AG224</f>
        <v>540</v>
      </c>
      <c r="AG224" s="1254">
        <v>18</v>
      </c>
      <c r="AH224" s="1295">
        <f>+(AF224/AF217-1)*100</f>
        <v>7.3558648111331948</v>
      </c>
      <c r="AI224" s="2050">
        <v>15.8</v>
      </c>
      <c r="AJ224" s="1297"/>
      <c r="AK224" s="1295">
        <f>+(AI224/AI217-1)*100</f>
        <v>5.3333333333333455</v>
      </c>
      <c r="AL224" s="1299"/>
      <c r="AM224" s="1294">
        <f>+AM223+AN224</f>
        <v>663</v>
      </c>
      <c r="AN224" s="1254">
        <v>44</v>
      </c>
      <c r="AO224" s="1295">
        <f>+(AM224/AM217-1)*100</f>
        <v>16.725352112676049</v>
      </c>
      <c r="AP224" s="2050">
        <v>15.8</v>
      </c>
      <c r="AQ224" s="1297"/>
      <c r="AR224" s="1295">
        <f>+(AP224/AP217-1)*100</f>
        <v>13.669064748201443</v>
      </c>
      <c r="AS224" s="1299"/>
      <c r="AT224" s="1294">
        <f>+AT223+AU224</f>
        <v>0</v>
      </c>
      <c r="AU224" s="1254">
        <v>0</v>
      </c>
      <c r="AV224" s="1295"/>
      <c r="AW224" s="1296">
        <f>AW223+AU224*$AX$163/1000</f>
        <v>0</v>
      </c>
      <c r="AX224" s="1297"/>
      <c r="AY224" s="1295"/>
      <c r="AZ224" s="1299"/>
      <c r="BA224" s="1294">
        <f>+BA223+BB224</f>
        <v>117</v>
      </c>
      <c r="BB224" s="1254">
        <v>5</v>
      </c>
      <c r="BC224" s="1295">
        <f>+(BA224/BA217-1)*100</f>
        <v>10.377358490566046</v>
      </c>
      <c r="BD224" s="2050">
        <v>2.7</v>
      </c>
      <c r="BE224" s="1297"/>
      <c r="BF224" s="1295">
        <f>+(BD224/BD217-1)*100</f>
        <v>8.0000000000000071</v>
      </c>
      <c r="BG224" s="1295"/>
      <c r="BH224" s="1294">
        <f>+BH223+BI224</f>
        <v>55</v>
      </c>
      <c r="BI224" s="1254">
        <v>4</v>
      </c>
      <c r="BJ224" s="1295">
        <f>+(BH224/BH217-1)*100</f>
        <v>25</v>
      </c>
      <c r="BK224" s="2050">
        <v>1.1000000000000001</v>
      </c>
      <c r="BL224" s="1297"/>
      <c r="BM224" s="1295">
        <f>+(BK224/BK217-1)*100</f>
        <v>22.222222222222232</v>
      </c>
      <c r="BN224" s="1295"/>
      <c r="BO224" s="1294">
        <f>+BO223+BP224</f>
        <v>72</v>
      </c>
      <c r="BP224" s="1254">
        <v>9</v>
      </c>
      <c r="BQ224" s="1295"/>
      <c r="BR224" s="2050">
        <v>2</v>
      </c>
      <c r="BS224" s="1297"/>
      <c r="BT224" s="1295"/>
      <c r="BU224" s="1295"/>
      <c r="BV224" s="1340">
        <f>+BV223+BW224</f>
        <v>3</v>
      </c>
      <c r="BW224" s="1358">
        <v>0</v>
      </c>
      <c r="BX224" s="1357">
        <f>+(BV224/BV217-1)*100</f>
        <v>0</v>
      </c>
      <c r="BY224" s="1359">
        <f>BY223+BW224*$BE$163/1000</f>
        <v>1.4285714285714289E-2</v>
      </c>
      <c r="BZ224" s="1360"/>
      <c r="CA224" s="1357">
        <f>+(BY224/BY217-1)*100</f>
        <v>0</v>
      </c>
      <c r="CB224" s="1299"/>
      <c r="CC224" s="1390"/>
      <c r="CD224" s="1391"/>
      <c r="CE224" s="1392"/>
      <c r="CF224" s="1393"/>
      <c r="CG224" s="1394"/>
      <c r="CH224" s="1392"/>
      <c r="CI224" s="1294">
        <f>+CI223+CJ224</f>
        <v>26</v>
      </c>
      <c r="CJ224" s="1254">
        <v>10</v>
      </c>
      <c r="CK224" s="1295"/>
      <c r="CL224" s="2050">
        <v>0.6</v>
      </c>
      <c r="CM224" s="1297"/>
      <c r="CN224" s="1295"/>
      <c r="CO224" s="1295"/>
      <c r="CP224" s="1294">
        <f>+CP223+CQ224</f>
        <v>38</v>
      </c>
      <c r="CQ224" s="1254">
        <v>3</v>
      </c>
      <c r="CR224" s="1295"/>
      <c r="CS224" s="2050">
        <v>0.8</v>
      </c>
      <c r="CT224" s="1297"/>
      <c r="CU224" s="1295"/>
      <c r="CV224" s="1299"/>
      <c r="CW224" s="1306">
        <f>+D224+Y224+AF224+AM224+AT224+BA224+BH224+BO224+CI224+CP224</f>
        <v>4052</v>
      </c>
      <c r="CX224" s="1307">
        <f>+CW224-CW223</f>
        <v>139</v>
      </c>
      <c r="CY224" s="1295">
        <f>+(CW224/CW217-1)*100</f>
        <v>7.0541611624834966</v>
      </c>
      <c r="CZ224" s="1297"/>
      <c r="DA224" s="1297"/>
      <c r="DB224" s="2050">
        <v>111.3</v>
      </c>
      <c r="DC224" s="1297"/>
      <c r="DD224" s="1295">
        <f>+(DB224/DB217-1)*100</f>
        <v>4.7036688617121403</v>
      </c>
      <c r="DE224" s="1266"/>
      <c r="DF224" s="1350">
        <f>+D224/$CW224</f>
        <v>0.56169792694965448</v>
      </c>
      <c r="DG224" s="1351"/>
      <c r="DH224" s="1351"/>
      <c r="DI224" s="1350">
        <f>+Y224/$CW224</f>
        <v>6.5399802566633761E-2</v>
      </c>
      <c r="DJ224" s="1350">
        <f>+AF224/CW224</f>
        <v>0.13326752221125371</v>
      </c>
      <c r="DK224" s="1350">
        <f>+AM224/CW224</f>
        <v>0.16362290227048371</v>
      </c>
      <c r="DL224" s="1350">
        <f>+AT224/CW224</f>
        <v>0</v>
      </c>
      <c r="DM224" s="1350">
        <f>+BA224/$CW224</f>
        <v>2.8874629812438303E-2</v>
      </c>
      <c r="DN224" s="1350">
        <f>+BH224/$CW224</f>
        <v>1.3573543928923988E-2</v>
      </c>
      <c r="DO224" s="1350">
        <f>+BO224/$CW224</f>
        <v>1.7769002961500493E-2</v>
      </c>
      <c r="DP224" s="1350">
        <f>+CI224/$CW224</f>
        <v>6.4165844027640672E-3</v>
      </c>
      <c r="DQ224" s="1350">
        <f t="shared" si="35"/>
        <v>9.3780848963474824E-3</v>
      </c>
      <c r="DR224" s="1395"/>
      <c r="DS224" s="1333">
        <f>+L224</f>
        <v>25</v>
      </c>
      <c r="DT224" s="1333">
        <f>+S224</f>
        <v>14</v>
      </c>
      <c r="DU224" s="1333">
        <f>+Z224</f>
        <v>7</v>
      </c>
      <c r="DV224" s="1333">
        <f>+AG224</f>
        <v>18</v>
      </c>
      <c r="DW224" s="1333">
        <f>+AN224</f>
        <v>44</v>
      </c>
      <c r="DX224" s="1333">
        <f>+AU224</f>
        <v>0</v>
      </c>
      <c r="DY224" s="1333">
        <f>+BB224</f>
        <v>5</v>
      </c>
      <c r="DZ224" s="1333">
        <f>+BI224</f>
        <v>4</v>
      </c>
      <c r="EA224" s="1333">
        <f>+BP224</f>
        <v>9</v>
      </c>
      <c r="EB224" s="1333">
        <f>+CD224</f>
        <v>0</v>
      </c>
      <c r="ED224" s="451">
        <f>-(SUMIF(DS224:EB224,"&lt;0"))</f>
        <v>0</v>
      </c>
      <c r="EE224" s="451">
        <f>(SUMIF(DS224:EB224,"&gt;0"))</f>
        <v>126</v>
      </c>
      <c r="EF224" s="451">
        <f>+EE224-ED224</f>
        <v>126</v>
      </c>
      <c r="EG224" s="1333">
        <f>+EF224-CX224</f>
        <v>-13</v>
      </c>
    </row>
    <row r="225" spans="1:137" ht="15">
      <c r="A225" s="1266" t="str">
        <f>$A$20</f>
        <v>4Q</v>
      </c>
      <c r="B225" s="1266" t="str">
        <f>$B$20</f>
        <v>Jan</v>
      </c>
      <c r="C225" s="1266"/>
      <c r="D225" s="1312">
        <f t="shared" si="40"/>
        <v>2285</v>
      </c>
      <c r="E225" s="1255">
        <f t="shared" si="40"/>
        <v>9</v>
      </c>
      <c r="F225" s="1295">
        <f>+(D225/D218-1)*100</f>
        <v>2.8815848716794212</v>
      </c>
      <c r="G225" s="1313">
        <f>+N225+U225</f>
        <v>65.3</v>
      </c>
      <c r="H225" s="1297"/>
      <c r="I225" s="1295">
        <f>+(G225/G218-1)*100</f>
        <v>1.2403100775193687</v>
      </c>
      <c r="J225" s="1266"/>
      <c r="K225" s="1312">
        <f>+K224+L225</f>
        <v>1223</v>
      </c>
      <c r="L225" s="1927">
        <v>4</v>
      </c>
      <c r="M225" s="1295">
        <f>+(K225/K218-1)*100</f>
        <v>3.1197301854974713</v>
      </c>
      <c r="N225" s="1928">
        <v>34.1</v>
      </c>
      <c r="O225" s="1297"/>
      <c r="P225" s="1295">
        <f>+(N225/N218-1)*100</f>
        <v>1.7910447761193993</v>
      </c>
      <c r="Q225" s="1299"/>
      <c r="R225" s="1312">
        <f>+R224+S225</f>
        <v>1062</v>
      </c>
      <c r="S225" s="1927">
        <v>5</v>
      </c>
      <c r="T225" s="1295">
        <f>+(R225/R218-1)*100</f>
        <v>2.6086956521739202</v>
      </c>
      <c r="U225" s="1928">
        <v>31.2</v>
      </c>
      <c r="V225" s="1297"/>
      <c r="W225" s="1295">
        <f>+(U225/U218-1)*100</f>
        <v>0.64516129032257119</v>
      </c>
      <c r="X225" s="1299"/>
      <c r="Y225" s="1312">
        <f>+Y224+Z225</f>
        <v>264</v>
      </c>
      <c r="Z225" s="1927">
        <v>-1</v>
      </c>
      <c r="AA225" s="1295">
        <f>+(Y225/Y218-1)*100</f>
        <v>3.529411764705892</v>
      </c>
      <c r="AB225" s="1928">
        <v>7.4</v>
      </c>
      <c r="AC225" s="1297"/>
      <c r="AD225" s="1295">
        <f>+(AB225/AB218-1)*100</f>
        <v>2.7777777777777901</v>
      </c>
      <c r="AE225" s="1299"/>
      <c r="AF225" s="1312">
        <f>+AF224+AG225</f>
        <v>540</v>
      </c>
      <c r="AG225" s="1927">
        <v>0</v>
      </c>
      <c r="AH225" s="1295">
        <f>+(AF225/AF218-1)*100</f>
        <v>7.3558648111331948</v>
      </c>
      <c r="AI225" s="1928">
        <v>15.8</v>
      </c>
      <c r="AJ225" s="1297"/>
      <c r="AK225" s="1295">
        <f>+(AI225/AI218-1)*100</f>
        <v>5.3333333333333455</v>
      </c>
      <c r="AL225" s="1299"/>
      <c r="AM225" s="1312">
        <f>+AM224+AN225</f>
        <v>671</v>
      </c>
      <c r="AN225" s="1927">
        <f>4+4</f>
        <v>8</v>
      </c>
      <c r="AO225" s="1295">
        <f>+(AM225/AM218-1)*100</f>
        <v>15.889464594127812</v>
      </c>
      <c r="AP225" s="1928">
        <v>15.9</v>
      </c>
      <c r="AQ225" s="1297"/>
      <c r="AR225" s="1295">
        <f>+(AP225/AP218-1)*100</f>
        <v>11.971830985915499</v>
      </c>
      <c r="AS225" s="1299"/>
      <c r="AT225" s="1312">
        <f>+AT226</f>
        <v>0</v>
      </c>
      <c r="AU225" s="1255">
        <f>+AT225-AT224</f>
        <v>0</v>
      </c>
      <c r="AV225" s="1295"/>
      <c r="AW225" s="1313">
        <f>AW224+AU225*$AX$163/1000</f>
        <v>0</v>
      </c>
      <c r="AX225" s="1297"/>
      <c r="AY225" s="1295"/>
      <c r="AZ225" s="1299"/>
      <c r="BA225" s="1312">
        <f>+BA224+BB225</f>
        <v>117</v>
      </c>
      <c r="BB225" s="1927">
        <v>0</v>
      </c>
      <c r="BC225" s="1295">
        <f>+(BA225/BA218-1)*100</f>
        <v>10.377358490566046</v>
      </c>
      <c r="BD225" s="1928">
        <v>2.7</v>
      </c>
      <c r="BE225" s="1297"/>
      <c r="BF225" s="1295">
        <f>+(BD225/BD218-1)*100</f>
        <v>8.0000000000000071</v>
      </c>
      <c r="BG225" s="1295"/>
      <c r="BH225" s="1312">
        <f>+BH224+BI225</f>
        <v>55</v>
      </c>
      <c r="BI225" s="1927">
        <v>0</v>
      </c>
      <c r="BJ225" s="1295">
        <f>+(BH225/BH218-1)*100</f>
        <v>25</v>
      </c>
      <c r="BK225" s="1928">
        <v>1.1000000000000001</v>
      </c>
      <c r="BL225" s="1297"/>
      <c r="BM225" s="1295">
        <f>+(BK225/BK218-1)*100</f>
        <v>22.222222222222232</v>
      </c>
      <c r="BN225" s="1295"/>
      <c r="BO225" s="1312">
        <f>+BO224+BP225</f>
        <v>73</v>
      </c>
      <c r="BP225" s="1927">
        <v>1</v>
      </c>
      <c r="BQ225" s="1295"/>
      <c r="BR225" s="1928">
        <v>2</v>
      </c>
      <c r="BS225" s="1297"/>
      <c r="BT225" s="1295"/>
      <c r="BU225" s="1295"/>
      <c r="BV225" s="1361">
        <f>+BV226</f>
        <v>3</v>
      </c>
      <c r="BW225" s="1358">
        <f>+BV225-BV224</f>
        <v>0</v>
      </c>
      <c r="BX225" s="1357">
        <f>+(BV225/BV218-1)*100</f>
        <v>0</v>
      </c>
      <c r="BY225" s="1362">
        <f>BY224+BW225*$BE$163/1000</f>
        <v>1.4285714285714289E-2</v>
      </c>
      <c r="BZ225" s="1360"/>
      <c r="CA225" s="1357">
        <f>+(BY225/BY218-1)*100</f>
        <v>0</v>
      </c>
      <c r="CB225" s="1299"/>
      <c r="CC225" s="1396"/>
      <c r="CD225" s="1391"/>
      <c r="CE225" s="1392"/>
      <c r="CF225" s="1397"/>
      <c r="CG225" s="1394"/>
      <c r="CH225" s="1392"/>
      <c r="CI225" s="1312">
        <f>+CI224+CJ225</f>
        <v>27</v>
      </c>
      <c r="CJ225" s="1927">
        <v>1</v>
      </c>
      <c r="CK225" s="1295"/>
      <c r="CL225" s="1928">
        <v>0.6</v>
      </c>
      <c r="CM225" s="1297"/>
      <c r="CN225" s="1295"/>
      <c r="CO225" s="1295"/>
      <c r="CP225" s="1312">
        <f>+CP224+CQ225</f>
        <v>38</v>
      </c>
      <c r="CQ225" s="1254">
        <v>0</v>
      </c>
      <c r="CR225" s="1295"/>
      <c r="CS225" s="1928">
        <v>0.8</v>
      </c>
      <c r="CT225" s="1297"/>
      <c r="CU225" s="1295"/>
      <c r="CV225" s="1299"/>
      <c r="CW225" s="1312">
        <f>+D225+Y225+AF225+AM225+AT225+BA225+BH225+BO225+CI225+CP225</f>
        <v>4070</v>
      </c>
      <c r="CX225" s="1307">
        <f>+CW225-CW224</f>
        <v>18</v>
      </c>
      <c r="CY225" s="1295">
        <f>+(CW225/CW218-1)*100</f>
        <v>6.7681007345225641</v>
      </c>
      <c r="CZ225" s="1297"/>
      <c r="DA225" s="1297"/>
      <c r="DB225" s="1313">
        <f>+G225+AB225+AI225+AP225+AW225+BD225+BK225+BR225+CL225</f>
        <v>110.8</v>
      </c>
      <c r="DC225" s="1297"/>
      <c r="DD225" s="1295">
        <f>+(DB225/DB218-1)*100</f>
        <v>3.6482694106641622</v>
      </c>
      <c r="DE225" s="1266"/>
      <c r="DF225" s="1350">
        <f>+D225/$CW225</f>
        <v>0.56142506142506143</v>
      </c>
      <c r="DG225" s="1351"/>
      <c r="DH225" s="1351"/>
      <c r="DI225" s="1350">
        <f>+Y225/$CW225</f>
        <v>6.4864864864864868E-2</v>
      </c>
      <c r="DJ225" s="1350">
        <f>+AF225/CW225</f>
        <v>0.13267813267813267</v>
      </c>
      <c r="DK225" s="1350">
        <f>+AM225/CW225</f>
        <v>0.16486486486486487</v>
      </c>
      <c r="DL225" s="1350">
        <f>+AT225/CW225</f>
        <v>0</v>
      </c>
      <c r="DM225" s="1350">
        <f>+BA225/$CW225</f>
        <v>2.8746928746928746E-2</v>
      </c>
      <c r="DN225" s="1350">
        <f>+BH225/$CW225</f>
        <v>1.3513513513513514E-2</v>
      </c>
      <c r="DO225" s="1350">
        <f>+BO225/$CW225</f>
        <v>1.7936117936117935E-2</v>
      </c>
      <c r="DP225" s="1350">
        <f>+CI225/$CW225</f>
        <v>6.633906633906634E-3</v>
      </c>
      <c r="DQ225" s="1350">
        <f t="shared" si="35"/>
        <v>9.3366093366093368E-3</v>
      </c>
      <c r="DR225" s="1395"/>
      <c r="DS225" s="1333">
        <f>+L225</f>
        <v>4</v>
      </c>
      <c r="DT225" s="1333">
        <f>+S225</f>
        <v>5</v>
      </c>
      <c r="DU225" s="1333">
        <f>+Z225</f>
        <v>-1</v>
      </c>
      <c r="DV225" s="1333">
        <f>+AG225</f>
        <v>0</v>
      </c>
      <c r="DW225" s="1333">
        <f>+AN225</f>
        <v>8</v>
      </c>
      <c r="DX225" s="1333">
        <f>+AU225</f>
        <v>0</v>
      </c>
      <c r="DY225" s="1333">
        <f>+BB225</f>
        <v>0</v>
      </c>
      <c r="DZ225" s="1333">
        <f>+BI225</f>
        <v>0</v>
      </c>
      <c r="EA225" s="1333">
        <f>+BP225</f>
        <v>1</v>
      </c>
      <c r="EB225" s="1333">
        <f>+CD225</f>
        <v>0</v>
      </c>
      <c r="ED225" s="451">
        <f>-(SUMIF(DS225:EB225,"&lt;0"))</f>
        <v>1</v>
      </c>
      <c r="EE225" s="451">
        <f>(SUMIF(DS225:EB225,"&gt;0"))</f>
        <v>18</v>
      </c>
      <c r="EF225" s="451">
        <f>+EE225-ED225</f>
        <v>17</v>
      </c>
      <c r="EG225" s="1333">
        <f>+EF225-CX225</f>
        <v>-1</v>
      </c>
    </row>
    <row r="226" spans="1:137" ht="15">
      <c r="A226" s="1266"/>
      <c r="B226" s="1266" t="str">
        <f>$B$21</f>
        <v>Year</v>
      </c>
      <c r="C226" s="1266"/>
      <c r="D226" s="1306">
        <f>+D225</f>
        <v>2285</v>
      </c>
      <c r="E226" s="1317">
        <v>50</v>
      </c>
      <c r="F226" s="1295">
        <f>+(D226/D219-1)*100</f>
        <v>2.8815848716794212</v>
      </c>
      <c r="G226" s="1296">
        <f>+N226+U226</f>
        <v>66.867211268525153</v>
      </c>
      <c r="H226" s="1297">
        <f>+G226/D226*1000</f>
        <v>29.263549789288909</v>
      </c>
      <c r="I226" s="1295">
        <f>+(G226/G219-1)*100</f>
        <v>3.6700949899614699</v>
      </c>
      <c r="J226" s="1266"/>
      <c r="K226" s="1306">
        <f>K225</f>
        <v>1223</v>
      </c>
      <c r="L226" s="1317">
        <f>+K226-K219</f>
        <v>37</v>
      </c>
      <c r="M226" s="1295">
        <f>+(K226/K219-1)*100</f>
        <v>3.1197301854974713</v>
      </c>
      <c r="N226" s="1296">
        <f>+K226*O226/1000</f>
        <v>34.806833910034598</v>
      </c>
      <c r="O226" s="1297">
        <f>+O219</f>
        <v>28.460207612456745</v>
      </c>
      <c r="P226" s="1295">
        <f>+(N226/N219-1)*100</f>
        <v>3.900996746371943</v>
      </c>
      <c r="Q226" s="1299"/>
      <c r="R226" s="1306">
        <f>R225</f>
        <v>1062</v>
      </c>
      <c r="S226" s="1317">
        <f>+R226-R219</f>
        <v>27</v>
      </c>
      <c r="T226" s="1295">
        <f>+(R226/R219-1)*100</f>
        <v>2.6086956521739202</v>
      </c>
      <c r="U226" s="1296">
        <f>+R226*V226/1000</f>
        <v>32.060377358490562</v>
      </c>
      <c r="V226" s="1297">
        <f>+V219</f>
        <v>30.188679245283019</v>
      </c>
      <c r="W226" s="1295">
        <f>+(U226/U219-1)*100</f>
        <v>3.4205721241631126</v>
      </c>
      <c r="X226" s="1299"/>
      <c r="Y226" s="1306">
        <f>Y225</f>
        <v>264</v>
      </c>
      <c r="Z226" s="1317">
        <f>+Y226-Y219</f>
        <v>9</v>
      </c>
      <c r="AA226" s="1295">
        <f>+(Y226/Y219-1)*100</f>
        <v>3.529411764705892</v>
      </c>
      <c r="AB226" s="1296">
        <f>+Y226*AC226/1000</f>
        <v>7.4351020408163269</v>
      </c>
      <c r="AC226" s="1297">
        <f>+AC219</f>
        <v>28.163265306122451</v>
      </c>
      <c r="AD226" s="1295">
        <f>+(AB226/AB219-1)*100</f>
        <v>3.2653061224489743</v>
      </c>
      <c r="AE226" s="1299"/>
      <c r="AF226" s="1306">
        <f>AF225</f>
        <v>540</v>
      </c>
      <c r="AG226" s="1317">
        <f>+AF226-AF219</f>
        <v>37</v>
      </c>
      <c r="AH226" s="1295">
        <f>+(AF226/AF219-1)*100</f>
        <v>7.3558648111331948</v>
      </c>
      <c r="AI226" s="1296">
        <f>+AF226*AJ226/1000</f>
        <v>16.342105263157894</v>
      </c>
      <c r="AJ226" s="1297">
        <f>+AJ219</f>
        <v>30.263157894736842</v>
      </c>
      <c r="AK226" s="1295">
        <f>+(AI226/AI219-1)*100</f>
        <v>8.9473684210526159</v>
      </c>
      <c r="AL226" s="1299"/>
      <c r="AM226" s="1306">
        <f>AM225</f>
        <v>671</v>
      </c>
      <c r="AN226" s="1317">
        <f>+AM226-AM219</f>
        <v>92</v>
      </c>
      <c r="AO226" s="1295">
        <f>+(AM226/AM219-1)*100</f>
        <v>15.889464594127812</v>
      </c>
      <c r="AP226" s="1296">
        <f>+AM226*AQ226/1000</f>
        <v>16.583650190114071</v>
      </c>
      <c r="AQ226" s="1297">
        <f>+AQ219</f>
        <v>24.714828897338403</v>
      </c>
      <c r="AR226" s="1295">
        <f>+(AP226/AP219-1)*100</f>
        <v>16.786268944465288</v>
      </c>
      <c r="AS226" s="1299"/>
      <c r="AT226" s="1306">
        <f>+AU226+AT219</f>
        <v>0</v>
      </c>
      <c r="AU226" s="1256">
        <v>0</v>
      </c>
      <c r="AV226" s="1295"/>
      <c r="AW226" s="1296">
        <f>+AT226*AX226/1000</f>
        <v>0</v>
      </c>
      <c r="AX226" s="1297">
        <f>+AX219</f>
        <v>26</v>
      </c>
      <c r="AY226" s="1295"/>
      <c r="AZ226" s="1299"/>
      <c r="BA226" s="1306">
        <f>BA225</f>
        <v>117</v>
      </c>
      <c r="BB226" s="1317">
        <f>+BA226-BA219</f>
        <v>11</v>
      </c>
      <c r="BC226" s="1295">
        <f>+(BA226/BA219-1)*100</f>
        <v>10.377358490566046</v>
      </c>
      <c r="BD226" s="1296">
        <f>+BA226*BE226/1000</f>
        <v>2.8031250000000001</v>
      </c>
      <c r="BE226" s="1297">
        <f>+BE219</f>
        <v>23.958333333333332</v>
      </c>
      <c r="BF226" s="1295">
        <f>+(BD226/BD219-1)*100</f>
        <v>12.125000000000007</v>
      </c>
      <c r="BG226" s="1295"/>
      <c r="BH226" s="1306">
        <f>BH225</f>
        <v>55</v>
      </c>
      <c r="BI226" s="1317">
        <f>+BH226-BH219</f>
        <v>11</v>
      </c>
      <c r="BJ226" s="1295">
        <f>+(BH226/BH219-1)*100</f>
        <v>25</v>
      </c>
      <c r="BK226" s="1296">
        <f>+BH226*BL226/1000</f>
        <v>1.1666666666666665</v>
      </c>
      <c r="BL226" s="1297">
        <f>+BL219</f>
        <v>21.212121212121211</v>
      </c>
      <c r="BM226" s="1295">
        <f>+(BK226/BK219-1)*100</f>
        <v>29.629629629629605</v>
      </c>
      <c r="BN226" s="1295"/>
      <c r="BO226" s="1306">
        <f>BO225</f>
        <v>73</v>
      </c>
      <c r="BP226" s="1317">
        <f>+BO226-BO219</f>
        <v>16</v>
      </c>
      <c r="BQ226" s="1295"/>
      <c r="BR226" s="1296">
        <f>+BO226*BS226/1000</f>
        <v>2.3052631578947369</v>
      </c>
      <c r="BS226" s="1297">
        <f>+BS219</f>
        <v>31.578947368421055</v>
      </c>
      <c r="BT226" s="1295"/>
      <c r="BU226" s="1295"/>
      <c r="BV226" s="1337">
        <f>+BW226+BV219</f>
        <v>3</v>
      </c>
      <c r="BW226" s="1343">
        <v>0</v>
      </c>
      <c r="BX226" s="1357">
        <f>+(BV226/BV219-1)*100</f>
        <v>0</v>
      </c>
      <c r="BY226" s="1359">
        <f>+BV226*BZ226/1000</f>
        <v>1.4285714285714289E-2</v>
      </c>
      <c r="BZ226" s="1360">
        <f>+BZ219</f>
        <v>4.7619047619047628</v>
      </c>
      <c r="CA226" s="1357">
        <f>+(BY226/BY219-1)*100</f>
        <v>0</v>
      </c>
      <c r="CB226" s="1299"/>
      <c r="CC226" s="1398"/>
      <c r="CD226" s="1399"/>
      <c r="CE226" s="1392"/>
      <c r="CF226" s="1393"/>
      <c r="CG226" s="1394"/>
      <c r="CH226" s="1392"/>
      <c r="CI226" s="1306">
        <f>CI225</f>
        <v>27</v>
      </c>
      <c r="CJ226" s="1317">
        <f>+CI226-CI219</f>
        <v>15</v>
      </c>
      <c r="CK226" s="1295"/>
      <c r="CL226" s="1296">
        <f>+CI226*CM226/1000</f>
        <v>0.90000000000000013</v>
      </c>
      <c r="CM226" s="1297">
        <f>+CM219</f>
        <v>33.333333333333336</v>
      </c>
      <c r="CN226" s="1295"/>
      <c r="CO226" s="1295"/>
      <c r="CP226" s="1306">
        <f>CP225</f>
        <v>38</v>
      </c>
      <c r="CQ226" s="1317">
        <f>+CP226-CP219</f>
        <v>3</v>
      </c>
      <c r="CR226" s="1295"/>
      <c r="CS226" s="1296">
        <f>+CP226*CT226/1000</f>
        <v>0.86857142857142855</v>
      </c>
      <c r="CT226" s="1297">
        <f>+CT219</f>
        <v>22.857142857142858</v>
      </c>
      <c r="CU226" s="1295"/>
      <c r="CV226" s="1299"/>
      <c r="CW226" s="1306">
        <f>CW225</f>
        <v>4070</v>
      </c>
      <c r="CX226" s="1317">
        <f>+E226+Z226+AG226+AN226+AU226+BB226+BI226+BP226+CJ226+CQ226</f>
        <v>244</v>
      </c>
      <c r="CY226" s="1295">
        <f>+(CW226/CW219-1)*100</f>
        <v>6.7681007345225641</v>
      </c>
      <c r="CZ226" s="1297"/>
      <c r="DA226" s="1297"/>
      <c r="DB226" s="1296">
        <f>+G226+AB226+AI226+AP226+AW226+BD226+BK226+BR226+CL226+CS226</f>
        <v>115.27169501574629</v>
      </c>
      <c r="DC226" s="1297">
        <f>+DB226/CW226*1000</f>
        <v>28.322283787652651</v>
      </c>
      <c r="DD226" s="1295">
        <f>+(DB226/DB219-1)*100</f>
        <v>7.831333036245347</v>
      </c>
      <c r="DE226" s="1266"/>
      <c r="DF226" s="1350">
        <f>+D226/$CW226</f>
        <v>0.56142506142506143</v>
      </c>
      <c r="DG226" s="1351"/>
      <c r="DH226" s="1351"/>
      <c r="DI226" s="1350">
        <f>+Y226/$CW226</f>
        <v>6.4864864864864868E-2</v>
      </c>
      <c r="DJ226" s="1350">
        <f>+AF226/CW226</f>
        <v>0.13267813267813267</v>
      </c>
      <c r="DK226" s="1350">
        <f>+AM226/CW226</f>
        <v>0.16486486486486487</v>
      </c>
      <c r="DL226" s="1350">
        <f>+AT226/CW226</f>
        <v>0</v>
      </c>
      <c r="DM226" s="1350">
        <f>+BA226/$CW226</f>
        <v>2.8746928746928746E-2</v>
      </c>
      <c r="DN226" s="1350">
        <f>+BH226/$CW226</f>
        <v>1.3513513513513514E-2</v>
      </c>
      <c r="DO226" s="1350">
        <f>+BO226/$CW226</f>
        <v>1.7936117936117935E-2</v>
      </c>
      <c r="DP226" s="1350">
        <f>+CI226/$CW226</f>
        <v>6.633906633906634E-3</v>
      </c>
      <c r="DQ226" s="1350">
        <f t="shared" si="35"/>
        <v>9.3366093366093368E-3</v>
      </c>
      <c r="DR226" s="1395"/>
      <c r="ED226" s="693">
        <f>SUM(ED222:ED225)</f>
        <v>1</v>
      </c>
      <c r="EE226" s="693">
        <f>SUM(EE222:EE225)</f>
        <v>241</v>
      </c>
      <c r="EF226" s="693">
        <f>+EE226-ED226</f>
        <v>240</v>
      </c>
      <c r="EG226" s="1417">
        <f>+EF226-CX226</f>
        <v>-4</v>
      </c>
    </row>
    <row r="227" spans="1:137" ht="16.5">
      <c r="A227" s="1285"/>
      <c r="B227" s="1285"/>
      <c r="C227" s="1285"/>
      <c r="D227" s="1286"/>
      <c r="E227" s="1269"/>
      <c r="F227" s="1302"/>
      <c r="G227" s="1285"/>
      <c r="H227" s="1286"/>
      <c r="I227" s="1295"/>
      <c r="J227" s="1285"/>
      <c r="K227" s="1286"/>
      <c r="L227" s="1269"/>
      <c r="M227" s="1286"/>
      <c r="N227" s="1285"/>
      <c r="O227" s="1286"/>
      <c r="P227" s="1295"/>
      <c r="Q227" s="1286"/>
      <c r="R227" s="1286"/>
      <c r="S227" s="1269"/>
      <c r="T227" s="1286"/>
      <c r="U227" s="1285"/>
      <c r="V227" s="1286"/>
      <c r="W227" s="1295"/>
      <c r="X227" s="1286"/>
      <c r="Y227" s="1286"/>
      <c r="Z227" s="1269"/>
      <c r="AA227" s="1268"/>
      <c r="AB227" s="1285"/>
      <c r="AC227" s="1286"/>
      <c r="AD227" s="1295"/>
      <c r="AE227" s="1268"/>
      <c r="AF227" s="1286"/>
      <c r="AG227" s="1269"/>
      <c r="AH227" s="1270"/>
      <c r="AI227" s="1285"/>
      <c r="AJ227" s="1286"/>
      <c r="AK227" s="1302"/>
      <c r="AL227" s="1268"/>
      <c r="AM227" s="1286"/>
      <c r="AN227" s="1269"/>
      <c r="AO227" s="1268"/>
      <c r="AP227" s="1285"/>
      <c r="AQ227" s="1286"/>
      <c r="AR227" s="1295"/>
      <c r="AS227" s="1268"/>
      <c r="AT227" s="1286"/>
      <c r="AU227" s="1269"/>
      <c r="AV227" s="1266"/>
      <c r="AW227" s="1285"/>
      <c r="AX227" s="1286"/>
      <c r="AY227" s="1295"/>
      <c r="AZ227" s="1266"/>
      <c r="BA227" s="1286"/>
      <c r="BB227" s="1269"/>
      <c r="BC227" s="1266"/>
      <c r="BD227" s="1285"/>
      <c r="BE227" s="1286"/>
      <c r="BF227" s="1295"/>
      <c r="BG227" s="1295"/>
      <c r="BH227" s="1408"/>
      <c r="BI227" s="1401"/>
      <c r="BJ227" s="1402"/>
      <c r="BK227" s="1285"/>
      <c r="BL227" s="1408"/>
      <c r="BM227" s="1295"/>
      <c r="BN227" s="1295"/>
      <c r="BO227" s="1408"/>
      <c r="BP227" s="1401"/>
      <c r="BQ227" s="1402"/>
      <c r="BR227" s="1285"/>
      <c r="BS227" s="1408"/>
      <c r="BT227" s="1295"/>
      <c r="BU227" s="1295"/>
      <c r="BV227" s="1408"/>
      <c r="BW227" s="1401"/>
      <c r="BX227" s="1402"/>
      <c r="BY227" s="1409"/>
      <c r="BZ227" s="1408"/>
      <c r="CA227" s="1392"/>
      <c r="CB227" s="1266"/>
      <c r="CC227" s="1408"/>
      <c r="CD227" s="1401"/>
      <c r="CE227" s="1402"/>
      <c r="CF227" s="1409"/>
      <c r="CG227" s="1408"/>
      <c r="CH227" s="1392"/>
      <c r="CI227" s="1408"/>
      <c r="CJ227" s="1401"/>
      <c r="CK227" s="1402"/>
      <c r="CL227" s="1285"/>
      <c r="CM227" s="1408"/>
      <c r="CN227" s="1295"/>
      <c r="CO227" s="1295"/>
      <c r="CP227" s="1408"/>
      <c r="CQ227" s="1401"/>
      <c r="CR227" s="1402"/>
      <c r="CS227" s="1285"/>
      <c r="CT227" s="1408"/>
      <c r="CU227" s="1295"/>
      <c r="CV227" s="1266"/>
      <c r="CW227" s="1413"/>
      <c r="CX227" s="1404"/>
      <c r="CY227" s="1266"/>
      <c r="CZ227" s="1266"/>
      <c r="DA227" s="1266"/>
      <c r="DB227" s="1413"/>
      <c r="DC227" s="1286"/>
      <c r="DD227" s="1302"/>
      <c r="DE227" s="1285"/>
      <c r="DF227" s="1285"/>
      <c r="DG227" s="1285"/>
      <c r="DH227" s="1285"/>
      <c r="DI227" s="1285"/>
      <c r="DJ227" s="1285"/>
      <c r="DK227" s="1285"/>
      <c r="DL227" s="1285"/>
      <c r="DM227" s="1285"/>
      <c r="DN227" s="1285"/>
      <c r="DO227" s="1285"/>
      <c r="DP227" s="1285"/>
      <c r="DQ227" s="1285"/>
    </row>
    <row r="228" spans="1:137" ht="15.75">
      <c r="A228" s="2117">
        <f>+A221+1</f>
        <v>2018</v>
      </c>
      <c r="B228" s="2117"/>
      <c r="C228" s="1266"/>
      <c r="D228" s="1335"/>
      <c r="E228" s="1269"/>
      <c r="F228" s="1302"/>
      <c r="G228" s="1335"/>
      <c r="H228" s="1268"/>
      <c r="I228" s="1295"/>
      <c r="J228" s="1266"/>
      <c r="K228" s="1336"/>
      <c r="L228" s="1269"/>
      <c r="M228" s="1268"/>
      <c r="N228" s="1336"/>
      <c r="O228" s="1268"/>
      <c r="P228" s="1295"/>
      <c r="Q228" s="1268"/>
      <c r="R228" s="1336"/>
      <c r="S228" s="1269"/>
      <c r="T228" s="1268"/>
      <c r="U228" s="1336"/>
      <c r="V228" s="1268"/>
      <c r="W228" s="1295"/>
      <c r="X228" s="1268"/>
      <c r="Y228" s="1336"/>
      <c r="Z228" s="1269"/>
      <c r="AA228" s="1268"/>
      <c r="AB228" s="1336"/>
      <c r="AC228" s="1268"/>
      <c r="AD228" s="1295"/>
      <c r="AE228" s="1268"/>
      <c r="AF228" s="1336"/>
      <c r="AG228" s="1269"/>
      <c r="AH228" s="1270"/>
      <c r="AI228" s="1336"/>
      <c r="AJ228" s="1268"/>
      <c r="AK228" s="1302"/>
      <c r="AL228" s="1268"/>
      <c r="AM228" s="1336"/>
      <c r="AN228" s="1269"/>
      <c r="AO228" s="1268"/>
      <c r="AP228" s="1336"/>
      <c r="AQ228" s="1268"/>
      <c r="AR228" s="1295"/>
      <c r="AS228" s="1268"/>
      <c r="AT228" s="1336"/>
      <c r="AU228" s="1269"/>
      <c r="AV228" s="1266"/>
      <c r="AW228" s="1336"/>
      <c r="AX228" s="1268"/>
      <c r="AY228" s="1295"/>
      <c r="AZ228" s="1266"/>
      <c r="BA228" s="1336"/>
      <c r="BB228" s="1269"/>
      <c r="BC228" s="1266"/>
      <c r="BD228" s="1336"/>
      <c r="BE228" s="1268"/>
      <c r="BF228" s="1295"/>
      <c r="BG228" s="1295"/>
      <c r="BH228" s="1405"/>
      <c r="BI228" s="1401"/>
      <c r="BJ228" s="1402"/>
      <c r="BK228" s="1336"/>
      <c r="BL228" s="1400"/>
      <c r="BM228" s="1295"/>
      <c r="BN228" s="1295"/>
      <c r="BO228" s="1405"/>
      <c r="BP228" s="1401"/>
      <c r="BQ228" s="1402"/>
      <c r="BR228" s="1336"/>
      <c r="BS228" s="1400"/>
      <c r="BT228" s="1295"/>
      <c r="BU228" s="1295"/>
      <c r="BV228" s="1345"/>
      <c r="BW228" s="1354"/>
      <c r="BX228" s="1355"/>
      <c r="BY228" s="1345"/>
      <c r="BZ228" s="1356"/>
      <c r="CA228" s="1357"/>
      <c r="CB228" s="1266"/>
      <c r="CC228" s="1405"/>
      <c r="CD228" s="1401"/>
      <c r="CE228" s="1402"/>
      <c r="CF228" s="1405"/>
      <c r="CG228" s="1400"/>
      <c r="CH228" s="1392"/>
      <c r="CI228" s="1405"/>
      <c r="CJ228" s="1401"/>
      <c r="CK228" s="1402"/>
      <c r="CL228" s="1336"/>
      <c r="CM228" s="1400"/>
      <c r="CN228" s="1295"/>
      <c r="CO228" s="1295"/>
      <c r="CP228" s="1405"/>
      <c r="CQ228" s="1401"/>
      <c r="CR228" s="1402"/>
      <c r="CS228" s="1336"/>
      <c r="CT228" s="1400"/>
      <c r="CU228" s="1295"/>
      <c r="CV228" s="1266"/>
      <c r="CW228" s="1335"/>
      <c r="CX228" s="1266"/>
      <c r="CY228" s="1266"/>
      <c r="CZ228" s="1266"/>
      <c r="DA228" s="1266"/>
      <c r="DB228" s="1335"/>
      <c r="DC228" s="1268"/>
      <c r="DD228" s="1302"/>
      <c r="DE228" s="1266"/>
      <c r="DF228" s="1266"/>
      <c r="DG228" s="1266"/>
      <c r="DH228" s="1266"/>
      <c r="DI228" s="1266"/>
      <c r="DJ228" s="1266"/>
      <c r="DK228" s="1266"/>
      <c r="DL228" s="1266"/>
      <c r="DM228" s="1266"/>
      <c r="DN228" s="1266"/>
      <c r="DO228" s="1266"/>
      <c r="DP228" s="1266"/>
      <c r="DQ228" s="1266"/>
    </row>
    <row r="229" spans="1:137" ht="15">
      <c r="A229" s="1266" t="str">
        <f>$A$17</f>
        <v>1Q</v>
      </c>
      <c r="B229" s="1266" t="str">
        <f>$B$17</f>
        <v>Apr</v>
      </c>
      <c r="C229" s="1266"/>
      <c r="D229" s="1294">
        <f t="shared" ref="D229:E232" si="41">+K229+R229</f>
        <v>2295</v>
      </c>
      <c r="E229" s="1255">
        <f t="shared" si="41"/>
        <v>10</v>
      </c>
      <c r="F229" s="1295">
        <f>+(D229/D222-1)*100</f>
        <v>2.9147982062780242</v>
      </c>
      <c r="G229" s="1296">
        <f>+N229+U229</f>
        <v>67.167700892195384</v>
      </c>
      <c r="H229" s="1297"/>
      <c r="I229" s="1295">
        <f>+(G229/G222-1)*100</f>
        <v>4.1359703754967114</v>
      </c>
      <c r="J229" s="1266"/>
      <c r="K229" s="1294">
        <f>+K226+L229</f>
        <v>1228</v>
      </c>
      <c r="L229" s="1254">
        <v>5</v>
      </c>
      <c r="M229" s="1295">
        <f>+(K229/K222-1)*100</f>
        <v>3.1066330814441656</v>
      </c>
      <c r="N229" s="1296">
        <f>N226+L229*O226/1000</f>
        <v>34.949134948096884</v>
      </c>
      <c r="O229" s="1297"/>
      <c r="P229" s="1295">
        <f>+(N229/N222-1)*100</f>
        <v>4.015282583621671</v>
      </c>
      <c r="Q229" s="1299"/>
      <c r="R229" s="1294">
        <f>+R226+S229</f>
        <v>1067</v>
      </c>
      <c r="S229" s="1254">
        <v>5</v>
      </c>
      <c r="T229" s="1295">
        <f>+(R229/R222-1)*100</f>
        <v>2.6948989412896918</v>
      </c>
      <c r="U229" s="1296">
        <f>U226+S229*$V$163/1000</f>
        <v>32.218565944098501</v>
      </c>
      <c r="V229" s="1297"/>
      <c r="W229" s="1295">
        <f>+(U229/U222-1)*100</f>
        <v>4.2672037025841547</v>
      </c>
      <c r="X229" s="1299"/>
      <c r="Y229" s="1294">
        <f>+Y226+Z229</f>
        <v>266</v>
      </c>
      <c r="Z229" s="1254">
        <v>2</v>
      </c>
      <c r="AA229" s="1295">
        <f>+(Y229/Y222-1)*100</f>
        <v>3.1007751937984551</v>
      </c>
      <c r="AB229" s="1296">
        <f>AB226+Z229*AC226/1000</f>
        <v>7.491428571428572</v>
      </c>
      <c r="AC229" s="1297"/>
      <c r="AD229" s="1295"/>
      <c r="AE229" s="1299"/>
      <c r="AF229" s="1294">
        <f>+AF226+AG229</f>
        <v>549</v>
      </c>
      <c r="AG229" s="1254">
        <v>9</v>
      </c>
      <c r="AH229" s="1295">
        <f>+(AF229/AF222-1)*100</f>
        <v>6.6019417475728259</v>
      </c>
      <c r="AI229" s="1296">
        <f>AI226+AG229*AJ226/1000</f>
        <v>16.614473684210527</v>
      </c>
      <c r="AJ229" s="1297"/>
      <c r="AK229" s="1295">
        <f>+(AI229/AI222-1)*100</f>
        <v>8.5913312693498334</v>
      </c>
      <c r="AL229" s="1299"/>
      <c r="AM229" s="1294">
        <f>+AM226+AN229</f>
        <v>701</v>
      </c>
      <c r="AN229" s="1254">
        <v>30</v>
      </c>
      <c r="AO229" s="1295">
        <f>+(AM229/AM222-1)*100</f>
        <v>17.617449664429529</v>
      </c>
      <c r="AP229" s="1296">
        <f>AP226+AN229*AQ226/1000</f>
        <v>17.325095057034222</v>
      </c>
      <c r="AQ229" s="1297"/>
      <c r="AR229" s="1295">
        <f>+(AP229/AP222-1)*100</f>
        <v>19.483414186442904</v>
      </c>
      <c r="AS229" s="1299"/>
      <c r="AT229" s="1294">
        <f>+AT226+AU229</f>
        <v>0</v>
      </c>
      <c r="AU229" s="1254">
        <v>0</v>
      </c>
      <c r="AV229" s="1295"/>
      <c r="AW229" s="1296">
        <f>AW226+AU229*$AX$163/1000</f>
        <v>0</v>
      </c>
      <c r="AX229" s="1297"/>
      <c r="AY229" s="1295"/>
      <c r="AZ229" s="1299"/>
      <c r="BA229" s="1294">
        <f>+BA226+BB229</f>
        <v>118</v>
      </c>
      <c r="BB229" s="1254">
        <v>1</v>
      </c>
      <c r="BC229" s="1295">
        <f>+(BA229/BA222-1)*100</f>
        <v>8.2568807339449499</v>
      </c>
      <c r="BD229" s="1296">
        <f>BD226+BB229*BE226/1000</f>
        <v>2.8270833333333334</v>
      </c>
      <c r="BE229" s="1297"/>
      <c r="BF229" s="1295">
        <f>+(BD229/BD222-1)*100</f>
        <v>8.7339743589743613</v>
      </c>
      <c r="BG229" s="1295"/>
      <c r="BH229" s="1294">
        <f>+BH226+BI229</f>
        <v>56</v>
      </c>
      <c r="BI229" s="1254">
        <v>1</v>
      </c>
      <c r="BJ229" s="1295">
        <f>+(BH229/BH222-1)*100</f>
        <v>21.739130434782616</v>
      </c>
      <c r="BK229" s="1296">
        <f>BK226+BI229*BL226/1000</f>
        <v>1.1878787878787878</v>
      </c>
      <c r="BL229" s="1297"/>
      <c r="BM229" s="1295">
        <f>+(BK229/BK222-1)*100</f>
        <v>31.986531986531965</v>
      </c>
      <c r="BN229" s="1295"/>
      <c r="BO229" s="1294">
        <f>+BO226+BP229</f>
        <v>76</v>
      </c>
      <c r="BP229" s="1254">
        <v>3</v>
      </c>
      <c r="BQ229" s="1295"/>
      <c r="BR229" s="1296">
        <f>BR226+BP229*BS226/1000</f>
        <v>2.4</v>
      </c>
      <c r="BS229" s="1297"/>
      <c r="BT229" s="1295"/>
      <c r="BU229" s="1295"/>
      <c r="BV229" s="1340">
        <f>+BV226+BW229</f>
        <v>3</v>
      </c>
      <c r="BW229" s="1358">
        <v>0</v>
      </c>
      <c r="BX229" s="1357">
        <f>+(BV229/BV222-1)*100</f>
        <v>0</v>
      </c>
      <c r="BY229" s="1359">
        <f>BY226+BW229*$BL$163/1000</f>
        <v>1.4285714285714289E-2</v>
      </c>
      <c r="BZ229" s="1360"/>
      <c r="CA229" s="1357">
        <f>+(BY229/BY222-1)*100</f>
        <v>0</v>
      </c>
      <c r="CB229" s="1299"/>
      <c r="CC229" s="1390"/>
      <c r="CD229" s="1391"/>
      <c r="CE229" s="1392"/>
      <c r="CF229" s="1393"/>
      <c r="CG229" s="1394"/>
      <c r="CH229" s="1392"/>
      <c r="CI229" s="1294">
        <f>+CI226+CJ229</f>
        <v>27</v>
      </c>
      <c r="CJ229" s="1254">
        <v>0</v>
      </c>
      <c r="CK229" s="1295"/>
      <c r="CL229" s="1296">
        <f>CL226+CJ229*CM226/1000</f>
        <v>0.90000000000000013</v>
      </c>
      <c r="CM229" s="1297"/>
      <c r="CN229" s="1295"/>
      <c r="CO229" s="1295"/>
      <c r="CP229" s="1294">
        <f>+CP226+CQ229</f>
        <v>38</v>
      </c>
      <c r="CQ229" s="1254">
        <v>0</v>
      </c>
      <c r="CR229" s="1295"/>
      <c r="CS229" s="1296">
        <f>CS226+CQ229*CT226/1000</f>
        <v>0.86857142857142855</v>
      </c>
      <c r="CT229" s="1297"/>
      <c r="CU229" s="1295"/>
      <c r="CV229" s="1299"/>
      <c r="CW229" s="1306">
        <f>+D229+Y229+AF229+AM229+AT229+BA229+BH229+BO229+CI229+CP229</f>
        <v>4126</v>
      </c>
      <c r="CX229" s="1307">
        <f>+CW229-CW225</f>
        <v>56</v>
      </c>
      <c r="CY229" s="1295">
        <f>+(CW229/CW222-1)*100</f>
        <v>6.8358363542206035</v>
      </c>
      <c r="CZ229" s="1297"/>
      <c r="DA229" s="1297"/>
      <c r="DB229" s="1296">
        <f>+G229+AB229+AI229+AP229+AW229+BD229+BK229+BR229+CL229</f>
        <v>115.91366032608083</v>
      </c>
      <c r="DC229" s="1297"/>
      <c r="DD229" s="1295">
        <f>+(DB229/DB222-1)*100</f>
        <v>7.5265865733588511</v>
      </c>
      <c r="DE229" s="1266"/>
      <c r="DF229" s="1350">
        <f>+D229/$CW229</f>
        <v>0.55622879301987393</v>
      </c>
      <c r="DG229" s="1351"/>
      <c r="DH229" s="1351"/>
      <c r="DI229" s="1350">
        <f>+Y229/$CW229</f>
        <v>6.4469219583131357E-2</v>
      </c>
      <c r="DJ229" s="1350">
        <f>+AF229/CW229</f>
        <v>0.13305865244789142</v>
      </c>
      <c r="DK229" s="1350">
        <f>+AM229/CW229</f>
        <v>0.16989820649539505</v>
      </c>
      <c r="DL229" s="1350">
        <f>+AT229/CW229</f>
        <v>0</v>
      </c>
      <c r="DM229" s="1350">
        <f>+BA229/$CW229</f>
        <v>2.8599127484246242E-2</v>
      </c>
      <c r="DN229" s="1350">
        <f>+BH229/$CW229</f>
        <v>1.3572467280659235E-2</v>
      </c>
      <c r="DO229" s="1350">
        <f>+BO229/$CW229</f>
        <v>1.8419777023751818E-2</v>
      </c>
      <c r="DP229" s="1350">
        <f>+CI229/$CW229</f>
        <v>6.5438681531749879E-3</v>
      </c>
      <c r="DQ229" s="1350">
        <f t="shared" si="35"/>
        <v>9.2098885118759091E-3</v>
      </c>
      <c r="DR229" s="1395"/>
      <c r="DS229" s="1333">
        <f>+L229</f>
        <v>5</v>
      </c>
      <c r="DT229" s="1333">
        <f>+S229</f>
        <v>5</v>
      </c>
      <c r="DU229" s="1333">
        <f>+Z229</f>
        <v>2</v>
      </c>
      <c r="DV229" s="1333">
        <f>+AG229</f>
        <v>9</v>
      </c>
      <c r="DW229" s="1333">
        <f>+AN229</f>
        <v>30</v>
      </c>
      <c r="DX229" s="1333">
        <f>+AU229</f>
        <v>0</v>
      </c>
      <c r="DY229" s="1333">
        <f>+BB229</f>
        <v>1</v>
      </c>
      <c r="DZ229" s="1333">
        <f>+BI229</f>
        <v>1</v>
      </c>
      <c r="EA229" s="1333">
        <f>+BP229</f>
        <v>3</v>
      </c>
      <c r="EB229" s="1333">
        <f>+CD229</f>
        <v>0</v>
      </c>
      <c r="ED229" s="451">
        <f>-(SUMIF(DS229:EB229,"&lt;0"))</f>
        <v>0</v>
      </c>
      <c r="EE229" s="451">
        <f>(SUMIF(DS229:EB229,"&gt;0"))</f>
        <v>56</v>
      </c>
      <c r="EF229" s="451">
        <f>+EE229-ED229</f>
        <v>56</v>
      </c>
      <c r="EG229" s="1333">
        <f>+EF229-CX229</f>
        <v>0</v>
      </c>
    </row>
    <row r="230" spans="1:137" ht="15">
      <c r="A230" s="1266" t="str">
        <f>$A$18</f>
        <v>2Q</v>
      </c>
      <c r="B230" s="1266" t="str">
        <f>$B$18</f>
        <v>Jul</v>
      </c>
      <c r="C230" s="1266"/>
      <c r="D230" s="1294">
        <f t="shared" si="41"/>
        <v>2308</v>
      </c>
      <c r="E230" s="1255">
        <f t="shared" si="41"/>
        <v>13</v>
      </c>
      <c r="F230" s="1295">
        <f>+(D230/D223-1)*100</f>
        <v>3.1738936075100588</v>
      </c>
      <c r="G230" s="1296">
        <f>+N230+U230</f>
        <v>67.54721611968472</v>
      </c>
      <c r="H230" s="1297"/>
      <c r="I230" s="1295">
        <f>+(G230/G223-1)*100</f>
        <v>4.7243660770305729</v>
      </c>
      <c r="J230" s="1309"/>
      <c r="K230" s="1294">
        <f>+K229+L230</f>
        <v>1238</v>
      </c>
      <c r="L230" s="1254">
        <v>10</v>
      </c>
      <c r="M230" s="1295">
        <f>+(K230/K223-1)*100</f>
        <v>3.6850921273031911</v>
      </c>
      <c r="N230" s="1296">
        <f>N229+L230*O226/1000</f>
        <v>35.233737024221448</v>
      </c>
      <c r="O230" s="1297"/>
      <c r="P230" s="1295">
        <f>+(N230/N223-1)*100</f>
        <v>4.8623125720876459</v>
      </c>
      <c r="Q230" s="1299"/>
      <c r="R230" s="1294">
        <f>+R229+S230</f>
        <v>1070</v>
      </c>
      <c r="S230" s="1254">
        <v>3</v>
      </c>
      <c r="T230" s="1295">
        <f>+(R230/R223-1)*100</f>
        <v>2.5886864813039256</v>
      </c>
      <c r="U230" s="1296">
        <f>U229+S230*$V$163/1000</f>
        <v>32.313479095463265</v>
      </c>
      <c r="V230" s="1297"/>
      <c r="W230" s="1295">
        <f>+(U230/U223-1)*100</f>
        <v>4.5743660047354862</v>
      </c>
      <c r="X230" s="1299"/>
      <c r="Y230" s="1294">
        <f>+Y229+Z230</f>
        <v>271</v>
      </c>
      <c r="Z230" s="1254">
        <v>5</v>
      </c>
      <c r="AA230" s="1295">
        <f>+(Y230/Y223-1)*100</f>
        <v>5.0387596899224896</v>
      </c>
      <c r="AB230" s="1296">
        <f>AB229+Z230*AC226/1000</f>
        <v>7.6322448979591844</v>
      </c>
      <c r="AC230" s="1297"/>
      <c r="AD230" s="1295"/>
      <c r="AE230" s="1299"/>
      <c r="AF230" s="1294">
        <f>+AF229+AG230</f>
        <v>555</v>
      </c>
      <c r="AG230" s="1254">
        <v>6</v>
      </c>
      <c r="AH230" s="1295">
        <f>+(AF230/AF223-1)*100</f>
        <v>6.321839080459779</v>
      </c>
      <c r="AI230" s="1296">
        <f>AI229+AG230*AJ226/1000</f>
        <v>16.796052631578949</v>
      </c>
      <c r="AJ230" s="1297"/>
      <c r="AK230" s="1295">
        <f>+(AI230/AI223-1)*100</f>
        <v>8.3616298811544976</v>
      </c>
      <c r="AL230" s="1299"/>
      <c r="AM230" s="1294">
        <f>+AM229+AN230</f>
        <v>731</v>
      </c>
      <c r="AN230" s="1254">
        <v>30</v>
      </c>
      <c r="AO230" s="1295">
        <f>+(AM230/AM223-1)*100</f>
        <v>18.093699515347339</v>
      </c>
      <c r="AP230" s="1296">
        <f>AP229+AN230*AQ226/1000</f>
        <v>18.066539923954373</v>
      </c>
      <c r="AQ230" s="1297"/>
      <c r="AR230" s="1295">
        <f>+(AP230/AP223-1)*100</f>
        <v>21.2519457983515</v>
      </c>
      <c r="AS230" s="1299"/>
      <c r="AT230" s="1294">
        <f>+AT229+AU230</f>
        <v>0</v>
      </c>
      <c r="AU230" s="1254">
        <v>0</v>
      </c>
      <c r="AV230" s="1295"/>
      <c r="AW230" s="1296">
        <f>AW229+AU230*$AX$163/1000</f>
        <v>0</v>
      </c>
      <c r="AX230" s="1297"/>
      <c r="AY230" s="1295"/>
      <c r="AZ230" s="1299"/>
      <c r="BA230" s="1294">
        <f>+BA229+BB230</f>
        <v>118</v>
      </c>
      <c r="BB230" s="1254">
        <v>0</v>
      </c>
      <c r="BC230" s="1295">
        <f>+(BA230/BA223-1)*100</f>
        <v>5.3571428571428603</v>
      </c>
      <c r="BD230" s="1296">
        <f>BD229+BB230*BE226/1000</f>
        <v>2.8270833333333334</v>
      </c>
      <c r="BE230" s="1297"/>
      <c r="BF230" s="1295">
        <f>+(BD230/BD223-1)*100</f>
        <v>8.7339743589743613</v>
      </c>
      <c r="BG230" s="1295"/>
      <c r="BH230" s="1294">
        <f>+BH229+BI230</f>
        <v>58</v>
      </c>
      <c r="BI230" s="1254">
        <v>2</v>
      </c>
      <c r="BJ230" s="1295">
        <f>+(BH230/BH223-1)*100</f>
        <v>13.725490196078427</v>
      </c>
      <c r="BK230" s="1296">
        <f>BK229+BI230*BL226/1000</f>
        <v>1.2303030303030302</v>
      </c>
      <c r="BL230" s="1297"/>
      <c r="BM230" s="1295">
        <f>+(BK230/BK223-1)*100</f>
        <v>11.845730027548186</v>
      </c>
      <c r="BN230" s="1295"/>
      <c r="BO230" s="1294">
        <f>+BO229+BP230</f>
        <v>78</v>
      </c>
      <c r="BP230" s="1254">
        <v>2</v>
      </c>
      <c r="BQ230" s="1295"/>
      <c r="BR230" s="1296">
        <f>BR229+BP230*BS226/1000</f>
        <v>2.4631578947368422</v>
      </c>
      <c r="BS230" s="1297"/>
      <c r="BT230" s="1295"/>
      <c r="BU230" s="1295"/>
      <c r="BV230" s="1340">
        <f>+BV229+BW230</f>
        <v>3</v>
      </c>
      <c r="BW230" s="1358">
        <v>0</v>
      </c>
      <c r="BX230" s="1357">
        <f>+(BV230/BV223-1)*100</f>
        <v>0</v>
      </c>
      <c r="BY230" s="1359">
        <f>BY229+BW230*$BE$163/1000</f>
        <v>1.4285714285714289E-2</v>
      </c>
      <c r="BZ230" s="1360"/>
      <c r="CA230" s="1357">
        <f>+(BY230/BY223-1)*100</f>
        <v>0</v>
      </c>
      <c r="CB230" s="1299"/>
      <c r="CC230" s="1390"/>
      <c r="CD230" s="1391"/>
      <c r="CE230" s="1392"/>
      <c r="CF230" s="1393"/>
      <c r="CG230" s="1394"/>
      <c r="CH230" s="1392"/>
      <c r="CI230" s="1294">
        <f>+CI229+CJ230</f>
        <v>29</v>
      </c>
      <c r="CJ230" s="1254">
        <v>2</v>
      </c>
      <c r="CK230" s="1295"/>
      <c r="CL230" s="1296">
        <f>CL229+CJ230*CM226/1000</f>
        <v>0.96666666666666679</v>
      </c>
      <c r="CM230" s="1297"/>
      <c r="CN230" s="1295"/>
      <c r="CO230" s="1295"/>
      <c r="CP230" s="1294">
        <f>+CP229+CQ230</f>
        <v>38</v>
      </c>
      <c r="CQ230" s="1254">
        <v>0</v>
      </c>
      <c r="CR230" s="1295"/>
      <c r="CS230" s="1296">
        <f>CS229+CQ230*CT226/1000</f>
        <v>0.86857142857142855</v>
      </c>
      <c r="CT230" s="1297"/>
      <c r="CU230" s="1295"/>
      <c r="CV230" s="1299"/>
      <c r="CW230" s="1306">
        <f>+D230+Y230+AF230+AM230+AT230+BA230+BH230+BO230+CI230+CP230</f>
        <v>4186</v>
      </c>
      <c r="CX230" s="1307">
        <f>+CW230-CW229</f>
        <v>60</v>
      </c>
      <c r="CY230" s="1295">
        <f>+(CW230/CW223-1)*100</f>
        <v>6.9767441860465018</v>
      </c>
      <c r="CZ230" s="1297"/>
      <c r="DA230" s="1297"/>
      <c r="DB230" s="1296">
        <f>+G230+AB230+AI230+AP230+AW230+BD230+BK230+BR230+CL230</f>
        <v>117.52926449821709</v>
      </c>
      <c r="DC230" s="1297"/>
      <c r="DD230" s="1295">
        <f>+(DB230/DB223-1)*100</f>
        <v>8.1225984344223345</v>
      </c>
      <c r="DE230" s="1266"/>
      <c r="DF230" s="1350">
        <f>+D230/$CW230</f>
        <v>0.55136168179646439</v>
      </c>
      <c r="DG230" s="1351"/>
      <c r="DH230" s="1351"/>
      <c r="DI230" s="1350">
        <f>+Y230/$CW230</f>
        <v>6.4739608217869088E-2</v>
      </c>
      <c r="DJ230" s="1350">
        <f>+AF230/CW230</f>
        <v>0.13258480649784998</v>
      </c>
      <c r="DK230" s="1350">
        <f>+AM230/CW230</f>
        <v>0.17462971810797898</v>
      </c>
      <c r="DL230" s="1350">
        <f>+AT230/CW230</f>
        <v>0</v>
      </c>
      <c r="DM230" s="1350">
        <f>+BA230/$CW230</f>
        <v>2.818920210224558E-2</v>
      </c>
      <c r="DN230" s="1350">
        <f>+BH230/$CW230</f>
        <v>1.385570950788342E-2</v>
      </c>
      <c r="DO230" s="1350">
        <f>+BO230/$CW230</f>
        <v>1.8633540372670808E-2</v>
      </c>
      <c r="DP230" s="1350">
        <f>+CI230/$CW230</f>
        <v>6.9278547539417101E-3</v>
      </c>
      <c r="DQ230" s="1350">
        <f t="shared" si="35"/>
        <v>9.0778786430960341E-3</v>
      </c>
      <c r="DR230" s="1395"/>
      <c r="DS230" s="1333">
        <f>+L230</f>
        <v>10</v>
      </c>
      <c r="DT230" s="1333">
        <f>+S230</f>
        <v>3</v>
      </c>
      <c r="DU230" s="1333">
        <f>+Z230</f>
        <v>5</v>
      </c>
      <c r="DV230" s="1333">
        <f>+AG230</f>
        <v>6</v>
      </c>
      <c r="DW230" s="1333">
        <f>+AN230</f>
        <v>30</v>
      </c>
      <c r="DX230" s="1333">
        <f>+AU230</f>
        <v>0</v>
      </c>
      <c r="DY230" s="1333">
        <f>+BB230</f>
        <v>0</v>
      </c>
      <c r="DZ230" s="1333">
        <f>+BI230</f>
        <v>2</v>
      </c>
      <c r="EA230" s="1333">
        <f>+BP230</f>
        <v>2</v>
      </c>
      <c r="EB230" s="1333">
        <f>+CD230</f>
        <v>0</v>
      </c>
      <c r="ED230" s="451">
        <f>-(SUMIF(DS230:EB230,"&lt;0"))</f>
        <v>0</v>
      </c>
      <c r="EE230" s="451">
        <f>(SUMIF(DS230:EB230,"&gt;0"))</f>
        <v>58</v>
      </c>
      <c r="EF230" s="451">
        <f>+EE230-ED230</f>
        <v>58</v>
      </c>
      <c r="EG230" s="1333">
        <f>+EF230-CX230</f>
        <v>-2</v>
      </c>
    </row>
    <row r="231" spans="1:137" ht="15">
      <c r="A231" s="1266" t="str">
        <f>$A$19</f>
        <v>3Q</v>
      </c>
      <c r="B231" s="1266" t="str">
        <f>$B$19</f>
        <v>Oct</v>
      </c>
      <c r="C231" s="1266"/>
      <c r="D231" s="1294">
        <f t="shared" si="41"/>
        <v>2343</v>
      </c>
      <c r="E231" s="1255">
        <f t="shared" si="41"/>
        <v>35</v>
      </c>
      <c r="F231" s="1295">
        <f>+(D231/D224-1)*100</f>
        <v>2.9437609841827861</v>
      </c>
      <c r="G231" s="1296">
        <f>+N231+U231</f>
        <v>68.606873576303315</v>
      </c>
      <c r="H231" s="1297"/>
      <c r="I231" s="1295">
        <f>+(G231/G224-1)*100</f>
        <v>5.5490362712358632</v>
      </c>
      <c r="J231" s="1266"/>
      <c r="K231" s="1294">
        <f>+K230+L231</f>
        <v>1253</v>
      </c>
      <c r="L231" s="1254">
        <v>15</v>
      </c>
      <c r="M231" s="1295">
        <f>+(K231/K224-1)*100</f>
        <v>2.7891714520098532</v>
      </c>
      <c r="N231" s="1296">
        <f>N230+L231*O226/1000</f>
        <v>35.660640138408297</v>
      </c>
      <c r="O231" s="1297"/>
      <c r="P231" s="1295">
        <f>+(N231/N224-1)*100</f>
        <v>4.8842357012008675</v>
      </c>
      <c r="Q231" s="1299"/>
      <c r="R231" s="1294">
        <f>+R230+S231</f>
        <v>1090</v>
      </c>
      <c r="S231" s="1254">
        <v>20</v>
      </c>
      <c r="T231" s="1295">
        <f>+(R231/R224-1)*100</f>
        <v>3.1220435193945129</v>
      </c>
      <c r="U231" s="1296">
        <f>U230+S231*$V$163/1000</f>
        <v>32.946233437895025</v>
      </c>
      <c r="V231" s="1297"/>
      <c r="W231" s="1295">
        <f>+(U231/U224-1)*100</f>
        <v>6.2781723803065237</v>
      </c>
      <c r="X231" s="1299"/>
      <c r="Y231" s="1294">
        <f>+Y230+Z231</f>
        <v>276</v>
      </c>
      <c r="Z231" s="1254">
        <v>5</v>
      </c>
      <c r="AA231" s="1295">
        <f>+(Y231/Y224-1)*100</f>
        <v>4.1509433962264142</v>
      </c>
      <c r="AB231" s="1296">
        <f>AB230+Z231*AC226/1000</f>
        <v>7.7730612244897967</v>
      </c>
      <c r="AC231" s="1297"/>
      <c r="AD231" s="1295"/>
      <c r="AE231" s="1299"/>
      <c r="AF231" s="1294">
        <f>+AF230+AG231</f>
        <v>565</v>
      </c>
      <c r="AG231" s="1254">
        <v>10</v>
      </c>
      <c r="AH231" s="1295">
        <f>+(AF231/AF224-1)*100</f>
        <v>4.629629629629628</v>
      </c>
      <c r="AI231" s="1296">
        <f>AI230+AG231*AJ226/1000</f>
        <v>17.098684210526319</v>
      </c>
      <c r="AJ231" s="1297"/>
      <c r="AK231" s="1295">
        <f>+(AI231/AI224-1)*100</f>
        <v>8.2195203197868327</v>
      </c>
      <c r="AL231" s="1299"/>
      <c r="AM231" s="1294">
        <f>+AM230+AN231</f>
        <v>766</v>
      </c>
      <c r="AN231" s="1254">
        <v>35</v>
      </c>
      <c r="AO231" s="1295">
        <f>+(AM231/AM224-1)*100</f>
        <v>15.535444947209642</v>
      </c>
      <c r="AP231" s="1296">
        <f>AP230+AN231*AQ226/1000</f>
        <v>18.931558935361217</v>
      </c>
      <c r="AQ231" s="1297"/>
      <c r="AR231" s="1295">
        <f>+(AP231/AP224-1)*100</f>
        <v>19.819993261779857</v>
      </c>
      <c r="AS231" s="1299"/>
      <c r="AT231" s="1294">
        <f>+AT230+AU231</f>
        <v>0</v>
      </c>
      <c r="AU231" s="1254">
        <v>0</v>
      </c>
      <c r="AV231" s="1295"/>
      <c r="AW231" s="1296">
        <f>AW230+AU231*$AX$163/1000</f>
        <v>0</v>
      </c>
      <c r="AX231" s="1297"/>
      <c r="AY231" s="1295"/>
      <c r="AZ231" s="1299"/>
      <c r="BA231" s="1294">
        <f>+BA230+BB231</f>
        <v>118</v>
      </c>
      <c r="BB231" s="1254">
        <v>0</v>
      </c>
      <c r="BC231" s="1295">
        <f>+(BA231/BA224-1)*100</f>
        <v>0.85470085470085166</v>
      </c>
      <c r="BD231" s="1296">
        <f>BD230+BB231*BE226/1000</f>
        <v>2.8270833333333334</v>
      </c>
      <c r="BE231" s="1297"/>
      <c r="BF231" s="1295">
        <f>+(BD231/BD224-1)*100</f>
        <v>4.7067901234567833</v>
      </c>
      <c r="BG231" s="1295"/>
      <c r="BH231" s="1294">
        <f>+BH230+BI231</f>
        <v>60</v>
      </c>
      <c r="BI231" s="1254">
        <v>2</v>
      </c>
      <c r="BJ231" s="1295">
        <f>+(BH231/BH224-1)*100</f>
        <v>9.0909090909090828</v>
      </c>
      <c r="BK231" s="1296">
        <f>BK230+BI231*BL226/1000</f>
        <v>1.2727272727272727</v>
      </c>
      <c r="BL231" s="1297"/>
      <c r="BM231" s="1295">
        <f>+(BK231/BK224-1)*100</f>
        <v>15.702479338842966</v>
      </c>
      <c r="BN231" s="1295"/>
      <c r="BO231" s="1294">
        <f>+BO230+BP231</f>
        <v>83</v>
      </c>
      <c r="BP231" s="1254">
        <v>5</v>
      </c>
      <c r="BQ231" s="1295"/>
      <c r="BR231" s="1296">
        <f>BR230+BP231*BS226/1000</f>
        <v>2.6210526315789475</v>
      </c>
      <c r="BS231" s="1297"/>
      <c r="BT231" s="1295"/>
      <c r="BU231" s="1295"/>
      <c r="BV231" s="1340">
        <f>+BV230+BW231</f>
        <v>3</v>
      </c>
      <c r="BW231" s="1358">
        <v>0</v>
      </c>
      <c r="BX231" s="1357">
        <f>+(BV231/BV224-1)*100</f>
        <v>0</v>
      </c>
      <c r="BY231" s="1359">
        <f>BY230+BW231*$BE$163/1000</f>
        <v>1.4285714285714289E-2</v>
      </c>
      <c r="BZ231" s="1360"/>
      <c r="CA231" s="1357">
        <f>+(BY231/BY224-1)*100</f>
        <v>0</v>
      </c>
      <c r="CB231" s="1299"/>
      <c r="CC231" s="1390"/>
      <c r="CD231" s="1391"/>
      <c r="CE231" s="1392"/>
      <c r="CF231" s="1393"/>
      <c r="CG231" s="1394"/>
      <c r="CH231" s="1392"/>
      <c r="CI231" s="1294">
        <f>+CI230+CJ231</f>
        <v>35</v>
      </c>
      <c r="CJ231" s="1254">
        <v>6</v>
      </c>
      <c r="CK231" s="1295"/>
      <c r="CL231" s="1296">
        <f>CL230+CJ231*CM226/1000</f>
        <v>1.1666666666666667</v>
      </c>
      <c r="CM231" s="1297"/>
      <c r="CN231" s="1295"/>
      <c r="CO231" s="1295"/>
      <c r="CP231" s="1294">
        <f>+CP230+CQ231</f>
        <v>43</v>
      </c>
      <c r="CQ231" s="1254">
        <v>5</v>
      </c>
      <c r="CR231" s="1295"/>
      <c r="CS231" s="1296">
        <f>CS230+CQ231*CT226/1000</f>
        <v>0.98285714285714287</v>
      </c>
      <c r="CT231" s="1297"/>
      <c r="CU231" s="1295"/>
      <c r="CV231" s="1299"/>
      <c r="CW231" s="1306">
        <f>+D231+Y231+AF231+AM231+AT231+BA231+BH231+BO231+CI231+CP231</f>
        <v>4289</v>
      </c>
      <c r="CX231" s="1307">
        <f>+CW231-CW230</f>
        <v>103</v>
      </c>
      <c r="CY231" s="1295">
        <f>+(CW231/CW224-1)*100</f>
        <v>5.8489634748272401</v>
      </c>
      <c r="CZ231" s="1297"/>
      <c r="DA231" s="1297"/>
      <c r="DB231" s="1296">
        <f>+G231+AB231+AI231+AP231+AW231+BD231+BK231+BR231+CL231</f>
        <v>120.29770785098687</v>
      </c>
      <c r="DC231" s="1297"/>
      <c r="DD231" s="1295">
        <f>+(DB231/DB224-1)*100</f>
        <v>8.0841939361966588</v>
      </c>
      <c r="DE231" s="1266"/>
      <c r="DF231" s="1350">
        <f>+D231/$CW231</f>
        <v>0.54628118442527396</v>
      </c>
      <c r="DG231" s="1351"/>
      <c r="DH231" s="1351"/>
      <c r="DI231" s="1350">
        <f>+Y231/$CW231</f>
        <v>6.4350664490557236E-2</v>
      </c>
      <c r="DJ231" s="1350">
        <f>+AF231/CW231</f>
        <v>0.13173233854045233</v>
      </c>
      <c r="DK231" s="1350">
        <f>+AM231/CW231</f>
        <v>0.1785964094194451</v>
      </c>
      <c r="DL231" s="1350">
        <f>+AT231/CW231</f>
        <v>0</v>
      </c>
      <c r="DM231" s="1350">
        <f>+BA231/$CW231</f>
        <v>2.7512240615528094E-2</v>
      </c>
      <c r="DN231" s="1350">
        <f>+BH231/$CW231</f>
        <v>1.3989274889251575E-2</v>
      </c>
      <c r="DO231" s="1350">
        <f>+BO231/$CW231</f>
        <v>1.9351830263464678E-2</v>
      </c>
      <c r="DP231" s="1350">
        <f>+CI231/$CW231</f>
        <v>8.1604103520634182E-3</v>
      </c>
      <c r="DQ231" s="1350">
        <f t="shared" si="35"/>
        <v>1.0025647003963628E-2</v>
      </c>
      <c r="DR231" s="1395"/>
      <c r="DS231" s="1333">
        <f>+L231</f>
        <v>15</v>
      </c>
      <c r="DT231" s="1333">
        <f>+S231</f>
        <v>20</v>
      </c>
      <c r="DU231" s="1333">
        <f>+Z231</f>
        <v>5</v>
      </c>
      <c r="DV231" s="1333">
        <f>+AG231</f>
        <v>10</v>
      </c>
      <c r="DW231" s="1333">
        <f>+AN231</f>
        <v>35</v>
      </c>
      <c r="DX231" s="1333">
        <f>+AU231</f>
        <v>0</v>
      </c>
      <c r="DY231" s="1333">
        <f>+BB231</f>
        <v>0</v>
      </c>
      <c r="DZ231" s="1333">
        <f>+BI231</f>
        <v>2</v>
      </c>
      <c r="EA231" s="1333">
        <f>+BP231</f>
        <v>5</v>
      </c>
      <c r="EB231" s="1333">
        <f>+CD231</f>
        <v>0</v>
      </c>
      <c r="ED231" s="451">
        <f>-(SUMIF(DS231:EB231,"&lt;0"))</f>
        <v>0</v>
      </c>
      <c r="EE231" s="451">
        <f>(SUMIF(DS231:EB231,"&gt;0"))</f>
        <v>92</v>
      </c>
      <c r="EF231" s="451">
        <f>+EE231-ED231</f>
        <v>92</v>
      </c>
      <c r="EG231" s="1333">
        <f>+EF231-CX231</f>
        <v>-11</v>
      </c>
    </row>
    <row r="232" spans="1:137" ht="15">
      <c r="A232" s="1266" t="str">
        <f>$A$20</f>
        <v>4Q</v>
      </c>
      <c r="B232" s="1266" t="str">
        <f>$B$20</f>
        <v>Jan</v>
      </c>
      <c r="C232" s="1266"/>
      <c r="D232" s="1312">
        <f t="shared" si="41"/>
        <v>2350</v>
      </c>
      <c r="E232" s="1255">
        <f t="shared" si="41"/>
        <v>7</v>
      </c>
      <c r="F232" s="1295">
        <f>+(D232/D225-1)*100</f>
        <v>2.8446389496717739</v>
      </c>
      <c r="G232" s="1313">
        <f>+N232+U232</f>
        <v>68.828337596154441</v>
      </c>
      <c r="H232" s="1297"/>
      <c r="I232" s="1295">
        <f>+(G232/G225-1)*100</f>
        <v>5.4032735010022037</v>
      </c>
      <c r="J232" s="1266"/>
      <c r="K232" s="1312">
        <f>+K233</f>
        <v>1253</v>
      </c>
      <c r="L232" s="1255">
        <f>+K232-K231</f>
        <v>0</v>
      </c>
      <c r="M232" s="1295">
        <f>+(K232/K225-1)*100</f>
        <v>2.4529844644317178</v>
      </c>
      <c r="N232" s="1313">
        <f>N231+L232*O226/1000</f>
        <v>35.660640138408297</v>
      </c>
      <c r="O232" s="1297"/>
      <c r="P232" s="1295">
        <f>+(N232/N225-1)*100</f>
        <v>4.5766572973850339</v>
      </c>
      <c r="Q232" s="1299"/>
      <c r="R232" s="1312">
        <f>+R233</f>
        <v>1097</v>
      </c>
      <c r="S232" s="1255">
        <f>+R232-R231</f>
        <v>7</v>
      </c>
      <c r="T232" s="1295">
        <f>+(R232/R225-1)*100</f>
        <v>3.2956685499058391</v>
      </c>
      <c r="U232" s="1313">
        <f>U231+S232*$V$163/1000</f>
        <v>33.167697457746144</v>
      </c>
      <c r="V232" s="1297"/>
      <c r="W232" s="1295">
        <f>+(U232/U225-1)*100</f>
        <v>6.3067226209812421</v>
      </c>
      <c r="X232" s="1299"/>
      <c r="Y232" s="1312">
        <f>+Y233</f>
        <v>279</v>
      </c>
      <c r="Z232" s="1255">
        <f>+Y232-Y231</f>
        <v>3</v>
      </c>
      <c r="AA232" s="1295">
        <f>+(Y232/Y225-1)*100</f>
        <v>5.6818181818181879</v>
      </c>
      <c r="AB232" s="1313">
        <f>AB231+Z232*AC226/1000</f>
        <v>7.857551020408164</v>
      </c>
      <c r="AC232" s="1297"/>
      <c r="AD232" s="1295">
        <f>+(AB232/AB225-1)*100</f>
        <v>6.1831218974076174</v>
      </c>
      <c r="AE232" s="1299"/>
      <c r="AF232" s="1312">
        <f>+AF233</f>
        <v>565</v>
      </c>
      <c r="AG232" s="1255">
        <f>+AF232-AF231</f>
        <v>0</v>
      </c>
      <c r="AH232" s="1295">
        <f>+(AF232/AF225-1)*100</f>
        <v>4.629629629629628</v>
      </c>
      <c r="AI232" s="1313">
        <f>AI231+AG232*AJ226/1000</f>
        <v>17.098684210526319</v>
      </c>
      <c r="AJ232" s="1297"/>
      <c r="AK232" s="1295">
        <f>+(AI232/AI225-1)*100</f>
        <v>8.2195203197868327</v>
      </c>
      <c r="AL232" s="1299"/>
      <c r="AM232" s="1312">
        <f>+AM233</f>
        <v>771</v>
      </c>
      <c r="AN232" s="1255">
        <f>+AM232-AM231</f>
        <v>5</v>
      </c>
      <c r="AO232" s="1295">
        <f>+(AM232/AM225-1)*100</f>
        <v>14.903129657228021</v>
      </c>
      <c r="AP232" s="1313">
        <f>AP231+AN232*AQ226/1000</f>
        <v>19.055133079847909</v>
      </c>
      <c r="AQ232" s="1297"/>
      <c r="AR232" s="1295">
        <f>+(AP232/AP225-1)*100</f>
        <v>19.843604275773007</v>
      </c>
      <c r="AS232" s="1299"/>
      <c r="AT232" s="1312">
        <f>+AT233</f>
        <v>0</v>
      </c>
      <c r="AU232" s="1255">
        <f>+AT232-AT231</f>
        <v>0</v>
      </c>
      <c r="AV232" s="1295"/>
      <c r="AW232" s="1313">
        <f>AW231+AU232*$AX$163/1000</f>
        <v>0</v>
      </c>
      <c r="AX232" s="1297"/>
      <c r="AY232" s="1295"/>
      <c r="AZ232" s="1299"/>
      <c r="BA232" s="1312">
        <f>+BA233</f>
        <v>122</v>
      </c>
      <c r="BB232" s="1255">
        <f>+BA232-BA231</f>
        <v>4</v>
      </c>
      <c r="BC232" s="1295">
        <f>+(BA232/BA225-1)*100</f>
        <v>4.2735042735042805</v>
      </c>
      <c r="BD232" s="1313">
        <f>BD231+BB232*BE226/1000</f>
        <v>2.9229166666666666</v>
      </c>
      <c r="BE232" s="1297"/>
      <c r="BF232" s="1295">
        <f>+(BD232/BD225-1)*100</f>
        <v>8.2561728395061706</v>
      </c>
      <c r="BG232" s="1295"/>
      <c r="BH232" s="1312">
        <f>+BH233</f>
        <v>60</v>
      </c>
      <c r="BI232" s="1255">
        <f>+BH232-BH231</f>
        <v>0</v>
      </c>
      <c r="BJ232" s="1295">
        <f>+(BH232/BH225-1)*100</f>
        <v>9.0909090909090828</v>
      </c>
      <c r="BK232" s="1313">
        <f>BK231+BI232*BL226/1000</f>
        <v>1.2727272727272727</v>
      </c>
      <c r="BL232" s="1297"/>
      <c r="BM232" s="1295">
        <f>+(BK232/BK225-1)*100</f>
        <v>15.702479338842966</v>
      </c>
      <c r="BN232" s="1295"/>
      <c r="BO232" s="1312">
        <f>+BO233</f>
        <v>83</v>
      </c>
      <c r="BP232" s="1255">
        <f>+BO232-BO231</f>
        <v>0</v>
      </c>
      <c r="BQ232" s="1295"/>
      <c r="BR232" s="1313">
        <f>BR231+BP232*BS226/1000</f>
        <v>2.6210526315789475</v>
      </c>
      <c r="BS232" s="1297"/>
      <c r="BT232" s="1295"/>
      <c r="BU232" s="1295"/>
      <c r="BV232" s="1361">
        <f>+BV233</f>
        <v>3</v>
      </c>
      <c r="BW232" s="1358">
        <f>+BV232-BV231</f>
        <v>0</v>
      </c>
      <c r="BX232" s="1357">
        <f>+(BV232/BV225-1)*100</f>
        <v>0</v>
      </c>
      <c r="BY232" s="1362">
        <f>BY231+BW232*$BE$163/1000</f>
        <v>1.4285714285714289E-2</v>
      </c>
      <c r="BZ232" s="1360"/>
      <c r="CA232" s="1357">
        <f>+(BY232/BY225-1)*100</f>
        <v>0</v>
      </c>
      <c r="CB232" s="1299"/>
      <c r="CC232" s="1396"/>
      <c r="CD232" s="1391"/>
      <c r="CE232" s="1392"/>
      <c r="CF232" s="1397"/>
      <c r="CG232" s="1394"/>
      <c r="CH232" s="1392"/>
      <c r="CI232" s="1312">
        <f>+CI233</f>
        <v>35</v>
      </c>
      <c r="CJ232" s="1255">
        <f>+CI232-CI231</f>
        <v>0</v>
      </c>
      <c r="CK232" s="1295"/>
      <c r="CL232" s="1313">
        <f>CL231+CJ232*CM226/1000</f>
        <v>1.1666666666666667</v>
      </c>
      <c r="CM232" s="1297"/>
      <c r="CN232" s="1295"/>
      <c r="CO232" s="1295"/>
      <c r="CP232" s="1312">
        <f>+CP233</f>
        <v>43</v>
      </c>
      <c r="CQ232" s="1254">
        <v>0</v>
      </c>
      <c r="CR232" s="1295"/>
      <c r="CS232" s="1313">
        <f>CS231+CQ232*CT226/1000</f>
        <v>0.98285714285714287</v>
      </c>
      <c r="CT232" s="1297"/>
      <c r="CU232" s="1295"/>
      <c r="CV232" s="1299"/>
      <c r="CW232" s="1312">
        <f>+D232+Y232+AF232+AM232+AT232+BA232+BH232+BO232+CI232+CP232</f>
        <v>4308</v>
      </c>
      <c r="CX232" s="1307">
        <f>+CW232-CW231</f>
        <v>19</v>
      </c>
      <c r="CY232" s="1295">
        <f>+(CW232/CW225-1)*100</f>
        <v>5.8476658476658505</v>
      </c>
      <c r="CZ232" s="1297"/>
      <c r="DA232" s="1297"/>
      <c r="DB232" s="1313">
        <f>+G232+AB232+AI232+AP232+AW232+BD232+BK232+BR232+CL232</f>
        <v>120.82306914457638</v>
      </c>
      <c r="DC232" s="1297"/>
      <c r="DD232" s="1295">
        <f>+(DB232/DB225-1)*100</f>
        <v>9.0460912857187594</v>
      </c>
      <c r="DE232" s="1266"/>
      <c r="DF232" s="1350">
        <f>+D232/$CW232</f>
        <v>0.54549675023212629</v>
      </c>
      <c r="DG232" s="1351"/>
      <c r="DH232" s="1351"/>
      <c r="DI232" s="1350">
        <f>+Y232/$CW232</f>
        <v>6.4763231197771581E-2</v>
      </c>
      <c r="DJ232" s="1350">
        <f>+AF232/CW232</f>
        <v>0.13115134633240483</v>
      </c>
      <c r="DK232" s="1350">
        <f>+AM232/CW232</f>
        <v>0.17896935933147631</v>
      </c>
      <c r="DL232" s="1350">
        <f>+AT232/CW232</f>
        <v>0</v>
      </c>
      <c r="DM232" s="1350">
        <f>+BA232/$CW232</f>
        <v>2.8319405756731662E-2</v>
      </c>
      <c r="DN232" s="1350">
        <f>+BH232/$CW232</f>
        <v>1.3927576601671309E-2</v>
      </c>
      <c r="DO232" s="1350">
        <f>+BO232/$CW232</f>
        <v>1.9266480965645313E-2</v>
      </c>
      <c r="DP232" s="1350">
        <f>+CI232/$CW232</f>
        <v>8.1244196843082636E-3</v>
      </c>
      <c r="DQ232" s="1350">
        <f t="shared" si="35"/>
        <v>9.981429897864439E-3</v>
      </c>
      <c r="DR232" s="1395"/>
      <c r="DS232" s="1333">
        <f>+L232</f>
        <v>0</v>
      </c>
      <c r="DT232" s="1333">
        <f>+S232</f>
        <v>7</v>
      </c>
      <c r="DU232" s="1333">
        <f>+Z232</f>
        <v>3</v>
      </c>
      <c r="DV232" s="1333">
        <f>+AG232</f>
        <v>0</v>
      </c>
      <c r="DW232" s="1333">
        <f>+AN232</f>
        <v>5</v>
      </c>
      <c r="DX232" s="1333">
        <f>+AU232</f>
        <v>0</v>
      </c>
      <c r="DY232" s="1333">
        <f>+BB232</f>
        <v>4</v>
      </c>
      <c r="DZ232" s="1333">
        <f>+BI232</f>
        <v>0</v>
      </c>
      <c r="EA232" s="1333">
        <f>+BP232</f>
        <v>0</v>
      </c>
      <c r="EB232" s="1333">
        <f>+CD232</f>
        <v>0</v>
      </c>
      <c r="ED232" s="451">
        <f>-(SUMIF(DS232:EB232,"&lt;0"))</f>
        <v>0</v>
      </c>
      <c r="EE232" s="451">
        <f>(SUMIF(DS232:EB232,"&gt;0"))</f>
        <v>19</v>
      </c>
      <c r="EF232" s="451">
        <f>+EE232-ED232</f>
        <v>19</v>
      </c>
      <c r="EG232" s="1333">
        <f>+EF232-CX232</f>
        <v>0</v>
      </c>
    </row>
    <row r="233" spans="1:137" ht="15">
      <c r="A233" s="1266"/>
      <c r="B233" s="1266" t="str">
        <f>$B$21</f>
        <v>Year</v>
      </c>
      <c r="C233" s="1266"/>
      <c r="D233" s="1306">
        <f>+D232</f>
        <v>2350</v>
      </c>
      <c r="E233" s="1317">
        <f>+D233-D226</f>
        <v>65</v>
      </c>
      <c r="F233" s="1295">
        <f>+(D233/D226-1)*100</f>
        <v>2.8446389496717739</v>
      </c>
      <c r="G233" s="1296">
        <f>+N233+U233</f>
        <v>68.777621270483763</v>
      </c>
      <c r="H233" s="1297">
        <f>+G233/D233*1000</f>
        <v>29.267072881056919</v>
      </c>
      <c r="I233" s="1295">
        <f>+(G233/G226-1)*100</f>
        <v>2.8570206020508193</v>
      </c>
      <c r="J233" s="1266"/>
      <c r="K233" s="1306">
        <f>+L233+K226</f>
        <v>1253</v>
      </c>
      <c r="L233" s="1256">
        <v>30</v>
      </c>
      <c r="M233" s="1295">
        <f>+(K233/K226-1)*100</f>
        <v>2.4529844644317178</v>
      </c>
      <c r="N233" s="1296">
        <f>+K233*O233/1000</f>
        <v>35.660640138408297</v>
      </c>
      <c r="O233" s="1297">
        <f>+O226</f>
        <v>28.460207612456745</v>
      </c>
      <c r="P233" s="1295">
        <f>+(N233/N226-1)*100</f>
        <v>2.4529844644317178</v>
      </c>
      <c r="Q233" s="1299"/>
      <c r="R233" s="1306">
        <f>+S233+R226</f>
        <v>1097</v>
      </c>
      <c r="S233" s="1256">
        <v>35</v>
      </c>
      <c r="T233" s="1295">
        <f>+(R233/R226-1)*100</f>
        <v>3.2956685499058391</v>
      </c>
      <c r="U233" s="1296">
        <f>+R233*V233/1000</f>
        <v>33.116981132075473</v>
      </c>
      <c r="V233" s="1297">
        <f>+V226</f>
        <v>30.188679245283019</v>
      </c>
      <c r="W233" s="1295">
        <f>+(U233/U226-1)*100</f>
        <v>3.2956685499058613</v>
      </c>
      <c r="X233" s="1299"/>
      <c r="Y233" s="1306">
        <f>+Z233+Y226</f>
        <v>279</v>
      </c>
      <c r="Z233" s="1256">
        <v>15</v>
      </c>
      <c r="AA233" s="1295">
        <f>+(Y233/Y226-1)*100</f>
        <v>5.6818181818181879</v>
      </c>
      <c r="AB233" s="1296">
        <f>+Y233*AC233/1000</f>
        <v>7.857551020408164</v>
      </c>
      <c r="AC233" s="1297">
        <f>+AC226</f>
        <v>28.163265306122451</v>
      </c>
      <c r="AD233" s="1295">
        <f>+(AB233/AB226-1)*100</f>
        <v>5.6818181818181879</v>
      </c>
      <c r="AE233" s="1299"/>
      <c r="AF233" s="1306">
        <f>+AG233+AF226</f>
        <v>565</v>
      </c>
      <c r="AG233" s="1256">
        <v>25</v>
      </c>
      <c r="AH233" s="1295">
        <f>+(AF233/AF226-1)*100</f>
        <v>4.629629629629628</v>
      </c>
      <c r="AI233" s="1296">
        <f>+AF233*AJ233/1000</f>
        <v>17.098684210526315</v>
      </c>
      <c r="AJ233" s="1297">
        <f>+AJ226</f>
        <v>30.263157894736842</v>
      </c>
      <c r="AK233" s="1295">
        <f>+(AI233/AI226-1)*100</f>
        <v>4.629629629629628</v>
      </c>
      <c r="AL233" s="1299"/>
      <c r="AM233" s="1306">
        <f>+AN233+AM226</f>
        <v>771</v>
      </c>
      <c r="AN233" s="1256">
        <v>100</v>
      </c>
      <c r="AO233" s="1295">
        <f>+(AM233/AM226-1)*100</f>
        <v>14.903129657228021</v>
      </c>
      <c r="AP233" s="1296">
        <f>+AM233*AQ233/1000</f>
        <v>19.055133079847909</v>
      </c>
      <c r="AQ233" s="1297">
        <f>+AQ226</f>
        <v>24.714828897338403</v>
      </c>
      <c r="AR233" s="1295">
        <f>+(AP233/AP226-1)*100</f>
        <v>14.903129657227998</v>
      </c>
      <c r="AS233" s="1299"/>
      <c r="AT233" s="1306">
        <f>+AU233+AT226</f>
        <v>0</v>
      </c>
      <c r="AU233" s="1256">
        <v>0</v>
      </c>
      <c r="AV233" s="1295"/>
      <c r="AW233" s="1296">
        <f>+AT233*AX233/1000</f>
        <v>0</v>
      </c>
      <c r="AX233" s="1297">
        <f>+AX226</f>
        <v>26</v>
      </c>
      <c r="AY233" s="1295"/>
      <c r="AZ233" s="1299"/>
      <c r="BA233" s="1306">
        <f>+BB233+BA226</f>
        <v>122</v>
      </c>
      <c r="BB233" s="1256">
        <v>5</v>
      </c>
      <c r="BC233" s="1295">
        <f>+(BA233/BA226-1)*100</f>
        <v>4.2735042735042805</v>
      </c>
      <c r="BD233" s="1296">
        <f>+BA233*BE233/1000</f>
        <v>2.9229166666666666</v>
      </c>
      <c r="BE233" s="1297">
        <f>+BE226</f>
        <v>23.958333333333332</v>
      </c>
      <c r="BF233" s="1295">
        <f>+(BD233/BD226-1)*100</f>
        <v>4.2735042735042583</v>
      </c>
      <c r="BG233" s="1295"/>
      <c r="BH233" s="1306">
        <f>+BI233+BH226</f>
        <v>60</v>
      </c>
      <c r="BI233" s="1256">
        <v>5</v>
      </c>
      <c r="BJ233" s="1295">
        <f>+(BH233/BH226-1)*100</f>
        <v>9.0909090909090828</v>
      </c>
      <c r="BK233" s="1296">
        <f>+BH233*BL233/1000</f>
        <v>1.2727272727272727</v>
      </c>
      <c r="BL233" s="1297">
        <f>+BL226</f>
        <v>21.212121212121211</v>
      </c>
      <c r="BM233" s="1295">
        <f>+(BK233/BK226-1)*100</f>
        <v>9.0909090909091042</v>
      </c>
      <c r="BN233" s="1295"/>
      <c r="BO233" s="1306">
        <f>+BP233+BO226</f>
        <v>83</v>
      </c>
      <c r="BP233" s="1256">
        <v>10</v>
      </c>
      <c r="BQ233" s="1295"/>
      <c r="BR233" s="1296">
        <f>+BO233*BS233/1000</f>
        <v>2.6210526315789475</v>
      </c>
      <c r="BS233" s="1297">
        <f>+BS226</f>
        <v>31.578947368421055</v>
      </c>
      <c r="BT233" s="1295"/>
      <c r="BU233" s="1295"/>
      <c r="BV233" s="1337">
        <f>+BW233+BV226</f>
        <v>3</v>
      </c>
      <c r="BW233" s="1343">
        <v>0</v>
      </c>
      <c r="BX233" s="1357">
        <f>+(BV233/BV226-1)*100</f>
        <v>0</v>
      </c>
      <c r="BY233" s="1359">
        <f>+BV233*BZ233/1000</f>
        <v>1.4285714285714289E-2</v>
      </c>
      <c r="BZ233" s="1360">
        <f>+BZ226</f>
        <v>4.7619047619047628</v>
      </c>
      <c r="CA233" s="1357">
        <f>+(BY233/BY226-1)*100</f>
        <v>0</v>
      </c>
      <c r="CB233" s="1299"/>
      <c r="CC233" s="1398"/>
      <c r="CD233" s="1399"/>
      <c r="CE233" s="1392"/>
      <c r="CF233" s="1393"/>
      <c r="CG233" s="1394"/>
      <c r="CH233" s="1392"/>
      <c r="CI233" s="1306">
        <f>+CJ233+CI226</f>
        <v>35</v>
      </c>
      <c r="CJ233" s="1256">
        <v>8</v>
      </c>
      <c r="CK233" s="1295"/>
      <c r="CL233" s="1296">
        <f>+CI233*CM233/1000</f>
        <v>1.1666666666666667</v>
      </c>
      <c r="CM233" s="1297">
        <f>+CM226</f>
        <v>33.333333333333336</v>
      </c>
      <c r="CN233" s="1295"/>
      <c r="CO233" s="1295"/>
      <c r="CP233" s="1306">
        <f>+CQ233+CP226</f>
        <v>43</v>
      </c>
      <c r="CQ233" s="1256">
        <v>5</v>
      </c>
      <c r="CR233" s="1295"/>
      <c r="CS233" s="1296">
        <f>+CP233*CT233/1000</f>
        <v>0.98285714285714287</v>
      </c>
      <c r="CT233" s="1297">
        <f>+CT226</f>
        <v>22.857142857142858</v>
      </c>
      <c r="CU233" s="1295"/>
      <c r="CV233" s="1299"/>
      <c r="CW233" s="1306">
        <f>+D233+Y233+AF233+AM233+AT233+BA233+BH233+BO233+CI233+CP233</f>
        <v>4308</v>
      </c>
      <c r="CX233" s="1317">
        <f>+E233+Z233+AG233+AN233+AU233+BB233+BI233+BP233+CJ233+CQ233</f>
        <v>238</v>
      </c>
      <c r="CY233" s="1295">
        <f>+(CW233/CW226-1)*100</f>
        <v>5.8476658476658505</v>
      </c>
      <c r="CZ233" s="1297"/>
      <c r="DA233" s="1297"/>
      <c r="DB233" s="1296">
        <f>+G233+AB233+AI233+AP233+AW233+BD233+BK233+BR233+CL233+CS233</f>
        <v>121.75520996176284</v>
      </c>
      <c r="DC233" s="1297">
        <f>+DB233/CW233*1000</f>
        <v>28.262583556583763</v>
      </c>
      <c r="DD233" s="1295">
        <f>+(DB233/DB226-1)*100</f>
        <v>5.6245507148401819</v>
      </c>
      <c r="DE233" s="1266"/>
      <c r="DF233" s="1350">
        <f>+D233/$CW233</f>
        <v>0.54549675023212629</v>
      </c>
      <c r="DG233" s="1351"/>
      <c r="DH233" s="1351"/>
      <c r="DI233" s="1350">
        <f>+Y233/$CW233</f>
        <v>6.4763231197771581E-2</v>
      </c>
      <c r="DJ233" s="1350">
        <f>+AF233/CW233</f>
        <v>0.13115134633240483</v>
      </c>
      <c r="DK233" s="1350">
        <f>+AM233/CW233</f>
        <v>0.17896935933147631</v>
      </c>
      <c r="DL233" s="1350">
        <f>+AT233/CW233</f>
        <v>0</v>
      </c>
      <c r="DM233" s="1350">
        <f>+BA233/$CW233</f>
        <v>2.8319405756731662E-2</v>
      </c>
      <c r="DN233" s="1350">
        <f>+BH233/$CW233</f>
        <v>1.3927576601671309E-2</v>
      </c>
      <c r="DO233" s="1350">
        <f>+BO233/$CW233</f>
        <v>1.9266480965645313E-2</v>
      </c>
      <c r="DP233" s="1350">
        <f>+CI233/$CW233</f>
        <v>8.1244196843082636E-3</v>
      </c>
      <c r="DQ233" s="1350">
        <f t="shared" si="35"/>
        <v>9.981429897864439E-3</v>
      </c>
      <c r="DR233" s="1395"/>
      <c r="ED233" s="693">
        <f>SUM(ED229:ED232)</f>
        <v>0</v>
      </c>
      <c r="EE233" s="693">
        <f>SUM(EE229:EE232)</f>
        <v>225</v>
      </c>
      <c r="EF233" s="693">
        <f>+EE233-ED233</f>
        <v>225</v>
      </c>
      <c r="EG233" s="1417">
        <f>+EF233-CX233</f>
        <v>-13</v>
      </c>
    </row>
    <row r="234" spans="1:137" ht="15">
      <c r="A234" s="1266"/>
      <c r="B234" s="1266"/>
      <c r="C234" s="1266"/>
      <c r="D234" s="1306"/>
      <c r="E234" s="1317"/>
      <c r="F234" s="1295"/>
      <c r="G234" s="1296"/>
      <c r="H234" s="1297"/>
      <c r="I234" s="1295"/>
      <c r="J234" s="1266"/>
      <c r="K234" s="1306"/>
      <c r="L234" s="1256"/>
      <c r="M234" s="1295"/>
      <c r="N234" s="1296"/>
      <c r="O234" s="1297"/>
      <c r="P234" s="1295"/>
      <c r="Q234" s="1299"/>
      <c r="R234" s="1306"/>
      <c r="S234" s="1256"/>
      <c r="T234" s="1295"/>
      <c r="U234" s="1296"/>
      <c r="V234" s="1297"/>
      <c r="W234" s="1295"/>
      <c r="X234" s="1299"/>
      <c r="Y234" s="1306"/>
      <c r="Z234" s="1256"/>
      <c r="AA234" s="1295"/>
      <c r="AB234" s="1296"/>
      <c r="AC234" s="1297"/>
      <c r="AD234" s="1295"/>
      <c r="AE234" s="1299"/>
      <c r="AF234" s="1306"/>
      <c r="AG234" s="1256"/>
      <c r="AH234" s="1295"/>
      <c r="AI234" s="1296"/>
      <c r="AJ234" s="1297"/>
      <c r="AK234" s="1295"/>
      <c r="AL234" s="1299"/>
      <c r="AM234" s="1306"/>
      <c r="AN234" s="1256"/>
      <c r="AO234" s="1295"/>
      <c r="AP234" s="1296"/>
      <c r="AQ234" s="1297"/>
      <c r="AR234" s="1295"/>
      <c r="AS234" s="1299"/>
      <c r="AT234" s="1306"/>
      <c r="AU234" s="1256"/>
      <c r="AV234" s="1295"/>
      <c r="AW234" s="1296"/>
      <c r="AX234" s="1297"/>
      <c r="AY234" s="1295"/>
      <c r="AZ234" s="1299"/>
      <c r="BA234" s="1306"/>
      <c r="BB234" s="1256"/>
      <c r="BC234" s="1295"/>
      <c r="BD234" s="1296"/>
      <c r="BE234" s="1297"/>
      <c r="BF234" s="1295"/>
      <c r="BG234" s="1295"/>
      <c r="BH234" s="1306"/>
      <c r="BI234" s="1256"/>
      <c r="BJ234" s="1295"/>
      <c r="BK234" s="1296"/>
      <c r="BL234" s="1297"/>
      <c r="BM234" s="1295"/>
      <c r="BN234" s="1295"/>
      <c r="BO234" s="1306"/>
      <c r="BP234" s="1256"/>
      <c r="BQ234" s="1295"/>
      <c r="BR234" s="1296"/>
      <c r="BS234" s="1297"/>
      <c r="BT234" s="1295"/>
      <c r="BU234" s="1295"/>
      <c r="BV234" s="1337"/>
      <c r="BW234" s="1343"/>
      <c r="BX234" s="1357"/>
      <c r="BY234" s="1359"/>
      <c r="BZ234" s="1360"/>
      <c r="CA234" s="1357"/>
      <c r="CB234" s="1299"/>
      <c r="CC234" s="1398"/>
      <c r="CD234" s="1399"/>
      <c r="CE234" s="1392"/>
      <c r="CF234" s="1393"/>
      <c r="CG234" s="1394"/>
      <c r="CH234" s="1392"/>
      <c r="CI234" s="1306"/>
      <c r="CJ234" s="1256"/>
      <c r="CK234" s="1295"/>
      <c r="CL234" s="1296"/>
      <c r="CM234" s="1297"/>
      <c r="CN234" s="1295"/>
      <c r="CO234" s="1295"/>
      <c r="CP234" s="1306"/>
      <c r="CQ234" s="1256"/>
      <c r="CR234" s="1295"/>
      <c r="CS234" s="1296"/>
      <c r="CT234" s="1297"/>
      <c r="CU234" s="1295"/>
      <c r="CV234" s="1299"/>
      <c r="CW234" s="1306">
        <f>CW233-CW226</f>
        <v>238</v>
      </c>
      <c r="CX234" s="1317"/>
      <c r="CY234" s="1295"/>
      <c r="CZ234" s="1297"/>
      <c r="DA234" s="1297"/>
      <c r="DB234" s="1296"/>
      <c r="DC234" s="1297"/>
      <c r="DD234" s="1295"/>
      <c r="DE234" s="1266"/>
      <c r="DF234" s="1350"/>
      <c r="DG234" s="1351"/>
      <c r="DH234" s="1351"/>
      <c r="DI234" s="1350"/>
      <c r="DJ234" s="1350"/>
      <c r="DK234" s="1350"/>
      <c r="DL234" s="1350"/>
      <c r="DM234" s="1350"/>
      <c r="DN234" s="1350"/>
      <c r="DO234" s="1350"/>
      <c r="DP234" s="1350"/>
      <c r="DQ234" s="1350"/>
      <c r="DR234" s="1395"/>
      <c r="ED234" s="693"/>
      <c r="EE234" s="693"/>
      <c r="EF234" s="693"/>
      <c r="EG234" s="1417"/>
    </row>
    <row r="235" spans="1:137" ht="15.75">
      <c r="A235" s="2117">
        <f>+A228+1</f>
        <v>2019</v>
      </c>
      <c r="B235" s="2117"/>
      <c r="C235" s="1266"/>
      <c r="D235" s="1335"/>
      <c r="E235" s="1269"/>
      <c r="F235" s="1302"/>
      <c r="G235" s="1335"/>
      <c r="H235" s="1268"/>
      <c r="I235" s="1295"/>
      <c r="J235" s="1266"/>
      <c r="K235" s="1336"/>
      <c r="L235" s="1269"/>
      <c r="M235" s="1268"/>
      <c r="N235" s="1336"/>
      <c r="O235" s="1268"/>
      <c r="P235" s="1295"/>
      <c r="Q235" s="1268"/>
      <c r="R235" s="1336"/>
      <c r="S235" s="1269"/>
      <c r="T235" s="1268"/>
      <c r="U235" s="1336"/>
      <c r="V235" s="1268"/>
      <c r="W235" s="1295"/>
      <c r="X235" s="1268"/>
      <c r="Y235" s="1336"/>
      <c r="Z235" s="1269"/>
      <c r="AA235" s="1268"/>
      <c r="AB235" s="1336"/>
      <c r="AC235" s="1268"/>
      <c r="AD235" s="1295"/>
      <c r="AE235" s="1268"/>
      <c r="AF235" s="1336"/>
      <c r="AG235" s="1269"/>
      <c r="AH235" s="1270"/>
      <c r="AI235" s="1336"/>
      <c r="AJ235" s="1268"/>
      <c r="AK235" s="1302"/>
      <c r="AL235" s="1268"/>
      <c r="AM235" s="1336"/>
      <c r="AN235" s="1269"/>
      <c r="AO235" s="1268"/>
      <c r="AP235" s="1336"/>
      <c r="AQ235" s="1268"/>
      <c r="AR235" s="1295"/>
      <c r="AS235" s="1268"/>
      <c r="AT235" s="1336"/>
      <c r="AU235" s="1269"/>
      <c r="AV235" s="1266"/>
      <c r="AW235" s="1336"/>
      <c r="AX235" s="1268"/>
      <c r="AY235" s="1295"/>
      <c r="AZ235" s="1266"/>
      <c r="BA235" s="1336"/>
      <c r="BB235" s="1269"/>
      <c r="BC235" s="1266"/>
      <c r="BD235" s="1336"/>
      <c r="BE235" s="1268"/>
      <c r="BF235" s="1295"/>
      <c r="BG235" s="1295"/>
      <c r="BH235" s="1405"/>
      <c r="BI235" s="1401"/>
      <c r="BJ235" s="1402"/>
      <c r="BK235" s="1336"/>
      <c r="BL235" s="1400"/>
      <c r="BM235" s="1295"/>
      <c r="BN235" s="1295"/>
      <c r="BO235" s="1405"/>
      <c r="BP235" s="1401"/>
      <c r="BQ235" s="1402"/>
      <c r="BR235" s="1336"/>
      <c r="BS235" s="1400"/>
      <c r="BT235" s="1295"/>
      <c r="BU235" s="1295"/>
      <c r="BV235" s="1345"/>
      <c r="BW235" s="1354"/>
      <c r="BX235" s="1355"/>
      <c r="BY235" s="1345"/>
      <c r="BZ235" s="1356"/>
      <c r="CA235" s="1357"/>
      <c r="CB235" s="1266"/>
      <c r="CC235" s="1405"/>
      <c r="CD235" s="1401"/>
      <c r="CE235" s="1402"/>
      <c r="CF235" s="1405"/>
      <c r="CG235" s="1400"/>
      <c r="CH235" s="1392"/>
      <c r="CI235" s="1405"/>
      <c r="CJ235" s="1401"/>
      <c r="CK235" s="1402"/>
      <c r="CL235" s="1336"/>
      <c r="CM235" s="1400"/>
      <c r="CN235" s="1295"/>
      <c r="CO235" s="1295"/>
      <c r="CP235" s="1405"/>
      <c r="CQ235" s="1401"/>
      <c r="CR235" s="1402"/>
      <c r="CS235" s="1336"/>
      <c r="CT235" s="1400"/>
      <c r="CU235" s="1295"/>
      <c r="CV235" s="1266"/>
      <c r="CW235" s="1335"/>
      <c r="CX235" s="1266"/>
      <c r="CY235" s="1266"/>
      <c r="CZ235" s="1266"/>
      <c r="DA235" s="1266"/>
      <c r="DB235" s="1335"/>
      <c r="DC235" s="1268"/>
      <c r="DD235" s="1302"/>
      <c r="DE235" s="1266"/>
      <c r="DF235" s="1266"/>
      <c r="DG235" s="1266"/>
      <c r="DH235" s="1266"/>
      <c r="DI235" s="1266"/>
      <c r="DJ235" s="1266"/>
      <c r="DK235" s="1266"/>
      <c r="DL235" s="1266"/>
      <c r="DM235" s="1266"/>
      <c r="DN235" s="1266"/>
      <c r="DO235" s="1266"/>
      <c r="DP235" s="1266"/>
      <c r="DQ235" s="1266"/>
    </row>
    <row r="236" spans="1:137" ht="15">
      <c r="A236" s="1266" t="str">
        <f>$A$17</f>
        <v>1Q</v>
      </c>
      <c r="B236" s="1266" t="str">
        <f>$B$17</f>
        <v>Apr</v>
      </c>
      <c r="C236" s="1266"/>
      <c r="D236" s="1294">
        <f t="shared" ref="D236:E239" si="42">+K236+R236</f>
        <v>2360</v>
      </c>
      <c r="E236" s="1255">
        <f t="shared" si="42"/>
        <v>10</v>
      </c>
      <c r="F236" s="1295">
        <f>+(D236/D229-1)*100</f>
        <v>2.8322440087146017</v>
      </c>
      <c r="G236" s="1296">
        <f>+N236+U236</f>
        <v>69.070865704772473</v>
      </c>
      <c r="H236" s="1297"/>
      <c r="I236" s="1295">
        <f>+(G236/G229-1)*100</f>
        <v>2.8334523696615488</v>
      </c>
      <c r="J236" s="1266"/>
      <c r="K236" s="1294">
        <f>+K233+L236</f>
        <v>1258</v>
      </c>
      <c r="L236" s="1254">
        <v>5</v>
      </c>
      <c r="M236" s="1295">
        <f>+(K236/K229-1)*100</f>
        <v>2.4429967426710109</v>
      </c>
      <c r="N236" s="1296">
        <f>N233+L236*O233/1000</f>
        <v>35.802941176470583</v>
      </c>
      <c r="O236" s="1297"/>
      <c r="P236" s="1295">
        <f>+(N236/N229-1)*100</f>
        <v>2.4429967426710109</v>
      </c>
      <c r="Q236" s="1299"/>
      <c r="R236" s="1294">
        <f>+R233+S236</f>
        <v>1102</v>
      </c>
      <c r="S236" s="1254">
        <v>5</v>
      </c>
      <c r="T236" s="1295">
        <f>+(R236/R229-1)*100</f>
        <v>3.2802249297094743</v>
      </c>
      <c r="U236" s="1296">
        <f>U233+S236*V233/1000</f>
        <v>33.26792452830189</v>
      </c>
      <c r="V236" s="1297"/>
      <c r="W236" s="1295">
        <f>+(U236/U229-1)*100</f>
        <v>3.2569996629399967</v>
      </c>
      <c r="X236" s="1299"/>
      <c r="Y236" s="1294">
        <f>+Y233+Z236</f>
        <v>281</v>
      </c>
      <c r="Z236" s="1254">
        <v>2</v>
      </c>
      <c r="AA236" s="1295">
        <f>+(Y236/Y229-1)*100</f>
        <v>5.6390977443609103</v>
      </c>
      <c r="AB236" s="1296">
        <f>AB233+Z236*AC233/1000</f>
        <v>7.9138775510204091</v>
      </c>
      <c r="AC236" s="1297"/>
      <c r="AD236" s="1295"/>
      <c r="AE236" s="1299"/>
      <c r="AF236" s="1294">
        <f>+AF233+AG236</f>
        <v>574</v>
      </c>
      <c r="AG236" s="1254">
        <v>9</v>
      </c>
      <c r="AH236" s="1295">
        <f>+(AF236/AF229-1)*100</f>
        <v>4.5537340619307809</v>
      </c>
      <c r="AI236" s="1296">
        <f>AI233+AG236*AJ233/1000</f>
        <v>17.371052631578948</v>
      </c>
      <c r="AJ236" s="1297"/>
      <c r="AK236" s="1295">
        <f>+(AI236/AI229-1)*100</f>
        <v>4.5537340619307809</v>
      </c>
      <c r="AL236" s="1299"/>
      <c r="AM236" s="1294">
        <f>+AM233+AN236</f>
        <v>778</v>
      </c>
      <c r="AN236" s="1254">
        <v>7</v>
      </c>
      <c r="AO236" s="1295">
        <f>+(AM236/AM229-1)*100</f>
        <v>10.984308131241093</v>
      </c>
      <c r="AP236" s="1296">
        <f>AP233+AN236*AQ233/1000</f>
        <v>19.228136882129277</v>
      </c>
      <c r="AQ236" s="1297"/>
      <c r="AR236" s="1295">
        <f>+(AP236/AP229-1)*100</f>
        <v>10.984308131241072</v>
      </c>
      <c r="AS236" s="1299"/>
      <c r="AT236" s="1294">
        <f>+AT233+AU236</f>
        <v>0</v>
      </c>
      <c r="AU236" s="1254">
        <v>0</v>
      </c>
      <c r="AV236" s="1295"/>
      <c r="AW236" s="1296">
        <f>AW233+AU236*$AX$163/1000</f>
        <v>0</v>
      </c>
      <c r="AX236" s="1297"/>
      <c r="AY236" s="1295"/>
      <c r="AZ236" s="1299"/>
      <c r="BA236" s="1294">
        <f>+BA233+BB236</f>
        <v>123</v>
      </c>
      <c r="BB236" s="1254">
        <v>1</v>
      </c>
      <c r="BC236" s="1295">
        <f>+(BA236/BA229-1)*100</f>
        <v>4.2372881355932313</v>
      </c>
      <c r="BD236" s="1296">
        <f>BD233+BB236*BE233/1000</f>
        <v>2.9468749999999999</v>
      </c>
      <c r="BE236" s="1297"/>
      <c r="BF236" s="1295">
        <f>+(BD236/BD229-1)*100</f>
        <v>4.237288135593209</v>
      </c>
      <c r="BG236" s="1295"/>
      <c r="BH236" s="1294">
        <f>+BH233+BI236</f>
        <v>63</v>
      </c>
      <c r="BI236" s="1254">
        <v>3</v>
      </c>
      <c r="BJ236" s="1295">
        <f>+(BH236/BH229-1)*100</f>
        <v>12.5</v>
      </c>
      <c r="BK236" s="1296">
        <f>BK233+BI236*BL233/1000</f>
        <v>1.3363636363636364</v>
      </c>
      <c r="BL236" s="1297"/>
      <c r="BM236" s="1295">
        <f>+(BK236/BK229-1)*100</f>
        <v>12.500000000000021</v>
      </c>
      <c r="BN236" s="1295"/>
      <c r="BO236" s="1294">
        <f>+BO233+BP236</f>
        <v>86</v>
      </c>
      <c r="BP236" s="1254">
        <v>3</v>
      </c>
      <c r="BQ236" s="1295"/>
      <c r="BR236" s="1296">
        <f>BR233+BP236*BS233/1000</f>
        <v>2.7157894736842105</v>
      </c>
      <c r="BS236" s="1297"/>
      <c r="BT236" s="1295"/>
      <c r="BU236" s="1295"/>
      <c r="BV236" s="1340">
        <f>+BV233+BW236</f>
        <v>3</v>
      </c>
      <c r="BW236" s="1358">
        <v>0</v>
      </c>
      <c r="BX236" s="1357">
        <f>+(BV236/BV229-1)*100</f>
        <v>0</v>
      </c>
      <c r="BY236" s="1359">
        <f>BY233+BW236*$BL$163/1000</f>
        <v>1.4285714285714289E-2</v>
      </c>
      <c r="BZ236" s="1360"/>
      <c r="CA236" s="1357">
        <f>+(BY236/BY229-1)*100</f>
        <v>0</v>
      </c>
      <c r="CB236" s="1299"/>
      <c r="CC236" s="1390"/>
      <c r="CD236" s="1391"/>
      <c r="CE236" s="1392"/>
      <c r="CF236" s="1393"/>
      <c r="CG236" s="1394"/>
      <c r="CH236" s="1392"/>
      <c r="CI236" s="1294">
        <f>+CI233+CJ236</f>
        <v>35</v>
      </c>
      <c r="CJ236" s="1254">
        <v>0</v>
      </c>
      <c r="CK236" s="1295"/>
      <c r="CL236" s="1296">
        <f>CL233+CJ236*CM233/1000</f>
        <v>1.1666666666666667</v>
      </c>
      <c r="CM236" s="1297"/>
      <c r="CN236" s="1295"/>
      <c r="CO236" s="1295"/>
      <c r="CP236" s="1294">
        <f>+CP233+CQ236</f>
        <v>43</v>
      </c>
      <c r="CQ236" s="1254">
        <v>0</v>
      </c>
      <c r="CR236" s="1295"/>
      <c r="CS236" s="1296">
        <f>CS233+CQ236*CT233/1000</f>
        <v>0.98285714285714287</v>
      </c>
      <c r="CT236" s="1297"/>
      <c r="CU236" s="1295"/>
      <c r="CV236" s="1299"/>
      <c r="CW236" s="1306">
        <f>+D236+Y236+AF236+AM236+AT236+BA236+BH236+BO236+CI236</f>
        <v>4300</v>
      </c>
      <c r="CX236" s="1307">
        <f>+CW236-CW232</f>
        <v>-8</v>
      </c>
      <c r="CY236" s="1295">
        <f>+(CW236/CW229-1)*100</f>
        <v>4.2171594764905507</v>
      </c>
      <c r="CZ236" s="1297"/>
      <c r="DA236" s="1297"/>
      <c r="DB236" s="1296">
        <f>+G236+AB236+AI236+AP236+AW236+BD236+BK236+BR236+CL236</f>
        <v>121.74962754621563</v>
      </c>
      <c r="DC236" s="1297"/>
      <c r="DD236" s="1295">
        <f>+(DB236/DB229-1)*100</f>
        <v>5.0347536293111839</v>
      </c>
      <c r="DE236" s="1266"/>
      <c r="DF236" s="1350">
        <f>+D236/$CW236</f>
        <v>0.5488372093023256</v>
      </c>
      <c r="DG236" s="1351"/>
      <c r="DH236" s="1351"/>
      <c r="DI236" s="1350">
        <f>+Y236/$CW236</f>
        <v>6.5348837209302332E-2</v>
      </c>
      <c r="DJ236" s="1350">
        <f>+AF236/CW236</f>
        <v>0.13348837209302325</v>
      </c>
      <c r="DK236" s="1350">
        <f>+AM236/CW236</f>
        <v>0.18093023255813953</v>
      </c>
      <c r="DL236" s="1350">
        <f>+AT236/CW236</f>
        <v>0</v>
      </c>
      <c r="DM236" s="1350">
        <f>+BA236/$CW236</f>
        <v>2.8604651162790699E-2</v>
      </c>
      <c r="DN236" s="1350">
        <f>+BH236/$CW236</f>
        <v>1.4651162790697675E-2</v>
      </c>
      <c r="DO236" s="1350">
        <f>+BO236/$CW236</f>
        <v>0.02</v>
      </c>
      <c r="DP236" s="1350">
        <f>+CI236/$CW236</f>
        <v>8.1395348837209301E-3</v>
      </c>
      <c r="DQ236" s="1350">
        <f t="shared" si="35"/>
        <v>0.01</v>
      </c>
      <c r="DR236" s="1395"/>
      <c r="DS236" s="1333">
        <f>+L236</f>
        <v>5</v>
      </c>
      <c r="DT236" s="1333">
        <f>+S236</f>
        <v>5</v>
      </c>
      <c r="DU236" s="1333">
        <f>+Z236</f>
        <v>2</v>
      </c>
      <c r="DV236" s="1333">
        <f>+AG236</f>
        <v>9</v>
      </c>
      <c r="DW236" s="1333">
        <f>+AN236</f>
        <v>7</v>
      </c>
      <c r="DX236" s="1333">
        <f>+AU236</f>
        <v>0</v>
      </c>
      <c r="DY236" s="1333">
        <f>+BB236</f>
        <v>1</v>
      </c>
      <c r="DZ236" s="1333">
        <f>+BI236</f>
        <v>3</v>
      </c>
      <c r="EA236" s="1333">
        <f>+BP236</f>
        <v>3</v>
      </c>
      <c r="EB236" s="1333">
        <f>+CD236</f>
        <v>0</v>
      </c>
      <c r="ED236" s="451">
        <f>-(SUMIF(DS236:EB236,"&lt;0"))</f>
        <v>0</v>
      </c>
      <c r="EE236" s="451">
        <f>(SUMIF(DS236:EB236,"&gt;0"))</f>
        <v>35</v>
      </c>
      <c r="EF236" s="451">
        <f>+EE236-ED236</f>
        <v>35</v>
      </c>
      <c r="EG236" s="1333">
        <f>+EF236-CX236</f>
        <v>43</v>
      </c>
    </row>
    <row r="237" spans="1:137" ht="15">
      <c r="A237" s="1266" t="str">
        <f>$A$18</f>
        <v>2Q</v>
      </c>
      <c r="B237" s="1266" t="str">
        <f>$B$18</f>
        <v>Jul</v>
      </c>
      <c r="C237" s="1266"/>
      <c r="D237" s="1294">
        <f t="shared" si="42"/>
        <v>2373</v>
      </c>
      <c r="E237" s="1255">
        <f t="shared" si="42"/>
        <v>13</v>
      </c>
      <c r="F237" s="1295">
        <f>+(D237/D230-1)*100</f>
        <v>2.8162911611785191</v>
      </c>
      <c r="G237" s="1296">
        <f>+N237+U237</f>
        <v>69.446033818632884</v>
      </c>
      <c r="H237" s="1297"/>
      <c r="I237" s="1295">
        <f>+(G237/G230-1)*100</f>
        <v>2.811096900845933</v>
      </c>
      <c r="J237" s="1309"/>
      <c r="K237" s="1294">
        <f>+K236+L237</f>
        <v>1268</v>
      </c>
      <c r="L237" s="1254">
        <v>10</v>
      </c>
      <c r="M237" s="1295">
        <f>+(K237/K230-1)*100</f>
        <v>2.4232633279483107</v>
      </c>
      <c r="N237" s="1296">
        <f>N236+L237*O233/1000</f>
        <v>36.087543252595147</v>
      </c>
      <c r="O237" s="1297"/>
      <c r="P237" s="1295">
        <f>+(N237/N230-1)*100</f>
        <v>2.4232633279482885</v>
      </c>
      <c r="Q237" s="1299"/>
      <c r="R237" s="1294">
        <f>+R236+S237</f>
        <v>1105</v>
      </c>
      <c r="S237" s="1254">
        <v>3</v>
      </c>
      <c r="T237" s="1295">
        <f>+(R237/R230-1)*100</f>
        <v>3.2710280373831724</v>
      </c>
      <c r="U237" s="1296">
        <f>U236+S237*V233/1000</f>
        <v>33.358490566037737</v>
      </c>
      <c r="V237" s="1297"/>
      <c r="W237" s="1295">
        <f>+(U237/U230-1)*100</f>
        <v>3.2339800597986024</v>
      </c>
      <c r="X237" s="1299"/>
      <c r="Y237" s="1294">
        <f>+Y236+Z237</f>
        <v>286</v>
      </c>
      <c r="Z237" s="1254">
        <v>5</v>
      </c>
      <c r="AA237" s="1295">
        <f>+(Y237/Y230-1)*100</f>
        <v>5.5350553505534972</v>
      </c>
      <c r="AB237" s="1296">
        <f>AB236+Z237*AC233/1000</f>
        <v>8.0546938775510206</v>
      </c>
      <c r="AC237" s="1297"/>
      <c r="AD237" s="1295"/>
      <c r="AE237" s="1299"/>
      <c r="AF237" s="1294">
        <f>+AF236+AG237</f>
        <v>586</v>
      </c>
      <c r="AG237" s="1254">
        <v>12</v>
      </c>
      <c r="AH237" s="1295">
        <f>+(AF237/AF230-1)*100</f>
        <v>5.5855855855855951</v>
      </c>
      <c r="AI237" s="1296">
        <f>AI236+AG237*AJ233/1000</f>
        <v>17.734210526315788</v>
      </c>
      <c r="AJ237" s="1297"/>
      <c r="AK237" s="1295">
        <f>+(AI237/AI230-1)*100</f>
        <v>5.5855855855855729</v>
      </c>
      <c r="AL237" s="1299"/>
      <c r="AM237" s="1294">
        <f>+AM236+AN237</f>
        <v>785</v>
      </c>
      <c r="AN237" s="1254">
        <v>7</v>
      </c>
      <c r="AO237" s="1295">
        <f>+(AM237/AM230-1)*100</f>
        <v>7.3871409028727797</v>
      </c>
      <c r="AP237" s="1296">
        <f>AP236+AN237*AQ233/1000</f>
        <v>19.401140684410645</v>
      </c>
      <c r="AQ237" s="1297"/>
      <c r="AR237" s="1295">
        <f>+(AP237/AP230-1)*100</f>
        <v>7.3871409028727575</v>
      </c>
      <c r="AS237" s="1299"/>
      <c r="AT237" s="1294">
        <f>+AT236+AU237</f>
        <v>0</v>
      </c>
      <c r="AU237" s="1254">
        <v>0</v>
      </c>
      <c r="AV237" s="1295"/>
      <c r="AW237" s="1296">
        <f>AW236+AU237*$AX$163/1000</f>
        <v>0</v>
      </c>
      <c r="AX237" s="1297"/>
      <c r="AY237" s="1295"/>
      <c r="AZ237" s="1299"/>
      <c r="BA237" s="1294">
        <f>+BA236+BB237</f>
        <v>123</v>
      </c>
      <c r="BB237" s="1254">
        <v>0</v>
      </c>
      <c r="BC237" s="1295">
        <f>+(BA237/BA230-1)*100</f>
        <v>4.2372881355932313</v>
      </c>
      <c r="BD237" s="1296">
        <f>BD236+BB237*BE233/1000</f>
        <v>2.9468749999999999</v>
      </c>
      <c r="BE237" s="1297"/>
      <c r="BF237" s="1295">
        <f>+(BD237/BD230-1)*100</f>
        <v>4.237288135593209</v>
      </c>
      <c r="BG237" s="1295"/>
      <c r="BH237" s="1294">
        <f>+BH236+BI237</f>
        <v>66</v>
      </c>
      <c r="BI237" s="1254">
        <v>3</v>
      </c>
      <c r="BJ237" s="1295">
        <f>+(BH237/BH230-1)*100</f>
        <v>13.793103448275868</v>
      </c>
      <c r="BK237" s="1296">
        <f>BK236+BI237*BL233/1000</f>
        <v>1.4000000000000001</v>
      </c>
      <c r="BL237" s="1297"/>
      <c r="BM237" s="1295">
        <f>+(BK237/BK230-1)*100</f>
        <v>13.79310344827589</v>
      </c>
      <c r="BN237" s="1295"/>
      <c r="BO237" s="1294">
        <f>+BO236+BP237</f>
        <v>91</v>
      </c>
      <c r="BP237" s="1254">
        <v>5</v>
      </c>
      <c r="BQ237" s="1295"/>
      <c r="BR237" s="1296">
        <f>BR236+BP237*BS233/1000</f>
        <v>2.8736842105263158</v>
      </c>
      <c r="BS237" s="1297"/>
      <c r="BT237" s="1295"/>
      <c r="BU237" s="1295"/>
      <c r="BV237" s="1340">
        <f>+BV236+BW237</f>
        <v>3</v>
      </c>
      <c r="BW237" s="1358">
        <v>0</v>
      </c>
      <c r="BX237" s="1357">
        <f>+(BV237/BV230-1)*100</f>
        <v>0</v>
      </c>
      <c r="BY237" s="1359">
        <f>BY236+BW237*$BE$163/1000</f>
        <v>1.4285714285714289E-2</v>
      </c>
      <c r="BZ237" s="1360"/>
      <c r="CA237" s="1357">
        <f>+(BY237/BY230-1)*100</f>
        <v>0</v>
      </c>
      <c r="CB237" s="1299"/>
      <c r="CC237" s="1390"/>
      <c r="CD237" s="1391"/>
      <c r="CE237" s="1392"/>
      <c r="CF237" s="1393"/>
      <c r="CG237" s="1394"/>
      <c r="CH237" s="1392"/>
      <c r="CI237" s="1294">
        <f>+CI236+CJ237</f>
        <v>35</v>
      </c>
      <c r="CJ237" s="1254">
        <v>0</v>
      </c>
      <c r="CK237" s="1295"/>
      <c r="CL237" s="1296">
        <f>CL236+CJ237*CM233/1000</f>
        <v>1.1666666666666667</v>
      </c>
      <c r="CM237" s="1297"/>
      <c r="CN237" s="1295"/>
      <c r="CO237" s="1295"/>
      <c r="CP237" s="1294">
        <f>+CP236+CQ237</f>
        <v>43</v>
      </c>
      <c r="CQ237" s="1254">
        <v>0</v>
      </c>
      <c r="CR237" s="1295"/>
      <c r="CS237" s="1296">
        <f>CS236+CQ237*CT233/1000</f>
        <v>0.98285714285714287</v>
      </c>
      <c r="CT237" s="1297"/>
      <c r="CU237" s="1295"/>
      <c r="CV237" s="1299"/>
      <c r="CW237" s="1306">
        <f>+D237+Y237+AF237+AM237+AT237+BA237+BH237+BO237+CI237</f>
        <v>4345</v>
      </c>
      <c r="CX237" s="1307">
        <f>+CW237-CW236</f>
        <v>45</v>
      </c>
      <c r="CY237" s="1295">
        <f>+(CW237/CW230-1)*100</f>
        <v>3.7983755375059713</v>
      </c>
      <c r="CZ237" s="1297"/>
      <c r="DA237" s="1297"/>
      <c r="DB237" s="1296">
        <f>+G237+AB237+AI237+AP237+AW237+BD237+BK237+BR237+CL237</f>
        <v>123.02330478410335</v>
      </c>
      <c r="DC237" s="1297"/>
      <c r="DD237" s="1295">
        <f>+(DB237/DB230-1)*100</f>
        <v>4.6746147092323609</v>
      </c>
      <c r="DE237" s="1266"/>
      <c r="DF237" s="1350">
        <f>+D237/$CW237</f>
        <v>0.54614499424626006</v>
      </c>
      <c r="DG237" s="1351"/>
      <c r="DH237" s="1351"/>
      <c r="DI237" s="1350">
        <f>+Y237/$CW237</f>
        <v>6.5822784810126586E-2</v>
      </c>
      <c r="DJ237" s="1350">
        <f>+AF237/CW237</f>
        <v>0.13486766398158803</v>
      </c>
      <c r="DK237" s="1350">
        <f>+AM237/CW237</f>
        <v>0.1806674338319908</v>
      </c>
      <c r="DL237" s="1350">
        <f>+AT237/CW237</f>
        <v>0</v>
      </c>
      <c r="DM237" s="1350">
        <f>+BA237/$CW237</f>
        <v>2.8308400460299196E-2</v>
      </c>
      <c r="DN237" s="1350">
        <f>+BH237/$CW237</f>
        <v>1.5189873417721518E-2</v>
      </c>
      <c r="DO237" s="1350">
        <f>+BO237/$CW237</f>
        <v>2.0943613348676639E-2</v>
      </c>
      <c r="DP237" s="1350">
        <f>+CI237/$CW237</f>
        <v>8.0552359033371698E-3</v>
      </c>
      <c r="DQ237" s="1350">
        <f t="shared" si="35"/>
        <v>9.8964326812428071E-3</v>
      </c>
      <c r="DR237" s="1395"/>
      <c r="DS237" s="1333">
        <f>+L237</f>
        <v>10</v>
      </c>
      <c r="DT237" s="1333">
        <f>+S237</f>
        <v>3</v>
      </c>
      <c r="DU237" s="1333">
        <f>+Z237</f>
        <v>5</v>
      </c>
      <c r="DV237" s="1333">
        <f>+AG237</f>
        <v>12</v>
      </c>
      <c r="DW237" s="1333">
        <f>+AN237</f>
        <v>7</v>
      </c>
      <c r="DX237" s="1333">
        <f>+AU237</f>
        <v>0</v>
      </c>
      <c r="DY237" s="1333">
        <f>+BB237</f>
        <v>0</v>
      </c>
      <c r="DZ237" s="1333">
        <f>+BI237</f>
        <v>3</v>
      </c>
      <c r="EA237" s="1333">
        <f>+BP237</f>
        <v>5</v>
      </c>
      <c r="EB237" s="1333">
        <f>+CD237</f>
        <v>0</v>
      </c>
      <c r="ED237" s="451">
        <f>-(SUMIF(DS237:EB237,"&lt;0"))</f>
        <v>0</v>
      </c>
      <c r="EE237" s="451">
        <f>(SUMIF(DS237:EB237,"&gt;0"))</f>
        <v>45</v>
      </c>
      <c r="EF237" s="451">
        <f>+EE237-ED237</f>
        <v>45</v>
      </c>
      <c r="EG237" s="1333">
        <f>+EF237-CX237</f>
        <v>0</v>
      </c>
    </row>
    <row r="238" spans="1:137" ht="15">
      <c r="A238" s="1266" t="str">
        <f>$A$19</f>
        <v>3Q</v>
      </c>
      <c r="B238" s="1266" t="str">
        <f>$B$19</f>
        <v>Oct</v>
      </c>
      <c r="C238" s="1266"/>
      <c r="D238" s="1294">
        <f t="shared" si="42"/>
        <v>2408</v>
      </c>
      <c r="E238" s="1255">
        <f t="shared" si="42"/>
        <v>35</v>
      </c>
      <c r="F238" s="1295">
        <f>+(D238/D231-1)*100</f>
        <v>2.7742210840802306</v>
      </c>
      <c r="G238" s="1296">
        <f>+N238+U238</f>
        <v>70.476710517725394</v>
      </c>
      <c r="H238" s="1297"/>
      <c r="I238" s="1295">
        <f>+(G238/G231-1)*100</f>
        <v>2.7254367440931127</v>
      </c>
      <c r="J238" s="1266"/>
      <c r="K238" s="1294">
        <f>+K237+L238</f>
        <v>1283</v>
      </c>
      <c r="L238" s="1254">
        <v>15</v>
      </c>
      <c r="M238" s="1295">
        <f>+(K238/K231-1)*100</f>
        <v>2.3942537909018347</v>
      </c>
      <c r="N238" s="1296">
        <f>N237+L238*O233/1000</f>
        <v>36.514446366781996</v>
      </c>
      <c r="O238" s="1297"/>
      <c r="P238" s="1295">
        <f>+(N238/N231-1)*100</f>
        <v>2.3942537909018347</v>
      </c>
      <c r="Q238" s="1299"/>
      <c r="R238" s="1294">
        <f>+R237+S238</f>
        <v>1125</v>
      </c>
      <c r="S238" s="1254">
        <v>20</v>
      </c>
      <c r="T238" s="1295">
        <f>+(R238/R231-1)*100</f>
        <v>3.2110091743119185</v>
      </c>
      <c r="U238" s="1296">
        <f>U237+S238*V233/1000</f>
        <v>33.962264150943398</v>
      </c>
      <c r="V238" s="1297"/>
      <c r="W238" s="1295">
        <f>+(U238/U231-1)*100</f>
        <v>3.0839055243253588</v>
      </c>
      <c r="X238" s="1299"/>
      <c r="Y238" s="1294">
        <f>+Y237+Z238</f>
        <v>291</v>
      </c>
      <c r="Z238" s="1254">
        <v>5</v>
      </c>
      <c r="AA238" s="1295">
        <f>+(Y238/Y231-1)*100</f>
        <v>5.4347826086956541</v>
      </c>
      <c r="AB238" s="1296">
        <f>AB237+Z238*AC233/1000</f>
        <v>8.1955102040816321</v>
      </c>
      <c r="AC238" s="1297"/>
      <c r="AD238" s="1295"/>
      <c r="AE238" s="1299"/>
      <c r="AF238" s="1294">
        <f>+AF237+AG238</f>
        <v>596</v>
      </c>
      <c r="AG238" s="1254">
        <v>10</v>
      </c>
      <c r="AH238" s="1295">
        <f>+(AF238/AF231-1)*100</f>
        <v>5.4867256637168182</v>
      </c>
      <c r="AI238" s="1296">
        <f>AI237+AG238*AJ233/1000</f>
        <v>18.036842105263158</v>
      </c>
      <c r="AJ238" s="1297"/>
      <c r="AK238" s="1295">
        <f>+(AI238/AI231-1)*100</f>
        <v>5.486725663716796</v>
      </c>
      <c r="AL238" s="1299"/>
      <c r="AM238" s="1294">
        <f>+AM237+AN238</f>
        <v>794</v>
      </c>
      <c r="AN238" s="1254">
        <v>9</v>
      </c>
      <c r="AO238" s="1295">
        <f>+(AM238/AM231-1)*100</f>
        <v>3.6553524804177506</v>
      </c>
      <c r="AP238" s="1296">
        <f>AP237+AN238*AQ233/1000</f>
        <v>19.623574144486692</v>
      </c>
      <c r="AQ238" s="1297"/>
      <c r="AR238" s="1295">
        <f>+(AP238/AP231-1)*100</f>
        <v>3.6553524804177506</v>
      </c>
      <c r="AS238" s="1299"/>
      <c r="AT238" s="1294">
        <f>+AT237+AU238</f>
        <v>0</v>
      </c>
      <c r="AU238" s="1254">
        <v>0</v>
      </c>
      <c r="AV238" s="1295"/>
      <c r="AW238" s="1296">
        <f>AW237+AU238*$AX$163/1000</f>
        <v>0</v>
      </c>
      <c r="AX238" s="1297"/>
      <c r="AY238" s="1295"/>
      <c r="AZ238" s="1299"/>
      <c r="BA238" s="1294">
        <f>+BA237+BB238</f>
        <v>123</v>
      </c>
      <c r="BB238" s="1254">
        <v>0</v>
      </c>
      <c r="BC238" s="1295">
        <f>+(BA238/BA231-1)*100</f>
        <v>4.2372881355932313</v>
      </c>
      <c r="BD238" s="1296">
        <f>BD237+BB238*BE233/1000</f>
        <v>2.9468749999999999</v>
      </c>
      <c r="BE238" s="1297"/>
      <c r="BF238" s="1295">
        <f>+(BD238/BD231-1)*100</f>
        <v>4.237288135593209</v>
      </c>
      <c r="BG238" s="1295"/>
      <c r="BH238" s="1294">
        <f>+BH237+BI238</f>
        <v>69</v>
      </c>
      <c r="BI238" s="1254">
        <v>3</v>
      </c>
      <c r="BJ238" s="1295">
        <f>+(BH238/BH231-1)*100</f>
        <v>14.999999999999991</v>
      </c>
      <c r="BK238" s="1296">
        <f>BK237+BI238*BL233/1000</f>
        <v>1.4636363636363638</v>
      </c>
      <c r="BL238" s="1297"/>
      <c r="BM238" s="1295">
        <f>+(BK238/BK231-1)*100</f>
        <v>15.000000000000014</v>
      </c>
      <c r="BN238" s="1295"/>
      <c r="BO238" s="1294">
        <f>+BO237+BP238</f>
        <v>96</v>
      </c>
      <c r="BP238" s="1254">
        <v>5</v>
      </c>
      <c r="BQ238" s="1295"/>
      <c r="BR238" s="1296">
        <f>BR237+BP238*BS233/1000</f>
        <v>3.0315789473684212</v>
      </c>
      <c r="BS238" s="1297"/>
      <c r="BT238" s="1295"/>
      <c r="BU238" s="1295"/>
      <c r="BV238" s="1340">
        <f>+BV237+BW238</f>
        <v>3</v>
      </c>
      <c r="BW238" s="1358">
        <v>0</v>
      </c>
      <c r="BX238" s="1357">
        <f>+(BV238/BV231-1)*100</f>
        <v>0</v>
      </c>
      <c r="BY238" s="1359">
        <f>BY237+BW238*$BE$163/1000</f>
        <v>1.4285714285714289E-2</v>
      </c>
      <c r="BZ238" s="1360"/>
      <c r="CA238" s="1357">
        <f>+(BY238/BY231-1)*100</f>
        <v>0</v>
      </c>
      <c r="CB238" s="1299"/>
      <c r="CC238" s="1390"/>
      <c r="CD238" s="1391"/>
      <c r="CE238" s="1392"/>
      <c r="CF238" s="1393"/>
      <c r="CG238" s="1394"/>
      <c r="CH238" s="1392"/>
      <c r="CI238" s="1294">
        <f>+CI237+CJ238</f>
        <v>35</v>
      </c>
      <c r="CJ238" s="1254">
        <v>0</v>
      </c>
      <c r="CK238" s="1295"/>
      <c r="CL238" s="1296">
        <f>CL237+CJ238*CM233/1000</f>
        <v>1.1666666666666667</v>
      </c>
      <c r="CM238" s="1297"/>
      <c r="CN238" s="1295"/>
      <c r="CO238" s="1295"/>
      <c r="CP238" s="1294">
        <f>+CP237+CQ238</f>
        <v>43</v>
      </c>
      <c r="CQ238" s="1254">
        <v>0</v>
      </c>
      <c r="CR238" s="1295"/>
      <c r="CS238" s="1296">
        <f>CS237+CQ238*CT233/1000</f>
        <v>0.98285714285714287</v>
      </c>
      <c r="CT238" s="1297"/>
      <c r="CU238" s="1295"/>
      <c r="CV238" s="1299"/>
      <c r="CW238" s="1306">
        <f>+D238+Y238+AF238+AM238+AT238+BA238+BH238+BO238+CI238</f>
        <v>4412</v>
      </c>
      <c r="CX238" s="1307">
        <f>+CW238-CW237</f>
        <v>67</v>
      </c>
      <c r="CY238" s="1295">
        <f>+(CW238/CW231-1)*100</f>
        <v>2.8678013522965617</v>
      </c>
      <c r="CZ238" s="1297"/>
      <c r="DA238" s="1297"/>
      <c r="DB238" s="1296">
        <f>+G238+AB238+AI238+AP238+AW238+BD238+BK238+BR238+CL238</f>
        <v>124.94139394922834</v>
      </c>
      <c r="DC238" s="1297"/>
      <c r="DD238" s="1295">
        <f>+(DB238/DB231-1)*100</f>
        <v>3.8601617447222125</v>
      </c>
      <c r="DE238" s="1266"/>
      <c r="DF238" s="1350">
        <f>+D238/$CW238</f>
        <v>0.54578422484134181</v>
      </c>
      <c r="DG238" s="1351"/>
      <c r="DH238" s="1351"/>
      <c r="DI238" s="1350">
        <f>+Y238/$CW238</f>
        <v>6.595648232094288E-2</v>
      </c>
      <c r="DJ238" s="1350">
        <f>+AF238/CW238</f>
        <v>0.13508612873980055</v>
      </c>
      <c r="DK238" s="1350">
        <f>+AM238/CW238</f>
        <v>0.17996373526745241</v>
      </c>
      <c r="DL238" s="1350">
        <f>+AT238/CW238</f>
        <v>0</v>
      </c>
      <c r="DM238" s="1350">
        <f>+BA238/$CW238</f>
        <v>2.7878513145965549E-2</v>
      </c>
      <c r="DN238" s="1350">
        <f>+BH238/$CW238</f>
        <v>1.5639165911151404E-2</v>
      </c>
      <c r="DO238" s="1350">
        <f>+BO238/$CW238</f>
        <v>2.1758839528558477E-2</v>
      </c>
      <c r="DP238" s="1350">
        <f>+CI238/$CW238</f>
        <v>7.9329102447869455E-3</v>
      </c>
      <c r="DQ238" s="1350">
        <f t="shared" si="35"/>
        <v>9.7461468721668186E-3</v>
      </c>
      <c r="DR238" s="1395"/>
      <c r="DS238" s="1333">
        <f>+L238</f>
        <v>15</v>
      </c>
      <c r="DT238" s="1333">
        <f>+S238</f>
        <v>20</v>
      </c>
      <c r="DU238" s="1333">
        <f>+Z238</f>
        <v>5</v>
      </c>
      <c r="DV238" s="1333">
        <f>+AG238</f>
        <v>10</v>
      </c>
      <c r="DW238" s="1333">
        <f>+AN238</f>
        <v>9</v>
      </c>
      <c r="DX238" s="1333">
        <f>+AU238</f>
        <v>0</v>
      </c>
      <c r="DY238" s="1333">
        <f>+BB238</f>
        <v>0</v>
      </c>
      <c r="DZ238" s="1333">
        <f>+BI238</f>
        <v>3</v>
      </c>
      <c r="EA238" s="1333">
        <f>+BP238</f>
        <v>5</v>
      </c>
      <c r="EB238" s="1333">
        <f>+CD238</f>
        <v>0</v>
      </c>
      <c r="ED238" s="451">
        <f>-(SUMIF(DS238:EB238,"&lt;0"))</f>
        <v>0</v>
      </c>
      <c r="EE238" s="451">
        <f>(SUMIF(DS238:EB238,"&gt;0"))</f>
        <v>67</v>
      </c>
      <c r="EF238" s="451">
        <f>+EE238-ED238</f>
        <v>67</v>
      </c>
      <c r="EG238" s="1333">
        <f>+EF238-CX238</f>
        <v>0</v>
      </c>
    </row>
    <row r="239" spans="1:137" ht="15">
      <c r="A239" s="1266" t="str">
        <f>$A$20</f>
        <v>4Q</v>
      </c>
      <c r="B239" s="1266" t="str">
        <f>$B$20</f>
        <v>Jan</v>
      </c>
      <c r="C239" s="1266"/>
      <c r="D239" s="1312">
        <f t="shared" si="42"/>
        <v>2410</v>
      </c>
      <c r="E239" s="1255">
        <f t="shared" si="42"/>
        <v>2</v>
      </c>
      <c r="F239" s="1295">
        <f>+(D239/D232-1)*100</f>
        <v>2.5531914893617058</v>
      </c>
      <c r="G239" s="1313">
        <f>+N239+U239</f>
        <v>70.537087876215963</v>
      </c>
      <c r="H239" s="1297"/>
      <c r="I239" s="1295">
        <f>+(G239/G232-1)*100</f>
        <v>2.4826261097391278</v>
      </c>
      <c r="J239" s="1266"/>
      <c r="K239" s="1312">
        <f>+K240</f>
        <v>1283</v>
      </c>
      <c r="L239" s="1255">
        <f>+K239-K238</f>
        <v>0</v>
      </c>
      <c r="M239" s="1295">
        <f>+(K239/K232-1)*100</f>
        <v>2.3942537909018347</v>
      </c>
      <c r="N239" s="1313">
        <f>N238+L239*O233/1000</f>
        <v>36.514446366781996</v>
      </c>
      <c r="O239" s="1297"/>
      <c r="P239" s="1295">
        <f>+(N239/N232-1)*100</f>
        <v>2.3942537909018347</v>
      </c>
      <c r="Q239" s="1299"/>
      <c r="R239" s="1312">
        <f>+R240</f>
        <v>1127</v>
      </c>
      <c r="S239" s="1255">
        <f>+R239-R238</f>
        <v>2</v>
      </c>
      <c r="T239" s="1295">
        <f>+(R239/R232-1)*100</f>
        <v>2.7347310847766648</v>
      </c>
      <c r="U239" s="1313">
        <f>U238+S239*V233/1000</f>
        <v>34.022641509433967</v>
      </c>
      <c r="V239" s="1297"/>
      <c r="W239" s="1295">
        <f>+(U239/U232-1)*100</f>
        <v>2.5776406480340519</v>
      </c>
      <c r="X239" s="1299"/>
      <c r="Y239" s="1312">
        <f>+Y240</f>
        <v>294</v>
      </c>
      <c r="Z239" s="1255">
        <f>+Y239-Y238</f>
        <v>3</v>
      </c>
      <c r="AA239" s="1295">
        <f>+(Y239/Y232-1)*100</f>
        <v>5.3763440860215006</v>
      </c>
      <c r="AB239" s="1313">
        <f>AB238+Z239*AC233/1000</f>
        <v>8.2799999999999994</v>
      </c>
      <c r="AC239" s="1297"/>
      <c r="AD239" s="1295">
        <f>+(AB239/AB232-1)*100</f>
        <v>5.3763440860214784</v>
      </c>
      <c r="AE239" s="1299"/>
      <c r="AF239" s="1312">
        <f>+AF240</f>
        <v>605</v>
      </c>
      <c r="AG239" s="1255">
        <f>+AF239-AF238</f>
        <v>9</v>
      </c>
      <c r="AH239" s="1295">
        <f>+(AF239/AF232-1)*100</f>
        <v>7.079646017699126</v>
      </c>
      <c r="AI239" s="1313">
        <f>AI238+AG239*AJ233/1000</f>
        <v>18.309210526315791</v>
      </c>
      <c r="AJ239" s="1297"/>
      <c r="AK239" s="1295">
        <f>+(AI239/AI232-1)*100</f>
        <v>7.0796460176991038</v>
      </c>
      <c r="AL239" s="1299"/>
      <c r="AM239" s="1312">
        <f>+AM240</f>
        <v>811</v>
      </c>
      <c r="AN239" s="1255">
        <f>+AM239-AM238</f>
        <v>17</v>
      </c>
      <c r="AO239" s="1295">
        <f>+(AM239/AM232-1)*100</f>
        <v>5.1880674448767872</v>
      </c>
      <c r="AP239" s="1313">
        <f>AP238+AN239*AQ233/1000</f>
        <v>20.043726235741445</v>
      </c>
      <c r="AQ239" s="1297"/>
      <c r="AR239" s="1295">
        <f>+(AP239/AP232-1)*100</f>
        <v>5.1880674448767872</v>
      </c>
      <c r="AS239" s="1299"/>
      <c r="AT239" s="1312">
        <f>+AT240</f>
        <v>0</v>
      </c>
      <c r="AU239" s="1255">
        <f>+AT239-AT238</f>
        <v>0</v>
      </c>
      <c r="AV239" s="1295"/>
      <c r="AW239" s="1313">
        <f>AW238+AU239*$AX$163/1000</f>
        <v>0</v>
      </c>
      <c r="AX239" s="1297"/>
      <c r="AY239" s="1295"/>
      <c r="AZ239" s="1299"/>
      <c r="BA239" s="1312">
        <f>+BA240</f>
        <v>127</v>
      </c>
      <c r="BB239" s="1255">
        <f>+BA239-BA238</f>
        <v>4</v>
      </c>
      <c r="BC239" s="1295">
        <f>+(BA239/BA232-1)*100</f>
        <v>4.0983606557376984</v>
      </c>
      <c r="BD239" s="1313">
        <f>BD238+BB239*BE233/1000</f>
        <v>3.0427083333333331</v>
      </c>
      <c r="BE239" s="1297"/>
      <c r="BF239" s="1295">
        <f>+(BD239/BD232-1)*100</f>
        <v>4.0983606557376984</v>
      </c>
      <c r="BG239" s="1295"/>
      <c r="BH239" s="1312">
        <f>+BH240</f>
        <v>70</v>
      </c>
      <c r="BI239" s="1255">
        <f>+BH239-BH238</f>
        <v>1</v>
      </c>
      <c r="BJ239" s="1295">
        <f>+(BH239/BH232-1)*100</f>
        <v>16.666666666666675</v>
      </c>
      <c r="BK239" s="1313">
        <f>BK238+BI239*BL233/1000</f>
        <v>1.4848484848484851</v>
      </c>
      <c r="BL239" s="1297"/>
      <c r="BM239" s="1295">
        <f>+(BK239/BK232-1)*100</f>
        <v>16.666666666666696</v>
      </c>
      <c r="BN239" s="1295"/>
      <c r="BO239" s="1312">
        <f>+BO240</f>
        <v>98</v>
      </c>
      <c r="BP239" s="1255">
        <f>+BO239-BO238</f>
        <v>2</v>
      </c>
      <c r="BQ239" s="1295"/>
      <c r="BR239" s="1313">
        <f>BR238+BP239*BS233/1000</f>
        <v>3.0947368421052635</v>
      </c>
      <c r="BS239" s="1297"/>
      <c r="BT239" s="1295"/>
      <c r="BU239" s="1295"/>
      <c r="BV239" s="1361">
        <f>+BV240</f>
        <v>3</v>
      </c>
      <c r="BW239" s="1358">
        <f>+BV239-BV238</f>
        <v>0</v>
      </c>
      <c r="BX239" s="1357">
        <f>+(BV239/BV232-1)*100</f>
        <v>0</v>
      </c>
      <c r="BY239" s="1362">
        <f>BY238+BW239*$BE$163/1000</f>
        <v>1.4285714285714289E-2</v>
      </c>
      <c r="BZ239" s="1360"/>
      <c r="CA239" s="1357">
        <f>+(BY239/BY232-1)*100</f>
        <v>0</v>
      </c>
      <c r="CB239" s="1299"/>
      <c r="CC239" s="1396"/>
      <c r="CD239" s="1391"/>
      <c r="CE239" s="1392"/>
      <c r="CF239" s="1397"/>
      <c r="CG239" s="1394"/>
      <c r="CH239" s="1392"/>
      <c r="CI239" s="1312">
        <f>+CI240</f>
        <v>45</v>
      </c>
      <c r="CJ239" s="1254">
        <v>0</v>
      </c>
      <c r="CK239" s="1295"/>
      <c r="CL239" s="1313">
        <f>CL238+CJ239*CM233/1000</f>
        <v>1.1666666666666667</v>
      </c>
      <c r="CM239" s="1297"/>
      <c r="CN239" s="1295"/>
      <c r="CO239" s="1295"/>
      <c r="CP239" s="1312">
        <f>+CP240</f>
        <v>53</v>
      </c>
      <c r="CQ239" s="1254">
        <v>0</v>
      </c>
      <c r="CR239" s="1295"/>
      <c r="CS239" s="1313">
        <f>CS238+CQ239*CT233/1000</f>
        <v>0.98285714285714287</v>
      </c>
      <c r="CT239" s="1297"/>
      <c r="CU239" s="1295"/>
      <c r="CV239" s="1299"/>
      <c r="CW239" s="1312">
        <f>+D239+Y239+AF239+AM239+AT239+BA239+BH239+BO239+CI239</f>
        <v>4460</v>
      </c>
      <c r="CX239" s="1307">
        <f>+CW239-CW238</f>
        <v>48</v>
      </c>
      <c r="CY239" s="1295">
        <f>+(CW239/CW232-1)*100</f>
        <v>3.5283194057567302</v>
      </c>
      <c r="CZ239" s="1297"/>
      <c r="DA239" s="1297"/>
      <c r="DB239" s="1313">
        <f>+G239+AB239+AI239+AP239+AW239+BD239+BK239+BR239+CL239</f>
        <v>125.95898496522696</v>
      </c>
      <c r="DC239" s="1297"/>
      <c r="DD239" s="1295">
        <f>+(DB239/DB232-1)*100</f>
        <v>4.2507741750087202</v>
      </c>
      <c r="DE239" s="1266"/>
      <c r="DF239" s="1350">
        <f>+D239/$CW239</f>
        <v>0.54035874439461884</v>
      </c>
      <c r="DG239" s="1351"/>
      <c r="DH239" s="1351"/>
      <c r="DI239" s="1350">
        <f>+Y239/$CW239</f>
        <v>6.5919282511210764E-2</v>
      </c>
      <c r="DJ239" s="1350">
        <f>+AF239/CW239</f>
        <v>0.13565022421524664</v>
      </c>
      <c r="DK239" s="1350">
        <f>+AM239/CW239</f>
        <v>0.18183856502242152</v>
      </c>
      <c r="DL239" s="1350">
        <f>+AT239/CW239</f>
        <v>0</v>
      </c>
      <c r="DM239" s="1350">
        <f>+BA239/$CW239</f>
        <v>2.8475336322869957E-2</v>
      </c>
      <c r="DN239" s="1350">
        <f>+BH239/$CW239</f>
        <v>1.5695067264573991E-2</v>
      </c>
      <c r="DO239" s="1350">
        <f>+BO239/$CW239</f>
        <v>2.1973094170403589E-2</v>
      </c>
      <c r="DP239" s="1350">
        <f>+CI239/$CW239</f>
        <v>1.0089686098654708E-2</v>
      </c>
      <c r="DQ239" s="1350">
        <f t="shared" si="35"/>
        <v>1.1883408071748879E-2</v>
      </c>
      <c r="DR239" s="1395"/>
      <c r="DS239" s="1333">
        <f>+L239</f>
        <v>0</v>
      </c>
      <c r="DT239" s="1333">
        <f>+S239</f>
        <v>2</v>
      </c>
      <c r="DU239" s="1333">
        <f>+Z239</f>
        <v>3</v>
      </c>
      <c r="DV239" s="1333">
        <f>+AG239</f>
        <v>9</v>
      </c>
      <c r="DW239" s="1333">
        <f>+AN239</f>
        <v>17</v>
      </c>
      <c r="DX239" s="1333">
        <f>+AU239</f>
        <v>0</v>
      </c>
      <c r="DY239" s="1333">
        <f>+BB239</f>
        <v>4</v>
      </c>
      <c r="DZ239" s="1333">
        <f>+BI239</f>
        <v>1</v>
      </c>
      <c r="EA239" s="1333">
        <f>+BP239</f>
        <v>2</v>
      </c>
      <c r="EB239" s="1333">
        <f>+CD239</f>
        <v>0</v>
      </c>
      <c r="ED239" s="451">
        <f>-(SUMIF(DS239:EB239,"&lt;0"))</f>
        <v>0</v>
      </c>
      <c r="EE239" s="451">
        <f>(SUMIF(DS239:EB239,"&gt;0"))</f>
        <v>38</v>
      </c>
      <c r="EF239" s="451">
        <f>+EE239-ED239</f>
        <v>38</v>
      </c>
      <c r="EG239" s="1333">
        <f>+EF239-CX239</f>
        <v>-10</v>
      </c>
    </row>
    <row r="240" spans="1:137" ht="15">
      <c r="A240" s="1266"/>
      <c r="B240" s="1266" t="str">
        <f>$B$21</f>
        <v>Year</v>
      </c>
      <c r="C240" s="1266"/>
      <c r="D240" s="1306">
        <f>+D239</f>
        <v>2410</v>
      </c>
      <c r="E240" s="1317">
        <f>+D240-D233</f>
        <v>60</v>
      </c>
      <c r="F240" s="1295">
        <f>+(D240/D233-1)*100</f>
        <v>2.5531914893617058</v>
      </c>
      <c r="G240" s="1296">
        <f>+N240+U240</f>
        <v>70.537087876215963</v>
      </c>
      <c r="H240" s="1297">
        <f>+G240/D240*1000</f>
        <v>29.268501193450607</v>
      </c>
      <c r="I240" s="1295">
        <f>+(G240/G233-1)*100</f>
        <v>2.5581963627568483</v>
      </c>
      <c r="J240" s="1266"/>
      <c r="K240" s="1306">
        <f>+L240+K233</f>
        <v>1283</v>
      </c>
      <c r="L240" s="1256">
        <v>30</v>
      </c>
      <c r="M240" s="1295">
        <f>+(K240/K233-1)*100</f>
        <v>2.3942537909018347</v>
      </c>
      <c r="N240" s="1296">
        <f>+K240*O240/1000</f>
        <v>36.514446366782003</v>
      </c>
      <c r="O240" s="1297">
        <f>+O233</f>
        <v>28.460207612456745</v>
      </c>
      <c r="P240" s="1295">
        <f>+(N240/N233-1)*100</f>
        <v>2.3942537909018569</v>
      </c>
      <c r="Q240" s="1299"/>
      <c r="R240" s="1306">
        <f>+S240+R233</f>
        <v>1127</v>
      </c>
      <c r="S240" s="1256">
        <v>30</v>
      </c>
      <c r="T240" s="1295">
        <f>+(R240/R233-1)*100</f>
        <v>2.7347310847766648</v>
      </c>
      <c r="U240" s="1296">
        <f>+R240*V240/1000</f>
        <v>34.02264150943396</v>
      </c>
      <c r="V240" s="1297">
        <f>+V233</f>
        <v>30.188679245283019</v>
      </c>
      <c r="W240" s="1295">
        <f>+(U240/U233-1)*100</f>
        <v>2.7347310847766426</v>
      </c>
      <c r="X240" s="1299"/>
      <c r="Y240" s="1306">
        <f>+Z240+Y233</f>
        <v>294</v>
      </c>
      <c r="Z240" s="1256">
        <v>15</v>
      </c>
      <c r="AA240" s="1295">
        <f>+(Y240/Y233-1)*100</f>
        <v>5.3763440860215006</v>
      </c>
      <c r="AB240" s="1296">
        <f>+Y240*AC240/1000</f>
        <v>8.2799999999999994</v>
      </c>
      <c r="AC240" s="1297">
        <f>+AC233</f>
        <v>28.163265306122451</v>
      </c>
      <c r="AD240" s="1295">
        <f>+(AB240/AB233-1)*100</f>
        <v>5.3763440860214784</v>
      </c>
      <c r="AE240" s="1299"/>
      <c r="AF240" s="1306">
        <f>+AG240+AF233</f>
        <v>605</v>
      </c>
      <c r="AG240" s="1256">
        <v>40</v>
      </c>
      <c r="AH240" s="1295">
        <f>+(AF240/AF233-1)*100</f>
        <v>7.079646017699126</v>
      </c>
      <c r="AI240" s="1296">
        <f>+AF240*AJ240/1000</f>
        <v>18.309210526315791</v>
      </c>
      <c r="AJ240" s="1297">
        <f>+AJ233</f>
        <v>30.263157894736842</v>
      </c>
      <c r="AK240" s="1295">
        <f>+(AI240/AI233-1)*100</f>
        <v>7.079646017699126</v>
      </c>
      <c r="AL240" s="1299"/>
      <c r="AM240" s="1306">
        <f>+AN240+AM233</f>
        <v>811</v>
      </c>
      <c r="AN240" s="1256">
        <v>40</v>
      </c>
      <c r="AO240" s="1295">
        <f>+(AM240/AM233-1)*100</f>
        <v>5.1880674448767872</v>
      </c>
      <c r="AP240" s="1296">
        <f>+AM240*AQ240/1000</f>
        <v>20.043726235741445</v>
      </c>
      <c r="AQ240" s="1297">
        <f>+AQ233</f>
        <v>24.714828897338403</v>
      </c>
      <c r="AR240" s="1295">
        <f>+(AP240/AP233-1)*100</f>
        <v>5.1880674448767872</v>
      </c>
      <c r="AS240" s="1299"/>
      <c r="AT240" s="1306">
        <f>+AU240+AT233</f>
        <v>0</v>
      </c>
      <c r="AU240" s="1256">
        <v>0</v>
      </c>
      <c r="AV240" s="1295"/>
      <c r="AW240" s="1296">
        <f>+AT240*AX240/1000</f>
        <v>0</v>
      </c>
      <c r="AX240" s="1297">
        <f>+AX233</f>
        <v>26</v>
      </c>
      <c r="AY240" s="1295"/>
      <c r="AZ240" s="1299"/>
      <c r="BA240" s="1306">
        <f>+BB240+BA233</f>
        <v>127</v>
      </c>
      <c r="BB240" s="1256">
        <v>5</v>
      </c>
      <c r="BC240" s="1295">
        <f>+(BA240/BA233-1)*100</f>
        <v>4.0983606557376984</v>
      </c>
      <c r="BD240" s="1296">
        <f>+BA240*BE240/1000</f>
        <v>3.0427083333333331</v>
      </c>
      <c r="BE240" s="1297">
        <f>+BE233</f>
        <v>23.958333333333332</v>
      </c>
      <c r="BF240" s="1295">
        <f>+(BD240/BD233-1)*100</f>
        <v>4.0983606557376984</v>
      </c>
      <c r="BG240" s="1295"/>
      <c r="BH240" s="1306">
        <f>+BI240+BH233</f>
        <v>70</v>
      </c>
      <c r="BI240" s="1256">
        <v>10</v>
      </c>
      <c r="BJ240" s="1295">
        <f>+(BH240/BH233-1)*100</f>
        <v>16.666666666666675</v>
      </c>
      <c r="BK240" s="1296">
        <f>+BH240*BL240/1000</f>
        <v>1.4848484848484849</v>
      </c>
      <c r="BL240" s="1297">
        <f>+BL233</f>
        <v>21.212121212121211</v>
      </c>
      <c r="BM240" s="1295">
        <f>+(BK240/BK233-1)*100</f>
        <v>16.666666666666675</v>
      </c>
      <c r="BN240" s="1295"/>
      <c r="BO240" s="1306">
        <f>+BP240+BO233</f>
        <v>98</v>
      </c>
      <c r="BP240" s="1256">
        <v>15</v>
      </c>
      <c r="BQ240" s="1295"/>
      <c r="BR240" s="1296">
        <f>+BO240*BS240/1000</f>
        <v>3.0947368421052635</v>
      </c>
      <c r="BS240" s="1297">
        <f>+BS233</f>
        <v>31.578947368421055</v>
      </c>
      <c r="BT240" s="1295"/>
      <c r="BU240" s="1295"/>
      <c r="BV240" s="1337">
        <f>+BW240+BV233</f>
        <v>3</v>
      </c>
      <c r="BW240" s="1343">
        <v>0</v>
      </c>
      <c r="BX240" s="1357">
        <f>+(BV240/BV233-1)*100</f>
        <v>0</v>
      </c>
      <c r="BY240" s="1359">
        <f>+BV240*BZ240/1000</f>
        <v>1.4285714285714289E-2</v>
      </c>
      <c r="BZ240" s="1360">
        <f>+BZ233</f>
        <v>4.7619047619047628</v>
      </c>
      <c r="CA240" s="1357">
        <f>+(BY240/BY233-1)*100</f>
        <v>0</v>
      </c>
      <c r="CB240" s="1299"/>
      <c r="CC240" s="1398"/>
      <c r="CD240" s="1399"/>
      <c r="CE240" s="1392"/>
      <c r="CF240" s="1393"/>
      <c r="CG240" s="1394"/>
      <c r="CH240" s="1392"/>
      <c r="CI240" s="1306">
        <f>+CJ240+CI233</f>
        <v>45</v>
      </c>
      <c r="CJ240" s="1256">
        <v>10</v>
      </c>
      <c r="CK240" s="1295"/>
      <c r="CL240" s="1296">
        <f>+CI240*CM240/1000</f>
        <v>1.5</v>
      </c>
      <c r="CM240" s="1297">
        <f>+CM233</f>
        <v>33.333333333333336</v>
      </c>
      <c r="CN240" s="1295"/>
      <c r="CO240" s="1295"/>
      <c r="CP240" s="1306">
        <f>+CQ240+CP233</f>
        <v>53</v>
      </c>
      <c r="CQ240" s="1256">
        <v>10</v>
      </c>
      <c r="CR240" s="1295"/>
      <c r="CS240" s="1296">
        <f>+CP240*CT240/1000</f>
        <v>1.2114285714285715</v>
      </c>
      <c r="CT240" s="1297">
        <f>+CT233</f>
        <v>22.857142857142858</v>
      </c>
      <c r="CU240" s="1295"/>
      <c r="CV240" s="1299"/>
      <c r="CW240" s="1306">
        <f>+D240+Y240+AF240+AM240+AT240+BA240+BH240+BO240+CI240+CP240</f>
        <v>4513</v>
      </c>
      <c r="CX240" s="1317">
        <f>+E240+Z240+AG240+AN240+AU240+BB240+BI240+BP240+CJ240+CQ240</f>
        <v>205</v>
      </c>
      <c r="CY240" s="1295">
        <f>+(CW240/CW233-1)*100</f>
        <v>4.7585886722377069</v>
      </c>
      <c r="CZ240" s="1297"/>
      <c r="DA240" s="1297"/>
      <c r="DB240" s="1296">
        <f>+G240+AB240+AI240+AP240+AW240+BD240+BK240+BR240+CL240+CS240</f>
        <v>127.50374686998886</v>
      </c>
      <c r="DC240" s="1297">
        <f>+DB240/CW240*1000</f>
        <v>28.252547500551486</v>
      </c>
      <c r="DD240" s="1295">
        <f>+(DB240/DB233-1)*100</f>
        <v>4.7213888506548063</v>
      </c>
      <c r="DE240" s="1266"/>
      <c r="DF240" s="1350">
        <f>+D240/$CW240</f>
        <v>0.53401285176157764</v>
      </c>
      <c r="DG240" s="1351"/>
      <c r="DH240" s="1351"/>
      <c r="DI240" s="1350">
        <f>+Y240/$CW240</f>
        <v>6.5145136272989138E-2</v>
      </c>
      <c r="DJ240" s="1350">
        <f>+AF240/CW240</f>
        <v>0.13405716818081098</v>
      </c>
      <c r="DK240" s="1350">
        <f>+AM240/CW240</f>
        <v>0.17970307999113672</v>
      </c>
      <c r="DL240" s="1350">
        <f>+AT240/CW240</f>
        <v>0</v>
      </c>
      <c r="DM240" s="1350">
        <f>+BA240/$CW240</f>
        <v>2.8140926213161978E-2</v>
      </c>
      <c r="DN240" s="1350">
        <f>+BH240/$CW240</f>
        <v>1.5510746731664082E-2</v>
      </c>
      <c r="DO240" s="1350">
        <f>+BO240/$CW240</f>
        <v>2.1715045424329713E-2</v>
      </c>
      <c r="DP240" s="1350">
        <f>+CI240/$CW240</f>
        <v>9.9711943274983384E-3</v>
      </c>
      <c r="DQ240" s="1350">
        <f t="shared" si="35"/>
        <v>1.1743851096831376E-2</v>
      </c>
      <c r="DR240" s="1395"/>
      <c r="ED240" s="693">
        <f>SUM(ED236:ED239)</f>
        <v>0</v>
      </c>
      <c r="EE240" s="693">
        <f>SUM(EE236:EE239)</f>
        <v>185</v>
      </c>
      <c r="EF240" s="693">
        <f>+EE240-ED240</f>
        <v>185</v>
      </c>
      <c r="EG240" s="1417">
        <f>+EF240-CX240</f>
        <v>-20</v>
      </c>
    </row>
    <row r="241" spans="1:137" ht="15">
      <c r="A241" s="1266"/>
      <c r="B241" s="1266"/>
      <c r="C241" s="1266"/>
      <c r="D241" s="1306"/>
      <c r="E241" s="1317"/>
      <c r="F241" s="1295"/>
      <c r="G241" s="1296"/>
      <c r="H241" s="1297"/>
      <c r="I241" s="1295"/>
      <c r="J241" s="1266"/>
      <c r="K241" s="1306"/>
      <c r="L241" s="1256"/>
      <c r="M241" s="1295"/>
      <c r="N241" s="1296"/>
      <c r="O241" s="1297"/>
      <c r="P241" s="1295"/>
      <c r="Q241" s="1299"/>
      <c r="R241" s="1306"/>
      <c r="S241" s="1256"/>
      <c r="T241" s="1295"/>
      <c r="U241" s="1296"/>
      <c r="V241" s="1297"/>
      <c r="W241" s="1295"/>
      <c r="X241" s="1299"/>
      <c r="Y241" s="1306"/>
      <c r="Z241" s="1256"/>
      <c r="AA241" s="1295"/>
      <c r="AB241" s="1296"/>
      <c r="AC241" s="1297"/>
      <c r="AD241" s="1295"/>
      <c r="AE241" s="1299"/>
      <c r="AF241" s="1306"/>
      <c r="AG241" s="1256" t="s">
        <v>798</v>
      </c>
      <c r="AH241" s="1295"/>
      <c r="AI241" s="1296"/>
      <c r="AJ241" s="1297"/>
      <c r="AK241" s="1295"/>
      <c r="AL241" s="1299"/>
      <c r="AM241" s="1306"/>
      <c r="AN241" s="1256"/>
      <c r="AO241" s="1295"/>
      <c r="AP241" s="1296"/>
      <c r="AQ241" s="1297"/>
      <c r="AR241" s="1295"/>
      <c r="AS241" s="1299"/>
      <c r="AT241" s="1306"/>
      <c r="AU241" s="1256"/>
      <c r="AV241" s="1295"/>
      <c r="AW241" s="1296"/>
      <c r="AX241" s="1297"/>
      <c r="AY241" s="1295"/>
      <c r="AZ241" s="1299"/>
      <c r="BA241" s="1306"/>
      <c r="BB241" s="1256"/>
      <c r="BC241" s="1295"/>
      <c r="BD241" s="1296"/>
      <c r="BE241" s="1297"/>
      <c r="BF241" s="1295"/>
      <c r="BG241" s="1295"/>
      <c r="BH241" s="1306"/>
      <c r="BI241" s="1256"/>
      <c r="BJ241" s="1295"/>
      <c r="BK241" s="1296"/>
      <c r="BL241" s="1297"/>
      <c r="BM241" s="1295"/>
      <c r="BN241" s="1295"/>
      <c r="BO241" s="1306"/>
      <c r="BP241" s="1256"/>
      <c r="BQ241" s="1295"/>
      <c r="BR241" s="1296"/>
      <c r="BS241" s="1297"/>
      <c r="BT241" s="1295"/>
      <c r="BU241" s="1295"/>
      <c r="BV241" s="1337"/>
      <c r="BW241" s="1343"/>
      <c r="BX241" s="1357"/>
      <c r="BY241" s="1359"/>
      <c r="BZ241" s="1360"/>
      <c r="CA241" s="1357"/>
      <c r="CB241" s="1299"/>
      <c r="CC241" s="1398"/>
      <c r="CD241" s="1399"/>
      <c r="CE241" s="1392"/>
      <c r="CF241" s="1393"/>
      <c r="CG241" s="1394"/>
      <c r="CH241" s="1392"/>
      <c r="CI241" s="1306"/>
      <c r="CJ241" s="1256"/>
      <c r="CK241" s="1295"/>
      <c r="CL241" s="1296"/>
      <c r="CM241" s="1297"/>
      <c r="CN241" s="1295"/>
      <c r="CO241" s="1295"/>
      <c r="CP241" s="1306"/>
      <c r="CQ241" s="1256"/>
      <c r="CR241" s="1295"/>
      <c r="CS241" s="1296"/>
      <c r="CT241" s="1297"/>
      <c r="CU241" s="1295"/>
      <c r="CV241" s="1299"/>
      <c r="CW241" s="1306"/>
      <c r="CX241" s="1317"/>
      <c r="CY241" s="1295"/>
      <c r="CZ241" s="1297"/>
      <c r="DA241" s="1297"/>
      <c r="DB241" s="1296"/>
      <c r="DC241" s="1297"/>
      <c r="DD241" s="1295"/>
      <c r="DE241" s="1266"/>
      <c r="DF241" s="1350"/>
      <c r="DG241" s="1351"/>
      <c r="DH241" s="1351"/>
      <c r="DI241" s="1350"/>
      <c r="DJ241" s="1350"/>
      <c r="DK241" s="1350"/>
      <c r="DL241" s="1350"/>
      <c r="DM241" s="1350"/>
      <c r="DN241" s="1350"/>
      <c r="DO241" s="1350"/>
      <c r="DP241" s="1350"/>
      <c r="DQ241" s="1350"/>
      <c r="DR241" s="1395"/>
      <c r="ED241" s="693"/>
      <c r="EE241" s="693"/>
      <c r="EF241" s="693"/>
      <c r="EG241" s="1417"/>
    </row>
    <row r="242" spans="1:137" ht="15.75">
      <c r="A242" s="2117">
        <f>+A235+1</f>
        <v>2020</v>
      </c>
      <c r="B242" s="2117"/>
      <c r="C242" s="1266"/>
      <c r="D242" s="1335"/>
      <c r="E242" s="1269"/>
      <c r="F242" s="1302"/>
      <c r="G242" s="1335"/>
      <c r="H242" s="1268"/>
      <c r="I242" s="1295"/>
      <c r="J242" s="1266"/>
      <c r="K242" s="1336"/>
      <c r="L242" s="1269"/>
      <c r="M242" s="1268"/>
      <c r="N242" s="1336"/>
      <c r="O242" s="1268"/>
      <c r="P242" s="1295"/>
      <c r="Q242" s="1268"/>
      <c r="R242" s="1336"/>
      <c r="S242" s="1269"/>
      <c r="T242" s="1268"/>
      <c r="U242" s="1336"/>
      <c r="V242" s="1268"/>
      <c r="W242" s="1295"/>
      <c r="X242" s="1268"/>
      <c r="Y242" s="1336"/>
      <c r="Z242" s="1269"/>
      <c r="AA242" s="1268"/>
      <c r="AB242" s="1336"/>
      <c r="AC242" s="1268"/>
      <c r="AD242" s="1295"/>
      <c r="AE242" s="1268"/>
      <c r="AF242" s="1336"/>
      <c r="AG242" s="1269"/>
      <c r="AH242" s="1270"/>
      <c r="AI242" s="1336"/>
      <c r="AJ242" s="1268"/>
      <c r="AK242" s="1302"/>
      <c r="AL242" s="1268"/>
      <c r="AM242" s="1336"/>
      <c r="AN242" s="1269"/>
      <c r="AO242" s="1268"/>
      <c r="AP242" s="1336"/>
      <c r="AQ242" s="1268"/>
      <c r="AR242" s="1295"/>
      <c r="AS242" s="1268"/>
      <c r="AT242" s="1336"/>
      <c r="AU242" s="1269"/>
      <c r="AV242" s="1266"/>
      <c r="AW242" s="1336"/>
      <c r="AX242" s="1268"/>
      <c r="AY242" s="1295"/>
      <c r="AZ242" s="1266"/>
      <c r="BA242" s="1336"/>
      <c r="BB242" s="1269"/>
      <c r="BC242" s="1266"/>
      <c r="BD242" s="1336"/>
      <c r="BE242" s="1268"/>
      <c r="BF242" s="1295"/>
      <c r="BG242" s="1295"/>
      <c r="BH242" s="1405"/>
      <c r="BI242" s="1401"/>
      <c r="BJ242" s="1402"/>
      <c r="BK242" s="1336"/>
      <c r="BL242" s="1400"/>
      <c r="BM242" s="1295"/>
      <c r="BN242" s="1295"/>
      <c r="BO242" s="1405"/>
      <c r="BP242" s="1401"/>
      <c r="BQ242" s="1402"/>
      <c r="BR242" s="1336"/>
      <c r="BS242" s="1400"/>
      <c r="BT242" s="1295"/>
      <c r="BU242" s="1295"/>
      <c r="BV242" s="1345"/>
      <c r="BW242" s="1354"/>
      <c r="BX242" s="1355"/>
      <c r="BY242" s="1345"/>
      <c r="BZ242" s="1356"/>
      <c r="CA242" s="1357"/>
      <c r="CB242" s="1266"/>
      <c r="CC242" s="1405"/>
      <c r="CD242" s="1401"/>
      <c r="CE242" s="1402"/>
      <c r="CF242" s="1405"/>
      <c r="CG242" s="1400"/>
      <c r="CH242" s="1392"/>
      <c r="CI242" s="1405"/>
      <c r="CJ242" s="1401"/>
      <c r="CK242" s="1402"/>
      <c r="CL242" s="1336"/>
      <c r="CM242" s="1400"/>
      <c r="CN242" s="1295"/>
      <c r="CO242" s="1295"/>
      <c r="CP242" s="1405"/>
      <c r="CQ242" s="1401"/>
      <c r="CR242" s="1402"/>
      <c r="CS242" s="1336"/>
      <c r="CT242" s="1400"/>
      <c r="CU242" s="1295"/>
      <c r="CV242" s="1266"/>
      <c r="CW242" s="1335"/>
      <c r="CX242" s="1266"/>
      <c r="CY242" s="1266"/>
      <c r="CZ242" s="1266"/>
      <c r="DA242" s="1266"/>
      <c r="DB242" s="1335"/>
      <c r="DC242" s="1268"/>
      <c r="DD242" s="1302"/>
      <c r="DE242" s="1266"/>
      <c r="DF242" s="1266"/>
      <c r="DG242" s="1266"/>
      <c r="DH242" s="1266"/>
      <c r="DI242" s="1266"/>
      <c r="DJ242" s="1266"/>
      <c r="DK242" s="1266"/>
      <c r="DL242" s="1266"/>
      <c r="DM242" s="1266"/>
      <c r="DN242" s="1266"/>
      <c r="DO242" s="1266"/>
      <c r="DP242" s="1266"/>
      <c r="DQ242" s="1266"/>
    </row>
    <row r="243" spans="1:137" ht="15">
      <c r="A243" s="1266" t="str">
        <f>$A$17</f>
        <v>1Q</v>
      </c>
      <c r="B243" s="1266" t="str">
        <f>$B$17</f>
        <v>Apr</v>
      </c>
      <c r="C243" s="1266"/>
      <c r="D243" s="1294">
        <f t="shared" ref="D243:E246" si="43">+K243+R243</f>
        <v>2420</v>
      </c>
      <c r="E243" s="1255">
        <f t="shared" si="43"/>
        <v>10</v>
      </c>
      <c r="F243" s="1295">
        <f>+(D243/D236-1)*100</f>
        <v>2.5423728813559254</v>
      </c>
      <c r="G243" s="1296">
        <f>+N243+U243</f>
        <v>70.830332310504673</v>
      </c>
      <c r="H243" s="1297"/>
      <c r="I243" s="1295">
        <f>+(G243/G236-1)*100</f>
        <v>2.5473353892111916</v>
      </c>
      <c r="J243" s="1266"/>
      <c r="K243" s="1294">
        <f>+K240+L243</f>
        <v>1288</v>
      </c>
      <c r="L243" s="1254">
        <v>5</v>
      </c>
      <c r="M243" s="1295">
        <f>+(K243/K236-1)*100</f>
        <v>2.3847376788553198</v>
      </c>
      <c r="N243" s="1296">
        <f>N240+L243*O240/1000</f>
        <v>36.656747404844289</v>
      </c>
      <c r="O243" s="1297"/>
      <c r="P243" s="1295">
        <f>+(N243/N236-1)*100</f>
        <v>2.384737678855342</v>
      </c>
      <c r="Q243" s="1299"/>
      <c r="R243" s="1294">
        <f>+R240+S243</f>
        <v>1132</v>
      </c>
      <c r="S243" s="1254">
        <v>5</v>
      </c>
      <c r="T243" s="1295">
        <f>+(R243/R236-1)*100</f>
        <v>2.722323049001818</v>
      </c>
      <c r="U243" s="1296">
        <f>U240+S243*V240/1000</f>
        <v>34.173584905660377</v>
      </c>
      <c r="V243" s="1297"/>
      <c r="W243" s="1295">
        <f>+(U243/U236-1)*100</f>
        <v>2.7223230490017958</v>
      </c>
      <c r="X243" s="1299"/>
      <c r="Y243" s="1294">
        <f>+Y240+Z243</f>
        <v>296</v>
      </c>
      <c r="Z243" s="1254">
        <v>2</v>
      </c>
      <c r="AA243" s="1295">
        <f>+(Y243/Y236-1)*100</f>
        <v>5.3380782918149405</v>
      </c>
      <c r="AB243" s="1296">
        <f>AB240+Z243*AC240/1000</f>
        <v>8.3363265306122436</v>
      </c>
      <c r="AC243" s="1297"/>
      <c r="AD243" s="1295"/>
      <c r="AE243" s="1299"/>
      <c r="AF243" s="1294">
        <f>+AF240+AG243</f>
        <v>614</v>
      </c>
      <c r="AG243" s="1254">
        <v>9</v>
      </c>
      <c r="AH243" s="1295">
        <f>+(AF243/AF236-1)*100</f>
        <v>6.9686411149825878</v>
      </c>
      <c r="AI243" s="1296">
        <f>AI240+AG243*AJ240/1000</f>
        <v>18.581578947368424</v>
      </c>
      <c r="AJ243" s="1297"/>
      <c r="AK243" s="1295">
        <f>+(AI243/AI236-1)*100</f>
        <v>6.9686411149825878</v>
      </c>
      <c r="AL243" s="1299"/>
      <c r="AM243" s="1294">
        <f>+AM240+AN243</f>
        <v>818</v>
      </c>
      <c r="AN243" s="1254">
        <v>7</v>
      </c>
      <c r="AO243" s="1295">
        <f>+(AM243/AM236-1)*100</f>
        <v>5.1413881748072043</v>
      </c>
      <c r="AP243" s="1296">
        <f>AP240+AN243*AQ240/1000</f>
        <v>20.216730038022813</v>
      </c>
      <c r="AQ243" s="1297"/>
      <c r="AR243" s="1295">
        <f>+(AP243/AP236-1)*100</f>
        <v>5.1413881748072043</v>
      </c>
      <c r="AS243" s="1299"/>
      <c r="AT243" s="1294">
        <f>+AT240+AU243</f>
        <v>0</v>
      </c>
      <c r="AU243" s="1254">
        <v>0</v>
      </c>
      <c r="AV243" s="1295"/>
      <c r="AW243" s="1296">
        <f>AW240+AU243*$AX$163/1000</f>
        <v>0</v>
      </c>
      <c r="AX243" s="1297"/>
      <c r="AY243" s="1295"/>
      <c r="AZ243" s="1299"/>
      <c r="BA243" s="1294">
        <f>+BA240+BB243</f>
        <v>128</v>
      </c>
      <c r="BB243" s="1254">
        <v>1</v>
      </c>
      <c r="BC243" s="1295">
        <f>+(BA243/BA236-1)*100</f>
        <v>4.0650406504065151</v>
      </c>
      <c r="BD243" s="1296">
        <f>BD240+BB243*BE240/1000</f>
        <v>3.0666666666666664</v>
      </c>
      <c r="BE243" s="1297"/>
      <c r="BF243" s="1295">
        <f>+(BD243/BD236-1)*100</f>
        <v>4.0650406504064929</v>
      </c>
      <c r="BG243" s="1295"/>
      <c r="BH243" s="1294">
        <f>+BH240+BI243</f>
        <v>73</v>
      </c>
      <c r="BI243" s="1254">
        <v>3</v>
      </c>
      <c r="BJ243" s="1295">
        <f>+(BH243/BH236-1)*100</f>
        <v>15.873015873015884</v>
      </c>
      <c r="BK243" s="1296">
        <f>BK240+BI243*BL240/1000</f>
        <v>1.5484848484848486</v>
      </c>
      <c r="BL243" s="1297"/>
      <c r="BM243" s="1295">
        <f>+(BK243/BK236-1)*100</f>
        <v>15.873015873015884</v>
      </c>
      <c r="BN243" s="1295"/>
      <c r="BO243" s="1294">
        <f>+BO240+BP243</f>
        <v>101</v>
      </c>
      <c r="BP243" s="1254">
        <v>3</v>
      </c>
      <c r="BQ243" s="1295"/>
      <c r="BR243" s="1296">
        <f>BR240+BP243*BS240/1000</f>
        <v>3.1894736842105265</v>
      </c>
      <c r="BS243" s="1297"/>
      <c r="BT243" s="1295"/>
      <c r="BU243" s="1295"/>
      <c r="BV243" s="1340">
        <f>+BV240+BW243</f>
        <v>3</v>
      </c>
      <c r="BW243" s="1358">
        <v>0</v>
      </c>
      <c r="BX243" s="1357">
        <f>+(BV243/BV236-1)*100</f>
        <v>0</v>
      </c>
      <c r="BY243" s="1359">
        <f>BY240+BW243*$BL$163/1000</f>
        <v>1.4285714285714289E-2</v>
      </c>
      <c r="BZ243" s="1360"/>
      <c r="CA243" s="1357">
        <f>+(BY243/BY236-1)*100</f>
        <v>0</v>
      </c>
      <c r="CB243" s="1299"/>
      <c r="CC243" s="1390"/>
      <c r="CD243" s="1391"/>
      <c r="CE243" s="1392"/>
      <c r="CF243" s="1393"/>
      <c r="CG243" s="1394"/>
      <c r="CH243" s="1392"/>
      <c r="CI243" s="1294">
        <f>+CI240+CJ243</f>
        <v>45</v>
      </c>
      <c r="CJ243" s="1254">
        <v>0</v>
      </c>
      <c r="CK243" s="1295"/>
      <c r="CL243" s="1296">
        <f>CL240+CJ243*CM240/1000</f>
        <v>1.5</v>
      </c>
      <c r="CM243" s="1297"/>
      <c r="CN243" s="1295"/>
      <c r="CO243" s="1295"/>
      <c r="CP243" s="1294">
        <f>+CP240+CQ243</f>
        <v>53</v>
      </c>
      <c r="CQ243" s="1254">
        <v>0</v>
      </c>
      <c r="CR243" s="1295"/>
      <c r="CS243" s="1296">
        <f>CS240+CQ243*CT240/1000</f>
        <v>1.2114285714285715</v>
      </c>
      <c r="CT243" s="1297"/>
      <c r="CU243" s="1295"/>
      <c r="CV243" s="1299"/>
      <c r="CW243" s="1306">
        <f>+D243+Y243+AF243+AM243+AT243+BA243+BH243+BO243+CI243</f>
        <v>4495</v>
      </c>
      <c r="CX243" s="1307">
        <f>+CW243-CW239</f>
        <v>35</v>
      </c>
      <c r="CY243" s="1295">
        <f>+(CW243/CW236-1)*100</f>
        <v>4.5348837209302273</v>
      </c>
      <c r="CZ243" s="1297"/>
      <c r="DA243" s="1297"/>
      <c r="DB243" s="1296">
        <f>+G243+AB243+AI243+AP243+AW243+BD243+BK243+BR243+CL243</f>
        <v>127.26959302587019</v>
      </c>
      <c r="DC243" s="1297"/>
      <c r="DD243" s="1295">
        <f>+(DB243/DB236-1)*100</f>
        <v>4.5338664198863343</v>
      </c>
      <c r="DE243" s="1266"/>
      <c r="DF243" s="1350">
        <f>+D243/$CW243</f>
        <v>0.53837597330367071</v>
      </c>
      <c r="DG243" s="1351"/>
      <c r="DH243" s="1351"/>
      <c r="DI243" s="1350">
        <f>+Y243/$CW243</f>
        <v>6.5850945494994442E-2</v>
      </c>
      <c r="DJ243" s="1350">
        <f>+AF243/CW243</f>
        <v>0.13659621802002225</v>
      </c>
      <c r="DK243" s="1350">
        <f>+AM243/CW243</f>
        <v>0.18197997775305896</v>
      </c>
      <c r="DL243" s="1350">
        <f>+AT243/CW243</f>
        <v>0</v>
      </c>
      <c r="DM243" s="1350">
        <f>+BA243/$CW243</f>
        <v>2.8476084538375974E-2</v>
      </c>
      <c r="DN243" s="1350">
        <f>+BH243/$CW243</f>
        <v>1.6240266963292546E-2</v>
      </c>
      <c r="DO243" s="1350">
        <f>+BO243/$CW243</f>
        <v>2.2469410456062291E-2</v>
      </c>
      <c r="DP243" s="1350">
        <f>+CI243/$CW243</f>
        <v>1.0011123470522803E-2</v>
      </c>
      <c r="DQ243" s="1350">
        <f>+CP243/$CW243</f>
        <v>1.1790878754171301E-2</v>
      </c>
      <c r="DR243" s="1395"/>
      <c r="DS243" s="1333">
        <f>+L243</f>
        <v>5</v>
      </c>
      <c r="DT243" s="1333">
        <f>+S243</f>
        <v>5</v>
      </c>
      <c r="DU243" s="1333">
        <f>+Z243</f>
        <v>2</v>
      </c>
      <c r="DV243" s="1333">
        <f>+AG243</f>
        <v>9</v>
      </c>
      <c r="DW243" s="1333">
        <f>+AN243</f>
        <v>7</v>
      </c>
      <c r="DX243" s="1333">
        <f>+AU243</f>
        <v>0</v>
      </c>
      <c r="DY243" s="1333">
        <f>+BB243</f>
        <v>1</v>
      </c>
      <c r="DZ243" s="1333">
        <f>+BI243</f>
        <v>3</v>
      </c>
      <c r="EA243" s="1333">
        <f>+BP243</f>
        <v>3</v>
      </c>
      <c r="EB243" s="1333">
        <f>+CD243</f>
        <v>0</v>
      </c>
      <c r="ED243" s="451">
        <f>-(SUMIF(DS243:EB243,"&lt;0"))</f>
        <v>0</v>
      </c>
      <c r="EE243" s="451">
        <f>(SUMIF(DS243:EB243,"&gt;0"))</f>
        <v>35</v>
      </c>
      <c r="EF243" s="451">
        <f>+EE243-ED243</f>
        <v>35</v>
      </c>
      <c r="EG243" s="1333">
        <f>+EF243-CX243</f>
        <v>0</v>
      </c>
    </row>
    <row r="244" spans="1:137" ht="15">
      <c r="A244" s="1266" t="str">
        <f>$A$18</f>
        <v>2Q</v>
      </c>
      <c r="B244" s="1266" t="str">
        <f>$B$18</f>
        <v>Jul</v>
      </c>
      <c r="C244" s="1266"/>
      <c r="D244" s="1294">
        <f t="shared" si="43"/>
        <v>2433</v>
      </c>
      <c r="E244" s="1255">
        <f t="shared" si="43"/>
        <v>13</v>
      </c>
      <c r="F244" s="1295">
        <f>+(D244/D237-1)*100</f>
        <v>2.5284450063211228</v>
      </c>
      <c r="G244" s="1296">
        <f>+N244+U244</f>
        <v>71.205500424365084</v>
      </c>
      <c r="H244" s="1297"/>
      <c r="I244" s="1295">
        <f>+(G244/G237-1)*100</f>
        <v>2.5335739263775192</v>
      </c>
      <c r="J244" s="1309"/>
      <c r="K244" s="1294">
        <f>+K243+L244</f>
        <v>1298</v>
      </c>
      <c r="L244" s="1254">
        <v>10</v>
      </c>
      <c r="M244" s="1295">
        <f>+(K244/K237-1)*100</f>
        <v>2.3659305993690927</v>
      </c>
      <c r="N244" s="1296">
        <f>N243+L244*O240/1000</f>
        <v>36.941349480968853</v>
      </c>
      <c r="O244" s="1297"/>
      <c r="P244" s="1295">
        <f>+(N244/N237-1)*100</f>
        <v>2.3659305993690927</v>
      </c>
      <c r="Q244" s="1299"/>
      <c r="R244" s="1294">
        <f>+R243+S244</f>
        <v>1135</v>
      </c>
      <c r="S244" s="1254">
        <v>3</v>
      </c>
      <c r="T244" s="1295">
        <f>+(R244/R237-1)*100</f>
        <v>2.7149321266968229</v>
      </c>
      <c r="U244" s="1296">
        <f>U243+S244*V240/1000</f>
        <v>34.264150943396224</v>
      </c>
      <c r="V244" s="1297"/>
      <c r="W244" s="1295">
        <f>+(U244/U237-1)*100</f>
        <v>2.7149321266968229</v>
      </c>
      <c r="X244" s="1299"/>
      <c r="Y244" s="1294">
        <f>+Y243+Z244</f>
        <v>301</v>
      </c>
      <c r="Z244" s="1254">
        <v>5</v>
      </c>
      <c r="AA244" s="1295">
        <f>+(Y244/Y237-1)*100</f>
        <v>5.2447552447552503</v>
      </c>
      <c r="AB244" s="1296">
        <f>AB243+Z244*AC240/1000</f>
        <v>8.4771428571428551</v>
      </c>
      <c r="AC244" s="1297"/>
      <c r="AD244" s="1295"/>
      <c r="AE244" s="1299"/>
      <c r="AF244" s="1294">
        <f>+AF243+AG244</f>
        <v>626</v>
      </c>
      <c r="AG244" s="1254">
        <v>12</v>
      </c>
      <c r="AH244" s="1295">
        <f>+(AF244/AF237-1)*100</f>
        <v>6.8259385665528916</v>
      </c>
      <c r="AI244" s="1296">
        <f>AI243+AG244*AJ240/1000</f>
        <v>18.944736842105264</v>
      </c>
      <c r="AJ244" s="1297"/>
      <c r="AK244" s="1295">
        <f>+(AI244/AI237-1)*100</f>
        <v>6.8259385665529138</v>
      </c>
      <c r="AL244" s="1299"/>
      <c r="AM244" s="1294">
        <f>+AM243+AN244</f>
        <v>825</v>
      </c>
      <c r="AN244" s="1254">
        <v>7</v>
      </c>
      <c r="AO244" s="1295">
        <f>+(AM244/AM237-1)*100</f>
        <v>5.0955414012738842</v>
      </c>
      <c r="AP244" s="1296">
        <f>AP243+AN244*AQ240/1000</f>
        <v>20.389733840304181</v>
      </c>
      <c r="AQ244" s="1297"/>
      <c r="AR244" s="1295">
        <f>+(AP244/AP237-1)*100</f>
        <v>5.0955414012738842</v>
      </c>
      <c r="AS244" s="1299"/>
      <c r="AT244" s="1294">
        <f>+AT243+AU244</f>
        <v>0</v>
      </c>
      <c r="AU244" s="1254">
        <v>0</v>
      </c>
      <c r="AV244" s="1295"/>
      <c r="AW244" s="1296">
        <f>AW243+AU244*$AX$163/1000</f>
        <v>0</v>
      </c>
      <c r="AX244" s="1297"/>
      <c r="AY244" s="1295"/>
      <c r="AZ244" s="1299"/>
      <c r="BA244" s="1294">
        <f>+BA243+BB244</f>
        <v>128</v>
      </c>
      <c r="BB244" s="1254">
        <v>0</v>
      </c>
      <c r="BC244" s="1295">
        <f>+(BA244/BA237-1)*100</f>
        <v>4.0650406504065151</v>
      </c>
      <c r="BD244" s="1296">
        <f>BD243+BB244*BE240/1000</f>
        <v>3.0666666666666664</v>
      </c>
      <c r="BE244" s="1297"/>
      <c r="BF244" s="1295">
        <f>+(BD244/BD237-1)*100</f>
        <v>4.0650406504064929</v>
      </c>
      <c r="BG244" s="1295"/>
      <c r="BH244" s="1294">
        <f>+BH243+BI244</f>
        <v>76</v>
      </c>
      <c r="BI244" s="1254">
        <v>3</v>
      </c>
      <c r="BJ244" s="1295">
        <f>+(BH244/BH237-1)*100</f>
        <v>15.151515151515159</v>
      </c>
      <c r="BK244" s="1296">
        <f>BK243+BI244*BL240/1000</f>
        <v>1.6121212121212123</v>
      </c>
      <c r="BL244" s="1297"/>
      <c r="BM244" s="1295">
        <f>+(BK244/BK237-1)*100</f>
        <v>15.151515151515159</v>
      </c>
      <c r="BN244" s="1295"/>
      <c r="BO244" s="1294">
        <f>+BO243+BP244</f>
        <v>106</v>
      </c>
      <c r="BP244" s="1254">
        <v>5</v>
      </c>
      <c r="BQ244" s="1295"/>
      <c r="BR244" s="1296">
        <f>BR243+BP244*BS240/1000</f>
        <v>3.3473684210526318</v>
      </c>
      <c r="BS244" s="1297"/>
      <c r="BT244" s="1295"/>
      <c r="BU244" s="1295"/>
      <c r="BV244" s="1340">
        <f>+BV243+BW244</f>
        <v>3</v>
      </c>
      <c r="BW244" s="1358">
        <v>0</v>
      </c>
      <c r="BX244" s="1357">
        <f>+(BV244/BV237-1)*100</f>
        <v>0</v>
      </c>
      <c r="BY244" s="1359">
        <f>BY243+BW244*$BE$163/1000</f>
        <v>1.4285714285714289E-2</v>
      </c>
      <c r="BZ244" s="1360"/>
      <c r="CA244" s="1357">
        <f>+(BY244/BY237-1)*100</f>
        <v>0</v>
      </c>
      <c r="CB244" s="1299"/>
      <c r="CC244" s="1390"/>
      <c r="CD244" s="1391"/>
      <c r="CE244" s="1392"/>
      <c r="CF244" s="1393"/>
      <c r="CG244" s="1394"/>
      <c r="CH244" s="1392"/>
      <c r="CI244" s="1294">
        <f>+CI243+CJ244</f>
        <v>45</v>
      </c>
      <c r="CJ244" s="1254">
        <v>0</v>
      </c>
      <c r="CK244" s="1295"/>
      <c r="CL244" s="1296">
        <f>CL243+CJ244*CM240/1000</f>
        <v>1.5</v>
      </c>
      <c r="CM244" s="1297"/>
      <c r="CN244" s="1295"/>
      <c r="CO244" s="1295"/>
      <c r="CP244" s="1294">
        <f>+CP243+CQ244</f>
        <v>53</v>
      </c>
      <c r="CQ244" s="1254">
        <v>0</v>
      </c>
      <c r="CR244" s="1295"/>
      <c r="CS244" s="1296">
        <f>CS243+CQ244*CT240/1000</f>
        <v>1.2114285714285715</v>
      </c>
      <c r="CT244" s="1297"/>
      <c r="CU244" s="1295"/>
      <c r="CV244" s="1299"/>
      <c r="CW244" s="1306">
        <f>+D244+Y244+AF244+AM244+AT244+BA244+BH244+BO244+CI244</f>
        <v>4540</v>
      </c>
      <c r="CX244" s="1307">
        <f>+CW244-CW243</f>
        <v>45</v>
      </c>
      <c r="CY244" s="1295">
        <f>+(CW244/CW237-1)*100</f>
        <v>4.487917146145004</v>
      </c>
      <c r="CZ244" s="1297"/>
      <c r="DA244" s="1297"/>
      <c r="DB244" s="1296">
        <f>+G244+AB244+AI244+AP244+AW244+BD244+BK244+BR244+CL244</f>
        <v>128.5432702637579</v>
      </c>
      <c r="DC244" s="1297"/>
      <c r="DD244" s="1295">
        <f>+(DB244/DB237-1)*100</f>
        <v>4.4869266756747406</v>
      </c>
      <c r="DE244" s="1266"/>
      <c r="DF244" s="1350">
        <f>+D244/$CW244</f>
        <v>0.53590308370044049</v>
      </c>
      <c r="DG244" s="1351"/>
      <c r="DH244" s="1351"/>
      <c r="DI244" s="1350">
        <f>+Y244/$CW244</f>
        <v>6.6299559471365635E-2</v>
      </c>
      <c r="DJ244" s="1350">
        <f>+AF244/CW244</f>
        <v>0.13788546255506609</v>
      </c>
      <c r="DK244" s="1350">
        <f>+AM244/CW244</f>
        <v>0.18171806167400881</v>
      </c>
      <c r="DL244" s="1350">
        <f>+AT244/CW244</f>
        <v>0</v>
      </c>
      <c r="DM244" s="1350">
        <f>+BA244/$CW244</f>
        <v>2.8193832599118944E-2</v>
      </c>
      <c r="DN244" s="1350">
        <f>+BH244/$CW244</f>
        <v>1.6740088105726872E-2</v>
      </c>
      <c r="DO244" s="1350">
        <f>+BO244/$CW244</f>
        <v>2.3348017621145373E-2</v>
      </c>
      <c r="DP244" s="1350">
        <f>+CI244/$CW244</f>
        <v>9.911894273127754E-3</v>
      </c>
      <c r="DQ244" s="1350">
        <f>+CP244/$CW244</f>
        <v>1.1674008810572687E-2</v>
      </c>
      <c r="DR244" s="1395"/>
      <c r="DS244" s="1333">
        <f>+L244</f>
        <v>10</v>
      </c>
      <c r="DT244" s="1333">
        <f>+S244</f>
        <v>3</v>
      </c>
      <c r="DU244" s="1333">
        <f>+Z244</f>
        <v>5</v>
      </c>
      <c r="DV244" s="1333">
        <f>+AG244</f>
        <v>12</v>
      </c>
      <c r="DW244" s="1333">
        <f>+AN244</f>
        <v>7</v>
      </c>
      <c r="DX244" s="1333">
        <f>+AU244</f>
        <v>0</v>
      </c>
      <c r="DY244" s="1333">
        <f>+BB244</f>
        <v>0</v>
      </c>
      <c r="DZ244" s="1333">
        <f>+BI244</f>
        <v>3</v>
      </c>
      <c r="EA244" s="1333">
        <f>+BP244</f>
        <v>5</v>
      </c>
      <c r="EB244" s="1333">
        <f>+CD244</f>
        <v>0</v>
      </c>
      <c r="ED244" s="451">
        <f>-(SUMIF(DS244:EB244,"&lt;0"))</f>
        <v>0</v>
      </c>
      <c r="EE244" s="451">
        <f>(SUMIF(DS244:EB244,"&gt;0"))</f>
        <v>45</v>
      </c>
      <c r="EF244" s="451">
        <f>+EE244-ED244</f>
        <v>45</v>
      </c>
      <c r="EG244" s="1333">
        <f>+EF244-CX244</f>
        <v>0</v>
      </c>
    </row>
    <row r="245" spans="1:137" ht="15">
      <c r="A245" s="1266" t="str">
        <f>$A$19</f>
        <v>3Q</v>
      </c>
      <c r="B245" s="1266" t="str">
        <f>$B$19</f>
        <v>Oct</v>
      </c>
      <c r="C245" s="1266"/>
      <c r="D245" s="1294">
        <f t="shared" si="43"/>
        <v>2468</v>
      </c>
      <c r="E245" s="1255">
        <f t="shared" si="43"/>
        <v>35</v>
      </c>
      <c r="F245" s="1295">
        <f>+(D245/D238-1)*100</f>
        <v>2.4916943521594792</v>
      </c>
      <c r="G245" s="1296">
        <f>+N245+U245</f>
        <v>72.236177123457594</v>
      </c>
      <c r="H245" s="1297"/>
      <c r="I245" s="1295">
        <f>+(G245/G238-1)*100</f>
        <v>2.4965220323239778</v>
      </c>
      <c r="J245" s="1266"/>
      <c r="K245" s="1294">
        <f>+K244+L245</f>
        <v>1313</v>
      </c>
      <c r="L245" s="1254">
        <v>15</v>
      </c>
      <c r="M245" s="1295">
        <f>+(K245/K238-1)*100</f>
        <v>2.3382696804364667</v>
      </c>
      <c r="N245" s="1296">
        <f>N244+L245*O240/1000</f>
        <v>37.368252595155703</v>
      </c>
      <c r="O245" s="1297"/>
      <c r="P245" s="1295">
        <f>+(N245/N238-1)*100</f>
        <v>2.3382696804364889</v>
      </c>
      <c r="Q245" s="1299"/>
      <c r="R245" s="1294">
        <f>+R244+S245</f>
        <v>1155</v>
      </c>
      <c r="S245" s="1254">
        <v>20</v>
      </c>
      <c r="T245" s="1295">
        <f>+(R245/R238-1)*100</f>
        <v>2.6666666666666616</v>
      </c>
      <c r="U245" s="1296">
        <f>U244+S245*V240/1000</f>
        <v>34.867924528301884</v>
      </c>
      <c r="V245" s="1297"/>
      <c r="W245" s="1295">
        <f>+(U245/U238-1)*100</f>
        <v>2.6666666666666616</v>
      </c>
      <c r="X245" s="1299"/>
      <c r="Y245" s="1294">
        <f>+Y244+Z245</f>
        <v>306</v>
      </c>
      <c r="Z245" s="1254">
        <v>5</v>
      </c>
      <c r="AA245" s="1295">
        <f>+(Y245/Y238-1)*100</f>
        <v>5.1546391752577359</v>
      </c>
      <c r="AB245" s="1296">
        <f>AB244+Z245*AC240/1000</f>
        <v>8.6179591836734666</v>
      </c>
      <c r="AC245" s="1297"/>
      <c r="AD245" s="1295"/>
      <c r="AE245" s="1299"/>
      <c r="AF245" s="1294">
        <f>+AF244+AG245</f>
        <v>636</v>
      </c>
      <c r="AG245" s="1254">
        <v>10</v>
      </c>
      <c r="AH245" s="1295">
        <f>+(AF245/AF238-1)*100</f>
        <v>6.7114093959731447</v>
      </c>
      <c r="AI245" s="1296">
        <f>AI244+AG245*AJ240/1000</f>
        <v>19.247368421052634</v>
      </c>
      <c r="AJ245" s="1297"/>
      <c r="AK245" s="1295">
        <f>+(AI245/AI238-1)*100</f>
        <v>6.7114093959731669</v>
      </c>
      <c r="AL245" s="1299"/>
      <c r="AM245" s="1294">
        <f>+AM244+AN245</f>
        <v>834</v>
      </c>
      <c r="AN245" s="1254">
        <v>9</v>
      </c>
      <c r="AO245" s="1295">
        <f>+(AM245/AM238-1)*100</f>
        <v>5.0377833753148638</v>
      </c>
      <c r="AP245" s="1296">
        <f>AP244+AN245*AQ240/1000</f>
        <v>20.612167300380229</v>
      </c>
      <c r="AQ245" s="1297"/>
      <c r="AR245" s="1295">
        <f>+(AP245/AP238-1)*100</f>
        <v>5.0377833753148638</v>
      </c>
      <c r="AS245" s="1299"/>
      <c r="AT245" s="1294">
        <f>+AT244+AU245</f>
        <v>0</v>
      </c>
      <c r="AU245" s="1254">
        <v>0</v>
      </c>
      <c r="AV245" s="1295"/>
      <c r="AW245" s="1296">
        <f>AW244+AU245*$AX$163/1000</f>
        <v>0</v>
      </c>
      <c r="AX245" s="1297"/>
      <c r="AY245" s="1295"/>
      <c r="AZ245" s="1299"/>
      <c r="BA245" s="1294">
        <f>+BA244+BB245</f>
        <v>128</v>
      </c>
      <c r="BB245" s="1254">
        <v>0</v>
      </c>
      <c r="BC245" s="1295">
        <f>+(BA245/BA238-1)*100</f>
        <v>4.0650406504065151</v>
      </c>
      <c r="BD245" s="1296">
        <f>BD244+BB245*BE240/1000</f>
        <v>3.0666666666666664</v>
      </c>
      <c r="BE245" s="1297"/>
      <c r="BF245" s="1295">
        <f>+(BD245/BD238-1)*100</f>
        <v>4.0650406504064929</v>
      </c>
      <c r="BG245" s="1295"/>
      <c r="BH245" s="1294">
        <f>+BH244+BI245</f>
        <v>79</v>
      </c>
      <c r="BI245" s="1254">
        <v>3</v>
      </c>
      <c r="BJ245" s="1295">
        <f>+(BH245/BH238-1)*100</f>
        <v>14.492753623188403</v>
      </c>
      <c r="BK245" s="1296">
        <f>BK244+BI245*BL240/1000</f>
        <v>1.675757575757576</v>
      </c>
      <c r="BL245" s="1297"/>
      <c r="BM245" s="1295">
        <f>+(BK245/BK238-1)*100</f>
        <v>14.492753623188403</v>
      </c>
      <c r="BN245" s="1295"/>
      <c r="BO245" s="1294">
        <f>+BO244+BP245</f>
        <v>111</v>
      </c>
      <c r="BP245" s="1254">
        <v>5</v>
      </c>
      <c r="BQ245" s="1295"/>
      <c r="BR245" s="1296">
        <f>BR244+BP245*BS240/1000</f>
        <v>3.5052631578947371</v>
      </c>
      <c r="BS245" s="1297"/>
      <c r="BT245" s="1295"/>
      <c r="BU245" s="1295"/>
      <c r="BV245" s="1340">
        <f>+BV244+BW245</f>
        <v>3</v>
      </c>
      <c r="BW245" s="1358">
        <v>0</v>
      </c>
      <c r="BX245" s="1357">
        <f>+(BV245/BV238-1)*100</f>
        <v>0</v>
      </c>
      <c r="BY245" s="1359">
        <f>BY244+BW245*$BE$163/1000</f>
        <v>1.4285714285714289E-2</v>
      </c>
      <c r="BZ245" s="1360"/>
      <c r="CA245" s="1357">
        <f>+(BY245/BY238-1)*100</f>
        <v>0</v>
      </c>
      <c r="CB245" s="1299"/>
      <c r="CC245" s="1390"/>
      <c r="CD245" s="1391"/>
      <c r="CE245" s="1392"/>
      <c r="CF245" s="1393"/>
      <c r="CG245" s="1394"/>
      <c r="CH245" s="1392"/>
      <c r="CI245" s="1294">
        <f>+CI244+CJ245</f>
        <v>45</v>
      </c>
      <c r="CJ245" s="1254">
        <v>0</v>
      </c>
      <c r="CK245" s="1295"/>
      <c r="CL245" s="1296">
        <f>CL244+CJ245*CM240/1000</f>
        <v>1.5</v>
      </c>
      <c r="CM245" s="1297"/>
      <c r="CN245" s="1295"/>
      <c r="CO245" s="1295"/>
      <c r="CP245" s="1294">
        <f>+CP244+CQ245</f>
        <v>53</v>
      </c>
      <c r="CQ245" s="1254">
        <v>0</v>
      </c>
      <c r="CR245" s="1295"/>
      <c r="CS245" s="1296">
        <f>CS244+CQ245*CT240/1000</f>
        <v>1.2114285714285715</v>
      </c>
      <c r="CT245" s="1297"/>
      <c r="CU245" s="1295"/>
      <c r="CV245" s="1299"/>
      <c r="CW245" s="1306">
        <f>+D245+Y245+AF245+AM245+AT245+BA245+BH245+BO245+CI245</f>
        <v>4607</v>
      </c>
      <c r="CX245" s="1307">
        <f>+CW245-CW244</f>
        <v>67</v>
      </c>
      <c r="CY245" s="1295">
        <f>+(CW245/CW238-1)*100</f>
        <v>4.4197642792384473</v>
      </c>
      <c r="CZ245" s="1297"/>
      <c r="DA245" s="1297"/>
      <c r="DB245" s="1296">
        <f>+G245+AB245+AI245+AP245+AW245+BD245+BK245+BR245+CL245</f>
        <v>130.4613594288829</v>
      </c>
      <c r="DC245" s="1297"/>
      <c r="DD245" s="1295">
        <f>+(DB245/DB238-1)*100</f>
        <v>4.4180437765066749</v>
      </c>
      <c r="DE245" s="1266"/>
      <c r="DF245" s="1350">
        <f>+D245/$CW245</f>
        <v>0.53570653353592357</v>
      </c>
      <c r="DG245" s="1351"/>
      <c r="DH245" s="1351"/>
      <c r="DI245" s="1350">
        <f>+Y245/$CW245</f>
        <v>6.6420664206642069E-2</v>
      </c>
      <c r="DJ245" s="1350">
        <f>+AF245/CW245</f>
        <v>0.13805079227262862</v>
      </c>
      <c r="DK245" s="1350">
        <f>+AM245/CW245</f>
        <v>0.18102886911222055</v>
      </c>
      <c r="DL245" s="1350">
        <f>+AT245/CW245</f>
        <v>0</v>
      </c>
      <c r="DM245" s="1350">
        <f>+BA245/$CW245</f>
        <v>2.7783807249837204E-2</v>
      </c>
      <c r="DN245" s="1350">
        <f>+BH245/$CW245</f>
        <v>1.7147818537008898E-2</v>
      </c>
      <c r="DO245" s="1350">
        <f>+BO245/$CW245</f>
        <v>2.4093770349468201E-2</v>
      </c>
      <c r="DP245" s="1350">
        <f>+CI245/$CW245</f>
        <v>9.7677447362708916E-3</v>
      </c>
      <c r="DQ245" s="1350">
        <f>+CP245/$CW245</f>
        <v>1.1504232689385717E-2</v>
      </c>
      <c r="DR245" s="1395"/>
      <c r="DS245" s="1333">
        <f>+L245</f>
        <v>15</v>
      </c>
      <c r="DT245" s="1333">
        <f>+S245</f>
        <v>20</v>
      </c>
      <c r="DU245" s="1333">
        <f>+Z245</f>
        <v>5</v>
      </c>
      <c r="DV245" s="1333">
        <f>+AG245</f>
        <v>10</v>
      </c>
      <c r="DW245" s="1333">
        <f>+AN245</f>
        <v>9</v>
      </c>
      <c r="DX245" s="1333">
        <f>+AU245</f>
        <v>0</v>
      </c>
      <c r="DY245" s="1333">
        <f>+BB245</f>
        <v>0</v>
      </c>
      <c r="DZ245" s="1333">
        <f>+BI245</f>
        <v>3</v>
      </c>
      <c r="EA245" s="1333">
        <f>+BP245</f>
        <v>5</v>
      </c>
      <c r="EB245" s="1333">
        <f>+CD245</f>
        <v>0</v>
      </c>
      <c r="ED245" s="451">
        <f>-(SUMIF(DS245:EB245,"&lt;0"))</f>
        <v>0</v>
      </c>
      <c r="EE245" s="451">
        <f>(SUMIF(DS245:EB245,"&gt;0"))</f>
        <v>67</v>
      </c>
      <c r="EF245" s="451">
        <f>+EE245-ED245</f>
        <v>67</v>
      </c>
      <c r="EG245" s="1333">
        <f>+EF245-CX245</f>
        <v>0</v>
      </c>
    </row>
    <row r="246" spans="1:137" ht="15">
      <c r="A246" s="1266" t="str">
        <f>$A$20</f>
        <v>4Q</v>
      </c>
      <c r="B246" s="1266" t="str">
        <f>$B$20</f>
        <v>Jan</v>
      </c>
      <c r="C246" s="1266"/>
      <c r="D246" s="1312">
        <f t="shared" si="43"/>
        <v>2470</v>
      </c>
      <c r="E246" s="1255">
        <f t="shared" si="43"/>
        <v>2</v>
      </c>
      <c r="F246" s="1295">
        <f>+(D246/D239-1)*100</f>
        <v>2.4896265560165887</v>
      </c>
      <c r="G246" s="1313">
        <f>+N246+U246</f>
        <v>72.296554481948164</v>
      </c>
      <c r="H246" s="1297"/>
      <c r="I246" s="1295">
        <f>+(G246/G239-1)*100</f>
        <v>2.4943850940087664</v>
      </c>
      <c r="J246" s="1266"/>
      <c r="K246" s="1312">
        <f>+K247</f>
        <v>1313</v>
      </c>
      <c r="L246" s="1255">
        <f>+K246-K245</f>
        <v>0</v>
      </c>
      <c r="M246" s="1295">
        <f>+(K246/K239-1)*100</f>
        <v>2.3382696804364667</v>
      </c>
      <c r="N246" s="1313">
        <f>N245+L246*O240/1000</f>
        <v>37.368252595155703</v>
      </c>
      <c r="O246" s="1297"/>
      <c r="P246" s="1295">
        <f>+(N246/N239-1)*100</f>
        <v>2.3382696804364889</v>
      </c>
      <c r="Q246" s="1299"/>
      <c r="R246" s="1312">
        <f>+R247</f>
        <v>1157</v>
      </c>
      <c r="S246" s="1255">
        <f>+R246-R245</f>
        <v>2</v>
      </c>
      <c r="T246" s="1295">
        <f>+(R246/R239-1)*100</f>
        <v>2.6619343389529648</v>
      </c>
      <c r="U246" s="1313">
        <f>U245+S246*V240/1000</f>
        <v>34.928301886792454</v>
      </c>
      <c r="V246" s="1297"/>
      <c r="W246" s="1295">
        <f>+(U246/U239-1)*100</f>
        <v>2.6619343389529648</v>
      </c>
      <c r="X246" s="1299"/>
      <c r="Y246" s="1312">
        <f>+Y247</f>
        <v>309</v>
      </c>
      <c r="Z246" s="1255">
        <f>+Y246-Y245</f>
        <v>3</v>
      </c>
      <c r="AA246" s="1295">
        <f>+(Y246/Y239-1)*100</f>
        <v>5.1020408163265252</v>
      </c>
      <c r="AB246" s="1313">
        <f>AB245+Z246*AC240/1000</f>
        <v>8.7024489795918338</v>
      </c>
      <c r="AC246" s="1297"/>
      <c r="AD246" s="1295">
        <f>+(AB246/AB239-1)*100</f>
        <v>5.102040816326503</v>
      </c>
      <c r="AE246" s="1299"/>
      <c r="AF246" s="1312">
        <f>+AF247</f>
        <v>645</v>
      </c>
      <c r="AG246" s="1255">
        <f>+AF246-AF245</f>
        <v>9</v>
      </c>
      <c r="AH246" s="1295">
        <f>+(AF246/AF239-1)*100</f>
        <v>6.6115702479338845</v>
      </c>
      <c r="AI246" s="1313">
        <f>AI245+AG246*AJ240/1000</f>
        <v>19.519736842105267</v>
      </c>
      <c r="AJ246" s="1297"/>
      <c r="AK246" s="1295">
        <f>+(AI246/AI239-1)*100</f>
        <v>6.6115702479339067</v>
      </c>
      <c r="AL246" s="1299"/>
      <c r="AM246" s="1312">
        <f>+AM247</f>
        <v>851</v>
      </c>
      <c r="AN246" s="1255">
        <f>+AM246-AM245</f>
        <v>17</v>
      </c>
      <c r="AO246" s="1295">
        <f>+(AM246/AM239-1)*100</f>
        <v>4.9321824907521572</v>
      </c>
      <c r="AP246" s="1313">
        <f>AP245+AN246*AQ240/1000</f>
        <v>21.032319391634982</v>
      </c>
      <c r="AQ246" s="1297"/>
      <c r="AR246" s="1295">
        <f>+(AP246/AP239-1)*100</f>
        <v>4.9321824907521572</v>
      </c>
      <c r="AS246" s="1299"/>
      <c r="AT246" s="1312">
        <f>+AT247</f>
        <v>0</v>
      </c>
      <c r="AU246" s="1255">
        <f>+AT246-AT245</f>
        <v>0</v>
      </c>
      <c r="AV246" s="1295"/>
      <c r="AW246" s="1313">
        <f>AW245+AU246*$AX$163/1000</f>
        <v>0</v>
      </c>
      <c r="AX246" s="1297"/>
      <c r="AY246" s="1295"/>
      <c r="AZ246" s="1299"/>
      <c r="BA246" s="1312">
        <f>+BA247</f>
        <v>132</v>
      </c>
      <c r="BB246" s="1255">
        <f>+BA246-BA245</f>
        <v>4</v>
      </c>
      <c r="BC246" s="1295">
        <f>+(BA246/BA239-1)*100</f>
        <v>3.937007874015741</v>
      </c>
      <c r="BD246" s="1313">
        <f>BD245+BB246*BE240/1000</f>
        <v>3.1624999999999996</v>
      </c>
      <c r="BE246" s="1297"/>
      <c r="BF246" s="1295">
        <f>+(BD246/BD239-1)*100</f>
        <v>3.937007874015741</v>
      </c>
      <c r="BG246" s="1295"/>
      <c r="BH246" s="1312">
        <f>+BH247</f>
        <v>80</v>
      </c>
      <c r="BI246" s="1255">
        <f>+BH246-BH245</f>
        <v>1</v>
      </c>
      <c r="BJ246" s="1295">
        <f>+(BH246/BH239-1)*100</f>
        <v>14.285714285714279</v>
      </c>
      <c r="BK246" s="1313">
        <f>BK245+BI246*BL240/1000</f>
        <v>1.6969696969696972</v>
      </c>
      <c r="BL246" s="1297"/>
      <c r="BM246" s="1295">
        <f>+(BK246/BK239-1)*100</f>
        <v>14.285714285714279</v>
      </c>
      <c r="BN246" s="1295"/>
      <c r="BO246" s="1312">
        <f>+BO247</f>
        <v>113</v>
      </c>
      <c r="BP246" s="1255">
        <f>+BO246-BO245</f>
        <v>2</v>
      </c>
      <c r="BQ246" s="1295"/>
      <c r="BR246" s="1313">
        <f>BR245+BP246*BS240/1000</f>
        <v>3.5684210526315794</v>
      </c>
      <c r="BS246" s="1297"/>
      <c r="BT246" s="1295"/>
      <c r="BU246" s="1295"/>
      <c r="BV246" s="1361">
        <f>+BV247</f>
        <v>3</v>
      </c>
      <c r="BW246" s="1358">
        <f>+BV246-BV245</f>
        <v>0</v>
      </c>
      <c r="BX246" s="1357">
        <f>+(BV246/BV239-1)*100</f>
        <v>0</v>
      </c>
      <c r="BY246" s="1362">
        <f>BY245+BW246*$BE$163/1000</f>
        <v>1.4285714285714289E-2</v>
      </c>
      <c r="BZ246" s="1360"/>
      <c r="CA246" s="1357">
        <f>+(BY246/BY239-1)*100</f>
        <v>0</v>
      </c>
      <c r="CB246" s="1299"/>
      <c r="CC246" s="1396"/>
      <c r="CD246" s="1391"/>
      <c r="CE246" s="1392"/>
      <c r="CF246" s="1397"/>
      <c r="CG246" s="1394"/>
      <c r="CH246" s="1392"/>
      <c r="CI246" s="1312">
        <f>+CI247</f>
        <v>55</v>
      </c>
      <c r="CJ246" s="1254">
        <v>0</v>
      </c>
      <c r="CK246" s="1295"/>
      <c r="CL246" s="1313">
        <f>CL245+CJ246*CM240/1000</f>
        <v>1.5</v>
      </c>
      <c r="CM246" s="1297"/>
      <c r="CN246" s="1295"/>
      <c r="CO246" s="1295"/>
      <c r="CP246" s="1312">
        <f>+CP247</f>
        <v>63</v>
      </c>
      <c r="CQ246" s="1254">
        <v>0</v>
      </c>
      <c r="CR246" s="1295"/>
      <c r="CS246" s="1313">
        <f>CS245+CQ246*CT240/1000</f>
        <v>1.2114285714285715</v>
      </c>
      <c r="CT246" s="1297"/>
      <c r="CU246" s="1295"/>
      <c r="CV246" s="1299"/>
      <c r="CW246" s="1312">
        <f>+D246+Y246+AF246+AM246+AT246+BA246+BH246+BO246+CI246</f>
        <v>4655</v>
      </c>
      <c r="CX246" s="1307">
        <f>+CW246-CW245</f>
        <v>48</v>
      </c>
      <c r="CY246" s="1295">
        <f>+(CW246/CW239-1)*100</f>
        <v>4.3721973094170474</v>
      </c>
      <c r="CZ246" s="1297"/>
      <c r="DA246" s="1297"/>
      <c r="DB246" s="1313">
        <f>+G246+AB246+AI246+AP246+AW246+BD246+BK246+BR246+CL246</f>
        <v>131.47895044488155</v>
      </c>
      <c r="DC246" s="1297"/>
      <c r="DD246" s="1295">
        <f>+(DB246/DB239-1)*100</f>
        <v>4.3823515100399169</v>
      </c>
      <c r="DE246" s="1266"/>
      <c r="DF246" s="1350">
        <f>+D246/$CW246</f>
        <v>0.53061224489795922</v>
      </c>
      <c r="DG246" s="1351"/>
      <c r="DH246" s="1351"/>
      <c r="DI246" s="1350">
        <f>+Y246/$CW246</f>
        <v>6.6380236305048329E-2</v>
      </c>
      <c r="DJ246" s="1350">
        <f>+AF246/CW246</f>
        <v>0.1385606874328679</v>
      </c>
      <c r="DK246" s="1350">
        <f>+AM246/CW246</f>
        <v>0.18281417830290012</v>
      </c>
      <c r="DL246" s="1350">
        <f>+AT246/CW246</f>
        <v>0</v>
      </c>
      <c r="DM246" s="1350">
        <f>+BA246/$CW246</f>
        <v>2.8356605800214821E-2</v>
      </c>
      <c r="DN246" s="1350">
        <f>+BH246/$CW246</f>
        <v>1.7185821697099892E-2</v>
      </c>
      <c r="DO246" s="1350">
        <f>+BO246/$CW246</f>
        <v>2.4274973147153597E-2</v>
      </c>
      <c r="DP246" s="1350">
        <f>+CI246/$CW246</f>
        <v>1.1815252416756176E-2</v>
      </c>
      <c r="DQ246" s="1350">
        <f>+CP246/$CW246</f>
        <v>1.3533834586466165E-2</v>
      </c>
      <c r="DR246" s="1395"/>
      <c r="DS246" s="1333">
        <f>+L246</f>
        <v>0</v>
      </c>
      <c r="DT246" s="1333">
        <f>+S246</f>
        <v>2</v>
      </c>
      <c r="DU246" s="1333">
        <f>+Z246</f>
        <v>3</v>
      </c>
      <c r="DV246" s="1333">
        <f>+AG246</f>
        <v>9</v>
      </c>
      <c r="DW246" s="1333">
        <f>+AN246</f>
        <v>17</v>
      </c>
      <c r="DX246" s="1333">
        <f>+AU246</f>
        <v>0</v>
      </c>
      <c r="DY246" s="1333">
        <f>+BB246</f>
        <v>4</v>
      </c>
      <c r="DZ246" s="1333">
        <f>+BI246</f>
        <v>1</v>
      </c>
      <c r="EA246" s="1333">
        <f>+BP246</f>
        <v>2</v>
      </c>
      <c r="EB246" s="1333">
        <f>+CD246</f>
        <v>0</v>
      </c>
      <c r="ED246" s="451">
        <f>-(SUMIF(DS246:EB246,"&lt;0"))</f>
        <v>0</v>
      </c>
      <c r="EE246" s="451">
        <f>(SUMIF(DS246:EB246,"&gt;0"))</f>
        <v>38</v>
      </c>
      <c r="EF246" s="451">
        <f>+EE246-ED246</f>
        <v>38</v>
      </c>
      <c r="EG246" s="1333">
        <f>+EF246-CX246</f>
        <v>-10</v>
      </c>
    </row>
    <row r="247" spans="1:137" ht="15">
      <c r="A247" s="1266"/>
      <c r="B247" s="1266" t="str">
        <f>$B$21</f>
        <v>Year</v>
      </c>
      <c r="C247" s="1266"/>
      <c r="D247" s="1306">
        <f>+D246</f>
        <v>2470</v>
      </c>
      <c r="E247" s="1317">
        <f>+D247-D240</f>
        <v>60</v>
      </c>
      <c r="F247" s="1295">
        <f>+(D247/D240-1)*100</f>
        <v>2.4896265560165887</v>
      </c>
      <c r="G247" s="1296">
        <f>+N247+U247</f>
        <v>72.296554481948164</v>
      </c>
      <c r="H247" s="1297">
        <f>+G247/D247*1000</f>
        <v>29.269860114149054</v>
      </c>
      <c r="I247" s="1295">
        <f>+(G247/G240-1)*100</f>
        <v>2.4943850940087664</v>
      </c>
      <c r="J247" s="1266"/>
      <c r="K247" s="1306">
        <f>+L247+K240</f>
        <v>1313</v>
      </c>
      <c r="L247" s="1256">
        <v>30</v>
      </c>
      <c r="M247" s="1295">
        <f>+(K247/K240-1)*100</f>
        <v>2.3382696804364667</v>
      </c>
      <c r="N247" s="1296">
        <f>+K247*O247/1000</f>
        <v>37.368252595155703</v>
      </c>
      <c r="O247" s="1297">
        <f>+O240</f>
        <v>28.460207612456745</v>
      </c>
      <c r="P247" s="1295">
        <f>+(N247/N240-1)*100</f>
        <v>2.3382696804364667</v>
      </c>
      <c r="Q247" s="1299"/>
      <c r="R247" s="1306">
        <f>+S247+R240</f>
        <v>1157</v>
      </c>
      <c r="S247" s="1256">
        <v>30</v>
      </c>
      <c r="T247" s="1295">
        <f>+(R247/R240-1)*100</f>
        <v>2.6619343389529648</v>
      </c>
      <c r="U247" s="1296">
        <f>+R247*V247/1000</f>
        <v>34.928301886792454</v>
      </c>
      <c r="V247" s="1297">
        <f>+V240</f>
        <v>30.188679245283019</v>
      </c>
      <c r="W247" s="1295">
        <f>+(U247/U240-1)*100</f>
        <v>2.661934338952987</v>
      </c>
      <c r="X247" s="1299"/>
      <c r="Y247" s="1306">
        <f>+Z247+Y240</f>
        <v>309</v>
      </c>
      <c r="Z247" s="1256">
        <v>15</v>
      </c>
      <c r="AA247" s="1295">
        <f>+(Y247/Y240-1)*100</f>
        <v>5.1020408163265252</v>
      </c>
      <c r="AB247" s="1296">
        <f>+Y247*AC247/1000</f>
        <v>8.7024489795918374</v>
      </c>
      <c r="AC247" s="1297">
        <f>+AC240</f>
        <v>28.163265306122451</v>
      </c>
      <c r="AD247" s="1295">
        <f>+(AB247/AB240-1)*100</f>
        <v>5.1020408163265474</v>
      </c>
      <c r="AE247" s="1299"/>
      <c r="AF247" s="1306">
        <f>+AG247+AF240</f>
        <v>645</v>
      </c>
      <c r="AG247" s="1256">
        <v>40</v>
      </c>
      <c r="AH247" s="1295">
        <f>+(AF247/AF240-1)*100</f>
        <v>6.6115702479338845</v>
      </c>
      <c r="AI247" s="1296">
        <f>+AF247*AJ247/1000</f>
        <v>19.519736842105264</v>
      </c>
      <c r="AJ247" s="1297">
        <f>+AJ240</f>
        <v>30.263157894736842</v>
      </c>
      <c r="AK247" s="1295">
        <f>+(AI247/AI240-1)*100</f>
        <v>6.6115702479338845</v>
      </c>
      <c r="AL247" s="1299"/>
      <c r="AM247" s="1306">
        <f>+AN247+AM240</f>
        <v>851</v>
      </c>
      <c r="AN247" s="1256">
        <v>40</v>
      </c>
      <c r="AO247" s="1295">
        <f>+(AM247/AM240-1)*100</f>
        <v>4.9321824907521572</v>
      </c>
      <c r="AP247" s="1296">
        <f>+AM247*AQ247/1000</f>
        <v>21.032319391634982</v>
      </c>
      <c r="AQ247" s="1297">
        <f>+AQ240</f>
        <v>24.714828897338403</v>
      </c>
      <c r="AR247" s="1295">
        <f>+(AP247/AP240-1)*100</f>
        <v>4.9321824907521572</v>
      </c>
      <c r="AS247" s="1299"/>
      <c r="AT247" s="1306">
        <f>+AU247+AT240</f>
        <v>0</v>
      </c>
      <c r="AU247" s="1256">
        <v>0</v>
      </c>
      <c r="AV247" s="1295"/>
      <c r="AW247" s="1296">
        <f>+AT247*AX247/1000</f>
        <v>0</v>
      </c>
      <c r="AX247" s="1297">
        <f>+AX240</f>
        <v>26</v>
      </c>
      <c r="AY247" s="1295"/>
      <c r="AZ247" s="1299"/>
      <c r="BA247" s="1306">
        <f>+BB247+BA240</f>
        <v>132</v>
      </c>
      <c r="BB247" s="1256">
        <v>5</v>
      </c>
      <c r="BC247" s="1295">
        <f>+(BA247/BA240-1)*100</f>
        <v>3.937007874015741</v>
      </c>
      <c r="BD247" s="1296">
        <f>+BA247*BE247/1000</f>
        <v>3.1625000000000001</v>
      </c>
      <c r="BE247" s="1297">
        <f>+BE240</f>
        <v>23.958333333333332</v>
      </c>
      <c r="BF247" s="1295">
        <f>+(BD247/BD240-1)*100</f>
        <v>3.9370078740157632</v>
      </c>
      <c r="BG247" s="1295"/>
      <c r="BH247" s="1306">
        <f>+BI247+BH240</f>
        <v>80</v>
      </c>
      <c r="BI247" s="1256">
        <v>10</v>
      </c>
      <c r="BJ247" s="1295">
        <f>+(BH247/BH240-1)*100</f>
        <v>14.285714285714279</v>
      </c>
      <c r="BK247" s="1296">
        <f>+BH247*BL247/1000</f>
        <v>1.696969696969697</v>
      </c>
      <c r="BL247" s="1297">
        <f>+BL240</f>
        <v>21.212121212121211</v>
      </c>
      <c r="BM247" s="1295">
        <f>+(BK247/BK240-1)*100</f>
        <v>14.285714285714279</v>
      </c>
      <c r="BN247" s="1295"/>
      <c r="BO247" s="1306">
        <f>+BP247+BO240</f>
        <v>113</v>
      </c>
      <c r="BP247" s="1256">
        <v>15</v>
      </c>
      <c r="BQ247" s="1295"/>
      <c r="BR247" s="1296">
        <f>+BO247*BS247/1000</f>
        <v>3.5684210526315794</v>
      </c>
      <c r="BS247" s="1297">
        <f>+BS240</f>
        <v>31.578947368421055</v>
      </c>
      <c r="BT247" s="1295"/>
      <c r="BU247" s="1295"/>
      <c r="BV247" s="1337">
        <f>+BW247+BV240</f>
        <v>3</v>
      </c>
      <c r="BW247" s="1343">
        <v>0</v>
      </c>
      <c r="BX247" s="1357">
        <f>+(BV247/BV240-1)*100</f>
        <v>0</v>
      </c>
      <c r="BY247" s="1359">
        <f>+BV247*BZ247/1000</f>
        <v>1.4285714285714289E-2</v>
      </c>
      <c r="BZ247" s="1360">
        <f>+BZ240</f>
        <v>4.7619047619047628</v>
      </c>
      <c r="CA247" s="1357">
        <f>+(BY247/BY240-1)*100</f>
        <v>0</v>
      </c>
      <c r="CB247" s="1299"/>
      <c r="CC247" s="1398"/>
      <c r="CD247" s="1399"/>
      <c r="CE247" s="1392"/>
      <c r="CF247" s="1393"/>
      <c r="CG247" s="1394"/>
      <c r="CH247" s="1392"/>
      <c r="CI247" s="1306">
        <f>+CJ247+CI240</f>
        <v>55</v>
      </c>
      <c r="CJ247" s="1256">
        <v>10</v>
      </c>
      <c r="CK247" s="1295"/>
      <c r="CL247" s="1296">
        <f>+CI247*CM247/1000</f>
        <v>1.8333333333333335</v>
      </c>
      <c r="CM247" s="1297">
        <f>+CM240</f>
        <v>33.333333333333336</v>
      </c>
      <c r="CN247" s="1295"/>
      <c r="CO247" s="1295"/>
      <c r="CP247" s="1306">
        <f>+CQ247+CP240</f>
        <v>63</v>
      </c>
      <c r="CQ247" s="1256">
        <v>10</v>
      </c>
      <c r="CR247" s="1295"/>
      <c r="CS247" s="1296">
        <f>+CP247*CT247/1000</f>
        <v>1.44</v>
      </c>
      <c r="CT247" s="1297">
        <f>+CT240</f>
        <v>22.857142857142858</v>
      </c>
      <c r="CU247" s="1295"/>
      <c r="CV247" s="1299"/>
      <c r="CW247" s="1306">
        <f>+D247+Y247+AF247+AM247+AT247+BA247+BH247+BO247+CI247+CP247</f>
        <v>4718</v>
      </c>
      <c r="CX247" s="1317">
        <f>+E247+Z247+AG247+AN247+AU247+BB247+BI247+BP247+CJ247+CQ247</f>
        <v>205</v>
      </c>
      <c r="CY247" s="1295">
        <f>+(CW247/CW240-1)*100</f>
        <v>4.5424329714158995</v>
      </c>
      <c r="CZ247" s="1297"/>
      <c r="DA247" s="1297"/>
      <c r="DB247" s="1296">
        <f>+G247+AB247+AI247+AP247+AW247+BD247+BK247+BR247+CL247+CS247</f>
        <v>133.25228377821486</v>
      </c>
      <c r="DC247" s="1297">
        <f>+DB247/CW247*1000</f>
        <v>28.243383590126083</v>
      </c>
      <c r="DD247" s="1295">
        <f>+(DB247/DB240-1)*100</f>
        <v>4.5085239056445792</v>
      </c>
      <c r="DE247" s="1266"/>
      <c r="DF247" s="1350">
        <f>+D247/$CW247</f>
        <v>0.52352691818567187</v>
      </c>
      <c r="DG247" s="1351"/>
      <c r="DH247" s="1351"/>
      <c r="DI247" s="1350">
        <f>+Y247/$CW247</f>
        <v>6.549385332768122E-2</v>
      </c>
      <c r="DJ247" s="1350">
        <f>+AF247/CW247</f>
        <v>0.13671047053836372</v>
      </c>
      <c r="DK247" s="1350">
        <f>+AM247/CW247</f>
        <v>0.18037303942348454</v>
      </c>
      <c r="DL247" s="1350">
        <f>+AT247/CW247</f>
        <v>0</v>
      </c>
      <c r="DM247" s="1350">
        <f>+BA247/$CW247</f>
        <v>2.7977956761339552E-2</v>
      </c>
      <c r="DN247" s="1350">
        <f>+BH247/$CW247</f>
        <v>1.6956337431114878E-2</v>
      </c>
      <c r="DO247" s="1350">
        <f>+BO247/$CW247</f>
        <v>2.3950826621449768E-2</v>
      </c>
      <c r="DP247" s="1350">
        <f>+CI247/$CW247</f>
        <v>1.1657481983891479E-2</v>
      </c>
      <c r="DQ247" s="1350">
        <f>+CP247/$CW247</f>
        <v>1.3353115727002967E-2</v>
      </c>
      <c r="DR247" s="1395"/>
      <c r="ED247" s="693">
        <f>SUM(ED243:ED246)</f>
        <v>0</v>
      </c>
      <c r="EE247" s="693">
        <f>SUM(EE243:EE246)</f>
        <v>185</v>
      </c>
      <c r="EF247" s="693">
        <f>+EE247-ED247</f>
        <v>185</v>
      </c>
      <c r="EG247" s="1417">
        <f>+EF247-CX247</f>
        <v>-20</v>
      </c>
    </row>
    <row r="248" spans="1:137" ht="15">
      <c r="A248" s="1266"/>
      <c r="B248" s="1266"/>
      <c r="C248" s="1266"/>
      <c r="D248" s="1306"/>
      <c r="E248" s="1317"/>
      <c r="F248" s="1295"/>
      <c r="G248" s="1296"/>
      <c r="H248" s="1297"/>
      <c r="I248" s="1295"/>
      <c r="J248" s="1266"/>
      <c r="K248" s="1306"/>
      <c r="L248" s="1256"/>
      <c r="M248" s="1295"/>
      <c r="N248" s="1296"/>
      <c r="O248" s="1297"/>
      <c r="P248" s="1295"/>
      <c r="Q248" s="1299"/>
      <c r="R248" s="1306"/>
      <c r="S248" s="1256"/>
      <c r="T248" s="1295"/>
      <c r="U248" s="1296"/>
      <c r="V248" s="1297"/>
      <c r="W248" s="1295"/>
      <c r="X248" s="1299"/>
      <c r="Y248" s="1306"/>
      <c r="Z248" s="1256"/>
      <c r="AA248" s="1295"/>
      <c r="AB248" s="1296"/>
      <c r="AC248" s="1297"/>
      <c r="AD248" s="1295"/>
      <c r="AE248" s="1299"/>
      <c r="AF248" s="1306"/>
      <c r="AG248" s="1256" t="s">
        <v>798</v>
      </c>
      <c r="AH248" s="1295"/>
      <c r="AI248" s="1296"/>
      <c r="AJ248" s="1297"/>
      <c r="AK248" s="1295"/>
      <c r="AL248" s="1299"/>
      <c r="AM248" s="1306"/>
      <c r="AN248" s="1256"/>
      <c r="AO248" s="1295"/>
      <c r="AP248" s="1296"/>
      <c r="AQ248" s="1297"/>
      <c r="AR248" s="1295"/>
      <c r="AS248" s="1299"/>
      <c r="AT248" s="1306"/>
      <c r="AU248" s="1256"/>
      <c r="AV248" s="1295"/>
      <c r="AW248" s="1296"/>
      <c r="AX248" s="1297"/>
      <c r="AY248" s="1295"/>
      <c r="AZ248" s="1299"/>
      <c r="BA248" s="1306"/>
      <c r="BB248" s="1256"/>
      <c r="BC248" s="1295"/>
      <c r="BD248" s="1296"/>
      <c r="BE248" s="1297"/>
      <c r="BF248" s="1295"/>
      <c r="BG248" s="1295"/>
      <c r="BH248" s="1306"/>
      <c r="BI248" s="1256"/>
      <c r="BJ248" s="1295"/>
      <c r="BK248" s="1296"/>
      <c r="BL248" s="1297"/>
      <c r="BM248" s="1295"/>
      <c r="BN248" s="1295"/>
      <c r="BO248" s="1306"/>
      <c r="BP248" s="1256"/>
      <c r="BQ248" s="1295"/>
      <c r="BR248" s="1296"/>
      <c r="BS248" s="1297"/>
      <c r="BT248" s="1295"/>
      <c r="BU248" s="1295"/>
      <c r="BV248" s="1337"/>
      <c r="BW248" s="1343"/>
      <c r="BX248" s="1357"/>
      <c r="BY248" s="1359"/>
      <c r="BZ248" s="1360"/>
      <c r="CA248" s="1357"/>
      <c r="CB248" s="1299"/>
      <c r="CC248" s="1398"/>
      <c r="CD248" s="1399"/>
      <c r="CE248" s="1392"/>
      <c r="CF248" s="1393"/>
      <c r="CG248" s="1394"/>
      <c r="CH248" s="1392"/>
      <c r="CI248" s="1306"/>
      <c r="CJ248" s="1256"/>
      <c r="CK248" s="1295"/>
      <c r="CL248" s="1296"/>
      <c r="CM248" s="1297"/>
      <c r="CN248" s="1295"/>
      <c r="CO248" s="1295"/>
      <c r="CP248" s="1306"/>
      <c r="CQ248" s="1256"/>
      <c r="CR248" s="1295"/>
      <c r="CS248" s="1296"/>
      <c r="CT248" s="1297"/>
      <c r="CU248" s="1295"/>
      <c r="CV248" s="1299"/>
      <c r="CW248" s="1306"/>
      <c r="CX248" s="1317"/>
      <c r="CY248" s="1295"/>
      <c r="CZ248" s="1297"/>
      <c r="DA248" s="1297"/>
      <c r="DB248" s="1296"/>
      <c r="DC248" s="1297"/>
      <c r="DD248" s="1295"/>
      <c r="DE248" s="1266"/>
      <c r="DF248" s="1350"/>
      <c r="DG248" s="1351"/>
      <c r="DH248" s="1351"/>
      <c r="DI248" s="1350"/>
      <c r="DJ248" s="1350"/>
      <c r="DK248" s="1350"/>
      <c r="DL248" s="1350"/>
      <c r="DM248" s="1350"/>
      <c r="DN248" s="1350"/>
      <c r="DO248" s="1350"/>
      <c r="DP248" s="1350"/>
      <c r="DQ248" s="1350"/>
      <c r="DR248" s="1395"/>
      <c r="ED248" s="693"/>
      <c r="EE248" s="693"/>
      <c r="EF248" s="693"/>
      <c r="EG248" s="1417"/>
    </row>
    <row r="249" spans="1:137" ht="15.75">
      <c r="A249" s="2117">
        <f>+A242+1</f>
        <v>2021</v>
      </c>
      <c r="B249" s="2117"/>
      <c r="C249" s="1266"/>
      <c r="D249" s="1335"/>
      <c r="E249" s="1269"/>
      <c r="F249" s="1302"/>
      <c r="G249" s="1335"/>
      <c r="H249" s="1268"/>
      <c r="I249" s="1295"/>
      <c r="J249" s="1266"/>
      <c r="K249" s="1336"/>
      <c r="L249" s="1269"/>
      <c r="M249" s="1268"/>
      <c r="N249" s="1336"/>
      <c r="O249" s="1268"/>
      <c r="P249" s="1295"/>
      <c r="Q249" s="1268"/>
      <c r="R249" s="1336"/>
      <c r="S249" s="1269"/>
      <c r="T249" s="1268"/>
      <c r="U249" s="1336"/>
      <c r="V249" s="1268"/>
      <c r="W249" s="1295"/>
      <c r="X249" s="1268"/>
      <c r="Y249" s="1336"/>
      <c r="Z249" s="1269"/>
      <c r="AA249" s="1268"/>
      <c r="AB249" s="1336"/>
      <c r="AC249" s="1268"/>
      <c r="AD249" s="1295"/>
      <c r="AE249" s="1268"/>
      <c r="AF249" s="1336"/>
      <c r="AG249" s="1269"/>
      <c r="AH249" s="1270"/>
      <c r="AI249" s="1336"/>
      <c r="AJ249" s="1268"/>
      <c r="AK249" s="1302"/>
      <c r="AL249" s="1268"/>
      <c r="AM249" s="1336"/>
      <c r="AN249" s="1269"/>
      <c r="AO249" s="1268"/>
      <c r="AP249" s="1336"/>
      <c r="AQ249" s="1268"/>
      <c r="AR249" s="1295"/>
      <c r="AS249" s="1268"/>
      <c r="AT249" s="1336"/>
      <c r="AU249" s="1269"/>
      <c r="AV249" s="1266"/>
      <c r="AW249" s="1336"/>
      <c r="AX249" s="1268"/>
      <c r="AY249" s="1295"/>
      <c r="AZ249" s="1266"/>
      <c r="BA249" s="1336"/>
      <c r="BB249" s="1269"/>
      <c r="BC249" s="1266"/>
      <c r="BD249" s="1336"/>
      <c r="BE249" s="1268"/>
      <c r="BF249" s="1295"/>
      <c r="BG249" s="1295"/>
      <c r="BH249" s="1405"/>
      <c r="BI249" s="1401"/>
      <c r="BJ249" s="1402"/>
      <c r="BK249" s="1336"/>
      <c r="BL249" s="1400"/>
      <c r="BM249" s="1295"/>
      <c r="BN249" s="1295"/>
      <c r="BO249" s="1405"/>
      <c r="BP249" s="1401"/>
      <c r="BQ249" s="1402"/>
      <c r="BR249" s="1336"/>
      <c r="BS249" s="1400"/>
      <c r="BT249" s="1295"/>
      <c r="BU249" s="1295"/>
      <c r="BV249" s="1345"/>
      <c r="BW249" s="1354"/>
      <c r="BX249" s="1355"/>
      <c r="BY249" s="1345"/>
      <c r="BZ249" s="1356"/>
      <c r="CA249" s="1357"/>
      <c r="CB249" s="1266"/>
      <c r="CC249" s="1405"/>
      <c r="CD249" s="1401"/>
      <c r="CE249" s="1402"/>
      <c r="CF249" s="1405"/>
      <c r="CG249" s="1400"/>
      <c r="CH249" s="1392"/>
      <c r="CI249" s="1405"/>
      <c r="CJ249" s="1401"/>
      <c r="CK249" s="1402"/>
      <c r="CL249" s="1336"/>
      <c r="CM249" s="1400"/>
      <c r="CN249" s="1295"/>
      <c r="CO249" s="1295"/>
      <c r="CP249" s="1405"/>
      <c r="CQ249" s="1401"/>
      <c r="CR249" s="1402"/>
      <c r="CS249" s="1336"/>
      <c r="CT249" s="1400"/>
      <c r="CU249" s="1295"/>
      <c r="CV249" s="1266"/>
      <c r="CW249" s="1335"/>
      <c r="CX249" s="1266"/>
      <c r="CY249" s="1266"/>
      <c r="CZ249" s="1266"/>
      <c r="DA249" s="1266"/>
      <c r="DB249" s="1335"/>
      <c r="DC249" s="1268"/>
      <c r="DD249" s="1302"/>
      <c r="DE249" s="1266"/>
      <c r="DF249" s="1266"/>
      <c r="DG249" s="1266"/>
      <c r="DH249" s="1266"/>
      <c r="DI249" s="1266"/>
      <c r="DJ249" s="1266"/>
      <c r="DK249" s="1266"/>
      <c r="DL249" s="1266"/>
      <c r="DM249" s="1266"/>
      <c r="DN249" s="1266"/>
      <c r="DO249" s="1266"/>
      <c r="DP249" s="1266"/>
      <c r="DQ249" s="1266"/>
    </row>
    <row r="250" spans="1:137" ht="15">
      <c r="A250" s="1266" t="str">
        <f>$A$17</f>
        <v>1Q</v>
      </c>
      <c r="B250" s="1266" t="str">
        <f>$B$17</f>
        <v>Apr</v>
      </c>
      <c r="C250" s="1266"/>
      <c r="D250" s="1294">
        <f t="shared" ref="D250:E253" si="44">+K250+R250</f>
        <v>2480</v>
      </c>
      <c r="E250" s="1255">
        <f t="shared" si="44"/>
        <v>10</v>
      </c>
      <c r="F250" s="1295">
        <f>+(D250/D243-1)*100</f>
        <v>2.4793388429751984</v>
      </c>
      <c r="G250" s="1296">
        <f>+N250+U250</f>
        <v>72.589798916236859</v>
      </c>
      <c r="H250" s="1297"/>
      <c r="I250" s="1295">
        <f>+(G250/G243-1)*100</f>
        <v>2.4840580981874583</v>
      </c>
      <c r="J250" s="1266"/>
      <c r="K250" s="1294">
        <f>+K247+L250</f>
        <v>1318</v>
      </c>
      <c r="L250" s="1254">
        <v>5</v>
      </c>
      <c r="M250" s="1295">
        <f>+(K250/K243-1)*100</f>
        <v>2.3291925465838581</v>
      </c>
      <c r="N250" s="1296">
        <f>N247+L250*O247/1000</f>
        <v>37.510553633217988</v>
      </c>
      <c r="O250" s="1297"/>
      <c r="P250" s="1295">
        <f>+(N250/N243-1)*100</f>
        <v>2.3291925465838359</v>
      </c>
      <c r="Q250" s="1299"/>
      <c r="R250" s="1294">
        <f>+R247+S250</f>
        <v>1162</v>
      </c>
      <c r="S250" s="1254">
        <v>5</v>
      </c>
      <c r="T250" s="1295">
        <f>+(R250/R243-1)*100</f>
        <v>2.6501766784452263</v>
      </c>
      <c r="U250" s="1296">
        <f>U247+S250*V247/1000</f>
        <v>35.079245283018871</v>
      </c>
      <c r="V250" s="1297"/>
      <c r="W250" s="1295">
        <f>+(U250/U243-1)*100</f>
        <v>2.6501766784452485</v>
      </c>
      <c r="X250" s="1299"/>
      <c r="Y250" s="1294">
        <f>+Y247+Z250</f>
        <v>311</v>
      </c>
      <c r="Z250" s="1254">
        <v>2</v>
      </c>
      <c r="AA250" s="1295">
        <f>+(Y250/Y243-1)*100</f>
        <v>5.0675675675675658</v>
      </c>
      <c r="AB250" s="1296">
        <f>AB247+Z250*AC247/1000</f>
        <v>8.7587755102040816</v>
      </c>
      <c r="AC250" s="1297"/>
      <c r="AD250" s="1295"/>
      <c r="AE250" s="1299"/>
      <c r="AF250" s="1294">
        <f>+AF247+AG250</f>
        <v>654</v>
      </c>
      <c r="AG250" s="1254">
        <v>9</v>
      </c>
      <c r="AH250" s="1295">
        <f>+(AF250/AF243-1)*100</f>
        <v>6.514657980456029</v>
      </c>
      <c r="AI250" s="1296">
        <f>AI247+AG250*AJ247/1000</f>
        <v>19.792105263157897</v>
      </c>
      <c r="AJ250" s="1297"/>
      <c r="AK250" s="1295">
        <f>+(AI250/AI243-1)*100</f>
        <v>6.514657980456029</v>
      </c>
      <c r="AL250" s="1299"/>
      <c r="AM250" s="1294">
        <f>+AM247+AN250</f>
        <v>858</v>
      </c>
      <c r="AN250" s="1254">
        <v>7</v>
      </c>
      <c r="AO250" s="1295">
        <f>+(AM250/AM243-1)*100</f>
        <v>4.8899755501222497</v>
      </c>
      <c r="AP250" s="1296">
        <f>AP247+AN250*AQ247/1000</f>
        <v>21.20532319391635</v>
      </c>
      <c r="AQ250" s="1297"/>
      <c r="AR250" s="1295">
        <f>+(AP250/AP243-1)*100</f>
        <v>4.8899755501222497</v>
      </c>
      <c r="AS250" s="1299"/>
      <c r="AT250" s="1294">
        <f>+AT247+AU250</f>
        <v>0</v>
      </c>
      <c r="AU250" s="1254">
        <v>0</v>
      </c>
      <c r="AV250" s="1295"/>
      <c r="AW250" s="1296">
        <f>AW247+AU250*$AX$163/1000</f>
        <v>0</v>
      </c>
      <c r="AX250" s="1297"/>
      <c r="AY250" s="1295"/>
      <c r="AZ250" s="1299"/>
      <c r="BA250" s="1294">
        <f>+BA247+BB250</f>
        <v>133</v>
      </c>
      <c r="BB250" s="1254">
        <v>1</v>
      </c>
      <c r="BC250" s="1295">
        <f>+(BA250/BA243-1)*100</f>
        <v>3.90625</v>
      </c>
      <c r="BD250" s="1296">
        <f>BD247+BB250*BE247/1000</f>
        <v>3.1864583333333334</v>
      </c>
      <c r="BE250" s="1297"/>
      <c r="BF250" s="1295">
        <f>+(BD250/BD243-1)*100</f>
        <v>3.90625</v>
      </c>
      <c r="BG250" s="1295"/>
      <c r="BH250" s="1294">
        <f>+BH247+BI250</f>
        <v>83</v>
      </c>
      <c r="BI250" s="1254">
        <v>3</v>
      </c>
      <c r="BJ250" s="1295">
        <f>+(BH250/BH243-1)*100</f>
        <v>13.698630136986312</v>
      </c>
      <c r="BK250" s="1296">
        <f>BK247+BI250*BL247/1000</f>
        <v>1.7606060606060607</v>
      </c>
      <c r="BL250" s="1297"/>
      <c r="BM250" s="1295">
        <f>+(BK250/BK243-1)*100</f>
        <v>13.698630136986312</v>
      </c>
      <c r="BN250" s="1295"/>
      <c r="BO250" s="1294">
        <f>+BO247+BP250</f>
        <v>116</v>
      </c>
      <c r="BP250" s="1254">
        <v>3</v>
      </c>
      <c r="BQ250" s="1295"/>
      <c r="BR250" s="1296">
        <f>BR247+BP250*BS247/1000</f>
        <v>3.6631578947368424</v>
      </c>
      <c r="BS250" s="1297"/>
      <c r="BT250" s="1295"/>
      <c r="BU250" s="1295"/>
      <c r="BV250" s="1340">
        <f>+BV247+BW250</f>
        <v>3</v>
      </c>
      <c r="BW250" s="1358">
        <v>0</v>
      </c>
      <c r="BX250" s="1357">
        <f>+(BV250/BV243-1)*100</f>
        <v>0</v>
      </c>
      <c r="BY250" s="1359">
        <f>BY247+BW250*$BL$163/1000</f>
        <v>1.4285714285714289E-2</v>
      </c>
      <c r="BZ250" s="1360"/>
      <c r="CA250" s="1357">
        <f>+(BY250/BY243-1)*100</f>
        <v>0</v>
      </c>
      <c r="CB250" s="1299"/>
      <c r="CC250" s="1390"/>
      <c r="CD250" s="1391"/>
      <c r="CE250" s="1392"/>
      <c r="CF250" s="1393"/>
      <c r="CG250" s="1394"/>
      <c r="CH250" s="1392"/>
      <c r="CI250" s="1294">
        <f>+CI247+CJ250</f>
        <v>55</v>
      </c>
      <c r="CJ250" s="1254">
        <v>0</v>
      </c>
      <c r="CK250" s="1295"/>
      <c r="CL250" s="1296">
        <f>CL247+CJ250*CM247/1000</f>
        <v>1.8333333333333335</v>
      </c>
      <c r="CM250" s="1297"/>
      <c r="CN250" s="1295"/>
      <c r="CO250" s="1295"/>
      <c r="CP250" s="1294">
        <f>+CP247+CQ250</f>
        <v>63</v>
      </c>
      <c r="CQ250" s="1254">
        <v>0</v>
      </c>
      <c r="CR250" s="1295"/>
      <c r="CS250" s="1296">
        <f>CS247+CQ250*CT247/1000</f>
        <v>1.44</v>
      </c>
      <c r="CT250" s="1297"/>
      <c r="CU250" s="1295"/>
      <c r="CV250" s="1299"/>
      <c r="CW250" s="1306">
        <f>+D250+Y250+AF250+AM250+AT250+BA250+BH250+BO250+CI250</f>
        <v>4690</v>
      </c>
      <c r="CX250" s="1307">
        <f>+CW250-CW246</f>
        <v>35</v>
      </c>
      <c r="CY250" s="1295">
        <f>+(CW250/CW243-1)*100</f>
        <v>4.3381535038932162</v>
      </c>
      <c r="CZ250" s="1297"/>
      <c r="DA250" s="1297"/>
      <c r="DB250" s="1296">
        <f>+G250+AB250+AI250+AP250+AW250+BD250+BK250+BR250+CL250</f>
        <v>132.78955850552478</v>
      </c>
      <c r="DC250" s="1297"/>
      <c r="DD250" s="1295">
        <f>+(DB250/DB243-1)*100</f>
        <v>4.3372225434338718</v>
      </c>
      <c r="DE250" s="1266"/>
      <c r="DF250" s="1350">
        <f>+D250/$CW250</f>
        <v>0.52878464818763327</v>
      </c>
      <c r="DG250" s="1351"/>
      <c r="DH250" s="1351"/>
      <c r="DI250" s="1350">
        <f>+Y250/$CW250</f>
        <v>6.6311300639658843E-2</v>
      </c>
      <c r="DJ250" s="1350">
        <f>+AF250/CW250</f>
        <v>0.1394456289978678</v>
      </c>
      <c r="DK250" s="1350">
        <f>+AM250/CW250</f>
        <v>0.18294243070362473</v>
      </c>
      <c r="DL250" s="1350">
        <f>+AT250/CW250</f>
        <v>0</v>
      </c>
      <c r="DM250" s="1350">
        <f>+BA250/$CW250</f>
        <v>2.8358208955223882E-2</v>
      </c>
      <c r="DN250" s="1350">
        <f>+BH250/$CW250</f>
        <v>1.7697228144989339E-2</v>
      </c>
      <c r="DO250" s="1350">
        <f>+BO250/$CW250</f>
        <v>2.4733475479744138E-2</v>
      </c>
      <c r="DP250" s="1350">
        <f>+CI250/$CW250</f>
        <v>1.1727078891257996E-2</v>
      </c>
      <c r="DQ250" s="1350">
        <f>+CP250/$CW250</f>
        <v>1.3432835820895522E-2</v>
      </c>
      <c r="DR250" s="1395"/>
      <c r="DS250" s="1333">
        <f>+L250</f>
        <v>5</v>
      </c>
      <c r="DT250" s="1333">
        <f>+S250</f>
        <v>5</v>
      </c>
      <c r="DU250" s="1333">
        <f>+Z250</f>
        <v>2</v>
      </c>
      <c r="DV250" s="1333">
        <f>+AG250</f>
        <v>9</v>
      </c>
      <c r="DW250" s="1333">
        <f>+AN250</f>
        <v>7</v>
      </c>
      <c r="DX250" s="1333">
        <f>+AU250</f>
        <v>0</v>
      </c>
      <c r="DY250" s="1333">
        <f>+BB250</f>
        <v>1</v>
      </c>
      <c r="DZ250" s="1333">
        <f>+BI250</f>
        <v>3</v>
      </c>
      <c r="EA250" s="1333">
        <f>+BP250</f>
        <v>3</v>
      </c>
      <c r="EB250" s="1333">
        <f>+CD250</f>
        <v>0</v>
      </c>
      <c r="ED250" s="451">
        <f>-(SUMIF(DS250:EB250,"&lt;0"))</f>
        <v>0</v>
      </c>
      <c r="EE250" s="451">
        <f>(SUMIF(DS250:EB250,"&gt;0"))</f>
        <v>35</v>
      </c>
      <c r="EF250" s="451">
        <f>+EE250-ED250</f>
        <v>35</v>
      </c>
      <c r="EG250" s="1333">
        <f>+EF250-CX250</f>
        <v>0</v>
      </c>
    </row>
    <row r="251" spans="1:137" ht="15">
      <c r="A251" s="1266" t="str">
        <f>$A$18</f>
        <v>2Q</v>
      </c>
      <c r="B251" s="1266" t="str">
        <f>$B$18</f>
        <v>Jul</v>
      </c>
      <c r="C251" s="1266"/>
      <c r="D251" s="1294">
        <f t="shared" si="44"/>
        <v>2493</v>
      </c>
      <c r="E251" s="1255">
        <f t="shared" si="44"/>
        <v>13</v>
      </c>
      <c r="F251" s="1295">
        <f>+(D251/D244-1)*100</f>
        <v>2.4660912453760897</v>
      </c>
      <c r="G251" s="1296">
        <f>+N251+U251</f>
        <v>72.96496703009727</v>
      </c>
      <c r="H251" s="1297"/>
      <c r="I251" s="1295">
        <f>+(G251/G244-1)*100</f>
        <v>2.4709700728823725</v>
      </c>
      <c r="J251" s="1309"/>
      <c r="K251" s="1294">
        <f>+K250+L251</f>
        <v>1328</v>
      </c>
      <c r="L251" s="1254">
        <v>10</v>
      </c>
      <c r="M251" s="1295">
        <f>+(K251/K244-1)*100</f>
        <v>2.3112480739599484</v>
      </c>
      <c r="N251" s="1296">
        <f>N250+L251*O247/1000</f>
        <v>37.795155709342552</v>
      </c>
      <c r="O251" s="1297"/>
      <c r="P251" s="1295">
        <f>+(N251/N244-1)*100</f>
        <v>2.3112480739599262</v>
      </c>
      <c r="Q251" s="1299"/>
      <c r="R251" s="1294">
        <f>+R250+S251</f>
        <v>1165</v>
      </c>
      <c r="S251" s="1254">
        <v>3</v>
      </c>
      <c r="T251" s="1295">
        <f>+(R251/R244-1)*100</f>
        <v>2.6431718061673992</v>
      </c>
      <c r="U251" s="1296">
        <f>U250+S251*V247/1000</f>
        <v>35.169811320754718</v>
      </c>
      <c r="V251" s="1297"/>
      <c r="W251" s="1295">
        <f>+(U251/U244-1)*100</f>
        <v>2.6431718061674214</v>
      </c>
      <c r="X251" s="1299"/>
      <c r="Y251" s="1294">
        <f>+Y250+Z251</f>
        <v>316</v>
      </c>
      <c r="Z251" s="1254">
        <v>5</v>
      </c>
      <c r="AA251" s="1295">
        <f>+(Y251/Y244-1)*100</f>
        <v>4.9833887043189362</v>
      </c>
      <c r="AB251" s="1296">
        <f>AB250+Z251*AC247/1000</f>
        <v>8.8995918367346931</v>
      </c>
      <c r="AC251" s="1297"/>
      <c r="AD251" s="1295"/>
      <c r="AE251" s="1299"/>
      <c r="AF251" s="1294">
        <f>+AF250+AG251</f>
        <v>666</v>
      </c>
      <c r="AG251" s="1254">
        <v>12</v>
      </c>
      <c r="AH251" s="1295">
        <f>+(AF251/AF244-1)*100</f>
        <v>6.3897763578274702</v>
      </c>
      <c r="AI251" s="1296">
        <f>AI250+AG251*AJ247/1000</f>
        <v>20.155263157894737</v>
      </c>
      <c r="AJ251" s="1297"/>
      <c r="AK251" s="1295">
        <f>+(AI251/AI244-1)*100</f>
        <v>6.3897763578274702</v>
      </c>
      <c r="AL251" s="1299"/>
      <c r="AM251" s="1294">
        <f>+AM250+AN251</f>
        <v>865</v>
      </c>
      <c r="AN251" s="1254">
        <v>7</v>
      </c>
      <c r="AO251" s="1295">
        <f>+(AM251/AM244-1)*100</f>
        <v>4.8484848484848575</v>
      </c>
      <c r="AP251" s="1296">
        <f>AP250+AN251*AQ247/1000</f>
        <v>21.378326996197718</v>
      </c>
      <c r="AQ251" s="1297"/>
      <c r="AR251" s="1295">
        <f>+(AP251/AP244-1)*100</f>
        <v>4.8484848484848575</v>
      </c>
      <c r="AS251" s="1299"/>
      <c r="AT251" s="1294">
        <f>+AT250+AU251</f>
        <v>0</v>
      </c>
      <c r="AU251" s="1254">
        <v>0</v>
      </c>
      <c r="AV251" s="1295"/>
      <c r="AW251" s="1296">
        <f>AW250+AU251*$AX$163/1000</f>
        <v>0</v>
      </c>
      <c r="AX251" s="1297"/>
      <c r="AY251" s="1295"/>
      <c r="AZ251" s="1299"/>
      <c r="BA251" s="1294">
        <f>+BA250+BB251</f>
        <v>133</v>
      </c>
      <c r="BB251" s="1254">
        <v>0</v>
      </c>
      <c r="BC251" s="1295">
        <f>+(BA251/BA244-1)*100</f>
        <v>3.90625</v>
      </c>
      <c r="BD251" s="1296">
        <f>BD250+BB251*BE247/1000</f>
        <v>3.1864583333333334</v>
      </c>
      <c r="BE251" s="1297"/>
      <c r="BF251" s="1295">
        <f>+(BD251/BD244-1)*100</f>
        <v>3.90625</v>
      </c>
      <c r="BG251" s="1295"/>
      <c r="BH251" s="1294">
        <f>+BH250+BI251</f>
        <v>86</v>
      </c>
      <c r="BI251" s="1254">
        <v>3</v>
      </c>
      <c r="BJ251" s="1295">
        <f>+(BH251/BH244-1)*100</f>
        <v>13.157894736842103</v>
      </c>
      <c r="BK251" s="1296">
        <f>BK250+BI251*BL247/1000</f>
        <v>1.8242424242424244</v>
      </c>
      <c r="BL251" s="1297"/>
      <c r="BM251" s="1295">
        <f>+(BK251/BK244-1)*100</f>
        <v>13.157894736842103</v>
      </c>
      <c r="BN251" s="1295"/>
      <c r="BO251" s="1294">
        <f>+BO250+BP251</f>
        <v>121</v>
      </c>
      <c r="BP251" s="1254">
        <v>5</v>
      </c>
      <c r="BQ251" s="1295"/>
      <c r="BR251" s="1296">
        <f>BR250+BP251*BS247/1000</f>
        <v>3.8210526315789477</v>
      </c>
      <c r="BS251" s="1297"/>
      <c r="BT251" s="1295"/>
      <c r="BU251" s="1295"/>
      <c r="BV251" s="1340">
        <f>+BV250+BW251</f>
        <v>3</v>
      </c>
      <c r="BW251" s="1358">
        <v>0</v>
      </c>
      <c r="BX251" s="1357">
        <f>+(BV251/BV244-1)*100</f>
        <v>0</v>
      </c>
      <c r="BY251" s="1359">
        <f>BY250+BW251*$BE$163/1000</f>
        <v>1.4285714285714289E-2</v>
      </c>
      <c r="BZ251" s="1360"/>
      <c r="CA251" s="1357">
        <f>+(BY251/BY244-1)*100</f>
        <v>0</v>
      </c>
      <c r="CB251" s="1299"/>
      <c r="CC251" s="1390"/>
      <c r="CD251" s="1391"/>
      <c r="CE251" s="1392"/>
      <c r="CF251" s="1393"/>
      <c r="CG251" s="1394"/>
      <c r="CH251" s="1392"/>
      <c r="CI251" s="1294">
        <f>+CI250+CJ251</f>
        <v>55</v>
      </c>
      <c r="CJ251" s="1254">
        <v>0</v>
      </c>
      <c r="CK251" s="1295"/>
      <c r="CL251" s="1296">
        <f>CL250+CJ251*CM247/1000</f>
        <v>1.8333333333333335</v>
      </c>
      <c r="CM251" s="1297"/>
      <c r="CN251" s="1295"/>
      <c r="CO251" s="1295"/>
      <c r="CP251" s="1294">
        <f>+CP250+CQ251</f>
        <v>63</v>
      </c>
      <c r="CQ251" s="1254">
        <v>0</v>
      </c>
      <c r="CR251" s="1295"/>
      <c r="CS251" s="1296">
        <f>CS250+CQ251*CT247/1000</f>
        <v>1.44</v>
      </c>
      <c r="CT251" s="1297"/>
      <c r="CU251" s="1295"/>
      <c r="CV251" s="1299"/>
      <c r="CW251" s="1306">
        <f>+D251+Y251+AF251+AM251+AT251+BA251+BH251+BO251+CI251</f>
        <v>4735</v>
      </c>
      <c r="CX251" s="1307">
        <f>+CW251-CW250</f>
        <v>45</v>
      </c>
      <c r="CY251" s="1295">
        <f>+(CW251/CW244-1)*100</f>
        <v>4.295154185022021</v>
      </c>
      <c r="CZ251" s="1297"/>
      <c r="DA251" s="1297"/>
      <c r="DB251" s="1296">
        <f>+G251+AB251+AI251+AP251+AW251+BD251+BK251+BR251+CL251</f>
        <v>134.06323574341246</v>
      </c>
      <c r="DC251" s="1297"/>
      <c r="DD251" s="1295">
        <f>+(DB251/DB244-1)*100</f>
        <v>4.2942469631651159</v>
      </c>
      <c r="DE251" s="1266"/>
      <c r="DF251" s="1350">
        <f>+D251/$CW251</f>
        <v>0.52650475184794088</v>
      </c>
      <c r="DG251" s="1351"/>
      <c r="DH251" s="1351"/>
      <c r="DI251" s="1350">
        <f>+Y251/$CW251</f>
        <v>6.6737064413938757E-2</v>
      </c>
      <c r="DJ251" s="1350">
        <f>+AF251/CW251</f>
        <v>0.14065469904963041</v>
      </c>
      <c r="DK251" s="1350">
        <f>+AM251/CW251</f>
        <v>0.18268215417106654</v>
      </c>
      <c r="DL251" s="1350">
        <f>+AT251/CW251</f>
        <v>0</v>
      </c>
      <c r="DM251" s="1350">
        <f>+BA251/$CW251</f>
        <v>2.808870116156283E-2</v>
      </c>
      <c r="DN251" s="1350">
        <f>+BH251/$CW251</f>
        <v>1.8162618796198522E-2</v>
      </c>
      <c r="DO251" s="1350">
        <f>+BO251/$CW251</f>
        <v>2.5554382259767687E-2</v>
      </c>
      <c r="DP251" s="1350">
        <f>+CI251/$CW251</f>
        <v>1.1615628299894404E-2</v>
      </c>
      <c r="DQ251" s="1350">
        <f>+CP251/$CW251</f>
        <v>1.3305174234424498E-2</v>
      </c>
      <c r="DR251" s="1395"/>
      <c r="DS251" s="1333">
        <f>+L251</f>
        <v>10</v>
      </c>
      <c r="DT251" s="1333">
        <f>+S251</f>
        <v>3</v>
      </c>
      <c r="DU251" s="1333">
        <f>+Z251</f>
        <v>5</v>
      </c>
      <c r="DV251" s="1333">
        <f>+AG251</f>
        <v>12</v>
      </c>
      <c r="DW251" s="1333">
        <f>+AN251</f>
        <v>7</v>
      </c>
      <c r="DX251" s="1333">
        <f>+AU251</f>
        <v>0</v>
      </c>
      <c r="DY251" s="1333">
        <f>+BB251</f>
        <v>0</v>
      </c>
      <c r="DZ251" s="1333">
        <f>+BI251</f>
        <v>3</v>
      </c>
      <c r="EA251" s="1333">
        <f>+BP251</f>
        <v>5</v>
      </c>
      <c r="EB251" s="1333">
        <f>+CD251</f>
        <v>0</v>
      </c>
      <c r="ED251" s="451">
        <f>-(SUMIF(DS251:EB251,"&lt;0"))</f>
        <v>0</v>
      </c>
      <c r="EE251" s="451">
        <f>(SUMIF(DS251:EB251,"&gt;0"))</f>
        <v>45</v>
      </c>
      <c r="EF251" s="451">
        <f>+EE251-ED251</f>
        <v>45</v>
      </c>
      <c r="EG251" s="1333">
        <f>+EF251-CX251</f>
        <v>0</v>
      </c>
    </row>
    <row r="252" spans="1:137" ht="15">
      <c r="A252" s="1266" t="str">
        <f>$A$19</f>
        <v>3Q</v>
      </c>
      <c r="B252" s="1266" t="str">
        <f>$B$19</f>
        <v>Oct</v>
      </c>
      <c r="C252" s="1266"/>
      <c r="D252" s="1294">
        <f t="shared" si="44"/>
        <v>2528</v>
      </c>
      <c r="E252" s="1255">
        <f t="shared" si="44"/>
        <v>35</v>
      </c>
      <c r="F252" s="1295">
        <f>+(D252/D245-1)*100</f>
        <v>2.4311183144246407</v>
      </c>
      <c r="G252" s="1296">
        <f>+N252+U252</f>
        <v>73.99564372918978</v>
      </c>
      <c r="H252" s="1297"/>
      <c r="I252" s="1295">
        <f>+(G252/G245-1)*100</f>
        <v>2.435713898210734</v>
      </c>
      <c r="J252" s="1266"/>
      <c r="K252" s="1294">
        <f>+K251+L252</f>
        <v>1343</v>
      </c>
      <c r="L252" s="1254">
        <v>15</v>
      </c>
      <c r="M252" s="1295">
        <f>+(K252/K245-1)*100</f>
        <v>2.2848438690022954</v>
      </c>
      <c r="N252" s="1296">
        <f>N251+L252*O247/1000</f>
        <v>38.222058823529402</v>
      </c>
      <c r="O252" s="1297"/>
      <c r="P252" s="1295">
        <f>+(N252/N245-1)*100</f>
        <v>2.2848438690022732</v>
      </c>
      <c r="Q252" s="1299"/>
      <c r="R252" s="1294">
        <f>+R251+S252</f>
        <v>1185</v>
      </c>
      <c r="S252" s="1254">
        <v>20</v>
      </c>
      <c r="T252" s="1295">
        <f>+(R252/R245-1)*100</f>
        <v>2.5974025974025983</v>
      </c>
      <c r="U252" s="1296">
        <f>U251+S252*V247/1000</f>
        <v>35.773584905660378</v>
      </c>
      <c r="V252" s="1297"/>
      <c r="W252" s="1295">
        <f>+(U252/U245-1)*100</f>
        <v>2.5974025974025983</v>
      </c>
      <c r="X252" s="1299"/>
      <c r="Y252" s="1294">
        <f>+Y251+Z252</f>
        <v>321</v>
      </c>
      <c r="Z252" s="1254">
        <v>5</v>
      </c>
      <c r="AA252" s="1295">
        <f>+(Y252/Y245-1)*100</f>
        <v>4.9019607843137303</v>
      </c>
      <c r="AB252" s="1296">
        <f>AB251+Z252*AC247/1000</f>
        <v>9.0404081632653046</v>
      </c>
      <c r="AC252" s="1297"/>
      <c r="AD252" s="1295"/>
      <c r="AE252" s="1299"/>
      <c r="AF252" s="1294">
        <f>+AF251+AG252</f>
        <v>676</v>
      </c>
      <c r="AG252" s="1254">
        <v>10</v>
      </c>
      <c r="AH252" s="1295">
        <f>+(AF252/AF245-1)*100</f>
        <v>6.2893081761006275</v>
      </c>
      <c r="AI252" s="1296">
        <f>AI251+AG252*AJ247/1000</f>
        <v>20.457894736842107</v>
      </c>
      <c r="AJ252" s="1297"/>
      <c r="AK252" s="1295">
        <f>+(AI252/AI245-1)*100</f>
        <v>6.2893081761006275</v>
      </c>
      <c r="AL252" s="1299"/>
      <c r="AM252" s="1294">
        <f>+AM251+AN252</f>
        <v>874</v>
      </c>
      <c r="AN252" s="1254">
        <v>9</v>
      </c>
      <c r="AO252" s="1295">
        <f>+(AM252/AM245-1)*100</f>
        <v>4.7961630695443569</v>
      </c>
      <c r="AP252" s="1296">
        <f>AP251+AN252*AQ247/1000</f>
        <v>21.600760456273765</v>
      </c>
      <c r="AQ252" s="1297"/>
      <c r="AR252" s="1295">
        <f>+(AP252/AP245-1)*100</f>
        <v>4.7961630695443569</v>
      </c>
      <c r="AS252" s="1299"/>
      <c r="AT252" s="1294">
        <f>+AT251+AU252</f>
        <v>0</v>
      </c>
      <c r="AU252" s="1254">
        <v>0</v>
      </c>
      <c r="AV252" s="1295"/>
      <c r="AW252" s="1296">
        <f>AW251+AU252*$AX$163/1000</f>
        <v>0</v>
      </c>
      <c r="AX252" s="1297"/>
      <c r="AY252" s="1295"/>
      <c r="AZ252" s="1299"/>
      <c r="BA252" s="1294">
        <f>+BA251+BB252</f>
        <v>133</v>
      </c>
      <c r="BB252" s="1254">
        <v>0</v>
      </c>
      <c r="BC252" s="1295">
        <f>+(BA252/BA245-1)*100</f>
        <v>3.90625</v>
      </c>
      <c r="BD252" s="1296">
        <f>BD251+BB252*BE247/1000</f>
        <v>3.1864583333333334</v>
      </c>
      <c r="BE252" s="1297"/>
      <c r="BF252" s="1295">
        <f>+(BD252/BD245-1)*100</f>
        <v>3.90625</v>
      </c>
      <c r="BG252" s="1295"/>
      <c r="BH252" s="1294">
        <f>+BH251+BI252</f>
        <v>89</v>
      </c>
      <c r="BI252" s="1254">
        <v>3</v>
      </c>
      <c r="BJ252" s="1295">
        <f>+(BH252/BH245-1)*100</f>
        <v>12.658227848101266</v>
      </c>
      <c r="BK252" s="1296">
        <f>BK251+BI252*BL247/1000</f>
        <v>1.8878787878787882</v>
      </c>
      <c r="BL252" s="1297"/>
      <c r="BM252" s="1295">
        <f>+(BK252/BK245-1)*100</f>
        <v>12.658227848101266</v>
      </c>
      <c r="BN252" s="1295"/>
      <c r="BO252" s="1294">
        <f>+BO251+BP252</f>
        <v>126</v>
      </c>
      <c r="BP252" s="1254">
        <v>5</v>
      </c>
      <c r="BQ252" s="1295"/>
      <c r="BR252" s="1296">
        <f>BR251+BP252*BS247/1000</f>
        <v>3.978947368421053</v>
      </c>
      <c r="BS252" s="1297"/>
      <c r="BT252" s="1295"/>
      <c r="BU252" s="1295"/>
      <c r="BV252" s="1340">
        <f>+BV251+BW252</f>
        <v>3</v>
      </c>
      <c r="BW252" s="1358">
        <v>0</v>
      </c>
      <c r="BX252" s="1357">
        <f>+(BV252/BV245-1)*100</f>
        <v>0</v>
      </c>
      <c r="BY252" s="1359">
        <f>BY251+BW252*$BE$163/1000</f>
        <v>1.4285714285714289E-2</v>
      </c>
      <c r="BZ252" s="1360"/>
      <c r="CA252" s="1357">
        <f>+(BY252/BY245-1)*100</f>
        <v>0</v>
      </c>
      <c r="CB252" s="1299"/>
      <c r="CC252" s="1390"/>
      <c r="CD252" s="1391"/>
      <c r="CE252" s="1392"/>
      <c r="CF252" s="1393"/>
      <c r="CG252" s="1394"/>
      <c r="CH252" s="1392"/>
      <c r="CI252" s="1294">
        <f>+CI251+CJ252</f>
        <v>55</v>
      </c>
      <c r="CJ252" s="1254">
        <v>0</v>
      </c>
      <c r="CK252" s="1295"/>
      <c r="CL252" s="1296">
        <f>CL251+CJ252*CM247/1000</f>
        <v>1.8333333333333335</v>
      </c>
      <c r="CM252" s="1297"/>
      <c r="CN252" s="1295"/>
      <c r="CO252" s="1295"/>
      <c r="CP252" s="1294">
        <f>+CP251+CQ252</f>
        <v>63</v>
      </c>
      <c r="CQ252" s="1254">
        <v>0</v>
      </c>
      <c r="CR252" s="1295"/>
      <c r="CS252" s="1296">
        <f>CS251+CQ252*CT247/1000</f>
        <v>1.44</v>
      </c>
      <c r="CT252" s="1297"/>
      <c r="CU252" s="1295"/>
      <c r="CV252" s="1299"/>
      <c r="CW252" s="1306">
        <f>+D252+Y252+AF252+AM252+AT252+BA252+BH252+BO252+CI252</f>
        <v>4802</v>
      </c>
      <c r="CX252" s="1307">
        <f>+CW252-CW251</f>
        <v>67</v>
      </c>
      <c r="CY252" s="1295">
        <f>+(CW252/CW245-1)*100</f>
        <v>4.2326893857173919</v>
      </c>
      <c r="CZ252" s="1297"/>
      <c r="DA252" s="1297"/>
      <c r="DB252" s="1296">
        <f>+G252+AB252+AI252+AP252+AW252+BD252+BK252+BR252+CL252</f>
        <v>135.98132490853743</v>
      </c>
      <c r="DC252" s="1297"/>
      <c r="DD252" s="1295">
        <f>+(DB252/DB245-1)*100</f>
        <v>4.2311114216647239</v>
      </c>
      <c r="DE252" s="1266"/>
      <c r="DF252" s="1350">
        <f>+D252/$CW252</f>
        <v>0.52644731361932529</v>
      </c>
      <c r="DG252" s="1351"/>
      <c r="DH252" s="1351"/>
      <c r="DI252" s="1350">
        <f>+Y252/$CW252</f>
        <v>6.684714702207413E-2</v>
      </c>
      <c r="DJ252" s="1350">
        <f>+AF252/CW252</f>
        <v>0.14077467721782591</v>
      </c>
      <c r="DK252" s="1350">
        <f>+AM252/CW252</f>
        <v>0.18200749687630155</v>
      </c>
      <c r="DL252" s="1350">
        <f>+AT252/CW252</f>
        <v>0</v>
      </c>
      <c r="DM252" s="1350">
        <f>+BA252/$CW252</f>
        <v>2.7696793002915453E-2</v>
      </c>
      <c r="DN252" s="1350">
        <f>+BH252/$CW252</f>
        <v>1.8533944189920867E-2</v>
      </c>
      <c r="DO252" s="1350">
        <f>+BO252/$CW252</f>
        <v>2.6239067055393587E-2</v>
      </c>
      <c r="DP252" s="1350">
        <f>+CI252/$CW252</f>
        <v>1.1453561016243232E-2</v>
      </c>
      <c r="DQ252" s="1350">
        <f>+CP252/$CW252</f>
        <v>1.3119533527696793E-2</v>
      </c>
      <c r="DR252" s="1395"/>
      <c r="DS252" s="1333">
        <f>+L252</f>
        <v>15</v>
      </c>
      <c r="DT252" s="1333">
        <f>+S252</f>
        <v>20</v>
      </c>
      <c r="DU252" s="1333">
        <f>+Z252</f>
        <v>5</v>
      </c>
      <c r="DV252" s="1333">
        <f>+AG252</f>
        <v>10</v>
      </c>
      <c r="DW252" s="1333">
        <f>+AN252</f>
        <v>9</v>
      </c>
      <c r="DX252" s="1333">
        <f>+AU252</f>
        <v>0</v>
      </c>
      <c r="DY252" s="1333">
        <f>+BB252</f>
        <v>0</v>
      </c>
      <c r="DZ252" s="1333">
        <f>+BI252</f>
        <v>3</v>
      </c>
      <c r="EA252" s="1333">
        <f>+BP252</f>
        <v>5</v>
      </c>
      <c r="EB252" s="1333">
        <f>+CD252</f>
        <v>0</v>
      </c>
      <c r="ED252" s="451">
        <f>-(SUMIF(DS252:EB252,"&lt;0"))</f>
        <v>0</v>
      </c>
      <c r="EE252" s="451">
        <f>(SUMIF(DS252:EB252,"&gt;0"))</f>
        <v>67</v>
      </c>
      <c r="EF252" s="451">
        <f>+EE252-ED252</f>
        <v>67</v>
      </c>
      <c r="EG252" s="1333">
        <f>+EF252-CX252</f>
        <v>0</v>
      </c>
    </row>
    <row r="253" spans="1:137" ht="15">
      <c r="A253" s="1266" t="str">
        <f>$A$20</f>
        <v>4Q</v>
      </c>
      <c r="B253" s="1266" t="str">
        <f>$B$20</f>
        <v>Jan</v>
      </c>
      <c r="C253" s="1266"/>
      <c r="D253" s="1312">
        <f t="shared" si="44"/>
        <v>2530</v>
      </c>
      <c r="E253" s="1255">
        <f t="shared" si="44"/>
        <v>2</v>
      </c>
      <c r="F253" s="1295">
        <f>+(D253/D246-1)*100</f>
        <v>2.4291497975708509</v>
      </c>
      <c r="G253" s="1313">
        <f>+N253+U253</f>
        <v>74.05602108768035</v>
      </c>
      <c r="H253" s="1297"/>
      <c r="I253" s="1295">
        <f>+(G253/G246-1)*100</f>
        <v>2.4336797491110174</v>
      </c>
      <c r="J253" s="1266"/>
      <c r="K253" s="1312">
        <f>+K254</f>
        <v>1343</v>
      </c>
      <c r="L253" s="1255">
        <f>+K253-K252</f>
        <v>0</v>
      </c>
      <c r="M253" s="1295">
        <f>+(K253/K246-1)*100</f>
        <v>2.2848438690022954</v>
      </c>
      <c r="N253" s="1313">
        <f>N252+L253*O247/1000</f>
        <v>38.222058823529402</v>
      </c>
      <c r="O253" s="1297"/>
      <c r="P253" s="1295">
        <f>+(N253/N246-1)*100</f>
        <v>2.2848438690022732</v>
      </c>
      <c r="Q253" s="1299"/>
      <c r="R253" s="1312">
        <f>+R254</f>
        <v>1187</v>
      </c>
      <c r="S253" s="1255">
        <f>+R253-R252</f>
        <v>2</v>
      </c>
      <c r="T253" s="1295">
        <f>+(R253/R246-1)*100</f>
        <v>2.5929127052722656</v>
      </c>
      <c r="U253" s="1313">
        <f>U252+S253*V247/1000</f>
        <v>35.833962264150948</v>
      </c>
      <c r="V253" s="1297"/>
      <c r="W253" s="1295">
        <f>+(U253/U246-1)*100</f>
        <v>2.5929127052722656</v>
      </c>
      <c r="X253" s="1299"/>
      <c r="Y253" s="1312">
        <f>+Y254</f>
        <v>324</v>
      </c>
      <c r="Z253" s="1255">
        <f>+Y253-Y252</f>
        <v>3</v>
      </c>
      <c r="AA253" s="1295">
        <f>+(Y253/Y246-1)*100</f>
        <v>4.8543689320388328</v>
      </c>
      <c r="AB253" s="1313">
        <f>AB252+Z253*AC247/1000</f>
        <v>9.1248979591836719</v>
      </c>
      <c r="AC253" s="1297"/>
      <c r="AD253" s="1295">
        <f>+(AB253/AB246-1)*100</f>
        <v>4.854368932038855</v>
      </c>
      <c r="AE253" s="1299"/>
      <c r="AF253" s="1312">
        <f>+AF254</f>
        <v>685</v>
      </c>
      <c r="AG253" s="1255">
        <f>+AF253-AF252</f>
        <v>9</v>
      </c>
      <c r="AH253" s="1295">
        <f>+(AF253/AF246-1)*100</f>
        <v>6.2015503875969102</v>
      </c>
      <c r="AI253" s="1313">
        <f>AI252+AG253*AJ247/1000</f>
        <v>20.73026315789474</v>
      </c>
      <c r="AJ253" s="1297"/>
      <c r="AK253" s="1295">
        <f>+(AI253/AI246-1)*100</f>
        <v>6.201550387596888</v>
      </c>
      <c r="AL253" s="1299"/>
      <c r="AM253" s="1312">
        <f>+AM254</f>
        <v>891</v>
      </c>
      <c r="AN253" s="1255">
        <f>+AM253-AM252</f>
        <v>17</v>
      </c>
      <c r="AO253" s="1295">
        <f>+(AM253/AM246-1)*100</f>
        <v>4.7003525264394774</v>
      </c>
      <c r="AP253" s="1313">
        <f>AP252+AN253*AQ247/1000</f>
        <v>22.020912547528518</v>
      </c>
      <c r="AQ253" s="1297"/>
      <c r="AR253" s="1295">
        <f>+(AP253/AP246-1)*100</f>
        <v>4.7003525264394774</v>
      </c>
      <c r="AS253" s="1299"/>
      <c r="AT253" s="1312">
        <f>+AT254</f>
        <v>0</v>
      </c>
      <c r="AU253" s="1255">
        <f>+AT253-AT252</f>
        <v>0</v>
      </c>
      <c r="AV253" s="1295"/>
      <c r="AW253" s="1313">
        <f>AW252+AU253*$AX$163/1000</f>
        <v>0</v>
      </c>
      <c r="AX253" s="1297"/>
      <c r="AY253" s="1295"/>
      <c r="AZ253" s="1299"/>
      <c r="BA253" s="1312">
        <f>+BA254</f>
        <v>137</v>
      </c>
      <c r="BB253" s="1255">
        <f>+BA253-BA252</f>
        <v>4</v>
      </c>
      <c r="BC253" s="1295">
        <f>+(BA253/BA246-1)*100</f>
        <v>3.7878787878787845</v>
      </c>
      <c r="BD253" s="1313">
        <f>BD252+BB253*BE247/1000</f>
        <v>3.2822916666666666</v>
      </c>
      <c r="BE253" s="1297"/>
      <c r="BF253" s="1295">
        <f>+(BD253/BD246-1)*100</f>
        <v>3.7878787878788067</v>
      </c>
      <c r="BG253" s="1295"/>
      <c r="BH253" s="1312">
        <f>+BH254</f>
        <v>90</v>
      </c>
      <c r="BI253" s="1255">
        <f>+BH253-BH252</f>
        <v>1</v>
      </c>
      <c r="BJ253" s="1295">
        <f>+(BH253/BH246-1)*100</f>
        <v>12.5</v>
      </c>
      <c r="BK253" s="1313">
        <f>BK252+BI253*BL247/1000</f>
        <v>1.9090909090909094</v>
      </c>
      <c r="BL253" s="1297"/>
      <c r="BM253" s="1295">
        <f>+(BK253/BK246-1)*100</f>
        <v>12.5</v>
      </c>
      <c r="BN253" s="1295"/>
      <c r="BO253" s="1312">
        <f>+BO254</f>
        <v>128</v>
      </c>
      <c r="BP253" s="1255">
        <f>+BO253-BO252</f>
        <v>2</v>
      </c>
      <c r="BQ253" s="1295"/>
      <c r="BR253" s="1313">
        <f>BR252+BP253*BS247/1000</f>
        <v>4.0421052631578949</v>
      </c>
      <c r="BS253" s="1297"/>
      <c r="BT253" s="1295"/>
      <c r="BU253" s="1295"/>
      <c r="BV253" s="1361">
        <f>+BV254</f>
        <v>3</v>
      </c>
      <c r="BW253" s="1358">
        <f>+BV253-BV252</f>
        <v>0</v>
      </c>
      <c r="BX253" s="1357">
        <f>+(BV253/BV246-1)*100</f>
        <v>0</v>
      </c>
      <c r="BY253" s="1362">
        <f>BY252+BW253*$BE$163/1000</f>
        <v>1.4285714285714289E-2</v>
      </c>
      <c r="BZ253" s="1360"/>
      <c r="CA253" s="1357">
        <f>+(BY253/BY246-1)*100</f>
        <v>0</v>
      </c>
      <c r="CB253" s="1299"/>
      <c r="CC253" s="1396"/>
      <c r="CD253" s="1391"/>
      <c r="CE253" s="1392"/>
      <c r="CF253" s="1397"/>
      <c r="CG253" s="1394"/>
      <c r="CH253" s="1392"/>
      <c r="CI253" s="1312">
        <f>+CI254</f>
        <v>65</v>
      </c>
      <c r="CJ253" s="1254">
        <v>0</v>
      </c>
      <c r="CK253" s="1295"/>
      <c r="CL253" s="1313">
        <f>CL252+CJ253*CM247/1000</f>
        <v>1.8333333333333335</v>
      </c>
      <c r="CM253" s="1297"/>
      <c r="CN253" s="1295"/>
      <c r="CO253" s="1295"/>
      <c r="CP253" s="1312">
        <f>+CP254</f>
        <v>73</v>
      </c>
      <c r="CQ253" s="1254">
        <v>0</v>
      </c>
      <c r="CR253" s="1295"/>
      <c r="CS253" s="1313">
        <f>CS252+CQ253*CT247/1000</f>
        <v>1.44</v>
      </c>
      <c r="CT253" s="1297"/>
      <c r="CU253" s="1295"/>
      <c r="CV253" s="1299"/>
      <c r="CW253" s="1312">
        <f>+D253+Y253+AF253+AM253+AT253+BA253+BH253+BO253+CI253</f>
        <v>4850</v>
      </c>
      <c r="CX253" s="1307">
        <f>+CW253-CW252</f>
        <v>48</v>
      </c>
      <c r="CY253" s="1295">
        <f>+(CW253/CW246-1)*100</f>
        <v>4.1890440386680883</v>
      </c>
      <c r="CZ253" s="1297"/>
      <c r="DA253" s="1297"/>
      <c r="DB253" s="1313">
        <f>+G253+AB253+AI253+AP253+AW253+BD253+BK253+BR253+CL253</f>
        <v>136.99891592453611</v>
      </c>
      <c r="DC253" s="1297"/>
      <c r="DD253" s="1295">
        <f>+(DB253/DB246-1)*100</f>
        <v>4.1983644233368311</v>
      </c>
      <c r="DE253" s="1266"/>
      <c r="DF253" s="1350">
        <f>+D253/$CW253</f>
        <v>0.52164948453608251</v>
      </c>
      <c r="DG253" s="1351"/>
      <c r="DH253" s="1351"/>
      <c r="DI253" s="1350">
        <f>+Y253/$CW253</f>
        <v>6.6804123711340202E-2</v>
      </c>
      <c r="DJ253" s="1350">
        <f>+AF253/CW253</f>
        <v>0.14123711340206185</v>
      </c>
      <c r="DK253" s="1350">
        <f>+AM253/CW253</f>
        <v>0.18371134020618557</v>
      </c>
      <c r="DL253" s="1350">
        <f>+AT253/CW253</f>
        <v>0</v>
      </c>
      <c r="DM253" s="1350">
        <f>+BA253/$CW253</f>
        <v>2.824742268041237E-2</v>
      </c>
      <c r="DN253" s="1350">
        <f>+BH253/$CW253</f>
        <v>1.8556701030927835E-2</v>
      </c>
      <c r="DO253" s="1350">
        <f>+BO253/$CW253</f>
        <v>2.6391752577319589E-2</v>
      </c>
      <c r="DP253" s="1350">
        <f>+CI253/$CW253</f>
        <v>1.3402061855670102E-2</v>
      </c>
      <c r="DQ253" s="1350">
        <f>+CP253/$CW253</f>
        <v>1.5051546391752577E-2</v>
      </c>
      <c r="DR253" s="1395"/>
      <c r="DS253" s="1333">
        <f>+L253</f>
        <v>0</v>
      </c>
      <c r="DT253" s="1333">
        <f>+S253</f>
        <v>2</v>
      </c>
      <c r="DU253" s="1333">
        <f>+Z253</f>
        <v>3</v>
      </c>
      <c r="DV253" s="1333">
        <f>+AG253</f>
        <v>9</v>
      </c>
      <c r="DW253" s="1333">
        <f>+AN253</f>
        <v>17</v>
      </c>
      <c r="DX253" s="1333">
        <f>+AU253</f>
        <v>0</v>
      </c>
      <c r="DY253" s="1333">
        <f>+BB253</f>
        <v>4</v>
      </c>
      <c r="DZ253" s="1333">
        <f>+BI253</f>
        <v>1</v>
      </c>
      <c r="EA253" s="1333">
        <f>+BP253</f>
        <v>2</v>
      </c>
      <c r="EB253" s="1333">
        <f>+CD253</f>
        <v>0</v>
      </c>
      <c r="ED253" s="451">
        <f>-(SUMIF(DS253:EB253,"&lt;0"))</f>
        <v>0</v>
      </c>
      <c r="EE253" s="451">
        <f>(SUMIF(DS253:EB253,"&gt;0"))</f>
        <v>38</v>
      </c>
      <c r="EF253" s="451">
        <f>+EE253-ED253</f>
        <v>38</v>
      </c>
      <c r="EG253" s="1333">
        <f>+EF253-CX253</f>
        <v>-10</v>
      </c>
    </row>
    <row r="254" spans="1:137" ht="15">
      <c r="A254" s="1266"/>
      <c r="B254" s="1266" t="str">
        <f>$B$21</f>
        <v>Year</v>
      </c>
      <c r="C254" s="1266"/>
      <c r="D254" s="1306">
        <f>+D253</f>
        <v>2530</v>
      </c>
      <c r="E254" s="1317">
        <f>+D254-D247</f>
        <v>60</v>
      </c>
      <c r="F254" s="1295">
        <f>+(D254/D247-1)*100</f>
        <v>2.4291497975708509</v>
      </c>
      <c r="G254" s="1296">
        <f>+N254+U254</f>
        <v>74.056021087680364</v>
      </c>
      <c r="H254" s="1297">
        <f>+G254/D254*1000</f>
        <v>29.271154580110814</v>
      </c>
      <c r="I254" s="1295">
        <f>+(G254/G247-1)*100</f>
        <v>2.4336797491110396</v>
      </c>
      <c r="J254" s="1266"/>
      <c r="K254" s="1306">
        <f>+L254+K247</f>
        <v>1343</v>
      </c>
      <c r="L254" s="1256">
        <v>30</v>
      </c>
      <c r="M254" s="1295">
        <f>+(K254/K247-1)*100</f>
        <v>2.2848438690022954</v>
      </c>
      <c r="N254" s="1296">
        <f>+K254*O254/1000</f>
        <v>38.222058823529416</v>
      </c>
      <c r="O254" s="1297">
        <f>+O247</f>
        <v>28.460207612456745</v>
      </c>
      <c r="P254" s="1295">
        <f>+(N254/N247-1)*100</f>
        <v>2.2848438690023176</v>
      </c>
      <c r="Q254" s="1299"/>
      <c r="R254" s="1306">
        <f>+S254+R247</f>
        <v>1187</v>
      </c>
      <c r="S254" s="1256">
        <v>30</v>
      </c>
      <c r="T254" s="1295">
        <f>+(R254/R247-1)*100</f>
        <v>2.5929127052722656</v>
      </c>
      <c r="U254" s="1296">
        <f>+R254*V254/1000</f>
        <v>35.833962264150941</v>
      </c>
      <c r="V254" s="1297">
        <f>+V247</f>
        <v>30.188679245283019</v>
      </c>
      <c r="W254" s="1295">
        <f>+(U254/U247-1)*100</f>
        <v>2.5929127052722434</v>
      </c>
      <c r="X254" s="1299"/>
      <c r="Y254" s="1306">
        <f>+Z254+Y247</f>
        <v>324</v>
      </c>
      <c r="Z254" s="1256">
        <v>15</v>
      </c>
      <c r="AA254" s="1295">
        <f>+(Y254/Y247-1)*100</f>
        <v>4.8543689320388328</v>
      </c>
      <c r="AB254" s="1296">
        <f>+Y254*AC254/1000</f>
        <v>9.1248979591836736</v>
      </c>
      <c r="AC254" s="1297">
        <f>+AC247</f>
        <v>28.163265306122451</v>
      </c>
      <c r="AD254" s="1295">
        <f>+(AB254/AB247-1)*100</f>
        <v>4.8543689320388328</v>
      </c>
      <c r="AE254" s="1299"/>
      <c r="AF254" s="1306">
        <f>+AG254+AF247</f>
        <v>685</v>
      </c>
      <c r="AG254" s="1256">
        <v>40</v>
      </c>
      <c r="AH254" s="1295">
        <f>+(AF254/AF247-1)*100</f>
        <v>6.2015503875969102</v>
      </c>
      <c r="AI254" s="1296">
        <f>+AF254*AJ254/1000</f>
        <v>20.730263157894736</v>
      </c>
      <c r="AJ254" s="1297">
        <f>+AJ247</f>
        <v>30.263157894736842</v>
      </c>
      <c r="AK254" s="1295">
        <f>+(AI254/AI247-1)*100</f>
        <v>6.201550387596888</v>
      </c>
      <c r="AL254" s="1299"/>
      <c r="AM254" s="1306">
        <f>+AN254+AM247</f>
        <v>891</v>
      </c>
      <c r="AN254" s="1256">
        <v>40</v>
      </c>
      <c r="AO254" s="1295">
        <f>+(AM254/AM247-1)*100</f>
        <v>4.7003525264394774</v>
      </c>
      <c r="AP254" s="1296">
        <f>+AM254*AQ254/1000</f>
        <v>22.020912547528518</v>
      </c>
      <c r="AQ254" s="1297">
        <f>+AQ247</f>
        <v>24.714828897338403</v>
      </c>
      <c r="AR254" s="1295">
        <f>+(AP254/AP247-1)*100</f>
        <v>4.7003525264394774</v>
      </c>
      <c r="AS254" s="1299"/>
      <c r="AT254" s="1306">
        <f>+AU254+AT247</f>
        <v>0</v>
      </c>
      <c r="AU254" s="1256">
        <v>0</v>
      </c>
      <c r="AV254" s="1295"/>
      <c r="AW254" s="1296">
        <f>+AT254*AX254/1000</f>
        <v>0</v>
      </c>
      <c r="AX254" s="1297">
        <f>+AX247</f>
        <v>26</v>
      </c>
      <c r="AY254" s="1295"/>
      <c r="AZ254" s="1299"/>
      <c r="BA254" s="1306">
        <f>+BB254+BA247</f>
        <v>137</v>
      </c>
      <c r="BB254" s="1256">
        <v>5</v>
      </c>
      <c r="BC254" s="1295">
        <f>+(BA254/BA247-1)*100</f>
        <v>3.7878787878787845</v>
      </c>
      <c r="BD254" s="1296">
        <f>+BA254*BE254/1000</f>
        <v>3.2822916666666666</v>
      </c>
      <c r="BE254" s="1297">
        <f>+BE247</f>
        <v>23.958333333333332</v>
      </c>
      <c r="BF254" s="1295">
        <f>+(BD254/BD247-1)*100</f>
        <v>3.7878787878787845</v>
      </c>
      <c r="BG254" s="1295"/>
      <c r="BH254" s="1306">
        <f>+BI254+BH247</f>
        <v>90</v>
      </c>
      <c r="BI254" s="1256">
        <v>10</v>
      </c>
      <c r="BJ254" s="1295">
        <f>+(BH254/BH247-1)*100</f>
        <v>12.5</v>
      </c>
      <c r="BK254" s="1296">
        <f>+BH254*BL254/1000</f>
        <v>1.9090909090909089</v>
      </c>
      <c r="BL254" s="1297">
        <f>+BL247</f>
        <v>21.212121212121211</v>
      </c>
      <c r="BM254" s="1295">
        <f>+(BK254/BK247-1)*100</f>
        <v>12.499999999999979</v>
      </c>
      <c r="BN254" s="1295"/>
      <c r="BO254" s="1306">
        <f>+BP254+BO247</f>
        <v>128</v>
      </c>
      <c r="BP254" s="1256">
        <v>15</v>
      </c>
      <c r="BQ254" s="1295"/>
      <c r="BR254" s="1296">
        <f>+BO254*BS254/1000</f>
        <v>4.0421052631578949</v>
      </c>
      <c r="BS254" s="1297">
        <f>+BS247</f>
        <v>31.578947368421055</v>
      </c>
      <c r="BT254" s="1295"/>
      <c r="BU254" s="1295"/>
      <c r="BV254" s="1337">
        <f>+BW254+BV247</f>
        <v>3</v>
      </c>
      <c r="BW254" s="1343">
        <v>0</v>
      </c>
      <c r="BX254" s="1357">
        <f>+(BV254/BV247-1)*100</f>
        <v>0</v>
      </c>
      <c r="BY254" s="1359">
        <f>+BV254*BZ254/1000</f>
        <v>1.4285714285714289E-2</v>
      </c>
      <c r="BZ254" s="1360">
        <f>+BZ247</f>
        <v>4.7619047619047628</v>
      </c>
      <c r="CA254" s="1357">
        <f>+(BY254/BY247-1)*100</f>
        <v>0</v>
      </c>
      <c r="CB254" s="1299"/>
      <c r="CC254" s="1398"/>
      <c r="CD254" s="1399"/>
      <c r="CE254" s="1392"/>
      <c r="CF254" s="1393"/>
      <c r="CG254" s="1394"/>
      <c r="CH254" s="1392"/>
      <c r="CI254" s="1306">
        <f>+CJ254+CI247</f>
        <v>65</v>
      </c>
      <c r="CJ254" s="1256">
        <v>10</v>
      </c>
      <c r="CK254" s="1295"/>
      <c r="CL254" s="1296">
        <f>+CI254*CM254/1000</f>
        <v>2.166666666666667</v>
      </c>
      <c r="CM254" s="1297">
        <f>+CM247</f>
        <v>33.333333333333336</v>
      </c>
      <c r="CN254" s="1295"/>
      <c r="CO254" s="1295"/>
      <c r="CP254" s="1306">
        <f>+CQ254+CP247</f>
        <v>73</v>
      </c>
      <c r="CQ254" s="1256">
        <v>10</v>
      </c>
      <c r="CR254" s="1295"/>
      <c r="CS254" s="1296">
        <f>+CP254*CT254/1000</f>
        <v>1.6685714285714286</v>
      </c>
      <c r="CT254" s="1297">
        <f>+CT247</f>
        <v>22.857142857142858</v>
      </c>
      <c r="CU254" s="1295"/>
      <c r="CV254" s="1299"/>
      <c r="CW254" s="1306">
        <f>+D254+Y254+AF254+AM254+AT254+BA254+BH254+BO254+CI254+CP254</f>
        <v>4923</v>
      </c>
      <c r="CX254" s="1317">
        <f>+E254+Z254+AG254+AN254+AU254+BB254+BI254+BP254+CJ254+CQ254</f>
        <v>205</v>
      </c>
      <c r="CY254" s="1295">
        <f>+(CW254/CW247-1)*100</f>
        <v>4.3450614667231768</v>
      </c>
      <c r="CZ254" s="1297"/>
      <c r="DA254" s="1297"/>
      <c r="DB254" s="1296">
        <f>+G254+AB254+AI254+AP254+AW254+BD254+BK254+BR254+CL254+CS254</f>
        <v>139.00082068644087</v>
      </c>
      <c r="DC254" s="1297">
        <f>+DB254/CW254*1000</f>
        <v>28.234982873540702</v>
      </c>
      <c r="DD254" s="1295">
        <f>+(DB254/DB247-1)*100</f>
        <v>4.3140250547554437</v>
      </c>
      <c r="DE254" s="1266"/>
      <c r="DF254" s="1350">
        <f>+D254/$CW254</f>
        <v>0.51391427991062355</v>
      </c>
      <c r="DG254" s="1351"/>
      <c r="DH254" s="1351"/>
      <c r="DI254" s="1350">
        <f>+Y254/$CW254</f>
        <v>6.5813528336380253E-2</v>
      </c>
      <c r="DJ254" s="1350">
        <f>+AF254/CW254</f>
        <v>0.13914279910623603</v>
      </c>
      <c r="DK254" s="1350">
        <f>+AM254/CW254</f>
        <v>0.18098720292504569</v>
      </c>
      <c r="DL254" s="1350">
        <f>+AT254/CW254</f>
        <v>0</v>
      </c>
      <c r="DM254" s="1350">
        <f>+BA254/$CW254</f>
        <v>2.7828559821247208E-2</v>
      </c>
      <c r="DN254" s="1350">
        <f>+BH254/$CW254</f>
        <v>1.8281535648994516E-2</v>
      </c>
      <c r="DO254" s="1350">
        <f>+BO254/$CW254</f>
        <v>2.6000406256347756E-2</v>
      </c>
      <c r="DP254" s="1350">
        <f>+CI254/$CW254</f>
        <v>1.3203331302051594E-2</v>
      </c>
      <c r="DQ254" s="1350">
        <f>+CP254/$CW254</f>
        <v>1.4828356693073329E-2</v>
      </c>
      <c r="DR254" s="1395"/>
      <c r="ED254" s="693">
        <f>SUM(ED250:ED253)</f>
        <v>0</v>
      </c>
      <c r="EE254" s="693">
        <f>SUM(EE250:EE253)</f>
        <v>185</v>
      </c>
      <c r="EF254" s="693">
        <f>+EE254-ED254</f>
        <v>185</v>
      </c>
      <c r="EG254" s="1417">
        <f>+EF254-CX254</f>
        <v>-20</v>
      </c>
    </row>
    <row r="255" spans="1:137" ht="15">
      <c r="A255" s="1266"/>
      <c r="B255" s="1266"/>
      <c r="C255" s="1266"/>
      <c r="D255" s="1306"/>
      <c r="E255" s="1317"/>
      <c r="F255" s="1295"/>
      <c r="G255" s="1296"/>
      <c r="H255" s="1297"/>
      <c r="I255" s="1295"/>
      <c r="J255" s="1266"/>
      <c r="K255" s="1306"/>
      <c r="L255" s="1256"/>
      <c r="M255" s="1295"/>
      <c r="N255" s="1296"/>
      <c r="O255" s="1297"/>
      <c r="P255" s="1295"/>
      <c r="Q255" s="1299"/>
      <c r="R255" s="1306"/>
      <c r="S255" s="1256"/>
      <c r="T255" s="1295"/>
      <c r="U255" s="1296"/>
      <c r="V255" s="1297"/>
      <c r="W255" s="1295"/>
      <c r="X255" s="1299"/>
      <c r="Y255" s="1306"/>
      <c r="Z255" s="1256"/>
      <c r="AA255" s="1295"/>
      <c r="AB255" s="1296"/>
      <c r="AC255" s="1297"/>
      <c r="AD255" s="1295"/>
      <c r="AE255" s="1299"/>
      <c r="AF255" s="1306"/>
      <c r="AG255" s="1256"/>
      <c r="AH255" s="1295"/>
      <c r="AI255" s="1296"/>
      <c r="AJ255" s="1297"/>
      <c r="AK255" s="1295"/>
      <c r="AL255" s="1299"/>
      <c r="AM255" s="1306"/>
      <c r="AN255" s="1256"/>
      <c r="AO255" s="1295"/>
      <c r="AP255" s="1296"/>
      <c r="AQ255" s="1297"/>
      <c r="AR255" s="1295"/>
      <c r="AS255" s="1299"/>
      <c r="AT255" s="1306"/>
      <c r="AU255" s="1256"/>
      <c r="AV255" s="1295"/>
      <c r="AW255" s="1296"/>
      <c r="AX255" s="1297"/>
      <c r="AY255" s="1295"/>
      <c r="AZ255" s="1299"/>
      <c r="BA255" s="1306"/>
      <c r="BB255" s="1256"/>
      <c r="BC255" s="1295"/>
      <c r="BD255" s="1296"/>
      <c r="BE255" s="1297"/>
      <c r="BF255" s="1295"/>
      <c r="BG255" s="1295"/>
      <c r="BH255" s="1306"/>
      <c r="BI255" s="1256"/>
      <c r="BJ255" s="1295"/>
      <c r="BK255" s="1296"/>
      <c r="BL255" s="1297"/>
      <c r="BM255" s="1295"/>
      <c r="BN255" s="1295"/>
      <c r="BO255" s="1306"/>
      <c r="BP255" s="1256"/>
      <c r="BQ255" s="1295"/>
      <c r="BR255" s="1296"/>
      <c r="BS255" s="1297"/>
      <c r="BT255" s="1295"/>
      <c r="BU255" s="1295"/>
      <c r="BV255" s="1337"/>
      <c r="BW255" s="1343"/>
      <c r="BX255" s="1357"/>
      <c r="BY255" s="1359"/>
      <c r="BZ255" s="1360"/>
      <c r="CA255" s="1357"/>
      <c r="CB255" s="1299"/>
      <c r="CC255" s="1398"/>
      <c r="CD255" s="1399"/>
      <c r="CE255" s="1392"/>
      <c r="CF255" s="1393"/>
      <c r="CG255" s="1394"/>
      <c r="CH255" s="1392"/>
      <c r="CI255" s="1306"/>
      <c r="CJ255" s="1256"/>
      <c r="CK255" s="1295"/>
      <c r="CL255" s="1296"/>
      <c r="CM255" s="1297"/>
      <c r="CN255" s="1295"/>
      <c r="CO255" s="1295"/>
      <c r="CP255" s="1306"/>
      <c r="CQ255" s="1256"/>
      <c r="CR255" s="1295"/>
      <c r="CS255" s="1296"/>
      <c r="CT255" s="1297"/>
      <c r="CU255" s="1295"/>
      <c r="CV255" s="1299"/>
      <c r="CW255" s="1306"/>
      <c r="CX255" s="1317"/>
      <c r="CY255" s="1295"/>
      <c r="CZ255" s="1297"/>
      <c r="DA255" s="1297"/>
      <c r="DB255" s="1296"/>
      <c r="DC255" s="1297"/>
      <c r="DD255" s="1295"/>
      <c r="DE255" s="1266"/>
      <c r="DF255" s="1350"/>
      <c r="DG255" s="1351"/>
      <c r="DH255" s="1351"/>
      <c r="DI255" s="1350"/>
      <c r="DJ255" s="1350"/>
      <c r="DK255" s="1350"/>
      <c r="DL255" s="1350"/>
      <c r="DM255" s="1350"/>
      <c r="DN255" s="1350"/>
      <c r="DO255" s="1350"/>
      <c r="DP255" s="1350"/>
      <c r="DQ255" s="1350"/>
      <c r="DR255" s="1395"/>
      <c r="ED255" s="693"/>
      <c r="EE255" s="693"/>
      <c r="EF255" s="693"/>
      <c r="EG255" s="1417"/>
    </row>
    <row r="256" spans="1:137" ht="15">
      <c r="A256" s="1266"/>
      <c r="B256" s="1266"/>
      <c r="C256" s="1266"/>
      <c r="D256" s="1306"/>
      <c r="E256" s="1317"/>
      <c r="F256" s="1295"/>
      <c r="G256" s="1296"/>
      <c r="H256" s="1297"/>
      <c r="I256" s="1295"/>
      <c r="J256" s="1266"/>
      <c r="K256" s="1306"/>
      <c r="L256" s="1256"/>
      <c r="M256" s="1295"/>
      <c r="N256" s="1296"/>
      <c r="O256" s="1297"/>
      <c r="P256" s="1295"/>
      <c r="Q256" s="1299"/>
      <c r="R256" s="1306"/>
      <c r="S256" s="1256"/>
      <c r="T256" s="1295"/>
      <c r="U256" s="1296"/>
      <c r="V256" s="1297"/>
      <c r="W256" s="1295"/>
      <c r="X256" s="1299"/>
      <c r="Y256" s="1306"/>
      <c r="Z256" s="1256"/>
      <c r="AA256" s="1295"/>
      <c r="AB256" s="1296"/>
      <c r="AC256" s="1297"/>
      <c r="AD256" s="1295"/>
      <c r="AE256" s="1299"/>
      <c r="AF256" s="1306"/>
      <c r="AG256" s="1256"/>
      <c r="AH256" s="1295"/>
      <c r="AI256" s="1296"/>
      <c r="AJ256" s="1297"/>
      <c r="AK256" s="1295"/>
      <c r="AL256" s="1299"/>
      <c r="AM256" s="1306"/>
      <c r="AN256" s="1256"/>
      <c r="AO256" s="1295"/>
      <c r="AP256" s="1296"/>
      <c r="AQ256" s="1297"/>
      <c r="AR256" s="1295"/>
      <c r="AS256" s="1299"/>
      <c r="AT256" s="1306"/>
      <c r="AU256" s="1256"/>
      <c r="AV256" s="1295"/>
      <c r="AW256" s="1296"/>
      <c r="AX256" s="1297"/>
      <c r="AY256" s="1295"/>
      <c r="AZ256" s="1299"/>
      <c r="BA256" s="1306"/>
      <c r="BB256" s="1256"/>
      <c r="BC256" s="1295"/>
      <c r="BD256" s="1296"/>
      <c r="BE256" s="1297"/>
      <c r="BF256" s="1295"/>
      <c r="BG256" s="1295"/>
      <c r="BH256" s="1306"/>
      <c r="BI256" s="1256"/>
      <c r="BJ256" s="1295"/>
      <c r="BK256" s="1296"/>
      <c r="BL256" s="1297"/>
      <c r="BM256" s="1295"/>
      <c r="BN256" s="1295"/>
      <c r="BO256" s="1306"/>
      <c r="BP256" s="1256"/>
      <c r="BQ256" s="1295"/>
      <c r="BR256" s="1296"/>
      <c r="BS256" s="1297"/>
      <c r="BT256" s="1295"/>
      <c r="BU256" s="1295"/>
      <c r="BV256" s="1337"/>
      <c r="BW256" s="1343"/>
      <c r="BX256" s="1357"/>
      <c r="BY256" s="1359"/>
      <c r="BZ256" s="1360"/>
      <c r="CA256" s="1357"/>
      <c r="CB256" s="1299"/>
      <c r="CC256" s="1398"/>
      <c r="CD256" s="1399"/>
      <c r="CE256" s="1392"/>
      <c r="CF256" s="1393"/>
      <c r="CG256" s="1394"/>
      <c r="CH256" s="1392"/>
      <c r="CI256" s="1306"/>
      <c r="CJ256" s="1256"/>
      <c r="CK256" s="1295"/>
      <c r="CL256" s="1296"/>
      <c r="CM256" s="1297"/>
      <c r="CN256" s="1295"/>
      <c r="CO256" s="1295"/>
      <c r="CP256" s="1306"/>
      <c r="CQ256" s="1256"/>
      <c r="CR256" s="1295"/>
      <c r="CS256" s="1296"/>
      <c r="CT256" s="1297"/>
      <c r="CU256" s="1295"/>
      <c r="CV256" s="1299"/>
      <c r="CW256" s="1306"/>
      <c r="CX256" s="1317"/>
      <c r="CY256" s="1295"/>
      <c r="CZ256" s="1297"/>
      <c r="DA256" s="1297"/>
      <c r="DB256" s="1296"/>
      <c r="DC256" s="1297"/>
      <c r="DD256" s="1295"/>
      <c r="DE256" s="1266"/>
      <c r="DF256" s="1350"/>
      <c r="DG256" s="1351"/>
      <c r="DH256" s="1351"/>
      <c r="DI256" s="1350"/>
      <c r="DJ256" s="1350"/>
      <c r="DK256" s="1350"/>
      <c r="DL256" s="1350"/>
      <c r="DM256" s="1350"/>
      <c r="DN256" s="1350"/>
      <c r="DO256" s="1350"/>
      <c r="DP256" s="1350"/>
      <c r="DQ256" s="1350"/>
      <c r="DR256" s="1395"/>
      <c r="ED256" s="693"/>
      <c r="EE256" s="693"/>
      <c r="EF256" s="693"/>
      <c r="EG256" s="1417"/>
    </row>
    <row r="257" spans="1:137" ht="15">
      <c r="A257" s="1266"/>
      <c r="B257" s="1266"/>
      <c r="C257" s="1266"/>
      <c r="D257" s="1306"/>
      <c r="E257" s="1317"/>
      <c r="F257" s="1295"/>
      <c r="G257" s="1296"/>
      <c r="H257" s="1297"/>
      <c r="I257" s="1295"/>
      <c r="J257" s="1266"/>
      <c r="K257" s="1306"/>
      <c r="L257" s="1256"/>
      <c r="M257" s="1295"/>
      <c r="N257" s="1296"/>
      <c r="O257" s="1297"/>
      <c r="P257" s="1295"/>
      <c r="Q257" s="1299"/>
      <c r="R257" s="1306"/>
      <c r="S257" s="1256"/>
      <c r="T257" s="1295"/>
      <c r="U257" s="1296"/>
      <c r="V257" s="1297"/>
      <c r="W257" s="1295"/>
      <c r="X257" s="1299"/>
      <c r="Y257" s="1306"/>
      <c r="Z257" s="1256"/>
      <c r="AA257" s="1295"/>
      <c r="AB257" s="1296"/>
      <c r="AC257" s="1297"/>
      <c r="AD257" s="1295"/>
      <c r="AE257" s="1299"/>
      <c r="AF257" s="1306"/>
      <c r="AG257" s="1256"/>
      <c r="AH257" s="1295"/>
      <c r="AI257" s="1296"/>
      <c r="AJ257" s="1297"/>
      <c r="AK257" s="1295"/>
      <c r="AL257" s="1299"/>
      <c r="AM257" s="1306"/>
      <c r="AN257" s="1256"/>
      <c r="AO257" s="1295"/>
      <c r="AP257" s="1296"/>
      <c r="AQ257" s="1297"/>
      <c r="AR257" s="1295"/>
      <c r="AS257" s="1299"/>
      <c r="AT257" s="1306"/>
      <c r="AU257" s="1256"/>
      <c r="AV257" s="1295"/>
      <c r="AW257" s="1296"/>
      <c r="AX257" s="1297"/>
      <c r="AY257" s="1295"/>
      <c r="AZ257" s="1299"/>
      <c r="BA257" s="1306"/>
      <c r="BB257" s="1256"/>
      <c r="BC257" s="1295"/>
      <c r="BD257" s="1296"/>
      <c r="BE257" s="1297"/>
      <c r="BF257" s="1295"/>
      <c r="BG257" s="1295"/>
      <c r="BH257" s="1306"/>
      <c r="BI257" s="1256"/>
      <c r="BJ257" s="1295"/>
      <c r="BK257" s="1296"/>
      <c r="BL257" s="1297"/>
      <c r="BM257" s="1295"/>
      <c r="BN257" s="1295"/>
      <c r="BO257" s="1306"/>
      <c r="BP257" s="1256"/>
      <c r="BQ257" s="1295"/>
      <c r="BR257" s="1296"/>
      <c r="BS257" s="1297"/>
      <c r="BT257" s="1295"/>
      <c r="BU257" s="1295"/>
      <c r="BV257" s="1337"/>
      <c r="BW257" s="1343"/>
      <c r="BX257" s="1357"/>
      <c r="BY257" s="1359"/>
      <c r="BZ257" s="1360"/>
      <c r="CA257" s="1357"/>
      <c r="CB257" s="1299"/>
      <c r="CC257" s="1398"/>
      <c r="CD257" s="1399"/>
      <c r="CE257" s="1392"/>
      <c r="CF257" s="1393"/>
      <c r="CG257" s="1394"/>
      <c r="CH257" s="1392"/>
      <c r="CI257" s="1306"/>
      <c r="CJ257" s="1256"/>
      <c r="CK257" s="1295"/>
      <c r="CL257" s="1296"/>
      <c r="CM257" s="1297"/>
      <c r="CN257" s="1295"/>
      <c r="CO257" s="1295"/>
      <c r="CP257" s="1306"/>
      <c r="CQ257" s="1256"/>
      <c r="CR257" s="1295"/>
      <c r="CS257" s="1296"/>
      <c r="CT257" s="1297"/>
      <c r="CU257" s="1295"/>
      <c r="CV257" s="1299"/>
      <c r="CW257" s="1306"/>
      <c r="CX257" s="1317"/>
      <c r="CY257" s="1295"/>
      <c r="CZ257" s="1297"/>
      <c r="DA257" s="1297"/>
      <c r="DB257" s="1296"/>
      <c r="DC257" s="1297"/>
      <c r="DD257" s="1295"/>
      <c r="DE257" s="1266"/>
      <c r="DF257" s="1350"/>
      <c r="DG257" s="1351"/>
      <c r="DH257" s="1351"/>
      <c r="DI257" s="1350"/>
      <c r="DJ257" s="1350"/>
      <c r="DK257" s="1350"/>
      <c r="DL257" s="1350"/>
      <c r="DM257" s="1350"/>
      <c r="DN257" s="1350"/>
      <c r="DO257" s="1350"/>
      <c r="DP257" s="1350"/>
      <c r="DQ257" s="1350"/>
      <c r="DR257" s="1395"/>
      <c r="ED257" s="693"/>
      <c r="EE257" s="693"/>
      <c r="EF257" s="693"/>
      <c r="EG257" s="1417"/>
    </row>
    <row r="258" spans="1:137" ht="15">
      <c r="A258" s="1266"/>
      <c r="B258" s="1266"/>
      <c r="C258" s="1266"/>
      <c r="D258" s="1306"/>
      <c r="E258" s="1317"/>
      <c r="F258" s="1295"/>
      <c r="G258" s="1296"/>
      <c r="H258" s="1297"/>
      <c r="I258" s="1295"/>
      <c r="J258" s="1266"/>
      <c r="K258" s="1306"/>
      <c r="L258" s="1256"/>
      <c r="M258" s="1295"/>
      <c r="N258" s="1296"/>
      <c r="O258" s="1297"/>
      <c r="P258" s="1295"/>
      <c r="Q258" s="1299"/>
      <c r="R258" s="1306"/>
      <c r="S258" s="1256"/>
      <c r="T258" s="1295"/>
      <c r="U258" s="1296"/>
      <c r="V258" s="1297"/>
      <c r="W258" s="1295"/>
      <c r="X258" s="1299"/>
      <c r="Y258" s="1306"/>
      <c r="Z258" s="1256"/>
      <c r="AA258" s="1295"/>
      <c r="AB258" s="1296"/>
      <c r="AC258" s="1297"/>
      <c r="AD258" s="1295"/>
      <c r="AE258" s="1299"/>
      <c r="AF258" s="1306"/>
      <c r="AG258" s="1256"/>
      <c r="AH258" s="1295"/>
      <c r="AI258" s="1296"/>
      <c r="AJ258" s="1297"/>
      <c r="AK258" s="1295"/>
      <c r="AL258" s="1299"/>
      <c r="AM258" s="1306"/>
      <c r="AN258" s="1256"/>
      <c r="AO258" s="1295"/>
      <c r="AP258" s="1296"/>
      <c r="AQ258" s="1297"/>
      <c r="AR258" s="1295"/>
      <c r="AS258" s="1299"/>
      <c r="AT258" s="1306"/>
      <c r="AU258" s="1256"/>
      <c r="AV258" s="1295"/>
      <c r="AW258" s="1296"/>
      <c r="AX258" s="1297"/>
      <c r="AY258" s="1295"/>
      <c r="AZ258" s="1299"/>
      <c r="BA258" s="1306"/>
      <c r="BB258" s="1256"/>
      <c r="BC258" s="1295"/>
      <c r="BD258" s="1296"/>
      <c r="BE258" s="1297"/>
      <c r="BF258" s="1295"/>
      <c r="BG258" s="1295"/>
      <c r="BH258" s="1306"/>
      <c r="BI258" s="1256"/>
      <c r="BJ258" s="1295"/>
      <c r="BK258" s="1296"/>
      <c r="BL258" s="1297"/>
      <c r="BM258" s="1295"/>
      <c r="BN258" s="1295"/>
      <c r="BO258" s="1306"/>
      <c r="BP258" s="1256"/>
      <c r="BQ258" s="1295"/>
      <c r="BR258" s="1296"/>
      <c r="BS258" s="1297"/>
      <c r="BT258" s="1295"/>
      <c r="BU258" s="1295"/>
      <c r="BV258" s="1337"/>
      <c r="BW258" s="1343"/>
      <c r="BX258" s="1357"/>
      <c r="BY258" s="1359"/>
      <c r="BZ258" s="1360"/>
      <c r="CA258" s="1357"/>
      <c r="CB258" s="1299"/>
      <c r="CC258" s="1398"/>
      <c r="CD258" s="1399"/>
      <c r="CE258" s="1392"/>
      <c r="CF258" s="1393"/>
      <c r="CG258" s="1394"/>
      <c r="CH258" s="1392"/>
      <c r="CI258" s="1306"/>
      <c r="CJ258" s="1256"/>
      <c r="CK258" s="1295"/>
      <c r="CL258" s="1296"/>
      <c r="CM258" s="1297"/>
      <c r="CN258" s="1295"/>
      <c r="CO258" s="1295"/>
      <c r="CP258" s="1306"/>
      <c r="CQ258" s="1256"/>
      <c r="CR258" s="1295"/>
      <c r="CS258" s="1296"/>
      <c r="CT258" s="1297"/>
      <c r="CU258" s="1295"/>
      <c r="CV258" s="1299"/>
      <c r="CW258" s="1306"/>
      <c r="CX258" s="1317"/>
      <c r="CY258" s="1295"/>
      <c r="CZ258" s="1297"/>
      <c r="DA258" s="1297"/>
      <c r="DB258" s="1296"/>
      <c r="DC258" s="1297"/>
      <c r="DD258" s="1295"/>
      <c r="DE258" s="1266"/>
      <c r="DF258" s="1350"/>
      <c r="DG258" s="1351"/>
      <c r="DH258" s="1351"/>
      <c r="DI258" s="1350"/>
      <c r="DJ258" s="1350"/>
      <c r="DK258" s="1350"/>
      <c r="DL258" s="1350"/>
      <c r="DM258" s="1350"/>
      <c r="DN258" s="1350"/>
      <c r="DO258" s="1350"/>
      <c r="DP258" s="1350"/>
      <c r="DQ258" s="1350"/>
      <c r="DR258" s="1395"/>
      <c r="ED258" s="693"/>
      <c r="EE258" s="693"/>
      <c r="EF258" s="693"/>
      <c r="EG258" s="1417"/>
    </row>
    <row r="259" spans="1:137" ht="16.5">
      <c r="A259" s="1266" t="s">
        <v>572</v>
      </c>
      <c r="B259" s="1285"/>
      <c r="C259" s="1285"/>
      <c r="D259" s="1286"/>
      <c r="E259" s="1269"/>
      <c r="F259" s="1302"/>
      <c r="G259" s="1285"/>
      <c r="H259" s="1286"/>
      <c r="I259" s="1295"/>
      <c r="J259" s="1285"/>
      <c r="K259" s="1286"/>
      <c r="L259" s="1269"/>
      <c r="M259" s="1286"/>
      <c r="N259" s="1285"/>
      <c r="O259" s="1286"/>
      <c r="P259" s="1295"/>
      <c r="Q259" s="1286"/>
      <c r="R259" s="1286"/>
      <c r="S259" s="1269"/>
      <c r="T259" s="1286"/>
      <c r="U259" s="1285"/>
      <c r="V259" s="1286"/>
      <c r="W259" s="1295"/>
      <c r="X259" s="1286"/>
      <c r="Y259" s="1286"/>
      <c r="Z259" s="1269"/>
      <c r="AA259" s="1268"/>
      <c r="AB259" s="1285"/>
      <c r="AC259" s="1286"/>
      <c r="AD259" s="1295"/>
      <c r="AE259" s="1268"/>
      <c r="AF259" s="1286"/>
      <c r="AG259" s="1269"/>
      <c r="AH259" s="1270"/>
      <c r="AI259" s="1285"/>
      <c r="AJ259" s="1286"/>
      <c r="AK259" s="1302"/>
      <c r="AL259" s="1268"/>
      <c r="AM259" s="1286"/>
      <c r="AN259" s="1269"/>
      <c r="AO259" s="1268"/>
      <c r="AP259" s="1285"/>
      <c r="AQ259" s="1286"/>
      <c r="AR259" s="1295"/>
      <c r="AS259" s="1268"/>
      <c r="AT259" s="1286"/>
      <c r="AU259" s="1269"/>
      <c r="AV259" s="1266"/>
      <c r="AW259" s="1285"/>
      <c r="AX259" s="1286"/>
      <c r="AY259" s="1295"/>
      <c r="AZ259" s="1266"/>
      <c r="BA259" s="1286"/>
      <c r="BB259" s="1269"/>
      <c r="BC259" s="1266"/>
      <c r="BD259" s="1285"/>
      <c r="BE259" s="1286"/>
      <c r="BF259" s="1295"/>
      <c r="BG259" s="1295"/>
      <c r="BH259" s="1408"/>
      <c r="BI259" s="1401"/>
      <c r="BJ259" s="1402"/>
      <c r="BK259" s="1409"/>
      <c r="BL259" s="1408"/>
      <c r="BM259" s="1295"/>
      <c r="BN259" s="1295"/>
      <c r="BO259" s="1408"/>
      <c r="BP259" s="1401"/>
      <c r="BQ259" s="1402"/>
      <c r="BR259" s="1409"/>
      <c r="BS259" s="1408"/>
      <c r="BT259" s="1295"/>
      <c r="BU259" s="1295"/>
      <c r="BV259" s="1408"/>
      <c r="BW259" s="1401"/>
      <c r="BX259" s="1402"/>
      <c r="BY259" s="1409"/>
      <c r="BZ259" s="1408"/>
      <c r="CA259" s="1392"/>
      <c r="CB259" s="1266"/>
      <c r="CC259" s="1408"/>
      <c r="CD259" s="1401"/>
      <c r="CE259" s="1402"/>
      <c r="CF259" s="1409"/>
      <c r="CG259" s="1408"/>
      <c r="CH259" s="1392"/>
      <c r="CI259" s="1408"/>
      <c r="CJ259" s="1401"/>
      <c r="CK259" s="1402"/>
      <c r="CL259" s="1409"/>
      <c r="CM259" s="1408"/>
      <c r="CN259" s="1295"/>
      <c r="CO259" s="1295"/>
      <c r="CP259" s="1408"/>
      <c r="CQ259" s="1401"/>
      <c r="CR259" s="1402"/>
      <c r="CS259" s="1409"/>
      <c r="CT259" s="1408"/>
      <c r="CU259" s="1295"/>
      <c r="CV259" s="1266"/>
      <c r="CW259" s="1413"/>
      <c r="CX259" s="1266"/>
      <c r="CY259" s="1266"/>
      <c r="CZ259" s="1266"/>
      <c r="DA259" s="1266"/>
      <c r="DB259" s="1413"/>
      <c r="DC259" s="1286"/>
      <c r="DD259" s="1302"/>
      <c r="DE259" s="1285"/>
      <c r="DF259" s="1285"/>
      <c r="DG259" s="1285"/>
      <c r="DH259" s="1285"/>
      <c r="DI259" s="1285"/>
      <c r="DJ259" s="1285"/>
      <c r="DK259" s="1285"/>
      <c r="DL259" s="1285"/>
      <c r="DM259" s="1285"/>
      <c r="DN259" s="1285"/>
      <c r="DO259" s="1285"/>
      <c r="DP259" s="1285"/>
      <c r="DQ259" s="1285"/>
    </row>
    <row r="260" spans="1:137" ht="16.5">
      <c r="B260" s="1285"/>
      <c r="C260" s="1285"/>
      <c r="D260" s="1406">
        <f>3000-(D198)</f>
        <v>979</v>
      </c>
      <c r="E260" s="1418">
        <f>1-D260/2000</f>
        <v>0.51049999999999995</v>
      </c>
      <c r="F260" s="1302"/>
      <c r="G260" s="1285"/>
      <c r="H260" s="1286"/>
      <c r="I260" s="1295"/>
      <c r="J260" s="1285"/>
      <c r="K260" s="1406"/>
      <c r="L260" s="1418"/>
      <c r="M260" s="1286"/>
      <c r="N260" s="1285"/>
      <c r="O260" s="1286"/>
      <c r="P260" s="1295"/>
      <c r="Q260" s="1286"/>
      <c r="R260" s="1406"/>
      <c r="S260" s="1418"/>
      <c r="T260" s="1286"/>
      <c r="U260" s="1285"/>
      <c r="V260" s="1286"/>
      <c r="W260" s="1295"/>
      <c r="X260" s="1286"/>
      <c r="Y260" s="1406">
        <f>(450-100)-Y226</f>
        <v>86</v>
      </c>
      <c r="Z260" s="1418">
        <f>1-Y260/240</f>
        <v>0.64166666666666661</v>
      </c>
      <c r="AA260" s="1268"/>
      <c r="AB260" s="1285"/>
      <c r="AC260" s="1286"/>
      <c r="AD260" s="1295"/>
      <c r="AE260" s="1268"/>
      <c r="AF260" s="1406">
        <f>875-AF226-BH226</f>
        <v>280</v>
      </c>
      <c r="AG260" s="1418">
        <f>1-(AF260)/825</f>
        <v>0.66060606060606064</v>
      </c>
      <c r="AH260" s="1270"/>
      <c r="AI260" s="1285"/>
      <c r="AJ260" s="1286"/>
      <c r="AK260" s="1302"/>
      <c r="AL260" s="1268"/>
      <c r="AM260" s="1406">
        <f>825-AM226</f>
        <v>154</v>
      </c>
      <c r="AN260" s="1418">
        <f>1-AM260/600</f>
        <v>0.7433333333333334</v>
      </c>
      <c r="AO260" s="1268"/>
      <c r="AP260" s="1285"/>
      <c r="AQ260" s="1286"/>
      <c r="AR260" s="1295"/>
      <c r="AS260" s="1268"/>
      <c r="AT260" s="1406">
        <f>500-AT212</f>
        <v>500</v>
      </c>
      <c r="AU260" s="1418">
        <f>1-AT260/500</f>
        <v>0</v>
      </c>
      <c r="AV260" s="1266"/>
      <c r="AW260" s="1285"/>
      <c r="AX260" s="1286"/>
      <c r="AY260" s="1295"/>
      <c r="AZ260" s="1266"/>
      <c r="BA260" s="1406"/>
      <c r="BB260" s="1418"/>
      <c r="BC260" s="1266"/>
      <c r="BD260" s="1285"/>
      <c r="BE260" s="1286"/>
      <c r="BF260" s="1295"/>
      <c r="BG260" s="1295"/>
      <c r="BH260" s="1406"/>
      <c r="BI260" s="1418"/>
      <c r="BJ260" s="1402"/>
      <c r="BK260" s="1409"/>
      <c r="BL260" s="1408"/>
      <c r="BM260" s="1295"/>
      <c r="BN260" s="1295"/>
      <c r="BO260" s="1406"/>
      <c r="BP260" s="1418"/>
      <c r="BQ260" s="1402"/>
      <c r="BR260" s="1409"/>
      <c r="BS260" s="1408"/>
      <c r="BT260" s="1295"/>
      <c r="BU260" s="1295"/>
      <c r="BV260" s="1408"/>
      <c r="BW260" s="1401"/>
      <c r="BX260" s="1402"/>
      <c r="BY260" s="1409"/>
      <c r="BZ260" s="1408"/>
      <c r="CA260" s="1392"/>
      <c r="CB260" s="1266"/>
      <c r="CC260" s="1408"/>
      <c r="CD260" s="1401"/>
      <c r="CE260" s="1402"/>
      <c r="CF260" s="1409"/>
      <c r="CG260" s="1408"/>
      <c r="CH260" s="1392"/>
      <c r="CI260" s="1406"/>
      <c r="CJ260" s="1418"/>
      <c r="CK260" s="1402"/>
      <c r="CL260" s="1409"/>
      <c r="CM260" s="1408"/>
      <c r="CN260" s="1295"/>
      <c r="CO260" s="1295"/>
      <c r="CP260" s="1406"/>
      <c r="CQ260" s="1418"/>
      <c r="CR260" s="1402"/>
      <c r="CS260" s="1409"/>
      <c r="CT260" s="1408"/>
      <c r="CU260" s="1295"/>
      <c r="CV260" s="1266"/>
      <c r="CW260" s="1406"/>
      <c r="CX260" s="1418"/>
      <c r="CY260" s="1266"/>
      <c r="CZ260" s="1266"/>
      <c r="DA260" s="1266"/>
      <c r="DB260" s="1413"/>
      <c r="DC260" s="1286"/>
      <c r="DD260" s="1302"/>
      <c r="DE260" s="1285"/>
      <c r="DF260" s="1285"/>
      <c r="DG260" s="1285"/>
      <c r="DH260" s="1285"/>
      <c r="DI260" s="1285"/>
      <c r="DJ260" s="1285"/>
      <c r="DK260" s="1285"/>
      <c r="DL260" s="1285"/>
      <c r="DM260" s="1285"/>
      <c r="DN260" s="1285"/>
      <c r="DO260" s="1285"/>
      <c r="DP260" s="1285"/>
      <c r="DQ260" s="1285"/>
    </row>
  </sheetData>
  <mergeCells count="34">
    <mergeCell ref="A8:B8"/>
    <mergeCell ref="A151:B151"/>
    <mergeCell ref="A128:B128"/>
    <mergeCell ref="A136:B136"/>
    <mergeCell ref="A144:B144"/>
    <mergeCell ref="A72:B72"/>
    <mergeCell ref="A24:B24"/>
    <mergeCell ref="A16:B16"/>
    <mergeCell ref="A32:B32"/>
    <mergeCell ref="A112:B112"/>
    <mergeCell ref="A40:B40"/>
    <mergeCell ref="A56:B56"/>
    <mergeCell ref="A48:B48"/>
    <mergeCell ref="A64:B64"/>
    <mergeCell ref="A104:B104"/>
    <mergeCell ref="A96:B96"/>
    <mergeCell ref="A103:B103"/>
    <mergeCell ref="A88:B88"/>
    <mergeCell ref="A80:B80"/>
    <mergeCell ref="A120:B120"/>
    <mergeCell ref="A186:B186"/>
    <mergeCell ref="A158:B158"/>
    <mergeCell ref="A165:B165"/>
    <mergeCell ref="A172:B172"/>
    <mergeCell ref="A249:B249"/>
    <mergeCell ref="A200:B200"/>
    <mergeCell ref="A207:B207"/>
    <mergeCell ref="A193:B193"/>
    <mergeCell ref="A179:B179"/>
    <mergeCell ref="A235:B235"/>
    <mergeCell ref="A242:B242"/>
    <mergeCell ref="A214:B214"/>
    <mergeCell ref="A228:B228"/>
    <mergeCell ref="A221:B221"/>
  </mergeCells>
  <phoneticPr fontId="0" type="noConversion"/>
  <pageMargins left="0.25" right="0.25" top="0.2" bottom="0.1" header="0.5" footer="0"/>
  <pageSetup scale="49" orientation="landscape" r:id="rId1"/>
  <headerFooter alignWithMargins="0"/>
  <colBreaks count="1" manualBreakCount="1">
    <brk id="44" max="183" man="1"/>
  </colBreaks>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WALease"/>
  <dimension ref="A1:AN171"/>
  <sheetViews>
    <sheetView topLeftCell="Q1" workbookViewId="0">
      <selection activeCell="AH19" sqref="AH19"/>
    </sheetView>
  </sheetViews>
  <sheetFormatPr defaultColWidth="6.7109375" defaultRowHeight="12.75" outlineLevelRow="1" outlineLevelCol="1"/>
  <cols>
    <col min="1" max="1" width="1" customWidth="1"/>
    <col min="2" max="2" width="1.140625" customWidth="1"/>
    <col min="3" max="4" width="13.42578125" customWidth="1"/>
    <col min="5" max="5" width="13.28515625" customWidth="1"/>
    <col min="6" max="6" width="11.28515625" customWidth="1"/>
    <col min="7" max="7" width="7.28515625" customWidth="1"/>
    <col min="8" max="28" width="8.5703125" customWidth="1"/>
    <col min="29" max="30" width="8.5703125" style="447" customWidth="1"/>
    <col min="31" max="34" width="6.7109375" customWidth="1"/>
    <col min="35" max="35" width="46.5703125" customWidth="1" outlineLevel="1"/>
    <col min="36" max="36" width="6.7109375" customWidth="1" outlineLevel="1"/>
    <col min="37" max="37" width="32.85546875" customWidth="1" outlineLevel="1"/>
    <col min="38" max="40" width="6.7109375" customWidth="1" outlineLevel="1"/>
  </cols>
  <sheetData>
    <row r="1" spans="1:34" ht="45" customHeight="1" thickBot="1">
      <c r="A1" s="166" t="s">
        <v>395</v>
      </c>
      <c r="B1" s="167"/>
      <c r="C1" s="168"/>
      <c r="D1" s="169"/>
      <c r="E1" s="169"/>
      <c r="F1" s="168"/>
      <c r="G1" s="168" t="s">
        <v>396</v>
      </c>
      <c r="H1" s="170"/>
      <c r="I1" s="170"/>
      <c r="J1" s="170"/>
      <c r="K1" s="170"/>
      <c r="L1" s="170"/>
      <c r="M1" s="170"/>
      <c r="N1" s="170"/>
      <c r="O1" s="170"/>
      <c r="P1" s="170"/>
      <c r="Q1" s="170"/>
      <c r="R1" s="170"/>
      <c r="S1" s="170"/>
      <c r="T1" s="170"/>
      <c r="U1" s="169"/>
      <c r="V1" s="169"/>
      <c r="W1" s="169"/>
      <c r="X1" s="169"/>
      <c r="Y1" s="169"/>
      <c r="Z1" s="169"/>
      <c r="AA1" s="169"/>
      <c r="AB1" s="169"/>
      <c r="AC1" s="169"/>
      <c r="AD1" s="169"/>
      <c r="AE1" s="171"/>
      <c r="AF1" s="171"/>
      <c r="AG1" s="171"/>
      <c r="AH1" s="171"/>
    </row>
    <row r="2" spans="1:34" ht="32.25" customHeight="1">
      <c r="A2" s="172"/>
      <c r="B2" s="173"/>
      <c r="C2" s="174"/>
      <c r="D2" s="174"/>
      <c r="E2" s="174"/>
      <c r="F2" s="174"/>
      <c r="G2" s="174"/>
      <c r="H2" s="175"/>
      <c r="I2" s="175"/>
      <c r="J2" s="175"/>
      <c r="K2" s="175"/>
      <c r="L2" s="175"/>
      <c r="M2" s="175"/>
      <c r="N2" s="175"/>
      <c r="O2" s="175"/>
      <c r="P2" s="175"/>
      <c r="Q2" s="175"/>
      <c r="R2" s="175"/>
      <c r="S2" s="175"/>
      <c r="T2" s="175"/>
      <c r="U2" s="176"/>
      <c r="V2" s="176"/>
      <c r="W2" s="176"/>
      <c r="X2" s="176"/>
      <c r="Y2" s="176"/>
      <c r="Z2" s="176"/>
      <c r="AA2" s="176"/>
      <c r="AB2" s="176"/>
      <c r="AC2" s="176"/>
      <c r="AD2" s="176"/>
      <c r="AE2" s="177"/>
      <c r="AF2" s="177"/>
      <c r="AG2" s="177"/>
      <c r="AH2" s="177"/>
    </row>
    <row r="3" spans="1:34" ht="6.75" customHeight="1">
      <c r="A3" s="178"/>
      <c r="B3" s="179"/>
      <c r="C3" s="180"/>
      <c r="D3" s="180"/>
      <c r="E3" s="180"/>
      <c r="F3" s="180"/>
      <c r="G3" s="180"/>
      <c r="H3" s="181"/>
      <c r="I3" s="182" t="s">
        <v>397</v>
      </c>
      <c r="J3" s="181"/>
      <c r="K3" s="181"/>
      <c r="L3" s="181"/>
      <c r="M3" s="181"/>
      <c r="N3" s="181"/>
      <c r="O3" s="181"/>
      <c r="P3" s="181"/>
      <c r="Q3" s="181"/>
      <c r="R3" s="181"/>
      <c r="S3" s="181"/>
      <c r="T3" s="181"/>
      <c r="U3" s="183"/>
      <c r="V3" s="183"/>
      <c r="W3" s="183"/>
      <c r="X3" s="183"/>
      <c r="Y3" s="183"/>
      <c r="Z3" s="183"/>
      <c r="AA3" s="183"/>
      <c r="AB3" s="183"/>
      <c r="AC3" s="183"/>
      <c r="AD3" s="183"/>
      <c r="AE3" s="183"/>
      <c r="AF3" s="183"/>
      <c r="AG3" s="183"/>
      <c r="AH3" s="183"/>
    </row>
    <row r="4" spans="1:34" ht="15.75" customHeight="1">
      <c r="A4" s="184"/>
      <c r="B4" s="185"/>
      <c r="C4" s="186" t="str">
        <f>+flow!A1</f>
        <v>TJX Companies</v>
      </c>
      <c r="D4" s="187"/>
      <c r="E4" s="188"/>
      <c r="F4" s="189" t="s">
        <v>699</v>
      </c>
      <c r="G4" s="190"/>
      <c r="H4" s="191" t="s">
        <v>371</v>
      </c>
      <c r="I4" s="192"/>
      <c r="J4" s="193" t="s">
        <v>748</v>
      </c>
      <c r="K4" s="194"/>
      <c r="L4" s="194"/>
      <c r="M4" s="194"/>
      <c r="N4" s="194"/>
      <c r="O4" s="194"/>
      <c r="P4" s="194"/>
      <c r="Q4" s="194"/>
      <c r="R4" s="194"/>
      <c r="S4" s="194"/>
      <c r="T4" s="194"/>
      <c r="U4" s="177"/>
      <c r="V4" s="177"/>
      <c r="W4" s="177"/>
      <c r="X4" s="177"/>
      <c r="Y4" s="177"/>
      <c r="Z4" s="177"/>
      <c r="AA4" s="177"/>
      <c r="AB4" s="177"/>
      <c r="AC4" s="177"/>
      <c r="AD4" s="177"/>
      <c r="AE4" s="177"/>
      <c r="AF4" s="177"/>
      <c r="AG4" s="177"/>
      <c r="AH4" s="177"/>
    </row>
    <row r="5" spans="1:34" ht="15.75" customHeight="1">
      <c r="A5" s="184"/>
      <c r="B5" s="185"/>
      <c r="C5" s="186" t="s">
        <v>399</v>
      </c>
      <c r="D5" s="187"/>
      <c r="E5" s="188"/>
      <c r="F5" s="195">
        <v>1999</v>
      </c>
      <c r="G5" s="188"/>
      <c r="H5" s="196"/>
      <c r="I5" s="193"/>
      <c r="J5" s="193"/>
      <c r="K5" s="194"/>
      <c r="L5" s="194"/>
      <c r="M5" s="194"/>
      <c r="N5" s="194"/>
      <c r="O5" s="194"/>
      <c r="P5" s="194"/>
      <c r="Q5" s="194"/>
      <c r="R5" s="194"/>
      <c r="S5" s="194"/>
      <c r="T5" s="194"/>
      <c r="U5" s="177"/>
      <c r="V5" s="177"/>
      <c r="W5" s="177"/>
      <c r="X5" s="177"/>
      <c r="Y5" s="177"/>
      <c r="Z5" s="177"/>
      <c r="AA5" s="177"/>
      <c r="AB5" s="177"/>
      <c r="AC5" s="177"/>
      <c r="AD5" s="177"/>
      <c r="AE5" s="177"/>
      <c r="AF5" s="177"/>
      <c r="AG5" s="177"/>
      <c r="AH5" s="177"/>
    </row>
    <row r="6" spans="1:34" ht="13.5" customHeight="1">
      <c r="AC6"/>
      <c r="AD6"/>
    </row>
    <row r="7" spans="1:34">
      <c r="A7" s="184"/>
      <c r="B7" s="185"/>
      <c r="C7" s="188"/>
      <c r="D7" s="188"/>
      <c r="E7" s="188"/>
      <c r="F7" s="188"/>
      <c r="G7" s="188"/>
      <c r="H7" s="198"/>
      <c r="I7" s="198"/>
      <c r="J7" s="198"/>
      <c r="K7" s="198"/>
      <c r="L7" s="198"/>
      <c r="M7" s="198"/>
      <c r="N7" s="198"/>
      <c r="O7" s="198"/>
      <c r="P7" s="198"/>
      <c r="Q7" s="198"/>
      <c r="R7" s="198"/>
      <c r="S7" s="198"/>
      <c r="T7" s="194"/>
      <c r="U7" s="177"/>
      <c r="V7" s="177"/>
      <c r="W7" s="177"/>
      <c r="X7" s="177"/>
      <c r="Y7" s="177"/>
      <c r="Z7" s="177"/>
      <c r="AA7" s="177"/>
      <c r="AB7" s="177"/>
      <c r="AC7" s="177"/>
      <c r="AD7" s="177"/>
      <c r="AE7" s="177"/>
      <c r="AF7" s="177"/>
      <c r="AG7" s="177"/>
      <c r="AH7" s="177"/>
    </row>
    <row r="8" spans="1:34" outlineLevel="1">
      <c r="A8" s="199"/>
      <c r="B8" s="185"/>
      <c r="C8" s="197"/>
      <c r="D8" s="197"/>
      <c r="E8" s="197"/>
      <c r="F8" s="197"/>
      <c r="G8" s="197"/>
      <c r="H8" s="200">
        <v>1999</v>
      </c>
      <c r="I8" s="200">
        <f t="shared" ref="I8:X8" si="0">H8+1</f>
        <v>2000</v>
      </c>
      <c r="J8" s="200">
        <f t="shared" si="0"/>
        <v>2001</v>
      </c>
      <c r="K8" s="200">
        <f t="shared" si="0"/>
        <v>2002</v>
      </c>
      <c r="L8" s="200">
        <f t="shared" si="0"/>
        <v>2003</v>
      </c>
      <c r="M8" s="200">
        <f t="shared" si="0"/>
        <v>2004</v>
      </c>
      <c r="N8" s="200">
        <f t="shared" si="0"/>
        <v>2005</v>
      </c>
      <c r="O8" s="200">
        <f t="shared" si="0"/>
        <v>2006</v>
      </c>
      <c r="P8" s="200">
        <f t="shared" si="0"/>
        <v>2007</v>
      </c>
      <c r="Q8" s="200">
        <f t="shared" si="0"/>
        <v>2008</v>
      </c>
      <c r="R8" s="200">
        <f t="shared" si="0"/>
        <v>2009</v>
      </c>
      <c r="S8" s="200">
        <f t="shared" si="0"/>
        <v>2010</v>
      </c>
      <c r="T8" s="200">
        <f t="shared" si="0"/>
        <v>2011</v>
      </c>
      <c r="U8" s="200">
        <f t="shared" si="0"/>
        <v>2012</v>
      </c>
      <c r="V8" s="200">
        <f t="shared" si="0"/>
        <v>2013</v>
      </c>
      <c r="W8" s="200">
        <f t="shared" si="0"/>
        <v>2014</v>
      </c>
      <c r="X8" s="200">
        <f t="shared" si="0"/>
        <v>2015</v>
      </c>
      <c r="Y8" s="200">
        <f t="shared" ref="Y8:AD8" si="1">X8+1</f>
        <v>2016</v>
      </c>
      <c r="Z8" s="200">
        <f t="shared" si="1"/>
        <v>2017</v>
      </c>
      <c r="AA8" s="200">
        <f t="shared" si="1"/>
        <v>2018</v>
      </c>
      <c r="AB8" s="200">
        <f t="shared" si="1"/>
        <v>2019</v>
      </c>
      <c r="AC8" s="200">
        <f t="shared" si="1"/>
        <v>2020</v>
      </c>
      <c r="AD8" s="200">
        <f t="shared" si="1"/>
        <v>2021</v>
      </c>
      <c r="AE8" s="185"/>
      <c r="AF8" s="185"/>
      <c r="AG8" s="185"/>
      <c r="AH8" s="185"/>
    </row>
    <row r="9" spans="1:34" ht="14.25" customHeight="1">
      <c r="A9" s="184"/>
      <c r="B9" s="185"/>
      <c r="C9" s="201" t="s">
        <v>449</v>
      </c>
      <c r="D9" s="202"/>
      <c r="E9" s="202"/>
      <c r="F9" s="202"/>
      <c r="G9" s="202"/>
      <c r="H9" s="203" t="str">
        <f t="shared" ref="H9:Q9" si="2">LEFT(I9,3)&amp;RIGHT(I9,4)-1</f>
        <v>01/2000</v>
      </c>
      <c r="I9" s="203" t="str">
        <f t="shared" si="2"/>
        <v>01/2001</v>
      </c>
      <c r="J9" s="203" t="str">
        <f t="shared" si="2"/>
        <v>01/2002</v>
      </c>
      <c r="K9" s="203" t="str">
        <f t="shared" si="2"/>
        <v>01/2003</v>
      </c>
      <c r="L9" s="203" t="str">
        <f t="shared" si="2"/>
        <v>01/2004</v>
      </c>
      <c r="M9" s="203" t="str">
        <f t="shared" si="2"/>
        <v>01/2005</v>
      </c>
      <c r="N9" s="203" t="str">
        <f t="shared" si="2"/>
        <v>01/2006</v>
      </c>
      <c r="O9" s="203" t="str">
        <f t="shared" si="2"/>
        <v>01/2007</v>
      </c>
      <c r="P9" s="203" t="str">
        <f t="shared" si="2"/>
        <v>01/2008</v>
      </c>
      <c r="Q9" s="203" t="str">
        <f t="shared" si="2"/>
        <v>01/2009</v>
      </c>
      <c r="R9" s="203" t="str">
        <f>+H4</f>
        <v>01/2010</v>
      </c>
      <c r="S9" s="203" t="str">
        <f t="shared" ref="S9:X9" si="3">LEFT(R9,3)&amp;RIGHT(R9,4)+1</f>
        <v>01/2011</v>
      </c>
      <c r="T9" s="203" t="str">
        <f t="shared" si="3"/>
        <v>01/2012</v>
      </c>
      <c r="U9" s="203" t="str">
        <f t="shared" si="3"/>
        <v>01/2013</v>
      </c>
      <c r="V9" s="203" t="str">
        <f t="shared" si="3"/>
        <v>01/2014</v>
      </c>
      <c r="W9" s="203" t="str">
        <f t="shared" si="3"/>
        <v>01/2015</v>
      </c>
      <c r="X9" s="203" t="str">
        <f t="shared" si="3"/>
        <v>01/2016</v>
      </c>
      <c r="Y9" s="203" t="str">
        <f t="shared" ref="Y9:AD9" si="4">LEFT(X9,3)&amp;RIGHT(X9,4)+1</f>
        <v>01/2017</v>
      </c>
      <c r="Z9" s="203" t="str">
        <f t="shared" si="4"/>
        <v>01/2018</v>
      </c>
      <c r="AA9" s="203" t="str">
        <f t="shared" si="4"/>
        <v>01/2019</v>
      </c>
      <c r="AB9" s="203" t="str">
        <f t="shared" si="4"/>
        <v>01/2020</v>
      </c>
      <c r="AC9" s="203" t="str">
        <f t="shared" si="4"/>
        <v>01/2021</v>
      </c>
      <c r="AD9" s="203" t="str">
        <f t="shared" si="4"/>
        <v>01/2022</v>
      </c>
      <c r="AE9" s="177"/>
      <c r="AF9" s="177"/>
      <c r="AG9" s="177"/>
      <c r="AH9" s="177"/>
    </row>
    <row r="10" spans="1:34">
      <c r="A10" s="184"/>
      <c r="B10" s="185"/>
      <c r="C10" s="204"/>
      <c r="D10" s="202"/>
      <c r="E10" s="202"/>
      <c r="F10" s="202"/>
      <c r="G10" s="202"/>
      <c r="H10" s="194"/>
      <c r="I10" s="194"/>
      <c r="J10" s="194"/>
      <c r="K10" s="194"/>
      <c r="L10" s="194"/>
      <c r="M10" s="194"/>
      <c r="N10" s="194"/>
      <c r="O10" s="205"/>
      <c r="P10" s="194"/>
      <c r="Q10" s="194"/>
      <c r="R10" s="194"/>
      <c r="S10" s="194"/>
      <c r="T10" s="194"/>
      <c r="U10" s="194"/>
      <c r="V10" s="194"/>
      <c r="W10" s="194"/>
      <c r="X10" s="194"/>
      <c r="Y10" s="194"/>
      <c r="Z10" s="194"/>
      <c r="AA10" s="194"/>
      <c r="AB10" s="194"/>
      <c r="AC10" s="194"/>
      <c r="AD10" s="194"/>
      <c r="AE10" s="177"/>
      <c r="AF10" s="177"/>
      <c r="AG10" s="177"/>
      <c r="AH10" s="177"/>
    </row>
    <row r="11" spans="1:34">
      <c r="A11" s="184"/>
      <c r="B11" s="185"/>
      <c r="C11" s="206" t="s">
        <v>400</v>
      </c>
      <c r="D11" s="206"/>
      <c r="E11" s="206"/>
      <c r="F11" s="206"/>
      <c r="G11" s="206"/>
      <c r="H11" s="207">
        <f>H76</f>
        <v>352.6</v>
      </c>
      <c r="I11" s="207">
        <f t="shared" ref="I11:X11" si="5">IF(I8&gt;$F$5,I76,0)</f>
        <v>390.6</v>
      </c>
      <c r="J11" s="207">
        <f t="shared" si="5"/>
        <v>446.6</v>
      </c>
      <c r="K11" s="207">
        <f t="shared" si="5"/>
        <v>524.70000000000005</v>
      </c>
      <c r="L11" s="207">
        <f t="shared" si="5"/>
        <v>597.79999999999995</v>
      </c>
      <c r="M11" s="207">
        <f t="shared" si="5"/>
        <v>713.3</v>
      </c>
      <c r="N11" s="207">
        <f t="shared" si="5"/>
        <v>774.9</v>
      </c>
      <c r="O11" s="207">
        <f t="shared" si="5"/>
        <v>837.6</v>
      </c>
      <c r="P11" s="207">
        <f t="shared" si="5"/>
        <v>896.6</v>
      </c>
      <c r="Q11" s="207">
        <f t="shared" si="5"/>
        <v>936.6</v>
      </c>
      <c r="R11" s="207">
        <f t="shared" si="5"/>
        <v>962</v>
      </c>
      <c r="S11" s="207">
        <f t="shared" si="5"/>
        <v>1031.4000000000001</v>
      </c>
      <c r="T11" s="207">
        <f t="shared" si="5"/>
        <v>1086</v>
      </c>
      <c r="U11" s="207">
        <f t="shared" si="5"/>
        <v>1171.5999999999999</v>
      </c>
      <c r="V11" s="207">
        <f t="shared" si="5"/>
        <v>1263.9471086556168</v>
      </c>
      <c r="W11" s="207">
        <f t="shared" si="5"/>
        <v>1363.573142266041</v>
      </c>
      <c r="X11" s="207">
        <f t="shared" si="5"/>
        <v>1404.4803365340224</v>
      </c>
      <c r="Y11" s="207">
        <f t="shared" ref="Y11:AD11" si="6">IF(Y8&gt;$F$5,Y76,0)</f>
        <v>1446.6147466300431</v>
      </c>
      <c r="Z11" s="207">
        <f t="shared" si="6"/>
        <v>1490.0131890289445</v>
      </c>
      <c r="AA11" s="207">
        <f t="shared" si="6"/>
        <v>1534.7135846998128</v>
      </c>
      <c r="AB11" s="207">
        <f t="shared" si="6"/>
        <v>1580.7549922408073</v>
      </c>
      <c r="AC11" s="207">
        <f t="shared" si="6"/>
        <v>1628.1776420080316</v>
      </c>
      <c r="AD11" s="207">
        <f t="shared" si="6"/>
        <v>1677.0229712682726</v>
      </c>
      <c r="AE11" s="177"/>
      <c r="AF11" s="177"/>
      <c r="AG11" s="177"/>
      <c r="AH11" s="177"/>
    </row>
    <row r="12" spans="1:34">
      <c r="A12" s="184"/>
      <c r="B12" s="185"/>
      <c r="C12" s="208" t="s">
        <v>401</v>
      </c>
      <c r="D12" s="208"/>
      <c r="E12" s="208"/>
      <c r="F12" s="208"/>
      <c r="G12" s="208"/>
      <c r="H12" s="209">
        <f>H23</f>
        <v>-234.13635460317644</v>
      </c>
      <c r="I12" s="209">
        <f t="shared" ref="I12:X12" si="7">IF(I8&gt;$F$5,I23,0)</f>
        <v>-285.45715269957543</v>
      </c>
      <c r="J12" s="209">
        <f t="shared" si="7"/>
        <v>-346.47954948425831</v>
      </c>
      <c r="K12" s="209">
        <f t="shared" si="7"/>
        <v>-412.73683433977578</v>
      </c>
      <c r="L12" s="209">
        <f t="shared" si="7"/>
        <v>-521.09685799381543</v>
      </c>
      <c r="M12" s="209">
        <f t="shared" si="7"/>
        <v>-648.46789027800344</v>
      </c>
      <c r="N12" s="209">
        <f t="shared" si="7"/>
        <v>-713.64897191331636</v>
      </c>
      <c r="O12" s="209">
        <f t="shared" si="7"/>
        <v>-630.68758368941621</v>
      </c>
      <c r="P12" s="209">
        <f t="shared" si="7"/>
        <v>-649.50738926496433</v>
      </c>
      <c r="Q12" s="209">
        <f t="shared" si="7"/>
        <v>-673.92970263941697</v>
      </c>
      <c r="R12" s="209">
        <f t="shared" si="7"/>
        <v>-791.11876358470624</v>
      </c>
      <c r="S12" s="209">
        <f t="shared" si="7"/>
        <v>-892.00025620364033</v>
      </c>
      <c r="T12" s="209">
        <f t="shared" si="7"/>
        <v>-910.17457293831171</v>
      </c>
      <c r="U12" s="209">
        <f t="shared" si="7"/>
        <v>-888.36279283496185</v>
      </c>
      <c r="V12" s="209">
        <f t="shared" si="7"/>
        <v>-1017.1953329507899</v>
      </c>
      <c r="W12" s="209">
        <f t="shared" si="7"/>
        <v>-1043.4152605201652</v>
      </c>
      <c r="X12" s="209">
        <f t="shared" si="7"/>
        <v>-916.04422823597713</v>
      </c>
      <c r="Y12" s="209">
        <f t="shared" ref="Y12:AD12" si="8">IF(Y8&gt;$F$5,Y23,0)</f>
        <v>-846.54394822897541</v>
      </c>
      <c r="Z12" s="209">
        <f t="shared" si="8"/>
        <v>-800.30882871703363</v>
      </c>
      <c r="AA12" s="209">
        <f t="shared" si="8"/>
        <v>-699.04481066457674</v>
      </c>
      <c r="AB12" s="209">
        <f t="shared" si="8"/>
        <v>-674.62249729012399</v>
      </c>
      <c r="AC12" s="209">
        <f t="shared" si="8"/>
        <v>-400.54841853743812</v>
      </c>
      <c r="AD12" s="209">
        <f t="shared" si="8"/>
        <v>-316.76263246786175</v>
      </c>
      <c r="AE12" s="177"/>
      <c r="AF12" s="177"/>
      <c r="AG12" s="177"/>
      <c r="AH12" s="177"/>
    </row>
    <row r="13" spans="1:34">
      <c r="A13" s="184"/>
      <c r="B13" s="185"/>
      <c r="C13" s="210" t="s">
        <v>402</v>
      </c>
      <c r="D13" s="206"/>
      <c r="E13" s="206"/>
      <c r="F13" s="206"/>
      <c r="G13" s="206"/>
      <c r="H13" s="211">
        <f t="shared" ref="H13:Z13" si="9">SUM(H11:H12)</f>
        <v>118.46364539682358</v>
      </c>
      <c r="I13" s="211">
        <f t="shared" si="9"/>
        <v>105.14284730042459</v>
      </c>
      <c r="J13" s="211">
        <f t="shared" si="9"/>
        <v>100.12045051574171</v>
      </c>
      <c r="K13" s="211">
        <f t="shared" si="9"/>
        <v>111.96316566022426</v>
      </c>
      <c r="L13" s="211">
        <f t="shared" si="9"/>
        <v>76.703142006184521</v>
      </c>
      <c r="M13" s="211">
        <f t="shared" si="9"/>
        <v>64.832109721996517</v>
      </c>
      <c r="N13" s="211">
        <f t="shared" si="9"/>
        <v>61.251028086683618</v>
      </c>
      <c r="O13" s="211">
        <f t="shared" si="9"/>
        <v>206.91241631058381</v>
      </c>
      <c r="P13" s="211">
        <f t="shared" si="9"/>
        <v>247.09261073503569</v>
      </c>
      <c r="Q13" s="211">
        <f t="shared" si="9"/>
        <v>262.67029736058305</v>
      </c>
      <c r="R13" s="211">
        <f t="shared" si="9"/>
        <v>170.88123641529376</v>
      </c>
      <c r="S13" s="211">
        <f t="shared" si="9"/>
        <v>139.39974379635976</v>
      </c>
      <c r="T13" s="211">
        <f t="shared" si="9"/>
        <v>175.82542706168829</v>
      </c>
      <c r="U13" s="211">
        <f t="shared" si="9"/>
        <v>283.23720716503806</v>
      </c>
      <c r="V13" s="211">
        <f t="shared" si="9"/>
        <v>246.75177570482697</v>
      </c>
      <c r="W13" s="211">
        <f t="shared" si="9"/>
        <v>320.15788174587578</v>
      </c>
      <c r="X13" s="211">
        <f t="shared" si="9"/>
        <v>488.43610829804527</v>
      </c>
      <c r="Y13" s="211">
        <f t="shared" si="9"/>
        <v>600.07079840106769</v>
      </c>
      <c r="Z13" s="211">
        <f t="shared" si="9"/>
        <v>689.70436031191082</v>
      </c>
      <c r="AA13" s="211">
        <f>SUM(AA11:AA12)</f>
        <v>835.66877403523608</v>
      </c>
      <c r="AB13" s="211">
        <f>SUM(AB11:AB12)</f>
        <v>906.13249495068328</v>
      </c>
      <c r="AC13" s="211">
        <f>SUM(AC11:AC12)</f>
        <v>1227.6292234705934</v>
      </c>
      <c r="AD13" s="211">
        <f>SUM(AD11:AD12)</f>
        <v>1360.2603388004109</v>
      </c>
      <c r="AE13" s="177"/>
      <c r="AF13" s="177"/>
      <c r="AG13" s="177"/>
      <c r="AH13" s="177"/>
    </row>
    <row r="14" spans="1:34">
      <c r="A14" s="184"/>
      <c r="B14" s="185"/>
      <c r="C14" s="206"/>
      <c r="D14" s="206"/>
      <c r="E14" s="206"/>
      <c r="F14" s="206"/>
      <c r="G14" s="206"/>
      <c r="H14" s="212"/>
      <c r="I14" s="212"/>
      <c r="J14" s="212"/>
      <c r="K14" s="212"/>
      <c r="L14" s="212"/>
      <c r="M14" s="212"/>
      <c r="N14" s="212"/>
      <c r="O14" s="212"/>
      <c r="P14" s="212"/>
      <c r="Q14" s="212"/>
      <c r="R14" s="212"/>
      <c r="S14" s="212"/>
      <c r="T14" s="212"/>
      <c r="U14" s="212"/>
      <c r="V14" s="212"/>
      <c r="W14" s="212"/>
      <c r="X14" s="212"/>
      <c r="Y14" s="212"/>
      <c r="Z14" s="212"/>
      <c r="AA14" s="212"/>
      <c r="AB14" s="212"/>
      <c r="AC14" s="212"/>
      <c r="AD14" s="212"/>
      <c r="AE14" s="177"/>
      <c r="AF14" s="177"/>
      <c r="AG14" s="177"/>
      <c r="AH14" s="177"/>
    </row>
    <row r="15" spans="1:34">
      <c r="A15" s="184"/>
      <c r="B15" s="185"/>
      <c r="C15" s="206" t="s">
        <v>403</v>
      </c>
      <c r="D15" s="206"/>
      <c r="E15" s="206"/>
      <c r="F15" s="206"/>
      <c r="G15" s="206"/>
      <c r="H15" s="209">
        <f t="shared" ref="H15:X15" si="10">IF(OR(H8&gt;$F$5,H8=$F$5),-H30,0)</f>
        <v>-117.1358899542912</v>
      </c>
      <c r="I15" s="209">
        <f t="shared" si="10"/>
        <v>-33.602115113077531</v>
      </c>
      <c r="J15" s="209">
        <f t="shared" si="10"/>
        <v>-175.71316697235392</v>
      </c>
      <c r="K15" s="209">
        <f t="shared" si="10"/>
        <v>-201.91270256353636</v>
      </c>
      <c r="L15" s="209">
        <f t="shared" si="10"/>
        <v>-250.20588607611236</v>
      </c>
      <c r="M15" s="209">
        <f t="shared" si="10"/>
        <v>-305.77285861119179</v>
      </c>
      <c r="N15" s="209">
        <f t="shared" si="10"/>
        <v>-323.02139813206441</v>
      </c>
      <c r="O15" s="209">
        <f t="shared" si="10"/>
        <v>-323.64975372715338</v>
      </c>
      <c r="P15" s="209">
        <f t="shared" si="10"/>
        <v>-353.57114978225661</v>
      </c>
      <c r="Q15" s="209">
        <f t="shared" si="10"/>
        <v>-335.6428067938636</v>
      </c>
      <c r="R15" s="209">
        <f t="shared" si="10"/>
        <v>-369.89881176866891</v>
      </c>
      <c r="S15" s="209">
        <f t="shared" si="10"/>
        <v>-428.50375115922708</v>
      </c>
      <c r="T15" s="209">
        <f t="shared" si="10"/>
        <v>-442.60144787052656</v>
      </c>
      <c r="U15" s="209">
        <f t="shared" si="10"/>
        <v>-433.36321225358938</v>
      </c>
      <c r="V15" s="209">
        <f t="shared" si="10"/>
        <v>-466.36852905830148</v>
      </c>
      <c r="W15" s="209">
        <f t="shared" si="10"/>
        <v>-501.90619218285156</v>
      </c>
      <c r="X15" s="209">
        <f t="shared" si="10"/>
        <v>-519.02826821767712</v>
      </c>
      <c r="Y15" s="209">
        <f t="shared" ref="Y15:AD15" si="11">IF(OR(Y8&gt;$F$5,Y8=$F$5),-Y30,0)</f>
        <v>-536.78789994970771</v>
      </c>
      <c r="Z15" s="209">
        <f t="shared" si="11"/>
        <v>-555.21164765482922</v>
      </c>
      <c r="AA15" s="209">
        <f t="shared" si="11"/>
        <v>-574.32731443350235</v>
      </c>
      <c r="AB15" s="209">
        <f t="shared" si="11"/>
        <v>-594.16401025647724</v>
      </c>
      <c r="AC15" s="209">
        <f t="shared" si="11"/>
        <v>-614.75221953753964</v>
      </c>
      <c r="AD15" s="209">
        <f t="shared" si="11"/>
        <v>-636.12387243543594</v>
      </c>
      <c r="AE15" s="177"/>
      <c r="AF15" s="177"/>
      <c r="AG15" s="177"/>
      <c r="AH15" s="177"/>
    </row>
    <row r="16" spans="1:34">
      <c r="A16" s="184"/>
      <c r="B16" s="185"/>
      <c r="C16" s="210" t="s">
        <v>404</v>
      </c>
      <c r="D16" s="213"/>
      <c r="E16" s="213"/>
      <c r="F16" s="213"/>
      <c r="G16" s="213"/>
      <c r="H16" s="211">
        <f t="shared" ref="H16:Z16" si="12">H13+H15</f>
        <v>1.3277554425323785</v>
      </c>
      <c r="I16" s="211">
        <f t="shared" si="12"/>
        <v>71.540732187347061</v>
      </c>
      <c r="J16" s="211">
        <f t="shared" si="12"/>
        <v>-75.592716456612209</v>
      </c>
      <c r="K16" s="211">
        <f t="shared" si="12"/>
        <v>-89.949536903312094</v>
      </c>
      <c r="L16" s="211">
        <f t="shared" si="12"/>
        <v>-173.50274406992784</v>
      </c>
      <c r="M16" s="211">
        <f t="shared" si="12"/>
        <v>-240.94074888919528</v>
      </c>
      <c r="N16" s="211">
        <f t="shared" si="12"/>
        <v>-261.77037004538079</v>
      </c>
      <c r="O16" s="211">
        <f t="shared" si="12"/>
        <v>-116.73733741656957</v>
      </c>
      <c r="P16" s="211">
        <f t="shared" si="12"/>
        <v>-106.47853904722092</v>
      </c>
      <c r="Q16" s="211">
        <f t="shared" si="12"/>
        <v>-72.97250943328055</v>
      </c>
      <c r="R16" s="211">
        <f t="shared" si="12"/>
        <v>-199.01757535337515</v>
      </c>
      <c r="S16" s="211">
        <f t="shared" si="12"/>
        <v>-289.10400736286732</v>
      </c>
      <c r="T16" s="211">
        <f t="shared" si="12"/>
        <v>-266.77602080883827</v>
      </c>
      <c r="U16" s="211">
        <f t="shared" si="12"/>
        <v>-150.12600508855132</v>
      </c>
      <c r="V16" s="211">
        <f t="shared" si="12"/>
        <v>-219.61675335347451</v>
      </c>
      <c r="W16" s="211">
        <f t="shared" si="12"/>
        <v>-181.74831043697577</v>
      </c>
      <c r="X16" s="211">
        <f t="shared" si="12"/>
        <v>-30.592159919631854</v>
      </c>
      <c r="Y16" s="211">
        <f t="shared" si="12"/>
        <v>63.282898451359983</v>
      </c>
      <c r="Z16" s="211">
        <f t="shared" si="12"/>
        <v>134.4927126570816</v>
      </c>
      <c r="AA16" s="211">
        <f>AA13+AA15</f>
        <v>261.34145960173373</v>
      </c>
      <c r="AB16" s="211">
        <f>AB13+AB15</f>
        <v>311.96848469420604</v>
      </c>
      <c r="AC16" s="211">
        <f>AC13+AC15</f>
        <v>612.87700393305374</v>
      </c>
      <c r="AD16" s="211">
        <f>AD13+AD15</f>
        <v>724.13646636497492</v>
      </c>
      <c r="AE16" s="177"/>
      <c r="AF16" s="177"/>
      <c r="AG16" s="177"/>
      <c r="AH16" s="177"/>
    </row>
    <row r="17" spans="1:34">
      <c r="A17" s="184"/>
      <c r="B17" s="185"/>
      <c r="C17" s="206"/>
      <c r="D17" s="206"/>
      <c r="E17" s="206"/>
      <c r="F17" s="206"/>
      <c r="G17" s="206"/>
      <c r="H17" s="212"/>
      <c r="I17" s="207"/>
      <c r="J17" s="207"/>
      <c r="K17" s="207"/>
      <c r="L17" s="207"/>
      <c r="M17" s="207"/>
      <c r="N17" s="207"/>
      <c r="O17" s="207"/>
      <c r="P17" s="207"/>
      <c r="Q17" s="207"/>
      <c r="R17" s="207"/>
      <c r="S17" s="207"/>
      <c r="T17" s="207"/>
      <c r="U17" s="207"/>
      <c r="V17" s="207"/>
      <c r="W17" s="207"/>
      <c r="X17" s="207"/>
      <c r="Y17" s="207"/>
      <c r="Z17" s="207"/>
      <c r="AA17" s="207"/>
      <c r="AB17" s="207"/>
      <c r="AC17" s="207"/>
      <c r="AD17" s="207"/>
      <c r="AE17" s="177"/>
      <c r="AF17" s="177"/>
      <c r="AG17" s="177"/>
      <c r="AH17" s="177"/>
    </row>
    <row r="18" spans="1:34">
      <c r="A18" s="184"/>
      <c r="B18" s="185"/>
      <c r="C18" s="206"/>
      <c r="D18" s="206"/>
      <c r="E18" s="206"/>
      <c r="F18" s="206"/>
      <c r="G18" s="206"/>
      <c r="H18" s="214"/>
      <c r="I18" s="215"/>
      <c r="J18" s="215"/>
      <c r="K18" s="215"/>
      <c r="L18" s="215"/>
      <c r="M18" s="215"/>
      <c r="N18" s="215"/>
      <c r="O18" s="215"/>
      <c r="P18" s="215"/>
      <c r="Q18" s="215"/>
      <c r="R18" s="215"/>
      <c r="S18" s="215"/>
      <c r="T18" s="215"/>
      <c r="U18" s="215"/>
      <c r="V18" s="215"/>
      <c r="W18" s="215"/>
      <c r="X18" s="215"/>
      <c r="Y18" s="215"/>
      <c r="Z18" s="215"/>
      <c r="AA18" s="215"/>
      <c r="AB18" s="215"/>
      <c r="AC18" s="215"/>
      <c r="AD18" s="215"/>
      <c r="AE18" s="177"/>
      <c r="AF18" s="177"/>
      <c r="AG18" s="177"/>
      <c r="AH18" s="177"/>
    </row>
    <row r="19" spans="1:34" ht="14.25" customHeight="1">
      <c r="A19" s="216"/>
      <c r="B19" s="188"/>
      <c r="C19" s="201" t="s">
        <v>535</v>
      </c>
      <c r="D19" s="217"/>
      <c r="E19" s="217"/>
      <c r="F19" s="217"/>
      <c r="G19" s="217"/>
      <c r="H19" s="218"/>
      <c r="I19" s="218"/>
      <c r="J19" s="218"/>
      <c r="K19" s="218"/>
      <c r="L19" s="218"/>
      <c r="M19" s="218"/>
      <c r="N19" s="218"/>
      <c r="O19" s="218"/>
      <c r="P19" s="218"/>
      <c r="Q19" s="219"/>
      <c r="R19" s="219"/>
      <c r="S19" s="219"/>
      <c r="T19" s="219"/>
      <c r="U19" s="219"/>
      <c r="V19" s="219"/>
      <c r="W19" s="219"/>
      <c r="X19" s="219"/>
      <c r="Y19" s="219"/>
      <c r="Z19" s="219"/>
      <c r="AA19" s="219"/>
      <c r="AB19" s="219"/>
      <c r="AC19" s="219"/>
      <c r="AD19" s="219"/>
      <c r="AE19" s="188"/>
      <c r="AF19" s="188"/>
      <c r="AG19" s="188"/>
      <c r="AH19" s="188"/>
    </row>
    <row r="20" spans="1:34">
      <c r="A20" s="216"/>
      <c r="B20" s="190"/>
      <c r="C20" s="204"/>
      <c r="D20" s="217"/>
      <c r="E20" s="217"/>
      <c r="F20" s="217"/>
      <c r="G20" s="217"/>
      <c r="H20" s="218"/>
      <c r="I20" s="218"/>
      <c r="J20" s="218"/>
      <c r="K20" s="218"/>
      <c r="L20" s="218"/>
      <c r="M20" s="218"/>
      <c r="N20" s="218"/>
      <c r="O20" s="218"/>
      <c r="P20" s="218"/>
      <c r="Q20" s="219"/>
      <c r="R20" s="219"/>
      <c r="S20" s="219"/>
      <c r="T20" s="219"/>
      <c r="U20" s="219"/>
      <c r="V20" s="219"/>
      <c r="W20" s="219"/>
      <c r="X20" s="219"/>
      <c r="Y20" s="219"/>
      <c r="Z20" s="219"/>
      <c r="AA20" s="219"/>
      <c r="AB20" s="219"/>
      <c r="AC20" s="219"/>
      <c r="AD20" s="219"/>
      <c r="AE20" s="188"/>
      <c r="AF20" s="188"/>
      <c r="AG20" s="188"/>
      <c r="AH20" s="188"/>
    </row>
    <row r="21" spans="1:34">
      <c r="A21" s="184"/>
      <c r="B21" s="185"/>
      <c r="C21" s="220" t="s">
        <v>405</v>
      </c>
      <c r="D21" s="220"/>
      <c r="E21" s="220"/>
      <c r="F21" s="220"/>
      <c r="G21" s="220"/>
      <c r="H21" s="221"/>
      <c r="I21" s="221">
        <f t="shared" ref="I21:AB21" si="13">H24</f>
        <v>1634.8265707953913</v>
      </c>
      <c r="J21" s="221">
        <f t="shared" si="13"/>
        <v>1909.4046699804412</v>
      </c>
      <c r="K21" s="221">
        <f t="shared" si="13"/>
        <v>2219.0398138452338</v>
      </c>
      <c r="L21" s="221">
        <f t="shared" si="13"/>
        <v>2513.8487390528112</v>
      </c>
      <c r="M21" s="221">
        <f t="shared" si="13"/>
        <v>3120.4255703717272</v>
      </c>
      <c r="N21" s="221">
        <f t="shared" si="13"/>
        <v>3745.6680029356039</v>
      </c>
      <c r="O21" s="221">
        <f t="shared" si="13"/>
        <v>3727.0218310923051</v>
      </c>
      <c r="P21" s="221">
        <f t="shared" si="13"/>
        <v>3558.6854425223073</v>
      </c>
      <c r="Q21" s="221">
        <f t="shared" si="13"/>
        <v>3921.8182337819117</v>
      </c>
      <c r="R21" s="221">
        <f t="shared" si="13"/>
        <v>3492.111664887022</v>
      </c>
      <c r="S21" s="221">
        <f t="shared" si="13"/>
        <v>3872.8835107552086</v>
      </c>
      <c r="T21" s="221">
        <f t="shared" si="13"/>
        <v>4549.733432625535</v>
      </c>
      <c r="U21" s="221">
        <f t="shared" si="13"/>
        <v>4477.4167203829866</v>
      </c>
      <c r="V21" s="221">
        <f t="shared" si="13"/>
        <v>4078.4818860618784</v>
      </c>
      <c r="W21" s="221">
        <f t="shared" si="13"/>
        <v>4349.6119542693687</v>
      </c>
      <c r="X21" s="221">
        <f t="shared" si="13"/>
        <v>4696.0696587556868</v>
      </c>
      <c r="Y21" s="221">
        <f t="shared" si="13"/>
        <v>4927.060314516656</v>
      </c>
      <c r="Z21" s="221">
        <f t="shared" si="13"/>
        <v>5261.962296804536</v>
      </c>
      <c r="AA21" s="221">
        <f t="shared" si="13"/>
        <v>5678.5427765198638</v>
      </c>
      <c r="AB21" s="221">
        <f t="shared" si="13"/>
        <v>6232.8939535406189</v>
      </c>
      <c r="AC21" s="221">
        <f>AB24</f>
        <v>6849.2693235663874</v>
      </c>
      <c r="AD21" s="221">
        <f>AC24</f>
        <v>7778.448708364318</v>
      </c>
      <c r="AE21" s="177"/>
      <c r="AF21" s="177"/>
      <c r="AG21" s="177"/>
      <c r="AH21" s="177"/>
    </row>
    <row r="22" spans="1:34">
      <c r="A22" s="184"/>
      <c r="B22" s="222"/>
      <c r="C22" s="223" t="s">
        <v>406</v>
      </c>
      <c r="D22" s="223"/>
      <c r="E22" s="223"/>
      <c r="F22" s="223"/>
      <c r="G22" s="223"/>
      <c r="H22" s="221">
        <f>H143</f>
        <v>2284.9063420054831</v>
      </c>
      <c r="I22" s="221">
        <f t="shared" ref="I22:X22" si="14">IF((I8&gt;$F$5),I143,0)</f>
        <v>560.0352518846255</v>
      </c>
      <c r="J22" s="221">
        <f t="shared" si="14"/>
        <v>656.11469334905087</v>
      </c>
      <c r="K22" s="221">
        <f t="shared" si="14"/>
        <v>707.5457595473531</v>
      </c>
      <c r="L22" s="221">
        <f t="shared" si="14"/>
        <v>1127.6736893127311</v>
      </c>
      <c r="M22" s="221">
        <f t="shared" si="14"/>
        <v>1273.7103228418798</v>
      </c>
      <c r="N22" s="221">
        <f t="shared" si="14"/>
        <v>695.0028000700172</v>
      </c>
      <c r="O22" s="221">
        <f t="shared" si="14"/>
        <v>462.35119511941798</v>
      </c>
      <c r="P22" s="221">
        <f t="shared" si="14"/>
        <v>1012.6401805245683</v>
      </c>
      <c r="Q22" s="221">
        <f t="shared" si="14"/>
        <v>244.22313374452699</v>
      </c>
      <c r="R22" s="221">
        <f t="shared" si="14"/>
        <v>1171.8906094528927</v>
      </c>
      <c r="S22" s="221">
        <f t="shared" si="14"/>
        <v>1568.8501780739671</v>
      </c>
      <c r="T22" s="221">
        <f t="shared" si="14"/>
        <v>837.85786069576386</v>
      </c>
      <c r="U22" s="221">
        <f t="shared" si="14"/>
        <v>489.42795851385375</v>
      </c>
      <c r="V22" s="221">
        <f t="shared" si="14"/>
        <v>1288.3254011582801</v>
      </c>
      <c r="W22" s="221">
        <f t="shared" si="14"/>
        <v>1389.8729650064834</v>
      </c>
      <c r="X22" s="221">
        <f t="shared" si="14"/>
        <v>1147.034883996947</v>
      </c>
      <c r="Y22" s="221">
        <f t="shared" ref="Y22:AD22" si="15">IF((Y8&gt;$F$5),Y143,0)</f>
        <v>1181.4459305168557</v>
      </c>
      <c r="Z22" s="221">
        <f t="shared" si="15"/>
        <v>1216.8893084323615</v>
      </c>
      <c r="AA22" s="221">
        <f t="shared" si="15"/>
        <v>1253.3959876853323</v>
      </c>
      <c r="AB22" s="221">
        <f t="shared" si="15"/>
        <v>1290.9978673158921</v>
      </c>
      <c r="AC22" s="221">
        <f t="shared" si="15"/>
        <v>1329.7278033353689</v>
      </c>
      <c r="AD22" s="221">
        <f t="shared" si="15"/>
        <v>1369.6196374354299</v>
      </c>
      <c r="AE22" s="177"/>
      <c r="AF22" s="177"/>
      <c r="AG22" s="177"/>
      <c r="AH22" s="177"/>
    </row>
    <row r="23" spans="1:34">
      <c r="A23" s="184"/>
      <c r="B23" s="185"/>
      <c r="C23" s="223" t="s">
        <v>407</v>
      </c>
      <c r="D23" s="180"/>
      <c r="E23" s="180"/>
      <c r="F23" s="180"/>
      <c r="G23" s="180"/>
      <c r="H23" s="224">
        <f>-H171</f>
        <v>-234.13635460317644</v>
      </c>
      <c r="I23" s="224">
        <f t="shared" ref="I23:X23" si="16">IF(I8&gt;$F$5,-I171,0)</f>
        <v>-285.45715269957543</v>
      </c>
      <c r="J23" s="224">
        <f t="shared" si="16"/>
        <v>-346.47954948425831</v>
      </c>
      <c r="K23" s="224">
        <f t="shared" si="16"/>
        <v>-412.73683433977578</v>
      </c>
      <c r="L23" s="224">
        <f t="shared" si="16"/>
        <v>-521.09685799381543</v>
      </c>
      <c r="M23" s="224">
        <f t="shared" si="16"/>
        <v>-648.46789027800344</v>
      </c>
      <c r="N23" s="224">
        <f t="shared" si="16"/>
        <v>-713.64897191331636</v>
      </c>
      <c r="O23" s="224">
        <f t="shared" si="16"/>
        <v>-630.68758368941621</v>
      </c>
      <c r="P23" s="224">
        <f t="shared" si="16"/>
        <v>-649.50738926496433</v>
      </c>
      <c r="Q23" s="224">
        <f t="shared" si="16"/>
        <v>-673.92970263941697</v>
      </c>
      <c r="R23" s="224">
        <f t="shared" si="16"/>
        <v>-791.11876358470624</v>
      </c>
      <c r="S23" s="224">
        <f t="shared" si="16"/>
        <v>-892.00025620364033</v>
      </c>
      <c r="T23" s="224">
        <f t="shared" si="16"/>
        <v>-910.17457293831171</v>
      </c>
      <c r="U23" s="224">
        <f t="shared" si="16"/>
        <v>-888.36279283496185</v>
      </c>
      <c r="V23" s="224">
        <f t="shared" si="16"/>
        <v>-1017.1953329507899</v>
      </c>
      <c r="W23" s="224">
        <f t="shared" si="16"/>
        <v>-1043.4152605201652</v>
      </c>
      <c r="X23" s="224">
        <f t="shared" si="16"/>
        <v>-916.04422823597713</v>
      </c>
      <c r="Y23" s="224">
        <f t="shared" ref="Y23:AD23" si="17">IF(Y8&gt;$F$5,-Y171,0)</f>
        <v>-846.54394822897541</v>
      </c>
      <c r="Z23" s="224">
        <f t="shared" si="17"/>
        <v>-800.30882871703363</v>
      </c>
      <c r="AA23" s="224">
        <f t="shared" si="17"/>
        <v>-699.04481066457674</v>
      </c>
      <c r="AB23" s="224">
        <f t="shared" si="17"/>
        <v>-674.62249729012399</v>
      </c>
      <c r="AC23" s="224">
        <f t="shared" si="17"/>
        <v>-400.54841853743812</v>
      </c>
      <c r="AD23" s="224">
        <f t="shared" si="17"/>
        <v>-316.76263246786175</v>
      </c>
      <c r="AE23" s="177"/>
      <c r="AF23" s="177"/>
      <c r="AG23" s="177"/>
      <c r="AH23" s="177"/>
    </row>
    <row r="24" spans="1:34">
      <c r="A24" s="184"/>
      <c r="B24" s="185"/>
      <c r="C24" s="225" t="s">
        <v>408</v>
      </c>
      <c r="D24" s="217"/>
      <c r="E24" s="217"/>
      <c r="F24" s="217"/>
      <c r="G24" s="217"/>
      <c r="H24" s="226">
        <f t="shared" ref="H24:Z24" si="18">IF(H8=$F$5,H33*H35,IF(H8&gt;$F$5,SUM(H21:H23),0))</f>
        <v>1634.8265707953913</v>
      </c>
      <c r="I24" s="226">
        <f t="shared" si="18"/>
        <v>1909.4046699804412</v>
      </c>
      <c r="J24" s="226">
        <f t="shared" si="18"/>
        <v>2219.0398138452338</v>
      </c>
      <c r="K24" s="226">
        <f t="shared" si="18"/>
        <v>2513.8487390528112</v>
      </c>
      <c r="L24" s="226">
        <f t="shared" si="18"/>
        <v>3120.4255703717272</v>
      </c>
      <c r="M24" s="226">
        <f t="shared" si="18"/>
        <v>3745.6680029356039</v>
      </c>
      <c r="N24" s="226">
        <f t="shared" si="18"/>
        <v>3727.0218310923051</v>
      </c>
      <c r="O24" s="226">
        <f t="shared" si="18"/>
        <v>3558.6854425223073</v>
      </c>
      <c r="P24" s="226">
        <f t="shared" si="18"/>
        <v>3921.8182337819117</v>
      </c>
      <c r="Q24" s="226">
        <f t="shared" si="18"/>
        <v>3492.111664887022</v>
      </c>
      <c r="R24" s="226">
        <f t="shared" si="18"/>
        <v>3872.8835107552086</v>
      </c>
      <c r="S24" s="226">
        <f t="shared" si="18"/>
        <v>4549.733432625535</v>
      </c>
      <c r="T24" s="226">
        <f t="shared" si="18"/>
        <v>4477.4167203829866</v>
      </c>
      <c r="U24" s="226">
        <f t="shared" si="18"/>
        <v>4078.4818860618784</v>
      </c>
      <c r="V24" s="226">
        <f t="shared" si="18"/>
        <v>4349.6119542693687</v>
      </c>
      <c r="W24" s="226">
        <f t="shared" si="18"/>
        <v>4696.0696587556868</v>
      </c>
      <c r="X24" s="226">
        <f t="shared" si="18"/>
        <v>4927.060314516656</v>
      </c>
      <c r="Y24" s="226">
        <f t="shared" si="18"/>
        <v>5261.962296804536</v>
      </c>
      <c r="Z24" s="226">
        <f t="shared" si="18"/>
        <v>5678.5427765198638</v>
      </c>
      <c r="AA24" s="226">
        <f>IF(AA8=$F$5,AA33*AA35,IF(AA8&gt;$F$5,SUM(AA21:AA23),0))</f>
        <v>6232.8939535406189</v>
      </c>
      <c r="AB24" s="226">
        <f>IF(AB8=$F$5,AB33*AB35,IF(AB8&gt;$F$5,SUM(AB21:AB23),0))</f>
        <v>6849.2693235663874</v>
      </c>
      <c r="AC24" s="226">
        <f>IF(AC8=$F$5,AC33*AC35,IF(AC8&gt;$F$5,SUM(AC21:AC23),0))</f>
        <v>7778.448708364318</v>
      </c>
      <c r="AD24" s="226">
        <f>IF(AD8=$F$5,AD33*AD35,IF(AD8&gt;$F$5,SUM(AD21:AD23),0))</f>
        <v>8831.3057133318853</v>
      </c>
      <c r="AE24" s="177"/>
      <c r="AF24" s="177"/>
      <c r="AG24" s="177"/>
      <c r="AH24" s="177"/>
    </row>
    <row r="25" spans="1:34">
      <c r="A25" s="184"/>
      <c r="B25" s="185"/>
      <c r="C25" s="180"/>
      <c r="D25" s="180"/>
      <c r="E25" s="180"/>
      <c r="F25" s="180"/>
      <c r="G25" s="180"/>
      <c r="H25" s="194"/>
      <c r="I25" s="221"/>
      <c r="J25" s="221"/>
      <c r="K25" s="221"/>
      <c r="L25" s="221"/>
      <c r="M25" s="221"/>
      <c r="N25" s="221"/>
      <c r="O25" s="221"/>
      <c r="P25" s="221"/>
      <c r="Q25" s="221"/>
      <c r="R25" s="221"/>
      <c r="S25" s="221"/>
      <c r="T25" s="221"/>
      <c r="U25" s="221"/>
      <c r="V25" s="221"/>
      <c r="W25" s="221"/>
      <c r="X25" s="221"/>
      <c r="Y25" s="221"/>
      <c r="Z25" s="221"/>
      <c r="AA25" s="221"/>
      <c r="AB25" s="221"/>
      <c r="AC25" s="221"/>
      <c r="AD25" s="221"/>
      <c r="AE25" s="177"/>
      <c r="AF25" s="177"/>
      <c r="AG25" s="177"/>
      <c r="AH25" s="177"/>
    </row>
    <row r="26" spans="1:34">
      <c r="A26" s="184"/>
      <c r="B26" s="185"/>
      <c r="C26" s="180"/>
      <c r="D26" s="180"/>
      <c r="E26" s="180"/>
      <c r="F26" s="180"/>
      <c r="G26" s="180"/>
      <c r="H26" s="221"/>
      <c r="I26" s="221"/>
      <c r="J26" s="221"/>
      <c r="K26" s="221"/>
      <c r="L26" s="221"/>
      <c r="M26" s="221"/>
      <c r="N26" s="221"/>
      <c r="O26" s="221"/>
      <c r="P26" s="221"/>
      <c r="Q26" s="221"/>
      <c r="R26" s="221"/>
      <c r="S26" s="221"/>
      <c r="T26" s="221"/>
      <c r="U26" s="221"/>
      <c r="V26" s="221"/>
      <c r="W26" s="221"/>
      <c r="X26" s="221"/>
      <c r="Y26" s="221"/>
      <c r="Z26" s="221"/>
      <c r="AA26" s="221"/>
      <c r="AB26" s="221"/>
      <c r="AC26" s="221"/>
      <c r="AD26" s="221"/>
      <c r="AE26" s="177"/>
      <c r="AF26" s="177"/>
      <c r="AG26" s="177"/>
      <c r="AH26" s="177"/>
    </row>
    <row r="27" spans="1:34" ht="14.25" customHeight="1">
      <c r="A27" s="216"/>
      <c r="B27" s="190"/>
      <c r="C27" s="201" t="s">
        <v>409</v>
      </c>
      <c r="D27" s="217"/>
      <c r="E27" s="217"/>
      <c r="F27" s="217"/>
      <c r="G27" s="217"/>
      <c r="H27" s="227"/>
      <c r="I27" s="227"/>
      <c r="J27" s="227"/>
      <c r="K27" s="227"/>
      <c r="L27" s="227"/>
      <c r="M27" s="227"/>
      <c r="N27" s="227"/>
      <c r="O27" s="227"/>
      <c r="P27" s="227"/>
      <c r="Q27" s="228"/>
      <c r="R27" s="228"/>
      <c r="S27" s="228"/>
      <c r="T27" s="228"/>
      <c r="U27" s="228"/>
      <c r="V27" s="228"/>
      <c r="W27" s="228"/>
      <c r="X27" s="228"/>
      <c r="Y27" s="228"/>
      <c r="Z27" s="228"/>
      <c r="AA27" s="228"/>
      <c r="AB27" s="228"/>
      <c r="AC27" s="228"/>
      <c r="AD27" s="228"/>
      <c r="AE27" s="188"/>
      <c r="AF27" s="188"/>
      <c r="AG27" s="188"/>
      <c r="AH27" s="188"/>
    </row>
    <row r="28" spans="1:34">
      <c r="A28" s="216"/>
      <c r="B28" s="190"/>
      <c r="C28" s="204"/>
      <c r="D28" s="217"/>
      <c r="E28" s="217"/>
      <c r="F28" s="217"/>
      <c r="G28" s="217"/>
      <c r="H28" s="227"/>
      <c r="I28" s="227"/>
      <c r="J28" s="227"/>
      <c r="K28" s="227"/>
      <c r="L28" s="227"/>
      <c r="M28" s="227"/>
      <c r="N28" s="227"/>
      <c r="O28" s="227"/>
      <c r="P28" s="227"/>
      <c r="Q28" s="228"/>
      <c r="R28" s="228"/>
      <c r="S28" s="228"/>
      <c r="T28" s="228"/>
      <c r="U28" s="228"/>
      <c r="V28" s="228"/>
      <c r="W28" s="228"/>
      <c r="X28" s="228"/>
      <c r="Y28" s="228"/>
      <c r="Z28" s="228"/>
      <c r="AA28" s="228"/>
      <c r="AB28" s="228"/>
      <c r="AC28" s="228"/>
      <c r="AD28" s="228"/>
      <c r="AE28" s="188"/>
      <c r="AF28" s="188"/>
      <c r="AG28" s="188"/>
      <c r="AH28" s="188"/>
    </row>
    <row r="29" spans="1:34">
      <c r="A29" s="184"/>
      <c r="B29" s="185"/>
      <c r="C29" s="220" t="s">
        <v>410</v>
      </c>
      <c r="D29" s="229"/>
      <c r="E29" s="229"/>
      <c r="F29" s="229"/>
      <c r="G29" s="229"/>
      <c r="H29" s="221">
        <f>H33-H30-H31-H32</f>
        <v>2304.8648325715203</v>
      </c>
      <c r="I29" s="221">
        <f t="shared" ref="I29:AB29" si="19">H33</f>
        <v>2069.4007225258115</v>
      </c>
      <c r="J29" s="221">
        <f t="shared" si="19"/>
        <v>2272.4380895235145</v>
      </c>
      <c r="K29" s="221">
        <f t="shared" si="19"/>
        <v>2657.6659498449194</v>
      </c>
      <c r="L29" s="221">
        <f t="shared" si="19"/>
        <v>3042.4244119558084</v>
      </c>
      <c r="M29" s="221">
        <f t="shared" si="19"/>
        <v>3822.5039873446513</v>
      </c>
      <c r="N29" s="221">
        <f t="shared" si="19"/>
        <v>4688.6871687977227</v>
      </c>
      <c r="O29" s="221">
        <f t="shared" si="19"/>
        <v>4931.8113669998038</v>
      </c>
      <c r="P29" s="221">
        <f t="shared" si="19"/>
        <v>4880.2123158463746</v>
      </c>
      <c r="Q29" s="221">
        <f t="shared" si="19"/>
        <v>5349.8236461531997</v>
      </c>
      <c r="R29" s="221">
        <f t="shared" si="19"/>
        <v>4993.0895866915898</v>
      </c>
      <c r="S29" s="221">
        <f t="shared" si="19"/>
        <v>5572.8790079131513</v>
      </c>
      <c r="T29" s="221">
        <f t="shared" si="19"/>
        <v>6538.8329371463451</v>
      </c>
      <c r="U29" s="221">
        <f t="shared" si="19"/>
        <v>6733.2922457126351</v>
      </c>
      <c r="V29" s="221">
        <f t="shared" si="19"/>
        <v>6484.4834164800777</v>
      </c>
      <c r="W29" s="221">
        <f t="shared" si="19"/>
        <v>6975.2302380410429</v>
      </c>
      <c r="X29" s="221">
        <f t="shared" si="19"/>
        <v>7503.4362529643367</v>
      </c>
      <c r="Y29" s="221">
        <f t="shared" si="19"/>
        <v>7765.0190686449387</v>
      </c>
      <c r="Z29" s="221">
        <f t="shared" si="19"/>
        <v>8036.6381524814597</v>
      </c>
      <c r="AA29" s="221">
        <f t="shared" si="19"/>
        <v>8318.7259195397055</v>
      </c>
      <c r="AB29" s="221">
        <f t="shared" si="19"/>
        <v>8611.7356369587269</v>
      </c>
      <c r="AC29" s="221">
        <f>AB33</f>
        <v>8916.1425222902908</v>
      </c>
      <c r="AD29" s="221">
        <f>AC33</f>
        <v>9232.4449031551685</v>
      </c>
      <c r="AE29" s="177"/>
      <c r="AF29" s="177"/>
      <c r="AG29" s="177"/>
      <c r="AH29" s="177"/>
    </row>
    <row r="30" spans="1:34">
      <c r="A30" s="184"/>
      <c r="B30" s="185"/>
      <c r="C30" s="223" t="s">
        <v>202</v>
      </c>
      <c r="D30" s="230"/>
      <c r="E30" s="230"/>
      <c r="F30" s="230"/>
      <c r="G30" s="230"/>
      <c r="H30" s="221">
        <f>H33/(1+H44)*H44</f>
        <v>117.1358899542912</v>
      </c>
      <c r="I30" s="221">
        <f>IF(I8=$F$5,0,IF(I8&gt;$F$5,I29*G44+I45*I32,0))</f>
        <v>33.602115113077531</v>
      </c>
      <c r="J30" s="221">
        <f>IF(J8=$F$5,0,IF(J8&gt;$F$5,J29*H44+J45*J32,0))</f>
        <v>175.71316697235392</v>
      </c>
      <c r="K30" s="221">
        <f>IF(K8=$F$5,0,IF(K8&gt;$F$5,K29*I44+K45*K32,0))</f>
        <v>201.91270256353636</v>
      </c>
      <c r="L30" s="221">
        <f>IF(L8=$F$5,0,IF(L8&gt;$F$5,L29*J44+L45*L32,0))</f>
        <v>250.20588607611236</v>
      </c>
      <c r="M30" s="221">
        <f>IF(M8=$F$5,0,IF(M8&gt;$F$5,M29*K44+M45*M32,0))</f>
        <v>305.77285861119179</v>
      </c>
      <c r="N30" s="221">
        <f t="shared" ref="N30:AB30" si="20">IF(N8=$F$5,0,IF(N8&gt;$F$5,N29*M44+N45*N32,0))</f>
        <v>323.02139813206441</v>
      </c>
      <c r="O30" s="221">
        <f t="shared" si="20"/>
        <v>323.64975372715338</v>
      </c>
      <c r="P30" s="221">
        <f t="shared" si="20"/>
        <v>353.57114978225661</v>
      </c>
      <c r="Q30" s="221">
        <f t="shared" si="20"/>
        <v>335.6428067938636</v>
      </c>
      <c r="R30" s="221">
        <f t="shared" si="20"/>
        <v>369.89881176866891</v>
      </c>
      <c r="S30" s="221">
        <f t="shared" si="20"/>
        <v>428.50375115922708</v>
      </c>
      <c r="T30" s="221">
        <f t="shared" si="20"/>
        <v>442.60144787052656</v>
      </c>
      <c r="U30" s="221">
        <f t="shared" si="20"/>
        <v>433.36321225358938</v>
      </c>
      <c r="V30" s="221">
        <f t="shared" si="20"/>
        <v>466.36852905830148</v>
      </c>
      <c r="W30" s="221">
        <f t="shared" si="20"/>
        <v>501.90619218285156</v>
      </c>
      <c r="X30" s="221">
        <f t="shared" si="20"/>
        <v>519.02826821767712</v>
      </c>
      <c r="Y30" s="221">
        <f t="shared" si="20"/>
        <v>536.78789994970771</v>
      </c>
      <c r="Z30" s="221">
        <f t="shared" si="20"/>
        <v>555.21164765482922</v>
      </c>
      <c r="AA30" s="221">
        <f t="shared" si="20"/>
        <v>574.32731443350235</v>
      </c>
      <c r="AB30" s="221">
        <f t="shared" si="20"/>
        <v>594.16401025647724</v>
      </c>
      <c r="AC30" s="221">
        <f>IF(AC8=$F$5,0,IF(AC8&gt;$F$5,AC29*AB44+AC45*AC32,0))</f>
        <v>614.75221953753964</v>
      </c>
      <c r="AD30" s="221">
        <f>IF(AD8=$F$5,0,IF(AD8&gt;$F$5,AD29*AC44+AD45*AD32,0))</f>
        <v>636.12387243543594</v>
      </c>
      <c r="AE30" s="177"/>
      <c r="AF30" s="177"/>
      <c r="AG30" s="177"/>
      <c r="AH30" s="177"/>
    </row>
    <row r="31" spans="1:34">
      <c r="A31" s="184"/>
      <c r="B31" s="185"/>
      <c r="C31" s="223" t="s">
        <v>203</v>
      </c>
      <c r="D31" s="230"/>
      <c r="E31" s="230"/>
      <c r="F31" s="230"/>
      <c r="G31" s="230"/>
      <c r="H31" s="221">
        <f t="shared" ref="H31:X31" si="21">-H11</f>
        <v>-352.6</v>
      </c>
      <c r="I31" s="221">
        <f t="shared" si="21"/>
        <v>-390.6</v>
      </c>
      <c r="J31" s="221">
        <f t="shared" si="21"/>
        <v>-446.6</v>
      </c>
      <c r="K31" s="221">
        <f t="shared" si="21"/>
        <v>-524.70000000000005</v>
      </c>
      <c r="L31" s="221">
        <f t="shared" si="21"/>
        <v>-597.79999999999995</v>
      </c>
      <c r="M31" s="221">
        <f t="shared" si="21"/>
        <v>-713.3</v>
      </c>
      <c r="N31" s="221">
        <f t="shared" si="21"/>
        <v>-774.9</v>
      </c>
      <c r="O31" s="221">
        <f t="shared" si="21"/>
        <v>-837.6</v>
      </c>
      <c r="P31" s="221">
        <f t="shared" si="21"/>
        <v>-896.6</v>
      </c>
      <c r="Q31" s="221">
        <f t="shared" si="21"/>
        <v>-936.6</v>
      </c>
      <c r="R31" s="221">
        <f t="shared" si="21"/>
        <v>-962</v>
      </c>
      <c r="S31" s="221">
        <f t="shared" si="21"/>
        <v>-1031.4000000000001</v>
      </c>
      <c r="T31" s="221">
        <f t="shared" si="21"/>
        <v>-1086</v>
      </c>
      <c r="U31" s="221">
        <f t="shared" si="21"/>
        <v>-1171.5999999999999</v>
      </c>
      <c r="V31" s="221">
        <f t="shared" si="21"/>
        <v>-1263.9471086556168</v>
      </c>
      <c r="W31" s="221">
        <f t="shared" si="21"/>
        <v>-1363.573142266041</v>
      </c>
      <c r="X31" s="221">
        <f t="shared" si="21"/>
        <v>-1404.4803365340224</v>
      </c>
      <c r="Y31" s="221">
        <f t="shared" ref="Y31:AD31" si="22">-Y11</f>
        <v>-1446.6147466300431</v>
      </c>
      <c r="Z31" s="221">
        <f t="shared" si="22"/>
        <v>-1490.0131890289445</v>
      </c>
      <c r="AA31" s="221">
        <f t="shared" si="22"/>
        <v>-1534.7135846998128</v>
      </c>
      <c r="AB31" s="221">
        <f t="shared" si="22"/>
        <v>-1580.7549922408073</v>
      </c>
      <c r="AC31" s="221">
        <f t="shared" si="22"/>
        <v>-1628.1776420080316</v>
      </c>
      <c r="AD31" s="221">
        <f t="shared" si="22"/>
        <v>-1677.0229712682726</v>
      </c>
      <c r="AE31" s="177"/>
      <c r="AF31" s="177"/>
      <c r="AG31" s="177"/>
      <c r="AH31" s="177"/>
    </row>
    <row r="32" spans="1:34">
      <c r="A32" s="184"/>
      <c r="B32" s="185"/>
      <c r="C32" s="223" t="s">
        <v>204</v>
      </c>
      <c r="D32" s="230"/>
      <c r="E32" s="230"/>
      <c r="F32" s="230"/>
      <c r="G32" s="230"/>
      <c r="H32" s="224">
        <f t="shared" ref="H32:X32" si="23">IF(H8&gt;$F$5,H22,0)</f>
        <v>0</v>
      </c>
      <c r="I32" s="224">
        <f t="shared" si="23"/>
        <v>560.0352518846255</v>
      </c>
      <c r="J32" s="224">
        <f t="shared" si="23"/>
        <v>656.11469334905087</v>
      </c>
      <c r="K32" s="224">
        <f t="shared" si="23"/>
        <v>707.5457595473531</v>
      </c>
      <c r="L32" s="224">
        <f t="shared" si="23"/>
        <v>1127.6736893127311</v>
      </c>
      <c r="M32" s="224">
        <f t="shared" si="23"/>
        <v>1273.7103228418798</v>
      </c>
      <c r="N32" s="224">
        <f t="shared" si="23"/>
        <v>695.0028000700172</v>
      </c>
      <c r="O32" s="224">
        <f t="shared" si="23"/>
        <v>462.35119511941798</v>
      </c>
      <c r="P32" s="224">
        <f t="shared" si="23"/>
        <v>1012.6401805245683</v>
      </c>
      <c r="Q32" s="224">
        <f t="shared" si="23"/>
        <v>244.22313374452699</v>
      </c>
      <c r="R32" s="224">
        <f t="shared" si="23"/>
        <v>1171.8906094528927</v>
      </c>
      <c r="S32" s="224">
        <f t="shared" si="23"/>
        <v>1568.8501780739671</v>
      </c>
      <c r="T32" s="224">
        <f t="shared" si="23"/>
        <v>837.85786069576386</v>
      </c>
      <c r="U32" s="224">
        <f t="shared" si="23"/>
        <v>489.42795851385375</v>
      </c>
      <c r="V32" s="224">
        <f t="shared" si="23"/>
        <v>1288.3254011582801</v>
      </c>
      <c r="W32" s="224">
        <f t="shared" si="23"/>
        <v>1389.8729650064834</v>
      </c>
      <c r="X32" s="224">
        <f t="shared" si="23"/>
        <v>1147.034883996947</v>
      </c>
      <c r="Y32" s="224">
        <f t="shared" ref="Y32:AD32" si="24">IF(Y8&gt;$F$5,Y22,0)</f>
        <v>1181.4459305168557</v>
      </c>
      <c r="Z32" s="224">
        <f t="shared" si="24"/>
        <v>1216.8893084323615</v>
      </c>
      <c r="AA32" s="224">
        <f t="shared" si="24"/>
        <v>1253.3959876853323</v>
      </c>
      <c r="AB32" s="224">
        <f t="shared" si="24"/>
        <v>1290.9978673158921</v>
      </c>
      <c r="AC32" s="224">
        <f t="shared" si="24"/>
        <v>1329.7278033353689</v>
      </c>
      <c r="AD32" s="224">
        <f t="shared" si="24"/>
        <v>1369.6196374354299</v>
      </c>
      <c r="AE32" s="177"/>
      <c r="AF32" s="177"/>
      <c r="AG32" s="177"/>
      <c r="AH32" s="177"/>
    </row>
    <row r="33" spans="1:34">
      <c r="A33" s="231"/>
      <c r="B33" s="232"/>
      <c r="C33" s="225" t="s">
        <v>205</v>
      </c>
      <c r="D33" s="233"/>
      <c r="E33" s="233"/>
      <c r="F33" s="233"/>
      <c r="G33" s="233"/>
      <c r="H33" s="226">
        <f>NPV(H44,H77:H95)</f>
        <v>2069.4007225258115</v>
      </c>
      <c r="I33" s="226">
        <f t="shared" ref="I33:Z33" si="25">IF(I8=$F$5,NPV(I44,I77:I95),IF(I8&lt;$F$5,0,SUM(I29:I32)))</f>
        <v>2272.4380895235145</v>
      </c>
      <c r="J33" s="226">
        <f t="shared" si="25"/>
        <v>2657.6659498449194</v>
      </c>
      <c r="K33" s="226">
        <f t="shared" si="25"/>
        <v>3042.4244119558084</v>
      </c>
      <c r="L33" s="226">
        <f t="shared" si="25"/>
        <v>3822.5039873446513</v>
      </c>
      <c r="M33" s="226">
        <f t="shared" si="25"/>
        <v>4688.6871687977227</v>
      </c>
      <c r="N33" s="226">
        <f t="shared" si="25"/>
        <v>4931.8113669998038</v>
      </c>
      <c r="O33" s="226">
        <f t="shared" si="25"/>
        <v>4880.2123158463746</v>
      </c>
      <c r="P33" s="226">
        <f t="shared" si="25"/>
        <v>5349.8236461531997</v>
      </c>
      <c r="Q33" s="226">
        <f t="shared" si="25"/>
        <v>4993.0895866915898</v>
      </c>
      <c r="R33" s="226">
        <f t="shared" si="25"/>
        <v>5572.8790079131513</v>
      </c>
      <c r="S33" s="226">
        <f t="shared" si="25"/>
        <v>6538.8329371463451</v>
      </c>
      <c r="T33" s="226">
        <f t="shared" si="25"/>
        <v>6733.2922457126351</v>
      </c>
      <c r="U33" s="226">
        <f t="shared" si="25"/>
        <v>6484.4834164800777</v>
      </c>
      <c r="V33" s="226">
        <f t="shared" si="25"/>
        <v>6975.2302380410429</v>
      </c>
      <c r="W33" s="226">
        <f t="shared" si="25"/>
        <v>7503.4362529643367</v>
      </c>
      <c r="X33" s="226">
        <f t="shared" si="25"/>
        <v>7765.0190686449387</v>
      </c>
      <c r="Y33" s="226">
        <f t="shared" si="25"/>
        <v>8036.6381524814597</v>
      </c>
      <c r="Z33" s="226">
        <f t="shared" si="25"/>
        <v>8318.7259195397055</v>
      </c>
      <c r="AA33" s="226">
        <f>IF(AA8=$F$5,NPV(AA44,AA77:AA95),IF(AA8&lt;$F$5,0,SUM(AA29:AA32)))</f>
        <v>8611.7356369587269</v>
      </c>
      <c r="AB33" s="226">
        <f>IF(AB8=$F$5,NPV(AB44,AB77:AB95),IF(AB8&lt;$F$5,0,SUM(AB29:AB32)))</f>
        <v>8916.1425222902908</v>
      </c>
      <c r="AC33" s="226">
        <f>IF(AC8=$F$5,NPV(AC44,AC77:AC95),IF(AC8&lt;$F$5,0,SUM(AC29:AC32)))</f>
        <v>9232.4449031551685</v>
      </c>
      <c r="AD33" s="226">
        <f>IF(AD8=$F$5,NPV(AD44,AD77:AD95),IF(AD8&lt;$F$5,0,SUM(AD29:AD32)))</f>
        <v>9561.1654417577611</v>
      </c>
      <c r="AE33" s="234"/>
      <c r="AF33" s="234"/>
      <c r="AG33" s="234"/>
      <c r="AH33" s="234"/>
    </row>
    <row r="34" spans="1:34">
      <c r="A34" s="184"/>
      <c r="B34" s="185"/>
      <c r="C34" s="235"/>
      <c r="D34" s="229"/>
      <c r="E34" s="229"/>
      <c r="F34" s="229"/>
      <c r="G34" s="229"/>
      <c r="H34" s="236"/>
      <c r="I34" s="236"/>
      <c r="J34" s="236"/>
      <c r="K34" s="236"/>
      <c r="L34" s="236"/>
      <c r="M34" s="236"/>
      <c r="N34" s="236"/>
      <c r="O34" s="236"/>
      <c r="P34" s="236"/>
      <c r="Q34" s="236"/>
      <c r="R34" s="236"/>
      <c r="S34" s="236"/>
      <c r="T34" s="236"/>
      <c r="U34" s="236"/>
      <c r="V34" s="236"/>
      <c r="W34" s="236"/>
      <c r="X34" s="236"/>
      <c r="Y34" s="236"/>
      <c r="Z34" s="236"/>
      <c r="AA34" s="236"/>
      <c r="AB34" s="236"/>
      <c r="AC34" s="236"/>
      <c r="AD34" s="236"/>
      <c r="AE34" s="177"/>
      <c r="AF34" s="177"/>
      <c r="AG34" s="177"/>
      <c r="AH34" s="177"/>
    </row>
    <row r="35" spans="1:34">
      <c r="A35" s="237"/>
      <c r="B35" s="238"/>
      <c r="C35" s="239" t="s">
        <v>206</v>
      </c>
      <c r="D35" s="240"/>
      <c r="E35" s="240"/>
      <c r="F35" s="240"/>
      <c r="G35" s="241">
        <v>0.79</v>
      </c>
      <c r="H35" s="242">
        <f t="shared" ref="H35:X35" si="26">IF(ISERROR(IF($F$5=H8,$G$35,IF(H8&gt;$F$5,H24/H33,""))),0,IF($F$5=H8,$G$35,IF(H8&gt;$F$5,H24/H33,"")))</f>
        <v>0.79</v>
      </c>
      <c r="I35" s="242">
        <f t="shared" si="26"/>
        <v>0.84024496807339022</v>
      </c>
      <c r="J35" s="242">
        <f t="shared" si="26"/>
        <v>0.83495813835245902</v>
      </c>
      <c r="K35" s="242">
        <f t="shared" si="26"/>
        <v>0.82626497775068641</v>
      </c>
      <c r="L35" s="242">
        <f t="shared" si="26"/>
        <v>0.81633023293178264</v>
      </c>
      <c r="M35" s="242">
        <f t="shared" si="26"/>
        <v>0.79887351578119281</v>
      </c>
      <c r="N35" s="242">
        <f t="shared" si="26"/>
        <v>0.75571053995108195</v>
      </c>
      <c r="O35" s="242">
        <f t="shared" si="26"/>
        <v>0.72920709432395359</v>
      </c>
      <c r="P35" s="242">
        <f t="shared" si="26"/>
        <v>0.73307430172990884</v>
      </c>
      <c r="Q35" s="242">
        <f t="shared" si="26"/>
        <v>0.69938894631387682</v>
      </c>
      <c r="R35" s="242">
        <f t="shared" si="26"/>
        <v>0.6949520176655456</v>
      </c>
      <c r="S35" s="242">
        <f t="shared" si="26"/>
        <v>0.69580206075904338</v>
      </c>
      <c r="T35" s="242">
        <f t="shared" si="26"/>
        <v>0.66496693697409948</v>
      </c>
      <c r="U35" s="242">
        <f t="shared" si="26"/>
        <v>0.62896018450699798</v>
      </c>
      <c r="V35" s="242">
        <f t="shared" si="26"/>
        <v>0.62357969641600453</v>
      </c>
      <c r="W35" s="242">
        <f t="shared" si="26"/>
        <v>0.62585587462017012</v>
      </c>
      <c r="X35" s="242">
        <f t="shared" si="26"/>
        <v>0.63452005345512563</v>
      </c>
      <c r="Y35" s="242">
        <f t="shared" ref="Y35:AD35" si="27">IF(ISERROR(IF($F$5=Y8,$G$35,IF(Y8&gt;$F$5,Y24/Y33,""))),0,IF($F$5=Y8,$G$35,IF(Y8&gt;$F$5,Y24/Y33,"")))</f>
        <v>0.65474669842884592</v>
      </c>
      <c r="Z35" s="242">
        <f t="shared" si="27"/>
        <v>0.68262169368768799</v>
      </c>
      <c r="AA35" s="242">
        <f t="shared" si="27"/>
        <v>0.7237674513359531</v>
      </c>
      <c r="AB35" s="242">
        <f t="shared" si="27"/>
        <v>0.76818751006315389</v>
      </c>
      <c r="AC35" s="242">
        <f t="shared" si="27"/>
        <v>0.84251233448531593</v>
      </c>
      <c r="AD35" s="242">
        <f t="shared" si="27"/>
        <v>0.92366414608429837</v>
      </c>
      <c r="AE35" s="243"/>
      <c r="AF35" s="243"/>
      <c r="AG35" s="243"/>
      <c r="AH35" s="243"/>
    </row>
    <row r="36" spans="1:34">
      <c r="A36" s="184"/>
      <c r="B36" s="185"/>
      <c r="C36" s="244"/>
      <c r="D36" s="188"/>
      <c r="E36" s="188"/>
      <c r="F36" s="188"/>
      <c r="G36" s="188"/>
      <c r="H36" s="245"/>
      <c r="I36" s="245"/>
      <c r="J36" s="245"/>
      <c r="K36" s="245"/>
      <c r="L36" s="245"/>
      <c r="M36" s="245"/>
      <c r="N36" s="245"/>
      <c r="O36" s="245"/>
      <c r="P36" s="245"/>
      <c r="Q36" s="245"/>
      <c r="R36" s="245"/>
      <c r="S36" s="245"/>
      <c r="T36" s="245"/>
      <c r="U36" s="245"/>
      <c r="V36" s="245"/>
      <c r="W36" s="245"/>
      <c r="X36" s="245"/>
      <c r="Y36" s="245"/>
      <c r="Z36" s="245"/>
      <c r="AA36" s="245"/>
      <c r="AB36" s="245"/>
      <c r="AC36" s="245"/>
      <c r="AD36" s="245"/>
      <c r="AE36" s="177"/>
      <c r="AF36" s="177"/>
      <c r="AG36" s="177"/>
      <c r="AH36" s="177"/>
    </row>
    <row r="37" spans="1:34">
      <c r="A37" s="184"/>
      <c r="B37" s="185"/>
      <c r="C37" s="246" t="s">
        <v>207</v>
      </c>
      <c r="D37" s="247"/>
      <c r="E37" s="247"/>
      <c r="F37" s="247"/>
      <c r="G37" s="247"/>
      <c r="H37" s="226"/>
      <c r="I37" s="226">
        <f t="shared" ref="I37:X37" si="28">(I24-I33)*(1-$G$56)</f>
        <v>-220.36128566264546</v>
      </c>
      <c r="J37" s="226">
        <f t="shared" si="28"/>
        <v>-266.24606455180918</v>
      </c>
      <c r="K37" s="226">
        <f t="shared" si="28"/>
        <v>-320.84543345211932</v>
      </c>
      <c r="L37" s="226">
        <f t="shared" si="28"/>
        <v>-426.16159910256488</v>
      </c>
      <c r="M37" s="226">
        <f t="shared" si="28"/>
        <v>-572.41263367830607</v>
      </c>
      <c r="N37" s="226">
        <f t="shared" si="28"/>
        <v>-731.30724829585165</v>
      </c>
      <c r="O37" s="226">
        <f t="shared" si="28"/>
        <v>-802.16681210770889</v>
      </c>
      <c r="P37" s="226">
        <f t="shared" si="28"/>
        <v>-866.79928530937184</v>
      </c>
      <c r="Q37" s="226">
        <f t="shared" si="28"/>
        <v>-911.09359853537262</v>
      </c>
      <c r="R37" s="226">
        <f t="shared" si="28"/>
        <v>-1031.8972667748712</v>
      </c>
      <c r="S37" s="226">
        <f t="shared" si="28"/>
        <v>-1207.3833992441316</v>
      </c>
      <c r="T37" s="226">
        <f t="shared" si="28"/>
        <v>-1369.3164438750966</v>
      </c>
      <c r="U37" s="226">
        <f t="shared" si="28"/>
        <v>-1460.442928963847</v>
      </c>
      <c r="V37" s="226">
        <f t="shared" si="28"/>
        <v>-1593.7502982494061</v>
      </c>
      <c r="W37" s="226">
        <f t="shared" si="28"/>
        <v>-1704.0715226846505</v>
      </c>
      <c r="X37" s="226">
        <f t="shared" si="28"/>
        <v>-1722.6409637558675</v>
      </c>
      <c r="Y37" s="226">
        <f t="shared" ref="Y37:AD37" si="29">(Y24-Y33)*(1-$G$56)</f>
        <v>-1684.2282443958927</v>
      </c>
      <c r="Z37" s="226">
        <f t="shared" si="29"/>
        <v>-1602.591167813044</v>
      </c>
      <c r="AA37" s="226">
        <f t="shared" si="29"/>
        <v>-1443.9569018347916</v>
      </c>
      <c r="AB37" s="226">
        <f t="shared" si="29"/>
        <v>-1254.5920316254094</v>
      </c>
      <c r="AC37" s="226">
        <f t="shared" si="29"/>
        <v>-882.57569023804626</v>
      </c>
      <c r="AD37" s="226">
        <f t="shared" si="29"/>
        <v>-443.02485515450661</v>
      </c>
      <c r="AE37" s="177"/>
      <c r="AF37" s="177"/>
      <c r="AG37" s="177"/>
      <c r="AH37" s="177"/>
    </row>
    <row r="38" spans="1:34">
      <c r="A38" s="184"/>
      <c r="B38" s="185"/>
      <c r="C38" s="248" t="s">
        <v>208</v>
      </c>
      <c r="D38" s="206"/>
      <c r="E38" s="206"/>
      <c r="F38" s="206"/>
      <c r="G38" s="206"/>
      <c r="H38" s="212"/>
      <c r="I38" s="211">
        <f t="shared" ref="I38:X38" si="30">I11+I15</f>
        <v>356.99788488692252</v>
      </c>
      <c r="J38" s="211">
        <f t="shared" si="30"/>
        <v>270.88683302764611</v>
      </c>
      <c r="K38" s="211">
        <f t="shared" si="30"/>
        <v>322.78729743646369</v>
      </c>
      <c r="L38" s="211">
        <f t="shared" si="30"/>
        <v>347.59411392388756</v>
      </c>
      <c r="M38" s="211">
        <f t="shared" si="30"/>
        <v>407.52714138880816</v>
      </c>
      <c r="N38" s="211">
        <f t="shared" si="30"/>
        <v>451.87860186793557</v>
      </c>
      <c r="O38" s="211">
        <f t="shared" si="30"/>
        <v>513.9502462728467</v>
      </c>
      <c r="P38" s="211">
        <f t="shared" si="30"/>
        <v>543.02885021774341</v>
      </c>
      <c r="Q38" s="211">
        <f t="shared" si="30"/>
        <v>600.95719320613648</v>
      </c>
      <c r="R38" s="211">
        <f t="shared" si="30"/>
        <v>592.10118823133109</v>
      </c>
      <c r="S38" s="211">
        <f t="shared" si="30"/>
        <v>602.89624884077307</v>
      </c>
      <c r="T38" s="211">
        <f t="shared" si="30"/>
        <v>643.3985521294735</v>
      </c>
      <c r="U38" s="211">
        <f t="shared" si="30"/>
        <v>738.23678774641053</v>
      </c>
      <c r="V38" s="211">
        <f t="shared" si="30"/>
        <v>797.57857959731541</v>
      </c>
      <c r="W38" s="211">
        <f t="shared" si="30"/>
        <v>861.66695008318948</v>
      </c>
      <c r="X38" s="211">
        <f t="shared" si="30"/>
        <v>885.45206831634528</v>
      </c>
      <c r="Y38" s="211">
        <f t="shared" ref="Y38:AD38" si="31">Y11+Y15</f>
        <v>909.82684668033539</v>
      </c>
      <c r="Z38" s="211">
        <f t="shared" si="31"/>
        <v>934.80154137411523</v>
      </c>
      <c r="AA38" s="211">
        <f t="shared" si="31"/>
        <v>960.38627026631048</v>
      </c>
      <c r="AB38" s="211">
        <f t="shared" si="31"/>
        <v>986.59098198433003</v>
      </c>
      <c r="AC38" s="211">
        <f t="shared" si="31"/>
        <v>1013.425422470492</v>
      </c>
      <c r="AD38" s="211">
        <f t="shared" si="31"/>
        <v>1040.8990988328367</v>
      </c>
      <c r="AE38" s="177"/>
      <c r="AF38" s="177"/>
      <c r="AG38" s="177"/>
      <c r="AH38" s="177"/>
    </row>
    <row r="39" spans="1:34">
      <c r="A39" s="184"/>
      <c r="B39" s="185"/>
      <c r="C39" s="249" t="s">
        <v>209</v>
      </c>
      <c r="D39" s="250"/>
      <c r="E39" s="250"/>
      <c r="F39" s="250"/>
      <c r="G39" s="250"/>
      <c r="H39" s="251"/>
      <c r="I39" s="251"/>
      <c r="J39" s="251">
        <f t="shared" ref="J39:AB39" si="32">J37-I37</f>
        <v>-45.884778889163726</v>
      </c>
      <c r="K39" s="251">
        <f t="shared" si="32"/>
        <v>-54.599368900310139</v>
      </c>
      <c r="L39" s="251">
        <f t="shared" si="32"/>
        <v>-105.31616565044556</v>
      </c>
      <c r="M39" s="251">
        <f t="shared" si="32"/>
        <v>-146.25103457574119</v>
      </c>
      <c r="N39" s="251">
        <f t="shared" si="32"/>
        <v>-158.89461461754559</v>
      </c>
      <c r="O39" s="251">
        <f t="shared" si="32"/>
        <v>-70.859563811857242</v>
      </c>
      <c r="P39" s="251">
        <f t="shared" si="32"/>
        <v>-64.632473201662947</v>
      </c>
      <c r="Q39" s="251">
        <f t="shared" si="32"/>
        <v>-44.294313226000781</v>
      </c>
      <c r="R39" s="251">
        <f t="shared" si="32"/>
        <v>-120.80366823949862</v>
      </c>
      <c r="S39" s="251">
        <f t="shared" si="32"/>
        <v>-175.48613246926038</v>
      </c>
      <c r="T39" s="251">
        <f t="shared" si="32"/>
        <v>-161.93304463096501</v>
      </c>
      <c r="U39" s="251">
        <f t="shared" si="32"/>
        <v>-91.126485088750314</v>
      </c>
      <c r="V39" s="251">
        <f t="shared" si="32"/>
        <v>-133.30736928555916</v>
      </c>
      <c r="W39" s="251">
        <f t="shared" si="32"/>
        <v>-110.3212244352444</v>
      </c>
      <c r="X39" s="251">
        <f t="shared" si="32"/>
        <v>-18.569441071216943</v>
      </c>
      <c r="Y39" s="251">
        <f t="shared" si="32"/>
        <v>38.412719359974744</v>
      </c>
      <c r="Z39" s="251">
        <f t="shared" si="32"/>
        <v>81.637076582848749</v>
      </c>
      <c r="AA39" s="251">
        <f t="shared" si="32"/>
        <v>158.63426597825242</v>
      </c>
      <c r="AB39" s="251">
        <f t="shared" si="32"/>
        <v>189.36487020938216</v>
      </c>
      <c r="AC39" s="251">
        <f>AC37-AB37</f>
        <v>372.01634138736313</v>
      </c>
      <c r="AD39" s="251">
        <f>AD37-AC37</f>
        <v>439.55083508353965</v>
      </c>
      <c r="AE39" s="177"/>
      <c r="AF39" s="177"/>
      <c r="AG39" s="177"/>
      <c r="AH39" s="177"/>
    </row>
    <row r="40" spans="1:34">
      <c r="A40" s="184"/>
      <c r="B40" s="185"/>
      <c r="C40" s="188"/>
      <c r="D40" s="188"/>
      <c r="E40" s="188"/>
      <c r="F40" s="188"/>
      <c r="G40" s="188"/>
      <c r="H40" s="252"/>
      <c r="I40" s="252"/>
      <c r="J40" s="252"/>
      <c r="K40" s="252"/>
      <c r="L40" s="252"/>
      <c r="M40" s="252"/>
      <c r="N40" s="252"/>
      <c r="O40" s="252"/>
      <c r="P40" s="252"/>
      <c r="Q40" s="252"/>
      <c r="R40" s="252"/>
      <c r="S40" s="252"/>
      <c r="T40" s="252"/>
      <c r="U40" s="252"/>
      <c r="V40" s="252"/>
      <c r="W40" s="252"/>
      <c r="X40" s="252"/>
      <c r="Y40" s="252"/>
      <c r="Z40" s="252"/>
      <c r="AA40" s="252"/>
      <c r="AB40" s="252"/>
      <c r="AC40" s="252"/>
      <c r="AD40" s="252"/>
      <c r="AE40" s="177"/>
      <c r="AF40" s="177"/>
      <c r="AG40" s="177"/>
      <c r="AH40" s="177"/>
    </row>
    <row r="41" spans="1:34">
      <c r="A41" s="184"/>
      <c r="B41" s="185"/>
      <c r="C41" s="188"/>
      <c r="D41" s="188"/>
      <c r="E41" s="188"/>
      <c r="F41" s="188"/>
      <c r="G41" s="188"/>
      <c r="H41" s="252"/>
      <c r="I41" s="252"/>
      <c r="J41" s="252"/>
      <c r="K41" s="252"/>
      <c r="L41" s="252"/>
      <c r="M41" s="252"/>
      <c r="N41" s="252"/>
      <c r="O41" s="252"/>
      <c r="P41" s="252"/>
      <c r="Q41" s="252"/>
      <c r="R41" s="252"/>
      <c r="S41" s="252"/>
      <c r="T41" s="252"/>
      <c r="U41" s="252"/>
      <c r="V41" s="252"/>
      <c r="W41" s="252"/>
      <c r="X41" s="252"/>
      <c r="Y41" s="252"/>
      <c r="Z41" s="252"/>
      <c r="AA41" s="252"/>
      <c r="AB41" s="252"/>
      <c r="AC41" s="252"/>
      <c r="AD41" s="252"/>
      <c r="AE41" s="177"/>
      <c r="AF41" s="177"/>
      <c r="AG41" s="177"/>
      <c r="AH41" s="177"/>
    </row>
    <row r="42" spans="1:34" ht="14.25" customHeight="1">
      <c r="A42" s="216"/>
      <c r="B42" s="190"/>
      <c r="C42" s="253" t="s">
        <v>138</v>
      </c>
      <c r="D42" s="254"/>
      <c r="E42" s="254"/>
      <c r="F42" s="254"/>
      <c r="G42" s="254"/>
      <c r="H42" s="255"/>
      <c r="I42" s="255"/>
      <c r="J42" s="255"/>
      <c r="K42" s="255"/>
      <c r="L42" s="255"/>
      <c r="M42" s="255"/>
      <c r="N42" s="227"/>
      <c r="O42" s="227"/>
      <c r="P42" s="227"/>
      <c r="Q42" s="228"/>
      <c r="R42" s="228"/>
      <c r="S42" s="228"/>
      <c r="T42" s="228"/>
      <c r="U42" s="228"/>
      <c r="V42" s="228"/>
      <c r="W42" s="228"/>
      <c r="X42" s="228"/>
      <c r="Y42" s="228"/>
      <c r="Z42" s="228"/>
      <c r="AA42" s="228"/>
      <c r="AB42" s="228"/>
      <c r="AC42" s="228"/>
      <c r="AD42" s="228"/>
      <c r="AE42" s="188"/>
      <c r="AF42" s="188"/>
      <c r="AG42" s="188"/>
      <c r="AH42" s="188"/>
    </row>
    <row r="43" spans="1:34">
      <c r="A43" s="256"/>
      <c r="B43" s="257"/>
      <c r="C43" s="258"/>
      <c r="D43" s="259"/>
      <c r="E43" s="259"/>
      <c r="F43" s="259"/>
      <c r="G43" s="259"/>
      <c r="H43" s="259"/>
      <c r="I43" s="259"/>
      <c r="J43" s="259"/>
      <c r="K43" s="259"/>
      <c r="L43" s="259"/>
      <c r="M43" s="259"/>
      <c r="N43" s="259"/>
      <c r="O43" s="259"/>
      <c r="P43" s="259"/>
      <c r="Q43" s="259"/>
      <c r="R43" s="259"/>
      <c r="S43" s="259"/>
      <c r="T43" s="259"/>
      <c r="U43" s="259"/>
      <c r="V43" s="259"/>
      <c r="W43" s="259"/>
      <c r="X43" s="259"/>
      <c r="Y43" s="259"/>
      <c r="Z43" s="259"/>
      <c r="AA43" s="259"/>
      <c r="AB43" s="259"/>
      <c r="AC43" s="259"/>
      <c r="AD43" s="259"/>
      <c r="AE43" s="260"/>
      <c r="AF43" s="260"/>
      <c r="AG43" s="260"/>
      <c r="AH43" s="260"/>
    </row>
    <row r="44" spans="1:34" ht="14.25" customHeight="1">
      <c r="A44" s="184"/>
      <c r="B44" s="185"/>
      <c r="C44" s="261" t="s">
        <v>210</v>
      </c>
      <c r="D44" s="254"/>
      <c r="E44" s="254"/>
      <c r="F44" s="254"/>
      <c r="G44" s="254"/>
      <c r="H44" s="262">
        <v>0.06</v>
      </c>
      <c r="I44" s="263">
        <f t="shared" ref="I44:X44" si="33">(H44*(I29+I30+I31)+I45*I32)/I33</f>
        <v>6.0000000000000005E-2</v>
      </c>
      <c r="J44" s="263">
        <f t="shared" si="33"/>
        <v>0.06</v>
      </c>
      <c r="K44" s="263">
        <f t="shared" si="33"/>
        <v>5.9999999999999984E-2</v>
      </c>
      <c r="L44" s="263">
        <f t="shared" si="33"/>
        <v>0.06</v>
      </c>
      <c r="M44" s="263">
        <f t="shared" si="33"/>
        <v>6.0000000000000005E-2</v>
      </c>
      <c r="N44" s="263">
        <f t="shared" si="33"/>
        <v>6.0000000000000019E-2</v>
      </c>
      <c r="O44" s="263">
        <f t="shared" si="33"/>
        <v>6.0000000000000012E-2</v>
      </c>
      <c r="P44" s="263">
        <f t="shared" si="33"/>
        <v>0.06</v>
      </c>
      <c r="Q44" s="263">
        <f t="shared" si="33"/>
        <v>0.06</v>
      </c>
      <c r="R44" s="264">
        <f t="shared" si="33"/>
        <v>0.06</v>
      </c>
      <c r="S44" s="264">
        <f t="shared" si="33"/>
        <v>0.06</v>
      </c>
      <c r="T44" s="264">
        <f t="shared" si="33"/>
        <v>6.0000000000000005E-2</v>
      </c>
      <c r="U44" s="264">
        <f t="shared" si="33"/>
        <v>6.0000000000000005E-2</v>
      </c>
      <c r="V44" s="264">
        <f t="shared" si="33"/>
        <v>6.0000000000000005E-2</v>
      </c>
      <c r="W44" s="264">
        <f t="shared" si="33"/>
        <v>6.0000000000000005E-2</v>
      </c>
      <c r="X44" s="264">
        <f t="shared" si="33"/>
        <v>0.06</v>
      </c>
      <c r="Y44" s="264">
        <f t="shared" ref="Y44:AD44" si="34">(X44*(Y29+Y30+Y31)+Y45*Y32)/Y33</f>
        <v>0.06</v>
      </c>
      <c r="Z44" s="264">
        <f t="shared" si="34"/>
        <v>6.0000000000000005E-2</v>
      </c>
      <c r="AA44" s="264">
        <f t="shared" si="34"/>
        <v>6.0000000000000005E-2</v>
      </c>
      <c r="AB44" s="264">
        <f t="shared" si="34"/>
        <v>6.0000000000000005E-2</v>
      </c>
      <c r="AC44" s="264">
        <f t="shared" si="34"/>
        <v>6.0000000000000005E-2</v>
      </c>
      <c r="AD44" s="264">
        <f t="shared" si="34"/>
        <v>6.0000000000000005E-2</v>
      </c>
      <c r="AE44" s="177"/>
      <c r="AF44" s="177"/>
      <c r="AG44" s="177"/>
      <c r="AH44" s="177"/>
    </row>
    <row r="45" spans="1:34" ht="15" customHeight="1">
      <c r="A45" s="184"/>
      <c r="B45" s="185"/>
      <c r="C45" s="261" t="s">
        <v>211</v>
      </c>
      <c r="D45" s="254"/>
      <c r="E45" s="254"/>
      <c r="F45" s="254"/>
      <c r="G45" s="254"/>
      <c r="H45" s="262">
        <v>0.06</v>
      </c>
      <c r="I45" s="262">
        <v>0.06</v>
      </c>
      <c r="J45" s="262">
        <v>0.06</v>
      </c>
      <c r="K45" s="262">
        <v>0.06</v>
      </c>
      <c r="L45" s="262">
        <v>0.06</v>
      </c>
      <c r="M45" s="262">
        <v>0.06</v>
      </c>
      <c r="N45" s="262">
        <v>0.06</v>
      </c>
      <c r="O45" s="262">
        <v>0.06</v>
      </c>
      <c r="P45" s="262">
        <v>0.06</v>
      </c>
      <c r="Q45" s="262">
        <v>0.06</v>
      </c>
      <c r="R45" s="265">
        <v>0.06</v>
      </c>
      <c r="S45" s="265">
        <v>0.06</v>
      </c>
      <c r="T45" s="265">
        <v>0.06</v>
      </c>
      <c r="U45" s="265">
        <v>0.06</v>
      </c>
      <c r="V45" s="265">
        <v>0.06</v>
      </c>
      <c r="W45" s="265">
        <v>0.06</v>
      </c>
      <c r="X45" s="265">
        <v>0.06</v>
      </c>
      <c r="Y45" s="265">
        <v>0.06</v>
      </c>
      <c r="Z45" s="265">
        <v>0.06</v>
      </c>
      <c r="AA45" s="265">
        <v>0.06</v>
      </c>
      <c r="AB45" s="265">
        <v>0.06</v>
      </c>
      <c r="AC45" s="265">
        <v>0.06</v>
      </c>
      <c r="AD45" s="265">
        <v>0.06</v>
      </c>
      <c r="AE45" s="177"/>
      <c r="AF45" s="177"/>
      <c r="AG45" s="177"/>
      <c r="AH45" s="177"/>
    </row>
    <row r="46" spans="1:34">
      <c r="A46" s="184"/>
      <c r="B46" s="185"/>
      <c r="C46" s="244"/>
      <c r="D46" s="188"/>
      <c r="E46" s="188"/>
      <c r="F46" s="188"/>
      <c r="G46" s="188"/>
      <c r="H46" s="194"/>
      <c r="I46" s="194"/>
      <c r="J46" s="194"/>
      <c r="K46" s="194"/>
      <c r="L46" s="194"/>
      <c r="M46" s="194"/>
      <c r="N46" s="194"/>
      <c r="O46" s="194"/>
      <c r="P46" s="194"/>
      <c r="Q46" s="194"/>
      <c r="R46" s="194"/>
      <c r="S46" s="194"/>
      <c r="T46" s="194"/>
      <c r="U46" s="194"/>
      <c r="V46" s="194"/>
      <c r="W46" s="194"/>
      <c r="X46" s="194"/>
      <c r="Y46" s="194"/>
      <c r="Z46" s="194"/>
      <c r="AA46" s="194"/>
      <c r="AB46" s="194"/>
      <c r="AC46" s="194"/>
      <c r="AD46" s="194"/>
      <c r="AE46" s="177"/>
      <c r="AF46" s="177"/>
      <c r="AG46" s="177"/>
      <c r="AH46" s="177"/>
    </row>
    <row r="47" spans="1:34">
      <c r="A47" s="184"/>
      <c r="B47" s="185"/>
      <c r="C47" s="261" t="s">
        <v>212</v>
      </c>
      <c r="D47" s="254"/>
      <c r="E47" s="254"/>
      <c r="F47" s="254"/>
      <c r="G47" s="254"/>
      <c r="H47" s="266">
        <f>+sumry!DC67</f>
        <v>1357</v>
      </c>
      <c r="I47" s="266">
        <f>+sumry!DD67</f>
        <v>1493</v>
      </c>
      <c r="J47" s="266">
        <f>+sumry!DE67</f>
        <v>1665</v>
      </c>
      <c r="K47" s="266">
        <f>+sumry!DF67</f>
        <v>1843</v>
      </c>
      <c r="L47" s="266">
        <f>+sumry!DG67</f>
        <v>2062</v>
      </c>
      <c r="M47" s="266">
        <f>+sumry!DH67</f>
        <v>2224</v>
      </c>
      <c r="N47" s="266">
        <f>+sumry!DI67</f>
        <v>2381</v>
      </c>
      <c r="O47" s="266">
        <f>+sumry!DJ67</f>
        <v>2466</v>
      </c>
      <c r="P47" s="266">
        <f>+sumry!DK67</f>
        <v>2563</v>
      </c>
      <c r="Q47" s="266">
        <f>+sumry!DL67</f>
        <v>2652</v>
      </c>
      <c r="R47" s="266">
        <f>+sumry!DM67</f>
        <v>2743</v>
      </c>
      <c r="S47" s="266">
        <f>+sumry!DN67</f>
        <v>2859</v>
      </c>
      <c r="T47" s="266">
        <f>+sumry!DO67</f>
        <v>2905</v>
      </c>
      <c r="U47" s="267">
        <f>+sumry!DP67</f>
        <v>3050</v>
      </c>
      <c r="V47" s="267">
        <f>+sumry!DQ67</f>
        <v>3219</v>
      </c>
      <c r="W47" s="267">
        <f t="shared" ref="W47:AB47" si="35">V47*(1+W48)</f>
        <v>3379.9500000000003</v>
      </c>
      <c r="X47" s="267">
        <f t="shared" si="35"/>
        <v>3548.9475000000002</v>
      </c>
      <c r="Y47" s="267">
        <f t="shared" si="35"/>
        <v>3726.3948750000004</v>
      </c>
      <c r="Z47" s="267">
        <f t="shared" si="35"/>
        <v>3912.7146187500007</v>
      </c>
      <c r="AA47" s="267">
        <f t="shared" si="35"/>
        <v>4108.350349687501</v>
      </c>
      <c r="AB47" s="267">
        <f t="shared" si="35"/>
        <v>4313.7678671718759</v>
      </c>
      <c r="AC47" s="267">
        <f>AB47*(1+AC48)</f>
        <v>4529.45626053047</v>
      </c>
      <c r="AD47" s="267">
        <f>AC47*(1+AD48)</f>
        <v>4755.9290735569939</v>
      </c>
      <c r="AE47" s="177"/>
      <c r="AF47" s="177"/>
      <c r="AG47" s="177"/>
      <c r="AH47" s="177"/>
    </row>
    <row r="48" spans="1:34">
      <c r="A48" s="184"/>
      <c r="B48" s="190"/>
      <c r="C48" s="244" t="s">
        <v>213</v>
      </c>
      <c r="D48" s="188"/>
      <c r="E48" s="188"/>
      <c r="F48" s="188"/>
      <c r="G48" s="188"/>
      <c r="H48" s="268"/>
      <c r="I48" s="268">
        <f>IF(ISERROR(I47/H47-1),"NM",(I47/H47-1))</f>
        <v>0.10022107590272666</v>
      </c>
      <c r="J48" s="268">
        <f>IF(ISERROR(J47/I47-1),"NM",(J47/I47-1))</f>
        <v>0.11520428667113203</v>
      </c>
      <c r="K48" s="268">
        <f t="shared" ref="K48:V48" si="36">K47/J47-1</f>
        <v>0.10690690690690685</v>
      </c>
      <c r="L48" s="268">
        <f t="shared" si="36"/>
        <v>0.11882799782962561</v>
      </c>
      <c r="M48" s="268">
        <f t="shared" si="36"/>
        <v>7.8564500484965993E-2</v>
      </c>
      <c r="N48" s="268">
        <f t="shared" si="36"/>
        <v>7.0593525179856176E-2</v>
      </c>
      <c r="O48" s="268">
        <f t="shared" si="36"/>
        <v>3.5699286014279741E-2</v>
      </c>
      <c r="P48" s="268">
        <f t="shared" si="36"/>
        <v>3.9334955393349524E-2</v>
      </c>
      <c r="Q48" s="268">
        <f t="shared" si="36"/>
        <v>3.4724931720639951E-2</v>
      </c>
      <c r="R48" s="268">
        <f t="shared" si="36"/>
        <v>3.4313725490196179E-2</v>
      </c>
      <c r="S48" s="268">
        <f t="shared" si="36"/>
        <v>4.2289464090411899E-2</v>
      </c>
      <c r="T48" s="268">
        <f t="shared" si="36"/>
        <v>1.6089541797831508E-2</v>
      </c>
      <c r="U48" s="268">
        <f t="shared" si="36"/>
        <v>4.9913941480206558E-2</v>
      </c>
      <c r="V48" s="268">
        <f t="shared" si="36"/>
        <v>5.5409836065573703E-2</v>
      </c>
      <c r="W48" s="269">
        <v>0.05</v>
      </c>
      <c r="X48" s="269">
        <v>0.05</v>
      </c>
      <c r="Y48" s="269">
        <v>0.05</v>
      </c>
      <c r="Z48" s="269">
        <v>0.05</v>
      </c>
      <c r="AA48" s="269">
        <v>0.05</v>
      </c>
      <c r="AB48" s="269">
        <v>0.05</v>
      </c>
      <c r="AC48" s="269">
        <v>0.05</v>
      </c>
      <c r="AD48" s="269">
        <v>0.05</v>
      </c>
      <c r="AE48" s="177"/>
      <c r="AF48" s="177"/>
      <c r="AG48" s="177"/>
      <c r="AH48" s="177"/>
    </row>
    <row r="49" spans="1:34">
      <c r="A49" s="184"/>
      <c r="B49" s="190"/>
      <c r="C49" s="244" t="s">
        <v>214</v>
      </c>
      <c r="D49" s="188"/>
      <c r="E49" s="188"/>
      <c r="F49" s="188"/>
      <c r="G49" s="188"/>
      <c r="H49" s="270"/>
      <c r="I49" s="270"/>
      <c r="J49" s="270"/>
      <c r="K49" s="270"/>
      <c r="L49" s="270"/>
      <c r="M49" s="270"/>
      <c r="N49" s="270"/>
      <c r="O49" s="271"/>
      <c r="P49" s="271"/>
      <c r="Q49" s="271"/>
      <c r="R49" s="271"/>
      <c r="S49" s="271"/>
      <c r="T49" s="271"/>
      <c r="U49" s="271"/>
      <c r="V49" s="271"/>
      <c r="W49" s="271"/>
      <c r="X49" s="271"/>
      <c r="Y49" s="271"/>
      <c r="Z49" s="271"/>
      <c r="AA49" s="271"/>
      <c r="AB49" s="271"/>
      <c r="AC49" s="271"/>
      <c r="AD49" s="271"/>
      <c r="AE49" s="177"/>
      <c r="AF49" s="177"/>
      <c r="AG49" s="177"/>
      <c r="AH49" s="177"/>
    </row>
    <row r="50" spans="1:34">
      <c r="A50" s="184"/>
      <c r="B50" s="190"/>
      <c r="C50" s="244"/>
      <c r="D50" s="188"/>
      <c r="E50" s="188"/>
      <c r="F50" s="188"/>
      <c r="G50" s="188"/>
      <c r="H50" s="270"/>
      <c r="I50" s="270"/>
      <c r="J50" s="270"/>
      <c r="K50" s="270"/>
      <c r="L50" s="270"/>
      <c r="M50" s="270"/>
      <c r="N50" s="270"/>
      <c r="O50" s="271"/>
      <c r="P50" s="271"/>
      <c r="Q50" s="271"/>
      <c r="R50" s="271"/>
      <c r="S50" s="271"/>
      <c r="T50" s="271"/>
      <c r="U50" s="271"/>
      <c r="V50" s="271"/>
      <c r="W50" s="271"/>
      <c r="X50" s="271"/>
      <c r="Y50" s="271"/>
      <c r="Z50" s="271"/>
      <c r="AA50" s="271"/>
      <c r="AB50" s="271"/>
      <c r="AC50" s="271"/>
      <c r="AD50" s="271"/>
      <c r="AE50" s="177"/>
      <c r="AF50" s="177"/>
      <c r="AG50" s="177"/>
      <c r="AH50" s="177"/>
    </row>
    <row r="51" spans="1:34">
      <c r="A51" s="184"/>
      <c r="B51" s="190"/>
      <c r="C51" s="244" t="s">
        <v>215</v>
      </c>
      <c r="D51" s="188"/>
      <c r="E51" s="188"/>
      <c r="F51" s="188"/>
      <c r="G51" s="188"/>
      <c r="H51" s="272"/>
      <c r="I51" s="272">
        <f t="shared" ref="I51:X51" si="37">IF(ISERROR(I54/I47),0,I54/I47)</f>
        <v>0.37510733548869757</v>
      </c>
      <c r="J51" s="272">
        <f t="shared" si="37"/>
        <v>0.39406287888831881</v>
      </c>
      <c r="K51" s="272">
        <f t="shared" si="37"/>
        <v>0.38390979899476563</v>
      </c>
      <c r="L51" s="272">
        <f t="shared" si="37"/>
        <v>0.54688345747465139</v>
      </c>
      <c r="M51" s="272">
        <f t="shared" si="37"/>
        <v>0.57271147609796758</v>
      </c>
      <c r="N51" s="272">
        <f t="shared" si="37"/>
        <v>0.29189533812264479</v>
      </c>
      <c r="O51" s="272">
        <f t="shared" si="37"/>
        <v>0.18749034676375426</v>
      </c>
      <c r="P51" s="272">
        <f t="shared" si="37"/>
        <v>0.39509956321676487</v>
      </c>
      <c r="Q51" s="272">
        <f t="shared" si="37"/>
        <v>9.2090171095221343E-2</v>
      </c>
      <c r="R51" s="272">
        <f t="shared" si="37"/>
        <v>0.4272295331581818</v>
      </c>
      <c r="S51" s="272">
        <f t="shared" si="37"/>
        <v>0.54874088075339877</v>
      </c>
      <c r="T51" s="272">
        <f t="shared" si="37"/>
        <v>0.28841922915516827</v>
      </c>
      <c r="U51" s="272">
        <f t="shared" si="37"/>
        <v>0.16046818311929631</v>
      </c>
      <c r="V51" s="272">
        <f t="shared" si="37"/>
        <v>0.4002253498472445</v>
      </c>
      <c r="W51" s="272">
        <f t="shared" si="37"/>
        <v>0.41121110223715829</v>
      </c>
      <c r="X51" s="272">
        <f t="shared" si="37"/>
        <v>0.32320424125658292</v>
      </c>
      <c r="Y51" s="272">
        <f t="shared" ref="Y51:AD51" si="38">IF(ISERROR(Y54/Y47),0,Y54/Y47)</f>
        <v>0.31704796999455287</v>
      </c>
      <c r="Z51" s="272">
        <f t="shared" si="38"/>
        <v>0.31100896104227571</v>
      </c>
      <c r="AA51" s="272">
        <f t="shared" si="38"/>
        <v>0.30508498083194657</v>
      </c>
      <c r="AB51" s="272">
        <f t="shared" si="38"/>
        <v>0.2992738383399095</v>
      </c>
      <c r="AC51" s="272">
        <f t="shared" si="38"/>
        <v>0.29357338427629215</v>
      </c>
      <c r="AD51" s="272">
        <f t="shared" si="38"/>
        <v>0.28798151029007701</v>
      </c>
      <c r="AE51" s="177"/>
      <c r="AF51" s="177"/>
      <c r="AG51" s="177"/>
      <c r="AH51" s="177"/>
    </row>
    <row r="52" spans="1:34">
      <c r="A52" s="184"/>
      <c r="B52" s="190"/>
      <c r="C52" s="244" t="s">
        <v>216</v>
      </c>
      <c r="D52" s="188"/>
      <c r="E52" s="188"/>
      <c r="F52" s="188"/>
      <c r="G52" s="188"/>
      <c r="H52" s="268"/>
      <c r="I52" s="268"/>
      <c r="J52" s="273">
        <f t="shared" ref="J52:AB52" si="39">IF(ISERROR(J51/I51-1),0,J51/I51-1)</f>
        <v>5.0533651587819639E-2</v>
      </c>
      <c r="K52" s="273">
        <f t="shared" si="39"/>
        <v>-2.5765126423975215E-2</v>
      </c>
      <c r="L52" s="273">
        <f t="shared" si="39"/>
        <v>0.42451028576665162</v>
      </c>
      <c r="M52" s="273">
        <f t="shared" si="39"/>
        <v>4.7227646531095457E-2</v>
      </c>
      <c r="N52" s="273">
        <f t="shared" si="39"/>
        <v>-0.49032741562749238</v>
      </c>
      <c r="O52" s="273">
        <f t="shared" si="39"/>
        <v>-0.35767954373777289</v>
      </c>
      <c r="P52" s="273">
        <f t="shared" si="39"/>
        <v>1.1073061628853189</v>
      </c>
      <c r="Q52" s="273">
        <f t="shared" si="39"/>
        <v>-0.76691907643365931</v>
      </c>
      <c r="R52" s="273">
        <f t="shared" si="39"/>
        <v>3.6392522467617736</v>
      </c>
      <c r="S52" s="273">
        <f t="shared" si="39"/>
        <v>0.28441701278695874</v>
      </c>
      <c r="T52" s="273">
        <f t="shared" si="39"/>
        <v>-0.47439813713317569</v>
      </c>
      <c r="U52" s="273">
        <f t="shared" si="39"/>
        <v>-0.44362869428180485</v>
      </c>
      <c r="V52" s="273">
        <f t="shared" si="39"/>
        <v>1.4941103093920267</v>
      </c>
      <c r="W52" s="273">
        <f t="shared" si="39"/>
        <v>2.744891695167917E-2</v>
      </c>
      <c r="X52" s="273">
        <f t="shared" si="39"/>
        <v>-0.21401868894536569</v>
      </c>
      <c r="Y52" s="273">
        <f t="shared" si="39"/>
        <v>-1.9047619047618758E-2</v>
      </c>
      <c r="Z52" s="273">
        <f t="shared" si="39"/>
        <v>-1.9047619047618869E-2</v>
      </c>
      <c r="AA52" s="273">
        <f t="shared" si="39"/>
        <v>-1.9047619047619313E-2</v>
      </c>
      <c r="AB52" s="273">
        <f t="shared" si="39"/>
        <v>-1.904761904761898E-2</v>
      </c>
      <c r="AC52" s="273">
        <f>IF(ISERROR(AC51/AB51-1),0,AC51/AB51-1)</f>
        <v>-1.9047619047619202E-2</v>
      </c>
      <c r="AD52" s="273">
        <f>IF(ISERROR(AD51/AC51-1),0,AD51/AC51-1)</f>
        <v>-1.9047619047619202E-2</v>
      </c>
      <c r="AE52" s="177"/>
      <c r="AF52" s="177"/>
      <c r="AG52" s="177"/>
      <c r="AH52" s="177"/>
    </row>
    <row r="53" spans="1:34">
      <c r="A53" s="184"/>
      <c r="B53" s="190"/>
      <c r="C53" s="244"/>
      <c r="D53" s="188"/>
      <c r="E53" s="188"/>
      <c r="F53" s="188"/>
      <c r="G53" s="188"/>
      <c r="H53" s="268"/>
      <c r="I53" s="268"/>
      <c r="J53" s="268"/>
      <c r="K53" s="268"/>
      <c r="L53" s="268"/>
      <c r="M53" s="268"/>
      <c r="N53" s="268"/>
      <c r="O53" s="268"/>
      <c r="P53" s="268"/>
      <c r="Q53" s="268"/>
      <c r="R53" s="268"/>
      <c r="S53" s="268"/>
      <c r="T53" s="268"/>
      <c r="U53" s="268"/>
      <c r="V53" s="268"/>
      <c r="W53" s="268"/>
      <c r="X53" s="268"/>
      <c r="Y53" s="268"/>
      <c r="Z53" s="268"/>
      <c r="AA53" s="268"/>
      <c r="AB53" s="268"/>
      <c r="AC53" s="268"/>
      <c r="AD53" s="268"/>
      <c r="AE53" s="177"/>
      <c r="AF53" s="177"/>
      <c r="AG53" s="177"/>
      <c r="AH53" s="177"/>
    </row>
    <row r="54" spans="1:34">
      <c r="A54" s="184"/>
      <c r="B54" s="190"/>
      <c r="C54" s="244" t="s">
        <v>217</v>
      </c>
      <c r="D54" s="188"/>
      <c r="E54" s="188"/>
      <c r="F54" s="188"/>
      <c r="G54" s="188"/>
      <c r="H54" s="274">
        <f t="shared" ref="H54:X54" si="40">IF(ISERROR(H143),0,H143)</f>
        <v>2284.9063420054831</v>
      </c>
      <c r="I54" s="274">
        <f t="shared" si="40"/>
        <v>560.0352518846255</v>
      </c>
      <c r="J54" s="274">
        <f t="shared" si="40"/>
        <v>656.11469334905087</v>
      </c>
      <c r="K54" s="274">
        <f t="shared" si="40"/>
        <v>707.5457595473531</v>
      </c>
      <c r="L54" s="274">
        <f t="shared" si="40"/>
        <v>1127.6736893127311</v>
      </c>
      <c r="M54" s="274">
        <f t="shared" si="40"/>
        <v>1273.7103228418798</v>
      </c>
      <c r="N54" s="274">
        <f t="shared" si="40"/>
        <v>695.0028000700172</v>
      </c>
      <c r="O54" s="274">
        <f t="shared" si="40"/>
        <v>462.35119511941798</v>
      </c>
      <c r="P54" s="274">
        <f t="shared" si="40"/>
        <v>1012.6401805245683</v>
      </c>
      <c r="Q54" s="274">
        <f t="shared" si="40"/>
        <v>244.22313374452699</v>
      </c>
      <c r="R54" s="274">
        <f t="shared" si="40"/>
        <v>1171.8906094528927</v>
      </c>
      <c r="S54" s="274">
        <f t="shared" si="40"/>
        <v>1568.8501780739671</v>
      </c>
      <c r="T54" s="274">
        <f t="shared" si="40"/>
        <v>837.85786069576386</v>
      </c>
      <c r="U54" s="274">
        <f t="shared" si="40"/>
        <v>489.42795851385375</v>
      </c>
      <c r="V54" s="274">
        <f t="shared" si="40"/>
        <v>1288.3254011582801</v>
      </c>
      <c r="W54" s="274">
        <f t="shared" si="40"/>
        <v>1389.8729650064834</v>
      </c>
      <c r="X54" s="274">
        <f t="shared" si="40"/>
        <v>1147.034883996947</v>
      </c>
      <c r="Y54" s="274">
        <f t="shared" ref="Y54:AD54" si="41">IF(ISERROR(Y143),0,Y143)</f>
        <v>1181.4459305168557</v>
      </c>
      <c r="Z54" s="274">
        <f t="shared" si="41"/>
        <v>1216.8893084323615</v>
      </c>
      <c r="AA54" s="274">
        <f t="shared" si="41"/>
        <v>1253.3959876853323</v>
      </c>
      <c r="AB54" s="274">
        <f t="shared" si="41"/>
        <v>1290.9978673158921</v>
      </c>
      <c r="AC54" s="274">
        <f t="shared" si="41"/>
        <v>1329.7278033353689</v>
      </c>
      <c r="AD54" s="274">
        <f t="shared" si="41"/>
        <v>1369.6196374354299</v>
      </c>
      <c r="AE54" s="177"/>
      <c r="AF54" s="177"/>
      <c r="AG54" s="177"/>
      <c r="AH54" s="177"/>
    </row>
    <row r="55" spans="1:34">
      <c r="A55" s="184"/>
      <c r="B55" s="190"/>
      <c r="C55" s="244"/>
      <c r="D55" s="188"/>
      <c r="E55" s="188"/>
      <c r="F55" s="188"/>
      <c r="G55" s="188"/>
      <c r="H55" s="177"/>
      <c r="I55" s="273">
        <f t="shared" ref="I55:AB55" si="42">IF(ISERROR(I54/H54-1),0,I54/H54-1)</f>
        <v>-0.75489793975840713</v>
      </c>
      <c r="J55" s="273">
        <f t="shared" si="42"/>
        <v>0.1715596315430139</v>
      </c>
      <c r="K55" s="273">
        <f t="shared" si="42"/>
        <v>7.8387310510878994E-2</v>
      </c>
      <c r="L55" s="273">
        <f t="shared" si="42"/>
        <v>0.59378199091201056</v>
      </c>
      <c r="M55" s="273">
        <f t="shared" si="42"/>
        <v>0.12950256347485745</v>
      </c>
      <c r="N55" s="273">
        <f t="shared" si="42"/>
        <v>-0.45434783120910938</v>
      </c>
      <c r="O55" s="273">
        <f t="shared" si="42"/>
        <v>-0.33474916205684502</v>
      </c>
      <c r="P55" s="273">
        <f t="shared" si="42"/>
        <v>1.1901969568025437</v>
      </c>
      <c r="Q55" s="273">
        <f t="shared" si="42"/>
        <v>-0.7588253572774345</v>
      </c>
      <c r="R55" s="273">
        <f t="shared" si="42"/>
        <v>3.7984422748369333</v>
      </c>
      <c r="S55" s="273">
        <f t="shared" si="42"/>
        <v>0.33873431992632685</v>
      </c>
      <c r="T55" s="273">
        <f t="shared" si="42"/>
        <v>-0.4659414439915619</v>
      </c>
      <c r="U55" s="273">
        <f t="shared" si="42"/>
        <v>-0.41585800948692075</v>
      </c>
      <c r="V55" s="273">
        <f t="shared" si="42"/>
        <v>1.6323085527648962</v>
      </c>
      <c r="W55" s="273">
        <f t="shared" si="42"/>
        <v>7.8821362799263328E-2</v>
      </c>
      <c r="X55" s="273">
        <f t="shared" si="42"/>
        <v>-0.17471962339263403</v>
      </c>
      <c r="Y55" s="273">
        <f t="shared" si="42"/>
        <v>3.0000000000000249E-2</v>
      </c>
      <c r="Z55" s="273">
        <f t="shared" si="42"/>
        <v>3.0000000000000249E-2</v>
      </c>
      <c r="AA55" s="273">
        <f t="shared" si="42"/>
        <v>3.0000000000000027E-2</v>
      </c>
      <c r="AB55" s="273">
        <f t="shared" si="42"/>
        <v>2.9999999999999805E-2</v>
      </c>
      <c r="AC55" s="273">
        <f>IF(ISERROR(AC54/AB54-1),0,AC54/AB54-1)</f>
        <v>3.0000000000000027E-2</v>
      </c>
      <c r="AD55" s="273">
        <f>IF(ISERROR(AD54/AC54-1),0,AD54/AC54-1)</f>
        <v>3.0000000000000027E-2</v>
      </c>
      <c r="AE55" s="177"/>
      <c r="AF55" s="177"/>
      <c r="AG55" s="177"/>
      <c r="AH55" s="177"/>
    </row>
    <row r="56" spans="1:34" ht="12" customHeight="1">
      <c r="A56" s="184"/>
      <c r="B56" s="190"/>
      <c r="C56" s="261" t="s">
        <v>218</v>
      </c>
      <c r="D56" s="217"/>
      <c r="E56" s="217"/>
      <c r="F56" s="217"/>
      <c r="G56" s="275">
        <f>+sumry!DM68</f>
        <v>0.39299999999999996</v>
      </c>
      <c r="H56" s="194"/>
      <c r="I56" s="276"/>
      <c r="J56" s="277"/>
      <c r="K56" s="277"/>
      <c r="L56" s="277"/>
      <c r="M56" s="277"/>
      <c r="N56" s="277"/>
      <c r="O56" s="277"/>
      <c r="P56" s="277"/>
      <c r="Q56" s="277"/>
      <c r="R56" s="277"/>
      <c r="S56" s="277"/>
      <c r="T56" s="277"/>
      <c r="U56" s="277"/>
      <c r="V56" s="277"/>
      <c r="W56" s="277"/>
      <c r="X56" s="277"/>
      <c r="Y56" s="277"/>
      <c r="Z56" s="277"/>
      <c r="AA56" s="277"/>
      <c r="AB56" s="277"/>
      <c r="AC56" s="277"/>
      <c r="AD56" s="277"/>
      <c r="AE56" s="177"/>
      <c r="AF56" s="177"/>
      <c r="AG56" s="177"/>
      <c r="AH56" s="177"/>
    </row>
    <row r="57" spans="1:34">
      <c r="A57" s="184"/>
      <c r="B57" s="190"/>
      <c r="C57" s="244"/>
      <c r="D57" s="254"/>
      <c r="E57" s="254"/>
      <c r="F57" s="254"/>
      <c r="G57" s="254"/>
      <c r="H57" s="277"/>
      <c r="I57" s="277"/>
      <c r="J57" s="278"/>
      <c r="K57" s="278"/>
      <c r="L57" s="278"/>
      <c r="M57" s="278"/>
      <c r="N57" s="278"/>
      <c r="O57" s="278"/>
      <c r="P57" s="278"/>
      <c r="Q57" s="278"/>
      <c r="R57" s="278"/>
      <c r="S57" s="278"/>
      <c r="T57" s="278"/>
      <c r="U57" s="278"/>
      <c r="V57" s="278"/>
      <c r="W57" s="278"/>
      <c r="X57" s="278"/>
      <c r="Y57" s="278"/>
      <c r="Z57" s="278"/>
      <c r="AA57" s="278"/>
      <c r="AB57" s="278"/>
      <c r="AC57" s="278"/>
      <c r="AD57" s="278"/>
      <c r="AE57" s="177"/>
      <c r="AF57" s="177"/>
      <c r="AG57" s="177"/>
      <c r="AH57" s="177"/>
    </row>
    <row r="58" spans="1:34">
      <c r="A58" s="184"/>
      <c r="B58" s="190"/>
      <c r="C58" s="244" t="s">
        <v>219</v>
      </c>
      <c r="D58" s="254"/>
      <c r="E58" s="254"/>
      <c r="F58" s="254"/>
      <c r="G58" s="254"/>
      <c r="H58" s="279">
        <v>0.8</v>
      </c>
      <c r="I58" s="279">
        <v>0.8</v>
      </c>
      <c r="J58" s="279">
        <v>0.8</v>
      </c>
      <c r="K58" s="279">
        <v>0.8</v>
      </c>
      <c r="L58" s="279">
        <v>0.8</v>
      </c>
      <c r="M58" s="279">
        <v>0.8</v>
      </c>
      <c r="N58" s="279">
        <v>0.8</v>
      </c>
      <c r="O58" s="279">
        <v>0.8</v>
      </c>
      <c r="P58" s="279">
        <v>0.8</v>
      </c>
      <c r="Q58" s="279">
        <v>0.8</v>
      </c>
      <c r="R58" s="279">
        <v>0.8</v>
      </c>
      <c r="S58" s="279">
        <v>0.8</v>
      </c>
      <c r="T58" s="279">
        <v>0.8</v>
      </c>
      <c r="U58" s="279">
        <v>0.8</v>
      </c>
      <c r="V58" s="279">
        <v>0.8</v>
      </c>
      <c r="W58" s="279">
        <v>0.8</v>
      </c>
      <c r="X58" s="279">
        <v>0.8</v>
      </c>
      <c r="Y58" s="279">
        <v>0.8</v>
      </c>
      <c r="Z58" s="279">
        <v>0.8</v>
      </c>
      <c r="AA58" s="279">
        <v>0.8</v>
      </c>
      <c r="AB58" s="279">
        <v>0.8</v>
      </c>
      <c r="AC58" s="279">
        <v>0.8</v>
      </c>
      <c r="AD58" s="279">
        <v>0.8</v>
      </c>
      <c r="AE58" s="177"/>
      <c r="AF58" s="177"/>
      <c r="AG58" s="177"/>
      <c r="AH58" s="177"/>
    </row>
    <row r="59" spans="1:34">
      <c r="A59" s="280"/>
      <c r="B59" s="281"/>
      <c r="C59" s="261" t="s">
        <v>220</v>
      </c>
      <c r="D59" s="217"/>
      <c r="E59" s="217"/>
      <c r="F59" s="217"/>
      <c r="G59" s="217"/>
      <c r="H59" s="282">
        <f t="shared" ref="H59:Z59" si="43">H54*H58</f>
        <v>1827.9250736043866</v>
      </c>
      <c r="I59" s="282">
        <f t="shared" si="43"/>
        <v>448.02820150770043</v>
      </c>
      <c r="J59" s="282">
        <f t="shared" si="43"/>
        <v>524.89175467924076</v>
      </c>
      <c r="K59" s="282">
        <f t="shared" si="43"/>
        <v>566.03660763788253</v>
      </c>
      <c r="L59" s="282">
        <f t="shared" si="43"/>
        <v>902.13895145018489</v>
      </c>
      <c r="M59" s="282">
        <f t="shared" si="43"/>
        <v>1018.9682582735039</v>
      </c>
      <c r="N59" s="282">
        <f t="shared" si="43"/>
        <v>556.00224005601376</v>
      </c>
      <c r="O59" s="282">
        <f t="shared" si="43"/>
        <v>369.88095609553443</v>
      </c>
      <c r="P59" s="282">
        <f t="shared" si="43"/>
        <v>810.11214441965467</v>
      </c>
      <c r="Q59" s="282">
        <f t="shared" si="43"/>
        <v>195.37850699562159</v>
      </c>
      <c r="R59" s="282">
        <f t="shared" si="43"/>
        <v>937.51248756231416</v>
      </c>
      <c r="S59" s="282">
        <f t="shared" si="43"/>
        <v>1255.0801424591737</v>
      </c>
      <c r="T59" s="282">
        <f t="shared" si="43"/>
        <v>670.28628855661111</v>
      </c>
      <c r="U59" s="282">
        <f t="shared" si="43"/>
        <v>391.54236681108301</v>
      </c>
      <c r="V59" s="282">
        <f t="shared" si="43"/>
        <v>1030.6603209266241</v>
      </c>
      <c r="W59" s="282">
        <f t="shared" si="43"/>
        <v>1111.8983720051867</v>
      </c>
      <c r="X59" s="282">
        <f t="shared" si="43"/>
        <v>917.62790719755765</v>
      </c>
      <c r="Y59" s="282">
        <f t="shared" si="43"/>
        <v>945.1567444134846</v>
      </c>
      <c r="Z59" s="282">
        <f t="shared" si="43"/>
        <v>973.51144674588932</v>
      </c>
      <c r="AA59" s="282">
        <f>AA54*AA58</f>
        <v>1002.7167901482659</v>
      </c>
      <c r="AB59" s="282">
        <f>AB54*AB58</f>
        <v>1032.7982938527136</v>
      </c>
      <c r="AC59" s="282">
        <f>AC54*AC58</f>
        <v>1063.7822426682951</v>
      </c>
      <c r="AD59" s="282">
        <f>AD54*AD58</f>
        <v>1095.6957099483441</v>
      </c>
      <c r="AE59" s="283"/>
      <c r="AF59" s="283"/>
      <c r="AG59" s="283"/>
      <c r="AH59" s="283"/>
    </row>
    <row r="60" spans="1:34">
      <c r="A60" s="280"/>
      <c r="B60" s="281"/>
      <c r="C60" s="261" t="s">
        <v>221</v>
      </c>
      <c r="D60" s="217"/>
      <c r="E60" s="217"/>
      <c r="F60" s="217"/>
      <c r="G60" s="217"/>
      <c r="H60" s="274"/>
      <c r="I60" s="274">
        <f t="shared" ref="I60:Z60" si="44">I54-I59</f>
        <v>112.00705037692506</v>
      </c>
      <c r="J60" s="274">
        <f t="shared" si="44"/>
        <v>131.22293866981011</v>
      </c>
      <c r="K60" s="274">
        <f t="shared" si="44"/>
        <v>141.50915190947057</v>
      </c>
      <c r="L60" s="274">
        <f t="shared" si="44"/>
        <v>225.53473786254619</v>
      </c>
      <c r="M60" s="274">
        <f t="shared" si="44"/>
        <v>254.74206456837589</v>
      </c>
      <c r="N60" s="274">
        <f t="shared" si="44"/>
        <v>139.00056001400344</v>
      </c>
      <c r="O60" s="274">
        <f t="shared" si="44"/>
        <v>92.470239023883551</v>
      </c>
      <c r="P60" s="274">
        <f t="shared" si="44"/>
        <v>202.52803610491367</v>
      </c>
      <c r="Q60" s="274">
        <f t="shared" si="44"/>
        <v>48.844626748905398</v>
      </c>
      <c r="R60" s="274">
        <f t="shared" si="44"/>
        <v>234.37812189057854</v>
      </c>
      <c r="S60" s="274">
        <f t="shared" si="44"/>
        <v>313.77003561479341</v>
      </c>
      <c r="T60" s="274">
        <f t="shared" si="44"/>
        <v>167.57157213915275</v>
      </c>
      <c r="U60" s="274">
        <f t="shared" si="44"/>
        <v>97.885591702770739</v>
      </c>
      <c r="V60" s="274">
        <f t="shared" si="44"/>
        <v>257.66508023165602</v>
      </c>
      <c r="W60" s="274">
        <f t="shared" si="44"/>
        <v>277.97459300129663</v>
      </c>
      <c r="X60" s="274">
        <f t="shared" si="44"/>
        <v>229.40697679938933</v>
      </c>
      <c r="Y60" s="274">
        <f t="shared" si="44"/>
        <v>236.28918610337109</v>
      </c>
      <c r="Z60" s="274">
        <f t="shared" si="44"/>
        <v>243.37786168647222</v>
      </c>
      <c r="AA60" s="274">
        <f>AA54-AA59</f>
        <v>250.67919753706644</v>
      </c>
      <c r="AB60" s="274">
        <f>AB54-AB59</f>
        <v>258.19957346317847</v>
      </c>
      <c r="AC60" s="274">
        <f>AC54-AC59</f>
        <v>265.94556066707378</v>
      </c>
      <c r="AD60" s="274">
        <f>AD54-AD59</f>
        <v>273.92392748708585</v>
      </c>
      <c r="AE60" s="217"/>
      <c r="AF60" s="217"/>
      <c r="AG60" s="217"/>
      <c r="AH60" s="217"/>
    </row>
    <row r="61" spans="1:34">
      <c r="A61" s="184"/>
      <c r="B61" s="190"/>
      <c r="C61" s="244"/>
      <c r="D61" s="254"/>
      <c r="E61" s="254"/>
      <c r="F61" s="254"/>
      <c r="G61" s="254"/>
      <c r="H61" s="284"/>
      <c r="I61" s="277"/>
      <c r="J61" s="277"/>
      <c r="K61" s="277"/>
      <c r="L61" s="277"/>
      <c r="M61" s="277"/>
      <c r="N61" s="277"/>
      <c r="O61" s="277"/>
      <c r="P61" s="277"/>
      <c r="Q61" s="277"/>
      <c r="R61" s="277"/>
      <c r="S61" s="277"/>
      <c r="T61" s="277"/>
      <c r="U61" s="277"/>
      <c r="V61" s="277"/>
      <c r="W61" s="277"/>
      <c r="X61" s="277"/>
      <c r="Y61" s="277"/>
      <c r="Z61" s="277"/>
      <c r="AA61" s="277"/>
      <c r="AB61" s="277"/>
      <c r="AC61" s="277"/>
      <c r="AD61" s="277"/>
      <c r="AE61" s="177"/>
      <c r="AF61" s="177"/>
      <c r="AG61" s="177"/>
      <c r="AH61" s="177"/>
    </row>
    <row r="62" spans="1:34">
      <c r="A62" s="184"/>
      <c r="B62" s="190"/>
      <c r="C62" s="188"/>
      <c r="D62" s="188"/>
      <c r="E62" s="188"/>
      <c r="F62" s="188"/>
      <c r="G62" s="188"/>
      <c r="H62" s="285"/>
      <c r="I62" s="285"/>
      <c r="J62" s="285"/>
      <c r="K62" s="285"/>
      <c r="L62" s="285"/>
      <c r="M62" s="285"/>
      <c r="N62" s="285"/>
      <c r="O62" s="286"/>
      <c r="P62" s="286"/>
      <c r="Q62" s="286"/>
      <c r="R62" s="286"/>
      <c r="S62" s="286"/>
      <c r="T62" s="286"/>
      <c r="U62" s="286"/>
      <c r="V62" s="286"/>
      <c r="W62" s="286"/>
      <c r="X62" s="286"/>
      <c r="Y62" s="286"/>
      <c r="Z62" s="286"/>
      <c r="AA62" s="286"/>
      <c r="AB62" s="286"/>
      <c r="AC62" s="286"/>
      <c r="AD62" s="286"/>
      <c r="AE62" s="177"/>
      <c r="AF62" s="177"/>
      <c r="AG62" s="177"/>
      <c r="AH62" s="177"/>
    </row>
    <row r="63" spans="1:34">
      <c r="A63" s="184"/>
      <c r="B63" s="190"/>
      <c r="C63" s="188" t="s">
        <v>222</v>
      </c>
      <c r="D63" s="188"/>
      <c r="E63" s="188"/>
      <c r="F63" s="188"/>
      <c r="G63" s="188"/>
      <c r="H63" s="274">
        <f t="shared" ref="H63:R63" si="45">IF(ISERROR(H76),0,H76)</f>
        <v>352.6</v>
      </c>
      <c r="I63" s="274">
        <f t="shared" si="45"/>
        <v>390.6</v>
      </c>
      <c r="J63" s="274">
        <f t="shared" si="45"/>
        <v>446.6</v>
      </c>
      <c r="K63" s="274">
        <f t="shared" si="45"/>
        <v>524.70000000000005</v>
      </c>
      <c r="L63" s="274">
        <f t="shared" si="45"/>
        <v>597.79999999999995</v>
      </c>
      <c r="M63" s="274">
        <f t="shared" si="45"/>
        <v>713.3</v>
      </c>
      <c r="N63" s="274">
        <f t="shared" si="45"/>
        <v>774.9</v>
      </c>
      <c r="O63" s="274">
        <f t="shared" si="45"/>
        <v>837.6</v>
      </c>
      <c r="P63" s="274">
        <f t="shared" si="45"/>
        <v>896.6</v>
      </c>
      <c r="Q63" s="274">
        <f t="shared" si="45"/>
        <v>936.6</v>
      </c>
      <c r="R63" s="274">
        <f t="shared" si="45"/>
        <v>962</v>
      </c>
      <c r="S63" s="274">
        <f>IF(ISERROR(S76),0,S76)</f>
        <v>1031.4000000000001</v>
      </c>
      <c r="T63" s="274">
        <f>IF(ISERROR(T76),0,T76)</f>
        <v>1086</v>
      </c>
      <c r="U63" s="274">
        <f>IF(ISERROR(U76),0,U76)</f>
        <v>1171.5999999999999</v>
      </c>
      <c r="V63" s="274">
        <f t="shared" ref="V63:AB63" si="46">U63*(1+V64)</f>
        <v>1263.9471086556168</v>
      </c>
      <c r="W63" s="274">
        <f t="shared" si="46"/>
        <v>1363.573142266041</v>
      </c>
      <c r="X63" s="274">
        <f t="shared" si="46"/>
        <v>1404.4803365340224</v>
      </c>
      <c r="Y63" s="274">
        <f t="shared" si="46"/>
        <v>1446.6147466300431</v>
      </c>
      <c r="Z63" s="274">
        <f t="shared" si="46"/>
        <v>1490.0131890289445</v>
      </c>
      <c r="AA63" s="274">
        <f t="shared" si="46"/>
        <v>1534.7135846998128</v>
      </c>
      <c r="AB63" s="274">
        <f t="shared" si="46"/>
        <v>1580.7549922408073</v>
      </c>
      <c r="AC63" s="274">
        <f>AB63*(1+AC64)</f>
        <v>1628.1776420080316</v>
      </c>
      <c r="AD63" s="274">
        <f>AC63*(1+AD64)</f>
        <v>1677.0229712682726</v>
      </c>
      <c r="AE63" s="177"/>
      <c r="AF63" s="177"/>
      <c r="AG63" s="177"/>
      <c r="AH63" s="177"/>
    </row>
    <row r="64" spans="1:34">
      <c r="A64" s="184"/>
      <c r="B64" s="190"/>
      <c r="C64" s="287" t="s">
        <v>223</v>
      </c>
      <c r="D64" s="287"/>
      <c r="E64" s="287"/>
      <c r="F64" s="287"/>
      <c r="G64" s="287"/>
      <c r="H64" s="277"/>
      <c r="I64" s="273">
        <f t="shared" ref="I64:U64" si="47">IF(ISERROR(I63/H63-1),0,I63/H63-1)</f>
        <v>0.10777084515031188</v>
      </c>
      <c r="J64" s="273">
        <f t="shared" si="47"/>
        <v>0.14336917562724016</v>
      </c>
      <c r="K64" s="273">
        <f t="shared" si="47"/>
        <v>0.17487684729064035</v>
      </c>
      <c r="L64" s="273">
        <f t="shared" si="47"/>
        <v>0.13931770535544108</v>
      </c>
      <c r="M64" s="273">
        <f t="shared" si="47"/>
        <v>0.19320843091334905</v>
      </c>
      <c r="N64" s="273">
        <f t="shared" si="47"/>
        <v>8.6359175662414245E-2</v>
      </c>
      <c r="O64" s="273">
        <f t="shared" si="47"/>
        <v>8.0913666279520013E-2</v>
      </c>
      <c r="P64" s="273">
        <f t="shared" si="47"/>
        <v>7.0439350525310473E-2</v>
      </c>
      <c r="Q64" s="273">
        <f t="shared" si="47"/>
        <v>4.4612982377872035E-2</v>
      </c>
      <c r="R64" s="273">
        <f t="shared" si="47"/>
        <v>2.7119367926542681E-2</v>
      </c>
      <c r="S64" s="273">
        <f t="shared" si="47"/>
        <v>7.2141372141372173E-2</v>
      </c>
      <c r="T64" s="273">
        <f t="shared" si="47"/>
        <v>5.2937754508435075E-2</v>
      </c>
      <c r="U64" s="273">
        <f t="shared" si="47"/>
        <v>7.8821362799263328E-2</v>
      </c>
      <c r="V64" s="288">
        <f>U64</f>
        <v>7.8821362799263328E-2</v>
      </c>
      <c r="W64" s="288">
        <f>V64</f>
        <v>7.8821362799263328E-2</v>
      </c>
      <c r="X64" s="288">
        <v>0.03</v>
      </c>
      <c r="Y64" s="288">
        <v>0.03</v>
      </c>
      <c r="Z64" s="288">
        <v>0.03</v>
      </c>
      <c r="AA64" s="288">
        <v>0.03</v>
      </c>
      <c r="AB64" s="288">
        <v>0.03</v>
      </c>
      <c r="AC64" s="288">
        <v>0.03</v>
      </c>
      <c r="AD64" s="288">
        <v>0.03</v>
      </c>
      <c r="AE64" s="289"/>
      <c r="AF64" s="289"/>
      <c r="AG64" s="289"/>
      <c r="AH64" s="289"/>
    </row>
    <row r="65" spans="1:34">
      <c r="A65" s="184"/>
      <c r="B65" s="190"/>
      <c r="C65" s="188"/>
      <c r="D65" s="188"/>
      <c r="E65" s="188"/>
      <c r="F65" s="188"/>
      <c r="G65" s="188"/>
      <c r="H65" s="290"/>
      <c r="I65" s="290"/>
      <c r="J65" s="290"/>
      <c r="K65" s="290"/>
      <c r="L65" s="290"/>
      <c r="M65" s="290"/>
      <c r="N65" s="290"/>
      <c r="O65" s="290"/>
      <c r="P65" s="290"/>
      <c r="Q65" s="290"/>
      <c r="R65" s="290"/>
      <c r="S65" s="290"/>
      <c r="T65" s="290"/>
      <c r="U65" s="290"/>
      <c r="V65" s="290"/>
      <c r="W65" s="290"/>
      <c r="X65" s="290"/>
      <c r="Y65" s="290"/>
      <c r="Z65" s="290"/>
      <c r="AA65" s="290"/>
      <c r="AB65" s="290"/>
      <c r="AC65" s="290"/>
      <c r="AD65" s="290"/>
      <c r="AE65" s="177"/>
      <c r="AF65" s="177"/>
      <c r="AG65" s="177"/>
      <c r="AH65" s="177"/>
    </row>
    <row r="66" spans="1:34">
      <c r="A66" s="184"/>
      <c r="B66" s="190"/>
      <c r="C66" s="291" t="s">
        <v>224</v>
      </c>
      <c r="D66" s="188"/>
      <c r="E66" s="188"/>
      <c r="F66" s="188"/>
      <c r="G66" s="188"/>
      <c r="H66" s="292">
        <f t="shared" ref="H66:X66" si="48">IF(ISERROR(H$68+SUM(H77:H81)),0,H$68+SUM(H77:H81))</f>
        <v>2582.1360000000004</v>
      </c>
      <c r="I66" s="292">
        <f t="shared" si="48"/>
        <v>3024.1750000000002</v>
      </c>
      <c r="J66" s="292">
        <f t="shared" si="48"/>
        <v>3526.0840000000003</v>
      </c>
      <c r="K66" s="292">
        <f t="shared" si="48"/>
        <v>3954.2789999999995</v>
      </c>
      <c r="L66" s="292">
        <f t="shared" si="48"/>
        <v>4314.2550000000001</v>
      </c>
      <c r="M66" s="292">
        <f t="shared" si="48"/>
        <v>4840.6400000000003</v>
      </c>
      <c r="N66" s="292">
        <f t="shared" si="48"/>
        <v>5035.9040000000005</v>
      </c>
      <c r="O66" s="292">
        <f t="shared" si="48"/>
        <v>5118.1039999999994</v>
      </c>
      <c r="P66" s="292">
        <f t="shared" si="48"/>
        <v>5661.6980000000003</v>
      </c>
      <c r="Q66" s="292">
        <f t="shared" si="48"/>
        <v>5071.2829999999994</v>
      </c>
      <c r="R66" s="292">
        <f t="shared" si="48"/>
        <v>5695.0610000000006</v>
      </c>
      <c r="S66" s="292">
        <f>IF(ISERROR(S$68+SUM(S77:S81)),0,S$68+SUM(S77:S81))</f>
        <v>6800.0930000000008</v>
      </c>
      <c r="T66" s="440">
        <f t="shared" si="48"/>
        <v>6985.1020000000008</v>
      </c>
      <c r="U66" s="440">
        <f t="shared" si="48"/>
        <v>6719.2139999999999</v>
      </c>
      <c r="V66" s="440">
        <f t="shared" si="48"/>
        <v>7288.4016931860042</v>
      </c>
      <c r="W66" s="292">
        <f t="shared" si="48"/>
        <v>7862.8834472713834</v>
      </c>
      <c r="X66" s="292">
        <f t="shared" si="48"/>
        <v>8098.7699506895251</v>
      </c>
      <c r="Y66" s="292">
        <f t="shared" ref="Y66:AD66" si="49">IF(ISERROR(Y$68+SUM(Y77:Y81)),0,Y$68+SUM(Y77:Y81))</f>
        <v>8341.7330492102101</v>
      </c>
      <c r="Z66" s="292">
        <f t="shared" si="49"/>
        <v>8591.9850406865171</v>
      </c>
      <c r="AA66" s="292">
        <f t="shared" si="49"/>
        <v>8849.7445919071124</v>
      </c>
      <c r="AB66" s="292">
        <f t="shared" si="49"/>
        <v>9115.2369296643265</v>
      </c>
      <c r="AC66" s="292">
        <f t="shared" si="49"/>
        <v>9388.6940375542563</v>
      </c>
      <c r="AD66" s="292">
        <f t="shared" si="49"/>
        <v>9670.3548586808829</v>
      </c>
      <c r="AE66" s="177"/>
      <c r="AF66" s="177"/>
      <c r="AG66" s="177"/>
      <c r="AH66" s="177"/>
    </row>
    <row r="67" spans="1:34">
      <c r="A67" s="184"/>
      <c r="B67" s="185"/>
      <c r="C67" s="293" t="s">
        <v>225</v>
      </c>
      <c r="D67" s="293"/>
      <c r="E67" s="293"/>
      <c r="F67" s="293"/>
      <c r="G67" s="293"/>
      <c r="H67" s="273"/>
      <c r="I67" s="273">
        <f t="shared" ref="I67:AB67" si="50">IF(ISERROR(I66/H66-1),0,I66/H66-1)</f>
        <v>0.17119121533490089</v>
      </c>
      <c r="J67" s="273">
        <f t="shared" si="50"/>
        <v>0.16596559392230947</v>
      </c>
      <c r="K67" s="273">
        <f t="shared" si="50"/>
        <v>0.12143641501450309</v>
      </c>
      <c r="L67" s="273">
        <f t="shared" si="50"/>
        <v>9.1034547638141117E-2</v>
      </c>
      <c r="M67" s="273">
        <f t="shared" si="50"/>
        <v>0.1220106368306928</v>
      </c>
      <c r="N67" s="273">
        <f t="shared" si="50"/>
        <v>4.0338467640642639E-2</v>
      </c>
      <c r="O67" s="273">
        <f t="shared" si="50"/>
        <v>1.6322789314490382E-2</v>
      </c>
      <c r="P67" s="273">
        <f t="shared" si="50"/>
        <v>0.10621003402822637</v>
      </c>
      <c r="Q67" s="273">
        <f t="shared" si="50"/>
        <v>-0.10428231954441947</v>
      </c>
      <c r="R67" s="273">
        <f t="shared" si="50"/>
        <v>0.12300200955064056</v>
      </c>
      <c r="S67" s="273">
        <f t="shared" si="50"/>
        <v>0.1940333913894865</v>
      </c>
      <c r="T67" s="441">
        <f t="shared" si="50"/>
        <v>2.7206833788890883E-2</v>
      </c>
      <c r="U67" s="441">
        <f t="shared" si="50"/>
        <v>-3.8065013223858579E-2</v>
      </c>
      <c r="V67" s="441">
        <f t="shared" si="50"/>
        <v>8.4710457679425533E-2</v>
      </c>
      <c r="W67" s="273">
        <f t="shared" si="50"/>
        <v>7.8821362799263328E-2</v>
      </c>
      <c r="X67" s="273">
        <f t="shared" si="50"/>
        <v>3.0000000000000027E-2</v>
      </c>
      <c r="Y67" s="273">
        <f t="shared" si="50"/>
        <v>2.9999999999999805E-2</v>
      </c>
      <c r="Z67" s="273">
        <f t="shared" si="50"/>
        <v>3.0000000000000027E-2</v>
      </c>
      <c r="AA67" s="273">
        <f t="shared" si="50"/>
        <v>3.0000000000000027E-2</v>
      </c>
      <c r="AB67" s="273">
        <f t="shared" si="50"/>
        <v>3.0000000000000027E-2</v>
      </c>
      <c r="AC67" s="273">
        <f>IF(ISERROR(AC66/AB66-1),0,AC66/AB66-1)</f>
        <v>3.0000000000000027E-2</v>
      </c>
      <c r="AD67" s="273">
        <f>IF(ISERROR(AD66/AC66-1),0,AD66/AC66-1)</f>
        <v>2.9999999999999805E-2</v>
      </c>
      <c r="AE67" s="177"/>
      <c r="AF67" s="177"/>
      <c r="AG67" s="177"/>
      <c r="AH67" s="177"/>
    </row>
    <row r="68" spans="1:34" ht="12.75" customHeight="1">
      <c r="A68" s="184"/>
      <c r="B68" s="185"/>
      <c r="C68" s="180" t="s">
        <v>226</v>
      </c>
      <c r="D68" s="180"/>
      <c r="E68" s="180"/>
      <c r="F68" s="180"/>
      <c r="G68" s="180"/>
      <c r="H68" s="294">
        <v>1053.0160000000001</v>
      </c>
      <c r="I68" s="294">
        <v>1250.644</v>
      </c>
      <c r="J68" s="294">
        <v>1477.248</v>
      </c>
      <c r="K68" s="294">
        <v>1625.5219999999999</v>
      </c>
      <c r="L68" s="294">
        <v>1551.8130000000001</v>
      </c>
      <c r="M68" s="294">
        <v>1709.386</v>
      </c>
      <c r="N68" s="294">
        <v>1708.41</v>
      </c>
      <c r="O68" s="294">
        <v>1552.165</v>
      </c>
      <c r="P68" s="294">
        <v>1715.3209999999999</v>
      </c>
      <c r="Q68" s="294">
        <v>1437.499</v>
      </c>
      <c r="R68" s="294">
        <v>1610.867</v>
      </c>
      <c r="S68" s="294">
        <v>2304.674</v>
      </c>
      <c r="T68" s="283">
        <v>2361.779</v>
      </c>
      <c r="U68" s="283">
        <v>1966.4839999999999</v>
      </c>
      <c r="V68" s="212">
        <f t="shared" ref="V68:AA68" si="51">SUM(V82:V95)</f>
        <v>2161.0550375690609</v>
      </c>
      <c r="W68" s="295">
        <f t="shared" si="51"/>
        <v>2331.3923407144675</v>
      </c>
      <c r="X68" s="295">
        <f t="shared" si="51"/>
        <v>2401.3341109359017</v>
      </c>
      <c r="Y68" s="295">
        <f t="shared" si="51"/>
        <v>2473.3741342639787</v>
      </c>
      <c r="Z68" s="295">
        <f t="shared" si="51"/>
        <v>2547.5753582918983</v>
      </c>
      <c r="AA68" s="295">
        <f t="shared" si="51"/>
        <v>2624.0026190406552</v>
      </c>
      <c r="AB68" s="295">
        <f>SUM(AB82:AB95)</f>
        <v>2702.7226976118745</v>
      </c>
      <c r="AC68" s="295">
        <f>SUM(AC82:AC95)</f>
        <v>2783.804378540231</v>
      </c>
      <c r="AD68" s="295">
        <f>SUM(AD82:AD95)</f>
        <v>2867.3185098964377</v>
      </c>
      <c r="AE68" s="177"/>
      <c r="AF68" s="177"/>
      <c r="AG68" s="177"/>
      <c r="AH68" s="177"/>
    </row>
    <row r="69" spans="1:34">
      <c r="A69" s="184"/>
      <c r="B69" s="185"/>
      <c r="C69" s="188"/>
      <c r="D69" s="188"/>
      <c r="E69" s="188"/>
      <c r="F69" s="188"/>
      <c r="G69" s="188"/>
      <c r="H69" s="296"/>
      <c r="I69" s="296"/>
      <c r="J69" s="296"/>
      <c r="K69" s="296"/>
      <c r="L69" s="296"/>
      <c r="M69" s="296"/>
      <c r="N69" s="296"/>
      <c r="O69" s="297"/>
      <c r="P69" s="297"/>
      <c r="Q69" s="297"/>
      <c r="R69" s="297"/>
      <c r="S69" s="297"/>
      <c r="T69" s="442"/>
      <c r="U69" s="442"/>
      <c r="V69" s="442"/>
      <c r="W69" s="297"/>
      <c r="X69" s="297"/>
      <c r="Y69" s="297"/>
      <c r="Z69" s="297"/>
      <c r="AA69" s="297"/>
      <c r="AB69" s="297"/>
      <c r="AC69" s="297"/>
      <c r="AD69" s="297"/>
      <c r="AE69" s="177"/>
      <c r="AF69" s="177"/>
      <c r="AG69" s="177"/>
      <c r="AH69" s="177"/>
    </row>
    <row r="70" spans="1:34">
      <c r="A70" s="184"/>
      <c r="B70" s="185"/>
      <c r="C70" s="180" t="s">
        <v>227</v>
      </c>
      <c r="D70" s="188"/>
      <c r="E70" s="188"/>
      <c r="F70" s="188"/>
      <c r="G70" s="188"/>
      <c r="H70" s="298">
        <v>10</v>
      </c>
      <c r="I70" s="298">
        <v>10</v>
      </c>
      <c r="J70" s="298">
        <v>10</v>
      </c>
      <c r="K70" s="298">
        <v>10</v>
      </c>
      <c r="L70" s="298">
        <v>10</v>
      </c>
      <c r="M70" s="298">
        <v>10</v>
      </c>
      <c r="N70" s="298">
        <v>10</v>
      </c>
      <c r="O70" s="298">
        <v>10</v>
      </c>
      <c r="P70" s="298">
        <v>10</v>
      </c>
      <c r="Q70" s="298">
        <v>10</v>
      </c>
      <c r="R70" s="298">
        <v>10</v>
      </c>
      <c r="S70" s="298">
        <v>11</v>
      </c>
      <c r="T70" s="298">
        <v>11</v>
      </c>
      <c r="U70" s="298">
        <v>12</v>
      </c>
      <c r="V70" s="180"/>
      <c r="W70" s="180"/>
      <c r="X70" s="180"/>
      <c r="Y70" s="180"/>
      <c r="Z70" s="180"/>
      <c r="AA70" s="180"/>
      <c r="AB70" s="180"/>
      <c r="AC70" s="180"/>
      <c r="AD70" s="180"/>
      <c r="AE70" s="177"/>
      <c r="AF70" s="177"/>
      <c r="AG70" s="177"/>
      <c r="AH70" s="177"/>
    </row>
    <row r="71" spans="1:34">
      <c r="A71" s="184"/>
      <c r="B71" s="185"/>
      <c r="C71" s="188" t="s">
        <v>228</v>
      </c>
      <c r="D71" s="188"/>
      <c r="E71" s="188"/>
      <c r="F71" s="188"/>
      <c r="G71" s="188"/>
      <c r="H71" s="282">
        <f t="shared" ref="H71:R71" si="52">+H68/H81</f>
        <v>4.3217854900206447</v>
      </c>
      <c r="I71" s="282">
        <f t="shared" si="52"/>
        <v>4.4430218306481697</v>
      </c>
      <c r="J71" s="282">
        <f t="shared" si="52"/>
        <v>4.4493277432412892</v>
      </c>
      <c r="K71" s="282">
        <f t="shared" si="52"/>
        <v>4.2621773912313872</v>
      </c>
      <c r="L71" s="282">
        <f t="shared" si="52"/>
        <v>3.334858412613817</v>
      </c>
      <c r="M71" s="282">
        <f t="shared" si="52"/>
        <v>3.2809838041604764</v>
      </c>
      <c r="N71" s="282">
        <f t="shared" si="52"/>
        <v>3.2042921207960795</v>
      </c>
      <c r="O71" s="282">
        <f t="shared" si="52"/>
        <v>2.8850543306530461</v>
      </c>
      <c r="P71" s="282">
        <f t="shared" si="52"/>
        <v>2.9224411702569904</v>
      </c>
      <c r="Q71" s="282">
        <f t="shared" si="52"/>
        <v>2.8017654545489985</v>
      </c>
      <c r="R71" s="282">
        <f t="shared" si="52"/>
        <v>2.7458178644602853</v>
      </c>
      <c r="S71" s="282">
        <f>+S68/S81</f>
        <v>3.437569823861153</v>
      </c>
      <c r="T71" s="282">
        <f>+T68/T81</f>
        <v>3.4700099614178712</v>
      </c>
      <c r="U71" s="282">
        <f>+U68/U81</f>
        <v>2.94506837436594</v>
      </c>
      <c r="V71" s="180"/>
      <c r="W71" s="180"/>
      <c r="X71" s="180"/>
      <c r="Y71" s="180"/>
      <c r="Z71" s="180"/>
      <c r="AA71" s="180"/>
      <c r="AB71" s="180"/>
      <c r="AC71" s="180"/>
      <c r="AD71" s="180"/>
      <c r="AE71" s="177"/>
      <c r="AF71" s="177"/>
      <c r="AG71" s="177"/>
      <c r="AH71" s="177"/>
    </row>
    <row r="72" spans="1:34">
      <c r="A72" s="184"/>
      <c r="B72" s="185"/>
      <c r="C72" s="188" t="s">
        <v>229</v>
      </c>
      <c r="D72" s="188"/>
      <c r="E72" s="188"/>
      <c r="F72" s="188"/>
      <c r="G72" s="188"/>
      <c r="H72" s="299">
        <f t="shared" ref="H72:T72" si="53">1-H71/H70</f>
        <v>0.56782145099793557</v>
      </c>
      <c r="I72" s="299">
        <f t="shared" si="53"/>
        <v>0.55569781693518305</v>
      </c>
      <c r="J72" s="299">
        <f t="shared" si="53"/>
        <v>0.55506722567587108</v>
      </c>
      <c r="K72" s="299">
        <f t="shared" si="53"/>
        <v>0.57378226087686124</v>
      </c>
      <c r="L72" s="299">
        <f t="shared" si="53"/>
        <v>0.6665141587386183</v>
      </c>
      <c r="M72" s="299">
        <f t="shared" si="53"/>
        <v>0.67190161958395234</v>
      </c>
      <c r="N72" s="299">
        <f t="shared" si="53"/>
        <v>0.67957078792039205</v>
      </c>
      <c r="O72" s="299">
        <f t="shared" si="53"/>
        <v>0.71149456693469537</v>
      </c>
      <c r="P72" s="299">
        <f t="shared" si="53"/>
        <v>0.70775588297430092</v>
      </c>
      <c r="Q72" s="299">
        <f t="shared" si="53"/>
        <v>0.71982345454510011</v>
      </c>
      <c r="R72" s="299">
        <f t="shared" si="53"/>
        <v>0.72541821355397151</v>
      </c>
      <c r="S72" s="299">
        <f t="shared" si="53"/>
        <v>0.68749365237625881</v>
      </c>
      <c r="T72" s="299">
        <f t="shared" si="53"/>
        <v>0.68454454896201167</v>
      </c>
      <c r="U72" s="299">
        <v>0.68</v>
      </c>
      <c r="V72" s="443"/>
      <c r="W72" s="300"/>
      <c r="X72" s="300"/>
      <c r="Y72" s="300"/>
      <c r="Z72" s="300"/>
      <c r="AA72" s="300"/>
      <c r="AB72" s="300"/>
      <c r="AC72" s="300"/>
      <c r="AD72" s="300"/>
      <c r="AE72" s="177"/>
      <c r="AF72" s="177"/>
      <c r="AG72" s="177"/>
      <c r="AH72" s="177"/>
    </row>
    <row r="73" spans="1:34">
      <c r="A73" s="184"/>
      <c r="B73" s="185"/>
      <c r="C73" s="188"/>
      <c r="D73" s="188"/>
      <c r="E73" s="188"/>
      <c r="F73" s="188"/>
      <c r="G73" s="188"/>
      <c r="H73" s="289"/>
      <c r="I73" s="289"/>
      <c r="J73" s="289"/>
      <c r="K73" s="289"/>
      <c r="L73" s="289"/>
      <c r="M73" s="289"/>
      <c r="N73" s="289"/>
      <c r="O73" s="289"/>
      <c r="P73" s="300"/>
      <c r="Q73" s="300"/>
      <c r="R73" s="300"/>
      <c r="S73" s="300"/>
      <c r="T73" s="443"/>
      <c r="U73" s="443"/>
      <c r="V73" s="443"/>
      <c r="W73" s="300"/>
      <c r="X73" s="300"/>
      <c r="Y73" s="300"/>
      <c r="Z73" s="300"/>
      <c r="AA73" s="300"/>
      <c r="AB73" s="300"/>
      <c r="AC73" s="300"/>
      <c r="AD73" s="300"/>
      <c r="AE73" s="177"/>
      <c r="AF73" s="177"/>
      <c r="AG73" s="177"/>
      <c r="AH73" s="177"/>
    </row>
    <row r="74" spans="1:34" outlineLevel="1">
      <c r="A74" s="184"/>
      <c r="B74" s="190"/>
      <c r="C74" s="254" t="s">
        <v>230</v>
      </c>
      <c r="D74" s="254"/>
      <c r="E74" s="254"/>
      <c r="F74" s="254"/>
      <c r="G74" s="254"/>
      <c r="H74" s="301" t="str">
        <f t="shared" ref="H74:X74" si="54">H9</f>
        <v>01/2000</v>
      </c>
      <c r="I74" s="301" t="str">
        <f t="shared" si="54"/>
        <v>01/2001</v>
      </c>
      <c r="J74" s="301" t="str">
        <f t="shared" si="54"/>
        <v>01/2002</v>
      </c>
      <c r="K74" s="301" t="str">
        <f t="shared" si="54"/>
        <v>01/2003</v>
      </c>
      <c r="L74" s="301" t="str">
        <f t="shared" si="54"/>
        <v>01/2004</v>
      </c>
      <c r="M74" s="301" t="str">
        <f t="shared" si="54"/>
        <v>01/2005</v>
      </c>
      <c r="N74" s="301" t="str">
        <f t="shared" si="54"/>
        <v>01/2006</v>
      </c>
      <c r="O74" s="301" t="str">
        <f t="shared" si="54"/>
        <v>01/2007</v>
      </c>
      <c r="P74" s="301" t="str">
        <f t="shared" si="54"/>
        <v>01/2008</v>
      </c>
      <c r="Q74" s="301" t="str">
        <f t="shared" si="54"/>
        <v>01/2009</v>
      </c>
      <c r="R74" s="301" t="str">
        <f t="shared" si="54"/>
        <v>01/2010</v>
      </c>
      <c r="S74" s="301" t="str">
        <f t="shared" si="54"/>
        <v>01/2011</v>
      </c>
      <c r="T74" s="444" t="str">
        <f t="shared" si="54"/>
        <v>01/2012</v>
      </c>
      <c r="U74" s="444" t="str">
        <f t="shared" si="54"/>
        <v>01/2013</v>
      </c>
      <c r="V74" s="444" t="str">
        <f t="shared" si="54"/>
        <v>01/2014</v>
      </c>
      <c r="W74" s="301" t="str">
        <f t="shared" si="54"/>
        <v>01/2015</v>
      </c>
      <c r="X74" s="301" t="str">
        <f t="shared" si="54"/>
        <v>01/2016</v>
      </c>
      <c r="Y74" s="301" t="str">
        <f t="shared" ref="Y74:AD74" si="55">Y9</f>
        <v>01/2017</v>
      </c>
      <c r="Z74" s="301" t="str">
        <f t="shared" si="55"/>
        <v>01/2018</v>
      </c>
      <c r="AA74" s="301" t="str">
        <f t="shared" si="55"/>
        <v>01/2019</v>
      </c>
      <c r="AB74" s="301" t="str">
        <f t="shared" si="55"/>
        <v>01/2020</v>
      </c>
      <c r="AC74" s="301" t="str">
        <f t="shared" si="55"/>
        <v>01/2021</v>
      </c>
      <c r="AD74" s="301" t="str">
        <f t="shared" si="55"/>
        <v>01/2022</v>
      </c>
      <c r="AE74" s="177"/>
      <c r="AF74" s="177"/>
      <c r="AG74" s="177"/>
      <c r="AH74" s="177"/>
    </row>
    <row r="75" spans="1:34" outlineLevel="1">
      <c r="A75" s="184"/>
      <c r="B75" s="190"/>
      <c r="C75" s="302"/>
      <c r="D75" s="302"/>
      <c r="E75" s="302"/>
      <c r="F75" s="302"/>
      <c r="G75" s="302"/>
      <c r="H75" s="303"/>
      <c r="I75" s="303"/>
      <c r="J75" s="303"/>
      <c r="K75" s="303"/>
      <c r="L75" s="303"/>
      <c r="M75" s="303"/>
      <c r="N75" s="303"/>
      <c r="O75" s="303"/>
      <c r="P75" s="303"/>
      <c r="Q75" s="303"/>
      <c r="R75" s="303"/>
      <c r="S75" s="303"/>
      <c r="T75" s="283"/>
      <c r="U75" s="283"/>
      <c r="V75" s="283"/>
      <c r="W75" s="303"/>
      <c r="X75" s="303"/>
      <c r="Y75" s="303"/>
      <c r="Z75" s="303"/>
      <c r="AA75" s="303"/>
      <c r="AB75" s="303"/>
      <c r="AC75" s="303"/>
      <c r="AD75" s="303"/>
      <c r="AE75" s="177"/>
      <c r="AF75" s="177"/>
      <c r="AG75" s="177"/>
      <c r="AH75" s="177"/>
    </row>
    <row r="76" spans="1:34" ht="12" customHeight="1" outlineLevel="1">
      <c r="A76" s="304"/>
      <c r="B76" s="185"/>
      <c r="C76" s="208" t="s">
        <v>231</v>
      </c>
      <c r="D76" s="305"/>
      <c r="E76" s="305"/>
      <c r="F76" s="305"/>
      <c r="G76" s="305"/>
      <c r="H76" s="306">
        <v>352.6</v>
      </c>
      <c r="I76" s="307">
        <v>390.6</v>
      </c>
      <c r="J76" s="307">
        <v>446.6</v>
      </c>
      <c r="K76" s="307">
        <v>524.70000000000005</v>
      </c>
      <c r="L76" s="307">
        <v>597.79999999999995</v>
      </c>
      <c r="M76" s="307">
        <v>713.3</v>
      </c>
      <c r="N76" s="307">
        <v>774.9</v>
      </c>
      <c r="O76" s="307">
        <v>837.6</v>
      </c>
      <c r="P76" s="307">
        <v>896.6</v>
      </c>
      <c r="Q76" s="307">
        <v>936.6</v>
      </c>
      <c r="R76" s="307">
        <v>962</v>
      </c>
      <c r="S76" s="307">
        <v>1031.4000000000001</v>
      </c>
      <c r="T76" s="307">
        <v>1086</v>
      </c>
      <c r="U76" s="308">
        <v>1171.5999999999999</v>
      </c>
      <c r="V76" s="212">
        <f t="shared" ref="V76:X85" si="56">U76*(1+V$64)</f>
        <v>1263.9471086556168</v>
      </c>
      <c r="W76" s="212">
        <f t="shared" si="56"/>
        <v>1363.573142266041</v>
      </c>
      <c r="X76" s="212">
        <f t="shared" si="56"/>
        <v>1404.4803365340224</v>
      </c>
      <c r="Y76" s="212">
        <f t="shared" ref="Y76:AB106" si="57">X76*(1+Y$64)</f>
        <v>1446.6147466300431</v>
      </c>
      <c r="Z76" s="212">
        <f t="shared" si="57"/>
        <v>1490.0131890289445</v>
      </c>
      <c r="AA76" s="212">
        <f t="shared" si="57"/>
        <v>1534.7135846998128</v>
      </c>
      <c r="AB76" s="212">
        <f t="shared" si="57"/>
        <v>1580.7549922408073</v>
      </c>
      <c r="AC76" s="212">
        <f t="shared" ref="AC76:AC106" si="58">AB76*(1+AC$64)</f>
        <v>1628.1776420080316</v>
      </c>
      <c r="AD76" s="212">
        <f t="shared" ref="AD76:AD106" si="59">AC76*(1+AD$64)</f>
        <v>1677.0229712682726</v>
      </c>
      <c r="AE76" s="309"/>
      <c r="AF76" s="309"/>
      <c r="AG76" s="309"/>
      <c r="AH76" s="309"/>
    </row>
    <row r="77" spans="1:34" ht="12" customHeight="1" outlineLevel="1">
      <c r="A77" s="304"/>
      <c r="B77" s="185"/>
      <c r="C77" s="208" t="s">
        <v>232</v>
      </c>
      <c r="D77" s="305"/>
      <c r="E77" s="305"/>
      <c r="F77" s="305"/>
      <c r="G77" s="305"/>
      <c r="H77" s="310">
        <v>361.03699999999998</v>
      </c>
      <c r="I77" s="283">
        <v>415.69600000000003</v>
      </c>
      <c r="J77" s="283">
        <v>477.67899999999997</v>
      </c>
      <c r="K77" s="283">
        <v>536.86</v>
      </c>
      <c r="L77" s="283">
        <v>639.69899999999996</v>
      </c>
      <c r="M77" s="283">
        <v>707.67600000000004</v>
      </c>
      <c r="N77" s="283">
        <v>766.62199999999996</v>
      </c>
      <c r="O77" s="283">
        <v>845.62199999999996</v>
      </c>
      <c r="P77" s="283">
        <v>943.17399999999998</v>
      </c>
      <c r="Q77" s="283">
        <v>913.44600000000003</v>
      </c>
      <c r="R77" s="283">
        <v>1005.366</v>
      </c>
      <c r="S77" s="283">
        <v>1092.7090000000001</v>
      </c>
      <c r="T77" s="283">
        <v>1124.0419999999999</v>
      </c>
      <c r="U77" s="311">
        <v>1185.3789999999999</v>
      </c>
      <c r="V77" s="212">
        <f t="shared" si="56"/>
        <v>1278.8121882136279</v>
      </c>
      <c r="W77" s="212">
        <f t="shared" si="56"/>
        <v>1379.609907652934</v>
      </c>
      <c r="X77" s="212">
        <f t="shared" si="56"/>
        <v>1420.998204882522</v>
      </c>
      <c r="Y77" s="212">
        <f t="shared" si="57"/>
        <v>1463.6281510289978</v>
      </c>
      <c r="Z77" s="212">
        <f t="shared" si="57"/>
        <v>1507.5369955598678</v>
      </c>
      <c r="AA77" s="212">
        <f t="shared" si="57"/>
        <v>1552.763105426664</v>
      </c>
      <c r="AB77" s="212">
        <f t="shared" si="57"/>
        <v>1599.345998589464</v>
      </c>
      <c r="AC77" s="212">
        <f t="shared" si="58"/>
        <v>1647.3263785471479</v>
      </c>
      <c r="AD77" s="212">
        <f t="shared" si="59"/>
        <v>1696.7461699035623</v>
      </c>
      <c r="AE77" s="309"/>
      <c r="AF77" s="309"/>
      <c r="AG77" s="309"/>
      <c r="AH77" s="309"/>
    </row>
    <row r="78" spans="1:34" ht="12" customHeight="1" outlineLevel="1">
      <c r="A78" s="304"/>
      <c r="B78" s="185"/>
      <c r="C78" s="208" t="s">
        <v>233</v>
      </c>
      <c r="D78" s="305"/>
      <c r="E78" s="305"/>
      <c r="F78" s="305"/>
      <c r="G78" s="305"/>
      <c r="H78" s="310">
        <v>334.79599999999999</v>
      </c>
      <c r="I78" s="283">
        <v>391.92500000000001</v>
      </c>
      <c r="J78" s="283">
        <v>451.23399999999998</v>
      </c>
      <c r="K78" s="283">
        <v>514.755</v>
      </c>
      <c r="L78" s="283">
        <v>601.32500000000005</v>
      </c>
      <c r="M78" s="283">
        <v>682.59699999999998</v>
      </c>
      <c r="N78" s="283">
        <v>726.12099999999998</v>
      </c>
      <c r="O78" s="283">
        <v>811.23099999999999</v>
      </c>
      <c r="P78" s="283">
        <v>898.66700000000003</v>
      </c>
      <c r="Q78" s="283">
        <v>840.45699999999999</v>
      </c>
      <c r="R78" s="283">
        <v>940.06299999999999</v>
      </c>
      <c r="S78" s="283">
        <v>1022.364</v>
      </c>
      <c r="T78" s="283">
        <v>1057.77</v>
      </c>
      <c r="U78" s="311">
        <v>1104.693</v>
      </c>
      <c r="V78" s="212">
        <f t="shared" si="56"/>
        <v>1191.7664077348065</v>
      </c>
      <c r="W78" s="212">
        <f t="shared" si="56"/>
        <v>1285.7030601308466</v>
      </c>
      <c r="X78" s="212">
        <f t="shared" si="56"/>
        <v>1324.2741519347719</v>
      </c>
      <c r="Y78" s="212">
        <f t="shared" si="57"/>
        <v>1364.0023764928151</v>
      </c>
      <c r="Z78" s="212">
        <f t="shared" si="57"/>
        <v>1404.9224477875996</v>
      </c>
      <c r="AA78" s="212">
        <f t="shared" si="57"/>
        <v>1447.0701212212275</v>
      </c>
      <c r="AB78" s="212">
        <f t="shared" si="57"/>
        <v>1490.4822248578644</v>
      </c>
      <c r="AC78" s="212">
        <f t="shared" si="58"/>
        <v>1535.1966916036004</v>
      </c>
      <c r="AD78" s="212">
        <f t="shared" si="59"/>
        <v>1581.2525923517085</v>
      </c>
      <c r="AE78" s="309"/>
      <c r="AF78" s="309"/>
      <c r="AG78" s="309"/>
      <c r="AH78" s="309"/>
    </row>
    <row r="79" spans="1:34" ht="12" customHeight="1" outlineLevel="1">
      <c r="A79" s="304"/>
      <c r="B79" s="185"/>
      <c r="C79" s="208" t="s">
        <v>234</v>
      </c>
      <c r="D79" s="305"/>
      <c r="E79" s="305"/>
      <c r="F79" s="305"/>
      <c r="G79" s="305"/>
      <c r="H79" s="310">
        <v>310.63799999999998</v>
      </c>
      <c r="I79" s="283">
        <v>360.15699999999998</v>
      </c>
      <c r="J79" s="283">
        <v>415.572</v>
      </c>
      <c r="K79" s="283">
        <v>469.822</v>
      </c>
      <c r="L79" s="283">
        <v>554.79499999999996</v>
      </c>
      <c r="M79" s="283">
        <v>628.30600000000004</v>
      </c>
      <c r="N79" s="283">
        <v>687.43200000000002</v>
      </c>
      <c r="O79" s="283">
        <v>733.51099999999997</v>
      </c>
      <c r="P79" s="283">
        <v>809.28800000000001</v>
      </c>
      <c r="Q79" s="283">
        <v>741.94</v>
      </c>
      <c r="R79" s="283">
        <v>830.99199999999996</v>
      </c>
      <c r="S79" s="283">
        <v>915.65599999999995</v>
      </c>
      <c r="T79" s="283">
        <v>941.404</v>
      </c>
      <c r="U79" s="311">
        <v>975.40499999999997</v>
      </c>
      <c r="V79" s="212">
        <f t="shared" si="56"/>
        <v>1052.2877513812155</v>
      </c>
      <c r="W79" s="212">
        <f t="shared" si="56"/>
        <v>1135.2305060020553</v>
      </c>
      <c r="X79" s="212">
        <f t="shared" si="56"/>
        <v>1169.287421182117</v>
      </c>
      <c r="Y79" s="212">
        <f t="shared" si="57"/>
        <v>1204.3660438175805</v>
      </c>
      <c r="Z79" s="212">
        <f t="shared" si="57"/>
        <v>1240.4970251321079</v>
      </c>
      <c r="AA79" s="212">
        <f t="shared" si="57"/>
        <v>1277.7119358860712</v>
      </c>
      <c r="AB79" s="212">
        <f t="shared" si="57"/>
        <v>1316.0432939626533</v>
      </c>
      <c r="AC79" s="212">
        <f t="shared" si="58"/>
        <v>1355.5245927815329</v>
      </c>
      <c r="AD79" s="212">
        <f t="shared" si="59"/>
        <v>1396.1903305649789</v>
      </c>
      <c r="AE79" s="309"/>
      <c r="AF79" s="309"/>
      <c r="AG79" s="309"/>
      <c r="AH79" s="309"/>
    </row>
    <row r="80" spans="1:34" ht="12" customHeight="1" outlineLevel="1">
      <c r="A80" s="304"/>
      <c r="B80" s="185"/>
      <c r="C80" s="208" t="s">
        <v>235</v>
      </c>
      <c r="D80" s="305"/>
      <c r="E80" s="305"/>
      <c r="F80" s="305"/>
      <c r="G80" s="305"/>
      <c r="H80" s="310">
        <v>278.99599999999998</v>
      </c>
      <c r="I80" s="283">
        <v>324.26799999999997</v>
      </c>
      <c r="J80" s="283">
        <v>372.33499999999998</v>
      </c>
      <c r="K80" s="283">
        <v>425.93700000000001</v>
      </c>
      <c r="L80" s="283">
        <v>501.29199999999997</v>
      </c>
      <c r="M80" s="283">
        <v>591.67700000000002</v>
      </c>
      <c r="N80" s="283">
        <v>614.15599999999995</v>
      </c>
      <c r="O80" s="283">
        <v>637.57299999999998</v>
      </c>
      <c r="P80" s="283">
        <v>708.3</v>
      </c>
      <c r="Q80" s="283">
        <v>624.87199999999996</v>
      </c>
      <c r="R80" s="283">
        <v>721.11099999999999</v>
      </c>
      <c r="S80" s="283">
        <v>794.25300000000004</v>
      </c>
      <c r="T80" s="283">
        <v>819.48099999999999</v>
      </c>
      <c r="U80" s="311">
        <v>819.53200000000004</v>
      </c>
      <c r="V80" s="212">
        <f t="shared" si="56"/>
        <v>884.12862909760588</v>
      </c>
      <c r="W80" s="212">
        <f t="shared" si="56"/>
        <v>953.81685253292358</v>
      </c>
      <c r="X80" s="212">
        <f t="shared" si="56"/>
        <v>982.43135810891135</v>
      </c>
      <c r="Y80" s="212">
        <f t="shared" si="57"/>
        <v>1011.9042988521787</v>
      </c>
      <c r="Z80" s="212">
        <f t="shared" si="57"/>
        <v>1042.2614278177441</v>
      </c>
      <c r="AA80" s="212">
        <f t="shared" si="57"/>
        <v>1073.5292706522764</v>
      </c>
      <c r="AB80" s="212">
        <f t="shared" si="57"/>
        <v>1105.7351487718447</v>
      </c>
      <c r="AC80" s="212">
        <f t="shared" si="58"/>
        <v>1138.907203235</v>
      </c>
      <c r="AD80" s="212">
        <f t="shared" si="59"/>
        <v>1173.07441933205</v>
      </c>
      <c r="AE80" s="309"/>
      <c r="AF80" s="309"/>
      <c r="AG80" s="309"/>
      <c r="AH80" s="309"/>
    </row>
    <row r="81" spans="1:34" ht="12" customHeight="1" outlineLevel="1">
      <c r="A81" s="304"/>
      <c r="B81" s="185"/>
      <c r="C81" s="208" t="s">
        <v>236</v>
      </c>
      <c r="D81" s="305"/>
      <c r="E81" s="305"/>
      <c r="F81" s="305"/>
      <c r="G81" s="305"/>
      <c r="H81" s="312">
        <v>243.65299999999999</v>
      </c>
      <c r="I81" s="313">
        <v>281.48500000000001</v>
      </c>
      <c r="J81" s="313">
        <v>332.01600000000002</v>
      </c>
      <c r="K81" s="313">
        <v>381.38299999999998</v>
      </c>
      <c r="L81" s="313">
        <v>465.33100000000002</v>
      </c>
      <c r="M81" s="313">
        <v>520.99800000000005</v>
      </c>
      <c r="N81" s="313">
        <v>533.16300000000001</v>
      </c>
      <c r="O81" s="313">
        <v>538.00199999999995</v>
      </c>
      <c r="P81" s="313">
        <v>586.94799999999998</v>
      </c>
      <c r="Q81" s="313">
        <v>513.06899999999996</v>
      </c>
      <c r="R81" s="313">
        <v>586.66200000000003</v>
      </c>
      <c r="S81" s="313">
        <v>670.43700000000001</v>
      </c>
      <c r="T81" s="313">
        <v>680.62599999999998</v>
      </c>
      <c r="U81" s="314">
        <v>667.721</v>
      </c>
      <c r="V81" s="212">
        <f t="shared" si="56"/>
        <v>720.35167918968693</v>
      </c>
      <c r="W81" s="212">
        <f t="shared" si="56"/>
        <v>777.13078023815581</v>
      </c>
      <c r="X81" s="212">
        <f t="shared" si="56"/>
        <v>800.44470364530048</v>
      </c>
      <c r="Y81" s="212">
        <f t="shared" si="57"/>
        <v>824.45804475465957</v>
      </c>
      <c r="Z81" s="212">
        <f t="shared" si="57"/>
        <v>849.19178609729943</v>
      </c>
      <c r="AA81" s="212">
        <f t="shared" si="57"/>
        <v>874.6675396802184</v>
      </c>
      <c r="AB81" s="212">
        <f t="shared" si="57"/>
        <v>900.90756587062492</v>
      </c>
      <c r="AC81" s="212">
        <f t="shared" si="58"/>
        <v>927.93479284674368</v>
      </c>
      <c r="AD81" s="212">
        <f t="shared" si="59"/>
        <v>955.77283663214598</v>
      </c>
      <c r="AE81" s="309"/>
      <c r="AF81" s="309"/>
      <c r="AG81" s="309"/>
      <c r="AH81" s="309"/>
    </row>
    <row r="82" spans="1:34" outlineLevel="1">
      <c r="A82" s="304"/>
      <c r="B82" s="185"/>
      <c r="C82" s="305" t="s">
        <v>237</v>
      </c>
      <c r="D82" s="305"/>
      <c r="E82" s="305"/>
      <c r="F82" s="305"/>
      <c r="G82" s="305"/>
      <c r="H82" s="207">
        <f t="shared" ref="H82:Q82" si="60">IF(ISERROR(H68/H71),"NA",H68/H71)</f>
        <v>243.65299999999999</v>
      </c>
      <c r="I82" s="207">
        <f t="shared" si="60"/>
        <v>281.48500000000001</v>
      </c>
      <c r="J82" s="207">
        <f t="shared" si="60"/>
        <v>332.01600000000002</v>
      </c>
      <c r="K82" s="207">
        <f t="shared" si="60"/>
        <v>381.38299999999998</v>
      </c>
      <c r="L82" s="207">
        <f t="shared" si="60"/>
        <v>465.33100000000002</v>
      </c>
      <c r="M82" s="207">
        <f t="shared" si="60"/>
        <v>520.99800000000005</v>
      </c>
      <c r="N82" s="207">
        <f t="shared" si="60"/>
        <v>533.16300000000001</v>
      </c>
      <c r="O82" s="207">
        <f t="shared" si="60"/>
        <v>538.00199999999995</v>
      </c>
      <c r="P82" s="207">
        <f t="shared" si="60"/>
        <v>586.94799999999998</v>
      </c>
      <c r="Q82" s="207">
        <f t="shared" si="60"/>
        <v>513.06899999999996</v>
      </c>
      <c r="R82" s="207">
        <f>IF(ISERROR(R68/R71),"NA",R68/R71)</f>
        <v>586.66200000000003</v>
      </c>
      <c r="S82" s="207">
        <f>IF(ISERROR(S68/S71),"NA",S68/S71)</f>
        <v>670.43700000000001</v>
      </c>
      <c r="T82" s="207">
        <f>IF(ISERROR(T68/T71),"NA",T68/T71)</f>
        <v>680.62599999999998</v>
      </c>
      <c r="U82" s="207">
        <f>IF(ISERROR(U68/U71),"NA",U68/U71)</f>
        <v>667.721</v>
      </c>
      <c r="V82" s="212">
        <f t="shared" si="56"/>
        <v>720.35167918968693</v>
      </c>
      <c r="W82" s="212">
        <f t="shared" si="56"/>
        <v>777.13078023815581</v>
      </c>
      <c r="X82" s="212">
        <f t="shared" si="56"/>
        <v>800.44470364530048</v>
      </c>
      <c r="Y82" s="212">
        <f t="shared" si="57"/>
        <v>824.45804475465957</v>
      </c>
      <c r="Z82" s="212">
        <f t="shared" si="57"/>
        <v>849.19178609729943</v>
      </c>
      <c r="AA82" s="212">
        <f t="shared" si="57"/>
        <v>874.6675396802184</v>
      </c>
      <c r="AB82" s="212">
        <f t="shared" si="57"/>
        <v>900.90756587062492</v>
      </c>
      <c r="AC82" s="212">
        <f t="shared" si="58"/>
        <v>927.93479284674368</v>
      </c>
      <c r="AD82" s="212">
        <f t="shared" si="59"/>
        <v>955.77283663214598</v>
      </c>
      <c r="AE82" s="309"/>
      <c r="AF82" s="309"/>
      <c r="AG82" s="309"/>
      <c r="AH82" s="309"/>
    </row>
    <row r="83" spans="1:34" outlineLevel="1">
      <c r="A83" s="304"/>
      <c r="B83" s="185"/>
      <c r="C83" s="305" t="s">
        <v>238</v>
      </c>
      <c r="D83" s="305"/>
      <c r="E83" s="305"/>
      <c r="F83" s="305"/>
      <c r="G83" s="305"/>
      <c r="H83" s="207">
        <f>IF(ISERROR(IF(SUM(H$82:H82)&gt;=H$68,0,H$68/H$71)),"NA",IF(SUM(H$82:H82)&gt;=H$68,0,H$68/H$71))</f>
        <v>243.65299999999999</v>
      </c>
      <c r="I83" s="207">
        <f>IF(ISERROR(IF(SUM(I$82:I82)&gt;=I$68,0,I$68/I$71)),"NA",IF(SUM(I$82:I82)&gt;=I$68,0,I$68/I$71))</f>
        <v>281.48500000000001</v>
      </c>
      <c r="J83" s="207">
        <f>IF(ISERROR(IF(SUM(J$82:J82)&gt;=J$68,0,J$68/J$71)),"NA",IF(SUM(J$82:J82)&gt;=J$68,0,J$68/J$71))</f>
        <v>332.01600000000002</v>
      </c>
      <c r="K83" s="207">
        <f>IF(ISERROR(IF(SUM(K$82:K82)&gt;=K$68,0,K$68/K$71)),"NA",IF(SUM(K$82:K82)&gt;=K$68,0,K$68/K$71))</f>
        <v>381.38299999999998</v>
      </c>
      <c r="L83" s="207">
        <f>IF(ISERROR(IF(SUM(L$82:L82)&gt;=L$68,0,L$68/L$71)),"NA",IF(SUM(L$82:L82)&gt;=L$68,0,L$68/L$71))</f>
        <v>465.33100000000002</v>
      </c>
      <c r="M83" s="207">
        <f>IF(ISERROR(IF(SUM(M$82:M82)&gt;=M$68,0,M$68/M$71)),"NA",IF(SUM(M$82:M82)&gt;=M$68,0,M$68/M$71))</f>
        <v>520.99800000000005</v>
      </c>
      <c r="N83" s="207">
        <f>IF(ISERROR(IF(SUM(N$82:N82)&gt;=N$68,0,N$68/N$71)),"NA",IF(SUM(N$82:N82)&gt;=N$68,0,N$68/N$71))</f>
        <v>533.16300000000001</v>
      </c>
      <c r="O83" s="207">
        <f>IF(ISERROR(IF(SUM(O$82:O82)&gt;=O$68,0,O$68/O$71)),"NA",IF(SUM(O$82:O82)&gt;=O$68,0,O$68/O$71))</f>
        <v>538.00199999999995</v>
      </c>
      <c r="P83" s="207">
        <f>IF(ISERROR(IF(SUM(P$82:P82)&gt;=P$68,0,P$68/P$71)),"NA",IF(SUM(P$82:P82)&gt;=P$68,0,P$68/P$71))</f>
        <v>586.94799999999998</v>
      </c>
      <c r="Q83" s="207">
        <f>IF(ISERROR(IF(SUM(Q$82:Q82)&gt;=Q$68,0,Q$68/Q$71)),"NA",IF(SUM(Q$82:Q82)&gt;=Q$68,0,Q$68/Q$71))</f>
        <v>513.06899999999996</v>
      </c>
      <c r="R83" s="207">
        <f>IF(ISERROR(IF(SUM(R$82:R82)&gt;=R$68,0,R$68/R$71)),"NA",IF(SUM(R$82:R82)&gt;=R$68,0,R$68/R$71))</f>
        <v>586.66200000000003</v>
      </c>
      <c r="S83" s="207">
        <f>IF(ISERROR(IF(SUM(S$82:S82)&gt;=S$68,0,S$68/S$71)),"NA",IF(SUM(S$82:S82)&gt;=S$68,0,S$68/S$71))</f>
        <v>670.43700000000001</v>
      </c>
      <c r="T83" s="207">
        <f>IF(ISERROR(IF(SUM(T$82:T82)&gt;=T$68,0,T$68/T$71)),"NA",IF(SUM(T$82:T82)&gt;=T$68,0,T$68/T$71))</f>
        <v>680.62599999999998</v>
      </c>
      <c r="U83" s="207">
        <f>IF(ISERROR(IF(SUM(U$82:U82)&gt;=U$68,0,U$68/U$71)),"NA",IF(SUM(U$82:U82)&gt;=U$68,0,U$68/U$71))</f>
        <v>667.721</v>
      </c>
      <c r="V83" s="212">
        <f t="shared" si="56"/>
        <v>720.35167918968693</v>
      </c>
      <c r="W83" s="212">
        <f t="shared" si="56"/>
        <v>777.13078023815581</v>
      </c>
      <c r="X83" s="212">
        <f t="shared" si="56"/>
        <v>800.44470364530048</v>
      </c>
      <c r="Y83" s="212">
        <f t="shared" si="57"/>
        <v>824.45804475465957</v>
      </c>
      <c r="Z83" s="212">
        <f t="shared" si="57"/>
        <v>849.19178609729943</v>
      </c>
      <c r="AA83" s="212">
        <f t="shared" si="57"/>
        <v>874.6675396802184</v>
      </c>
      <c r="AB83" s="212">
        <f t="shared" si="57"/>
        <v>900.90756587062492</v>
      </c>
      <c r="AC83" s="212">
        <f t="shared" si="58"/>
        <v>927.93479284674368</v>
      </c>
      <c r="AD83" s="212">
        <f t="shared" si="59"/>
        <v>955.77283663214598</v>
      </c>
      <c r="AE83" s="309"/>
      <c r="AF83" s="309"/>
      <c r="AG83" s="309"/>
      <c r="AH83" s="309"/>
    </row>
    <row r="84" spans="1:34" outlineLevel="1">
      <c r="A84" s="304"/>
      <c r="B84" s="185"/>
      <c r="C84" s="305" t="s">
        <v>239</v>
      </c>
      <c r="D84" s="305"/>
      <c r="E84" s="305"/>
      <c r="F84" s="305"/>
      <c r="G84" s="305"/>
      <c r="H84" s="207">
        <f>IF(ISERROR(IF(SUM(H$82:H83)&gt;=H$68,0,H$68/H$71)),"NA",IF(SUM(H$82:H83)&gt;=H$68,0,H$68/H$71))</f>
        <v>243.65299999999999</v>
      </c>
      <c r="I84" s="207">
        <f>IF(ISERROR(IF(SUM(I$82:I83)&gt;=I$68,0,I$68/I$71)),"NA",IF(SUM(I$82:I83)&gt;=I$68,0,I$68/I$71))</f>
        <v>281.48500000000001</v>
      </c>
      <c r="J84" s="207">
        <f>IF(ISERROR(IF(SUM(J$82:J83)&gt;=J$68,0,J$68/J$71)),"NA",IF(SUM(J$82:J83)&gt;=J$68,0,J$68/J$71))</f>
        <v>332.01600000000002</v>
      </c>
      <c r="K84" s="207">
        <f>IF(ISERROR(IF(SUM(K$82:K83)&gt;=K$68,0,K$68/K$71)),"NA",IF(SUM(K$82:K83)&gt;=K$68,0,K$68/K$71))</f>
        <v>381.38299999999998</v>
      </c>
      <c r="L84" s="207">
        <f>IF(ISERROR(IF(SUM(L$82:L83)&gt;=L$68,0,L$68/L$71)),"NA",IF(SUM(L$82:L83)&gt;=L$68,0,L$68/L$71))</f>
        <v>465.33100000000002</v>
      </c>
      <c r="M84" s="207">
        <f>IF(ISERROR(IF(SUM(M$82:M83)&gt;=M$68,0,M$68/M$71)),"NA",IF(SUM(M$82:M83)&gt;=M$68,0,M$68/M$71))</f>
        <v>520.99800000000005</v>
      </c>
      <c r="N84" s="207">
        <f>IF(ISERROR(IF(SUM(N$82:N83)&gt;=N$68,0,N$68/N$71)),"NA",IF(SUM(N$82:N83)&gt;=N$68,0,N$68/N$71))</f>
        <v>533.16300000000001</v>
      </c>
      <c r="O84" s="207">
        <f>IF(ISERROR(IF(SUM(O$82:O83)&gt;=O$68,0,O$68/O$71)),"NA",IF(SUM(O$82:O83)&gt;=O$68,0,O$68/O$71))</f>
        <v>538.00199999999995</v>
      </c>
      <c r="P84" s="207">
        <f>IF(ISERROR(IF(SUM(P$82:P83)&gt;=P$68,0,P$68/P$71)),"NA",IF(SUM(P$82:P83)&gt;=P$68,0,P$68/P$71))</f>
        <v>586.94799999999998</v>
      </c>
      <c r="Q84" s="207">
        <f>IF(ISERROR(IF(SUM(Q$82:Q83)&gt;=Q$68,0,Q$68/Q$71)),"NA",IF(SUM(Q$82:Q83)&gt;=Q$68,0,Q$68/Q$71))</f>
        <v>513.06899999999996</v>
      </c>
      <c r="R84" s="207">
        <f>IF(ISERROR(IF(SUM(R$82:R83)&gt;=R$68,0,R$68/R$71)),"NA",IF(SUM(R$82:R83)&gt;=R$68,0,R$68/R$71))</f>
        <v>586.66200000000003</v>
      </c>
      <c r="S84" s="207">
        <f>IF(ISERROR(IF(SUM(S$82:S83)&gt;=S$68,0,S$68/S$71)),"NA",IF(SUM(S$82:S83)&gt;=S$68,0,S$68/S$71))</f>
        <v>670.43700000000001</v>
      </c>
      <c r="T84" s="207">
        <f>IF(ISERROR(IF(SUM(T$82:T83)&gt;=T$68,0,T$68/T$71)),"NA",IF(SUM(T$82:T83)&gt;=T$68,0,T$68/T$71))</f>
        <v>680.62599999999998</v>
      </c>
      <c r="U84" s="207">
        <f>IF(ISERROR(IF(SUM(U$82:U83)&gt;=U$68,0,U$68/U$71)),"NA",IF(SUM(U$82:U83)&gt;=U$68,0,U$68/U$71))</f>
        <v>667.721</v>
      </c>
      <c r="V84" s="212">
        <f t="shared" si="56"/>
        <v>720.35167918968693</v>
      </c>
      <c r="W84" s="212">
        <f t="shared" si="56"/>
        <v>777.13078023815581</v>
      </c>
      <c r="X84" s="212">
        <f t="shared" si="56"/>
        <v>800.44470364530048</v>
      </c>
      <c r="Y84" s="212">
        <f t="shared" si="57"/>
        <v>824.45804475465957</v>
      </c>
      <c r="Z84" s="212">
        <f t="shared" si="57"/>
        <v>849.19178609729943</v>
      </c>
      <c r="AA84" s="212">
        <f t="shared" si="57"/>
        <v>874.6675396802184</v>
      </c>
      <c r="AB84" s="212">
        <f t="shared" si="57"/>
        <v>900.90756587062492</v>
      </c>
      <c r="AC84" s="212">
        <f t="shared" si="58"/>
        <v>927.93479284674368</v>
      </c>
      <c r="AD84" s="212">
        <f t="shared" si="59"/>
        <v>955.77283663214598</v>
      </c>
      <c r="AE84" s="309"/>
      <c r="AF84" s="309"/>
      <c r="AG84" s="309"/>
      <c r="AH84" s="309"/>
    </row>
    <row r="85" spans="1:34" outlineLevel="1">
      <c r="A85" s="304"/>
      <c r="B85" s="185"/>
      <c r="C85" s="305" t="s">
        <v>240</v>
      </c>
      <c r="D85" s="305"/>
      <c r="E85" s="305"/>
      <c r="F85" s="305"/>
      <c r="G85" s="305"/>
      <c r="H85" s="207">
        <f>IF(ISERROR(IF(SUM(H$82:H84)&gt;=H$68,0,H$68/H$71)),"NA",IF(SUM(H$82:H84)&gt;=H$68,0,H$68/H$71))</f>
        <v>243.65299999999999</v>
      </c>
      <c r="I85" s="207">
        <f>IF(ISERROR(IF(SUM(I$82:I84)&gt;=I$68,0,I$68/I$71)),"NA",IF(SUM(I$82:I84)&gt;=I$68,0,I$68/I$71))</f>
        <v>281.48500000000001</v>
      </c>
      <c r="J85" s="207">
        <f>IF(ISERROR(IF(SUM(J$82:J84)&gt;=J$68,0,J$68/J$71)),"NA",IF(SUM(J$82:J84)&gt;=J$68,0,J$68/J$71))</f>
        <v>332.01600000000002</v>
      </c>
      <c r="K85" s="207">
        <f>IF(ISERROR(IF(SUM(K$82:K84)&gt;=K$68,0,K$68/K$71)),"NA",IF(SUM(K$82:K84)&gt;=K$68,0,K$68/K$71))</f>
        <v>381.38299999999998</v>
      </c>
      <c r="L85" s="207">
        <f>IF(ISERROR(IF(SUM(L$82:L84)&gt;=L$68,0,L$68/L$71)),"NA",IF(SUM(L$82:L84)&gt;=L$68,0,L$68/L$71))</f>
        <v>465.33100000000002</v>
      </c>
      <c r="M85" s="207">
        <f>IF(ISERROR(IF(SUM(M$82:M84)&gt;=M$68,0,M$68/M$71)),"NA",IF(SUM(M$82:M84)&gt;=M$68,0,M$68/M$71))</f>
        <v>520.99800000000005</v>
      </c>
      <c r="N85" s="207">
        <f>IF(ISERROR(IF(SUM(N$82:N84)&gt;=N$68,0,N$68/N$71)),"NA",IF(SUM(N$82:N84)&gt;=N$68,0,N$68/N$71))</f>
        <v>533.16300000000001</v>
      </c>
      <c r="O85" s="207">
        <f>IF(ISERROR(IF(SUM(O$82:O84)&gt;=O$68,0,O$68/O$71)),"NA",IF(SUM(O$82:O84)&gt;=O$68,0,O$68/O$71))</f>
        <v>0</v>
      </c>
      <c r="P85" s="207">
        <f>IF(ISERROR(IF(SUM(P$82:P84)&gt;=P$68,0,P$68/P$71)),"NA",IF(SUM(P$82:P84)&gt;=P$68,0,P$68/P$71))</f>
        <v>0</v>
      </c>
      <c r="Q85" s="207">
        <f>IF(ISERROR(IF(SUM(Q$82:Q84)&gt;=Q$68,0,Q$68/Q$71)),"NA",IF(SUM(Q$82:Q84)&gt;=Q$68,0,Q$68/Q$71))</f>
        <v>0</v>
      </c>
      <c r="R85" s="207">
        <f>IF(ISERROR(IF(SUM(R$82:R84)&gt;=R$68,0,R$68/R$71)),"NA",IF(SUM(R$82:R84)&gt;=R$68,0,R$68/R$71))</f>
        <v>0</v>
      </c>
      <c r="S85" s="207">
        <f>IF(ISERROR(IF(SUM(S$82:S84)&gt;=S$68,0,S$68/S$71)),"NA",IF(SUM(S$82:S84)&gt;=S$68,0,S$68/S$71))</f>
        <v>670.43700000000001</v>
      </c>
      <c r="T85" s="207">
        <f>IF(ISERROR(IF(SUM(T$82:T84)&gt;=T$68,0,T$68/T$71)),"NA",IF(SUM(T$82:T84)&gt;=T$68,0,T$68/T$71))</f>
        <v>680.62599999999998</v>
      </c>
      <c r="U85" s="207">
        <f>IF(ISERROR(IF(SUM(U$82:U84)&gt;=U$68,0,U$68/U$71)),"NA",IF(SUM(U$82:U84)&gt;=U$68,0,U$68/U$71))</f>
        <v>0</v>
      </c>
      <c r="V85" s="212">
        <f t="shared" si="56"/>
        <v>0</v>
      </c>
      <c r="W85" s="212">
        <f t="shared" si="56"/>
        <v>0</v>
      </c>
      <c r="X85" s="212">
        <f t="shared" si="56"/>
        <v>0</v>
      </c>
      <c r="Y85" s="212">
        <f t="shared" si="57"/>
        <v>0</v>
      </c>
      <c r="Z85" s="212">
        <f t="shared" si="57"/>
        <v>0</v>
      </c>
      <c r="AA85" s="212">
        <f t="shared" si="57"/>
        <v>0</v>
      </c>
      <c r="AB85" s="212">
        <f t="shared" si="57"/>
        <v>0</v>
      </c>
      <c r="AC85" s="212">
        <f t="shared" si="58"/>
        <v>0</v>
      </c>
      <c r="AD85" s="212">
        <f t="shared" si="59"/>
        <v>0</v>
      </c>
      <c r="AE85" s="309"/>
      <c r="AF85" s="309"/>
      <c r="AG85" s="309"/>
      <c r="AH85" s="309"/>
    </row>
    <row r="86" spans="1:34" outlineLevel="1">
      <c r="A86" s="304"/>
      <c r="B86" s="185"/>
      <c r="C86" s="305" t="s">
        <v>241</v>
      </c>
      <c r="D86" s="305"/>
      <c r="E86" s="305"/>
      <c r="F86" s="305"/>
      <c r="G86" s="305"/>
      <c r="H86" s="207">
        <f>IF(ISERROR(IF(SUM(H$82:H85)&gt;=H$68,0,H$68/H$71)),"NA",IF(SUM(H$82:H85)&gt;=H$68,0,H$68/H$71))</f>
        <v>243.65299999999999</v>
      </c>
      <c r="I86" s="207">
        <f>IF(ISERROR(IF(SUM(I$82:I85)&gt;=I$68,0,I$68/I$71)),"NA",IF(SUM(I$82:I85)&gt;=I$68,0,I$68/I$71))</f>
        <v>281.48500000000001</v>
      </c>
      <c r="J86" s="207">
        <f>IF(ISERROR(IF(SUM(J$82:J85)&gt;=J$68,0,J$68/J$71)),"NA",IF(SUM(J$82:J85)&gt;=J$68,0,J$68/J$71))</f>
        <v>332.01600000000002</v>
      </c>
      <c r="K86" s="207">
        <f>IF(ISERROR(IF(SUM(K$82:K85)&gt;=K$68,0,K$68/K$71)),"NA",IF(SUM(K$82:K85)&gt;=K$68,0,K$68/K$71))</f>
        <v>381.38299999999998</v>
      </c>
      <c r="L86" s="207">
        <f>IF(ISERROR(IF(SUM(L$82:L85)&gt;=L$68,0,L$68/L$71)),"NA",IF(SUM(L$82:L85)&gt;=L$68,0,L$68/L$71))</f>
        <v>0</v>
      </c>
      <c r="M86" s="207">
        <f>IF(ISERROR(IF(SUM(M$82:M85)&gt;=M$68,0,M$68/M$71)),"NA",IF(SUM(M$82:M85)&gt;=M$68,0,M$68/M$71))</f>
        <v>0</v>
      </c>
      <c r="N86" s="207">
        <f>IF(ISERROR(IF(SUM(N$82:N85)&gt;=N$68,0,N$68/N$71)),"NA",IF(SUM(N$82:N85)&gt;=N$68,0,N$68/N$71))</f>
        <v>0</v>
      </c>
      <c r="O86" s="207">
        <f>IF(ISERROR(IF(SUM(O$82:O85)&gt;=O$68,0,O$68/O$71)),"NA",IF(SUM(O$82:O85)&gt;=O$68,0,O$68/O$71))</f>
        <v>0</v>
      </c>
      <c r="P86" s="207">
        <f>IF(ISERROR(IF(SUM(P$82:P85)&gt;=P$68,0,P$68/P$71)),"NA",IF(SUM(P$82:P85)&gt;=P$68,0,P$68/P$71))</f>
        <v>0</v>
      </c>
      <c r="Q86" s="207">
        <f>IF(ISERROR(IF(SUM(Q$82:Q85)&gt;=Q$68,0,Q$68/Q$71)),"NA",IF(SUM(Q$82:Q85)&gt;=Q$68,0,Q$68/Q$71))</f>
        <v>0</v>
      </c>
      <c r="R86" s="207">
        <f>IF(ISERROR(IF(SUM(R$82:R85)&gt;=R$68,0,R$68/R$71)),"NA",IF(SUM(R$82:R85)&gt;=R$68,0,R$68/R$71))</f>
        <v>0</v>
      </c>
      <c r="S86" s="207">
        <f>IF(ISERROR(IF(SUM(S$82:S85)&gt;=S$68,0,S$68/S$71)),"NA",IF(SUM(S$82:S85)&gt;=S$68,0,S$68/S$71))</f>
        <v>0</v>
      </c>
      <c r="T86" s="207">
        <f>IF(ISERROR(IF(SUM(T$82:T85)&gt;=T$68,0,T$68/T$71)),"NA",IF(SUM(T$82:T85)&gt;=T$68,0,T$68/T$71))</f>
        <v>0</v>
      </c>
      <c r="U86" s="207">
        <f>IF(ISERROR(IF(SUM(U$82:U85)&gt;=U$68,0,U$68/U$71)),"NA",IF(SUM(U$82:U85)&gt;=U$68,0,U$68/U$71))</f>
        <v>0</v>
      </c>
      <c r="V86" s="212">
        <f t="shared" ref="V86:X95" si="61">U86*(1+V$64)</f>
        <v>0</v>
      </c>
      <c r="W86" s="212">
        <f t="shared" si="61"/>
        <v>0</v>
      </c>
      <c r="X86" s="212">
        <f t="shared" si="61"/>
        <v>0</v>
      </c>
      <c r="Y86" s="212">
        <f t="shared" si="57"/>
        <v>0</v>
      </c>
      <c r="Z86" s="212">
        <f t="shared" si="57"/>
        <v>0</v>
      </c>
      <c r="AA86" s="212">
        <f t="shared" si="57"/>
        <v>0</v>
      </c>
      <c r="AB86" s="212">
        <f t="shared" si="57"/>
        <v>0</v>
      </c>
      <c r="AC86" s="212">
        <f t="shared" si="58"/>
        <v>0</v>
      </c>
      <c r="AD86" s="212">
        <f t="shared" si="59"/>
        <v>0</v>
      </c>
      <c r="AE86" s="309"/>
      <c r="AF86" s="309"/>
      <c r="AG86" s="309"/>
      <c r="AH86" s="309"/>
    </row>
    <row r="87" spans="1:34" outlineLevel="1">
      <c r="A87" s="304"/>
      <c r="B87" s="185"/>
      <c r="C87" s="305" t="s">
        <v>242</v>
      </c>
      <c r="D87" s="305"/>
      <c r="E87" s="305"/>
      <c r="F87" s="305"/>
      <c r="G87" s="305"/>
      <c r="H87" s="207">
        <f>IF(ISERROR(IF(SUM(H$82:H86)&gt;=H$68,0,H$68/H$71)),"NA",IF(SUM(H$82:H86)&gt;=H$68,0,H$68/H$71))</f>
        <v>0</v>
      </c>
      <c r="I87" s="207">
        <f>IF(ISERROR(IF(SUM(I$82:I86)&gt;=I$68,0,I$68/I$71)),"NA",IF(SUM(I$82:I86)&gt;=I$68,0,I$68/I$71))</f>
        <v>0</v>
      </c>
      <c r="J87" s="207">
        <f>IF(ISERROR(IF(SUM(J$82:J86)&gt;=J$68,0,J$68/J$71)),"NA",IF(SUM(J$82:J86)&gt;=J$68,0,J$68/J$71))</f>
        <v>0</v>
      </c>
      <c r="K87" s="207">
        <f>IF(ISERROR(IF(SUM(K$82:K86)&gt;=K$68,0,K$68/K$71)),"NA",IF(SUM(K$82:K86)&gt;=K$68,0,K$68/K$71))</f>
        <v>0</v>
      </c>
      <c r="L87" s="207">
        <f>IF(ISERROR(IF(SUM(L$82:L86)&gt;=L$68,0,L$68/L$71)),"NA",IF(SUM(L$82:L86)&gt;=L$68,0,L$68/L$71))</f>
        <v>0</v>
      </c>
      <c r="M87" s="207">
        <f>IF(ISERROR(IF(SUM(M$82:M86)&gt;=M$68,0,M$68/M$71)),"NA",IF(SUM(M$82:M86)&gt;=M$68,0,M$68/M$71))</f>
        <v>0</v>
      </c>
      <c r="N87" s="207">
        <f>IF(ISERROR(IF(SUM(N$82:N86)&gt;=N$68,0,N$68/N$71)),"NA",IF(SUM(N$82:N86)&gt;=N$68,0,N$68/N$71))</f>
        <v>0</v>
      </c>
      <c r="O87" s="207">
        <f>IF(ISERROR(IF(SUM(O$82:O86)&gt;=O$68,0,O$68/O$71)),"NA",IF(SUM(O$82:O86)&gt;=O$68,0,O$68/O$71))</f>
        <v>0</v>
      </c>
      <c r="P87" s="207">
        <f>IF(ISERROR(IF(SUM(P$82:P86)&gt;=P$68,0,P$68/P$71)),"NA",IF(SUM(P$82:P86)&gt;=P$68,0,P$68/P$71))</f>
        <v>0</v>
      </c>
      <c r="Q87" s="207">
        <f>IF(ISERROR(IF(SUM(Q$82:Q86)&gt;=Q$68,0,Q$68/Q$71)),"NA",IF(SUM(Q$82:Q86)&gt;=Q$68,0,Q$68/Q$71))</f>
        <v>0</v>
      </c>
      <c r="R87" s="207">
        <f>IF(ISERROR(IF(SUM(R$82:R86)&gt;=R$68,0,R$68/R$71)),"NA",IF(SUM(R$82:R86)&gt;=R$68,0,R$68/R$71))</f>
        <v>0</v>
      </c>
      <c r="S87" s="207">
        <f>IF(ISERROR(IF(SUM(S$82:S86)&gt;=S$68,0,S$68/S$71)),"NA",IF(SUM(S$82:S86)&gt;=S$68,0,S$68/S$71))</f>
        <v>0</v>
      </c>
      <c r="T87" s="207">
        <f>IF(ISERROR(IF(SUM(T$82:T86)&gt;=T$68,0,T$68/T$71)),"NA",IF(SUM(T$82:T86)&gt;=T$68,0,T$68/T$71))</f>
        <v>0</v>
      </c>
      <c r="U87" s="207">
        <f>IF(ISERROR(IF(SUM(U$82:U86)&gt;=U$68,0,U$68/U$71)),"NA",IF(SUM(U$82:U86)&gt;=U$68,0,U$68/U$71))</f>
        <v>0</v>
      </c>
      <c r="V87" s="212">
        <f t="shared" si="61"/>
        <v>0</v>
      </c>
      <c r="W87" s="212">
        <f t="shared" si="61"/>
        <v>0</v>
      </c>
      <c r="X87" s="212">
        <f t="shared" si="61"/>
        <v>0</v>
      </c>
      <c r="Y87" s="212">
        <f t="shared" si="57"/>
        <v>0</v>
      </c>
      <c r="Z87" s="212">
        <f t="shared" si="57"/>
        <v>0</v>
      </c>
      <c r="AA87" s="212">
        <f t="shared" si="57"/>
        <v>0</v>
      </c>
      <c r="AB87" s="212">
        <f t="shared" si="57"/>
        <v>0</v>
      </c>
      <c r="AC87" s="212">
        <f t="shared" si="58"/>
        <v>0</v>
      </c>
      <c r="AD87" s="212">
        <f t="shared" si="59"/>
        <v>0</v>
      </c>
      <c r="AE87" s="309"/>
      <c r="AF87" s="309"/>
      <c r="AG87" s="309"/>
      <c r="AH87" s="309"/>
    </row>
    <row r="88" spans="1:34" outlineLevel="1">
      <c r="A88" s="304"/>
      <c r="B88" s="185"/>
      <c r="C88" s="305" t="s">
        <v>243</v>
      </c>
      <c r="D88" s="305"/>
      <c r="E88" s="305"/>
      <c r="F88" s="305"/>
      <c r="G88" s="305"/>
      <c r="H88" s="207">
        <f>IF(ISERROR(IF(SUM(H$82:H87)&gt;=H$68,0,H$68/H$71)),"NA",IF(SUM(H$82:H87)&gt;=H$68,0,H$68/H$71))</f>
        <v>0</v>
      </c>
      <c r="I88" s="207">
        <f>IF(ISERROR(IF(SUM(I$82:I87)&gt;=I$68,0,I$68/I$71)),"NA",IF(SUM(I$82:I87)&gt;=I$68,0,I$68/I$71))</f>
        <v>0</v>
      </c>
      <c r="J88" s="207">
        <f>IF(ISERROR(IF(SUM(J$82:J87)&gt;=J$68,0,J$68/J$71)),"NA",IF(SUM(J$82:J87)&gt;=J$68,0,J$68/J$71))</f>
        <v>0</v>
      </c>
      <c r="K88" s="207">
        <f>IF(ISERROR(IF(SUM(K$82:K87)&gt;=K$68,0,K$68/K$71)),"NA",IF(SUM(K$82:K87)&gt;=K$68,0,K$68/K$71))</f>
        <v>0</v>
      </c>
      <c r="L88" s="207">
        <f>IF(ISERROR(IF(SUM(L$82:L87)&gt;=L$68,0,L$68/L$71)),"NA",IF(SUM(L$82:L87)&gt;=L$68,0,L$68/L$71))</f>
        <v>0</v>
      </c>
      <c r="M88" s="207">
        <f>IF(ISERROR(IF(SUM(M$82:M87)&gt;=M$68,0,M$68/M$71)),"NA",IF(SUM(M$82:M87)&gt;=M$68,0,M$68/M$71))</f>
        <v>0</v>
      </c>
      <c r="N88" s="207">
        <f>IF(ISERROR(IF(SUM(N$82:N87)&gt;=N$68,0,N$68/N$71)),"NA",IF(SUM(N$82:N87)&gt;=N$68,0,N$68/N$71))</f>
        <v>0</v>
      </c>
      <c r="O88" s="207">
        <f>IF(ISERROR(IF(SUM(O$82:O87)&gt;=O$68,0,O$68/O$71)),"NA",IF(SUM(O$82:O87)&gt;=O$68,0,O$68/O$71))</f>
        <v>0</v>
      </c>
      <c r="P88" s="207">
        <f>IF(ISERROR(IF(SUM(P$82:P87)&gt;=P$68,0,P$68/P$71)),"NA",IF(SUM(P$82:P87)&gt;=P$68,0,P$68/P$71))</f>
        <v>0</v>
      </c>
      <c r="Q88" s="207">
        <f>IF(ISERROR(IF(SUM(Q$82:Q87)&gt;=Q$68,0,Q$68/Q$71)),"NA",IF(SUM(Q$82:Q87)&gt;=Q$68,0,Q$68/Q$71))</f>
        <v>0</v>
      </c>
      <c r="R88" s="207">
        <f>IF(ISERROR(IF(SUM(R$82:R87)&gt;=R$68,0,R$68/R$71)),"NA",IF(SUM(R$82:R87)&gt;=R$68,0,R$68/R$71))</f>
        <v>0</v>
      </c>
      <c r="S88" s="207">
        <f>IF(ISERROR(IF(SUM(S$82:S87)&gt;=S$68,0,S$68/S$71)),"NA",IF(SUM(S$82:S87)&gt;=S$68,0,S$68/S$71))</f>
        <v>0</v>
      </c>
      <c r="T88" s="207">
        <f>IF(ISERROR(IF(SUM(T$82:T87)&gt;=T$68,0,T$68/T$71)),"NA",IF(SUM(T$82:T87)&gt;=T$68,0,T$68/T$71))</f>
        <v>0</v>
      </c>
      <c r="U88" s="207">
        <f>IF(ISERROR(IF(SUM(U$82:U87)&gt;=U$68,0,U$68/U$71)),"NA",IF(SUM(U$82:U87)&gt;=U$68,0,U$68/U$71))</f>
        <v>0</v>
      </c>
      <c r="V88" s="212">
        <f t="shared" si="61"/>
        <v>0</v>
      </c>
      <c r="W88" s="212">
        <f t="shared" si="61"/>
        <v>0</v>
      </c>
      <c r="X88" s="212">
        <f t="shared" si="61"/>
        <v>0</v>
      </c>
      <c r="Y88" s="212">
        <f t="shared" si="57"/>
        <v>0</v>
      </c>
      <c r="Z88" s="212">
        <f t="shared" si="57"/>
        <v>0</v>
      </c>
      <c r="AA88" s="212">
        <f t="shared" si="57"/>
        <v>0</v>
      </c>
      <c r="AB88" s="212">
        <f t="shared" si="57"/>
        <v>0</v>
      </c>
      <c r="AC88" s="212">
        <f t="shared" si="58"/>
        <v>0</v>
      </c>
      <c r="AD88" s="212">
        <f t="shared" si="59"/>
        <v>0</v>
      </c>
      <c r="AE88" s="309"/>
      <c r="AF88" s="309"/>
      <c r="AG88" s="309"/>
      <c r="AH88" s="309"/>
    </row>
    <row r="89" spans="1:34" outlineLevel="1">
      <c r="A89" s="304"/>
      <c r="B89" s="185"/>
      <c r="C89" s="305" t="s">
        <v>244</v>
      </c>
      <c r="D89" s="305"/>
      <c r="E89" s="305"/>
      <c r="F89" s="305"/>
      <c r="G89" s="305"/>
      <c r="H89" s="207">
        <f>IF(ISERROR(IF(SUM(H$82:H88)&gt;=H$68,0,H$68/H$71)),"NA",IF(SUM(H$82:H88)&gt;=H$68,0,H$68/H$71))</f>
        <v>0</v>
      </c>
      <c r="I89" s="207">
        <f>IF(ISERROR(IF(SUM(I$82:I88)&gt;=I$68,0,I$68/I$71)),"NA",IF(SUM(I$82:I88)&gt;=I$68,0,I$68/I$71))</f>
        <v>0</v>
      </c>
      <c r="J89" s="207">
        <f>IF(ISERROR(IF(SUM(J$82:J88)&gt;=J$68,0,J$68/J$71)),"NA",IF(SUM(J$82:J88)&gt;=J$68,0,J$68/J$71))</f>
        <v>0</v>
      </c>
      <c r="K89" s="207">
        <f>IF(ISERROR(IF(SUM(K$82:K88)&gt;=K$68,0,K$68/K$71)),"NA",IF(SUM(K$82:K88)&gt;=K$68,0,K$68/K$71))</f>
        <v>0</v>
      </c>
      <c r="L89" s="207">
        <f>IF(ISERROR(IF(SUM(L$82:L88)&gt;=L$68,0,L$68/L$71)),"NA",IF(SUM(L$82:L88)&gt;=L$68,0,L$68/L$71))</f>
        <v>0</v>
      </c>
      <c r="M89" s="207">
        <f>IF(ISERROR(IF(SUM(M$82:M88)&gt;=M$68,0,M$68/M$71)),"NA",IF(SUM(M$82:M88)&gt;=M$68,0,M$68/M$71))</f>
        <v>0</v>
      </c>
      <c r="N89" s="207">
        <f>IF(ISERROR(IF(SUM(N$82:N88)&gt;=N$68,0,N$68/N$71)),"NA",IF(SUM(N$82:N88)&gt;=N$68,0,N$68/N$71))</f>
        <v>0</v>
      </c>
      <c r="O89" s="207">
        <f>IF(ISERROR(IF(SUM(O$82:O88)&gt;=O$68,0,O$68/O$71)),"NA",IF(SUM(O$82:O88)&gt;=O$68,0,O$68/O$71))</f>
        <v>0</v>
      </c>
      <c r="P89" s="207">
        <f>IF(ISERROR(IF(SUM(P$82:P88)&gt;=P$68,0,P$68/P$71)),"NA",IF(SUM(P$82:P88)&gt;=P$68,0,P$68/P$71))</f>
        <v>0</v>
      </c>
      <c r="Q89" s="207">
        <f>IF(ISERROR(IF(SUM(Q$82:Q88)&gt;=Q$68,0,Q$68/Q$71)),"NA",IF(SUM(Q$82:Q88)&gt;=Q$68,0,Q$68/Q$71))</f>
        <v>0</v>
      </c>
      <c r="R89" s="207">
        <f>IF(ISERROR(IF(SUM(R$82:R88)&gt;=R$68,0,R$68/R$71)),"NA",IF(SUM(R$82:R88)&gt;=R$68,0,R$68/R$71))</f>
        <v>0</v>
      </c>
      <c r="S89" s="207">
        <f>IF(ISERROR(IF(SUM(S$82:S88)&gt;=S$68,0,S$68/S$71)),"NA",IF(SUM(S$82:S88)&gt;=S$68,0,S$68/S$71))</f>
        <v>0</v>
      </c>
      <c r="T89" s="207">
        <f>IF(ISERROR(IF(SUM(T$82:T88)&gt;=T$68,0,T$68/T$71)),"NA",IF(SUM(T$82:T88)&gt;=T$68,0,T$68/T$71))</f>
        <v>0</v>
      </c>
      <c r="U89" s="207">
        <f>IF(ISERROR(IF(SUM(U$82:U88)&gt;=U$68,0,U$68/U$71)),"NA",IF(SUM(U$82:U88)&gt;=U$68,0,U$68/U$71))</f>
        <v>0</v>
      </c>
      <c r="V89" s="212">
        <f t="shared" si="61"/>
        <v>0</v>
      </c>
      <c r="W89" s="212">
        <f t="shared" si="61"/>
        <v>0</v>
      </c>
      <c r="X89" s="212">
        <f t="shared" si="61"/>
        <v>0</v>
      </c>
      <c r="Y89" s="212">
        <f t="shared" si="57"/>
        <v>0</v>
      </c>
      <c r="Z89" s="212">
        <f t="shared" si="57"/>
        <v>0</v>
      </c>
      <c r="AA89" s="212">
        <f t="shared" si="57"/>
        <v>0</v>
      </c>
      <c r="AB89" s="212">
        <f t="shared" si="57"/>
        <v>0</v>
      </c>
      <c r="AC89" s="212">
        <f t="shared" si="58"/>
        <v>0</v>
      </c>
      <c r="AD89" s="212">
        <f t="shared" si="59"/>
        <v>0</v>
      </c>
      <c r="AE89" s="309"/>
      <c r="AF89" s="309"/>
      <c r="AG89" s="309"/>
      <c r="AH89" s="309"/>
    </row>
    <row r="90" spans="1:34" outlineLevel="1">
      <c r="A90" s="304"/>
      <c r="B90" s="185"/>
      <c r="C90" s="305" t="s">
        <v>245</v>
      </c>
      <c r="D90" s="305"/>
      <c r="E90" s="305"/>
      <c r="F90" s="305"/>
      <c r="G90" s="305"/>
      <c r="H90" s="207">
        <f>IF(ISERROR(IF(SUM(H$82:H89)&gt;=H$68,0,H$68/H$71)),"NA",IF(SUM(H$82:H89)&gt;=H$68,0,H$68/H$71))</f>
        <v>0</v>
      </c>
      <c r="I90" s="207">
        <f>IF(ISERROR(IF(SUM(I$82:I89)&gt;=I$68,0,I$68/I$71)),"NA",IF(SUM(I$82:I89)&gt;=I$68,0,I$68/I$71))</f>
        <v>0</v>
      </c>
      <c r="J90" s="207">
        <f>IF(ISERROR(IF(SUM(J$82:J89)&gt;=J$68,0,J$68/J$71)),"NA",IF(SUM(J$82:J89)&gt;=J$68,0,J$68/J$71))</f>
        <v>0</v>
      </c>
      <c r="K90" s="207">
        <f>IF(ISERROR(IF(SUM(K$82:K89)&gt;=K$68,0,K$68/K$71)),"NA",IF(SUM(K$82:K89)&gt;=K$68,0,K$68/K$71))</f>
        <v>0</v>
      </c>
      <c r="L90" s="207">
        <f>IF(ISERROR(IF(SUM(L$82:L89)&gt;=L$68,0,L$68/L$71)),"NA",IF(SUM(L$82:L89)&gt;=L$68,0,L$68/L$71))</f>
        <v>0</v>
      </c>
      <c r="M90" s="207">
        <f>IF(ISERROR(IF(SUM(M$82:M89)&gt;=M$68,0,M$68/M$71)),"NA",IF(SUM(M$82:M89)&gt;=M$68,0,M$68/M$71))</f>
        <v>0</v>
      </c>
      <c r="N90" s="207">
        <f>IF(ISERROR(IF(SUM(N$82:N89)&gt;=N$68,0,N$68/N$71)),"NA",IF(SUM(N$82:N89)&gt;=N$68,0,N$68/N$71))</f>
        <v>0</v>
      </c>
      <c r="O90" s="207">
        <f>IF(ISERROR(IF(SUM(O$82:O89)&gt;=O$68,0,O$68/O$71)),"NA",IF(SUM(O$82:O89)&gt;=O$68,0,O$68/O$71))</f>
        <v>0</v>
      </c>
      <c r="P90" s="207">
        <f>IF(ISERROR(IF(SUM(P$82:P89)&gt;=P$68,0,P$68/P$71)),"NA",IF(SUM(P$82:P89)&gt;=P$68,0,P$68/P$71))</f>
        <v>0</v>
      </c>
      <c r="Q90" s="207">
        <f>IF(ISERROR(IF(SUM(Q$82:Q89)&gt;=Q$68,0,Q$68/Q$71)),"NA",IF(SUM(Q$82:Q89)&gt;=Q$68,0,Q$68/Q$71))</f>
        <v>0</v>
      </c>
      <c r="R90" s="207">
        <f>IF(ISERROR(IF(SUM(R$82:R89)&gt;=R$68,0,R$68/R$71)),"NA",IF(SUM(R$82:R89)&gt;=R$68,0,R$68/R$71))</f>
        <v>0</v>
      </c>
      <c r="S90" s="207">
        <f>IF(ISERROR(IF(SUM(S$82:S89)&gt;=S$68,0,S$68/S$71)),"NA",IF(SUM(S$82:S89)&gt;=S$68,0,S$68/S$71))</f>
        <v>0</v>
      </c>
      <c r="T90" s="207">
        <f>IF(ISERROR(IF(SUM(T$82:T89)&gt;=T$68,0,T$68/T$71)),"NA",IF(SUM(T$82:T89)&gt;=T$68,0,T$68/T$71))</f>
        <v>0</v>
      </c>
      <c r="U90" s="207">
        <f>IF(ISERROR(IF(SUM(U$82:U89)&gt;=U$68,0,U$68/U$71)),"NA",IF(SUM(U$82:U89)&gt;=U$68,0,U$68/U$71))</f>
        <v>0</v>
      </c>
      <c r="V90" s="212">
        <f t="shared" si="61"/>
        <v>0</v>
      </c>
      <c r="W90" s="212">
        <f t="shared" si="61"/>
        <v>0</v>
      </c>
      <c r="X90" s="212">
        <f t="shared" si="61"/>
        <v>0</v>
      </c>
      <c r="Y90" s="212">
        <f t="shared" si="57"/>
        <v>0</v>
      </c>
      <c r="Z90" s="212">
        <f t="shared" si="57"/>
        <v>0</v>
      </c>
      <c r="AA90" s="212">
        <f t="shared" si="57"/>
        <v>0</v>
      </c>
      <c r="AB90" s="212">
        <f t="shared" si="57"/>
        <v>0</v>
      </c>
      <c r="AC90" s="212">
        <f t="shared" si="58"/>
        <v>0</v>
      </c>
      <c r="AD90" s="212">
        <f t="shared" si="59"/>
        <v>0</v>
      </c>
      <c r="AE90" s="309"/>
      <c r="AF90" s="309"/>
      <c r="AG90" s="309"/>
      <c r="AH90" s="309"/>
    </row>
    <row r="91" spans="1:34" outlineLevel="1">
      <c r="A91" s="304"/>
      <c r="B91" s="185"/>
      <c r="C91" s="305" t="s">
        <v>246</v>
      </c>
      <c r="D91" s="305"/>
      <c r="E91" s="305"/>
      <c r="F91" s="305"/>
      <c r="G91" s="305"/>
      <c r="H91" s="207">
        <f>IF(ISERROR(IF(SUM(H$82:H90)&gt;=H$68,0,H$68/H$71)),"NA",IF(SUM(H$82:H90)&gt;=H$68,0,H$68/H$71))</f>
        <v>0</v>
      </c>
      <c r="I91" s="207">
        <f>IF(ISERROR(IF(SUM(I$82:I90)&gt;=I$68,0,I$68/I$71)),"NA",IF(SUM(I$82:I90)&gt;=I$68,0,I$68/I$71))</f>
        <v>0</v>
      </c>
      <c r="J91" s="207">
        <f>IF(ISERROR(IF(SUM(J$82:J90)&gt;=J$68,0,J$68/J$71)),"NA",IF(SUM(J$82:J90)&gt;=J$68,0,J$68/J$71))</f>
        <v>0</v>
      </c>
      <c r="K91" s="207">
        <f>IF(ISERROR(IF(SUM(K$82:K90)&gt;=K$68,0,K$68/K$71)),"NA",IF(SUM(K$82:K90)&gt;=K$68,0,K$68/K$71))</f>
        <v>0</v>
      </c>
      <c r="L91" s="207">
        <f>IF(ISERROR(IF(SUM(L$82:L90)&gt;=L$68,0,L$68/L$71)),"NA",IF(SUM(L$82:L90)&gt;=L$68,0,L$68/L$71))</f>
        <v>0</v>
      </c>
      <c r="M91" s="207">
        <f>IF(ISERROR(IF(SUM(M$82:M90)&gt;=M$68,0,M$68/M$71)),"NA",IF(SUM(M$82:M90)&gt;=M$68,0,M$68/M$71))</f>
        <v>0</v>
      </c>
      <c r="N91" s="207">
        <f>IF(ISERROR(IF(SUM(N$82:N90)&gt;=N$68,0,N$68/N$71)),"NA",IF(SUM(N$82:N90)&gt;=N$68,0,N$68/N$71))</f>
        <v>0</v>
      </c>
      <c r="O91" s="207">
        <f>IF(ISERROR(IF(SUM(O$82:O90)&gt;=O$68,0,O$68/O$71)),"NA",IF(SUM(O$82:O90)&gt;=O$68,0,O$68/O$71))</f>
        <v>0</v>
      </c>
      <c r="P91" s="207">
        <f>IF(ISERROR(IF(SUM(P$82:P90)&gt;=P$68,0,P$68/P$71)),"NA",IF(SUM(P$82:P90)&gt;=P$68,0,P$68/P$71))</f>
        <v>0</v>
      </c>
      <c r="Q91" s="207">
        <f>IF(ISERROR(IF(SUM(Q$82:Q90)&gt;=Q$68,0,Q$68/Q$71)),"NA",IF(SUM(Q$82:Q90)&gt;=Q$68,0,Q$68/Q$71))</f>
        <v>0</v>
      </c>
      <c r="R91" s="207">
        <f>IF(ISERROR(IF(SUM(R$82:R90)&gt;=R$68,0,R$68/R$71)),"NA",IF(SUM(R$82:R90)&gt;=R$68,0,R$68/R$71))</f>
        <v>0</v>
      </c>
      <c r="S91" s="207">
        <f>IF(ISERROR(IF(SUM(S$82:S90)&gt;=S$68,0,S$68/S$71)),"NA",IF(SUM(S$82:S90)&gt;=S$68,0,S$68/S$71))</f>
        <v>0</v>
      </c>
      <c r="T91" s="207">
        <f>IF(ISERROR(IF(SUM(T$82:T90)&gt;=T$68,0,T$68/T$71)),"NA",IF(SUM(T$82:T90)&gt;=T$68,0,T$68/T$71))</f>
        <v>0</v>
      </c>
      <c r="U91" s="207">
        <f>IF(ISERROR(IF(SUM(U$82:U90)&gt;=U$68,0,U$68/U$71)),"NA",IF(SUM(U$82:U90)&gt;=U$68,0,U$68/U$71))</f>
        <v>0</v>
      </c>
      <c r="V91" s="212">
        <f t="shared" si="61"/>
        <v>0</v>
      </c>
      <c r="W91" s="212">
        <f t="shared" si="61"/>
        <v>0</v>
      </c>
      <c r="X91" s="212">
        <f t="shared" si="61"/>
        <v>0</v>
      </c>
      <c r="Y91" s="212">
        <f t="shared" si="57"/>
        <v>0</v>
      </c>
      <c r="Z91" s="212">
        <f t="shared" si="57"/>
        <v>0</v>
      </c>
      <c r="AA91" s="212">
        <f t="shared" si="57"/>
        <v>0</v>
      </c>
      <c r="AB91" s="212">
        <f t="shared" si="57"/>
        <v>0</v>
      </c>
      <c r="AC91" s="212">
        <f t="shared" si="58"/>
        <v>0</v>
      </c>
      <c r="AD91" s="212">
        <f t="shared" si="59"/>
        <v>0</v>
      </c>
      <c r="AE91" s="309"/>
      <c r="AF91" s="309"/>
      <c r="AG91" s="309"/>
      <c r="AH91" s="309"/>
    </row>
    <row r="92" spans="1:34" outlineLevel="1">
      <c r="A92" s="304"/>
      <c r="B92" s="185"/>
      <c r="C92" s="305" t="s">
        <v>247</v>
      </c>
      <c r="D92" s="305"/>
      <c r="E92" s="305"/>
      <c r="F92" s="305"/>
      <c r="G92" s="305"/>
      <c r="H92" s="207">
        <f>IF(ISERROR(IF(SUM(H$82:H91)&gt;=H$68,0,H$68/H$71)),"NA",IF(SUM(H$82:H91)&gt;=H$68,0,H$68/H$71))</f>
        <v>0</v>
      </c>
      <c r="I92" s="207">
        <f>IF(ISERROR(IF(SUM(I$82:I91)&gt;=I$68,0,I$68/I$71)),"NA",IF(SUM(I$82:I91)&gt;=I$68,0,I$68/I$71))</f>
        <v>0</v>
      </c>
      <c r="J92" s="207">
        <f>IF(ISERROR(IF(SUM(J$82:J91)&gt;=J$68,0,J$68/J$71)),"NA",IF(SUM(J$82:J91)&gt;=J$68,0,J$68/J$71))</f>
        <v>0</v>
      </c>
      <c r="K92" s="207">
        <f>IF(ISERROR(IF(SUM(K$82:K91)&gt;=K$68,0,K$68/K$71)),"NA",IF(SUM(K$82:K91)&gt;=K$68,0,K$68/K$71))</f>
        <v>0</v>
      </c>
      <c r="L92" s="207">
        <f>IF(ISERROR(IF(SUM(L$82:L91)&gt;=L$68,0,L$68/L$71)),"NA",IF(SUM(L$82:L91)&gt;=L$68,0,L$68/L$71))</f>
        <v>0</v>
      </c>
      <c r="M92" s="207">
        <f>IF(ISERROR(IF(SUM(M$82:M91)&gt;=M$68,0,M$68/M$71)),"NA",IF(SUM(M$82:M91)&gt;=M$68,0,M$68/M$71))</f>
        <v>0</v>
      </c>
      <c r="N92" s="207">
        <f>IF(ISERROR(IF(SUM(N$82:N91)&gt;=N$68,0,N$68/N$71)),"NA",IF(SUM(N$82:N91)&gt;=N$68,0,N$68/N$71))</f>
        <v>0</v>
      </c>
      <c r="O92" s="207">
        <f>IF(ISERROR(IF(SUM(O$82:O91)&gt;=O$68,0,O$68/O$71)),"NA",IF(SUM(O$82:O91)&gt;=O$68,0,O$68/O$71))</f>
        <v>0</v>
      </c>
      <c r="P92" s="207">
        <f>IF(ISERROR(IF(SUM(P$82:P91)&gt;=P$68,0,P$68/P$71)),"NA",IF(SUM(P$82:P91)&gt;=P$68,0,P$68/P$71))</f>
        <v>0</v>
      </c>
      <c r="Q92" s="207">
        <f>IF(ISERROR(IF(SUM(Q$82:Q91)&gt;=Q$68,0,Q$68/Q$71)),"NA",IF(SUM(Q$82:Q91)&gt;=Q$68,0,Q$68/Q$71))</f>
        <v>0</v>
      </c>
      <c r="R92" s="207">
        <f>IF(ISERROR(IF(SUM(R$82:R91)&gt;=R$68,0,R$68/R$71)),"NA",IF(SUM(R$82:R91)&gt;=R$68,0,R$68/R$71))</f>
        <v>0</v>
      </c>
      <c r="S92" s="207">
        <f>IF(ISERROR(IF(SUM(S$82:S91)&gt;=S$68,0,S$68/S$71)),"NA",IF(SUM(S$82:S91)&gt;=S$68,0,S$68/S$71))</f>
        <v>0</v>
      </c>
      <c r="T92" s="207">
        <f>IF(ISERROR(IF(SUM(T$82:T91)&gt;=T$68,0,T$68/T$71)),"NA",IF(SUM(T$82:T91)&gt;=T$68,0,T$68/T$71))</f>
        <v>0</v>
      </c>
      <c r="U92" s="207">
        <f>IF(ISERROR(IF(SUM(U$82:U91)&gt;=U$68,0,U$68/U$71)),"NA",IF(SUM(U$82:U91)&gt;=U$68,0,U$68/U$71))</f>
        <v>0</v>
      </c>
      <c r="V92" s="212">
        <f t="shared" si="61"/>
        <v>0</v>
      </c>
      <c r="W92" s="212">
        <f t="shared" si="61"/>
        <v>0</v>
      </c>
      <c r="X92" s="212">
        <f t="shared" si="61"/>
        <v>0</v>
      </c>
      <c r="Y92" s="212">
        <f t="shared" si="57"/>
        <v>0</v>
      </c>
      <c r="Z92" s="212">
        <f t="shared" si="57"/>
        <v>0</v>
      </c>
      <c r="AA92" s="212">
        <f t="shared" si="57"/>
        <v>0</v>
      </c>
      <c r="AB92" s="212">
        <f t="shared" si="57"/>
        <v>0</v>
      </c>
      <c r="AC92" s="212">
        <f t="shared" si="58"/>
        <v>0</v>
      </c>
      <c r="AD92" s="212">
        <f t="shared" si="59"/>
        <v>0</v>
      </c>
      <c r="AE92" s="309"/>
      <c r="AF92" s="309"/>
      <c r="AG92" s="309"/>
      <c r="AH92" s="309"/>
    </row>
    <row r="93" spans="1:34" outlineLevel="1">
      <c r="A93" s="304"/>
      <c r="B93" s="185"/>
      <c r="C93" s="305" t="s">
        <v>248</v>
      </c>
      <c r="D93" s="305"/>
      <c r="E93" s="305"/>
      <c r="F93" s="305"/>
      <c r="G93" s="305"/>
      <c r="H93" s="207">
        <f>IF(ISERROR(IF(SUM(H$82:H92)&gt;=H$68,0,H$68/H$71)),"NA",IF(SUM(H$82:H92)&gt;=H$68,0,H$68/H$71))</f>
        <v>0</v>
      </c>
      <c r="I93" s="207">
        <f>IF(ISERROR(IF(SUM(I$82:I92)&gt;=I$68,0,I$68/I$71)),"NA",IF(SUM(I$82:I92)&gt;=I$68,0,I$68/I$71))</f>
        <v>0</v>
      </c>
      <c r="J93" s="207">
        <f>IF(ISERROR(IF(SUM(J$82:J92)&gt;=J$68,0,J$68/J$71)),"NA",IF(SUM(J$82:J92)&gt;=J$68,0,J$68/J$71))</f>
        <v>0</v>
      </c>
      <c r="K93" s="207">
        <f>IF(ISERROR(IF(SUM(K$82:K92)&gt;=K$68,0,K$68/K$71)),"NA",IF(SUM(K$82:K92)&gt;=K$68,0,K$68/K$71))</f>
        <v>0</v>
      </c>
      <c r="L93" s="207">
        <f>IF(ISERROR(IF(SUM(L$82:L92)&gt;=L$68,0,L$68/L$71)),"NA",IF(SUM(L$82:L92)&gt;=L$68,0,L$68/L$71))</f>
        <v>0</v>
      </c>
      <c r="M93" s="207">
        <f>IF(ISERROR(IF(SUM(M$82:M92)&gt;=M$68,0,M$68/M$71)),"NA",IF(SUM(M$82:M92)&gt;=M$68,0,M$68/M$71))</f>
        <v>0</v>
      </c>
      <c r="N93" s="207">
        <f>IF(ISERROR(IF(SUM(N$82:N92)&gt;=N$68,0,N$68/N$71)),"NA",IF(SUM(N$82:N92)&gt;=N$68,0,N$68/N$71))</f>
        <v>0</v>
      </c>
      <c r="O93" s="207">
        <f>IF(ISERROR(IF(SUM(O$82:O92)&gt;=O$68,0,O$68/O$71)),"NA",IF(SUM(O$82:O92)&gt;=O$68,0,O$68/O$71))</f>
        <v>0</v>
      </c>
      <c r="P93" s="207">
        <f>IF(ISERROR(IF(SUM(P$82:P92)&gt;=P$68,0,P$68/P$71)),"NA",IF(SUM(P$82:P92)&gt;=P$68,0,P$68/P$71))</f>
        <v>0</v>
      </c>
      <c r="Q93" s="207">
        <f>IF(ISERROR(IF(SUM(Q$82:Q92)&gt;=Q$68,0,Q$68/Q$71)),"NA",IF(SUM(Q$82:Q92)&gt;=Q$68,0,Q$68/Q$71))</f>
        <v>0</v>
      </c>
      <c r="R93" s="207">
        <f>IF(ISERROR(IF(SUM(R$82:R92)&gt;=R$68,0,R$68/R$71)),"NA",IF(SUM(R$82:R92)&gt;=R$68,0,R$68/R$71))</f>
        <v>0</v>
      </c>
      <c r="S93" s="207">
        <f>IF(ISERROR(IF(SUM(S$82:S92)&gt;=S$68,0,S$68/S$71)),"NA",IF(SUM(S$82:S92)&gt;=S$68,0,S$68/S$71))</f>
        <v>0</v>
      </c>
      <c r="T93" s="207">
        <f>IF(ISERROR(IF(SUM(T$82:T92)&gt;=T$68,0,T$68/T$71)),"NA",IF(SUM(T$82:T92)&gt;=T$68,0,T$68/T$71))</f>
        <v>0</v>
      </c>
      <c r="U93" s="207">
        <f>IF(ISERROR(IF(SUM(U$82:U92)&gt;=U$68,0,U$68/U$71)),"NA",IF(SUM(U$82:U92)&gt;=U$68,0,U$68/U$71))</f>
        <v>0</v>
      </c>
      <c r="V93" s="212">
        <f t="shared" si="61"/>
        <v>0</v>
      </c>
      <c r="W93" s="212">
        <f t="shared" si="61"/>
        <v>0</v>
      </c>
      <c r="X93" s="212">
        <f t="shared" si="61"/>
        <v>0</v>
      </c>
      <c r="Y93" s="212">
        <f t="shared" si="57"/>
        <v>0</v>
      </c>
      <c r="Z93" s="212">
        <f t="shared" si="57"/>
        <v>0</v>
      </c>
      <c r="AA93" s="212">
        <f t="shared" si="57"/>
        <v>0</v>
      </c>
      <c r="AB93" s="212">
        <f t="shared" si="57"/>
        <v>0</v>
      </c>
      <c r="AC93" s="212">
        <f t="shared" si="58"/>
        <v>0</v>
      </c>
      <c r="AD93" s="212">
        <f t="shared" si="59"/>
        <v>0</v>
      </c>
      <c r="AE93" s="309"/>
      <c r="AF93" s="309"/>
      <c r="AG93" s="309"/>
      <c r="AH93" s="309"/>
    </row>
    <row r="94" spans="1:34" outlineLevel="1">
      <c r="A94" s="304"/>
      <c r="B94" s="185"/>
      <c r="C94" s="305" t="s">
        <v>249</v>
      </c>
      <c r="D94" s="305"/>
      <c r="E94" s="305"/>
      <c r="F94" s="305"/>
      <c r="G94" s="305"/>
      <c r="H94" s="207">
        <f>IF(ISERROR(IF(SUM(H$82:H93)&gt;=H$68,0,H$68/H$71)),"NA",IF(SUM(H$82:H93)&gt;=H$68,0,H$68/H$71))</f>
        <v>0</v>
      </c>
      <c r="I94" s="207">
        <f>IF(ISERROR(IF(SUM(I$82:I93)&gt;=I$68,0,I$68/I$71)),"NA",IF(SUM(I$82:I93)&gt;=I$68,0,I$68/I$71))</f>
        <v>0</v>
      </c>
      <c r="J94" s="207">
        <f>IF(ISERROR(IF(SUM(J$82:J93)&gt;=J$68,0,J$68/J$71)),"NA",IF(SUM(J$82:J93)&gt;=J$68,0,J$68/J$71))</f>
        <v>0</v>
      </c>
      <c r="K94" s="207">
        <f>IF(ISERROR(IF(SUM(K$82:K93)&gt;=K$68,0,K$68/K$71)),"NA",IF(SUM(K$82:K93)&gt;=K$68,0,K$68/K$71))</f>
        <v>0</v>
      </c>
      <c r="L94" s="207">
        <f>IF(ISERROR(IF(SUM(L$82:L93)&gt;=L$68,0,L$68/L$71)),"NA",IF(SUM(L$82:L93)&gt;=L$68,0,L$68/L$71))</f>
        <v>0</v>
      </c>
      <c r="M94" s="207">
        <f>IF(ISERROR(IF(SUM(M$82:M93)&gt;=M$68,0,M$68/M$71)),"NA",IF(SUM(M$82:M93)&gt;=M$68,0,M$68/M$71))</f>
        <v>0</v>
      </c>
      <c r="N94" s="207">
        <f>IF(ISERROR(IF(SUM(N$82:N93)&gt;=N$68,0,N$68/N$71)),"NA",IF(SUM(N$82:N93)&gt;=N$68,0,N$68/N$71))</f>
        <v>0</v>
      </c>
      <c r="O94" s="207">
        <f>IF(ISERROR(IF(SUM(O$82:O93)&gt;=O$68,0,O$68/O$71)),"NA",IF(SUM(O$82:O93)&gt;=O$68,0,O$68/O$71))</f>
        <v>0</v>
      </c>
      <c r="P94" s="207">
        <f>IF(ISERROR(IF(SUM(P$82:P93)&gt;=P$68,0,P$68/P$71)),"NA",IF(SUM(P$82:P93)&gt;=P$68,0,P$68/P$71))</f>
        <v>0</v>
      </c>
      <c r="Q94" s="207">
        <f>IF(ISERROR(IF(SUM(Q$82:Q93)&gt;=Q$68,0,Q$68/Q$71)),"NA",IF(SUM(Q$82:Q93)&gt;=Q$68,0,Q$68/Q$71))</f>
        <v>0</v>
      </c>
      <c r="R94" s="207">
        <f>IF(ISERROR(IF(SUM(R$82:R93)&gt;=R$68,0,R$68/R$71)),"NA",IF(SUM(R$82:R93)&gt;=R$68,0,R$68/R$71))</f>
        <v>0</v>
      </c>
      <c r="S94" s="207">
        <f>IF(ISERROR(IF(SUM(S$82:S93)&gt;=S$68,0,S$68/S$71)),"NA",IF(SUM(S$82:S93)&gt;=S$68,0,S$68/S$71))</f>
        <v>0</v>
      </c>
      <c r="T94" s="207">
        <f>IF(ISERROR(IF(SUM(T$82:T93)&gt;=T$68,0,T$68/T$71)),"NA",IF(SUM(T$82:T93)&gt;=T$68,0,T$68/T$71))</f>
        <v>0</v>
      </c>
      <c r="U94" s="207">
        <f>IF(ISERROR(IF(SUM(U$82:U93)&gt;=U$68,0,U$68/U$71)),"NA",IF(SUM(U$82:U93)&gt;=U$68,0,U$68/U$71))</f>
        <v>0</v>
      </c>
      <c r="V94" s="212">
        <f t="shared" si="61"/>
        <v>0</v>
      </c>
      <c r="W94" s="212">
        <f t="shared" si="61"/>
        <v>0</v>
      </c>
      <c r="X94" s="212">
        <f t="shared" si="61"/>
        <v>0</v>
      </c>
      <c r="Y94" s="212">
        <f t="shared" si="57"/>
        <v>0</v>
      </c>
      <c r="Z94" s="212">
        <f t="shared" si="57"/>
        <v>0</v>
      </c>
      <c r="AA94" s="212">
        <f t="shared" si="57"/>
        <v>0</v>
      </c>
      <c r="AB94" s="212">
        <f t="shared" si="57"/>
        <v>0</v>
      </c>
      <c r="AC94" s="212">
        <f t="shared" si="58"/>
        <v>0</v>
      </c>
      <c r="AD94" s="212">
        <f t="shared" si="59"/>
        <v>0</v>
      </c>
      <c r="AE94" s="309"/>
      <c r="AF94" s="309"/>
      <c r="AG94" s="309"/>
      <c r="AH94" s="309"/>
    </row>
    <row r="95" spans="1:34" outlineLevel="1">
      <c r="A95" s="304"/>
      <c r="B95" s="185"/>
      <c r="C95" s="305" t="s">
        <v>250</v>
      </c>
      <c r="D95" s="305"/>
      <c r="E95" s="305"/>
      <c r="F95" s="305"/>
      <c r="G95" s="305"/>
      <c r="H95" s="207">
        <f>IF(ISERROR(IF(SUM(H$82:H94)&gt;=H$68,0,H$68/H$71)),"NA",IF(SUM(H$82:H94)&gt;=H$68,0,H$68/H$71))</f>
        <v>0</v>
      </c>
      <c r="I95" s="207">
        <f>IF(ISERROR(IF(SUM(I$82:I94)&gt;=I$68,0,I$68/I$71)),"NA",IF(SUM(I$82:I94)&gt;=I$68,0,I$68/I$71))</f>
        <v>0</v>
      </c>
      <c r="J95" s="207">
        <f>IF(ISERROR(IF(SUM(J$82:J94)&gt;=J$68,0,J$68/J$71)),"NA",IF(SUM(J$82:J94)&gt;=J$68,0,J$68/J$71))</f>
        <v>0</v>
      </c>
      <c r="K95" s="207">
        <f>IF(ISERROR(IF(SUM(K$82:K94)&gt;=K$68,0,K$68/K$71)),"NA",IF(SUM(K$82:K94)&gt;=K$68,0,K$68/K$71))</f>
        <v>0</v>
      </c>
      <c r="L95" s="207">
        <f>IF(ISERROR(IF(SUM(L$82:L94)&gt;=L$68,0,L$68/L$71)),"NA",IF(SUM(L$82:L94)&gt;=L$68,0,L$68/L$71))</f>
        <v>0</v>
      </c>
      <c r="M95" s="207">
        <f>IF(ISERROR(IF(SUM(M$82:M94)&gt;=M$68,0,M$68/M$71)),"NA",IF(SUM(M$82:M94)&gt;=M$68,0,M$68/M$71))</f>
        <v>0</v>
      </c>
      <c r="N95" s="207">
        <f>IF(ISERROR(IF(SUM(N$82:N94)&gt;=N$68,0,N$68/N$71)),"NA",IF(SUM(N$82:N94)&gt;=N$68,0,N$68/N$71))</f>
        <v>0</v>
      </c>
      <c r="O95" s="207">
        <f>IF(ISERROR(IF(SUM(O$82:O94)&gt;=O$68,0,O$68/O$71)),"NA",IF(SUM(O$82:O94)&gt;=O$68,0,O$68/O$71))</f>
        <v>0</v>
      </c>
      <c r="P95" s="207">
        <f>IF(ISERROR(IF(SUM(P$82:P94)&gt;=P$68,0,P$68/P$71)),"NA",IF(SUM(P$82:P94)&gt;=P$68,0,P$68/P$71))</f>
        <v>0</v>
      </c>
      <c r="Q95" s="207">
        <f>IF(ISERROR(IF(SUM(Q$82:Q94)&gt;=Q$68,0,Q$68/Q$71)),"NA",IF(SUM(Q$82:Q94)&gt;=Q$68,0,Q$68/Q$71))</f>
        <v>0</v>
      </c>
      <c r="R95" s="207">
        <f>IF(ISERROR(IF(SUM(R$82:R94)&gt;=R$68,0,R$68/R$71)),"NA",IF(SUM(R$82:R94)&gt;=R$68,0,R$68/R$71))</f>
        <v>0</v>
      </c>
      <c r="S95" s="207">
        <f>IF(ISERROR(IF(SUM(S$82:S94)&gt;=S$68,0,S$68/S$71)),"NA",IF(SUM(S$82:S94)&gt;=S$68,0,S$68/S$71))</f>
        <v>0</v>
      </c>
      <c r="T95" s="207">
        <f>IF(ISERROR(IF(SUM(T$82:T94)&gt;=T$68,0,T$68/T$71)),"NA",IF(SUM(T$82:T94)&gt;=T$68,0,T$68/T$71))</f>
        <v>0</v>
      </c>
      <c r="U95" s="207">
        <f>IF(ISERROR(IF(SUM(U$82:U94)&gt;=U$68,0,U$68/U$71)),"NA",IF(SUM(U$82:U94)&gt;=U$68,0,U$68/U$71))</f>
        <v>0</v>
      </c>
      <c r="V95" s="212">
        <f t="shared" si="61"/>
        <v>0</v>
      </c>
      <c r="W95" s="212">
        <f t="shared" si="61"/>
        <v>0</v>
      </c>
      <c r="X95" s="212">
        <f t="shared" si="61"/>
        <v>0</v>
      </c>
      <c r="Y95" s="212">
        <f t="shared" si="57"/>
        <v>0</v>
      </c>
      <c r="Z95" s="212">
        <f t="shared" si="57"/>
        <v>0</v>
      </c>
      <c r="AA95" s="212">
        <f t="shared" si="57"/>
        <v>0</v>
      </c>
      <c r="AB95" s="212">
        <f t="shared" si="57"/>
        <v>0</v>
      </c>
      <c r="AC95" s="212">
        <f t="shared" si="58"/>
        <v>0</v>
      </c>
      <c r="AD95" s="212">
        <f t="shared" si="59"/>
        <v>0</v>
      </c>
      <c r="AE95" s="309"/>
      <c r="AF95" s="309"/>
      <c r="AG95" s="309"/>
      <c r="AH95" s="309"/>
    </row>
    <row r="96" spans="1:34" outlineLevel="1">
      <c r="A96" s="304"/>
      <c r="B96" s="185"/>
      <c r="C96" s="305" t="s">
        <v>477</v>
      </c>
      <c r="D96" s="305"/>
      <c r="E96" s="305"/>
      <c r="F96" s="305"/>
      <c r="G96" s="305"/>
      <c r="H96" s="207">
        <f>IF(ISERROR(IF(SUM(H$82:H95)&gt;=H$68,0,H$68/H$71)),"NA",IF(SUM(H$82:H95)&gt;=H$68,0,H$68/H$71))</f>
        <v>0</v>
      </c>
      <c r="I96" s="207">
        <f>IF(ISERROR(IF(SUM(I$82:I95)&gt;=I$68,0,I$68/I$71)),"NA",IF(SUM(I$82:I95)&gt;=I$68,0,I$68/I$71))</f>
        <v>0</v>
      </c>
      <c r="J96" s="207">
        <f>IF(ISERROR(IF(SUM(J$82:J95)&gt;=J$68,0,J$68/J$71)),"NA",IF(SUM(J$82:J95)&gt;=J$68,0,J$68/J$71))</f>
        <v>0</v>
      </c>
      <c r="K96" s="207">
        <f>IF(ISERROR(IF(SUM(K$82:K95)&gt;=K$68,0,K$68/K$71)),"NA",IF(SUM(K$82:K95)&gt;=K$68,0,K$68/K$71))</f>
        <v>0</v>
      </c>
      <c r="L96" s="207">
        <f>IF(ISERROR(IF(SUM(L$82:L95)&gt;=L$68,0,L$68/L$71)),"NA",IF(SUM(L$82:L95)&gt;=L$68,0,L$68/L$71))</f>
        <v>0</v>
      </c>
      <c r="M96" s="207">
        <f>IF(ISERROR(IF(SUM(M$82:M95)&gt;=M$68,0,M$68/M$71)),"NA",IF(SUM(M$82:M95)&gt;=M$68,0,M$68/M$71))</f>
        <v>0</v>
      </c>
      <c r="N96" s="207">
        <f>IF(ISERROR(IF(SUM(N$82:N95)&gt;=N$68,0,N$68/N$71)),"NA",IF(SUM(N$82:N95)&gt;=N$68,0,N$68/N$71))</f>
        <v>0</v>
      </c>
      <c r="O96" s="207">
        <f>IF(ISERROR(IF(SUM(O$82:O95)&gt;=O$68,0,O$68/O$71)),"NA",IF(SUM(O$82:O95)&gt;=O$68,0,O$68/O$71))</f>
        <v>0</v>
      </c>
      <c r="P96" s="207">
        <f>IF(ISERROR(IF(SUM(P$82:P95)&gt;=P$68,0,P$68/P$71)),"NA",IF(SUM(P$82:P95)&gt;=P$68,0,P$68/P$71))</f>
        <v>0</v>
      </c>
      <c r="Q96" s="207">
        <f>IF(ISERROR(IF(SUM(Q$82:Q95)&gt;=Q$68,0,Q$68/Q$71)),"NA",IF(SUM(Q$82:Q95)&gt;=Q$68,0,Q$68/Q$71))</f>
        <v>0</v>
      </c>
      <c r="R96" s="207">
        <f>IF(ISERROR(IF(SUM(R$82:R95)&gt;=R$68,0,R$68/R$71)),"NA",IF(SUM(R$82:R95)&gt;=R$68,0,R$68/R$71))</f>
        <v>0</v>
      </c>
      <c r="S96" s="207">
        <f>IF(ISERROR(IF(SUM(S$82:S95)&gt;=S$68,0,S$68/S$71)),"NA",IF(SUM(S$82:S95)&gt;=S$68,0,S$68/S$71))</f>
        <v>0</v>
      </c>
      <c r="T96" s="207">
        <f>IF(ISERROR(IF(SUM(T$82:T95)&gt;=T$68,0,T$68/T$71)),"NA",IF(SUM(T$82:T95)&gt;=T$68,0,T$68/T$71))</f>
        <v>0</v>
      </c>
      <c r="U96" s="207">
        <f>IF(ISERROR(IF(SUM(U$82:U95)&gt;=U$68,0,U$68/U$71)),"NA",IF(SUM(U$82:U95)&gt;=U$68,0,U$68/U$71))</f>
        <v>0</v>
      </c>
      <c r="V96" s="212">
        <f t="shared" ref="V96:X105" si="62">U96*(1+V$64)</f>
        <v>0</v>
      </c>
      <c r="W96" s="212">
        <f t="shared" si="62"/>
        <v>0</v>
      </c>
      <c r="X96" s="212">
        <f t="shared" si="62"/>
        <v>0</v>
      </c>
      <c r="Y96" s="212">
        <f t="shared" si="57"/>
        <v>0</v>
      </c>
      <c r="Z96" s="212">
        <f t="shared" si="57"/>
        <v>0</v>
      </c>
      <c r="AA96" s="212">
        <f t="shared" si="57"/>
        <v>0</v>
      </c>
      <c r="AB96" s="212">
        <f t="shared" si="57"/>
        <v>0</v>
      </c>
      <c r="AC96" s="212">
        <f t="shared" si="58"/>
        <v>0</v>
      </c>
      <c r="AD96" s="212">
        <f t="shared" si="59"/>
        <v>0</v>
      </c>
      <c r="AE96" s="309"/>
      <c r="AF96" s="309"/>
      <c r="AG96" s="309"/>
      <c r="AH96" s="309"/>
    </row>
    <row r="97" spans="1:34" outlineLevel="1">
      <c r="A97" s="304"/>
      <c r="B97" s="185"/>
      <c r="C97" s="305" t="s">
        <v>478</v>
      </c>
      <c r="D97" s="305"/>
      <c r="E97" s="305"/>
      <c r="F97" s="305"/>
      <c r="G97" s="305"/>
      <c r="H97" s="207">
        <f>IF(ISERROR(IF(SUM(H$82:H96)&gt;=H$68,0,H$68/H$71)),"NA",IF(SUM(H$82:H96)&gt;=H$68,0,H$68/H$71))</f>
        <v>0</v>
      </c>
      <c r="I97" s="207">
        <f>IF(ISERROR(IF(SUM(I$82:I96)&gt;=I$68,0,I$68/I$71)),"NA",IF(SUM(I$82:I96)&gt;=I$68,0,I$68/I$71))</f>
        <v>0</v>
      </c>
      <c r="J97" s="207">
        <f>IF(ISERROR(IF(SUM(J$82:J96)&gt;=J$68,0,J$68/J$71)),"NA",IF(SUM(J$82:J96)&gt;=J$68,0,J$68/J$71))</f>
        <v>0</v>
      </c>
      <c r="K97" s="207">
        <f>IF(ISERROR(IF(SUM(K$82:K96)&gt;=K$68,0,K$68/K$71)),"NA",IF(SUM(K$82:K96)&gt;=K$68,0,K$68/K$71))</f>
        <v>0</v>
      </c>
      <c r="L97" s="207">
        <f>IF(ISERROR(IF(SUM(L$82:L96)&gt;=L$68,0,L$68/L$71)),"NA",IF(SUM(L$82:L96)&gt;=L$68,0,L$68/L$71))</f>
        <v>0</v>
      </c>
      <c r="M97" s="207">
        <f>IF(ISERROR(IF(SUM(M$82:M96)&gt;=M$68,0,M$68/M$71)),"NA",IF(SUM(M$82:M96)&gt;=M$68,0,M$68/M$71))</f>
        <v>0</v>
      </c>
      <c r="N97" s="207">
        <f>IF(ISERROR(IF(SUM(N$82:N96)&gt;=N$68,0,N$68/N$71)),"NA",IF(SUM(N$82:N96)&gt;=N$68,0,N$68/N$71))</f>
        <v>0</v>
      </c>
      <c r="O97" s="207">
        <f>IF(ISERROR(IF(SUM(O$82:O96)&gt;=O$68,0,O$68/O$71)),"NA",IF(SUM(O$82:O96)&gt;=O$68,0,O$68/O$71))</f>
        <v>0</v>
      </c>
      <c r="P97" s="207">
        <f>IF(ISERROR(IF(SUM(P$82:P96)&gt;=P$68,0,P$68/P$71)),"NA",IF(SUM(P$82:P96)&gt;=P$68,0,P$68/P$71))</f>
        <v>0</v>
      </c>
      <c r="Q97" s="207">
        <f>IF(ISERROR(IF(SUM(Q$82:Q96)&gt;=Q$68,0,Q$68/Q$71)),"NA",IF(SUM(Q$82:Q96)&gt;=Q$68,0,Q$68/Q$71))</f>
        <v>0</v>
      </c>
      <c r="R97" s="207">
        <f>IF(ISERROR(IF(SUM(R$82:R96)&gt;=R$68,0,R$68/R$71)),"NA",IF(SUM(R$82:R96)&gt;=R$68,0,R$68/R$71))</f>
        <v>0</v>
      </c>
      <c r="S97" s="207">
        <f>IF(ISERROR(IF(SUM(S$82:S96)&gt;=S$68,0,S$68/S$71)),"NA",IF(SUM(S$82:S96)&gt;=S$68,0,S$68/S$71))</f>
        <v>0</v>
      </c>
      <c r="T97" s="207">
        <f>IF(ISERROR(IF(SUM(T$82:T96)&gt;=T$68,0,T$68/T$71)),"NA",IF(SUM(T$82:T96)&gt;=T$68,0,T$68/T$71))</f>
        <v>0</v>
      </c>
      <c r="U97" s="207">
        <f>IF(ISERROR(IF(SUM(U$82:U96)&gt;=U$68,0,U$68/U$71)),"NA",IF(SUM(U$82:U96)&gt;=U$68,0,U$68/U$71))</f>
        <v>0</v>
      </c>
      <c r="V97" s="212">
        <f t="shared" si="62"/>
        <v>0</v>
      </c>
      <c r="W97" s="212">
        <f t="shared" si="62"/>
        <v>0</v>
      </c>
      <c r="X97" s="212">
        <f t="shared" si="62"/>
        <v>0</v>
      </c>
      <c r="Y97" s="212">
        <f t="shared" si="57"/>
        <v>0</v>
      </c>
      <c r="Z97" s="212">
        <f t="shared" si="57"/>
        <v>0</v>
      </c>
      <c r="AA97" s="212">
        <f t="shared" si="57"/>
        <v>0</v>
      </c>
      <c r="AB97" s="212">
        <f t="shared" si="57"/>
        <v>0</v>
      </c>
      <c r="AC97" s="212">
        <f t="shared" si="58"/>
        <v>0</v>
      </c>
      <c r="AD97" s="212">
        <f t="shared" si="59"/>
        <v>0</v>
      </c>
      <c r="AE97" s="309"/>
      <c r="AF97" s="309"/>
      <c r="AG97" s="309"/>
      <c r="AH97" s="309"/>
    </row>
    <row r="98" spans="1:34" outlineLevel="1">
      <c r="A98" s="304"/>
      <c r="B98" s="185"/>
      <c r="C98" s="305" t="s">
        <v>483</v>
      </c>
      <c r="D98" s="305"/>
      <c r="E98" s="305"/>
      <c r="F98" s="305"/>
      <c r="G98" s="305"/>
      <c r="H98" s="207">
        <f>IF(ISERROR(IF(SUM(H$82:H97)&gt;=H$68,0,H$68/H$71)),"NA",IF(SUM(H$82:H97)&gt;=H$68,0,H$68/H$71))</f>
        <v>0</v>
      </c>
      <c r="I98" s="207">
        <f>IF(ISERROR(IF(SUM(I$82:I97)&gt;=I$68,0,I$68/I$71)),"NA",IF(SUM(I$82:I97)&gt;=I$68,0,I$68/I$71))</f>
        <v>0</v>
      </c>
      <c r="J98" s="207">
        <f>IF(ISERROR(IF(SUM(J$82:J97)&gt;=J$68,0,J$68/J$71)),"NA",IF(SUM(J$82:J97)&gt;=J$68,0,J$68/J$71))</f>
        <v>0</v>
      </c>
      <c r="K98" s="207">
        <f>IF(ISERROR(IF(SUM(K$82:K97)&gt;=K$68,0,K$68/K$71)),"NA",IF(SUM(K$82:K97)&gt;=K$68,0,K$68/K$71))</f>
        <v>0</v>
      </c>
      <c r="L98" s="207">
        <f>IF(ISERROR(IF(SUM(L$82:L97)&gt;=L$68,0,L$68/L$71)),"NA",IF(SUM(L$82:L97)&gt;=L$68,0,L$68/L$71))</f>
        <v>0</v>
      </c>
      <c r="M98" s="207">
        <f>IF(ISERROR(IF(SUM(M$82:M97)&gt;=M$68,0,M$68/M$71)),"NA",IF(SUM(M$82:M97)&gt;=M$68,0,M$68/M$71))</f>
        <v>0</v>
      </c>
      <c r="N98" s="207">
        <f>IF(ISERROR(IF(SUM(N$82:N97)&gt;=N$68,0,N$68/N$71)),"NA",IF(SUM(N$82:N97)&gt;=N$68,0,N$68/N$71))</f>
        <v>0</v>
      </c>
      <c r="O98" s="207">
        <f>IF(ISERROR(IF(SUM(O$82:O97)&gt;=O$68,0,O$68/O$71)),"NA",IF(SUM(O$82:O97)&gt;=O$68,0,O$68/O$71))</f>
        <v>0</v>
      </c>
      <c r="P98" s="207">
        <f>IF(ISERROR(IF(SUM(P$82:P97)&gt;=P$68,0,P$68/P$71)),"NA",IF(SUM(P$82:P97)&gt;=P$68,0,P$68/P$71))</f>
        <v>0</v>
      </c>
      <c r="Q98" s="207">
        <f>IF(ISERROR(IF(SUM(Q$82:Q97)&gt;=Q$68,0,Q$68/Q$71)),"NA",IF(SUM(Q$82:Q97)&gt;=Q$68,0,Q$68/Q$71))</f>
        <v>0</v>
      </c>
      <c r="R98" s="207">
        <f>IF(ISERROR(IF(SUM(R$82:R97)&gt;=R$68,0,R$68/R$71)),"NA",IF(SUM(R$82:R97)&gt;=R$68,0,R$68/R$71))</f>
        <v>0</v>
      </c>
      <c r="S98" s="207">
        <f>IF(ISERROR(IF(SUM(S$82:S97)&gt;=S$68,0,S$68/S$71)),"NA",IF(SUM(S$82:S97)&gt;=S$68,0,S$68/S$71))</f>
        <v>0</v>
      </c>
      <c r="T98" s="207">
        <f>IF(ISERROR(IF(SUM(T$82:T97)&gt;=T$68,0,T$68/T$71)),"NA",IF(SUM(T$82:T97)&gt;=T$68,0,T$68/T$71))</f>
        <v>0</v>
      </c>
      <c r="U98" s="207">
        <f>IF(ISERROR(IF(SUM(U$82:U97)&gt;=U$68,0,U$68/U$71)),"NA",IF(SUM(U$82:U97)&gt;=U$68,0,U$68/U$71))</f>
        <v>0</v>
      </c>
      <c r="V98" s="212">
        <f t="shared" si="62"/>
        <v>0</v>
      </c>
      <c r="W98" s="212">
        <f t="shared" si="62"/>
        <v>0</v>
      </c>
      <c r="X98" s="212">
        <f t="shared" si="62"/>
        <v>0</v>
      </c>
      <c r="Y98" s="212">
        <f t="shared" si="57"/>
        <v>0</v>
      </c>
      <c r="Z98" s="212">
        <f t="shared" si="57"/>
        <v>0</v>
      </c>
      <c r="AA98" s="212">
        <f t="shared" si="57"/>
        <v>0</v>
      </c>
      <c r="AB98" s="212">
        <f t="shared" si="57"/>
        <v>0</v>
      </c>
      <c r="AC98" s="212">
        <f t="shared" si="58"/>
        <v>0</v>
      </c>
      <c r="AD98" s="212">
        <f t="shared" si="59"/>
        <v>0</v>
      </c>
      <c r="AE98" s="309"/>
      <c r="AF98" s="309"/>
      <c r="AG98" s="309"/>
      <c r="AH98" s="309"/>
    </row>
    <row r="99" spans="1:34" outlineLevel="1">
      <c r="A99" s="304"/>
      <c r="B99" s="185"/>
      <c r="C99" s="305" t="s">
        <v>484</v>
      </c>
      <c r="D99" s="305"/>
      <c r="E99" s="305"/>
      <c r="F99" s="305"/>
      <c r="G99" s="305"/>
      <c r="H99" s="207">
        <f>IF(ISERROR(IF(SUM(H$82:H98)&gt;=H$68,0,H$68/H$71)),"NA",IF(SUM(H$82:H98)&gt;=H$68,0,H$68/H$71))</f>
        <v>0</v>
      </c>
      <c r="I99" s="207">
        <f>IF(ISERROR(IF(SUM(I$82:I98)&gt;=I$68,0,I$68/I$71)),"NA",IF(SUM(I$82:I98)&gt;=I$68,0,I$68/I$71))</f>
        <v>0</v>
      </c>
      <c r="J99" s="207">
        <f>IF(ISERROR(IF(SUM(J$82:J98)&gt;=J$68,0,J$68/J$71)),"NA",IF(SUM(J$82:J98)&gt;=J$68,0,J$68/J$71))</f>
        <v>0</v>
      </c>
      <c r="K99" s="207">
        <f>IF(ISERROR(IF(SUM(K$82:K98)&gt;=K$68,0,K$68/K$71)),"NA",IF(SUM(K$82:K98)&gt;=K$68,0,K$68/K$71))</f>
        <v>0</v>
      </c>
      <c r="L99" s="207">
        <f>IF(ISERROR(IF(SUM(L$82:L98)&gt;=L$68,0,L$68/L$71)),"NA",IF(SUM(L$82:L98)&gt;=L$68,0,L$68/L$71))</f>
        <v>0</v>
      </c>
      <c r="M99" s="207">
        <f>IF(ISERROR(IF(SUM(M$82:M98)&gt;=M$68,0,M$68/M$71)),"NA",IF(SUM(M$82:M98)&gt;=M$68,0,M$68/M$71))</f>
        <v>0</v>
      </c>
      <c r="N99" s="207">
        <f>IF(ISERROR(IF(SUM(N$82:N98)&gt;=N$68,0,N$68/N$71)),"NA",IF(SUM(N$82:N98)&gt;=N$68,0,N$68/N$71))</f>
        <v>0</v>
      </c>
      <c r="O99" s="207">
        <f>IF(ISERROR(IF(SUM(O$82:O98)&gt;=O$68,0,O$68/O$71)),"NA",IF(SUM(O$82:O98)&gt;=O$68,0,O$68/O$71))</f>
        <v>0</v>
      </c>
      <c r="P99" s="207">
        <f>IF(ISERROR(IF(SUM(P$82:P98)&gt;=P$68,0,P$68/P$71)),"NA",IF(SUM(P$82:P98)&gt;=P$68,0,P$68/P$71))</f>
        <v>0</v>
      </c>
      <c r="Q99" s="207">
        <f>IF(ISERROR(IF(SUM(Q$82:Q98)&gt;=Q$68,0,Q$68/Q$71)),"NA",IF(SUM(Q$82:Q98)&gt;=Q$68,0,Q$68/Q$71))</f>
        <v>0</v>
      </c>
      <c r="R99" s="207">
        <f>IF(ISERROR(IF(SUM(R$82:R98)&gt;=R$68,0,R$68/R$71)),"NA",IF(SUM(R$82:R98)&gt;=R$68,0,R$68/R$71))</f>
        <v>0</v>
      </c>
      <c r="S99" s="207">
        <f>IF(ISERROR(IF(SUM(S$82:S98)&gt;=S$68,0,S$68/S$71)),"NA",IF(SUM(S$82:S98)&gt;=S$68,0,S$68/S$71))</f>
        <v>0</v>
      </c>
      <c r="T99" s="207">
        <f>IF(ISERROR(IF(SUM(T$82:T98)&gt;=T$68,0,T$68/T$71)),"NA",IF(SUM(T$82:T98)&gt;=T$68,0,T$68/T$71))</f>
        <v>0</v>
      </c>
      <c r="U99" s="207">
        <f>IF(ISERROR(IF(SUM(U$82:U98)&gt;=U$68,0,U$68/U$71)),"NA",IF(SUM(U$82:U98)&gt;=U$68,0,U$68/U$71))</f>
        <v>0</v>
      </c>
      <c r="V99" s="212">
        <f t="shared" si="62"/>
        <v>0</v>
      </c>
      <c r="W99" s="212">
        <f t="shared" si="62"/>
        <v>0</v>
      </c>
      <c r="X99" s="212">
        <f t="shared" si="62"/>
        <v>0</v>
      </c>
      <c r="Y99" s="212">
        <f t="shared" si="57"/>
        <v>0</v>
      </c>
      <c r="Z99" s="212">
        <f t="shared" si="57"/>
        <v>0</v>
      </c>
      <c r="AA99" s="212">
        <f t="shared" si="57"/>
        <v>0</v>
      </c>
      <c r="AB99" s="212">
        <f t="shared" si="57"/>
        <v>0</v>
      </c>
      <c r="AC99" s="212">
        <f t="shared" si="58"/>
        <v>0</v>
      </c>
      <c r="AD99" s="212">
        <f t="shared" si="59"/>
        <v>0</v>
      </c>
      <c r="AE99" s="309"/>
      <c r="AF99" s="309"/>
      <c r="AG99" s="309"/>
      <c r="AH99" s="309"/>
    </row>
    <row r="100" spans="1:34" outlineLevel="1">
      <c r="A100" s="304"/>
      <c r="B100" s="185"/>
      <c r="C100" s="305" t="s">
        <v>485</v>
      </c>
      <c r="D100" s="305"/>
      <c r="E100" s="305"/>
      <c r="F100" s="305"/>
      <c r="G100" s="305"/>
      <c r="H100" s="207">
        <f>IF(ISERROR(IF(SUM(H$82:H99)&gt;=H$68,0,H$68/H$71)),"NA",IF(SUM(H$82:H99)&gt;=H$68,0,H$68/H$71))</f>
        <v>0</v>
      </c>
      <c r="I100" s="207">
        <f>IF(ISERROR(IF(SUM(I$82:I99)&gt;=I$68,0,I$68/I$71)),"NA",IF(SUM(I$82:I99)&gt;=I$68,0,I$68/I$71))</f>
        <v>0</v>
      </c>
      <c r="J100" s="207">
        <f>IF(ISERROR(IF(SUM(J$82:J99)&gt;=J$68,0,J$68/J$71)),"NA",IF(SUM(J$82:J99)&gt;=J$68,0,J$68/J$71))</f>
        <v>0</v>
      </c>
      <c r="K100" s="207">
        <f>IF(ISERROR(IF(SUM(K$82:K99)&gt;=K$68,0,K$68/K$71)),"NA",IF(SUM(K$82:K99)&gt;=K$68,0,K$68/K$71))</f>
        <v>0</v>
      </c>
      <c r="L100" s="207">
        <f>IF(ISERROR(IF(SUM(L$82:L99)&gt;=L$68,0,L$68/L$71)),"NA",IF(SUM(L$82:L99)&gt;=L$68,0,L$68/L$71))</f>
        <v>0</v>
      </c>
      <c r="M100" s="207">
        <f>IF(ISERROR(IF(SUM(M$82:M99)&gt;=M$68,0,M$68/M$71)),"NA",IF(SUM(M$82:M99)&gt;=M$68,0,M$68/M$71))</f>
        <v>0</v>
      </c>
      <c r="N100" s="207">
        <f>IF(ISERROR(IF(SUM(N$82:N99)&gt;=N$68,0,N$68/N$71)),"NA",IF(SUM(N$82:N99)&gt;=N$68,0,N$68/N$71))</f>
        <v>0</v>
      </c>
      <c r="O100" s="207">
        <f>IF(ISERROR(IF(SUM(O$82:O99)&gt;=O$68,0,O$68/O$71)),"NA",IF(SUM(O$82:O99)&gt;=O$68,0,O$68/O$71))</f>
        <v>0</v>
      </c>
      <c r="P100" s="207">
        <f>IF(ISERROR(IF(SUM(P$82:P99)&gt;=P$68,0,P$68/P$71)),"NA",IF(SUM(P$82:P99)&gt;=P$68,0,P$68/P$71))</f>
        <v>0</v>
      </c>
      <c r="Q100" s="207">
        <f>IF(ISERROR(IF(SUM(Q$82:Q99)&gt;=Q$68,0,Q$68/Q$71)),"NA",IF(SUM(Q$82:Q99)&gt;=Q$68,0,Q$68/Q$71))</f>
        <v>0</v>
      </c>
      <c r="R100" s="207">
        <f>IF(ISERROR(IF(SUM(R$82:R99)&gt;=R$68,0,R$68/R$71)),"NA",IF(SUM(R$82:R99)&gt;=R$68,0,R$68/R$71))</f>
        <v>0</v>
      </c>
      <c r="S100" s="207">
        <f>IF(ISERROR(IF(SUM(S$82:S99)&gt;=S$68,0,S$68/S$71)),"NA",IF(SUM(S$82:S99)&gt;=S$68,0,S$68/S$71))</f>
        <v>0</v>
      </c>
      <c r="T100" s="207">
        <f>IF(ISERROR(IF(SUM(T$82:T99)&gt;=T$68,0,T$68/T$71)),"NA",IF(SUM(T$82:T99)&gt;=T$68,0,T$68/T$71))</f>
        <v>0</v>
      </c>
      <c r="U100" s="207">
        <f>IF(ISERROR(IF(SUM(U$82:U99)&gt;=U$68,0,U$68/U$71)),"NA",IF(SUM(U$82:U99)&gt;=U$68,0,U$68/U$71))</f>
        <v>0</v>
      </c>
      <c r="V100" s="212">
        <f t="shared" si="62"/>
        <v>0</v>
      </c>
      <c r="W100" s="212">
        <f t="shared" si="62"/>
        <v>0</v>
      </c>
      <c r="X100" s="212">
        <f t="shared" si="62"/>
        <v>0</v>
      </c>
      <c r="Y100" s="212">
        <f t="shared" si="57"/>
        <v>0</v>
      </c>
      <c r="Z100" s="212">
        <f t="shared" si="57"/>
        <v>0</v>
      </c>
      <c r="AA100" s="212">
        <f t="shared" si="57"/>
        <v>0</v>
      </c>
      <c r="AB100" s="212">
        <f t="shared" si="57"/>
        <v>0</v>
      </c>
      <c r="AC100" s="212">
        <f t="shared" si="58"/>
        <v>0</v>
      </c>
      <c r="AD100" s="212">
        <f t="shared" si="59"/>
        <v>0</v>
      </c>
      <c r="AE100" s="309"/>
      <c r="AF100" s="309"/>
      <c r="AG100" s="309"/>
      <c r="AH100" s="309"/>
    </row>
    <row r="101" spans="1:34" outlineLevel="1">
      <c r="A101" s="304"/>
      <c r="B101" s="185"/>
      <c r="C101" s="305" t="s">
        <v>486</v>
      </c>
      <c r="D101" s="305"/>
      <c r="E101" s="305"/>
      <c r="F101" s="305"/>
      <c r="G101" s="305"/>
      <c r="H101" s="207">
        <f>IF(ISERROR(IF(SUM(H$82:H100)&gt;=H$68,0,H$68/H$71)),"NA",IF(SUM(H$82:H100)&gt;=H$68,0,H$68/H$71))</f>
        <v>0</v>
      </c>
      <c r="I101" s="207">
        <f>IF(ISERROR(IF(SUM(I$82:I100)&gt;=I$68,0,I$68/I$71)),"NA",IF(SUM(I$82:I100)&gt;=I$68,0,I$68/I$71))</f>
        <v>0</v>
      </c>
      <c r="J101" s="207">
        <f>IF(ISERROR(IF(SUM(J$82:J100)&gt;=J$68,0,J$68/J$71)),"NA",IF(SUM(J$82:J100)&gt;=J$68,0,J$68/J$71))</f>
        <v>0</v>
      </c>
      <c r="K101" s="207">
        <f>IF(ISERROR(IF(SUM(K$82:K100)&gt;=K$68,0,K$68/K$71)),"NA",IF(SUM(K$82:K100)&gt;=K$68,0,K$68/K$71))</f>
        <v>0</v>
      </c>
      <c r="L101" s="207">
        <f>IF(ISERROR(IF(SUM(L$82:L100)&gt;=L$68,0,L$68/L$71)),"NA",IF(SUM(L$82:L100)&gt;=L$68,0,L$68/L$71))</f>
        <v>0</v>
      </c>
      <c r="M101" s="207">
        <f>IF(ISERROR(IF(SUM(M$82:M100)&gt;=M$68,0,M$68/M$71)),"NA",IF(SUM(M$82:M100)&gt;=M$68,0,M$68/M$71))</f>
        <v>0</v>
      </c>
      <c r="N101" s="207">
        <f>IF(ISERROR(IF(SUM(N$82:N100)&gt;=N$68,0,N$68/N$71)),"NA",IF(SUM(N$82:N100)&gt;=N$68,0,N$68/N$71))</f>
        <v>0</v>
      </c>
      <c r="O101" s="207">
        <f>IF(ISERROR(IF(SUM(O$82:O100)&gt;=O$68,0,O$68/O$71)),"NA",IF(SUM(O$82:O100)&gt;=O$68,0,O$68/O$71))</f>
        <v>0</v>
      </c>
      <c r="P101" s="207">
        <f>IF(ISERROR(IF(SUM(P$82:P100)&gt;=P$68,0,P$68/P$71)),"NA",IF(SUM(P$82:P100)&gt;=P$68,0,P$68/P$71))</f>
        <v>0</v>
      </c>
      <c r="Q101" s="207">
        <f>IF(ISERROR(IF(SUM(Q$82:Q100)&gt;=Q$68,0,Q$68/Q$71)),"NA",IF(SUM(Q$82:Q100)&gt;=Q$68,0,Q$68/Q$71))</f>
        <v>0</v>
      </c>
      <c r="R101" s="207">
        <f>IF(ISERROR(IF(SUM(R$82:R100)&gt;=R$68,0,R$68/R$71)),"NA",IF(SUM(R$82:R100)&gt;=R$68,0,R$68/R$71))</f>
        <v>0</v>
      </c>
      <c r="S101" s="207">
        <f>IF(ISERROR(IF(SUM(S$82:S100)&gt;=S$68,0,S$68/S$71)),"NA",IF(SUM(S$82:S100)&gt;=S$68,0,S$68/S$71))</f>
        <v>0</v>
      </c>
      <c r="T101" s="207">
        <f>IF(ISERROR(IF(SUM(T$82:T100)&gt;=T$68,0,T$68/T$71)),"NA",IF(SUM(T$82:T100)&gt;=T$68,0,T$68/T$71))</f>
        <v>0</v>
      </c>
      <c r="U101" s="207">
        <f>IF(ISERROR(IF(SUM(U$82:U100)&gt;=U$68,0,U$68/U$71)),"NA",IF(SUM(U$82:U100)&gt;=U$68,0,U$68/U$71))</f>
        <v>0</v>
      </c>
      <c r="V101" s="212">
        <f t="shared" si="62"/>
        <v>0</v>
      </c>
      <c r="W101" s="212">
        <f t="shared" si="62"/>
        <v>0</v>
      </c>
      <c r="X101" s="212">
        <f t="shared" si="62"/>
        <v>0</v>
      </c>
      <c r="Y101" s="212">
        <f t="shared" si="57"/>
        <v>0</v>
      </c>
      <c r="Z101" s="212">
        <f t="shared" si="57"/>
        <v>0</v>
      </c>
      <c r="AA101" s="212">
        <f t="shared" si="57"/>
        <v>0</v>
      </c>
      <c r="AB101" s="212">
        <f t="shared" si="57"/>
        <v>0</v>
      </c>
      <c r="AC101" s="212">
        <f t="shared" si="58"/>
        <v>0</v>
      </c>
      <c r="AD101" s="212">
        <f t="shared" si="59"/>
        <v>0</v>
      </c>
      <c r="AE101" s="309"/>
      <c r="AF101" s="309"/>
      <c r="AG101" s="309"/>
      <c r="AH101" s="309"/>
    </row>
    <row r="102" spans="1:34" outlineLevel="1">
      <c r="A102" s="304"/>
      <c r="B102" s="185"/>
      <c r="C102" s="305" t="s">
        <v>487</v>
      </c>
      <c r="D102" s="305"/>
      <c r="E102" s="305"/>
      <c r="F102" s="305"/>
      <c r="G102" s="305"/>
      <c r="H102" s="207">
        <f>IF(ISERROR(IF(SUM(H$82:H101)&gt;=H$68,0,H$68/H$71)),"NA",IF(SUM(H$82:H101)&gt;=H$68,0,H$68/H$71))</f>
        <v>0</v>
      </c>
      <c r="I102" s="207">
        <f>IF(ISERROR(IF(SUM(I$82:I101)&gt;=I$68,0,I$68/I$71)),"NA",IF(SUM(I$82:I101)&gt;=I$68,0,I$68/I$71))</f>
        <v>0</v>
      </c>
      <c r="J102" s="207">
        <f>IF(ISERROR(IF(SUM(J$82:J101)&gt;=J$68,0,J$68/J$71)),"NA",IF(SUM(J$82:J101)&gt;=J$68,0,J$68/J$71))</f>
        <v>0</v>
      </c>
      <c r="K102" s="207">
        <f>IF(ISERROR(IF(SUM(K$82:K101)&gt;=K$68,0,K$68/K$71)),"NA",IF(SUM(K$82:K101)&gt;=K$68,0,K$68/K$71))</f>
        <v>0</v>
      </c>
      <c r="L102" s="207">
        <f>IF(ISERROR(IF(SUM(L$82:L101)&gt;=L$68,0,L$68/L$71)),"NA",IF(SUM(L$82:L101)&gt;=L$68,0,L$68/L$71))</f>
        <v>0</v>
      </c>
      <c r="M102" s="207">
        <f>IF(ISERROR(IF(SUM(M$82:M101)&gt;=M$68,0,M$68/M$71)),"NA",IF(SUM(M$82:M101)&gt;=M$68,0,M$68/M$71))</f>
        <v>0</v>
      </c>
      <c r="N102" s="207">
        <f>IF(ISERROR(IF(SUM(N$82:N101)&gt;=N$68,0,N$68/N$71)),"NA",IF(SUM(N$82:N101)&gt;=N$68,0,N$68/N$71))</f>
        <v>0</v>
      </c>
      <c r="O102" s="207">
        <f>IF(ISERROR(IF(SUM(O$82:O101)&gt;=O$68,0,O$68/O$71)),"NA",IF(SUM(O$82:O101)&gt;=O$68,0,O$68/O$71))</f>
        <v>0</v>
      </c>
      <c r="P102" s="207">
        <f>IF(ISERROR(IF(SUM(P$82:P101)&gt;=P$68,0,P$68/P$71)),"NA",IF(SUM(P$82:P101)&gt;=P$68,0,P$68/P$71))</f>
        <v>0</v>
      </c>
      <c r="Q102" s="207">
        <f>IF(ISERROR(IF(SUM(Q$82:Q101)&gt;=Q$68,0,Q$68/Q$71)),"NA",IF(SUM(Q$82:Q101)&gt;=Q$68,0,Q$68/Q$71))</f>
        <v>0</v>
      </c>
      <c r="R102" s="207">
        <f>IF(ISERROR(IF(SUM(R$82:R101)&gt;=R$68,0,R$68/R$71)),"NA",IF(SUM(R$82:R101)&gt;=R$68,0,R$68/R$71))</f>
        <v>0</v>
      </c>
      <c r="S102" s="207">
        <f>IF(ISERROR(IF(SUM(S$82:S101)&gt;=S$68,0,S$68/S$71)),"NA",IF(SUM(S$82:S101)&gt;=S$68,0,S$68/S$71))</f>
        <v>0</v>
      </c>
      <c r="T102" s="207">
        <f>IF(ISERROR(IF(SUM(T$82:T101)&gt;=T$68,0,T$68/T$71)),"NA",IF(SUM(T$82:T101)&gt;=T$68,0,T$68/T$71))</f>
        <v>0</v>
      </c>
      <c r="U102" s="207">
        <f>IF(ISERROR(IF(SUM(U$82:U101)&gt;=U$68,0,U$68/U$71)),"NA",IF(SUM(U$82:U101)&gt;=U$68,0,U$68/U$71))</f>
        <v>0</v>
      </c>
      <c r="V102" s="212">
        <f t="shared" si="62"/>
        <v>0</v>
      </c>
      <c r="W102" s="212">
        <f t="shared" si="62"/>
        <v>0</v>
      </c>
      <c r="X102" s="212">
        <f t="shared" si="62"/>
        <v>0</v>
      </c>
      <c r="Y102" s="212">
        <f t="shared" si="57"/>
        <v>0</v>
      </c>
      <c r="Z102" s="212">
        <f t="shared" si="57"/>
        <v>0</v>
      </c>
      <c r="AA102" s="212">
        <f t="shared" si="57"/>
        <v>0</v>
      </c>
      <c r="AB102" s="212">
        <f t="shared" si="57"/>
        <v>0</v>
      </c>
      <c r="AC102" s="212">
        <f t="shared" si="58"/>
        <v>0</v>
      </c>
      <c r="AD102" s="212">
        <f t="shared" si="59"/>
        <v>0</v>
      </c>
      <c r="AE102" s="309"/>
      <c r="AF102" s="309"/>
      <c r="AG102" s="309"/>
      <c r="AH102" s="309"/>
    </row>
    <row r="103" spans="1:34" outlineLevel="1">
      <c r="A103" s="304"/>
      <c r="B103" s="185"/>
      <c r="C103" s="305" t="s">
        <v>488</v>
      </c>
      <c r="D103" s="305"/>
      <c r="E103" s="305"/>
      <c r="F103" s="305"/>
      <c r="G103" s="305"/>
      <c r="H103" s="207">
        <f>IF(ISERROR(IF(SUM(H$82:H102)&gt;=H$68,0,H$68/H$71)),"NA",IF(SUM(H$82:H102)&gt;=H$68,0,H$68/H$71))</f>
        <v>0</v>
      </c>
      <c r="I103" s="207">
        <f>IF(ISERROR(IF(SUM(I$82:I102)&gt;=I$68,0,I$68/I$71)),"NA",IF(SUM(I$82:I102)&gt;=I$68,0,I$68/I$71))</f>
        <v>0</v>
      </c>
      <c r="J103" s="207">
        <f>IF(ISERROR(IF(SUM(J$82:J102)&gt;=J$68,0,J$68/J$71)),"NA",IF(SUM(J$82:J102)&gt;=J$68,0,J$68/J$71))</f>
        <v>0</v>
      </c>
      <c r="K103" s="207">
        <f>IF(ISERROR(IF(SUM(K$82:K102)&gt;=K$68,0,K$68/K$71)),"NA",IF(SUM(K$82:K102)&gt;=K$68,0,K$68/K$71))</f>
        <v>0</v>
      </c>
      <c r="L103" s="207">
        <f>IF(ISERROR(IF(SUM(L$82:L102)&gt;=L$68,0,L$68/L$71)),"NA",IF(SUM(L$82:L102)&gt;=L$68,0,L$68/L$71))</f>
        <v>0</v>
      </c>
      <c r="M103" s="207">
        <f>IF(ISERROR(IF(SUM(M$82:M102)&gt;=M$68,0,M$68/M$71)),"NA",IF(SUM(M$82:M102)&gt;=M$68,0,M$68/M$71))</f>
        <v>0</v>
      </c>
      <c r="N103" s="207">
        <f>IF(ISERROR(IF(SUM(N$82:N102)&gt;=N$68,0,N$68/N$71)),"NA",IF(SUM(N$82:N102)&gt;=N$68,0,N$68/N$71))</f>
        <v>0</v>
      </c>
      <c r="O103" s="207">
        <f>IF(ISERROR(IF(SUM(O$82:O102)&gt;=O$68,0,O$68/O$71)),"NA",IF(SUM(O$82:O102)&gt;=O$68,0,O$68/O$71))</f>
        <v>0</v>
      </c>
      <c r="P103" s="207">
        <f>IF(ISERROR(IF(SUM(P$82:P102)&gt;=P$68,0,P$68/P$71)),"NA",IF(SUM(P$82:P102)&gt;=P$68,0,P$68/P$71))</f>
        <v>0</v>
      </c>
      <c r="Q103" s="207">
        <f>IF(ISERROR(IF(SUM(Q$82:Q102)&gt;=Q$68,0,Q$68/Q$71)),"NA",IF(SUM(Q$82:Q102)&gt;=Q$68,0,Q$68/Q$71))</f>
        <v>0</v>
      </c>
      <c r="R103" s="207">
        <f>IF(ISERROR(IF(SUM(R$82:R102)&gt;=R$68,0,R$68/R$71)),"NA",IF(SUM(R$82:R102)&gt;=R$68,0,R$68/R$71))</f>
        <v>0</v>
      </c>
      <c r="S103" s="207">
        <f>IF(ISERROR(IF(SUM(S$82:S102)&gt;=S$68,0,S$68/S$71)),"NA",IF(SUM(S$82:S102)&gt;=S$68,0,S$68/S$71))</f>
        <v>0</v>
      </c>
      <c r="T103" s="207">
        <f>IF(ISERROR(IF(SUM(T$82:T102)&gt;=T$68,0,T$68/T$71)),"NA",IF(SUM(T$82:T102)&gt;=T$68,0,T$68/T$71))</f>
        <v>0</v>
      </c>
      <c r="U103" s="207">
        <f>IF(ISERROR(IF(SUM(U$82:U102)&gt;=U$68,0,U$68/U$71)),"NA",IF(SUM(U$82:U102)&gt;=U$68,0,U$68/U$71))</f>
        <v>0</v>
      </c>
      <c r="V103" s="212">
        <f t="shared" si="62"/>
        <v>0</v>
      </c>
      <c r="W103" s="212">
        <f t="shared" si="62"/>
        <v>0</v>
      </c>
      <c r="X103" s="212">
        <f t="shared" si="62"/>
        <v>0</v>
      </c>
      <c r="Y103" s="212">
        <f t="shared" si="57"/>
        <v>0</v>
      </c>
      <c r="Z103" s="212">
        <f t="shared" si="57"/>
        <v>0</v>
      </c>
      <c r="AA103" s="212">
        <f t="shared" si="57"/>
        <v>0</v>
      </c>
      <c r="AB103" s="212">
        <f t="shared" si="57"/>
        <v>0</v>
      </c>
      <c r="AC103" s="212">
        <f t="shared" si="58"/>
        <v>0</v>
      </c>
      <c r="AD103" s="212">
        <f t="shared" si="59"/>
        <v>0</v>
      </c>
      <c r="AE103" s="309"/>
      <c r="AF103" s="309"/>
      <c r="AG103" s="309"/>
      <c r="AH103" s="309"/>
    </row>
    <row r="104" spans="1:34" outlineLevel="1">
      <c r="A104" s="304"/>
      <c r="B104" s="185"/>
      <c r="C104" s="305" t="s">
        <v>489</v>
      </c>
      <c r="D104" s="305"/>
      <c r="E104" s="305"/>
      <c r="F104" s="305"/>
      <c r="G104" s="305"/>
      <c r="H104" s="207">
        <f>IF(ISERROR(IF(SUM(H$82:H103)&gt;=H$68,0,H$68/H$71)),"NA",IF(SUM(H$82:H103)&gt;=H$68,0,H$68/H$71))</f>
        <v>0</v>
      </c>
      <c r="I104" s="207">
        <f>IF(ISERROR(IF(SUM(I$82:I103)&gt;=I$68,0,I$68/I$71)),"NA",IF(SUM(I$82:I103)&gt;=I$68,0,I$68/I$71))</f>
        <v>0</v>
      </c>
      <c r="J104" s="207">
        <f>IF(ISERROR(IF(SUM(J$82:J103)&gt;=J$68,0,J$68/J$71)),"NA",IF(SUM(J$82:J103)&gt;=J$68,0,J$68/J$71))</f>
        <v>0</v>
      </c>
      <c r="K104" s="207">
        <f>IF(ISERROR(IF(SUM(K$82:K103)&gt;=K$68,0,K$68/K$71)),"NA",IF(SUM(K$82:K103)&gt;=K$68,0,K$68/K$71))</f>
        <v>0</v>
      </c>
      <c r="L104" s="207">
        <f>IF(ISERROR(IF(SUM(L$82:L103)&gt;=L$68,0,L$68/L$71)),"NA",IF(SUM(L$82:L103)&gt;=L$68,0,L$68/L$71))</f>
        <v>0</v>
      </c>
      <c r="M104" s="207">
        <f>IF(ISERROR(IF(SUM(M$82:M103)&gt;=M$68,0,M$68/M$71)),"NA",IF(SUM(M$82:M103)&gt;=M$68,0,M$68/M$71))</f>
        <v>0</v>
      </c>
      <c r="N104" s="207">
        <f>IF(ISERROR(IF(SUM(N$82:N103)&gt;=N$68,0,N$68/N$71)),"NA",IF(SUM(N$82:N103)&gt;=N$68,0,N$68/N$71))</f>
        <v>0</v>
      </c>
      <c r="O104" s="207">
        <f>IF(ISERROR(IF(SUM(O$82:O103)&gt;=O$68,0,O$68/O$71)),"NA",IF(SUM(O$82:O103)&gt;=O$68,0,O$68/O$71))</f>
        <v>0</v>
      </c>
      <c r="P104" s="207">
        <f>IF(ISERROR(IF(SUM(P$82:P103)&gt;=P$68,0,P$68/P$71)),"NA",IF(SUM(P$82:P103)&gt;=P$68,0,P$68/P$71))</f>
        <v>0</v>
      </c>
      <c r="Q104" s="207">
        <f>IF(ISERROR(IF(SUM(Q$82:Q103)&gt;=Q$68,0,Q$68/Q$71)),"NA",IF(SUM(Q$82:Q103)&gt;=Q$68,0,Q$68/Q$71))</f>
        <v>0</v>
      </c>
      <c r="R104" s="207">
        <f>IF(ISERROR(IF(SUM(R$82:R103)&gt;=R$68,0,R$68/R$71)),"NA",IF(SUM(R$82:R103)&gt;=R$68,0,R$68/R$71))</f>
        <v>0</v>
      </c>
      <c r="S104" s="207">
        <f>IF(ISERROR(IF(SUM(S$82:S103)&gt;=S$68,0,S$68/S$71)),"NA",IF(SUM(S$82:S103)&gt;=S$68,0,S$68/S$71))</f>
        <v>0</v>
      </c>
      <c r="T104" s="207">
        <f>IF(ISERROR(IF(SUM(T$82:T103)&gt;=T$68,0,T$68/T$71)),"NA",IF(SUM(T$82:T103)&gt;=T$68,0,T$68/T$71))</f>
        <v>0</v>
      </c>
      <c r="U104" s="207">
        <f>IF(ISERROR(IF(SUM(U$82:U103)&gt;=U$68,0,U$68/U$71)),"NA",IF(SUM(U$82:U103)&gt;=U$68,0,U$68/U$71))</f>
        <v>0</v>
      </c>
      <c r="V104" s="212">
        <f t="shared" si="62"/>
        <v>0</v>
      </c>
      <c r="W104" s="212">
        <f t="shared" si="62"/>
        <v>0</v>
      </c>
      <c r="X104" s="212">
        <f t="shared" si="62"/>
        <v>0</v>
      </c>
      <c r="Y104" s="212">
        <f t="shared" si="57"/>
        <v>0</v>
      </c>
      <c r="Z104" s="212">
        <f t="shared" si="57"/>
        <v>0</v>
      </c>
      <c r="AA104" s="212">
        <f t="shared" si="57"/>
        <v>0</v>
      </c>
      <c r="AB104" s="212">
        <f t="shared" si="57"/>
        <v>0</v>
      </c>
      <c r="AC104" s="212">
        <f t="shared" si="58"/>
        <v>0</v>
      </c>
      <c r="AD104" s="212">
        <f t="shared" si="59"/>
        <v>0</v>
      </c>
      <c r="AE104" s="309"/>
      <c r="AF104" s="309"/>
      <c r="AG104" s="309"/>
      <c r="AH104" s="309"/>
    </row>
    <row r="105" spans="1:34" outlineLevel="1">
      <c r="A105" s="304"/>
      <c r="B105" s="185"/>
      <c r="C105" s="305" t="s">
        <v>490</v>
      </c>
      <c r="D105" s="305"/>
      <c r="E105" s="305"/>
      <c r="F105" s="305"/>
      <c r="G105" s="305"/>
      <c r="H105" s="207">
        <f>IF(ISERROR(IF(SUM(H$82:H104)&gt;=H$68,0,H$68/H$71)),"NA",IF(SUM(H$82:H104)&gt;=H$68,0,H$68/H$71))</f>
        <v>0</v>
      </c>
      <c r="I105" s="207">
        <f>IF(ISERROR(IF(SUM(I$82:I104)&gt;=I$68,0,I$68/I$71)),"NA",IF(SUM(I$82:I104)&gt;=I$68,0,I$68/I$71))</f>
        <v>0</v>
      </c>
      <c r="J105" s="207">
        <f>IF(ISERROR(IF(SUM(J$82:J104)&gt;=J$68,0,J$68/J$71)),"NA",IF(SUM(J$82:J104)&gt;=J$68,0,J$68/J$71))</f>
        <v>0</v>
      </c>
      <c r="K105" s="207">
        <f>IF(ISERROR(IF(SUM(K$82:K104)&gt;=K$68,0,K$68/K$71)),"NA",IF(SUM(K$82:K104)&gt;=K$68,0,K$68/K$71))</f>
        <v>0</v>
      </c>
      <c r="L105" s="207">
        <f>IF(ISERROR(IF(SUM(L$82:L104)&gt;=L$68,0,L$68/L$71)),"NA",IF(SUM(L$82:L104)&gt;=L$68,0,L$68/L$71))</f>
        <v>0</v>
      </c>
      <c r="M105" s="207">
        <f>IF(ISERROR(IF(SUM(M$82:M104)&gt;=M$68,0,M$68/M$71)),"NA",IF(SUM(M$82:M104)&gt;=M$68,0,M$68/M$71))</f>
        <v>0</v>
      </c>
      <c r="N105" s="207">
        <f>IF(ISERROR(IF(SUM(N$82:N104)&gt;=N$68,0,N$68/N$71)),"NA",IF(SUM(N$82:N104)&gt;=N$68,0,N$68/N$71))</f>
        <v>0</v>
      </c>
      <c r="O105" s="207">
        <f>IF(ISERROR(IF(SUM(O$82:O104)&gt;=O$68,0,O$68/O$71)),"NA",IF(SUM(O$82:O104)&gt;=O$68,0,O$68/O$71))</f>
        <v>0</v>
      </c>
      <c r="P105" s="207">
        <f>IF(ISERROR(IF(SUM(P$82:P104)&gt;=P$68,0,P$68/P$71)),"NA",IF(SUM(P$82:P104)&gt;=P$68,0,P$68/P$71))</f>
        <v>0</v>
      </c>
      <c r="Q105" s="207">
        <f>IF(ISERROR(IF(SUM(Q$82:Q104)&gt;=Q$68,0,Q$68/Q$71)),"NA",IF(SUM(Q$82:Q104)&gt;=Q$68,0,Q$68/Q$71))</f>
        <v>0</v>
      </c>
      <c r="R105" s="207">
        <f>IF(ISERROR(IF(SUM(R$82:R104)&gt;=R$68,0,R$68/R$71)),"NA",IF(SUM(R$82:R104)&gt;=R$68,0,R$68/R$71))</f>
        <v>0</v>
      </c>
      <c r="S105" s="207">
        <f>IF(ISERROR(IF(SUM(S$82:S104)&gt;=S$68,0,S$68/S$71)),"NA",IF(SUM(S$82:S104)&gt;=S$68,0,S$68/S$71))</f>
        <v>0</v>
      </c>
      <c r="T105" s="207">
        <f>IF(ISERROR(IF(SUM(T$82:T104)&gt;=T$68,0,T$68/T$71)),"NA",IF(SUM(T$82:T104)&gt;=T$68,0,T$68/T$71))</f>
        <v>0</v>
      </c>
      <c r="U105" s="207">
        <f>IF(ISERROR(IF(SUM(U$82:U104)&gt;=U$68,0,U$68/U$71)),"NA",IF(SUM(U$82:U104)&gt;=U$68,0,U$68/U$71))</f>
        <v>0</v>
      </c>
      <c r="V105" s="212">
        <f t="shared" si="62"/>
        <v>0</v>
      </c>
      <c r="W105" s="212">
        <f t="shared" si="62"/>
        <v>0</v>
      </c>
      <c r="X105" s="212">
        <f t="shared" si="62"/>
        <v>0</v>
      </c>
      <c r="Y105" s="212">
        <f t="shared" si="57"/>
        <v>0</v>
      </c>
      <c r="Z105" s="212">
        <f t="shared" si="57"/>
        <v>0</v>
      </c>
      <c r="AA105" s="212">
        <f t="shared" si="57"/>
        <v>0</v>
      </c>
      <c r="AB105" s="212">
        <f t="shared" si="57"/>
        <v>0</v>
      </c>
      <c r="AC105" s="212">
        <f t="shared" si="58"/>
        <v>0</v>
      </c>
      <c r="AD105" s="212">
        <f t="shared" si="59"/>
        <v>0</v>
      </c>
      <c r="AE105" s="309"/>
      <c r="AF105" s="309"/>
      <c r="AG105" s="309"/>
      <c r="AH105" s="309"/>
    </row>
    <row r="106" spans="1:34" outlineLevel="1">
      <c r="A106" s="304"/>
      <c r="B106" s="185"/>
      <c r="C106" s="305" t="s">
        <v>491</v>
      </c>
      <c r="D106" s="305"/>
      <c r="E106" s="305"/>
      <c r="F106" s="305"/>
      <c r="G106" s="305"/>
      <c r="H106" s="207">
        <f>IF(ISERROR(IF(SUM(H$82:H105)&gt;=H$68,0,H$68/H$71)),"NA",IF(SUM(H$82:H105)&gt;=H$68,0,H$68/H$71))</f>
        <v>0</v>
      </c>
      <c r="I106" s="207">
        <f>IF(ISERROR(IF(SUM(I$82:I105)&gt;=I$68,0,I$68/I$71)),"NA",IF(SUM(I$82:I105)&gt;=I$68,0,I$68/I$71))</f>
        <v>0</v>
      </c>
      <c r="J106" s="207">
        <f>IF(ISERROR(IF(SUM(J$82:J105)&gt;=J$68,0,J$68/J$71)),"NA",IF(SUM(J$82:J105)&gt;=J$68,0,J$68/J$71))</f>
        <v>0</v>
      </c>
      <c r="K106" s="207">
        <f>IF(ISERROR(IF(SUM(K$82:K105)&gt;=K$68,0,K$68/K$71)),"NA",IF(SUM(K$82:K105)&gt;=K$68,0,K$68/K$71))</f>
        <v>0</v>
      </c>
      <c r="L106" s="207">
        <f>IF(ISERROR(IF(SUM(L$82:L105)&gt;=L$68,0,L$68/L$71)),"NA",IF(SUM(L$82:L105)&gt;=L$68,0,L$68/L$71))</f>
        <v>0</v>
      </c>
      <c r="M106" s="207">
        <f>IF(ISERROR(IF(SUM(M$82:M105)&gt;=M$68,0,M$68/M$71)),"NA",IF(SUM(M$82:M105)&gt;=M$68,0,M$68/M$71))</f>
        <v>0</v>
      </c>
      <c r="N106" s="207">
        <f>IF(ISERROR(IF(SUM(N$82:N105)&gt;=N$68,0,N$68/N$71)),"NA",IF(SUM(N$82:N105)&gt;=N$68,0,N$68/N$71))</f>
        <v>0</v>
      </c>
      <c r="O106" s="207">
        <f>IF(ISERROR(IF(SUM(O$82:O105)&gt;=O$68,0,O$68/O$71)),"NA",IF(SUM(O$82:O105)&gt;=O$68,0,O$68/O$71))</f>
        <v>0</v>
      </c>
      <c r="P106" s="207">
        <f>IF(ISERROR(IF(SUM(P$82:P105)&gt;=P$68,0,P$68/P$71)),"NA",IF(SUM(P$82:P105)&gt;=P$68,0,P$68/P$71))</f>
        <v>0</v>
      </c>
      <c r="Q106" s="207">
        <f>IF(ISERROR(IF(SUM(Q$82:Q105)&gt;=Q$68,0,Q$68/Q$71)),"NA",IF(SUM(Q$82:Q105)&gt;=Q$68,0,Q$68/Q$71))</f>
        <v>0</v>
      </c>
      <c r="R106" s="207">
        <f>IF(ISERROR(IF(SUM(R$82:R105)&gt;=R$68,0,R$68/R$71)),"NA",IF(SUM(R$82:R105)&gt;=R$68,0,R$68/R$71))</f>
        <v>0</v>
      </c>
      <c r="S106" s="207">
        <f>IF(ISERROR(IF(SUM(S$82:S105)&gt;=S$68,0,S$68/S$71)),"NA",IF(SUM(S$82:S105)&gt;=S$68,0,S$68/S$71))</f>
        <v>0</v>
      </c>
      <c r="T106" s="207">
        <f>IF(ISERROR(IF(SUM(T$82:T105)&gt;=T$68,0,T$68/T$71)),"NA",IF(SUM(T$82:T105)&gt;=T$68,0,T$68/T$71))</f>
        <v>0</v>
      </c>
      <c r="U106" s="207">
        <f>IF(ISERROR(IF(SUM(U$82:U105)&gt;=U$68,0,U$68/U$71)),"NA",IF(SUM(U$82:U105)&gt;=U$68,0,U$68/U$71))</f>
        <v>0</v>
      </c>
      <c r="V106" s="212">
        <f>U106*(1+V$64)</f>
        <v>0</v>
      </c>
      <c r="W106" s="212">
        <f>V106*(1+W$64)</f>
        <v>0</v>
      </c>
      <c r="X106" s="212">
        <f>W106*(1+X$64)</f>
        <v>0</v>
      </c>
      <c r="Y106" s="212">
        <f t="shared" si="57"/>
        <v>0</v>
      </c>
      <c r="Z106" s="212">
        <f t="shared" si="57"/>
        <v>0</v>
      </c>
      <c r="AA106" s="212">
        <f t="shared" si="57"/>
        <v>0</v>
      </c>
      <c r="AB106" s="212">
        <f t="shared" si="57"/>
        <v>0</v>
      </c>
      <c r="AC106" s="212">
        <f t="shared" si="58"/>
        <v>0</v>
      </c>
      <c r="AD106" s="212">
        <f t="shared" si="59"/>
        <v>0</v>
      </c>
      <c r="AE106" s="309"/>
      <c r="AF106" s="309"/>
      <c r="AG106" s="309"/>
      <c r="AH106" s="309"/>
    </row>
    <row r="107" spans="1:34" ht="11.25" customHeight="1">
      <c r="A107" s="304"/>
      <c r="B107" s="315"/>
      <c r="C107" s="316" t="s">
        <v>492</v>
      </c>
      <c r="D107" s="316"/>
      <c r="E107" s="316"/>
      <c r="F107" s="316"/>
      <c r="G107" s="316"/>
      <c r="H107" s="309"/>
      <c r="I107" s="309"/>
      <c r="J107" s="309"/>
      <c r="K107" s="309"/>
      <c r="L107" s="309"/>
      <c r="M107" s="309"/>
      <c r="N107" s="309"/>
      <c r="O107" s="309"/>
      <c r="P107" s="309"/>
      <c r="Q107" s="309"/>
      <c r="R107" s="309"/>
      <c r="S107" s="309"/>
      <c r="T107" s="309"/>
      <c r="U107" s="309"/>
      <c r="V107" s="309"/>
      <c r="W107" s="309"/>
      <c r="X107" s="309"/>
      <c r="Y107" s="309"/>
      <c r="Z107" s="309"/>
      <c r="AA107" s="309"/>
      <c r="AB107" s="309"/>
      <c r="AC107" s="309"/>
      <c r="AD107" s="309"/>
      <c r="AE107" s="309"/>
      <c r="AF107" s="309"/>
      <c r="AG107" s="309"/>
      <c r="AH107" s="309"/>
    </row>
    <row r="108" spans="1:34" ht="11.25" customHeight="1">
      <c r="A108" s="317"/>
      <c r="B108" s="318"/>
      <c r="C108" s="316"/>
      <c r="D108" s="316"/>
      <c r="E108" s="316"/>
      <c r="F108" s="316"/>
      <c r="G108" s="316"/>
      <c r="H108" s="319"/>
      <c r="I108" s="319"/>
      <c r="J108" s="319"/>
      <c r="K108" s="319"/>
      <c r="L108" s="319"/>
      <c r="M108" s="319"/>
      <c r="N108" s="319"/>
      <c r="O108" s="319"/>
      <c r="P108" s="319"/>
      <c r="Q108" s="319"/>
      <c r="R108" s="319"/>
      <c r="S108" s="319"/>
      <c r="T108" s="319"/>
      <c r="U108" s="319"/>
      <c r="V108" s="319"/>
      <c r="W108" s="319"/>
      <c r="X108" s="319"/>
      <c r="Y108" s="319"/>
      <c r="Z108" s="319"/>
      <c r="AA108" s="319"/>
      <c r="AB108" s="319"/>
      <c r="AC108" s="319"/>
      <c r="AD108" s="319"/>
      <c r="AE108" s="319"/>
      <c r="AF108" s="319"/>
      <c r="AG108" s="319"/>
      <c r="AH108" s="319"/>
    </row>
    <row r="109" spans="1:34" outlineLevel="1">
      <c r="A109" s="304"/>
      <c r="B109" s="315"/>
      <c r="C109" s="320"/>
      <c r="D109" s="320"/>
      <c r="E109" s="320"/>
      <c r="F109" s="320"/>
      <c r="G109" s="320"/>
      <c r="H109" s="321"/>
      <c r="I109" s="212"/>
      <c r="J109" s="212"/>
      <c r="K109" s="212"/>
      <c r="L109" s="212"/>
      <c r="M109" s="212"/>
      <c r="N109" s="212"/>
      <c r="O109" s="212"/>
      <c r="P109" s="212"/>
      <c r="Q109" s="212"/>
      <c r="R109" s="212"/>
      <c r="S109" s="212"/>
      <c r="T109" s="212"/>
      <c r="U109" s="212"/>
      <c r="V109" s="212"/>
      <c r="W109" s="212"/>
      <c r="X109" s="212"/>
      <c r="Y109" s="212"/>
      <c r="Z109" s="212"/>
      <c r="AA109" s="212"/>
      <c r="AB109" s="212"/>
      <c r="AC109" s="212"/>
      <c r="AD109" s="212"/>
      <c r="AE109" s="309"/>
      <c r="AF109" s="309"/>
      <c r="AG109" s="309"/>
      <c r="AH109" s="309"/>
    </row>
    <row r="110" spans="1:34" ht="12.75" customHeight="1" outlineLevel="1">
      <c r="A110" s="304"/>
      <c r="B110" s="322" t="s">
        <v>72</v>
      </c>
      <c r="C110" s="217" t="s">
        <v>493</v>
      </c>
      <c r="D110" s="217"/>
      <c r="E110" s="217"/>
      <c r="F110" s="217"/>
      <c r="G110" s="217"/>
      <c r="H110" s="301" t="str">
        <f t="shared" ref="H110:X110" si="63">H74</f>
        <v>01/2000</v>
      </c>
      <c r="I110" s="301" t="str">
        <f t="shared" si="63"/>
        <v>01/2001</v>
      </c>
      <c r="J110" s="301" t="str">
        <f t="shared" si="63"/>
        <v>01/2002</v>
      </c>
      <c r="K110" s="301" t="str">
        <f t="shared" si="63"/>
        <v>01/2003</v>
      </c>
      <c r="L110" s="301" t="str">
        <f t="shared" si="63"/>
        <v>01/2004</v>
      </c>
      <c r="M110" s="301" t="str">
        <f t="shared" si="63"/>
        <v>01/2005</v>
      </c>
      <c r="N110" s="301" t="str">
        <f t="shared" si="63"/>
        <v>01/2006</v>
      </c>
      <c r="O110" s="301" t="str">
        <f t="shared" si="63"/>
        <v>01/2007</v>
      </c>
      <c r="P110" s="301" t="str">
        <f t="shared" si="63"/>
        <v>01/2008</v>
      </c>
      <c r="Q110" s="301" t="str">
        <f t="shared" si="63"/>
        <v>01/2009</v>
      </c>
      <c r="R110" s="301" t="str">
        <f t="shared" si="63"/>
        <v>01/2010</v>
      </c>
      <c r="S110" s="301" t="str">
        <f t="shared" si="63"/>
        <v>01/2011</v>
      </c>
      <c r="T110" s="301" t="str">
        <f t="shared" si="63"/>
        <v>01/2012</v>
      </c>
      <c r="U110" s="301" t="str">
        <f t="shared" si="63"/>
        <v>01/2013</v>
      </c>
      <c r="V110" s="301" t="str">
        <f t="shared" si="63"/>
        <v>01/2014</v>
      </c>
      <c r="W110" s="301" t="str">
        <f t="shared" si="63"/>
        <v>01/2015</v>
      </c>
      <c r="X110" s="301" t="str">
        <f t="shared" si="63"/>
        <v>01/2016</v>
      </c>
      <c r="Y110" s="301" t="str">
        <f t="shared" ref="Y110:AD110" si="64">Y74</f>
        <v>01/2017</v>
      </c>
      <c r="Z110" s="301" t="str">
        <f t="shared" si="64"/>
        <v>01/2018</v>
      </c>
      <c r="AA110" s="301" t="str">
        <f t="shared" si="64"/>
        <v>01/2019</v>
      </c>
      <c r="AB110" s="301" t="str">
        <f t="shared" si="64"/>
        <v>01/2020</v>
      </c>
      <c r="AC110" s="301" t="str">
        <f t="shared" si="64"/>
        <v>01/2021</v>
      </c>
      <c r="AD110" s="301" t="str">
        <f t="shared" si="64"/>
        <v>01/2022</v>
      </c>
      <c r="AE110" s="309"/>
      <c r="AF110" s="309"/>
      <c r="AG110" s="309"/>
      <c r="AH110" s="309"/>
    </row>
    <row r="111" spans="1:34" ht="12.75" customHeight="1" outlineLevel="1">
      <c r="A111" s="304"/>
      <c r="B111" s="322"/>
      <c r="C111" s="217"/>
      <c r="D111" s="217"/>
      <c r="E111" s="217"/>
      <c r="F111" s="217"/>
      <c r="G111" s="217"/>
      <c r="H111" s="323"/>
      <c r="I111" s="323"/>
      <c r="J111" s="323"/>
      <c r="K111" s="323"/>
      <c r="L111" s="323"/>
      <c r="M111" s="323"/>
      <c r="N111" s="323"/>
      <c r="O111" s="323"/>
      <c r="P111" s="323"/>
      <c r="Q111" s="324"/>
      <c r="R111" s="324"/>
      <c r="S111" s="324"/>
      <c r="T111" s="324"/>
      <c r="U111" s="324"/>
      <c r="V111" s="324"/>
      <c r="W111" s="324"/>
      <c r="X111" s="324"/>
      <c r="Y111" s="324"/>
      <c r="Z111" s="324"/>
      <c r="AA111" s="324"/>
      <c r="AB111" s="324"/>
      <c r="AC111" s="324"/>
      <c r="AD111" s="324"/>
      <c r="AE111" s="309"/>
      <c r="AF111" s="309"/>
      <c r="AG111" s="309"/>
      <c r="AH111" s="309"/>
    </row>
    <row r="112" spans="1:34" ht="11.25" customHeight="1" outlineLevel="1">
      <c r="A112" s="304"/>
      <c r="B112" s="325">
        <v>1</v>
      </c>
      <c r="C112" s="188" t="s">
        <v>494</v>
      </c>
      <c r="D112" s="188"/>
      <c r="E112" s="188"/>
      <c r="F112" s="188"/>
      <c r="G112" s="188"/>
      <c r="H112" s="326">
        <f t="shared" ref="H112:H141" si="65">IF(ISERROR(H76/(POWER((1+$H$44),B112))),"NA",H76/(POWER((1+$H$44),B112)))</f>
        <v>332.64150943396226</v>
      </c>
      <c r="I112" s="326">
        <f t="shared" ref="I112:K141" si="66">IF(ISERROR((I76-H77)/(POWER((1+I$45),$B112))),"NA",(I76-H77)/(POWER((1+I$45),$B112)))</f>
        <v>27.889622641509476</v>
      </c>
      <c r="J112" s="326">
        <f t="shared" si="66"/>
        <v>29.154716981132072</v>
      </c>
      <c r="K112" s="326">
        <f t="shared" si="66"/>
        <v>44.35943396226422</v>
      </c>
      <c r="L112" s="326">
        <f t="shared" ref="L112:L141" si="67">IF(ISERROR((L76-J77)/(POWER((1+L$45),$B112))),"NA",(L76-J77)/(POWER((1+L$45),$B112)))</f>
        <v>113.32169811320752</v>
      </c>
      <c r="M112" s="326">
        <f t="shared" ref="M112:M141" si="68">IF(ISERROR((M76-K77)/(POWER((1+M$45),$B112))),"NA",(M76-K77)/(POWER((1+M$45),$B112)))</f>
        <v>166.45283018867917</v>
      </c>
      <c r="N112" s="326">
        <f t="shared" ref="N112:AB112" si="69">IF(ISERROR((N76-M77)/(POWER((1+N$45),$B112))),"NA",(N76-M77)/(POWER((1+N$45),$B112)))</f>
        <v>63.418867924528236</v>
      </c>
      <c r="O112" s="326">
        <f t="shared" si="69"/>
        <v>66.960377358490618</v>
      </c>
      <c r="P112" s="326">
        <f t="shared" si="69"/>
        <v>48.092452830188741</v>
      </c>
      <c r="Q112" s="326">
        <f t="shared" si="69"/>
        <v>-6.2018867924527878</v>
      </c>
      <c r="R112" s="326">
        <f t="shared" si="69"/>
        <v>45.805660377358464</v>
      </c>
      <c r="S112" s="326">
        <f t="shared" si="69"/>
        <v>24.560377358490666</v>
      </c>
      <c r="T112" s="326">
        <f t="shared" si="69"/>
        <v>-6.3292452830189241</v>
      </c>
      <c r="U112" s="326">
        <f t="shared" si="69"/>
        <v>44.866037735849048</v>
      </c>
      <c r="V112" s="326">
        <f t="shared" si="69"/>
        <v>74.120857222280108</v>
      </c>
      <c r="W112" s="326">
        <f t="shared" si="69"/>
        <v>79.963164200389741</v>
      </c>
      <c r="X112" s="326">
        <f t="shared" si="69"/>
        <v>23.462668755743774</v>
      </c>
      <c r="Y112" s="326">
        <f t="shared" si="69"/>
        <v>24.1665488184161</v>
      </c>
      <c r="Z112" s="326">
        <f t="shared" si="69"/>
        <v>24.891545282968575</v>
      </c>
      <c r="AA112" s="326">
        <f t="shared" si="69"/>
        <v>25.638291641457553</v>
      </c>
      <c r="AB112" s="326">
        <f t="shared" si="69"/>
        <v>26.407440390701225</v>
      </c>
      <c r="AC112" s="326">
        <f t="shared" ref="AC112:AC141" si="70">IF(ISERROR((AC76-AB77)/(POWER((1+AC$45),$B112))),"NA",(AC76-AB77)/(POWER((1+AC$45),$B112)))</f>
        <v>27.199663602422298</v>
      </c>
      <c r="AD112" s="326">
        <f t="shared" ref="AD112:AD141" si="71">IF(ISERROR((AD76-AC77)/(POWER((1+AD$45),$B112))),"NA",(AD76-AC77)/(POWER((1+AD$45),$B112)))</f>
        <v>28.015653510495014</v>
      </c>
      <c r="AE112" s="309"/>
      <c r="AF112" s="309"/>
      <c r="AG112" s="309"/>
      <c r="AH112" s="309"/>
    </row>
    <row r="113" spans="1:34" ht="11.25" customHeight="1" outlineLevel="1">
      <c r="A113" s="327"/>
      <c r="B113" s="185">
        <v>2</v>
      </c>
      <c r="C113" s="188" t="str">
        <f t="shared" ref="C113:C141" si="72">"PV of Increase in forecast year "&amp;B112&amp;" lease commitments"</f>
        <v>PV of Increase in forecast year 1 lease commitments</v>
      </c>
      <c r="D113" s="188"/>
      <c r="E113" s="188"/>
      <c r="F113" s="188"/>
      <c r="G113" s="188"/>
      <c r="H113" s="326">
        <f t="shared" si="65"/>
        <v>321.32164471342111</v>
      </c>
      <c r="I113" s="326">
        <f t="shared" si="66"/>
        <v>72.000711997152038</v>
      </c>
      <c r="J113" s="326">
        <f t="shared" si="66"/>
        <v>76.320754716981085</v>
      </c>
      <c r="K113" s="326">
        <f t="shared" si="66"/>
        <v>76.206835172659325</v>
      </c>
      <c r="L113" s="326">
        <f t="shared" si="67"/>
        <v>167.73317906728369</v>
      </c>
      <c r="M113" s="326">
        <f t="shared" si="68"/>
        <v>171.69900320398722</v>
      </c>
      <c r="N113" s="326">
        <f t="shared" ref="N113:AB113" si="73">IF(ISERROR((N77-M78)/(POWER((1+N$45),$B113))),"NA",(N77-M78)/(POWER((1+N$45),$B113)))</f>
        <v>74.781950872196475</v>
      </c>
      <c r="O113" s="326">
        <f t="shared" si="73"/>
        <v>106.35546457814165</v>
      </c>
      <c r="P113" s="326">
        <f t="shared" si="73"/>
        <v>117.42880028479883</v>
      </c>
      <c r="Q113" s="326">
        <f t="shared" si="73"/>
        <v>13.153257386970447</v>
      </c>
      <c r="R113" s="326">
        <f t="shared" si="73"/>
        <v>146.76842292630826</v>
      </c>
      <c r="S113" s="326">
        <f t="shared" si="73"/>
        <v>135.85439658241373</v>
      </c>
      <c r="T113" s="326">
        <f t="shared" si="73"/>
        <v>90.493058027767773</v>
      </c>
      <c r="U113" s="326">
        <f t="shared" si="73"/>
        <v>113.57155571377706</v>
      </c>
      <c r="V113" s="326">
        <f t="shared" si="73"/>
        <v>154.96545764829824</v>
      </c>
      <c r="W113" s="326">
        <f t="shared" si="73"/>
        <v>167.18004620694859</v>
      </c>
      <c r="X113" s="326">
        <f t="shared" si="73"/>
        <v>120.41219718020244</v>
      </c>
      <c r="Y113" s="326">
        <f t="shared" si="73"/>
        <v>124.02456309560861</v>
      </c>
      <c r="Z113" s="326">
        <f t="shared" si="73"/>
        <v>127.74529998847697</v>
      </c>
      <c r="AA113" s="326">
        <f t="shared" si="73"/>
        <v>131.57765898813133</v>
      </c>
      <c r="AB113" s="326">
        <f t="shared" si="73"/>
        <v>135.52498875777542</v>
      </c>
      <c r="AC113" s="326">
        <f t="shared" si="70"/>
        <v>139.59073842050864</v>
      </c>
      <c r="AD113" s="326">
        <f t="shared" si="71"/>
        <v>143.77846057312382</v>
      </c>
      <c r="AE113" s="328"/>
      <c r="AF113" s="328"/>
      <c r="AG113" s="328"/>
      <c r="AH113" s="328"/>
    </row>
    <row r="114" spans="1:34" ht="11.25" customHeight="1" outlineLevel="1">
      <c r="A114" s="327"/>
      <c r="B114" s="185">
        <v>3</v>
      </c>
      <c r="C114" s="188" t="str">
        <f t="shared" si="72"/>
        <v>PV of Increase in forecast year 2 lease commitments</v>
      </c>
      <c r="D114" s="188"/>
      <c r="E114" s="188"/>
      <c r="F114" s="188"/>
      <c r="G114" s="188"/>
      <c r="H114" s="326">
        <f t="shared" si="65"/>
        <v>281.10117748208245</v>
      </c>
      <c r="I114" s="326">
        <f t="shared" si="66"/>
        <v>68.250132659846727</v>
      </c>
      <c r="J114" s="326">
        <f t="shared" si="66"/>
        <v>76.470005440732933</v>
      </c>
      <c r="K114" s="326">
        <f t="shared" si="66"/>
        <v>83.275959348992771</v>
      </c>
      <c r="L114" s="326">
        <f t="shared" si="67"/>
        <v>155.96180068109916</v>
      </c>
      <c r="M114" s="326">
        <f t="shared" si="68"/>
        <v>178.64999294719797</v>
      </c>
      <c r="N114" s="326">
        <f t="shared" ref="N114:AB114" si="74">IF(ISERROR((N78-M79)/(POWER((1+N$45),$B114))),"NA",(N78-M79)/(POWER((1+N$45),$B114)))</f>
        <v>82.127360169804533</v>
      </c>
      <c r="O114" s="326">
        <f t="shared" si="74"/>
        <v>103.94402762011589</v>
      </c>
      <c r="P114" s="326">
        <f t="shared" si="74"/>
        <v>138.66816230848286</v>
      </c>
      <c r="Q114" s="326">
        <f t="shared" si="74"/>
        <v>26.170093432833795</v>
      </c>
      <c r="R114" s="326">
        <f t="shared" si="74"/>
        <v>166.34789121220865</v>
      </c>
      <c r="S114" s="326">
        <f t="shared" si="74"/>
        <v>160.67962143245768</v>
      </c>
      <c r="T114" s="326">
        <f t="shared" si="74"/>
        <v>119.32165478885254</v>
      </c>
      <c r="U114" s="326">
        <f t="shared" si="74"/>
        <v>137.10059310706148</v>
      </c>
      <c r="V114" s="326">
        <f t="shared" si="74"/>
        <v>181.66121003815778</v>
      </c>
      <c r="W114" s="326">
        <f t="shared" si="74"/>
        <v>195.97999418112857</v>
      </c>
      <c r="X114" s="326">
        <f t="shared" si="74"/>
        <v>158.72469045983976</v>
      </c>
      <c r="Y114" s="326">
        <f t="shared" si="74"/>
        <v>163.48643117363497</v>
      </c>
      <c r="Z114" s="326">
        <f t="shared" si="74"/>
        <v>168.39102410884411</v>
      </c>
      <c r="AA114" s="326">
        <f t="shared" si="74"/>
        <v>173.44275483210939</v>
      </c>
      <c r="AB114" s="326">
        <f t="shared" si="74"/>
        <v>178.64603747707264</v>
      </c>
      <c r="AC114" s="326">
        <f t="shared" si="70"/>
        <v>184.00541860138492</v>
      </c>
      <c r="AD114" s="326">
        <f t="shared" si="71"/>
        <v>189.52558115942654</v>
      </c>
      <c r="AE114" s="328"/>
      <c r="AF114" s="328"/>
      <c r="AG114" s="328"/>
      <c r="AH114" s="328"/>
    </row>
    <row r="115" spans="1:34" outlineLevel="1">
      <c r="A115" s="327"/>
      <c r="B115" s="185">
        <v>4</v>
      </c>
      <c r="C115" s="188" t="str">
        <f t="shared" si="72"/>
        <v>PV of Increase in forecast year 3 lease commitments</v>
      </c>
      <c r="D115" s="188"/>
      <c r="E115" s="188"/>
      <c r="F115" s="188"/>
      <c r="G115" s="188"/>
      <c r="H115" s="326">
        <f t="shared" si="65"/>
        <v>246.05439136093216</v>
      </c>
      <c r="I115" s="326">
        <f t="shared" si="66"/>
        <v>64.287113802060972</v>
      </c>
      <c r="J115" s="326">
        <f t="shared" si="66"/>
        <v>72.321319828284246</v>
      </c>
      <c r="K115" s="326">
        <f t="shared" si="66"/>
        <v>77.218834948084918</v>
      </c>
      <c r="L115" s="326">
        <f t="shared" si="67"/>
        <v>144.5254097944092</v>
      </c>
      <c r="M115" s="326">
        <f t="shared" si="68"/>
        <v>160.29520253581498</v>
      </c>
      <c r="N115" s="326">
        <f t="shared" ref="N115:AB115" si="75">IF(ISERROR((N79-M80)/(POWER((1+N$45),$B115))),"NA",(N79-M80)/(POWER((1+N$45),$B115)))</f>
        <v>75.84692872335664</v>
      </c>
      <c r="O115" s="326">
        <f t="shared" si="75"/>
        <v>94.540339175773937</v>
      </c>
      <c r="P115" s="326">
        <f t="shared" si="75"/>
        <v>136.01436338291668</v>
      </c>
      <c r="Q115" s="326">
        <f t="shared" si="75"/>
        <v>26.646030831327085</v>
      </c>
      <c r="R115" s="326">
        <f t="shared" si="75"/>
        <v>163.26634586662078</v>
      </c>
      <c r="S115" s="326">
        <f t="shared" si="75"/>
        <v>154.09786171464066</v>
      </c>
      <c r="T115" s="326">
        <f t="shared" si="75"/>
        <v>116.5573746391379</v>
      </c>
      <c r="U115" s="326">
        <f t="shared" si="75"/>
        <v>123.50641234672507</v>
      </c>
      <c r="V115" s="326">
        <f t="shared" si="75"/>
        <v>184.36435575126484</v>
      </c>
      <c r="W115" s="326">
        <f t="shared" si="75"/>
        <v>198.89620552318783</v>
      </c>
      <c r="X115" s="326">
        <f t="shared" si="75"/>
        <v>170.67287204131895</v>
      </c>
      <c r="Y115" s="326">
        <f t="shared" si="75"/>
        <v>175.79305820255846</v>
      </c>
      <c r="Z115" s="326">
        <f t="shared" si="75"/>
        <v>181.06684994863517</v>
      </c>
      <c r="AA115" s="326">
        <f t="shared" si="75"/>
        <v>186.49885544709426</v>
      </c>
      <c r="AB115" s="326">
        <f t="shared" si="75"/>
        <v>192.09382111050706</v>
      </c>
      <c r="AC115" s="326">
        <f t="shared" si="70"/>
        <v>197.8566357438223</v>
      </c>
      <c r="AD115" s="326">
        <f t="shared" si="71"/>
        <v>203.79233481613704</v>
      </c>
      <c r="AE115" s="328"/>
      <c r="AF115" s="328"/>
      <c r="AG115" s="328"/>
      <c r="AH115" s="328"/>
    </row>
    <row r="116" spans="1:34" outlineLevel="1">
      <c r="A116" s="304"/>
      <c r="B116" s="185">
        <v>5</v>
      </c>
      <c r="C116" s="188" t="str">
        <f t="shared" si="72"/>
        <v>PV of Increase in forecast year 4 lease commitments</v>
      </c>
      <c r="D116" s="188"/>
      <c r="E116" s="188"/>
      <c r="F116" s="188"/>
      <c r="G116" s="188"/>
      <c r="H116" s="326">
        <f t="shared" si="65"/>
        <v>208.48204119693838</v>
      </c>
      <c r="I116" s="326">
        <f t="shared" si="66"/>
        <v>60.240217605597159</v>
      </c>
      <c r="J116" s="326">
        <f t="shared" si="66"/>
        <v>67.88840500488125</v>
      </c>
      <c r="K116" s="326">
        <f t="shared" si="66"/>
        <v>70.183234853752921</v>
      </c>
      <c r="L116" s="326">
        <f t="shared" si="67"/>
        <v>126.49287447007461</v>
      </c>
      <c r="M116" s="326">
        <f t="shared" si="68"/>
        <v>157.14391020469461</v>
      </c>
      <c r="N116" s="326">
        <f t="shared" ref="N116:AB116" si="76">IF(ISERROR((N80-M81)/(POWER((1+N$45),$B116))),"NA",(N80-M81)/(POWER((1+N$45),$B116)))</f>
        <v>69.613076867856051</v>
      </c>
      <c r="O116" s="326">
        <f t="shared" si="76"/>
        <v>78.021225828944978</v>
      </c>
      <c r="P116" s="326">
        <f t="shared" si="76"/>
        <v>127.25657232274376</v>
      </c>
      <c r="Q116" s="326">
        <f t="shared" si="76"/>
        <v>28.339018947772324</v>
      </c>
      <c r="R116" s="326">
        <f t="shared" si="76"/>
        <v>155.46108479940023</v>
      </c>
      <c r="S116" s="326">
        <f t="shared" si="76"/>
        <v>155.12407136343762</v>
      </c>
      <c r="T116" s="326">
        <f t="shared" si="76"/>
        <v>111.37434711664856</v>
      </c>
      <c r="U116" s="326">
        <f t="shared" si="76"/>
        <v>103.79864376013255</v>
      </c>
      <c r="V116" s="326">
        <f t="shared" si="76"/>
        <v>161.71236951375229</v>
      </c>
      <c r="W116" s="326">
        <f t="shared" si="76"/>
        <v>174.45875886032425</v>
      </c>
      <c r="X116" s="326">
        <f t="shared" si="76"/>
        <v>153.41253470804642</v>
      </c>
      <c r="Y116" s="326">
        <f t="shared" si="76"/>
        <v>158.01491074928785</v>
      </c>
      <c r="Z116" s="326">
        <f t="shared" si="76"/>
        <v>162.75535807176644</v>
      </c>
      <c r="AA116" s="326">
        <f t="shared" si="76"/>
        <v>167.63801881391936</v>
      </c>
      <c r="AB116" s="326">
        <f t="shared" si="76"/>
        <v>172.66715937833695</v>
      </c>
      <c r="AC116" s="326">
        <f t="shared" si="70"/>
        <v>177.84717415968706</v>
      </c>
      <c r="AD116" s="326">
        <f t="shared" si="71"/>
        <v>183.18258938447761</v>
      </c>
      <c r="AE116" s="309"/>
      <c r="AF116" s="309"/>
      <c r="AG116" s="309"/>
      <c r="AH116" s="309"/>
    </row>
    <row r="117" spans="1:34" outlineLevel="1">
      <c r="A117" s="304"/>
      <c r="B117" s="185">
        <v>6</v>
      </c>
      <c r="C117" s="188" t="str">
        <f t="shared" si="72"/>
        <v>PV of Increase in forecast year 5 lease commitments</v>
      </c>
      <c r="D117" s="188"/>
      <c r="E117" s="188"/>
      <c r="F117" s="188"/>
      <c r="G117" s="188"/>
      <c r="H117" s="326">
        <f t="shared" si="65"/>
        <v>171.76575055974843</v>
      </c>
      <c r="I117" s="326">
        <f t="shared" si="66"/>
        <v>26.670067165913849</v>
      </c>
      <c r="J117" s="326">
        <f t="shared" si="66"/>
        <v>35.622361068957289</v>
      </c>
      <c r="K117" s="326">
        <f t="shared" si="66"/>
        <v>34.801786999885472</v>
      </c>
      <c r="L117" s="326">
        <f t="shared" si="67"/>
        <v>93.98181444871544</v>
      </c>
      <c r="M117" s="326">
        <f t="shared" si="68"/>
        <v>98.423065853485454</v>
      </c>
      <c r="N117" s="326">
        <f t="shared" ref="N117:AB117" si="77">IF(ISERROR((N81-M82)/(POWER((1+N$45),$B117))),"NA",(N81-M82)/(POWER((1+N$45),$B117)))</f>
        <v>8.5758449744486356</v>
      </c>
      <c r="O117" s="326">
        <f t="shared" si="77"/>
        <v>3.4113040551875526</v>
      </c>
      <c r="P117" s="326">
        <f t="shared" si="77"/>
        <v>34.504998612360417</v>
      </c>
      <c r="Q117" s="326">
        <f t="shared" si="77"/>
        <v>-52.081779767142855</v>
      </c>
      <c r="R117" s="326">
        <f t="shared" si="77"/>
        <v>51.880161052577151</v>
      </c>
      <c r="S117" s="326">
        <f t="shared" si="77"/>
        <v>59.058069275333864</v>
      </c>
      <c r="T117" s="326">
        <f t="shared" si="77"/>
        <v>7.1828429465398367</v>
      </c>
      <c r="U117" s="326">
        <f t="shared" si="77"/>
        <v>-9.0975157743740027</v>
      </c>
      <c r="V117" s="326">
        <f t="shared" si="77"/>
        <v>37.102552045268922</v>
      </c>
      <c r="W117" s="326">
        <f t="shared" si="77"/>
        <v>40.027025760807611</v>
      </c>
      <c r="X117" s="326">
        <f t="shared" si="77"/>
        <v>16.435396044869925</v>
      </c>
      <c r="Y117" s="326">
        <f t="shared" si="77"/>
        <v>16.92845792621608</v>
      </c>
      <c r="Z117" s="326">
        <f t="shared" si="77"/>
        <v>17.436311664002559</v>
      </c>
      <c r="AA117" s="326">
        <f t="shared" si="77"/>
        <v>17.959401013922577</v>
      </c>
      <c r="AB117" s="326">
        <f t="shared" si="77"/>
        <v>18.498183044340244</v>
      </c>
      <c r="AC117" s="326">
        <f t="shared" si="70"/>
        <v>19.053128535670474</v>
      </c>
      <c r="AD117" s="326">
        <f t="shared" si="71"/>
        <v>19.62472239174058</v>
      </c>
      <c r="AE117" s="309"/>
      <c r="AF117" s="309"/>
      <c r="AG117" s="309"/>
      <c r="AH117" s="309"/>
    </row>
    <row r="118" spans="1:34" outlineLevel="1">
      <c r="A118" s="304"/>
      <c r="B118" s="185">
        <v>7</v>
      </c>
      <c r="C118" s="188" t="str">
        <f t="shared" si="72"/>
        <v>PV of Increase in forecast year 6 lease commitments</v>
      </c>
      <c r="D118" s="188"/>
      <c r="E118" s="188"/>
      <c r="F118" s="188"/>
      <c r="G118" s="188"/>
      <c r="H118" s="326">
        <f t="shared" si="65"/>
        <v>162.04316090542304</v>
      </c>
      <c r="I118" s="326">
        <f t="shared" si="66"/>
        <v>25.160440722560232</v>
      </c>
      <c r="J118" s="326">
        <f t="shared" si="66"/>
        <v>33.606001008450264</v>
      </c>
      <c r="K118" s="326">
        <f t="shared" si="66"/>
        <v>32.831874528193836</v>
      </c>
      <c r="L118" s="326">
        <f t="shared" si="67"/>
        <v>88.662089102561723</v>
      </c>
      <c r="M118" s="326">
        <f t="shared" si="68"/>
        <v>92.85194891838249</v>
      </c>
      <c r="N118" s="326">
        <f t="shared" ref="N118:AB118" si="78">IF(ISERROR((N82-M83)/(POWER((1+N$45),$B118))),"NA",(N82-M83)/(POWER((1+N$45),$B118)))</f>
        <v>8.0904197872156942</v>
      </c>
      <c r="O118" s="326">
        <f t="shared" si="78"/>
        <v>3.2182113728184452</v>
      </c>
      <c r="P118" s="326">
        <f t="shared" si="78"/>
        <v>32.551885483358873</v>
      </c>
      <c r="Q118" s="326">
        <f t="shared" si="78"/>
        <v>-49.133754497304572</v>
      </c>
      <c r="R118" s="326">
        <f t="shared" si="78"/>
        <v>48.943548162808625</v>
      </c>
      <c r="S118" s="326">
        <f t="shared" si="78"/>
        <v>55.715159693711186</v>
      </c>
      <c r="T118" s="326">
        <f t="shared" si="78"/>
        <v>6.7762669306979584</v>
      </c>
      <c r="U118" s="326">
        <f t="shared" si="78"/>
        <v>-8.5825620512962288</v>
      </c>
      <c r="V118" s="326">
        <f t="shared" si="78"/>
        <v>35.002407589876334</v>
      </c>
      <c r="W118" s="326">
        <f t="shared" si="78"/>
        <v>37.761345057365659</v>
      </c>
      <c r="X118" s="326">
        <f t="shared" si="78"/>
        <v>15.505090608367853</v>
      </c>
      <c r="Y118" s="326">
        <f t="shared" si="78"/>
        <v>15.97024332661894</v>
      </c>
      <c r="Z118" s="326">
        <f t="shared" si="78"/>
        <v>16.449350626417509</v>
      </c>
      <c r="AA118" s="326">
        <f t="shared" si="78"/>
        <v>16.942831145209976</v>
      </c>
      <c r="AB118" s="326">
        <f t="shared" si="78"/>
        <v>17.451116079566265</v>
      </c>
      <c r="AC118" s="326">
        <f t="shared" si="70"/>
        <v>17.974649561953274</v>
      </c>
      <c r="AD118" s="326">
        <f t="shared" si="71"/>
        <v>18.513889048811865</v>
      </c>
      <c r="AE118" s="309"/>
      <c r="AF118" s="309"/>
      <c r="AG118" s="309"/>
      <c r="AH118" s="309"/>
    </row>
    <row r="119" spans="1:34" outlineLevel="1">
      <c r="A119" s="304"/>
      <c r="B119" s="185">
        <v>8</v>
      </c>
      <c r="C119" s="188" t="str">
        <f t="shared" si="72"/>
        <v>PV of Increase in forecast year 7 lease commitments</v>
      </c>
      <c r="D119" s="188"/>
      <c r="E119" s="188"/>
      <c r="F119" s="188"/>
      <c r="G119" s="188"/>
      <c r="H119" s="326">
        <f t="shared" si="65"/>
        <v>152.87090651455006</v>
      </c>
      <c r="I119" s="326">
        <f t="shared" si="66"/>
        <v>23.736264832603993</v>
      </c>
      <c r="J119" s="326">
        <f t="shared" si="66"/>
        <v>31.703774536273837</v>
      </c>
      <c r="K119" s="326">
        <f t="shared" si="66"/>
        <v>30.973466536031925</v>
      </c>
      <c r="L119" s="326">
        <f t="shared" si="67"/>
        <v>83.643480285435601</v>
      </c>
      <c r="M119" s="326">
        <f t="shared" si="68"/>
        <v>87.596178224889144</v>
      </c>
      <c r="N119" s="326">
        <f t="shared" ref="N119:AB119" si="79">IF(ISERROR((N83-M84)/(POWER((1+N$45),$B119))),"NA",(N83-M84)/(POWER((1+N$45),$B119)))</f>
        <v>7.6324714973732961</v>
      </c>
      <c r="O119" s="326">
        <f t="shared" si="79"/>
        <v>3.0360484649230619</v>
      </c>
      <c r="P119" s="326">
        <f t="shared" si="79"/>
        <v>30.709325927697055</v>
      </c>
      <c r="Q119" s="326">
        <f t="shared" si="79"/>
        <v>-46.352598582362809</v>
      </c>
      <c r="R119" s="326">
        <f t="shared" si="79"/>
        <v>46.173158644159088</v>
      </c>
      <c r="S119" s="326">
        <f t="shared" si="79"/>
        <v>52.561471409161499</v>
      </c>
      <c r="T119" s="326">
        <f t="shared" si="79"/>
        <v>6.3927046516018482</v>
      </c>
      <c r="U119" s="326">
        <f t="shared" si="79"/>
        <v>-8.0967566521662544</v>
      </c>
      <c r="V119" s="326">
        <f t="shared" si="79"/>
        <v>33.021139235732399</v>
      </c>
      <c r="W119" s="326">
        <f t="shared" si="79"/>
        <v>35.623910431477043</v>
      </c>
      <c r="X119" s="326">
        <f t="shared" si="79"/>
        <v>14.627443970158353</v>
      </c>
      <c r="Y119" s="326">
        <f t="shared" si="79"/>
        <v>15.066267289263154</v>
      </c>
      <c r="Z119" s="326">
        <f t="shared" si="79"/>
        <v>15.518255307941047</v>
      </c>
      <c r="AA119" s="326">
        <f t="shared" si="79"/>
        <v>15.983802967179223</v>
      </c>
      <c r="AB119" s="326">
        <f t="shared" si="79"/>
        <v>16.46331705619459</v>
      </c>
      <c r="AC119" s="326">
        <f t="shared" si="70"/>
        <v>16.957216567880451</v>
      </c>
      <c r="AD119" s="326">
        <f t="shared" si="71"/>
        <v>17.465933064916857</v>
      </c>
      <c r="AE119" s="309"/>
      <c r="AF119" s="309"/>
      <c r="AG119" s="309"/>
      <c r="AH119" s="309"/>
    </row>
    <row r="120" spans="1:34" outlineLevel="1">
      <c r="A120" s="304"/>
      <c r="B120" s="185">
        <v>9</v>
      </c>
      <c r="C120" s="188" t="str">
        <f t="shared" si="72"/>
        <v>PV of Increase in forecast year 8 lease commitments</v>
      </c>
      <c r="D120" s="188"/>
      <c r="E120" s="188"/>
      <c r="F120" s="188"/>
      <c r="G120" s="188"/>
      <c r="H120" s="326">
        <f t="shared" si="65"/>
        <v>144.21783633448118</v>
      </c>
      <c r="I120" s="326">
        <f t="shared" si="66"/>
        <v>22.392702672267919</v>
      </c>
      <c r="J120" s="326">
        <f t="shared" si="66"/>
        <v>29.909221260635697</v>
      </c>
      <c r="K120" s="326">
        <f t="shared" si="66"/>
        <v>29.220251449086721</v>
      </c>
      <c r="L120" s="326">
        <f t="shared" si="67"/>
        <v>78.908943665505276</v>
      </c>
      <c r="M120" s="326">
        <f t="shared" si="68"/>
        <v>82.637903985744487</v>
      </c>
      <c r="N120" s="326">
        <f t="shared" ref="N120:AB120" si="80">IF(ISERROR((N84-M85)/(POWER((1+N$45),$B120))),"NA",(N84-M85)/(POWER((1+N$45),$B120)))</f>
        <v>7.2004448088427324</v>
      </c>
      <c r="O120" s="326">
        <f t="shared" si="80"/>
        <v>2.8641966650217565</v>
      </c>
      <c r="P120" s="326">
        <f t="shared" si="80"/>
        <v>347.41361937202112</v>
      </c>
      <c r="Q120" s="326">
        <f t="shared" si="80"/>
        <v>303.68475278488637</v>
      </c>
      <c r="R120" s="326">
        <f t="shared" si="80"/>
        <v>347.24433641145157</v>
      </c>
      <c r="S120" s="326">
        <f t="shared" si="80"/>
        <v>396.83063019367938</v>
      </c>
      <c r="T120" s="326">
        <f t="shared" si="80"/>
        <v>6.0308534449074038</v>
      </c>
      <c r="U120" s="326">
        <f t="shared" si="80"/>
        <v>-7.6384496718549562</v>
      </c>
      <c r="V120" s="326">
        <f t="shared" si="80"/>
        <v>426.37505211364919</v>
      </c>
      <c r="W120" s="326">
        <f t="shared" si="80"/>
        <v>459.98251478485395</v>
      </c>
      <c r="X120" s="326">
        <f t="shared" si="80"/>
        <v>473.78199022839954</v>
      </c>
      <c r="Y120" s="326">
        <f t="shared" si="80"/>
        <v>487.9954499352516</v>
      </c>
      <c r="Z120" s="326">
        <f t="shared" si="80"/>
        <v>502.63531343330919</v>
      </c>
      <c r="AA120" s="326">
        <f t="shared" si="80"/>
        <v>517.71437283630848</v>
      </c>
      <c r="AB120" s="326">
        <f t="shared" si="80"/>
        <v>533.2458040213977</v>
      </c>
      <c r="AC120" s="326">
        <f t="shared" si="70"/>
        <v>549.2431781420396</v>
      </c>
      <c r="AD120" s="326">
        <f t="shared" si="71"/>
        <v>565.72047348630076</v>
      </c>
      <c r="AE120" s="309"/>
      <c r="AF120" s="309"/>
      <c r="AG120" s="309"/>
      <c r="AH120" s="309"/>
    </row>
    <row r="121" spans="1:34" outlineLevel="1">
      <c r="A121" s="304"/>
      <c r="B121" s="185">
        <v>10</v>
      </c>
      <c r="C121" s="188" t="str">
        <f t="shared" si="72"/>
        <v>PV of Increase in forecast year 9 lease commitments</v>
      </c>
      <c r="D121" s="188"/>
      <c r="E121" s="188"/>
      <c r="F121" s="188"/>
      <c r="G121" s="188"/>
      <c r="H121" s="326">
        <f t="shared" si="65"/>
        <v>136.05456257969922</v>
      </c>
      <c r="I121" s="326">
        <f t="shared" si="66"/>
        <v>21.12519120025275</v>
      </c>
      <c r="J121" s="326">
        <f t="shared" si="66"/>
        <v>28.216246472297826</v>
      </c>
      <c r="K121" s="326">
        <f t="shared" si="66"/>
        <v>27.566274951968602</v>
      </c>
      <c r="L121" s="326">
        <f t="shared" si="67"/>
        <v>74.442399684438939</v>
      </c>
      <c r="M121" s="326">
        <f t="shared" si="68"/>
        <v>77.960286779004221</v>
      </c>
      <c r="N121" s="326">
        <f t="shared" ref="N121:AB121" si="81">IF(ISERROR((N85-M86)/(POWER((1+N$45),$B121))),"NA",(N85-M86)/(POWER((1+N$45),$B121)))</f>
        <v>297.71543444439499</v>
      </c>
      <c r="O121" s="326">
        <f t="shared" si="81"/>
        <v>0</v>
      </c>
      <c r="P121" s="326">
        <f t="shared" si="81"/>
        <v>0</v>
      </c>
      <c r="Q121" s="326">
        <f t="shared" si="81"/>
        <v>0</v>
      </c>
      <c r="R121" s="326">
        <f t="shared" si="81"/>
        <v>0</v>
      </c>
      <c r="S121" s="326">
        <f t="shared" si="81"/>
        <v>374.36851905064088</v>
      </c>
      <c r="T121" s="326">
        <f t="shared" si="81"/>
        <v>380.05800343262899</v>
      </c>
      <c r="U121" s="326">
        <f t="shared" si="81"/>
        <v>0</v>
      </c>
      <c r="V121" s="326">
        <f t="shared" si="81"/>
        <v>0</v>
      </c>
      <c r="W121" s="326">
        <f t="shared" si="81"/>
        <v>0</v>
      </c>
      <c r="X121" s="326">
        <f t="shared" si="81"/>
        <v>0</v>
      </c>
      <c r="Y121" s="326">
        <f t="shared" si="81"/>
        <v>0</v>
      </c>
      <c r="Z121" s="326">
        <f t="shared" si="81"/>
        <v>0</v>
      </c>
      <c r="AA121" s="326">
        <f t="shared" si="81"/>
        <v>0</v>
      </c>
      <c r="AB121" s="326">
        <f t="shared" si="81"/>
        <v>0</v>
      </c>
      <c r="AC121" s="326">
        <f t="shared" si="70"/>
        <v>0</v>
      </c>
      <c r="AD121" s="326">
        <f t="shared" si="71"/>
        <v>0</v>
      </c>
      <c r="AE121" s="309"/>
      <c r="AF121" s="309"/>
      <c r="AG121" s="309"/>
      <c r="AH121" s="309"/>
    </row>
    <row r="122" spans="1:34" outlineLevel="1">
      <c r="A122" s="304"/>
      <c r="B122" s="185">
        <v>11</v>
      </c>
      <c r="C122" s="188" t="str">
        <f t="shared" si="72"/>
        <v>PV of Increase in forecast year 10 lease commitments</v>
      </c>
      <c r="D122" s="188"/>
      <c r="E122" s="188"/>
      <c r="F122" s="188"/>
      <c r="G122" s="188"/>
      <c r="H122" s="326">
        <f t="shared" si="65"/>
        <v>128.35336092424453</v>
      </c>
      <c r="I122" s="326">
        <f t="shared" si="66"/>
        <v>148.28278658486033</v>
      </c>
      <c r="J122" s="326">
        <f t="shared" si="66"/>
        <v>174.90188703042429</v>
      </c>
      <c r="K122" s="326">
        <f t="shared" si="66"/>
        <v>200.90780679643242</v>
      </c>
      <c r="L122" s="326">
        <f t="shared" si="67"/>
        <v>0</v>
      </c>
      <c r="M122" s="326">
        <f t="shared" si="68"/>
        <v>0</v>
      </c>
      <c r="N122" s="326">
        <f t="shared" ref="N122:AB122" si="82">IF(ISERROR((N86-M87)/(POWER((1+N$45),$B122))),"NA",(N86-M87)/(POWER((1+N$45),$B122)))</f>
        <v>0</v>
      </c>
      <c r="O122" s="326">
        <f t="shared" si="82"/>
        <v>0</v>
      </c>
      <c r="P122" s="326">
        <f t="shared" si="82"/>
        <v>0</v>
      </c>
      <c r="Q122" s="326">
        <f t="shared" si="82"/>
        <v>0</v>
      </c>
      <c r="R122" s="326">
        <f t="shared" si="82"/>
        <v>0</v>
      </c>
      <c r="S122" s="326">
        <f t="shared" si="82"/>
        <v>0</v>
      </c>
      <c r="T122" s="326">
        <f t="shared" si="82"/>
        <v>0</v>
      </c>
      <c r="U122" s="326">
        <f t="shared" si="82"/>
        <v>0</v>
      </c>
      <c r="V122" s="326">
        <f t="shared" si="82"/>
        <v>0</v>
      </c>
      <c r="W122" s="326">
        <f t="shared" si="82"/>
        <v>0</v>
      </c>
      <c r="X122" s="326">
        <f t="shared" si="82"/>
        <v>0</v>
      </c>
      <c r="Y122" s="326">
        <f t="shared" si="82"/>
        <v>0</v>
      </c>
      <c r="Z122" s="326">
        <f t="shared" si="82"/>
        <v>0</v>
      </c>
      <c r="AA122" s="326">
        <f t="shared" si="82"/>
        <v>0</v>
      </c>
      <c r="AB122" s="326">
        <f t="shared" si="82"/>
        <v>0</v>
      </c>
      <c r="AC122" s="326">
        <f t="shared" si="70"/>
        <v>0</v>
      </c>
      <c r="AD122" s="326">
        <f t="shared" si="71"/>
        <v>0</v>
      </c>
      <c r="AE122" s="309"/>
      <c r="AF122" s="309"/>
      <c r="AG122" s="309"/>
      <c r="AH122" s="309"/>
    </row>
    <row r="123" spans="1:34" outlineLevel="1">
      <c r="A123" s="304"/>
      <c r="B123" s="185">
        <v>12</v>
      </c>
      <c r="C123" s="188" t="str">
        <f t="shared" si="72"/>
        <v>PV of Increase in forecast year 11 lease commitments</v>
      </c>
      <c r="D123" s="188"/>
      <c r="E123" s="188"/>
      <c r="F123" s="188"/>
      <c r="G123" s="188"/>
      <c r="H123" s="326">
        <f t="shared" si="65"/>
        <v>0</v>
      </c>
      <c r="I123" s="326">
        <f t="shared" si="66"/>
        <v>0</v>
      </c>
      <c r="J123" s="326">
        <f t="shared" si="66"/>
        <v>0</v>
      </c>
      <c r="K123" s="326">
        <f t="shared" si="66"/>
        <v>0</v>
      </c>
      <c r="L123" s="326">
        <f t="shared" si="67"/>
        <v>0</v>
      </c>
      <c r="M123" s="326">
        <f t="shared" si="68"/>
        <v>0</v>
      </c>
      <c r="N123" s="326">
        <f t="shared" ref="N123:AB123" si="83">IF(ISERROR((N87-M88)/(POWER((1+N$45),$B123))),"NA",(N87-M88)/(POWER((1+N$45),$B123)))</f>
        <v>0</v>
      </c>
      <c r="O123" s="326">
        <f t="shared" si="83"/>
        <v>0</v>
      </c>
      <c r="P123" s="326">
        <f t="shared" si="83"/>
        <v>0</v>
      </c>
      <c r="Q123" s="326">
        <f t="shared" si="83"/>
        <v>0</v>
      </c>
      <c r="R123" s="326">
        <f t="shared" si="83"/>
        <v>0</v>
      </c>
      <c r="S123" s="326">
        <f t="shared" si="83"/>
        <v>0</v>
      </c>
      <c r="T123" s="326">
        <f t="shared" si="83"/>
        <v>0</v>
      </c>
      <c r="U123" s="326">
        <f t="shared" si="83"/>
        <v>0</v>
      </c>
      <c r="V123" s="326">
        <f t="shared" si="83"/>
        <v>0</v>
      </c>
      <c r="W123" s="326">
        <f t="shared" si="83"/>
        <v>0</v>
      </c>
      <c r="X123" s="326">
        <f t="shared" si="83"/>
        <v>0</v>
      </c>
      <c r="Y123" s="326">
        <f t="shared" si="83"/>
        <v>0</v>
      </c>
      <c r="Z123" s="326">
        <f t="shared" si="83"/>
        <v>0</v>
      </c>
      <c r="AA123" s="326">
        <f t="shared" si="83"/>
        <v>0</v>
      </c>
      <c r="AB123" s="326">
        <f t="shared" si="83"/>
        <v>0</v>
      </c>
      <c r="AC123" s="326">
        <f t="shared" si="70"/>
        <v>0</v>
      </c>
      <c r="AD123" s="326">
        <f t="shared" si="71"/>
        <v>0</v>
      </c>
      <c r="AE123" s="309"/>
      <c r="AF123" s="309"/>
      <c r="AG123" s="309"/>
      <c r="AH123" s="309"/>
    </row>
    <row r="124" spans="1:34" outlineLevel="1">
      <c r="A124" s="304"/>
      <c r="B124" s="185">
        <v>13</v>
      </c>
      <c r="C124" s="188" t="str">
        <f t="shared" si="72"/>
        <v>PV of Increase in forecast year 12 lease commitments</v>
      </c>
      <c r="D124" s="188"/>
      <c r="E124" s="188"/>
      <c r="F124" s="188"/>
      <c r="G124" s="188"/>
      <c r="H124" s="326">
        <f t="shared" si="65"/>
        <v>0</v>
      </c>
      <c r="I124" s="326">
        <f t="shared" si="66"/>
        <v>0</v>
      </c>
      <c r="J124" s="326">
        <f t="shared" si="66"/>
        <v>0</v>
      </c>
      <c r="K124" s="326">
        <f t="shared" si="66"/>
        <v>0</v>
      </c>
      <c r="L124" s="326">
        <f t="shared" si="67"/>
        <v>0</v>
      </c>
      <c r="M124" s="326">
        <f t="shared" si="68"/>
        <v>0</v>
      </c>
      <c r="N124" s="326">
        <f t="shared" ref="N124:AB124" si="84">IF(ISERROR((N88-M89)/(POWER((1+N$45),$B124))),"NA",(N88-M89)/(POWER((1+N$45),$B124)))</f>
        <v>0</v>
      </c>
      <c r="O124" s="326">
        <f t="shared" si="84"/>
        <v>0</v>
      </c>
      <c r="P124" s="326">
        <f t="shared" si="84"/>
        <v>0</v>
      </c>
      <c r="Q124" s="326">
        <f t="shared" si="84"/>
        <v>0</v>
      </c>
      <c r="R124" s="326">
        <f t="shared" si="84"/>
        <v>0</v>
      </c>
      <c r="S124" s="326">
        <f t="shared" si="84"/>
        <v>0</v>
      </c>
      <c r="T124" s="326">
        <f t="shared" si="84"/>
        <v>0</v>
      </c>
      <c r="U124" s="326">
        <f t="shared" si="84"/>
        <v>0</v>
      </c>
      <c r="V124" s="326">
        <f t="shared" si="84"/>
        <v>0</v>
      </c>
      <c r="W124" s="326">
        <f t="shared" si="84"/>
        <v>0</v>
      </c>
      <c r="X124" s="326">
        <f t="shared" si="84"/>
        <v>0</v>
      </c>
      <c r="Y124" s="326">
        <f t="shared" si="84"/>
        <v>0</v>
      </c>
      <c r="Z124" s="326">
        <f t="shared" si="84"/>
        <v>0</v>
      </c>
      <c r="AA124" s="326">
        <f t="shared" si="84"/>
        <v>0</v>
      </c>
      <c r="AB124" s="326">
        <f t="shared" si="84"/>
        <v>0</v>
      </c>
      <c r="AC124" s="326">
        <f t="shared" si="70"/>
        <v>0</v>
      </c>
      <c r="AD124" s="326">
        <f t="shared" si="71"/>
        <v>0</v>
      </c>
      <c r="AE124" s="309"/>
      <c r="AF124" s="309"/>
      <c r="AG124" s="309"/>
      <c r="AH124" s="309"/>
    </row>
    <row r="125" spans="1:34" outlineLevel="1">
      <c r="A125" s="304"/>
      <c r="B125" s="185">
        <v>14</v>
      </c>
      <c r="C125" s="188" t="str">
        <f t="shared" si="72"/>
        <v>PV of Increase in forecast year 13 lease commitments</v>
      </c>
      <c r="D125" s="188"/>
      <c r="E125" s="188"/>
      <c r="F125" s="188"/>
      <c r="G125" s="188"/>
      <c r="H125" s="326">
        <f t="shared" si="65"/>
        <v>0</v>
      </c>
      <c r="I125" s="326">
        <f t="shared" si="66"/>
        <v>0</v>
      </c>
      <c r="J125" s="326">
        <f t="shared" si="66"/>
        <v>0</v>
      </c>
      <c r="K125" s="326">
        <f t="shared" si="66"/>
        <v>0</v>
      </c>
      <c r="L125" s="326">
        <f t="shared" si="67"/>
        <v>0</v>
      </c>
      <c r="M125" s="326">
        <f t="shared" si="68"/>
        <v>0</v>
      </c>
      <c r="N125" s="326">
        <f t="shared" ref="N125:AB125" si="85">IF(ISERROR((N89-M90)/(POWER((1+N$45),$B125))),"NA",(N89-M90)/(POWER((1+N$45),$B125)))</f>
        <v>0</v>
      </c>
      <c r="O125" s="326">
        <f t="shared" si="85"/>
        <v>0</v>
      </c>
      <c r="P125" s="326">
        <f t="shared" si="85"/>
        <v>0</v>
      </c>
      <c r="Q125" s="326">
        <f t="shared" si="85"/>
        <v>0</v>
      </c>
      <c r="R125" s="326">
        <f t="shared" si="85"/>
        <v>0</v>
      </c>
      <c r="S125" s="326">
        <f t="shared" si="85"/>
        <v>0</v>
      </c>
      <c r="T125" s="326">
        <f t="shared" si="85"/>
        <v>0</v>
      </c>
      <c r="U125" s="326">
        <f t="shared" si="85"/>
        <v>0</v>
      </c>
      <c r="V125" s="326">
        <f t="shared" si="85"/>
        <v>0</v>
      </c>
      <c r="W125" s="326">
        <f t="shared" si="85"/>
        <v>0</v>
      </c>
      <c r="X125" s="326">
        <f t="shared" si="85"/>
        <v>0</v>
      </c>
      <c r="Y125" s="326">
        <f t="shared" si="85"/>
        <v>0</v>
      </c>
      <c r="Z125" s="326">
        <f t="shared" si="85"/>
        <v>0</v>
      </c>
      <c r="AA125" s="326">
        <f t="shared" si="85"/>
        <v>0</v>
      </c>
      <c r="AB125" s="326">
        <f t="shared" si="85"/>
        <v>0</v>
      </c>
      <c r="AC125" s="326">
        <f t="shared" si="70"/>
        <v>0</v>
      </c>
      <c r="AD125" s="326">
        <f t="shared" si="71"/>
        <v>0</v>
      </c>
      <c r="AE125" s="309"/>
      <c r="AF125" s="309"/>
      <c r="AG125" s="309"/>
      <c r="AH125" s="309"/>
    </row>
    <row r="126" spans="1:34" outlineLevel="1">
      <c r="A126" s="304"/>
      <c r="B126" s="185">
        <v>15</v>
      </c>
      <c r="C126" s="188" t="str">
        <f t="shared" si="72"/>
        <v>PV of Increase in forecast year 14 lease commitments</v>
      </c>
      <c r="D126" s="188"/>
      <c r="E126" s="188"/>
      <c r="F126" s="188"/>
      <c r="G126" s="188"/>
      <c r="H126" s="326">
        <f t="shared" si="65"/>
        <v>0</v>
      </c>
      <c r="I126" s="326">
        <f t="shared" si="66"/>
        <v>0</v>
      </c>
      <c r="J126" s="326">
        <f t="shared" si="66"/>
        <v>0</v>
      </c>
      <c r="K126" s="326">
        <f t="shared" si="66"/>
        <v>0</v>
      </c>
      <c r="L126" s="326">
        <f t="shared" si="67"/>
        <v>0</v>
      </c>
      <c r="M126" s="326">
        <f t="shared" si="68"/>
        <v>0</v>
      </c>
      <c r="N126" s="326">
        <f t="shared" ref="N126:AB126" si="86">IF(ISERROR((N90-M91)/(POWER((1+N$45),$B126))),"NA",(N90-M91)/(POWER((1+N$45),$B126)))</f>
        <v>0</v>
      </c>
      <c r="O126" s="326">
        <f t="shared" si="86"/>
        <v>0</v>
      </c>
      <c r="P126" s="326">
        <f t="shared" si="86"/>
        <v>0</v>
      </c>
      <c r="Q126" s="326">
        <f t="shared" si="86"/>
        <v>0</v>
      </c>
      <c r="R126" s="326">
        <f t="shared" si="86"/>
        <v>0</v>
      </c>
      <c r="S126" s="326">
        <f t="shared" si="86"/>
        <v>0</v>
      </c>
      <c r="T126" s="326">
        <f t="shared" si="86"/>
        <v>0</v>
      </c>
      <c r="U126" s="326">
        <f t="shared" si="86"/>
        <v>0</v>
      </c>
      <c r="V126" s="326">
        <f t="shared" si="86"/>
        <v>0</v>
      </c>
      <c r="W126" s="326">
        <f t="shared" si="86"/>
        <v>0</v>
      </c>
      <c r="X126" s="326">
        <f t="shared" si="86"/>
        <v>0</v>
      </c>
      <c r="Y126" s="326">
        <f t="shared" si="86"/>
        <v>0</v>
      </c>
      <c r="Z126" s="326">
        <f t="shared" si="86"/>
        <v>0</v>
      </c>
      <c r="AA126" s="326">
        <f t="shared" si="86"/>
        <v>0</v>
      </c>
      <c r="AB126" s="326">
        <f t="shared" si="86"/>
        <v>0</v>
      </c>
      <c r="AC126" s="326">
        <f t="shared" si="70"/>
        <v>0</v>
      </c>
      <c r="AD126" s="326">
        <f t="shared" si="71"/>
        <v>0</v>
      </c>
      <c r="AE126" s="309"/>
      <c r="AF126" s="309"/>
      <c r="AG126" s="309"/>
      <c r="AH126" s="309"/>
    </row>
    <row r="127" spans="1:34" outlineLevel="1">
      <c r="A127" s="304"/>
      <c r="B127" s="185">
        <v>16</v>
      </c>
      <c r="C127" s="188" t="str">
        <f t="shared" si="72"/>
        <v>PV of Increase in forecast year 15 lease commitments</v>
      </c>
      <c r="D127" s="188"/>
      <c r="E127" s="188"/>
      <c r="F127" s="188"/>
      <c r="G127" s="188"/>
      <c r="H127" s="326">
        <f t="shared" si="65"/>
        <v>0</v>
      </c>
      <c r="I127" s="326">
        <f t="shared" si="66"/>
        <v>0</v>
      </c>
      <c r="J127" s="326">
        <f t="shared" si="66"/>
        <v>0</v>
      </c>
      <c r="K127" s="326">
        <f t="shared" si="66"/>
        <v>0</v>
      </c>
      <c r="L127" s="326">
        <f t="shared" si="67"/>
        <v>0</v>
      </c>
      <c r="M127" s="326">
        <f t="shared" si="68"/>
        <v>0</v>
      </c>
      <c r="N127" s="326">
        <f t="shared" ref="N127:AB127" si="87">IF(ISERROR((N91-M92)/(POWER((1+N$45),$B127))),"NA",(N91-M92)/(POWER((1+N$45),$B127)))</f>
        <v>0</v>
      </c>
      <c r="O127" s="326">
        <f t="shared" si="87"/>
        <v>0</v>
      </c>
      <c r="P127" s="326">
        <f t="shared" si="87"/>
        <v>0</v>
      </c>
      <c r="Q127" s="326">
        <f t="shared" si="87"/>
        <v>0</v>
      </c>
      <c r="R127" s="326">
        <f t="shared" si="87"/>
        <v>0</v>
      </c>
      <c r="S127" s="326">
        <f t="shared" si="87"/>
        <v>0</v>
      </c>
      <c r="T127" s="326">
        <f t="shared" si="87"/>
        <v>0</v>
      </c>
      <c r="U127" s="326">
        <f t="shared" si="87"/>
        <v>0</v>
      </c>
      <c r="V127" s="326">
        <f t="shared" si="87"/>
        <v>0</v>
      </c>
      <c r="W127" s="326">
        <f t="shared" si="87"/>
        <v>0</v>
      </c>
      <c r="X127" s="326">
        <f t="shared" si="87"/>
        <v>0</v>
      </c>
      <c r="Y127" s="326">
        <f t="shared" si="87"/>
        <v>0</v>
      </c>
      <c r="Z127" s="326">
        <f t="shared" si="87"/>
        <v>0</v>
      </c>
      <c r="AA127" s="326">
        <f t="shared" si="87"/>
        <v>0</v>
      </c>
      <c r="AB127" s="326">
        <f t="shared" si="87"/>
        <v>0</v>
      </c>
      <c r="AC127" s="326">
        <f t="shared" si="70"/>
        <v>0</v>
      </c>
      <c r="AD127" s="326">
        <f t="shared" si="71"/>
        <v>0</v>
      </c>
      <c r="AE127" s="309"/>
      <c r="AF127" s="309"/>
      <c r="AG127" s="309"/>
      <c r="AH127" s="309"/>
    </row>
    <row r="128" spans="1:34" outlineLevel="1">
      <c r="A128" s="304"/>
      <c r="B128" s="185">
        <v>17</v>
      </c>
      <c r="C128" s="188" t="str">
        <f t="shared" si="72"/>
        <v>PV of Increase in forecast year 16 lease commitments</v>
      </c>
      <c r="D128" s="188"/>
      <c r="E128" s="188"/>
      <c r="F128" s="188"/>
      <c r="G128" s="188"/>
      <c r="H128" s="326">
        <f t="shared" si="65"/>
        <v>0</v>
      </c>
      <c r="I128" s="326">
        <f t="shared" si="66"/>
        <v>0</v>
      </c>
      <c r="J128" s="326">
        <f t="shared" si="66"/>
        <v>0</v>
      </c>
      <c r="K128" s="326">
        <f t="shared" si="66"/>
        <v>0</v>
      </c>
      <c r="L128" s="326">
        <f t="shared" si="67"/>
        <v>0</v>
      </c>
      <c r="M128" s="326">
        <f t="shared" si="68"/>
        <v>0</v>
      </c>
      <c r="N128" s="326">
        <f t="shared" ref="N128:AB128" si="88">IF(ISERROR((N92-M93)/(POWER((1+N$45),$B128))),"NA",(N92-M93)/(POWER((1+N$45),$B128)))</f>
        <v>0</v>
      </c>
      <c r="O128" s="326">
        <f t="shared" si="88"/>
        <v>0</v>
      </c>
      <c r="P128" s="326">
        <f t="shared" si="88"/>
        <v>0</v>
      </c>
      <c r="Q128" s="326">
        <f t="shared" si="88"/>
        <v>0</v>
      </c>
      <c r="R128" s="326">
        <f t="shared" si="88"/>
        <v>0</v>
      </c>
      <c r="S128" s="326">
        <f t="shared" si="88"/>
        <v>0</v>
      </c>
      <c r="T128" s="326">
        <f t="shared" si="88"/>
        <v>0</v>
      </c>
      <c r="U128" s="326">
        <f t="shared" si="88"/>
        <v>0</v>
      </c>
      <c r="V128" s="326">
        <f t="shared" si="88"/>
        <v>0</v>
      </c>
      <c r="W128" s="326">
        <f t="shared" si="88"/>
        <v>0</v>
      </c>
      <c r="X128" s="326">
        <f t="shared" si="88"/>
        <v>0</v>
      </c>
      <c r="Y128" s="326">
        <f t="shared" si="88"/>
        <v>0</v>
      </c>
      <c r="Z128" s="326">
        <f t="shared" si="88"/>
        <v>0</v>
      </c>
      <c r="AA128" s="326">
        <f t="shared" si="88"/>
        <v>0</v>
      </c>
      <c r="AB128" s="326">
        <f t="shared" si="88"/>
        <v>0</v>
      </c>
      <c r="AC128" s="326">
        <f t="shared" si="70"/>
        <v>0</v>
      </c>
      <c r="AD128" s="326">
        <f t="shared" si="71"/>
        <v>0</v>
      </c>
      <c r="AE128" s="309"/>
      <c r="AF128" s="309"/>
      <c r="AG128" s="309"/>
      <c r="AH128" s="309"/>
    </row>
    <row r="129" spans="1:34" outlineLevel="1">
      <c r="A129" s="304"/>
      <c r="B129" s="185">
        <v>18</v>
      </c>
      <c r="C129" s="188" t="str">
        <f t="shared" si="72"/>
        <v>PV of Increase in forecast year 17 lease commitments</v>
      </c>
      <c r="D129" s="188"/>
      <c r="E129" s="188"/>
      <c r="F129" s="188"/>
      <c r="G129" s="188"/>
      <c r="H129" s="326">
        <f t="shared" si="65"/>
        <v>0</v>
      </c>
      <c r="I129" s="326">
        <f t="shared" si="66"/>
        <v>0</v>
      </c>
      <c r="J129" s="326">
        <f t="shared" si="66"/>
        <v>0</v>
      </c>
      <c r="K129" s="326">
        <f t="shared" si="66"/>
        <v>0</v>
      </c>
      <c r="L129" s="326">
        <f t="shared" si="67"/>
        <v>0</v>
      </c>
      <c r="M129" s="326">
        <f t="shared" si="68"/>
        <v>0</v>
      </c>
      <c r="N129" s="326">
        <f t="shared" ref="N129:AB129" si="89">IF(ISERROR((N93-M94)/(POWER((1+N$45),$B129))),"NA",(N93-M94)/(POWER((1+N$45),$B129)))</f>
        <v>0</v>
      </c>
      <c r="O129" s="326">
        <f t="shared" si="89"/>
        <v>0</v>
      </c>
      <c r="P129" s="326">
        <f t="shared" si="89"/>
        <v>0</v>
      </c>
      <c r="Q129" s="326">
        <f t="shared" si="89"/>
        <v>0</v>
      </c>
      <c r="R129" s="326">
        <f t="shared" si="89"/>
        <v>0</v>
      </c>
      <c r="S129" s="326">
        <f t="shared" si="89"/>
        <v>0</v>
      </c>
      <c r="T129" s="326">
        <f t="shared" si="89"/>
        <v>0</v>
      </c>
      <c r="U129" s="326">
        <f t="shared" si="89"/>
        <v>0</v>
      </c>
      <c r="V129" s="326">
        <f t="shared" si="89"/>
        <v>0</v>
      </c>
      <c r="W129" s="326">
        <f t="shared" si="89"/>
        <v>0</v>
      </c>
      <c r="X129" s="326">
        <f t="shared" si="89"/>
        <v>0</v>
      </c>
      <c r="Y129" s="326">
        <f t="shared" si="89"/>
        <v>0</v>
      </c>
      <c r="Z129" s="326">
        <f t="shared" si="89"/>
        <v>0</v>
      </c>
      <c r="AA129" s="326">
        <f t="shared" si="89"/>
        <v>0</v>
      </c>
      <c r="AB129" s="326">
        <f t="shared" si="89"/>
        <v>0</v>
      </c>
      <c r="AC129" s="326">
        <f t="shared" si="70"/>
        <v>0</v>
      </c>
      <c r="AD129" s="326">
        <f t="shared" si="71"/>
        <v>0</v>
      </c>
      <c r="AE129" s="309"/>
      <c r="AF129" s="309"/>
      <c r="AG129" s="309"/>
      <c r="AH129" s="309"/>
    </row>
    <row r="130" spans="1:34" outlineLevel="1">
      <c r="A130" s="304"/>
      <c r="B130" s="185">
        <v>19</v>
      </c>
      <c r="C130" s="188" t="str">
        <f t="shared" si="72"/>
        <v>PV of Increase in forecast year 18 lease commitments</v>
      </c>
      <c r="D130" s="188"/>
      <c r="E130" s="188"/>
      <c r="F130" s="188"/>
      <c r="G130" s="188"/>
      <c r="H130" s="326">
        <f t="shared" si="65"/>
        <v>0</v>
      </c>
      <c r="I130" s="326">
        <f t="shared" si="66"/>
        <v>0</v>
      </c>
      <c r="J130" s="326">
        <f t="shared" si="66"/>
        <v>0</v>
      </c>
      <c r="K130" s="326">
        <f t="shared" si="66"/>
        <v>0</v>
      </c>
      <c r="L130" s="326">
        <f t="shared" si="67"/>
        <v>0</v>
      </c>
      <c r="M130" s="326">
        <f t="shared" si="68"/>
        <v>0</v>
      </c>
      <c r="N130" s="326">
        <f t="shared" ref="N130:AB130" si="90">IF(ISERROR((N94-M95)/(POWER((1+N$45),$B130))),"NA",(N94-M95)/(POWER((1+N$45),$B130)))</f>
        <v>0</v>
      </c>
      <c r="O130" s="326">
        <f t="shared" si="90"/>
        <v>0</v>
      </c>
      <c r="P130" s="326">
        <f t="shared" si="90"/>
        <v>0</v>
      </c>
      <c r="Q130" s="326">
        <f t="shared" si="90"/>
        <v>0</v>
      </c>
      <c r="R130" s="326">
        <f t="shared" si="90"/>
        <v>0</v>
      </c>
      <c r="S130" s="326">
        <f t="shared" si="90"/>
        <v>0</v>
      </c>
      <c r="T130" s="326">
        <f t="shared" si="90"/>
        <v>0</v>
      </c>
      <c r="U130" s="326">
        <f t="shared" si="90"/>
        <v>0</v>
      </c>
      <c r="V130" s="326">
        <f t="shared" si="90"/>
        <v>0</v>
      </c>
      <c r="W130" s="326">
        <f t="shared" si="90"/>
        <v>0</v>
      </c>
      <c r="X130" s="326">
        <f t="shared" si="90"/>
        <v>0</v>
      </c>
      <c r="Y130" s="326">
        <f t="shared" si="90"/>
        <v>0</v>
      </c>
      <c r="Z130" s="326">
        <f t="shared" si="90"/>
        <v>0</v>
      </c>
      <c r="AA130" s="326">
        <f t="shared" si="90"/>
        <v>0</v>
      </c>
      <c r="AB130" s="326">
        <f t="shared" si="90"/>
        <v>0</v>
      </c>
      <c r="AC130" s="326">
        <f t="shared" si="70"/>
        <v>0</v>
      </c>
      <c r="AD130" s="326">
        <f t="shared" si="71"/>
        <v>0</v>
      </c>
      <c r="AE130" s="309"/>
      <c r="AF130" s="309"/>
      <c r="AG130" s="309"/>
      <c r="AH130" s="309"/>
    </row>
    <row r="131" spans="1:34" outlineLevel="1">
      <c r="A131" s="304"/>
      <c r="B131" s="185">
        <f t="shared" ref="B131:B141" si="91">B130+1</f>
        <v>20</v>
      </c>
      <c r="C131" s="188" t="str">
        <f t="shared" si="72"/>
        <v>PV of Increase in forecast year 19 lease commitments</v>
      </c>
      <c r="D131" s="188"/>
      <c r="E131" s="188"/>
      <c r="F131" s="188"/>
      <c r="G131" s="188"/>
      <c r="H131" s="326">
        <f t="shared" si="65"/>
        <v>0</v>
      </c>
      <c r="I131" s="326">
        <f t="shared" si="66"/>
        <v>0</v>
      </c>
      <c r="J131" s="326">
        <f t="shared" si="66"/>
        <v>0</v>
      </c>
      <c r="K131" s="326">
        <f t="shared" si="66"/>
        <v>0</v>
      </c>
      <c r="L131" s="326">
        <f t="shared" si="67"/>
        <v>0</v>
      </c>
      <c r="M131" s="326">
        <f t="shared" si="68"/>
        <v>0</v>
      </c>
      <c r="N131" s="326">
        <f t="shared" ref="N131:AB131" si="92">IF(ISERROR((N95-M96)/(POWER((1+N$45),$B131))),"NA",(N95-M96)/(POWER((1+N$45),$B131)))</f>
        <v>0</v>
      </c>
      <c r="O131" s="326">
        <f t="shared" si="92"/>
        <v>0</v>
      </c>
      <c r="P131" s="326">
        <f t="shared" si="92"/>
        <v>0</v>
      </c>
      <c r="Q131" s="326">
        <f t="shared" si="92"/>
        <v>0</v>
      </c>
      <c r="R131" s="326">
        <f t="shared" si="92"/>
        <v>0</v>
      </c>
      <c r="S131" s="326">
        <f t="shared" si="92"/>
        <v>0</v>
      </c>
      <c r="T131" s="326">
        <f t="shared" si="92"/>
        <v>0</v>
      </c>
      <c r="U131" s="326">
        <f t="shared" si="92"/>
        <v>0</v>
      </c>
      <c r="V131" s="326">
        <f t="shared" si="92"/>
        <v>0</v>
      </c>
      <c r="W131" s="326">
        <f t="shared" si="92"/>
        <v>0</v>
      </c>
      <c r="X131" s="326">
        <f t="shared" si="92"/>
        <v>0</v>
      </c>
      <c r="Y131" s="326">
        <f t="shared" si="92"/>
        <v>0</v>
      </c>
      <c r="Z131" s="326">
        <f t="shared" si="92"/>
        <v>0</v>
      </c>
      <c r="AA131" s="326">
        <f t="shared" si="92"/>
        <v>0</v>
      </c>
      <c r="AB131" s="326">
        <f t="shared" si="92"/>
        <v>0</v>
      </c>
      <c r="AC131" s="326">
        <f t="shared" si="70"/>
        <v>0</v>
      </c>
      <c r="AD131" s="326">
        <f t="shared" si="71"/>
        <v>0</v>
      </c>
      <c r="AE131" s="309"/>
      <c r="AF131" s="309"/>
      <c r="AG131" s="309"/>
      <c r="AH131" s="309"/>
    </row>
    <row r="132" spans="1:34" outlineLevel="1">
      <c r="A132" s="304"/>
      <c r="B132" s="185">
        <f t="shared" si="91"/>
        <v>21</v>
      </c>
      <c r="C132" s="188" t="str">
        <f t="shared" si="72"/>
        <v>PV of Increase in forecast year 20 lease commitments</v>
      </c>
      <c r="D132" s="188"/>
      <c r="E132" s="188"/>
      <c r="F132" s="188"/>
      <c r="G132" s="188"/>
      <c r="H132" s="326">
        <f t="shared" si="65"/>
        <v>0</v>
      </c>
      <c r="I132" s="326">
        <f t="shared" si="66"/>
        <v>0</v>
      </c>
      <c r="J132" s="326">
        <f t="shared" si="66"/>
        <v>0</v>
      </c>
      <c r="K132" s="326">
        <f t="shared" si="66"/>
        <v>0</v>
      </c>
      <c r="L132" s="326">
        <f t="shared" si="67"/>
        <v>0</v>
      </c>
      <c r="M132" s="326">
        <f t="shared" si="68"/>
        <v>0</v>
      </c>
      <c r="N132" s="326">
        <f t="shared" ref="N132:AB132" si="93">IF(ISERROR((N96-M97)/(POWER((1+N$45),$B132))),"NA",(N96-M97)/(POWER((1+N$45),$B132)))</f>
        <v>0</v>
      </c>
      <c r="O132" s="326">
        <f t="shared" si="93"/>
        <v>0</v>
      </c>
      <c r="P132" s="326">
        <f t="shared" si="93"/>
        <v>0</v>
      </c>
      <c r="Q132" s="326">
        <f t="shared" si="93"/>
        <v>0</v>
      </c>
      <c r="R132" s="326">
        <f t="shared" si="93"/>
        <v>0</v>
      </c>
      <c r="S132" s="326">
        <f t="shared" si="93"/>
        <v>0</v>
      </c>
      <c r="T132" s="326">
        <f t="shared" si="93"/>
        <v>0</v>
      </c>
      <c r="U132" s="326">
        <f t="shared" si="93"/>
        <v>0</v>
      </c>
      <c r="V132" s="326">
        <f t="shared" si="93"/>
        <v>0</v>
      </c>
      <c r="W132" s="326">
        <f t="shared" si="93"/>
        <v>0</v>
      </c>
      <c r="X132" s="326">
        <f t="shared" si="93"/>
        <v>0</v>
      </c>
      <c r="Y132" s="326">
        <f t="shared" si="93"/>
        <v>0</v>
      </c>
      <c r="Z132" s="326">
        <f t="shared" si="93"/>
        <v>0</v>
      </c>
      <c r="AA132" s="326">
        <f t="shared" si="93"/>
        <v>0</v>
      </c>
      <c r="AB132" s="326">
        <f t="shared" si="93"/>
        <v>0</v>
      </c>
      <c r="AC132" s="326">
        <f t="shared" si="70"/>
        <v>0</v>
      </c>
      <c r="AD132" s="326">
        <f t="shared" si="71"/>
        <v>0</v>
      </c>
      <c r="AE132" s="309"/>
      <c r="AF132" s="309"/>
      <c r="AG132" s="309"/>
      <c r="AH132" s="309"/>
    </row>
    <row r="133" spans="1:34" outlineLevel="1">
      <c r="A133" s="304"/>
      <c r="B133" s="185">
        <f t="shared" si="91"/>
        <v>22</v>
      </c>
      <c r="C133" s="188" t="str">
        <f t="shared" si="72"/>
        <v>PV of Increase in forecast year 21 lease commitments</v>
      </c>
      <c r="D133" s="188"/>
      <c r="E133" s="188"/>
      <c r="F133" s="188"/>
      <c r="G133" s="188"/>
      <c r="H133" s="326">
        <f t="shared" si="65"/>
        <v>0</v>
      </c>
      <c r="I133" s="326">
        <f t="shared" si="66"/>
        <v>0</v>
      </c>
      <c r="J133" s="326">
        <f t="shared" si="66"/>
        <v>0</v>
      </c>
      <c r="K133" s="326">
        <f t="shared" si="66"/>
        <v>0</v>
      </c>
      <c r="L133" s="326">
        <f t="shared" si="67"/>
        <v>0</v>
      </c>
      <c r="M133" s="326">
        <f t="shared" si="68"/>
        <v>0</v>
      </c>
      <c r="N133" s="326">
        <f t="shared" ref="N133:AB133" si="94">IF(ISERROR((N97-M98)/(POWER((1+N$45),$B133))),"NA",(N97-M98)/(POWER((1+N$45),$B133)))</f>
        <v>0</v>
      </c>
      <c r="O133" s="326">
        <f t="shared" si="94"/>
        <v>0</v>
      </c>
      <c r="P133" s="326">
        <f t="shared" si="94"/>
        <v>0</v>
      </c>
      <c r="Q133" s="326">
        <f t="shared" si="94"/>
        <v>0</v>
      </c>
      <c r="R133" s="326">
        <f t="shared" si="94"/>
        <v>0</v>
      </c>
      <c r="S133" s="326">
        <f t="shared" si="94"/>
        <v>0</v>
      </c>
      <c r="T133" s="326">
        <f t="shared" si="94"/>
        <v>0</v>
      </c>
      <c r="U133" s="326">
        <f t="shared" si="94"/>
        <v>0</v>
      </c>
      <c r="V133" s="326">
        <f t="shared" si="94"/>
        <v>0</v>
      </c>
      <c r="W133" s="326">
        <f t="shared" si="94"/>
        <v>0</v>
      </c>
      <c r="X133" s="326">
        <f t="shared" si="94"/>
        <v>0</v>
      </c>
      <c r="Y133" s="326">
        <f t="shared" si="94"/>
        <v>0</v>
      </c>
      <c r="Z133" s="326">
        <f t="shared" si="94"/>
        <v>0</v>
      </c>
      <c r="AA133" s="326">
        <f t="shared" si="94"/>
        <v>0</v>
      </c>
      <c r="AB133" s="326">
        <f t="shared" si="94"/>
        <v>0</v>
      </c>
      <c r="AC133" s="326">
        <f t="shared" si="70"/>
        <v>0</v>
      </c>
      <c r="AD133" s="326">
        <f t="shared" si="71"/>
        <v>0</v>
      </c>
      <c r="AE133" s="309"/>
      <c r="AF133" s="309"/>
      <c r="AG133" s="309"/>
      <c r="AH133" s="309"/>
    </row>
    <row r="134" spans="1:34" outlineLevel="1">
      <c r="A134" s="304"/>
      <c r="B134" s="185">
        <f t="shared" si="91"/>
        <v>23</v>
      </c>
      <c r="C134" s="188" t="str">
        <f t="shared" si="72"/>
        <v>PV of Increase in forecast year 22 lease commitments</v>
      </c>
      <c r="D134" s="188"/>
      <c r="E134" s="188"/>
      <c r="F134" s="188"/>
      <c r="G134" s="188"/>
      <c r="H134" s="326">
        <f t="shared" si="65"/>
        <v>0</v>
      </c>
      <c r="I134" s="326">
        <f t="shared" si="66"/>
        <v>0</v>
      </c>
      <c r="J134" s="326">
        <f t="shared" si="66"/>
        <v>0</v>
      </c>
      <c r="K134" s="326">
        <f t="shared" si="66"/>
        <v>0</v>
      </c>
      <c r="L134" s="326">
        <f t="shared" si="67"/>
        <v>0</v>
      </c>
      <c r="M134" s="326">
        <f t="shared" si="68"/>
        <v>0</v>
      </c>
      <c r="N134" s="326">
        <f t="shared" ref="N134:AB134" si="95">IF(ISERROR((N98-M99)/(POWER((1+N$45),$B134))),"NA",(N98-M99)/(POWER((1+N$45),$B134)))</f>
        <v>0</v>
      </c>
      <c r="O134" s="326">
        <f t="shared" si="95"/>
        <v>0</v>
      </c>
      <c r="P134" s="326">
        <f t="shared" si="95"/>
        <v>0</v>
      </c>
      <c r="Q134" s="326">
        <f t="shared" si="95"/>
        <v>0</v>
      </c>
      <c r="R134" s="326">
        <f t="shared" si="95"/>
        <v>0</v>
      </c>
      <c r="S134" s="326">
        <f t="shared" si="95"/>
        <v>0</v>
      </c>
      <c r="T134" s="326">
        <f t="shared" si="95"/>
        <v>0</v>
      </c>
      <c r="U134" s="326">
        <f t="shared" si="95"/>
        <v>0</v>
      </c>
      <c r="V134" s="326">
        <f t="shared" si="95"/>
        <v>0</v>
      </c>
      <c r="W134" s="326">
        <f t="shared" si="95"/>
        <v>0</v>
      </c>
      <c r="X134" s="326">
        <f t="shared" si="95"/>
        <v>0</v>
      </c>
      <c r="Y134" s="326">
        <f t="shared" si="95"/>
        <v>0</v>
      </c>
      <c r="Z134" s="326">
        <f t="shared" si="95"/>
        <v>0</v>
      </c>
      <c r="AA134" s="326">
        <f t="shared" si="95"/>
        <v>0</v>
      </c>
      <c r="AB134" s="326">
        <f t="shared" si="95"/>
        <v>0</v>
      </c>
      <c r="AC134" s="326">
        <f t="shared" si="70"/>
        <v>0</v>
      </c>
      <c r="AD134" s="326">
        <f t="shared" si="71"/>
        <v>0</v>
      </c>
      <c r="AE134" s="309"/>
      <c r="AF134" s="309"/>
      <c r="AG134" s="309"/>
      <c r="AH134" s="309"/>
    </row>
    <row r="135" spans="1:34" outlineLevel="1">
      <c r="A135" s="304"/>
      <c r="B135" s="185">
        <f t="shared" si="91"/>
        <v>24</v>
      </c>
      <c r="C135" s="188" t="str">
        <f t="shared" si="72"/>
        <v>PV of Increase in forecast year 23 lease commitments</v>
      </c>
      <c r="D135" s="188"/>
      <c r="E135" s="188"/>
      <c r="F135" s="188"/>
      <c r="G135" s="188"/>
      <c r="H135" s="326">
        <f t="shared" si="65"/>
        <v>0</v>
      </c>
      <c r="I135" s="326">
        <f t="shared" si="66"/>
        <v>0</v>
      </c>
      <c r="J135" s="326">
        <f t="shared" si="66"/>
        <v>0</v>
      </c>
      <c r="K135" s="326">
        <f t="shared" si="66"/>
        <v>0</v>
      </c>
      <c r="L135" s="326">
        <f t="shared" si="67"/>
        <v>0</v>
      </c>
      <c r="M135" s="326">
        <f t="shared" si="68"/>
        <v>0</v>
      </c>
      <c r="N135" s="326">
        <f t="shared" ref="N135:AB135" si="96">IF(ISERROR((N99-M100)/(POWER((1+N$45),$B135))),"NA",(N99-M100)/(POWER((1+N$45),$B135)))</f>
        <v>0</v>
      </c>
      <c r="O135" s="326">
        <f t="shared" si="96"/>
        <v>0</v>
      </c>
      <c r="P135" s="326">
        <f t="shared" si="96"/>
        <v>0</v>
      </c>
      <c r="Q135" s="326">
        <f t="shared" si="96"/>
        <v>0</v>
      </c>
      <c r="R135" s="326">
        <f t="shared" si="96"/>
        <v>0</v>
      </c>
      <c r="S135" s="326">
        <f t="shared" si="96"/>
        <v>0</v>
      </c>
      <c r="T135" s="326">
        <f t="shared" si="96"/>
        <v>0</v>
      </c>
      <c r="U135" s="326">
        <f t="shared" si="96"/>
        <v>0</v>
      </c>
      <c r="V135" s="326">
        <f t="shared" si="96"/>
        <v>0</v>
      </c>
      <c r="W135" s="326">
        <f t="shared" si="96"/>
        <v>0</v>
      </c>
      <c r="X135" s="326">
        <f t="shared" si="96"/>
        <v>0</v>
      </c>
      <c r="Y135" s="326">
        <f t="shared" si="96"/>
        <v>0</v>
      </c>
      <c r="Z135" s="326">
        <f t="shared" si="96"/>
        <v>0</v>
      </c>
      <c r="AA135" s="326">
        <f t="shared" si="96"/>
        <v>0</v>
      </c>
      <c r="AB135" s="326">
        <f t="shared" si="96"/>
        <v>0</v>
      </c>
      <c r="AC135" s="326">
        <f t="shared" si="70"/>
        <v>0</v>
      </c>
      <c r="AD135" s="326">
        <f t="shared" si="71"/>
        <v>0</v>
      </c>
      <c r="AE135" s="309"/>
      <c r="AF135" s="309"/>
      <c r="AG135" s="309"/>
      <c r="AH135" s="309"/>
    </row>
    <row r="136" spans="1:34" outlineLevel="1">
      <c r="A136" s="304"/>
      <c r="B136" s="185">
        <f t="shared" si="91"/>
        <v>25</v>
      </c>
      <c r="C136" s="188" t="str">
        <f t="shared" si="72"/>
        <v>PV of Increase in forecast year 24 lease commitments</v>
      </c>
      <c r="D136" s="188"/>
      <c r="E136" s="188"/>
      <c r="F136" s="188"/>
      <c r="G136" s="188"/>
      <c r="H136" s="326">
        <f t="shared" si="65"/>
        <v>0</v>
      </c>
      <c r="I136" s="326">
        <f t="shared" si="66"/>
        <v>0</v>
      </c>
      <c r="J136" s="326">
        <f t="shared" si="66"/>
        <v>0</v>
      </c>
      <c r="K136" s="326">
        <f t="shared" si="66"/>
        <v>0</v>
      </c>
      <c r="L136" s="326">
        <f t="shared" si="67"/>
        <v>0</v>
      </c>
      <c r="M136" s="326">
        <f t="shared" si="68"/>
        <v>0</v>
      </c>
      <c r="N136" s="326">
        <f t="shared" ref="N136:AB136" si="97">IF(ISERROR((N100-M101)/(POWER((1+N$45),$B136))),"NA",(N100-M101)/(POWER((1+N$45),$B136)))</f>
        <v>0</v>
      </c>
      <c r="O136" s="326">
        <f t="shared" si="97"/>
        <v>0</v>
      </c>
      <c r="P136" s="326">
        <f t="shared" si="97"/>
        <v>0</v>
      </c>
      <c r="Q136" s="326">
        <f t="shared" si="97"/>
        <v>0</v>
      </c>
      <c r="R136" s="326">
        <f t="shared" si="97"/>
        <v>0</v>
      </c>
      <c r="S136" s="326">
        <f t="shared" si="97"/>
        <v>0</v>
      </c>
      <c r="T136" s="326">
        <f t="shared" si="97"/>
        <v>0</v>
      </c>
      <c r="U136" s="326">
        <f t="shared" si="97"/>
        <v>0</v>
      </c>
      <c r="V136" s="326">
        <f t="shared" si="97"/>
        <v>0</v>
      </c>
      <c r="W136" s="326">
        <f t="shared" si="97"/>
        <v>0</v>
      </c>
      <c r="X136" s="326">
        <f t="shared" si="97"/>
        <v>0</v>
      </c>
      <c r="Y136" s="326">
        <f t="shared" si="97"/>
        <v>0</v>
      </c>
      <c r="Z136" s="326">
        <f t="shared" si="97"/>
        <v>0</v>
      </c>
      <c r="AA136" s="326">
        <f t="shared" si="97"/>
        <v>0</v>
      </c>
      <c r="AB136" s="326">
        <f t="shared" si="97"/>
        <v>0</v>
      </c>
      <c r="AC136" s="326">
        <f t="shared" si="70"/>
        <v>0</v>
      </c>
      <c r="AD136" s="326">
        <f t="shared" si="71"/>
        <v>0</v>
      </c>
      <c r="AE136" s="309"/>
      <c r="AF136" s="309"/>
      <c r="AG136" s="309"/>
      <c r="AH136" s="309"/>
    </row>
    <row r="137" spans="1:34" outlineLevel="1">
      <c r="A137" s="304"/>
      <c r="B137" s="185">
        <f t="shared" si="91"/>
        <v>26</v>
      </c>
      <c r="C137" s="188" t="str">
        <f t="shared" si="72"/>
        <v>PV of Increase in forecast year 25 lease commitments</v>
      </c>
      <c r="D137" s="188"/>
      <c r="E137" s="188"/>
      <c r="F137" s="188"/>
      <c r="G137" s="188"/>
      <c r="H137" s="326">
        <f t="shared" si="65"/>
        <v>0</v>
      </c>
      <c r="I137" s="326">
        <f t="shared" si="66"/>
        <v>0</v>
      </c>
      <c r="J137" s="326">
        <f t="shared" si="66"/>
        <v>0</v>
      </c>
      <c r="K137" s="326">
        <f t="shared" si="66"/>
        <v>0</v>
      </c>
      <c r="L137" s="326">
        <f t="shared" si="67"/>
        <v>0</v>
      </c>
      <c r="M137" s="326">
        <f t="shared" si="68"/>
        <v>0</v>
      </c>
      <c r="N137" s="326">
        <f t="shared" ref="N137:AB137" si="98">IF(ISERROR((N101-M102)/(POWER((1+N$45),$B137))),"NA",(N101-M102)/(POWER((1+N$45),$B137)))</f>
        <v>0</v>
      </c>
      <c r="O137" s="326">
        <f t="shared" si="98"/>
        <v>0</v>
      </c>
      <c r="P137" s="326">
        <f t="shared" si="98"/>
        <v>0</v>
      </c>
      <c r="Q137" s="326">
        <f t="shared" si="98"/>
        <v>0</v>
      </c>
      <c r="R137" s="326">
        <f t="shared" si="98"/>
        <v>0</v>
      </c>
      <c r="S137" s="326">
        <f t="shared" si="98"/>
        <v>0</v>
      </c>
      <c r="T137" s="326">
        <f t="shared" si="98"/>
        <v>0</v>
      </c>
      <c r="U137" s="326">
        <f t="shared" si="98"/>
        <v>0</v>
      </c>
      <c r="V137" s="326">
        <f t="shared" si="98"/>
        <v>0</v>
      </c>
      <c r="W137" s="326">
        <f t="shared" si="98"/>
        <v>0</v>
      </c>
      <c r="X137" s="326">
        <f t="shared" si="98"/>
        <v>0</v>
      </c>
      <c r="Y137" s="326">
        <f t="shared" si="98"/>
        <v>0</v>
      </c>
      <c r="Z137" s="326">
        <f t="shared" si="98"/>
        <v>0</v>
      </c>
      <c r="AA137" s="326">
        <f t="shared" si="98"/>
        <v>0</v>
      </c>
      <c r="AB137" s="326">
        <f t="shared" si="98"/>
        <v>0</v>
      </c>
      <c r="AC137" s="326">
        <f t="shared" si="70"/>
        <v>0</v>
      </c>
      <c r="AD137" s="326">
        <f t="shared" si="71"/>
        <v>0</v>
      </c>
      <c r="AE137" s="309"/>
      <c r="AF137" s="309"/>
      <c r="AG137" s="309"/>
      <c r="AH137" s="309"/>
    </row>
    <row r="138" spans="1:34" outlineLevel="1">
      <c r="A138" s="304"/>
      <c r="B138" s="185">
        <f t="shared" si="91"/>
        <v>27</v>
      </c>
      <c r="C138" s="188" t="str">
        <f t="shared" si="72"/>
        <v>PV of Increase in forecast year 26 lease commitments</v>
      </c>
      <c r="D138" s="188"/>
      <c r="E138" s="188"/>
      <c r="F138" s="188"/>
      <c r="G138" s="188"/>
      <c r="H138" s="326">
        <f t="shared" si="65"/>
        <v>0</v>
      </c>
      <c r="I138" s="326">
        <f t="shared" si="66"/>
        <v>0</v>
      </c>
      <c r="J138" s="326">
        <f t="shared" si="66"/>
        <v>0</v>
      </c>
      <c r="K138" s="326">
        <f t="shared" si="66"/>
        <v>0</v>
      </c>
      <c r="L138" s="326">
        <f t="shared" si="67"/>
        <v>0</v>
      </c>
      <c r="M138" s="326">
        <f t="shared" si="68"/>
        <v>0</v>
      </c>
      <c r="N138" s="326">
        <f t="shared" ref="N138:AB138" si="99">IF(ISERROR((N102-M103)/(POWER((1+N$45),$B138))),"NA",(N102-M103)/(POWER((1+N$45),$B138)))</f>
        <v>0</v>
      </c>
      <c r="O138" s="326">
        <f t="shared" si="99"/>
        <v>0</v>
      </c>
      <c r="P138" s="326">
        <f t="shared" si="99"/>
        <v>0</v>
      </c>
      <c r="Q138" s="326">
        <f t="shared" si="99"/>
        <v>0</v>
      </c>
      <c r="R138" s="326">
        <f t="shared" si="99"/>
        <v>0</v>
      </c>
      <c r="S138" s="326">
        <f t="shared" si="99"/>
        <v>0</v>
      </c>
      <c r="T138" s="326">
        <f t="shared" si="99"/>
        <v>0</v>
      </c>
      <c r="U138" s="326">
        <f t="shared" si="99"/>
        <v>0</v>
      </c>
      <c r="V138" s="326">
        <f t="shared" si="99"/>
        <v>0</v>
      </c>
      <c r="W138" s="326">
        <f t="shared" si="99"/>
        <v>0</v>
      </c>
      <c r="X138" s="326">
        <f t="shared" si="99"/>
        <v>0</v>
      </c>
      <c r="Y138" s="326">
        <f t="shared" si="99"/>
        <v>0</v>
      </c>
      <c r="Z138" s="326">
        <f t="shared" si="99"/>
        <v>0</v>
      </c>
      <c r="AA138" s="326">
        <f t="shared" si="99"/>
        <v>0</v>
      </c>
      <c r="AB138" s="326">
        <f t="shared" si="99"/>
        <v>0</v>
      </c>
      <c r="AC138" s="326">
        <f t="shared" si="70"/>
        <v>0</v>
      </c>
      <c r="AD138" s="326">
        <f t="shared" si="71"/>
        <v>0</v>
      </c>
      <c r="AE138" s="309"/>
      <c r="AF138" s="309"/>
      <c r="AG138" s="309"/>
      <c r="AH138" s="309"/>
    </row>
    <row r="139" spans="1:34" outlineLevel="1">
      <c r="A139" s="304"/>
      <c r="B139" s="185">
        <f t="shared" si="91"/>
        <v>28</v>
      </c>
      <c r="C139" s="188" t="str">
        <f t="shared" si="72"/>
        <v>PV of Increase in forecast year 27 lease commitments</v>
      </c>
      <c r="D139" s="188"/>
      <c r="E139" s="188"/>
      <c r="F139" s="188"/>
      <c r="G139" s="188"/>
      <c r="H139" s="326">
        <f t="shared" si="65"/>
        <v>0</v>
      </c>
      <c r="I139" s="326">
        <f t="shared" si="66"/>
        <v>0</v>
      </c>
      <c r="J139" s="326">
        <f t="shared" si="66"/>
        <v>0</v>
      </c>
      <c r="K139" s="326">
        <f t="shared" si="66"/>
        <v>0</v>
      </c>
      <c r="L139" s="326">
        <f t="shared" si="67"/>
        <v>0</v>
      </c>
      <c r="M139" s="326">
        <f t="shared" si="68"/>
        <v>0</v>
      </c>
      <c r="N139" s="326">
        <f t="shared" ref="N139:AB139" si="100">IF(ISERROR((N103-M104)/(POWER((1+N$45),$B139))),"NA",(N103-M104)/(POWER((1+N$45),$B139)))</f>
        <v>0</v>
      </c>
      <c r="O139" s="326">
        <f t="shared" si="100"/>
        <v>0</v>
      </c>
      <c r="P139" s="326">
        <f t="shared" si="100"/>
        <v>0</v>
      </c>
      <c r="Q139" s="326">
        <f t="shared" si="100"/>
        <v>0</v>
      </c>
      <c r="R139" s="326">
        <f t="shared" si="100"/>
        <v>0</v>
      </c>
      <c r="S139" s="326">
        <f t="shared" si="100"/>
        <v>0</v>
      </c>
      <c r="T139" s="326">
        <f t="shared" si="100"/>
        <v>0</v>
      </c>
      <c r="U139" s="326">
        <f t="shared" si="100"/>
        <v>0</v>
      </c>
      <c r="V139" s="326">
        <f t="shared" si="100"/>
        <v>0</v>
      </c>
      <c r="W139" s="326">
        <f t="shared" si="100"/>
        <v>0</v>
      </c>
      <c r="X139" s="326">
        <f t="shared" si="100"/>
        <v>0</v>
      </c>
      <c r="Y139" s="326">
        <f t="shared" si="100"/>
        <v>0</v>
      </c>
      <c r="Z139" s="326">
        <f t="shared" si="100"/>
        <v>0</v>
      </c>
      <c r="AA139" s="326">
        <f t="shared" si="100"/>
        <v>0</v>
      </c>
      <c r="AB139" s="326">
        <f t="shared" si="100"/>
        <v>0</v>
      </c>
      <c r="AC139" s="326">
        <f t="shared" si="70"/>
        <v>0</v>
      </c>
      <c r="AD139" s="326">
        <f t="shared" si="71"/>
        <v>0</v>
      </c>
      <c r="AE139" s="309"/>
      <c r="AF139" s="309"/>
      <c r="AG139" s="309"/>
      <c r="AH139" s="309"/>
    </row>
    <row r="140" spans="1:34" outlineLevel="1">
      <c r="A140" s="304"/>
      <c r="B140" s="185">
        <f t="shared" si="91"/>
        <v>29</v>
      </c>
      <c r="C140" s="188" t="str">
        <f t="shared" si="72"/>
        <v>PV of Increase in forecast year 28 lease commitments</v>
      </c>
      <c r="D140" s="188"/>
      <c r="E140" s="188"/>
      <c r="F140" s="188"/>
      <c r="G140" s="188"/>
      <c r="H140" s="326">
        <f t="shared" si="65"/>
        <v>0</v>
      </c>
      <c r="I140" s="326">
        <f t="shared" si="66"/>
        <v>0</v>
      </c>
      <c r="J140" s="326">
        <f t="shared" si="66"/>
        <v>0</v>
      </c>
      <c r="K140" s="326">
        <f t="shared" si="66"/>
        <v>0</v>
      </c>
      <c r="L140" s="326">
        <f t="shared" si="67"/>
        <v>0</v>
      </c>
      <c r="M140" s="326">
        <f t="shared" si="68"/>
        <v>0</v>
      </c>
      <c r="N140" s="326">
        <f t="shared" ref="N140:AB140" si="101">IF(ISERROR((N104-M105)/(POWER((1+N$45),$B140))),"NA",(N104-M105)/(POWER((1+N$45),$B140)))</f>
        <v>0</v>
      </c>
      <c r="O140" s="326">
        <f t="shared" si="101"/>
        <v>0</v>
      </c>
      <c r="P140" s="326">
        <f t="shared" si="101"/>
        <v>0</v>
      </c>
      <c r="Q140" s="326">
        <f t="shared" si="101"/>
        <v>0</v>
      </c>
      <c r="R140" s="326">
        <f t="shared" si="101"/>
        <v>0</v>
      </c>
      <c r="S140" s="326">
        <f t="shared" si="101"/>
        <v>0</v>
      </c>
      <c r="T140" s="326">
        <f t="shared" si="101"/>
        <v>0</v>
      </c>
      <c r="U140" s="326">
        <f t="shared" si="101"/>
        <v>0</v>
      </c>
      <c r="V140" s="326">
        <f t="shared" si="101"/>
        <v>0</v>
      </c>
      <c r="W140" s="326">
        <f t="shared" si="101"/>
        <v>0</v>
      </c>
      <c r="X140" s="326">
        <f t="shared" si="101"/>
        <v>0</v>
      </c>
      <c r="Y140" s="326">
        <f t="shared" si="101"/>
        <v>0</v>
      </c>
      <c r="Z140" s="326">
        <f t="shared" si="101"/>
        <v>0</v>
      </c>
      <c r="AA140" s="326">
        <f t="shared" si="101"/>
        <v>0</v>
      </c>
      <c r="AB140" s="326">
        <f t="shared" si="101"/>
        <v>0</v>
      </c>
      <c r="AC140" s="326">
        <f t="shared" si="70"/>
        <v>0</v>
      </c>
      <c r="AD140" s="326">
        <f t="shared" si="71"/>
        <v>0</v>
      </c>
      <c r="AE140" s="309"/>
      <c r="AF140" s="309"/>
      <c r="AG140" s="309"/>
      <c r="AH140" s="309"/>
    </row>
    <row r="141" spans="1:34" outlineLevel="1">
      <c r="A141" s="304"/>
      <c r="B141" s="185">
        <f t="shared" si="91"/>
        <v>30</v>
      </c>
      <c r="C141" s="188" t="str">
        <f t="shared" si="72"/>
        <v>PV of Increase in forecast year 29 lease commitments</v>
      </c>
      <c r="D141" s="188"/>
      <c r="E141" s="188"/>
      <c r="F141" s="188"/>
      <c r="G141" s="188"/>
      <c r="H141" s="326">
        <f t="shared" si="65"/>
        <v>0</v>
      </c>
      <c r="I141" s="326">
        <f t="shared" si="66"/>
        <v>0</v>
      </c>
      <c r="J141" s="326">
        <f t="shared" si="66"/>
        <v>0</v>
      </c>
      <c r="K141" s="326">
        <f t="shared" si="66"/>
        <v>0</v>
      </c>
      <c r="L141" s="326">
        <f t="shared" si="67"/>
        <v>0</v>
      </c>
      <c r="M141" s="326">
        <f t="shared" si="68"/>
        <v>0</v>
      </c>
      <c r="N141" s="326">
        <f t="shared" ref="N141:AB141" si="102">IF(ISERROR((N105-M106)/(POWER((1+N$45),$B141))),"NA",(N105-M106)/(POWER((1+N$45),$B141)))</f>
        <v>0</v>
      </c>
      <c r="O141" s="326">
        <f t="shared" si="102"/>
        <v>0</v>
      </c>
      <c r="P141" s="326">
        <f t="shared" si="102"/>
        <v>0</v>
      </c>
      <c r="Q141" s="326">
        <f t="shared" si="102"/>
        <v>0</v>
      </c>
      <c r="R141" s="326">
        <f t="shared" si="102"/>
        <v>0</v>
      </c>
      <c r="S141" s="326">
        <f t="shared" si="102"/>
        <v>0</v>
      </c>
      <c r="T141" s="326">
        <f t="shared" si="102"/>
        <v>0</v>
      </c>
      <c r="U141" s="326">
        <f t="shared" si="102"/>
        <v>0</v>
      </c>
      <c r="V141" s="326">
        <f t="shared" si="102"/>
        <v>0</v>
      </c>
      <c r="W141" s="326">
        <f t="shared" si="102"/>
        <v>0</v>
      </c>
      <c r="X141" s="326">
        <f t="shared" si="102"/>
        <v>0</v>
      </c>
      <c r="Y141" s="326">
        <f t="shared" si="102"/>
        <v>0</v>
      </c>
      <c r="Z141" s="326">
        <f t="shared" si="102"/>
        <v>0</v>
      </c>
      <c r="AA141" s="326">
        <f t="shared" si="102"/>
        <v>0</v>
      </c>
      <c r="AB141" s="326">
        <f t="shared" si="102"/>
        <v>0</v>
      </c>
      <c r="AC141" s="326">
        <f t="shared" si="70"/>
        <v>0</v>
      </c>
      <c r="AD141" s="326">
        <f t="shared" si="71"/>
        <v>0</v>
      </c>
      <c r="AE141" s="309"/>
      <c r="AF141" s="309"/>
      <c r="AG141" s="309"/>
      <c r="AH141" s="309"/>
    </row>
    <row r="142" spans="1:34" outlineLevel="1">
      <c r="A142" s="304"/>
      <c r="B142" s="329"/>
      <c r="C142" s="188"/>
      <c r="D142" s="188"/>
      <c r="E142" s="188"/>
      <c r="F142" s="188"/>
      <c r="G142" s="188"/>
      <c r="H142" s="212"/>
      <c r="I142" s="212"/>
      <c r="J142" s="295"/>
      <c r="K142" s="295"/>
      <c r="L142" s="295"/>
      <c r="M142" s="295"/>
      <c r="N142" s="295"/>
      <c r="O142" s="295"/>
      <c r="P142" s="295"/>
      <c r="Q142" s="295"/>
      <c r="R142" s="295"/>
      <c r="S142" s="295"/>
      <c r="T142" s="295"/>
      <c r="U142" s="295"/>
      <c r="V142" s="295"/>
      <c r="W142" s="295"/>
      <c r="X142" s="295"/>
      <c r="Y142" s="295"/>
      <c r="Z142" s="295"/>
      <c r="AA142" s="295"/>
      <c r="AB142" s="295"/>
      <c r="AC142" s="295"/>
      <c r="AD142" s="295"/>
      <c r="AE142" s="309"/>
      <c r="AF142" s="309"/>
      <c r="AG142" s="309"/>
      <c r="AH142" s="309"/>
    </row>
    <row r="143" spans="1:34" outlineLevel="1">
      <c r="A143" s="317"/>
      <c r="B143" s="190"/>
      <c r="C143" s="188" t="s">
        <v>83</v>
      </c>
      <c r="D143" s="188"/>
      <c r="E143" s="188"/>
      <c r="F143" s="188"/>
      <c r="G143" s="188"/>
      <c r="H143" s="212">
        <f t="shared" ref="H143:Z143" si="103">SUM(H112:H142)</f>
        <v>2284.9063420054831</v>
      </c>
      <c r="I143" s="212">
        <f t="shared" si="103"/>
        <v>560.0352518846255</v>
      </c>
      <c r="J143" s="295">
        <f t="shared" si="103"/>
        <v>656.11469334905087</v>
      </c>
      <c r="K143" s="295">
        <f t="shared" si="103"/>
        <v>707.5457595473531</v>
      </c>
      <c r="L143" s="295">
        <f t="shared" si="103"/>
        <v>1127.6736893127311</v>
      </c>
      <c r="M143" s="295">
        <f t="shared" si="103"/>
        <v>1273.7103228418798</v>
      </c>
      <c r="N143" s="295">
        <f t="shared" si="103"/>
        <v>695.0028000700172</v>
      </c>
      <c r="O143" s="295">
        <f t="shared" si="103"/>
        <v>462.35119511941798</v>
      </c>
      <c r="P143" s="295">
        <f t="shared" si="103"/>
        <v>1012.6401805245683</v>
      </c>
      <c r="Q143" s="295">
        <f t="shared" si="103"/>
        <v>244.22313374452699</v>
      </c>
      <c r="R143" s="295">
        <f t="shared" si="103"/>
        <v>1171.8906094528927</v>
      </c>
      <c r="S143" s="295">
        <f t="shared" si="103"/>
        <v>1568.8501780739671</v>
      </c>
      <c r="T143" s="295">
        <f t="shared" si="103"/>
        <v>837.85786069576386</v>
      </c>
      <c r="U143" s="295">
        <f t="shared" si="103"/>
        <v>489.42795851385375</v>
      </c>
      <c r="V143" s="295">
        <f t="shared" si="103"/>
        <v>1288.3254011582801</v>
      </c>
      <c r="W143" s="295">
        <f t="shared" si="103"/>
        <v>1389.8729650064834</v>
      </c>
      <c r="X143" s="295">
        <f t="shared" si="103"/>
        <v>1147.034883996947</v>
      </c>
      <c r="Y143" s="295">
        <f t="shared" si="103"/>
        <v>1181.4459305168557</v>
      </c>
      <c r="Z143" s="295">
        <f t="shared" si="103"/>
        <v>1216.8893084323615</v>
      </c>
      <c r="AA143" s="295">
        <f>SUM(AA112:AA142)</f>
        <v>1253.3959876853323</v>
      </c>
      <c r="AB143" s="295">
        <f>SUM(AB112:AB142)</f>
        <v>1290.9978673158921</v>
      </c>
      <c r="AC143" s="295">
        <f>SUM(AC112:AC142)</f>
        <v>1329.7278033353689</v>
      </c>
      <c r="AD143" s="295">
        <f>SUM(AD112:AD142)</f>
        <v>1369.6196374354299</v>
      </c>
      <c r="AE143" s="319"/>
      <c r="AF143" s="319"/>
      <c r="AG143" s="319"/>
      <c r="AH143" s="319"/>
    </row>
    <row r="144" spans="1:34">
      <c r="A144" s="184"/>
      <c r="B144" s="185"/>
      <c r="C144" s="330"/>
      <c r="D144" s="330"/>
      <c r="E144" s="330"/>
      <c r="F144" s="330"/>
      <c r="G144" s="330"/>
      <c r="H144" s="252"/>
      <c r="I144" s="252"/>
      <c r="J144" s="252"/>
      <c r="K144" s="252"/>
      <c r="L144" s="252"/>
      <c r="M144" s="252"/>
      <c r="N144" s="252"/>
      <c r="O144" s="252"/>
      <c r="P144" s="252"/>
      <c r="Q144" s="252"/>
      <c r="R144" s="252"/>
      <c r="S144" s="252"/>
      <c r="T144" s="252"/>
      <c r="U144" s="252"/>
      <c r="V144" s="252"/>
      <c r="W144" s="252"/>
      <c r="X144" s="252"/>
      <c r="Y144" s="252"/>
      <c r="Z144" s="252"/>
      <c r="AA144" s="252"/>
      <c r="AB144" s="252"/>
      <c r="AC144" s="252"/>
      <c r="AD144" s="252"/>
      <c r="AE144" s="177"/>
      <c r="AF144" s="177"/>
      <c r="AG144" s="177"/>
      <c r="AH144" s="177"/>
    </row>
    <row r="145" spans="1:34">
      <c r="A145" s="184"/>
      <c r="B145" s="185"/>
      <c r="C145" s="188"/>
      <c r="D145" s="188"/>
      <c r="E145" s="188"/>
      <c r="F145" s="188"/>
      <c r="G145" s="188"/>
      <c r="H145" s="252"/>
      <c r="I145" s="252"/>
      <c r="J145" s="331"/>
      <c r="K145" s="252"/>
      <c r="L145" s="252"/>
      <c r="M145" s="252"/>
      <c r="N145" s="252"/>
      <c r="O145" s="252"/>
      <c r="P145" s="252"/>
      <c r="Q145" s="252"/>
      <c r="R145" s="252"/>
      <c r="S145" s="252"/>
      <c r="T145" s="252"/>
      <c r="U145" s="252"/>
      <c r="V145" s="252"/>
      <c r="W145" s="252"/>
      <c r="X145" s="252"/>
      <c r="Y145" s="252"/>
      <c r="Z145" s="252"/>
      <c r="AA145" s="252"/>
      <c r="AB145" s="252"/>
      <c r="AC145" s="252"/>
      <c r="AD145" s="252"/>
      <c r="AE145" s="177"/>
      <c r="AF145" s="177"/>
      <c r="AG145" s="177"/>
      <c r="AH145" s="177"/>
    </row>
    <row r="146" spans="1:34">
      <c r="A146" s="184"/>
      <c r="B146" s="185"/>
      <c r="C146" s="188"/>
      <c r="D146" s="188"/>
      <c r="E146" s="188"/>
      <c r="F146" s="188"/>
      <c r="G146" s="188"/>
      <c r="H146" s="252"/>
      <c r="I146" s="252"/>
      <c r="J146" s="252"/>
      <c r="K146" s="252"/>
      <c r="L146" s="252"/>
      <c r="M146" s="252"/>
      <c r="N146" s="252"/>
      <c r="O146" s="252"/>
      <c r="P146" s="252"/>
      <c r="Q146" s="252"/>
      <c r="R146" s="252"/>
      <c r="S146" s="252"/>
      <c r="T146" s="194"/>
      <c r="U146" s="194"/>
      <c r="V146" s="194"/>
      <c r="W146" s="194"/>
      <c r="X146" s="194"/>
      <c r="Y146" s="194"/>
      <c r="Z146" s="194"/>
      <c r="AA146" s="194"/>
      <c r="AB146" s="194"/>
      <c r="AC146" s="194"/>
      <c r="AD146" s="194"/>
      <c r="AE146" s="177"/>
      <c r="AF146" s="177"/>
      <c r="AG146" s="177"/>
      <c r="AH146" s="177"/>
    </row>
    <row r="147" spans="1:34" ht="12.75" customHeight="1" outlineLevel="1">
      <c r="A147" s="184"/>
      <c r="B147" s="185"/>
      <c r="C147" s="254" t="s">
        <v>84</v>
      </c>
      <c r="D147" s="254"/>
      <c r="E147" s="254"/>
      <c r="F147" s="254"/>
      <c r="G147" s="254"/>
      <c r="H147" s="301" t="str">
        <f t="shared" ref="H147:X147" si="104">H110</f>
        <v>01/2000</v>
      </c>
      <c r="I147" s="301" t="str">
        <f t="shared" si="104"/>
        <v>01/2001</v>
      </c>
      <c r="J147" s="301" t="str">
        <f t="shared" si="104"/>
        <v>01/2002</v>
      </c>
      <c r="K147" s="301" t="str">
        <f t="shared" si="104"/>
        <v>01/2003</v>
      </c>
      <c r="L147" s="301" t="str">
        <f t="shared" si="104"/>
        <v>01/2004</v>
      </c>
      <c r="M147" s="301" t="str">
        <f t="shared" si="104"/>
        <v>01/2005</v>
      </c>
      <c r="N147" s="301" t="str">
        <f t="shared" si="104"/>
        <v>01/2006</v>
      </c>
      <c r="O147" s="301" t="str">
        <f t="shared" si="104"/>
        <v>01/2007</v>
      </c>
      <c r="P147" s="301" t="str">
        <f t="shared" si="104"/>
        <v>01/2008</v>
      </c>
      <c r="Q147" s="301" t="str">
        <f t="shared" si="104"/>
        <v>01/2009</v>
      </c>
      <c r="R147" s="301" t="str">
        <f t="shared" si="104"/>
        <v>01/2010</v>
      </c>
      <c r="S147" s="301" t="str">
        <f t="shared" si="104"/>
        <v>01/2011</v>
      </c>
      <c r="T147" s="301" t="str">
        <f t="shared" si="104"/>
        <v>01/2012</v>
      </c>
      <c r="U147" s="301" t="str">
        <f t="shared" si="104"/>
        <v>01/2013</v>
      </c>
      <c r="V147" s="301" t="str">
        <f t="shared" si="104"/>
        <v>01/2014</v>
      </c>
      <c r="W147" s="301" t="str">
        <f t="shared" si="104"/>
        <v>01/2015</v>
      </c>
      <c r="X147" s="301" t="str">
        <f t="shared" si="104"/>
        <v>01/2016</v>
      </c>
      <c r="Y147" s="301" t="str">
        <f t="shared" ref="Y147:AD147" si="105">Y110</f>
        <v>01/2017</v>
      </c>
      <c r="Z147" s="301" t="str">
        <f t="shared" si="105"/>
        <v>01/2018</v>
      </c>
      <c r="AA147" s="301" t="str">
        <f t="shared" si="105"/>
        <v>01/2019</v>
      </c>
      <c r="AB147" s="301" t="str">
        <f t="shared" si="105"/>
        <v>01/2020</v>
      </c>
      <c r="AC147" s="301" t="str">
        <f t="shared" si="105"/>
        <v>01/2021</v>
      </c>
      <c r="AD147" s="301" t="str">
        <f t="shared" si="105"/>
        <v>01/2022</v>
      </c>
      <c r="AE147" s="177"/>
      <c r="AF147" s="177"/>
      <c r="AG147" s="177"/>
      <c r="AH147" s="177"/>
    </row>
    <row r="148" spans="1:34" ht="11.25" customHeight="1" outlineLevel="1">
      <c r="A148" s="184"/>
      <c r="B148" s="185"/>
      <c r="C148" s="188"/>
      <c r="D148" s="188"/>
      <c r="E148" s="188"/>
      <c r="F148" s="188"/>
      <c r="G148" s="188"/>
      <c r="H148" s="227"/>
      <c r="I148" s="227"/>
      <c r="J148" s="227"/>
      <c r="K148" s="227"/>
      <c r="L148" s="218"/>
      <c r="M148" s="227"/>
      <c r="N148" s="227"/>
      <c r="O148" s="227"/>
      <c r="P148" s="228"/>
      <c r="Q148" s="228"/>
      <c r="R148" s="228"/>
      <c r="S148" s="228"/>
      <c r="T148" s="228"/>
      <c r="U148" s="228"/>
      <c r="V148" s="228"/>
      <c r="W148" s="228"/>
      <c r="X148" s="228"/>
      <c r="Y148" s="228"/>
      <c r="Z148" s="228"/>
      <c r="AA148" s="228"/>
      <c r="AB148" s="228"/>
      <c r="AC148" s="228"/>
      <c r="AD148" s="228"/>
      <c r="AE148" s="177"/>
      <c r="AF148" s="177"/>
      <c r="AG148" s="177"/>
      <c r="AH148" s="177"/>
    </row>
    <row r="149" spans="1:34" ht="11.25" customHeight="1" outlineLevel="1">
      <c r="A149" s="332"/>
      <c r="B149" s="333"/>
      <c r="C149" s="261" t="s">
        <v>85</v>
      </c>
      <c r="D149" s="261"/>
      <c r="E149" s="261"/>
      <c r="F149" s="261"/>
      <c r="G149" s="261"/>
      <c r="H149" s="334">
        <f t="shared" ref="H149:O149" si="106">H70</f>
        <v>10</v>
      </c>
      <c r="I149" s="335">
        <f t="shared" si="106"/>
        <v>10</v>
      </c>
      <c r="J149" s="335">
        <f t="shared" si="106"/>
        <v>10</v>
      </c>
      <c r="K149" s="335">
        <f t="shared" si="106"/>
        <v>10</v>
      </c>
      <c r="L149" s="335">
        <f t="shared" si="106"/>
        <v>10</v>
      </c>
      <c r="M149" s="335">
        <f t="shared" si="106"/>
        <v>10</v>
      </c>
      <c r="N149" s="335">
        <f t="shared" si="106"/>
        <v>10</v>
      </c>
      <c r="O149" s="335">
        <f t="shared" si="106"/>
        <v>10</v>
      </c>
      <c r="P149" s="335">
        <f t="shared" ref="P149:X149" si="107">O149</f>
        <v>10</v>
      </c>
      <c r="Q149" s="335">
        <f t="shared" si="107"/>
        <v>10</v>
      </c>
      <c r="R149" s="335">
        <f t="shared" si="107"/>
        <v>10</v>
      </c>
      <c r="S149" s="335">
        <f t="shared" si="107"/>
        <v>10</v>
      </c>
      <c r="T149" s="335">
        <f t="shared" si="107"/>
        <v>10</v>
      </c>
      <c r="U149" s="335">
        <f t="shared" si="107"/>
        <v>10</v>
      </c>
      <c r="V149" s="335">
        <f t="shared" si="107"/>
        <v>10</v>
      </c>
      <c r="W149" s="335">
        <f t="shared" si="107"/>
        <v>10</v>
      </c>
      <c r="X149" s="335">
        <f t="shared" si="107"/>
        <v>10</v>
      </c>
      <c r="Y149" s="335">
        <f t="shared" ref="Y149:AD149" si="108">X149</f>
        <v>10</v>
      </c>
      <c r="Z149" s="335">
        <f t="shared" si="108"/>
        <v>10</v>
      </c>
      <c r="AA149" s="335">
        <f t="shared" si="108"/>
        <v>10</v>
      </c>
      <c r="AB149" s="335">
        <f t="shared" si="108"/>
        <v>10</v>
      </c>
      <c r="AC149" s="335">
        <f t="shared" si="108"/>
        <v>10</v>
      </c>
      <c r="AD149" s="335">
        <f t="shared" si="108"/>
        <v>10</v>
      </c>
      <c r="AE149" s="333"/>
      <c r="AF149" s="333"/>
      <c r="AG149" s="333"/>
      <c r="AH149" s="333"/>
    </row>
    <row r="150" spans="1:34" ht="11.25" customHeight="1" outlineLevel="1">
      <c r="A150" s="178"/>
      <c r="B150" s="183"/>
      <c r="C150" s="261" t="s">
        <v>86</v>
      </c>
      <c r="D150" s="217"/>
      <c r="E150" s="217"/>
      <c r="F150" s="217"/>
      <c r="G150" s="217"/>
      <c r="H150" s="336">
        <v>0</v>
      </c>
      <c r="I150" s="337"/>
      <c r="J150" s="337"/>
      <c r="K150" s="338"/>
      <c r="L150" s="338"/>
      <c r="M150" s="338"/>
      <c r="N150" s="338"/>
      <c r="O150" s="338"/>
      <c r="P150" s="338"/>
      <c r="Q150" s="338"/>
      <c r="R150" s="338"/>
      <c r="S150" s="338"/>
      <c r="T150" s="338"/>
      <c r="U150" s="338"/>
      <c r="V150" s="338"/>
      <c r="W150" s="338"/>
      <c r="X150" s="338"/>
      <c r="Y150" s="338"/>
      <c r="Z150" s="338"/>
      <c r="AA150" s="338"/>
      <c r="AB150" s="338"/>
      <c r="AC150" s="338"/>
      <c r="AD150" s="338"/>
      <c r="AE150" s="183"/>
      <c r="AF150" s="183"/>
      <c r="AG150" s="183"/>
      <c r="AH150" s="183"/>
    </row>
    <row r="151" spans="1:34" ht="11.25" customHeight="1" outlineLevel="1">
      <c r="A151" s="178"/>
      <c r="B151" s="183"/>
      <c r="C151" s="261" t="s">
        <v>87</v>
      </c>
      <c r="D151" s="217"/>
      <c r="E151" s="217"/>
      <c r="F151" s="217"/>
      <c r="G151" s="217"/>
      <c r="H151" s="339">
        <v>0.98</v>
      </c>
      <c r="I151" s="183"/>
      <c r="J151" s="183"/>
      <c r="K151" s="183"/>
      <c r="L151" s="183"/>
      <c r="M151" s="183"/>
      <c r="N151" s="183"/>
      <c r="O151" s="183"/>
      <c r="P151" s="183"/>
      <c r="Q151" s="183"/>
      <c r="R151" s="183"/>
      <c r="S151" s="183"/>
      <c r="T151" s="183"/>
      <c r="U151" s="183"/>
      <c r="V151" s="183"/>
      <c r="W151" s="183"/>
      <c r="X151" s="183"/>
      <c r="Y151" s="183"/>
      <c r="Z151" s="183"/>
      <c r="AA151" s="183"/>
      <c r="AB151" s="183"/>
      <c r="AC151" s="183"/>
      <c r="AD151" s="183"/>
      <c r="AE151" s="183"/>
      <c r="AF151" s="183"/>
      <c r="AG151" s="183"/>
      <c r="AH151" s="183"/>
    </row>
    <row r="152" spans="1:34" ht="11.25" customHeight="1" outlineLevel="1">
      <c r="A152" s="340"/>
      <c r="B152" s="261"/>
      <c r="C152" s="261" t="s">
        <v>88</v>
      </c>
      <c r="D152" s="261"/>
      <c r="E152" s="261"/>
      <c r="F152" s="261"/>
      <c r="G152" s="261"/>
      <c r="H152" s="341">
        <f>(1+(1-H72))</f>
        <v>1.4321785490020644</v>
      </c>
      <c r="I152" s="261"/>
      <c r="J152" s="261"/>
      <c r="K152" s="261"/>
      <c r="L152" s="261"/>
      <c r="M152" s="261"/>
      <c r="N152" s="261"/>
      <c r="O152" s="261"/>
      <c r="P152" s="261"/>
      <c r="Q152" s="261"/>
      <c r="R152" s="261"/>
      <c r="S152" s="261"/>
      <c r="T152" s="261"/>
      <c r="U152" s="261"/>
      <c r="V152" s="261"/>
      <c r="W152" s="261"/>
      <c r="X152" s="261"/>
      <c r="Y152" s="261"/>
      <c r="Z152" s="261"/>
      <c r="AA152" s="261"/>
      <c r="AB152" s="261"/>
      <c r="AC152" s="261"/>
      <c r="AD152" s="261"/>
      <c r="AE152" s="261"/>
      <c r="AF152" s="261"/>
      <c r="AG152" s="261"/>
      <c r="AH152" s="261"/>
    </row>
    <row r="153" spans="1:34" ht="11.25" customHeight="1" outlineLevel="1">
      <c r="A153" s="340"/>
      <c r="B153" s="261"/>
      <c r="C153" s="261" t="s">
        <v>89</v>
      </c>
      <c r="D153" s="261"/>
      <c r="E153" s="261"/>
      <c r="F153" s="261"/>
      <c r="G153" s="261"/>
      <c r="H153" s="342">
        <f>H24*(1-H150)</f>
        <v>1634.8265707953913</v>
      </c>
      <c r="I153" s="342">
        <f t="shared" ref="I153:X153" si="109">I143*(1-$H$150)</f>
        <v>560.0352518846255</v>
      </c>
      <c r="J153" s="342">
        <f t="shared" si="109"/>
        <v>656.11469334905087</v>
      </c>
      <c r="K153" s="342">
        <f t="shared" si="109"/>
        <v>707.5457595473531</v>
      </c>
      <c r="L153" s="342">
        <f t="shared" si="109"/>
        <v>1127.6736893127311</v>
      </c>
      <c r="M153" s="342">
        <f t="shared" si="109"/>
        <v>1273.7103228418798</v>
      </c>
      <c r="N153" s="342">
        <f t="shared" si="109"/>
        <v>695.0028000700172</v>
      </c>
      <c r="O153" s="342">
        <f t="shared" si="109"/>
        <v>462.35119511941798</v>
      </c>
      <c r="P153" s="342">
        <f t="shared" si="109"/>
        <v>1012.6401805245683</v>
      </c>
      <c r="Q153" s="342">
        <f t="shared" si="109"/>
        <v>244.22313374452699</v>
      </c>
      <c r="R153" s="342">
        <f t="shared" si="109"/>
        <v>1171.8906094528927</v>
      </c>
      <c r="S153" s="342">
        <f t="shared" si="109"/>
        <v>1568.8501780739671</v>
      </c>
      <c r="T153" s="342">
        <f t="shared" si="109"/>
        <v>837.85786069576386</v>
      </c>
      <c r="U153" s="342">
        <f t="shared" si="109"/>
        <v>489.42795851385375</v>
      </c>
      <c r="V153" s="342">
        <f t="shared" si="109"/>
        <v>1288.3254011582801</v>
      </c>
      <c r="W153" s="342">
        <f t="shared" si="109"/>
        <v>1389.8729650064834</v>
      </c>
      <c r="X153" s="342">
        <f t="shared" si="109"/>
        <v>1147.034883996947</v>
      </c>
      <c r="Y153" s="342">
        <f t="shared" ref="Y153:AD153" si="110">Y143*(1-$H$150)</f>
        <v>1181.4459305168557</v>
      </c>
      <c r="Z153" s="342">
        <f t="shared" si="110"/>
        <v>1216.8893084323615</v>
      </c>
      <c r="AA153" s="342">
        <f t="shared" si="110"/>
        <v>1253.3959876853323</v>
      </c>
      <c r="AB153" s="342">
        <f t="shared" si="110"/>
        <v>1290.9978673158921</v>
      </c>
      <c r="AC153" s="342">
        <f t="shared" si="110"/>
        <v>1329.7278033353689</v>
      </c>
      <c r="AD153" s="342">
        <f t="shared" si="110"/>
        <v>1369.6196374354299</v>
      </c>
      <c r="AE153" s="261"/>
      <c r="AF153" s="261"/>
      <c r="AG153" s="261"/>
      <c r="AH153" s="261"/>
    </row>
    <row r="154" spans="1:34" ht="11.25" customHeight="1" outlineLevel="1">
      <c r="A154" s="340"/>
      <c r="B154" s="342"/>
      <c r="C154" s="261" t="s">
        <v>90</v>
      </c>
      <c r="D154" s="261"/>
      <c r="E154" s="261"/>
      <c r="F154" s="261"/>
      <c r="G154" s="261"/>
      <c r="H154" s="343">
        <f>$H$24/$H$149*H152*(1-H150)</f>
        <v>234.13635460317644</v>
      </c>
      <c r="I154" s="344">
        <f>IF(SUM($H154:H154)+H154*$H$151&lt;$H$153,H154*$H$151,$H$153-SUM($H154:H154))</f>
        <v>229.4536275111129</v>
      </c>
      <c r="J154" s="344">
        <f>IF(SUM($H154:I154)+I154*$H$151&lt;$H$153,I154*$H$151,$H$153-SUM($H154:I154))</f>
        <v>224.86455496089064</v>
      </c>
      <c r="K154" s="344">
        <f>IF(SUM($H154:J154)+J154*$H$151&lt;$H$153,J154*$H$151,$H$153-SUM($H154:J154))</f>
        <v>220.36726386167282</v>
      </c>
      <c r="L154" s="344">
        <f>IF(SUM($H154:K154)+K154*$H$151&lt;$H$153,K154*$H$151,$H$153-SUM($H154:K154))</f>
        <v>215.95991858443938</v>
      </c>
      <c r="M154" s="344">
        <f>IF(SUM($H154:K154)+K154*$H$151&lt;$H$153,K154*$H$151,$H$153-SUM($H154:K154))</f>
        <v>215.95991858443938</v>
      </c>
      <c r="N154" s="344">
        <f>IF(SUM($H154:M154)+M154*$H$151&lt;$H$153,M154*$H$151,$H$153-SUM($H154:M154))</f>
        <v>211.64072021275058</v>
      </c>
      <c r="O154" s="344">
        <f>IF(SUM($H154:N154)+N154*$H$151&lt;$H$153,N154*$H$151,$H$153-SUM($H154:N154))</f>
        <v>82.44421247690866</v>
      </c>
      <c r="P154" s="344">
        <f>IF(SUM($H154:O154)+O154*$H$151&lt;$H$153,O154*$H$151,$H$153-SUM($H154:O154))</f>
        <v>0</v>
      </c>
      <c r="Q154" s="344">
        <f>IF(SUM($H154:P154)+P154*$H$151&lt;$H$153,P154*$H$151,$H$153-SUM($H154:P154))</f>
        <v>0</v>
      </c>
      <c r="R154" s="344">
        <f>IF(SUM($H154:Q154)+Q154*$H$151&lt;$H$153,Q154*$H$151,$H$153-SUM($H154:Q154))</f>
        <v>0</v>
      </c>
      <c r="S154" s="344">
        <f>IF(SUM($H154:R154)+R154*$H$151&lt;$H$153,R154*$H$151,$H$153-SUM($H154:R154))</f>
        <v>0</v>
      </c>
      <c r="T154" s="344">
        <f>IF(SUM($H154:S154)+S154*$H$151&lt;$H$153,S154*$H$151,$H$153-SUM($H154:S154))</f>
        <v>0</v>
      </c>
      <c r="U154" s="344">
        <f>IF(SUM($H154:T154)+T154*$H$151&lt;$H$153,T154*$H$151,$H$153-SUM($H154:T154))</f>
        <v>0</v>
      </c>
      <c r="V154" s="344">
        <f>IF(SUM($H154:U154)+U154*$H$151&lt;$H$153,U154*$H$151,$H$153-SUM($H154:U154))</f>
        <v>0</v>
      </c>
      <c r="W154" s="344">
        <f>IF(SUM($H154:V154)+V154*$H$151&lt;$H$153,V154*$H$151,$H$153-SUM($H154:V154))</f>
        <v>0</v>
      </c>
      <c r="X154" s="344">
        <f>IF(SUM($H154:W154)+W154*$H$151&lt;$H$153,W154*$H$151,$H$153-SUM($H154:W154))</f>
        <v>0</v>
      </c>
      <c r="Y154" s="344">
        <f>IF(SUM($H154:X154)+X154*$H$151&lt;$H$153,X154*$H$151,$H$153-SUM($H154:X154))</f>
        <v>0</v>
      </c>
      <c r="Z154" s="344">
        <f>IF(SUM($H154:Y154)+Y154*$H$151&lt;$H$153,Y154*$H$151,$H$153-SUM($H154:Y154))</f>
        <v>0</v>
      </c>
      <c r="AA154" s="344">
        <f>IF(SUM($H154:Z154)+Z154*$H$151&lt;$H$153,Z154*$H$151,$H$153-SUM($H154:Z154))</f>
        <v>0</v>
      </c>
      <c r="AB154" s="344">
        <f>IF(SUM($H154:AA154)+AA154*$H$151&lt;$H$153,AA154*$H$151,$H$153-SUM($H154:AA154))</f>
        <v>0</v>
      </c>
      <c r="AC154" s="344">
        <f>IF(SUM($H154:AB154)+AB154*$H$151&lt;$H$153,AB154*$H$151,$H$153-SUM($H154:AB154))</f>
        <v>0</v>
      </c>
      <c r="AD154" s="344">
        <f>IF(SUM($H154:AC154)+AC154*$H$151&lt;$H$153,AC154*$H$151,$H$153-SUM($H154:AC154))</f>
        <v>0</v>
      </c>
      <c r="AE154" s="261"/>
      <c r="AF154" s="261"/>
      <c r="AG154" s="261"/>
      <c r="AH154" s="261"/>
    </row>
    <row r="155" spans="1:34" ht="11.25" customHeight="1" outlineLevel="1">
      <c r="A155" s="178"/>
      <c r="B155" s="338"/>
      <c r="C155" s="345" t="str">
        <f t="array" ref="C155:C169">TRANSPOSE(H147:X147)</f>
        <v>01/2000</v>
      </c>
      <c r="D155" s="208"/>
      <c r="E155" s="208"/>
      <c r="F155" s="208"/>
      <c r="G155" s="208"/>
      <c r="H155" s="346"/>
      <c r="I155" s="346">
        <f>I$22/I$149*(1-$H$150)</f>
        <v>56.003525188462547</v>
      </c>
      <c r="J155" s="346">
        <f>(IF(COUNT($I155:I155)&lt;$I$149,I155,0))</f>
        <v>56.003525188462547</v>
      </c>
      <c r="K155" s="346">
        <f>(IF(COUNT($I155:J155)&lt;$I$149,J155,0))</f>
        <v>56.003525188462547</v>
      </c>
      <c r="L155" s="346">
        <f>(IF(COUNT($I155:K155)&lt;$I$149,K155,0))</f>
        <v>56.003525188462547</v>
      </c>
      <c r="M155" s="346">
        <f>(IF(COUNT($I155:K155)&lt;$I$149,K155,0))</f>
        <v>56.003525188462547</v>
      </c>
      <c r="N155" s="346">
        <f>(IF(COUNT($I155:M155)&lt;$I$149,M155,0))</f>
        <v>56.003525188462547</v>
      </c>
      <c r="O155" s="346">
        <f>(IF(COUNT($I155:N155)&lt;$I$149,N155,0))</f>
        <v>56.003525188462547</v>
      </c>
      <c r="P155" s="346">
        <f>(IF(COUNT($I155:O155)&lt;$I$149,O155,0))</f>
        <v>56.003525188462547</v>
      </c>
      <c r="Q155" s="346">
        <f>(IF(COUNT($I155:P155)&lt;$I$149,P155,0))</f>
        <v>56.003525188462547</v>
      </c>
      <c r="R155" s="346">
        <f>(IF(COUNT($I155:Q155)&lt;$I$149,Q155,0))</f>
        <v>56.003525188462547</v>
      </c>
      <c r="S155" s="346">
        <f>(IF(COUNT($I155:R155)&lt;$I$149,R155,0))</f>
        <v>0</v>
      </c>
      <c r="T155" s="346">
        <f>(IF(COUNT($I155:S155)&lt;$I$149,S155,0))</f>
        <v>0</v>
      </c>
      <c r="U155" s="346">
        <f>(IF(COUNT($I155:T155)&lt;$I$149,T155,0))</f>
        <v>0</v>
      </c>
      <c r="V155" s="346">
        <f>(IF(COUNT($I155:U155)&lt;$I$149,U155,0))</f>
        <v>0</v>
      </c>
      <c r="W155" s="346">
        <f>(IF(COUNT($I155:V155)&lt;$I$149,V155,0))</f>
        <v>0</v>
      </c>
      <c r="X155" s="346">
        <f>(IF(COUNT($I155:W155)&lt;$I$149,W155,0))</f>
        <v>0</v>
      </c>
      <c r="Y155" s="346">
        <f>(IF(COUNT($I155:X155)&lt;$I$149,X155,0))</f>
        <v>0</v>
      </c>
      <c r="Z155" s="346">
        <f>(IF(COUNT($I155:Y155)&lt;$I$149,Y155,0))</f>
        <v>0</v>
      </c>
      <c r="AA155" s="346">
        <f>(IF(COUNT($I155:Z155)&lt;$I$149,Z155,0))</f>
        <v>0</v>
      </c>
      <c r="AB155" s="346">
        <f>(IF(COUNT($I155:AA155)&lt;$I$149,AA155,0))</f>
        <v>0</v>
      </c>
      <c r="AC155" s="346">
        <f>(IF(COUNT($I155:AB155)&lt;$I$149,AB155,0))</f>
        <v>0</v>
      </c>
      <c r="AD155" s="346">
        <f>(IF(COUNT($I155:AC155)&lt;$I$149,AC155,0))</f>
        <v>0</v>
      </c>
      <c r="AE155" s="346"/>
      <c r="AF155" s="346"/>
      <c r="AG155" s="346"/>
      <c r="AH155" s="346"/>
    </row>
    <row r="156" spans="1:34" ht="11.25" customHeight="1" outlineLevel="1">
      <c r="A156" s="178"/>
      <c r="B156" s="338"/>
      <c r="C156" s="345" t="str">
        <v>01/2001</v>
      </c>
      <c r="D156" s="208"/>
      <c r="E156" s="208"/>
      <c r="F156" s="208"/>
      <c r="G156" s="208"/>
      <c r="H156" s="346"/>
      <c r="I156" s="346"/>
      <c r="J156" s="346">
        <f>J$22/J$149*(1-$H$150)</f>
        <v>65.611469334905081</v>
      </c>
      <c r="K156" s="346">
        <f>(IF(COUNT($J156:J156)&lt;$J$149,J156,0))</f>
        <v>65.611469334905081</v>
      </c>
      <c r="L156" s="346">
        <f>(IF(COUNT($J156:K156)&lt;$J$149,K156,0))</f>
        <v>65.611469334905081</v>
      </c>
      <c r="M156" s="346">
        <f>(IF(COUNT($J156:K156)&lt;$J$149,K156,0))</f>
        <v>65.611469334905081</v>
      </c>
      <c r="N156" s="346">
        <f>(IF(COUNT($J156:M156)&lt;$J$149,M156,0))</f>
        <v>65.611469334905081</v>
      </c>
      <c r="O156" s="346">
        <f>(IF(COUNT($J156:N156)&lt;$J$149,N156,0))</f>
        <v>65.611469334905081</v>
      </c>
      <c r="P156" s="346">
        <f>(IF(COUNT($J156:O156)&lt;$J$149,O156,0))</f>
        <v>65.611469334905081</v>
      </c>
      <c r="Q156" s="346">
        <f>(IF(COUNT($J156:P156)&lt;$J$149,P156,0))</f>
        <v>65.611469334905081</v>
      </c>
      <c r="R156" s="346">
        <f>(IF(COUNT($J156:Q156)&lt;$J$149,Q156,0))</f>
        <v>65.611469334905081</v>
      </c>
      <c r="S156" s="346">
        <f>(IF(COUNT($J156:R156)&lt;$J$149,R156,0))</f>
        <v>65.611469334905081</v>
      </c>
      <c r="T156" s="346">
        <f>(IF(COUNT($J156:S156)&lt;$J$149,S156,0))</f>
        <v>0</v>
      </c>
      <c r="U156" s="346">
        <f>(IF(COUNT($J156:T156)&lt;$J$149,T156,0))</f>
        <v>0</v>
      </c>
      <c r="V156" s="346">
        <f>(IF(COUNT($J156:U156)&lt;$J$149,U156,0))</f>
        <v>0</v>
      </c>
      <c r="W156" s="346">
        <f>(IF(COUNT($J156:V156)&lt;$J$149,V156,0))</f>
        <v>0</v>
      </c>
      <c r="X156" s="346">
        <f>(IF(COUNT($J156:W156)&lt;$J$149,W156,0))</f>
        <v>0</v>
      </c>
      <c r="Y156" s="346">
        <f>(IF(COUNT($J156:X156)&lt;$J$149,X156,0))</f>
        <v>0</v>
      </c>
      <c r="Z156" s="346">
        <f>(IF(COUNT($J156:Y156)&lt;$J$149,Y156,0))</f>
        <v>0</v>
      </c>
      <c r="AA156" s="346">
        <f>(IF(COUNT($J156:Z156)&lt;$J$149,Z156,0))</f>
        <v>0</v>
      </c>
      <c r="AB156" s="346">
        <f>(IF(COUNT($J156:AA156)&lt;$J$149,AA156,0))</f>
        <v>0</v>
      </c>
      <c r="AC156" s="346">
        <f>(IF(COUNT($J156:AB156)&lt;$J$149,AB156,0))</f>
        <v>0</v>
      </c>
      <c r="AD156" s="346">
        <f>(IF(COUNT($J156:AC156)&lt;$J$149,AC156,0))</f>
        <v>0</v>
      </c>
      <c r="AE156" s="346"/>
      <c r="AF156" s="346"/>
      <c r="AG156" s="346"/>
      <c r="AH156" s="346"/>
    </row>
    <row r="157" spans="1:34" ht="11.25" customHeight="1" outlineLevel="1">
      <c r="A157" s="178"/>
      <c r="B157" s="338"/>
      <c r="C157" s="345" t="str">
        <v>01/2002</v>
      </c>
      <c r="D157" s="208"/>
      <c r="E157" s="208"/>
      <c r="F157" s="208"/>
      <c r="G157" s="208"/>
      <c r="H157" s="346"/>
      <c r="I157" s="346"/>
      <c r="J157" s="346"/>
      <c r="K157" s="346">
        <f>K$22/K$149*(1-$H$150)</f>
        <v>70.754575954735316</v>
      </c>
      <c r="L157" s="346">
        <f>(IF(COUNT($K157:K157)&lt;$K$149,K157,0))</f>
        <v>70.754575954735316</v>
      </c>
      <c r="M157" s="346">
        <f>(IF(COUNT($J157:K157)&lt;$K$149,K157,0))</f>
        <v>70.754575954735316</v>
      </c>
      <c r="N157" s="346">
        <f>(IF(COUNT($J157:M157)&lt;$K$149,M157,0))</f>
        <v>70.754575954735316</v>
      </c>
      <c r="O157" s="346">
        <f>(IF(COUNT($J157:N157)&lt;$K$149,N157,0))</f>
        <v>70.754575954735316</v>
      </c>
      <c r="P157" s="346">
        <f>(IF(COUNT($J157:O157)&lt;$K$149,O157,0))</f>
        <v>70.754575954735316</v>
      </c>
      <c r="Q157" s="346">
        <f>(IF(COUNT($J157:P157)&lt;$K$149,P157,0))</f>
        <v>70.754575954735316</v>
      </c>
      <c r="R157" s="346">
        <f>(IF(COUNT($J157:Q157)&lt;$K$149,Q157,0))</f>
        <v>70.754575954735316</v>
      </c>
      <c r="S157" s="346">
        <f>(IF(COUNT($J157:R157)&lt;$K$149,R157,0))</f>
        <v>70.754575954735316</v>
      </c>
      <c r="T157" s="346">
        <f>(IF(COUNT($J157:S157)&lt;$K$149,S157,0))</f>
        <v>70.754575954735316</v>
      </c>
      <c r="U157" s="346">
        <f>(IF(COUNT($J157:T157)&lt;$K$149,T157,0))</f>
        <v>0</v>
      </c>
      <c r="V157" s="346">
        <f>(IF(COUNT($J157:U157)&lt;$K$149,U157,0))</f>
        <v>0</v>
      </c>
      <c r="W157" s="346">
        <f>(IF(COUNT($J157:V157)&lt;$K$149,V157,0))</f>
        <v>0</v>
      </c>
      <c r="X157" s="346">
        <f>(IF(COUNT($J157:W157)&lt;$K$149,W157,0))</f>
        <v>0</v>
      </c>
      <c r="Y157" s="346">
        <f>(IF(COUNT($J157:X157)&lt;$K$149,X157,0))</f>
        <v>0</v>
      </c>
      <c r="Z157" s="346">
        <f>(IF(COUNT($J157:Y157)&lt;$K$149,Y157,0))</f>
        <v>0</v>
      </c>
      <c r="AA157" s="346">
        <f>(IF(COUNT($J157:Z157)&lt;$K$149,Z157,0))</f>
        <v>0</v>
      </c>
      <c r="AB157" s="346">
        <f>(IF(COUNT($J157:AA157)&lt;$K$149,AA157,0))</f>
        <v>0</v>
      </c>
      <c r="AC157" s="346">
        <f>(IF(COUNT($J157:AB157)&lt;$K$149,AB157,0))</f>
        <v>0</v>
      </c>
      <c r="AD157" s="346">
        <f>(IF(COUNT($J157:AC157)&lt;$K$149,AC157,0))</f>
        <v>0</v>
      </c>
      <c r="AE157" s="183"/>
      <c r="AF157" s="183"/>
      <c r="AG157" s="183"/>
      <c r="AH157" s="183"/>
    </row>
    <row r="158" spans="1:34" ht="11.25" customHeight="1" outlineLevel="1">
      <c r="A158" s="178"/>
      <c r="B158" s="338"/>
      <c r="C158" s="345" t="str">
        <v>01/2003</v>
      </c>
      <c r="D158" s="208"/>
      <c r="E158" s="208"/>
      <c r="F158" s="208"/>
      <c r="G158" s="208"/>
      <c r="H158" s="346"/>
      <c r="I158" s="346"/>
      <c r="J158" s="346"/>
      <c r="K158" s="346"/>
      <c r="L158" s="346">
        <f>L$22/L$149*(1-$H$150)</f>
        <v>112.76736893127311</v>
      </c>
      <c r="M158" s="346">
        <f>(IF(COUNT($J158:L158)&lt;$K$149,L158,0))</f>
        <v>112.76736893127311</v>
      </c>
      <c r="N158" s="346">
        <f>(IF(COUNT($M158:M158)&lt;$M$149,M158,0))</f>
        <v>112.76736893127311</v>
      </c>
      <c r="O158" s="346">
        <f>(IF(COUNT($M158:N158)&lt;$M$149,N158,0))</f>
        <v>112.76736893127311</v>
      </c>
      <c r="P158" s="346">
        <f>(IF(COUNT($M158:O158)&lt;$M$149,O158,0))</f>
        <v>112.76736893127311</v>
      </c>
      <c r="Q158" s="346">
        <f>(IF(COUNT($M158:P158)&lt;$M$149,P158,0))</f>
        <v>112.76736893127311</v>
      </c>
      <c r="R158" s="346">
        <f>(IF(COUNT($M158:Q158)&lt;$M$149,Q158,0))</f>
        <v>112.76736893127311</v>
      </c>
      <c r="S158" s="346">
        <f>(IF(COUNT($M158:R158)&lt;$M$149,R158,0))</f>
        <v>112.76736893127311</v>
      </c>
      <c r="T158" s="346">
        <f>(IF(COUNT($M158:S158)&lt;$M$149,S158,0))</f>
        <v>112.76736893127311</v>
      </c>
      <c r="U158" s="346">
        <f>(IF(COUNT($M158:T158)&lt;$M$149,T158,0))</f>
        <v>112.76736893127311</v>
      </c>
      <c r="V158" s="346">
        <f>(IF(COUNT($M158:U158)&lt;$M$149,U158,0))</f>
        <v>112.76736893127311</v>
      </c>
      <c r="W158" s="346">
        <f>(IF(COUNT($M158:V158)&lt;$M$149,V158,0))</f>
        <v>0</v>
      </c>
      <c r="X158" s="346">
        <f>(IF(COUNT($M158:W158)&lt;$M$149,W158,0))</f>
        <v>0</v>
      </c>
      <c r="Y158" s="346">
        <f>(IF(COUNT($M158:X158)&lt;$M$149,X158,0))</f>
        <v>0</v>
      </c>
      <c r="Z158" s="346">
        <f>(IF(COUNT($M158:Y158)&lt;$M$149,Y158,0))</f>
        <v>0</v>
      </c>
      <c r="AA158" s="346">
        <f>(IF(COUNT($M158:Z158)&lt;$M$149,Z158,0))</f>
        <v>0</v>
      </c>
      <c r="AB158" s="346">
        <f>(IF(COUNT($M158:AA158)&lt;$M$149,AA158,0))</f>
        <v>0</v>
      </c>
      <c r="AC158" s="346">
        <f>(IF(COUNT($M158:AB158)&lt;$M$149,AB158,0))</f>
        <v>0</v>
      </c>
      <c r="AD158" s="346">
        <f>(IF(COUNT($M158:AC158)&lt;$M$149,AC158,0))</f>
        <v>0</v>
      </c>
      <c r="AE158" s="346"/>
      <c r="AF158" s="346"/>
      <c r="AG158" s="346"/>
      <c r="AH158" s="346"/>
    </row>
    <row r="159" spans="1:34" ht="11.25" customHeight="1" outlineLevel="1">
      <c r="A159" s="178"/>
      <c r="B159" s="338"/>
      <c r="C159" s="345" t="str">
        <v>01/2004</v>
      </c>
      <c r="D159" s="208"/>
      <c r="E159" s="208"/>
      <c r="F159" s="208"/>
      <c r="G159" s="208"/>
      <c r="H159" s="346"/>
      <c r="I159" s="346"/>
      <c r="J159" s="346"/>
      <c r="K159" s="346"/>
      <c r="L159" s="346"/>
      <c r="M159" s="346">
        <f>M$22/M$149*(1-$H$150)</f>
        <v>127.37103228418798</v>
      </c>
      <c r="N159" s="346">
        <f>(IF(COUNT($M159:M159)&lt;$M$149,M159,0))</f>
        <v>127.37103228418798</v>
      </c>
      <c r="O159" s="346">
        <f>(IF(COUNT($N159:N159)&lt;$N$149,N159,0))</f>
        <v>127.37103228418798</v>
      </c>
      <c r="P159" s="346">
        <f>(IF(COUNT($N159:O159)&lt;$N$149,O159,0))</f>
        <v>127.37103228418798</v>
      </c>
      <c r="Q159" s="346">
        <f>(IF(COUNT($N159:P159)&lt;$N$149,P159,0))</f>
        <v>127.37103228418798</v>
      </c>
      <c r="R159" s="346">
        <f>(IF(COUNT($N159:Q159)&lt;$N$149,Q159,0))</f>
        <v>127.37103228418798</v>
      </c>
      <c r="S159" s="346">
        <f>(IF(COUNT($N159:R159)&lt;$N$149,R159,0))</f>
        <v>127.37103228418798</v>
      </c>
      <c r="T159" s="346">
        <f>(IF(COUNT($N159:S159)&lt;$N$149,S159,0))</f>
        <v>127.37103228418798</v>
      </c>
      <c r="U159" s="346">
        <f>(IF(COUNT($N159:T159)&lt;$N$149,T159,0))</f>
        <v>127.37103228418798</v>
      </c>
      <c r="V159" s="346">
        <f>(IF(COUNT($N159:U159)&lt;$N$149,U159,0))</f>
        <v>127.37103228418798</v>
      </c>
      <c r="W159" s="346">
        <f>(IF(COUNT($N159:V159)&lt;$N$149,V159,0))</f>
        <v>127.37103228418798</v>
      </c>
      <c r="X159" s="346">
        <f>(IF(COUNT($N159:W159)&lt;$N$149,W159,0))</f>
        <v>0</v>
      </c>
      <c r="Y159" s="346">
        <f>(IF(COUNT($N159:X159)&lt;$N$149,X159,0))</f>
        <v>0</v>
      </c>
      <c r="Z159" s="346">
        <f>(IF(COUNT($N159:Y159)&lt;$N$149,Y159,0))</f>
        <v>0</v>
      </c>
      <c r="AA159" s="346">
        <f>(IF(COUNT($N159:Z159)&lt;$N$149,Z159,0))</f>
        <v>0</v>
      </c>
      <c r="AB159" s="346">
        <f>(IF(COUNT($N159:AA159)&lt;$N$149,AA159,0))</f>
        <v>0</v>
      </c>
      <c r="AC159" s="346">
        <f>(IF(COUNT($N159:AB159)&lt;$N$149,AB159,0))</f>
        <v>0</v>
      </c>
      <c r="AD159" s="346">
        <f>(IF(COUNT($N159:AC159)&lt;$N$149,AC159,0))</f>
        <v>0</v>
      </c>
      <c r="AE159" s="183"/>
      <c r="AF159" s="183"/>
      <c r="AG159" s="183"/>
      <c r="AH159" s="183"/>
    </row>
    <row r="160" spans="1:34" ht="11.25" customHeight="1" outlineLevel="1">
      <c r="A160" s="178"/>
      <c r="B160" s="338"/>
      <c r="C160" s="345" t="str">
        <v>01/2005</v>
      </c>
      <c r="D160" s="208"/>
      <c r="E160" s="208"/>
      <c r="F160" s="208"/>
      <c r="G160" s="208"/>
      <c r="H160" s="346"/>
      <c r="I160" s="346"/>
      <c r="J160" s="346"/>
      <c r="K160" s="346"/>
      <c r="L160" s="346"/>
      <c r="M160" s="346"/>
      <c r="N160" s="346">
        <f>N$22/N$149*(1-$H$150)</f>
        <v>69.50028000700172</v>
      </c>
      <c r="O160" s="346">
        <f>(IF(COUNT($N160:N160)&lt;$N$149,N160,0))</f>
        <v>69.50028000700172</v>
      </c>
      <c r="P160" s="346">
        <f>(IF(COUNT($O160:O160)&lt;$O$149,O160,0))</f>
        <v>69.50028000700172</v>
      </c>
      <c r="Q160" s="346">
        <f>(IF(COUNT($O160:P160)&lt;$O$149,P160,0))</f>
        <v>69.50028000700172</v>
      </c>
      <c r="R160" s="346">
        <f>(IF(COUNT($O160:Q160)&lt;$O$149,Q160,0))</f>
        <v>69.50028000700172</v>
      </c>
      <c r="S160" s="346">
        <f>(IF(COUNT($O160:R160)&lt;$O$149,R160,0))</f>
        <v>69.50028000700172</v>
      </c>
      <c r="T160" s="346">
        <f>(IF(COUNT($O160:S160)&lt;$O$149,S160,0))</f>
        <v>69.50028000700172</v>
      </c>
      <c r="U160" s="346">
        <f>(IF(COUNT($O160:T160)&lt;$O$149,T160,0))</f>
        <v>69.50028000700172</v>
      </c>
      <c r="V160" s="346">
        <f>(IF(COUNT($O160:U160)&lt;$O$149,U160,0))</f>
        <v>69.50028000700172</v>
      </c>
      <c r="W160" s="346">
        <f>(IF(COUNT($O160:V160)&lt;$O$149,V160,0))</f>
        <v>69.50028000700172</v>
      </c>
      <c r="X160" s="346">
        <f>(IF(COUNT($O160:W160)&lt;$O$149,W160,0))</f>
        <v>69.50028000700172</v>
      </c>
      <c r="Y160" s="346">
        <f>(IF(COUNT($O160:X160)&lt;$O$149,X160,0))</f>
        <v>0</v>
      </c>
      <c r="Z160" s="346">
        <f>(IF(COUNT($O160:Y160)&lt;$O$149,Y160,0))</f>
        <v>0</v>
      </c>
      <c r="AA160" s="346">
        <f>(IF(COUNT($O160:Z160)&lt;$O$149,Z160,0))</f>
        <v>0</v>
      </c>
      <c r="AB160" s="346">
        <f>(IF(COUNT($O160:AA160)&lt;$O$149,AA160,0))</f>
        <v>0</v>
      </c>
      <c r="AC160" s="346">
        <f>(IF(COUNT($O160:AB160)&lt;$O$149,AB160,0))</f>
        <v>0</v>
      </c>
      <c r="AD160" s="346">
        <f>(IF(COUNT($O160:AC160)&lt;$O$149,AC160,0))</f>
        <v>0</v>
      </c>
      <c r="AE160" s="346"/>
      <c r="AF160" s="346"/>
      <c r="AG160" s="346"/>
      <c r="AH160" s="346"/>
    </row>
    <row r="161" spans="1:34" ht="11.25" customHeight="1" outlineLevel="1">
      <c r="A161" s="178"/>
      <c r="B161" s="338"/>
      <c r="C161" s="345" t="str">
        <v>01/2006</v>
      </c>
      <c r="D161" s="208"/>
      <c r="E161" s="208"/>
      <c r="F161" s="208"/>
      <c r="G161" s="208"/>
      <c r="H161" s="346"/>
      <c r="I161" s="346"/>
      <c r="J161" s="346"/>
      <c r="K161" s="346"/>
      <c r="L161" s="346"/>
      <c r="M161" s="346"/>
      <c r="N161" s="346"/>
      <c r="O161" s="346">
        <f>O$22/O$149*(1-$H$150)</f>
        <v>46.235119511941797</v>
      </c>
      <c r="P161" s="346">
        <f>(IF(COUNT($O161:O161)&lt;$O$149,O161,0))</f>
        <v>46.235119511941797</v>
      </c>
      <c r="Q161" s="346">
        <f>(IF(COUNT($O161:P161)&lt;$O$149,P161,0))</f>
        <v>46.235119511941797</v>
      </c>
      <c r="R161" s="346">
        <f>(IF(COUNT($O161:Q161)&lt;$O$149,Q161,0))</f>
        <v>46.235119511941797</v>
      </c>
      <c r="S161" s="346">
        <f>(IF(COUNT($O161:R161)&lt;$O$149,R161,0))</f>
        <v>46.235119511941797</v>
      </c>
      <c r="T161" s="346">
        <f>(IF(COUNT($O161:S161)&lt;$O$149,S161,0))</f>
        <v>46.235119511941797</v>
      </c>
      <c r="U161" s="346">
        <f>(IF(COUNT($P161:T161)&lt;$P$149,T161,0))</f>
        <v>46.235119511941797</v>
      </c>
      <c r="V161" s="346">
        <f>(IF(COUNT($P161:U161)&lt;$P$149,U161,0))</f>
        <v>46.235119511941797</v>
      </c>
      <c r="W161" s="346">
        <f>(IF(COUNT($P161:V161)&lt;$P$149,V161,0))</f>
        <v>46.235119511941797</v>
      </c>
      <c r="X161" s="346">
        <f>(IF(COUNT($P161:W161)&lt;$P$149,W161,0))</f>
        <v>46.235119511941797</v>
      </c>
      <c r="Y161" s="346">
        <f>(IF(COUNT($P161:X161)&lt;$P$149,X161,0))</f>
        <v>46.235119511941797</v>
      </c>
      <c r="Z161" s="346">
        <f>(IF(COUNT($P161:Y161)&lt;$P$149,Y161,0))</f>
        <v>0</v>
      </c>
      <c r="AA161" s="346">
        <f>(IF(COUNT($P161:Z161)&lt;$P$149,Z161,0))</f>
        <v>0</v>
      </c>
      <c r="AB161" s="346">
        <f>(IF(COUNT($P161:AA161)&lt;$P$149,AA161,0))</f>
        <v>0</v>
      </c>
      <c r="AC161" s="346">
        <f>(IF(COUNT($P161:AB161)&lt;$P$149,AB161,0))</f>
        <v>0</v>
      </c>
      <c r="AD161" s="346">
        <f>(IF(COUNT($P161:AC161)&lt;$P$149,AC161,0))</f>
        <v>0</v>
      </c>
      <c r="AE161" s="183"/>
      <c r="AF161" s="183"/>
      <c r="AG161" s="183"/>
      <c r="AH161" s="183"/>
    </row>
    <row r="162" spans="1:34" ht="11.25" customHeight="1" outlineLevel="1">
      <c r="A162" s="178"/>
      <c r="B162" s="338"/>
      <c r="C162" s="345" t="str">
        <v>01/2007</v>
      </c>
      <c r="D162" s="208"/>
      <c r="E162" s="208"/>
      <c r="F162" s="208"/>
      <c r="G162" s="208"/>
      <c r="H162" s="346"/>
      <c r="I162" s="346"/>
      <c r="J162" s="346"/>
      <c r="K162" s="346"/>
      <c r="L162" s="346"/>
      <c r="M162" s="346"/>
      <c r="N162" s="346"/>
      <c r="O162" s="346"/>
      <c r="P162" s="346">
        <f>P$22/P$149*(1-$H$150)</f>
        <v>101.26401805245683</v>
      </c>
      <c r="Q162" s="346">
        <f>(IF(COUNT($O162:P162)&lt;$O$149,P162,0))</f>
        <v>101.26401805245683</v>
      </c>
      <c r="R162" s="346">
        <f>(IF(COUNT($Q162:Q162)&lt;$Q$149,Q162,0))</f>
        <v>101.26401805245683</v>
      </c>
      <c r="S162" s="346">
        <f>(IF(COUNT($Q162:R162)&lt;$Q$149,R162,0))</f>
        <v>101.26401805245683</v>
      </c>
      <c r="T162" s="346">
        <f>(IF(COUNT($Q162:S162)&lt;$Q$149,S162,0))</f>
        <v>101.26401805245683</v>
      </c>
      <c r="U162" s="346">
        <f>(IF(COUNT($Q162:T162)&lt;$Q$149,T162,0))</f>
        <v>101.26401805245683</v>
      </c>
      <c r="V162" s="346">
        <f>(IF(COUNT($Q162:U162)&lt;$Q$149,U162,0))</f>
        <v>101.26401805245683</v>
      </c>
      <c r="W162" s="346">
        <f>(IF(COUNT($Q162:V162)&lt;$Q$149,V162,0))</f>
        <v>101.26401805245683</v>
      </c>
      <c r="X162" s="346">
        <f>(IF(COUNT($Q162:W162)&lt;$Q$149,W162,0))</f>
        <v>101.26401805245683</v>
      </c>
      <c r="Y162" s="346">
        <f>(IF(COUNT($Q162:X162)&lt;$Q$149,X162,0))</f>
        <v>101.26401805245683</v>
      </c>
      <c r="Z162" s="346">
        <f>(IF(COUNT($Q162:Y162)&lt;$Q$149,Y162,0))</f>
        <v>101.26401805245683</v>
      </c>
      <c r="AA162" s="346">
        <f>(IF(COUNT($Q162:Z162)&lt;$Q$149,Z162,0))</f>
        <v>0</v>
      </c>
      <c r="AB162" s="346">
        <f>(IF(COUNT($Q162:AA162)&lt;$Q$149,AA162,0))</f>
        <v>0</v>
      </c>
      <c r="AC162" s="346">
        <f>(IF(COUNT($Q162:AB162)&lt;$Q$149,AB162,0))</f>
        <v>0</v>
      </c>
      <c r="AD162" s="346">
        <f>(IF(COUNT($Q162:AC162)&lt;$Q$149,AC162,0))</f>
        <v>0</v>
      </c>
      <c r="AE162" s="183"/>
      <c r="AF162" s="183"/>
      <c r="AG162" s="183"/>
      <c r="AH162" s="183"/>
    </row>
    <row r="163" spans="1:34" ht="11.25" customHeight="1" outlineLevel="1">
      <c r="A163" s="178"/>
      <c r="B163" s="338"/>
      <c r="C163" s="345" t="str">
        <v>01/2008</v>
      </c>
      <c r="D163" s="208"/>
      <c r="E163" s="208"/>
      <c r="F163" s="208"/>
      <c r="G163" s="208"/>
      <c r="H163" s="346"/>
      <c r="I163" s="346"/>
      <c r="J163" s="346"/>
      <c r="K163" s="346"/>
      <c r="L163" s="346"/>
      <c r="M163" s="346"/>
      <c r="N163" s="346"/>
      <c r="O163" s="346"/>
      <c r="P163" s="346"/>
      <c r="Q163" s="346">
        <f>Q$22/Q$149*(1-$H$150)</f>
        <v>24.422313374452699</v>
      </c>
      <c r="R163" s="346">
        <f>(IF(COUNT($Q163:Q163)&lt;$Q$149,Q163,0))</f>
        <v>24.422313374452699</v>
      </c>
      <c r="S163" s="346">
        <f>(IF(COUNT($R163:R163)&lt;$R$149,R163,0))</f>
        <v>24.422313374452699</v>
      </c>
      <c r="T163" s="346">
        <f>(IF(COUNT($R163:S163)&lt;$R$149,S163,0))</f>
        <v>24.422313374452699</v>
      </c>
      <c r="U163" s="346">
        <f>(IF(COUNT($R163:T163)&lt;$R$149,T163,0))</f>
        <v>24.422313374452699</v>
      </c>
      <c r="V163" s="346">
        <f>(IF(COUNT($R163:U163)&lt;$R$149,U163,0))</f>
        <v>24.422313374452699</v>
      </c>
      <c r="W163" s="346">
        <f>(IF(COUNT($R163:V163)&lt;$R$149,V163,0))</f>
        <v>24.422313374452699</v>
      </c>
      <c r="X163" s="346">
        <f>(IF(COUNT($R163:W163)&lt;$R$149,W163,0))</f>
        <v>24.422313374452699</v>
      </c>
      <c r="Y163" s="346">
        <f>(IF(COUNT($R163:X163)&lt;$R$149,X163,0))</f>
        <v>24.422313374452699</v>
      </c>
      <c r="Z163" s="346">
        <f>(IF(COUNT($R163:Y163)&lt;$R$149,Y163,0))</f>
        <v>24.422313374452699</v>
      </c>
      <c r="AA163" s="346">
        <f>(IF(COUNT($R163:Z163)&lt;$R$149,Z163,0))</f>
        <v>24.422313374452699</v>
      </c>
      <c r="AB163" s="346">
        <f>(IF(COUNT($R163:AA163)&lt;$R$149,AA163,0))</f>
        <v>0</v>
      </c>
      <c r="AC163" s="346">
        <f>(IF(COUNT($R163:AB163)&lt;$R$149,AB163,0))</f>
        <v>0</v>
      </c>
      <c r="AD163" s="346">
        <f>(IF(COUNT($R163:AC163)&lt;$R$149,AC163,0))</f>
        <v>0</v>
      </c>
      <c r="AE163" s="183"/>
      <c r="AF163" s="183"/>
      <c r="AG163" s="183"/>
      <c r="AH163" s="183"/>
    </row>
    <row r="164" spans="1:34" ht="11.25" customHeight="1" outlineLevel="1">
      <c r="A164" s="178"/>
      <c r="B164" s="338"/>
      <c r="C164" s="345" t="str">
        <v>01/2009</v>
      </c>
      <c r="D164" s="208"/>
      <c r="E164" s="208"/>
      <c r="F164" s="208"/>
      <c r="G164" s="208"/>
      <c r="H164" s="346"/>
      <c r="I164" s="346"/>
      <c r="J164" s="346"/>
      <c r="K164" s="346"/>
      <c r="L164" s="346"/>
      <c r="M164" s="346"/>
      <c r="N164" s="346"/>
      <c r="O164" s="346"/>
      <c r="P164" s="346"/>
      <c r="Q164" s="346"/>
      <c r="R164" s="346">
        <f>R$22/R$149*(1-$H$150)</f>
        <v>117.18906094528927</v>
      </c>
      <c r="S164" s="346">
        <f>(IF(COUNT($R164:R164)&lt;$R$149,R164,0))</f>
        <v>117.18906094528927</v>
      </c>
      <c r="T164" s="346">
        <f>(IF(COUNT($S164:S164)&lt;$S$149,S164,0))</f>
        <v>117.18906094528927</v>
      </c>
      <c r="U164" s="346">
        <f>(IF(COUNT($S164:T164)&lt;$S$149,T164,0))</f>
        <v>117.18906094528927</v>
      </c>
      <c r="V164" s="346">
        <f>(IF(COUNT($S164:U164)&lt;$S$149,U164,0))</f>
        <v>117.18906094528927</v>
      </c>
      <c r="W164" s="346">
        <f>(IF(COUNT($S164:V164)&lt;$S$149,V164,0))</f>
        <v>117.18906094528927</v>
      </c>
      <c r="X164" s="346">
        <f>(IF(COUNT($S164:W164)&lt;$S$149,W164,0))</f>
        <v>117.18906094528927</v>
      </c>
      <c r="Y164" s="346">
        <f>(IF(COUNT($S164:X164)&lt;$S$149,X164,0))</f>
        <v>117.18906094528927</v>
      </c>
      <c r="Z164" s="346">
        <f>(IF(COUNT($S164:Y164)&lt;$S$149,Y164,0))</f>
        <v>117.18906094528927</v>
      </c>
      <c r="AA164" s="346">
        <f>(IF(COUNT($S164:Z164)&lt;$S$149,Z164,0))</f>
        <v>117.18906094528927</v>
      </c>
      <c r="AB164" s="346">
        <f>(IF(COUNT($S164:AA164)&lt;$S$149,AA164,0))</f>
        <v>117.18906094528927</v>
      </c>
      <c r="AC164" s="346">
        <f>(IF(COUNT($S164:AB164)&lt;$S$149,AB164,0))</f>
        <v>0</v>
      </c>
      <c r="AD164" s="346">
        <f>(IF(COUNT($S164:AC164)&lt;$S$149,AC164,0))</f>
        <v>0</v>
      </c>
      <c r="AE164" s="183"/>
      <c r="AF164" s="183"/>
      <c r="AG164" s="183"/>
      <c r="AH164" s="183"/>
    </row>
    <row r="165" spans="1:34" ht="11.25" customHeight="1" outlineLevel="1">
      <c r="A165" s="178"/>
      <c r="B165" s="338"/>
      <c r="C165" s="345" t="str">
        <v>01/2010</v>
      </c>
      <c r="D165" s="208"/>
      <c r="E165" s="208"/>
      <c r="F165" s="208"/>
      <c r="G165" s="208"/>
      <c r="H165" s="346"/>
      <c r="I165" s="346"/>
      <c r="J165" s="346"/>
      <c r="K165" s="346"/>
      <c r="L165" s="346"/>
      <c r="M165" s="346"/>
      <c r="N165" s="346"/>
      <c r="O165" s="346"/>
      <c r="P165" s="346"/>
      <c r="Q165" s="346"/>
      <c r="R165" s="346"/>
      <c r="S165" s="346">
        <f>S$22/S$149*(1-$H$150)</f>
        <v>156.88501780739671</v>
      </c>
      <c r="T165" s="346">
        <f>(IF(COUNT($S165:S165)&lt;$S$149,S165,0))</f>
        <v>156.88501780739671</v>
      </c>
      <c r="U165" s="346">
        <f>(IF(COUNT($S165:T165)&lt;$S$149,T165,0))</f>
        <v>156.88501780739671</v>
      </c>
      <c r="V165" s="346">
        <f>(IF(COUNT($S165:U165)&lt;$S$149,U165,0))</f>
        <v>156.88501780739671</v>
      </c>
      <c r="W165" s="346">
        <f>(IF(COUNT($S165:V165)&lt;$S$149,V165,0))</f>
        <v>156.88501780739671</v>
      </c>
      <c r="X165" s="346">
        <f>(IF(COUNT($S165:W165)&lt;$S$149,W165,0))</f>
        <v>156.88501780739671</v>
      </c>
      <c r="Y165" s="346">
        <f>(IF(COUNT($S165:X165)&lt;$S$149,X165,0))</f>
        <v>156.88501780739671</v>
      </c>
      <c r="Z165" s="346">
        <f>(IF(COUNT($S165:Y165)&lt;$S$149,Y165,0))</f>
        <v>156.88501780739671</v>
      </c>
      <c r="AA165" s="346">
        <f>(IF(COUNT($S165:Z165)&lt;$S$149,Z165,0))</f>
        <v>156.88501780739671</v>
      </c>
      <c r="AB165" s="346">
        <f>(IF(COUNT($S165:AA165)&lt;$S$149,AA165,0))</f>
        <v>156.88501780739671</v>
      </c>
      <c r="AC165" s="346">
        <f>(IF(COUNT($S165:AB165)&lt;$S$149,AB165,0))</f>
        <v>0</v>
      </c>
      <c r="AD165" s="346">
        <f>(IF(COUNT($S165:AC165)&lt;$S$149,AC165,0))</f>
        <v>0</v>
      </c>
      <c r="AE165" s="183"/>
      <c r="AF165" s="183"/>
      <c r="AG165" s="183"/>
      <c r="AH165" s="183"/>
    </row>
    <row r="166" spans="1:34" ht="11.25" customHeight="1" outlineLevel="1">
      <c r="A166" s="178"/>
      <c r="B166" s="338"/>
      <c r="C166" s="345" t="str">
        <v>01/2011</v>
      </c>
      <c r="D166" s="208"/>
      <c r="E166" s="208"/>
      <c r="F166" s="208"/>
      <c r="G166" s="208"/>
      <c r="H166" s="346"/>
      <c r="I166" s="346"/>
      <c r="J166" s="346"/>
      <c r="K166" s="346"/>
      <c r="L166" s="346"/>
      <c r="M166" s="346"/>
      <c r="N166" s="346"/>
      <c r="O166" s="346"/>
      <c r="P166" s="346"/>
      <c r="Q166" s="346"/>
      <c r="R166" s="346"/>
      <c r="S166" s="346"/>
      <c r="T166" s="346">
        <f>T$22/T$149*(1-$H$150)</f>
        <v>83.785786069576389</v>
      </c>
      <c r="U166" s="346">
        <f>(IF(COUNT($S166:T166)&lt;$S$149,T166,0))</f>
        <v>83.785786069576389</v>
      </c>
      <c r="V166" s="346">
        <f>(IF(COUNT($S166:U166)&lt;$S$149,U166,0))</f>
        <v>83.785786069576389</v>
      </c>
      <c r="W166" s="346">
        <f>(IF(COUNT($S166:V166)&lt;$S$149,V166,0))</f>
        <v>83.785786069576389</v>
      </c>
      <c r="X166" s="346">
        <f>(IF(COUNT($S166:W166)&lt;$S$149,W166,0))</f>
        <v>83.785786069576389</v>
      </c>
      <c r="Y166" s="346">
        <f>(IF(COUNT($S166:X166)&lt;$S$149,X166,0))</f>
        <v>83.785786069576389</v>
      </c>
      <c r="Z166" s="346">
        <f>(IF(COUNT($S166:Y166)&lt;$S$149,Y166,0))</f>
        <v>83.785786069576389</v>
      </c>
      <c r="AA166" s="346">
        <f>(IF(COUNT($S166:Z166)&lt;$S$149,Z166,0))</f>
        <v>83.785786069576389</v>
      </c>
      <c r="AB166" s="346">
        <f>(IF(COUNT($S166:AA166)&lt;$S$149,AA166,0))</f>
        <v>83.785786069576389</v>
      </c>
      <c r="AC166" s="346">
        <f>(IF(COUNT($S166:AB166)&lt;$S$149,AB166,0))</f>
        <v>83.785786069576389</v>
      </c>
      <c r="AD166" s="346">
        <f>(IF(COUNT($S166:AC166)&lt;$S$149,AC166,0))</f>
        <v>0</v>
      </c>
      <c r="AE166" s="183"/>
      <c r="AF166" s="183"/>
      <c r="AG166" s="183"/>
      <c r="AH166" s="183"/>
    </row>
    <row r="167" spans="1:34" ht="11.25" customHeight="1" outlineLevel="1">
      <c r="A167" s="178"/>
      <c r="B167" s="338"/>
      <c r="C167" s="345" t="str">
        <v>01/2012</v>
      </c>
      <c r="D167" s="208"/>
      <c r="E167" s="208"/>
      <c r="F167" s="208"/>
      <c r="G167" s="208"/>
      <c r="H167" s="346"/>
      <c r="I167" s="346"/>
      <c r="J167" s="346"/>
      <c r="K167" s="346"/>
      <c r="L167" s="346"/>
      <c r="M167" s="346"/>
      <c r="N167" s="346"/>
      <c r="O167" s="346"/>
      <c r="P167" s="346"/>
      <c r="Q167" s="346"/>
      <c r="R167" s="346"/>
      <c r="S167" s="346"/>
      <c r="T167" s="346"/>
      <c r="U167" s="346">
        <f>U$22/U$149*(1-$H$150)</f>
        <v>48.942795851385377</v>
      </c>
      <c r="V167" s="346">
        <f>(IF(COUNT($S167:U167)&lt;$S$149,U167,0))</f>
        <v>48.942795851385377</v>
      </c>
      <c r="W167" s="346">
        <f>(IF(COUNT($S167:V167)&lt;$S$149,V167,0))</f>
        <v>48.942795851385377</v>
      </c>
      <c r="X167" s="346">
        <f>(IF(COUNT($S167:W167)&lt;$S$149,W167,0))</f>
        <v>48.942795851385377</v>
      </c>
      <c r="Y167" s="346">
        <f>(IF(COUNT($S167:X167)&lt;$S$149,X167,0))</f>
        <v>48.942795851385377</v>
      </c>
      <c r="Z167" s="346">
        <f>(IF(COUNT($S167:Y167)&lt;$S$149,Y167,0))</f>
        <v>48.942795851385377</v>
      </c>
      <c r="AA167" s="346">
        <f>(IF(COUNT($S167:Z167)&lt;$S$149,Z167,0))</f>
        <v>48.942795851385377</v>
      </c>
      <c r="AB167" s="346">
        <f>(IF(COUNT($S167:AA167)&lt;$S$149,AA167,0))</f>
        <v>48.942795851385377</v>
      </c>
      <c r="AC167" s="346">
        <f>(IF(COUNT($S167:AB167)&lt;$S$149,AB167,0))</f>
        <v>48.942795851385377</v>
      </c>
      <c r="AD167" s="346">
        <f>(IF(COUNT($S167:AC167)&lt;$S$149,AC167,0))</f>
        <v>48.942795851385377</v>
      </c>
      <c r="AE167" s="183"/>
      <c r="AF167" s="183"/>
      <c r="AG167" s="183"/>
      <c r="AH167" s="183"/>
    </row>
    <row r="168" spans="1:34" ht="11.25" customHeight="1" outlineLevel="1">
      <c r="A168" s="178"/>
      <c r="B168" s="338"/>
      <c r="C168" s="345" t="str">
        <v>01/2013</v>
      </c>
      <c r="D168" s="208"/>
      <c r="E168" s="208"/>
      <c r="F168" s="208"/>
      <c r="G168" s="208"/>
      <c r="H168" s="346"/>
      <c r="I168" s="346"/>
      <c r="J168" s="346"/>
      <c r="K168" s="346"/>
      <c r="L168" s="346"/>
      <c r="M168" s="346"/>
      <c r="N168" s="346"/>
      <c r="O168" s="346"/>
      <c r="P168" s="346"/>
      <c r="Q168" s="346"/>
      <c r="R168" s="346"/>
      <c r="S168" s="346"/>
      <c r="T168" s="346"/>
      <c r="U168" s="347"/>
      <c r="V168" s="346">
        <f>V$22/V$149*(1-$H$150)</f>
        <v>128.83254011582801</v>
      </c>
      <c r="W168" s="346">
        <f>(IF(COUNT($S168:V168)&lt;$S$149,V168,0))</f>
        <v>128.83254011582801</v>
      </c>
      <c r="X168" s="346">
        <f>(IF(COUNT($S168:W168)&lt;$S$149,W168,0))</f>
        <v>128.83254011582801</v>
      </c>
      <c r="Y168" s="346">
        <f>(IF(COUNT($S168:X168)&lt;$S$149,X168,0))</f>
        <v>128.83254011582801</v>
      </c>
      <c r="Z168" s="346">
        <f>(IF(COUNT($S168:Y168)&lt;$S$149,Y168,0))</f>
        <v>128.83254011582801</v>
      </c>
      <c r="AA168" s="346">
        <f>(IF(COUNT($S168:Z168)&lt;$S$149,Z168,0))</f>
        <v>128.83254011582801</v>
      </c>
      <c r="AB168" s="346">
        <f>(IF(COUNT($S168:AA168)&lt;$S$149,AA168,0))</f>
        <v>128.83254011582801</v>
      </c>
      <c r="AC168" s="346">
        <f>(IF(COUNT($S168:AB168)&lt;$S$149,AB168,0))</f>
        <v>128.83254011582801</v>
      </c>
      <c r="AD168" s="346">
        <f>(IF(COUNT($S168:AC168)&lt;$S$149,AC168,0))</f>
        <v>128.83254011582801</v>
      </c>
      <c r="AE168" s="183"/>
      <c r="AF168" s="183"/>
      <c r="AG168" s="183"/>
      <c r="AH168" s="183"/>
    </row>
    <row r="169" spans="1:34" ht="11.25" customHeight="1" outlineLevel="1">
      <c r="A169" s="178"/>
      <c r="B169" s="338"/>
      <c r="C169" s="345" t="str">
        <v>01/2014</v>
      </c>
      <c r="D169" s="208"/>
      <c r="E169" s="208"/>
      <c r="F169" s="208"/>
      <c r="G169" s="208"/>
      <c r="H169" s="346"/>
      <c r="I169" s="346"/>
      <c r="J169" s="346"/>
      <c r="K169" s="346"/>
      <c r="L169" s="346"/>
      <c r="M169" s="346"/>
      <c r="N169" s="346"/>
      <c r="O169" s="346"/>
      <c r="P169" s="346"/>
      <c r="Q169" s="346"/>
      <c r="R169" s="346"/>
      <c r="S169" s="346"/>
      <c r="T169" s="346"/>
      <c r="U169" s="347"/>
      <c r="V169" s="183"/>
      <c r="W169" s="346">
        <f>W$22/W$149*(1-$H$150)</f>
        <v>138.98729650064834</v>
      </c>
      <c r="X169" s="346">
        <f>(IF(COUNT($S169:W169)&lt;$S$149,W169,0))</f>
        <v>138.98729650064834</v>
      </c>
      <c r="Y169" s="346">
        <f>(IF(COUNT($S169:X169)&lt;$S$149,X169,0))</f>
        <v>138.98729650064834</v>
      </c>
      <c r="Z169" s="346">
        <f>(IF(COUNT($S169:Y169)&lt;$S$149,Y169,0))</f>
        <v>138.98729650064834</v>
      </c>
      <c r="AA169" s="346">
        <f>(IF(COUNT($S169:Z169)&lt;$S$149,Z169,0))</f>
        <v>138.98729650064834</v>
      </c>
      <c r="AB169" s="346">
        <f>(IF(COUNT($S169:AA169)&lt;$S$149,AA169,0))</f>
        <v>138.98729650064834</v>
      </c>
      <c r="AC169" s="346">
        <f>(IF(COUNT($S169:AB169)&lt;$S$149,AB169,0))</f>
        <v>138.98729650064834</v>
      </c>
      <c r="AD169" s="346">
        <f>(IF(COUNT($S169:AC169)&lt;$S$149,AC169,0))</f>
        <v>138.98729650064834</v>
      </c>
      <c r="AE169" s="183"/>
      <c r="AF169" s="183"/>
      <c r="AG169" s="183"/>
      <c r="AH169" s="183"/>
    </row>
    <row r="170" spans="1:34" ht="11.25" customHeight="1" outlineLevel="1">
      <c r="A170" s="178"/>
      <c r="B170" s="348"/>
      <c r="C170" s="208"/>
      <c r="D170" s="208"/>
      <c r="E170" s="208"/>
      <c r="F170" s="208"/>
      <c r="G170" s="208"/>
      <c r="H170" s="347"/>
      <c r="I170" s="347"/>
      <c r="J170" s="347"/>
      <c r="K170" s="347"/>
      <c r="L170" s="347"/>
      <c r="M170" s="347"/>
      <c r="N170" s="347"/>
      <c r="O170" s="347"/>
      <c r="P170" s="347"/>
      <c r="Q170" s="347"/>
      <c r="R170" s="347"/>
      <c r="S170" s="347"/>
      <c r="T170" s="180"/>
      <c r="U170" s="180"/>
      <c r="V170" s="180"/>
      <c r="W170" s="180"/>
      <c r="X170" s="180">
        <f t="shared" ref="X170:AD170" si="111">X$22/X$149*(1-$H$150)</f>
        <v>114.70348839969469</v>
      </c>
      <c r="Y170" s="180">
        <f t="shared" si="111"/>
        <v>118.14459305168558</v>
      </c>
      <c r="Z170" s="180">
        <f t="shared" si="111"/>
        <v>121.68893084323615</v>
      </c>
      <c r="AA170" s="180">
        <f t="shared" si="111"/>
        <v>125.33959876853324</v>
      </c>
      <c r="AB170" s="180">
        <f t="shared" si="111"/>
        <v>129.09978673158921</v>
      </c>
      <c r="AC170" s="180">
        <f t="shared" si="111"/>
        <v>132.97278033353689</v>
      </c>
      <c r="AD170" s="180">
        <f t="shared" si="111"/>
        <v>136.96196374354298</v>
      </c>
      <c r="AE170" s="183"/>
      <c r="AF170" s="183"/>
      <c r="AG170" s="183"/>
      <c r="AH170" s="183"/>
    </row>
    <row r="171" spans="1:34" ht="11.25" customHeight="1" outlineLevel="1">
      <c r="A171" s="349"/>
      <c r="B171" s="350"/>
      <c r="C171" s="208"/>
      <c r="D171" s="208"/>
      <c r="E171" s="208"/>
      <c r="F171" s="208"/>
      <c r="G171" s="208"/>
      <c r="H171" s="351">
        <f t="shared" ref="H171:X171" si="112">SUM(H154:H169)</f>
        <v>234.13635460317644</v>
      </c>
      <c r="I171" s="351">
        <f t="shared" si="112"/>
        <v>285.45715269957543</v>
      </c>
      <c r="J171" s="351">
        <f t="shared" si="112"/>
        <v>346.47954948425831</v>
      </c>
      <c r="K171" s="351">
        <f t="shared" si="112"/>
        <v>412.73683433977578</v>
      </c>
      <c r="L171" s="351">
        <f t="shared" si="112"/>
        <v>521.09685799381543</v>
      </c>
      <c r="M171" s="351">
        <f t="shared" si="112"/>
        <v>648.46789027800344</v>
      </c>
      <c r="N171" s="351">
        <f t="shared" si="112"/>
        <v>713.64897191331636</v>
      </c>
      <c r="O171" s="351">
        <f t="shared" si="112"/>
        <v>630.68758368941621</v>
      </c>
      <c r="P171" s="351">
        <f t="shared" si="112"/>
        <v>649.50738926496433</v>
      </c>
      <c r="Q171" s="351">
        <f t="shared" si="112"/>
        <v>673.92970263941697</v>
      </c>
      <c r="R171" s="351">
        <f t="shared" si="112"/>
        <v>791.11876358470624</v>
      </c>
      <c r="S171" s="351">
        <f t="shared" si="112"/>
        <v>892.00025620364033</v>
      </c>
      <c r="T171" s="351">
        <f t="shared" si="112"/>
        <v>910.17457293831171</v>
      </c>
      <c r="U171" s="351">
        <f t="shared" si="112"/>
        <v>888.36279283496185</v>
      </c>
      <c r="V171" s="351">
        <f t="shared" si="112"/>
        <v>1017.1953329507899</v>
      </c>
      <c r="W171" s="351">
        <f t="shared" si="112"/>
        <v>1043.4152605201652</v>
      </c>
      <c r="X171" s="351">
        <f t="shared" si="112"/>
        <v>916.04422823597713</v>
      </c>
      <c r="Y171" s="351">
        <f t="shared" ref="Y171:AD171" si="113">SUM(Y154:Y169)</f>
        <v>846.54394822897541</v>
      </c>
      <c r="Z171" s="351">
        <f t="shared" si="113"/>
        <v>800.30882871703363</v>
      </c>
      <c r="AA171" s="351">
        <f t="shared" si="113"/>
        <v>699.04481066457674</v>
      </c>
      <c r="AB171" s="351">
        <f t="shared" si="113"/>
        <v>674.62249729012399</v>
      </c>
      <c r="AC171" s="351">
        <f t="shared" si="113"/>
        <v>400.54841853743812</v>
      </c>
      <c r="AD171" s="351">
        <f t="shared" si="113"/>
        <v>316.76263246786175</v>
      </c>
      <c r="AE171" s="180"/>
      <c r="AF171" s="180"/>
      <c r="AG171" s="180"/>
      <c r="AH171" s="180"/>
    </row>
  </sheetData>
  <phoneticPr fontId="56" type="noConversion"/>
  <dataValidations disablePrompts="1" count="1">
    <dataValidation type="custom" allowBlank="1" showInputMessage="1" showErrorMessage="1" sqref="C4">
      <formula1>-1</formula1>
    </dataValidation>
  </dataValidations>
  <pageMargins left="0.25" right="0.25" top="0.25" bottom="0.5" header="0.25" footer="0.25"/>
  <pageSetup paperSize="5" scale="80" orientation="landscape" horizontalDpi="300" verticalDpi="300" r:id="rId1"/>
  <headerFooter alignWithMargins="0">
    <oddFooter>&amp;L&amp;"Arial,Bold"&amp;8Morgan Stanley: Confidential - FOR DISCUSSION PURPOSES ONLY
&amp;R&amp;8Printed on &amp;D - Page &amp;P of &amp;N</oddFooter>
  </headerFooter>
  <rowBreaks count="2" manualBreakCount="2">
    <brk id="41" max="16383" man="1"/>
    <brk id="109" max="16383"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61"/>
  <sheetViews>
    <sheetView zoomScaleNormal="100" workbookViewId="0">
      <selection activeCell="L27" sqref="L27"/>
    </sheetView>
  </sheetViews>
  <sheetFormatPr defaultRowHeight="12.75"/>
  <cols>
    <col min="1" max="1" width="2" style="1961" customWidth="1"/>
    <col min="2" max="2" width="32.140625" style="2021" customWidth="1"/>
    <col min="3" max="3" width="10.5703125" style="1961" customWidth="1"/>
    <col min="4" max="10" width="10.28515625" style="1961" bestFit="1" customWidth="1"/>
    <col min="11" max="11" width="11.28515625" style="1961" bestFit="1" customWidth="1"/>
    <col min="12" max="256" width="9.140625" style="1961"/>
    <col min="257" max="257" width="2" style="1961" customWidth="1"/>
    <col min="258" max="258" width="32.140625" style="1961" customWidth="1"/>
    <col min="259" max="259" width="10.5703125" style="1961" customWidth="1"/>
    <col min="260" max="266" width="10.28515625" style="1961" bestFit="1" customWidth="1"/>
    <col min="267" max="267" width="11.28515625" style="1961" bestFit="1" customWidth="1"/>
    <col min="268" max="512" width="9.140625" style="1961"/>
    <col min="513" max="513" width="2" style="1961" customWidth="1"/>
    <col min="514" max="514" width="32.140625" style="1961" customWidth="1"/>
    <col min="515" max="515" width="10.5703125" style="1961" customWidth="1"/>
    <col min="516" max="522" width="10.28515625" style="1961" bestFit="1" customWidth="1"/>
    <col min="523" max="523" width="11.28515625" style="1961" bestFit="1" customWidth="1"/>
    <col min="524" max="768" width="9.140625" style="1961"/>
    <col min="769" max="769" width="2" style="1961" customWidth="1"/>
    <col min="770" max="770" width="32.140625" style="1961" customWidth="1"/>
    <col min="771" max="771" width="10.5703125" style="1961" customWidth="1"/>
    <col min="772" max="778" width="10.28515625" style="1961" bestFit="1" customWidth="1"/>
    <col min="779" max="779" width="11.28515625" style="1961" bestFit="1" customWidth="1"/>
    <col min="780" max="1024" width="9.140625" style="1961"/>
    <col min="1025" max="1025" width="2" style="1961" customWidth="1"/>
    <col min="1026" max="1026" width="32.140625" style="1961" customWidth="1"/>
    <col min="1027" max="1027" width="10.5703125" style="1961" customWidth="1"/>
    <col min="1028" max="1034" width="10.28515625" style="1961" bestFit="1" customWidth="1"/>
    <col min="1035" max="1035" width="11.28515625" style="1961" bestFit="1" customWidth="1"/>
    <col min="1036" max="1280" width="9.140625" style="1961"/>
    <col min="1281" max="1281" width="2" style="1961" customWidth="1"/>
    <col min="1282" max="1282" width="32.140625" style="1961" customWidth="1"/>
    <col min="1283" max="1283" width="10.5703125" style="1961" customWidth="1"/>
    <col min="1284" max="1290" width="10.28515625" style="1961" bestFit="1" customWidth="1"/>
    <col min="1291" max="1291" width="11.28515625" style="1961" bestFit="1" customWidth="1"/>
    <col min="1292" max="1536" width="9.140625" style="1961"/>
    <col min="1537" max="1537" width="2" style="1961" customWidth="1"/>
    <col min="1538" max="1538" width="32.140625" style="1961" customWidth="1"/>
    <col min="1539" max="1539" width="10.5703125" style="1961" customWidth="1"/>
    <col min="1540" max="1546" width="10.28515625" style="1961" bestFit="1" customWidth="1"/>
    <col min="1547" max="1547" width="11.28515625" style="1961" bestFit="1" customWidth="1"/>
    <col min="1548" max="1792" width="9.140625" style="1961"/>
    <col min="1793" max="1793" width="2" style="1961" customWidth="1"/>
    <col min="1794" max="1794" width="32.140625" style="1961" customWidth="1"/>
    <col min="1795" max="1795" width="10.5703125" style="1961" customWidth="1"/>
    <col min="1796" max="1802" width="10.28515625" style="1961" bestFit="1" customWidth="1"/>
    <col min="1803" max="1803" width="11.28515625" style="1961" bestFit="1" customWidth="1"/>
    <col min="1804" max="2048" width="9.140625" style="1961"/>
    <col min="2049" max="2049" width="2" style="1961" customWidth="1"/>
    <col min="2050" max="2050" width="32.140625" style="1961" customWidth="1"/>
    <col min="2051" max="2051" width="10.5703125" style="1961" customWidth="1"/>
    <col min="2052" max="2058" width="10.28515625" style="1961" bestFit="1" customWidth="1"/>
    <col min="2059" max="2059" width="11.28515625" style="1961" bestFit="1" customWidth="1"/>
    <col min="2060" max="2304" width="9.140625" style="1961"/>
    <col min="2305" max="2305" width="2" style="1961" customWidth="1"/>
    <col min="2306" max="2306" width="32.140625" style="1961" customWidth="1"/>
    <col min="2307" max="2307" width="10.5703125" style="1961" customWidth="1"/>
    <col min="2308" max="2314" width="10.28515625" style="1961" bestFit="1" customWidth="1"/>
    <col min="2315" max="2315" width="11.28515625" style="1961" bestFit="1" customWidth="1"/>
    <col min="2316" max="2560" width="9.140625" style="1961"/>
    <col min="2561" max="2561" width="2" style="1961" customWidth="1"/>
    <col min="2562" max="2562" width="32.140625" style="1961" customWidth="1"/>
    <col min="2563" max="2563" width="10.5703125" style="1961" customWidth="1"/>
    <col min="2564" max="2570" width="10.28515625" style="1961" bestFit="1" customWidth="1"/>
    <col min="2571" max="2571" width="11.28515625" style="1961" bestFit="1" customWidth="1"/>
    <col min="2572" max="2816" width="9.140625" style="1961"/>
    <col min="2817" max="2817" width="2" style="1961" customWidth="1"/>
    <col min="2818" max="2818" width="32.140625" style="1961" customWidth="1"/>
    <col min="2819" max="2819" width="10.5703125" style="1961" customWidth="1"/>
    <col min="2820" max="2826" width="10.28515625" style="1961" bestFit="1" customWidth="1"/>
    <col min="2827" max="2827" width="11.28515625" style="1961" bestFit="1" customWidth="1"/>
    <col min="2828" max="3072" width="9.140625" style="1961"/>
    <col min="3073" max="3073" width="2" style="1961" customWidth="1"/>
    <col min="3074" max="3074" width="32.140625" style="1961" customWidth="1"/>
    <col min="3075" max="3075" width="10.5703125" style="1961" customWidth="1"/>
    <col min="3076" max="3082" width="10.28515625" style="1961" bestFit="1" customWidth="1"/>
    <col min="3083" max="3083" width="11.28515625" style="1961" bestFit="1" customWidth="1"/>
    <col min="3084" max="3328" width="9.140625" style="1961"/>
    <col min="3329" max="3329" width="2" style="1961" customWidth="1"/>
    <col min="3330" max="3330" width="32.140625" style="1961" customWidth="1"/>
    <col min="3331" max="3331" width="10.5703125" style="1961" customWidth="1"/>
    <col min="3332" max="3338" width="10.28515625" style="1961" bestFit="1" customWidth="1"/>
    <col min="3339" max="3339" width="11.28515625" style="1961" bestFit="1" customWidth="1"/>
    <col min="3340" max="3584" width="9.140625" style="1961"/>
    <col min="3585" max="3585" width="2" style="1961" customWidth="1"/>
    <col min="3586" max="3586" width="32.140625" style="1961" customWidth="1"/>
    <col min="3587" max="3587" width="10.5703125" style="1961" customWidth="1"/>
    <col min="3588" max="3594" width="10.28515625" style="1961" bestFit="1" customWidth="1"/>
    <col min="3595" max="3595" width="11.28515625" style="1961" bestFit="1" customWidth="1"/>
    <col min="3596" max="3840" width="9.140625" style="1961"/>
    <col min="3841" max="3841" width="2" style="1961" customWidth="1"/>
    <col min="3842" max="3842" width="32.140625" style="1961" customWidth="1"/>
    <col min="3843" max="3843" width="10.5703125" style="1961" customWidth="1"/>
    <col min="3844" max="3850" width="10.28515625" style="1961" bestFit="1" customWidth="1"/>
    <col min="3851" max="3851" width="11.28515625" style="1961" bestFit="1" customWidth="1"/>
    <col min="3852" max="4096" width="9.140625" style="1961"/>
    <col min="4097" max="4097" width="2" style="1961" customWidth="1"/>
    <col min="4098" max="4098" width="32.140625" style="1961" customWidth="1"/>
    <col min="4099" max="4099" width="10.5703125" style="1961" customWidth="1"/>
    <col min="4100" max="4106" width="10.28515625" style="1961" bestFit="1" customWidth="1"/>
    <col min="4107" max="4107" width="11.28515625" style="1961" bestFit="1" customWidth="1"/>
    <col min="4108" max="4352" width="9.140625" style="1961"/>
    <col min="4353" max="4353" width="2" style="1961" customWidth="1"/>
    <col min="4354" max="4354" width="32.140625" style="1961" customWidth="1"/>
    <col min="4355" max="4355" width="10.5703125" style="1961" customWidth="1"/>
    <col min="4356" max="4362" width="10.28515625" style="1961" bestFit="1" customWidth="1"/>
    <col min="4363" max="4363" width="11.28515625" style="1961" bestFit="1" customWidth="1"/>
    <col min="4364" max="4608" width="9.140625" style="1961"/>
    <col min="4609" max="4609" width="2" style="1961" customWidth="1"/>
    <col min="4610" max="4610" width="32.140625" style="1961" customWidth="1"/>
    <col min="4611" max="4611" width="10.5703125" style="1961" customWidth="1"/>
    <col min="4612" max="4618" width="10.28515625" style="1961" bestFit="1" customWidth="1"/>
    <col min="4619" max="4619" width="11.28515625" style="1961" bestFit="1" customWidth="1"/>
    <col min="4620" max="4864" width="9.140625" style="1961"/>
    <col min="4865" max="4865" width="2" style="1961" customWidth="1"/>
    <col min="4866" max="4866" width="32.140625" style="1961" customWidth="1"/>
    <col min="4867" max="4867" width="10.5703125" style="1961" customWidth="1"/>
    <col min="4868" max="4874" width="10.28515625" style="1961" bestFit="1" customWidth="1"/>
    <col min="4875" max="4875" width="11.28515625" style="1961" bestFit="1" customWidth="1"/>
    <col min="4876" max="5120" width="9.140625" style="1961"/>
    <col min="5121" max="5121" width="2" style="1961" customWidth="1"/>
    <col min="5122" max="5122" width="32.140625" style="1961" customWidth="1"/>
    <col min="5123" max="5123" width="10.5703125" style="1961" customWidth="1"/>
    <col min="5124" max="5130" width="10.28515625" style="1961" bestFit="1" customWidth="1"/>
    <col min="5131" max="5131" width="11.28515625" style="1961" bestFit="1" customWidth="1"/>
    <col min="5132" max="5376" width="9.140625" style="1961"/>
    <col min="5377" max="5377" width="2" style="1961" customWidth="1"/>
    <col min="5378" max="5378" width="32.140625" style="1961" customWidth="1"/>
    <col min="5379" max="5379" width="10.5703125" style="1961" customWidth="1"/>
    <col min="5380" max="5386" width="10.28515625" style="1961" bestFit="1" customWidth="1"/>
    <col min="5387" max="5387" width="11.28515625" style="1961" bestFit="1" customWidth="1"/>
    <col min="5388" max="5632" width="9.140625" style="1961"/>
    <col min="5633" max="5633" width="2" style="1961" customWidth="1"/>
    <col min="5634" max="5634" width="32.140625" style="1961" customWidth="1"/>
    <col min="5635" max="5635" width="10.5703125" style="1961" customWidth="1"/>
    <col min="5636" max="5642" width="10.28515625" style="1961" bestFit="1" customWidth="1"/>
    <col min="5643" max="5643" width="11.28515625" style="1961" bestFit="1" customWidth="1"/>
    <col min="5644" max="5888" width="9.140625" style="1961"/>
    <col min="5889" max="5889" width="2" style="1961" customWidth="1"/>
    <col min="5890" max="5890" width="32.140625" style="1961" customWidth="1"/>
    <col min="5891" max="5891" width="10.5703125" style="1961" customWidth="1"/>
    <col min="5892" max="5898" width="10.28515625" style="1961" bestFit="1" customWidth="1"/>
    <col min="5899" max="5899" width="11.28515625" style="1961" bestFit="1" customWidth="1"/>
    <col min="5900" max="6144" width="9.140625" style="1961"/>
    <col min="6145" max="6145" width="2" style="1961" customWidth="1"/>
    <col min="6146" max="6146" width="32.140625" style="1961" customWidth="1"/>
    <col min="6147" max="6147" width="10.5703125" style="1961" customWidth="1"/>
    <col min="6148" max="6154" width="10.28515625" style="1961" bestFit="1" customWidth="1"/>
    <col min="6155" max="6155" width="11.28515625" style="1961" bestFit="1" customWidth="1"/>
    <col min="6156" max="6400" width="9.140625" style="1961"/>
    <col min="6401" max="6401" width="2" style="1961" customWidth="1"/>
    <col min="6402" max="6402" width="32.140625" style="1961" customWidth="1"/>
    <col min="6403" max="6403" width="10.5703125" style="1961" customWidth="1"/>
    <col min="6404" max="6410" width="10.28515625" style="1961" bestFit="1" customWidth="1"/>
    <col min="6411" max="6411" width="11.28515625" style="1961" bestFit="1" customWidth="1"/>
    <col min="6412" max="6656" width="9.140625" style="1961"/>
    <col min="6657" max="6657" width="2" style="1961" customWidth="1"/>
    <col min="6658" max="6658" width="32.140625" style="1961" customWidth="1"/>
    <col min="6659" max="6659" width="10.5703125" style="1961" customWidth="1"/>
    <col min="6660" max="6666" width="10.28515625" style="1961" bestFit="1" customWidth="1"/>
    <col min="6667" max="6667" width="11.28515625" style="1961" bestFit="1" customWidth="1"/>
    <col min="6668" max="6912" width="9.140625" style="1961"/>
    <col min="6913" max="6913" width="2" style="1961" customWidth="1"/>
    <col min="6914" max="6914" width="32.140625" style="1961" customWidth="1"/>
    <col min="6915" max="6915" width="10.5703125" style="1961" customWidth="1"/>
    <col min="6916" max="6922" width="10.28515625" style="1961" bestFit="1" customWidth="1"/>
    <col min="6923" max="6923" width="11.28515625" style="1961" bestFit="1" customWidth="1"/>
    <col min="6924" max="7168" width="9.140625" style="1961"/>
    <col min="7169" max="7169" width="2" style="1961" customWidth="1"/>
    <col min="7170" max="7170" width="32.140625" style="1961" customWidth="1"/>
    <col min="7171" max="7171" width="10.5703125" style="1961" customWidth="1"/>
    <col min="7172" max="7178" width="10.28515625" style="1961" bestFit="1" customWidth="1"/>
    <col min="7179" max="7179" width="11.28515625" style="1961" bestFit="1" customWidth="1"/>
    <col min="7180" max="7424" width="9.140625" style="1961"/>
    <col min="7425" max="7425" width="2" style="1961" customWidth="1"/>
    <col min="7426" max="7426" width="32.140625" style="1961" customWidth="1"/>
    <col min="7427" max="7427" width="10.5703125" style="1961" customWidth="1"/>
    <col min="7428" max="7434" width="10.28515625" style="1961" bestFit="1" customWidth="1"/>
    <col min="7435" max="7435" width="11.28515625" style="1961" bestFit="1" customWidth="1"/>
    <col min="7436" max="7680" width="9.140625" style="1961"/>
    <col min="7681" max="7681" width="2" style="1961" customWidth="1"/>
    <col min="7682" max="7682" width="32.140625" style="1961" customWidth="1"/>
    <col min="7683" max="7683" width="10.5703125" style="1961" customWidth="1"/>
    <col min="7684" max="7690" width="10.28515625" style="1961" bestFit="1" customWidth="1"/>
    <col min="7691" max="7691" width="11.28515625" style="1961" bestFit="1" customWidth="1"/>
    <col min="7692" max="7936" width="9.140625" style="1961"/>
    <col min="7937" max="7937" width="2" style="1961" customWidth="1"/>
    <col min="7938" max="7938" width="32.140625" style="1961" customWidth="1"/>
    <col min="7939" max="7939" width="10.5703125" style="1961" customWidth="1"/>
    <col min="7940" max="7946" width="10.28515625" style="1961" bestFit="1" customWidth="1"/>
    <col min="7947" max="7947" width="11.28515625" style="1961" bestFit="1" customWidth="1"/>
    <col min="7948" max="8192" width="9.140625" style="1961"/>
    <col min="8193" max="8193" width="2" style="1961" customWidth="1"/>
    <col min="8194" max="8194" width="32.140625" style="1961" customWidth="1"/>
    <col min="8195" max="8195" width="10.5703125" style="1961" customWidth="1"/>
    <col min="8196" max="8202" width="10.28515625" style="1961" bestFit="1" customWidth="1"/>
    <col min="8203" max="8203" width="11.28515625" style="1961" bestFit="1" customWidth="1"/>
    <col min="8204" max="8448" width="9.140625" style="1961"/>
    <col min="8449" max="8449" width="2" style="1961" customWidth="1"/>
    <col min="8450" max="8450" width="32.140625" style="1961" customWidth="1"/>
    <col min="8451" max="8451" width="10.5703125" style="1961" customWidth="1"/>
    <col min="8452" max="8458" width="10.28515625" style="1961" bestFit="1" customWidth="1"/>
    <col min="8459" max="8459" width="11.28515625" style="1961" bestFit="1" customWidth="1"/>
    <col min="8460" max="8704" width="9.140625" style="1961"/>
    <col min="8705" max="8705" width="2" style="1961" customWidth="1"/>
    <col min="8706" max="8706" width="32.140625" style="1961" customWidth="1"/>
    <col min="8707" max="8707" width="10.5703125" style="1961" customWidth="1"/>
    <col min="8708" max="8714" width="10.28515625" style="1961" bestFit="1" customWidth="1"/>
    <col min="8715" max="8715" width="11.28515625" style="1961" bestFit="1" customWidth="1"/>
    <col min="8716" max="8960" width="9.140625" style="1961"/>
    <col min="8961" max="8961" width="2" style="1961" customWidth="1"/>
    <col min="8962" max="8962" width="32.140625" style="1961" customWidth="1"/>
    <col min="8963" max="8963" width="10.5703125" style="1961" customWidth="1"/>
    <col min="8964" max="8970" width="10.28515625" style="1961" bestFit="1" customWidth="1"/>
    <col min="8971" max="8971" width="11.28515625" style="1961" bestFit="1" customWidth="1"/>
    <col min="8972" max="9216" width="9.140625" style="1961"/>
    <col min="9217" max="9217" width="2" style="1961" customWidth="1"/>
    <col min="9218" max="9218" width="32.140625" style="1961" customWidth="1"/>
    <col min="9219" max="9219" width="10.5703125" style="1961" customWidth="1"/>
    <col min="9220" max="9226" width="10.28515625" style="1961" bestFit="1" customWidth="1"/>
    <col min="9227" max="9227" width="11.28515625" style="1961" bestFit="1" customWidth="1"/>
    <col min="9228" max="9472" width="9.140625" style="1961"/>
    <col min="9473" max="9473" width="2" style="1961" customWidth="1"/>
    <col min="9474" max="9474" width="32.140625" style="1961" customWidth="1"/>
    <col min="9475" max="9475" width="10.5703125" style="1961" customWidth="1"/>
    <col min="9476" max="9482" width="10.28515625" style="1961" bestFit="1" customWidth="1"/>
    <col min="9483" max="9483" width="11.28515625" style="1961" bestFit="1" customWidth="1"/>
    <col min="9484" max="9728" width="9.140625" style="1961"/>
    <col min="9729" max="9729" width="2" style="1961" customWidth="1"/>
    <col min="9730" max="9730" width="32.140625" style="1961" customWidth="1"/>
    <col min="9731" max="9731" width="10.5703125" style="1961" customWidth="1"/>
    <col min="9732" max="9738" width="10.28515625" style="1961" bestFit="1" customWidth="1"/>
    <col min="9739" max="9739" width="11.28515625" style="1961" bestFit="1" customWidth="1"/>
    <col min="9740" max="9984" width="9.140625" style="1961"/>
    <col min="9985" max="9985" width="2" style="1961" customWidth="1"/>
    <col min="9986" max="9986" width="32.140625" style="1961" customWidth="1"/>
    <col min="9987" max="9987" width="10.5703125" style="1961" customWidth="1"/>
    <col min="9988" max="9994" width="10.28515625" style="1961" bestFit="1" customWidth="1"/>
    <col min="9995" max="9995" width="11.28515625" style="1961" bestFit="1" customWidth="1"/>
    <col min="9996" max="10240" width="9.140625" style="1961"/>
    <col min="10241" max="10241" width="2" style="1961" customWidth="1"/>
    <col min="10242" max="10242" width="32.140625" style="1961" customWidth="1"/>
    <col min="10243" max="10243" width="10.5703125" style="1961" customWidth="1"/>
    <col min="10244" max="10250" width="10.28515625" style="1961" bestFit="1" customWidth="1"/>
    <col min="10251" max="10251" width="11.28515625" style="1961" bestFit="1" customWidth="1"/>
    <col min="10252" max="10496" width="9.140625" style="1961"/>
    <col min="10497" max="10497" width="2" style="1961" customWidth="1"/>
    <col min="10498" max="10498" width="32.140625" style="1961" customWidth="1"/>
    <col min="10499" max="10499" width="10.5703125" style="1961" customWidth="1"/>
    <col min="10500" max="10506" width="10.28515625" style="1961" bestFit="1" customWidth="1"/>
    <col min="10507" max="10507" width="11.28515625" style="1961" bestFit="1" customWidth="1"/>
    <col min="10508" max="10752" width="9.140625" style="1961"/>
    <col min="10753" max="10753" width="2" style="1961" customWidth="1"/>
    <col min="10754" max="10754" width="32.140625" style="1961" customWidth="1"/>
    <col min="10755" max="10755" width="10.5703125" style="1961" customWidth="1"/>
    <col min="10756" max="10762" width="10.28515625" style="1961" bestFit="1" customWidth="1"/>
    <col min="10763" max="10763" width="11.28515625" style="1961" bestFit="1" customWidth="1"/>
    <col min="10764" max="11008" width="9.140625" style="1961"/>
    <col min="11009" max="11009" width="2" style="1961" customWidth="1"/>
    <col min="11010" max="11010" width="32.140625" style="1961" customWidth="1"/>
    <col min="11011" max="11011" width="10.5703125" style="1961" customWidth="1"/>
    <col min="11012" max="11018" width="10.28515625" style="1961" bestFit="1" customWidth="1"/>
    <col min="11019" max="11019" width="11.28515625" style="1961" bestFit="1" customWidth="1"/>
    <col min="11020" max="11264" width="9.140625" style="1961"/>
    <col min="11265" max="11265" width="2" style="1961" customWidth="1"/>
    <col min="11266" max="11266" width="32.140625" style="1961" customWidth="1"/>
    <col min="11267" max="11267" width="10.5703125" style="1961" customWidth="1"/>
    <col min="11268" max="11274" width="10.28515625" style="1961" bestFit="1" customWidth="1"/>
    <col min="11275" max="11275" width="11.28515625" style="1961" bestFit="1" customWidth="1"/>
    <col min="11276" max="11520" width="9.140625" style="1961"/>
    <col min="11521" max="11521" width="2" style="1961" customWidth="1"/>
    <col min="11522" max="11522" width="32.140625" style="1961" customWidth="1"/>
    <col min="11523" max="11523" width="10.5703125" style="1961" customWidth="1"/>
    <col min="11524" max="11530" width="10.28515625" style="1961" bestFit="1" customWidth="1"/>
    <col min="11531" max="11531" width="11.28515625" style="1961" bestFit="1" customWidth="1"/>
    <col min="11532" max="11776" width="9.140625" style="1961"/>
    <col min="11777" max="11777" width="2" style="1961" customWidth="1"/>
    <col min="11778" max="11778" width="32.140625" style="1961" customWidth="1"/>
    <col min="11779" max="11779" width="10.5703125" style="1961" customWidth="1"/>
    <col min="11780" max="11786" width="10.28515625" style="1961" bestFit="1" customWidth="1"/>
    <col min="11787" max="11787" width="11.28515625" style="1961" bestFit="1" customWidth="1"/>
    <col min="11788" max="12032" width="9.140625" style="1961"/>
    <col min="12033" max="12033" width="2" style="1961" customWidth="1"/>
    <col min="12034" max="12034" width="32.140625" style="1961" customWidth="1"/>
    <col min="12035" max="12035" width="10.5703125" style="1961" customWidth="1"/>
    <col min="12036" max="12042" width="10.28515625" style="1961" bestFit="1" customWidth="1"/>
    <col min="12043" max="12043" width="11.28515625" style="1961" bestFit="1" customWidth="1"/>
    <col min="12044" max="12288" width="9.140625" style="1961"/>
    <col min="12289" max="12289" width="2" style="1961" customWidth="1"/>
    <col min="12290" max="12290" width="32.140625" style="1961" customWidth="1"/>
    <col min="12291" max="12291" width="10.5703125" style="1961" customWidth="1"/>
    <col min="12292" max="12298" width="10.28515625" style="1961" bestFit="1" customWidth="1"/>
    <col min="12299" max="12299" width="11.28515625" style="1961" bestFit="1" customWidth="1"/>
    <col min="12300" max="12544" width="9.140625" style="1961"/>
    <col min="12545" max="12545" width="2" style="1961" customWidth="1"/>
    <col min="12546" max="12546" width="32.140625" style="1961" customWidth="1"/>
    <col min="12547" max="12547" width="10.5703125" style="1961" customWidth="1"/>
    <col min="12548" max="12554" width="10.28515625" style="1961" bestFit="1" customWidth="1"/>
    <col min="12555" max="12555" width="11.28515625" style="1961" bestFit="1" customWidth="1"/>
    <col min="12556" max="12800" width="9.140625" style="1961"/>
    <col min="12801" max="12801" width="2" style="1961" customWidth="1"/>
    <col min="12802" max="12802" width="32.140625" style="1961" customWidth="1"/>
    <col min="12803" max="12803" width="10.5703125" style="1961" customWidth="1"/>
    <col min="12804" max="12810" width="10.28515625" style="1961" bestFit="1" customWidth="1"/>
    <col min="12811" max="12811" width="11.28515625" style="1961" bestFit="1" customWidth="1"/>
    <col min="12812" max="13056" width="9.140625" style="1961"/>
    <col min="13057" max="13057" width="2" style="1961" customWidth="1"/>
    <col min="13058" max="13058" width="32.140625" style="1961" customWidth="1"/>
    <col min="13059" max="13059" width="10.5703125" style="1961" customWidth="1"/>
    <col min="13060" max="13066" width="10.28515625" style="1961" bestFit="1" customWidth="1"/>
    <col min="13067" max="13067" width="11.28515625" style="1961" bestFit="1" customWidth="1"/>
    <col min="13068" max="13312" width="9.140625" style="1961"/>
    <col min="13313" max="13313" width="2" style="1961" customWidth="1"/>
    <col min="13314" max="13314" width="32.140625" style="1961" customWidth="1"/>
    <col min="13315" max="13315" width="10.5703125" style="1961" customWidth="1"/>
    <col min="13316" max="13322" width="10.28515625" style="1961" bestFit="1" customWidth="1"/>
    <col min="13323" max="13323" width="11.28515625" style="1961" bestFit="1" customWidth="1"/>
    <col min="13324" max="13568" width="9.140625" style="1961"/>
    <col min="13569" max="13569" width="2" style="1961" customWidth="1"/>
    <col min="13570" max="13570" width="32.140625" style="1961" customWidth="1"/>
    <col min="13571" max="13571" width="10.5703125" style="1961" customWidth="1"/>
    <col min="13572" max="13578" width="10.28515625" style="1961" bestFit="1" customWidth="1"/>
    <col min="13579" max="13579" width="11.28515625" style="1961" bestFit="1" customWidth="1"/>
    <col min="13580" max="13824" width="9.140625" style="1961"/>
    <col min="13825" max="13825" width="2" style="1961" customWidth="1"/>
    <col min="13826" max="13826" width="32.140625" style="1961" customWidth="1"/>
    <col min="13827" max="13827" width="10.5703125" style="1961" customWidth="1"/>
    <col min="13828" max="13834" width="10.28515625" style="1961" bestFit="1" customWidth="1"/>
    <col min="13835" max="13835" width="11.28515625" style="1961" bestFit="1" customWidth="1"/>
    <col min="13836" max="14080" width="9.140625" style="1961"/>
    <col min="14081" max="14081" width="2" style="1961" customWidth="1"/>
    <col min="14082" max="14082" width="32.140625" style="1961" customWidth="1"/>
    <col min="14083" max="14083" width="10.5703125" style="1961" customWidth="1"/>
    <col min="14084" max="14090" width="10.28515625" style="1961" bestFit="1" customWidth="1"/>
    <col min="14091" max="14091" width="11.28515625" style="1961" bestFit="1" customWidth="1"/>
    <col min="14092" max="14336" width="9.140625" style="1961"/>
    <col min="14337" max="14337" width="2" style="1961" customWidth="1"/>
    <col min="14338" max="14338" width="32.140625" style="1961" customWidth="1"/>
    <col min="14339" max="14339" width="10.5703125" style="1961" customWidth="1"/>
    <col min="14340" max="14346" width="10.28515625" style="1961" bestFit="1" customWidth="1"/>
    <col min="14347" max="14347" width="11.28515625" style="1961" bestFit="1" customWidth="1"/>
    <col min="14348" max="14592" width="9.140625" style="1961"/>
    <col min="14593" max="14593" width="2" style="1961" customWidth="1"/>
    <col min="14594" max="14594" width="32.140625" style="1961" customWidth="1"/>
    <col min="14595" max="14595" width="10.5703125" style="1961" customWidth="1"/>
    <col min="14596" max="14602" width="10.28515625" style="1961" bestFit="1" customWidth="1"/>
    <col min="14603" max="14603" width="11.28515625" style="1961" bestFit="1" customWidth="1"/>
    <col min="14604" max="14848" width="9.140625" style="1961"/>
    <col min="14849" max="14849" width="2" style="1961" customWidth="1"/>
    <col min="14850" max="14850" width="32.140625" style="1961" customWidth="1"/>
    <col min="14851" max="14851" width="10.5703125" style="1961" customWidth="1"/>
    <col min="14852" max="14858" width="10.28515625" style="1961" bestFit="1" customWidth="1"/>
    <col min="14859" max="14859" width="11.28515625" style="1961" bestFit="1" customWidth="1"/>
    <col min="14860" max="15104" width="9.140625" style="1961"/>
    <col min="15105" max="15105" width="2" style="1961" customWidth="1"/>
    <col min="15106" max="15106" width="32.140625" style="1961" customWidth="1"/>
    <col min="15107" max="15107" width="10.5703125" style="1961" customWidth="1"/>
    <col min="15108" max="15114" width="10.28515625" style="1961" bestFit="1" customWidth="1"/>
    <col min="15115" max="15115" width="11.28515625" style="1961" bestFit="1" customWidth="1"/>
    <col min="15116" max="15360" width="9.140625" style="1961"/>
    <col min="15361" max="15361" width="2" style="1961" customWidth="1"/>
    <col min="15362" max="15362" width="32.140625" style="1961" customWidth="1"/>
    <col min="15363" max="15363" width="10.5703125" style="1961" customWidth="1"/>
    <col min="15364" max="15370" width="10.28515625" style="1961" bestFit="1" customWidth="1"/>
    <col min="15371" max="15371" width="11.28515625" style="1961" bestFit="1" customWidth="1"/>
    <col min="15372" max="15616" width="9.140625" style="1961"/>
    <col min="15617" max="15617" width="2" style="1961" customWidth="1"/>
    <col min="15618" max="15618" width="32.140625" style="1961" customWidth="1"/>
    <col min="15619" max="15619" width="10.5703125" style="1961" customWidth="1"/>
    <col min="15620" max="15626" width="10.28515625" style="1961" bestFit="1" customWidth="1"/>
    <col min="15627" max="15627" width="11.28515625" style="1961" bestFit="1" customWidth="1"/>
    <col min="15628" max="15872" width="9.140625" style="1961"/>
    <col min="15873" max="15873" width="2" style="1961" customWidth="1"/>
    <col min="15874" max="15874" width="32.140625" style="1961" customWidth="1"/>
    <col min="15875" max="15875" width="10.5703125" style="1961" customWidth="1"/>
    <col min="15876" max="15882" width="10.28515625" style="1961" bestFit="1" customWidth="1"/>
    <col min="15883" max="15883" width="11.28515625" style="1961" bestFit="1" customWidth="1"/>
    <col min="15884" max="16128" width="9.140625" style="1961"/>
    <col min="16129" max="16129" width="2" style="1961" customWidth="1"/>
    <col min="16130" max="16130" width="32.140625" style="1961" customWidth="1"/>
    <col min="16131" max="16131" width="10.5703125" style="1961" customWidth="1"/>
    <col min="16132" max="16138" width="10.28515625" style="1961" bestFit="1" customWidth="1"/>
    <col min="16139" max="16139" width="11.28515625" style="1961" bestFit="1" customWidth="1"/>
    <col min="16140" max="16384" width="9.140625" style="1961"/>
  </cols>
  <sheetData>
    <row r="1" spans="1:23">
      <c r="A1" s="1959"/>
      <c r="B1" s="1960"/>
      <c r="C1" s="2121" t="s">
        <v>814</v>
      </c>
      <c r="D1" s="2121"/>
      <c r="E1" s="2121"/>
      <c r="F1" s="2121"/>
      <c r="G1" s="2121"/>
      <c r="H1" s="2122" t="s">
        <v>815</v>
      </c>
      <c r="I1" s="2122"/>
      <c r="J1" s="2122"/>
      <c r="K1" s="1959"/>
      <c r="L1" s="1959"/>
      <c r="M1" s="1959"/>
      <c r="N1" s="1959"/>
      <c r="O1" s="1959"/>
      <c r="P1" s="1959"/>
      <c r="Q1" s="1959"/>
      <c r="R1" s="1959"/>
      <c r="S1" s="1959"/>
      <c r="T1" s="1959"/>
      <c r="U1" s="1959"/>
      <c r="V1" s="1959"/>
      <c r="W1" s="1959"/>
    </row>
    <row r="2" spans="1:23" s="1966" customFormat="1">
      <c r="A2" s="1962"/>
      <c r="B2" s="1963" t="s">
        <v>800</v>
      </c>
      <c r="C2" s="1438">
        <v>2017</v>
      </c>
      <c r="D2" s="1438">
        <v>2018</v>
      </c>
      <c r="E2" s="1438">
        <v>2019</v>
      </c>
      <c r="F2" s="1438">
        <v>2020</v>
      </c>
      <c r="G2" s="1438">
        <v>2021</v>
      </c>
      <c r="H2" s="1964">
        <v>2022</v>
      </c>
      <c r="I2" s="1964">
        <v>2023</v>
      </c>
      <c r="J2" s="1964">
        <v>2024</v>
      </c>
      <c r="K2" s="1962"/>
      <c r="L2" s="1965"/>
      <c r="M2" s="1965"/>
      <c r="N2" s="1965"/>
      <c r="O2" s="1965"/>
      <c r="P2" s="1962"/>
      <c r="Q2" s="1962"/>
      <c r="R2" s="1962"/>
      <c r="S2" s="1962"/>
      <c r="T2" s="1962"/>
      <c r="U2" s="1962"/>
      <c r="V2" s="1962"/>
      <c r="W2" s="1962"/>
    </row>
    <row r="3" spans="1:23" s="1966" customFormat="1">
      <c r="A3" s="1962"/>
      <c r="B3" s="1967"/>
      <c r="C3" s="1965"/>
      <c r="D3" s="1965"/>
      <c r="E3" s="1965"/>
      <c r="F3" s="1965"/>
      <c r="G3" s="1965"/>
      <c r="H3" s="1968"/>
      <c r="I3" s="1968"/>
      <c r="J3" s="1968"/>
      <c r="K3" s="1962"/>
      <c r="L3" s="1965"/>
      <c r="M3" s="1965"/>
      <c r="N3" s="1965"/>
      <c r="O3" s="1965"/>
      <c r="P3" s="1962"/>
      <c r="Q3" s="1962"/>
      <c r="R3" s="1962"/>
      <c r="S3" s="1962"/>
      <c r="T3" s="1962"/>
      <c r="U3" s="1962"/>
      <c r="V3" s="1962"/>
      <c r="W3" s="1962"/>
    </row>
    <row r="4" spans="1:23">
      <c r="A4" s="1959"/>
      <c r="B4" s="1960" t="s">
        <v>135</v>
      </c>
      <c r="C4" s="1969">
        <f>'yrP&amp;L'!AC7</f>
        <v>35864.664000000004</v>
      </c>
      <c r="D4" s="1969">
        <f>'yrP&amp;L'!AD7</f>
        <v>37841.806575399998</v>
      </c>
      <c r="E4" s="1969">
        <f>'yrP&amp;L'!AE7</f>
        <v>40349.954267377965</v>
      </c>
      <c r="F4" s="1969">
        <f>'yrP&amp;L'!AF7</f>
        <v>42916.398280294125</v>
      </c>
      <c r="G4" s="1969">
        <f>'yrP&amp;L'!AG7</f>
        <v>45594.715622506541</v>
      </c>
      <c r="H4" s="1970">
        <f>G4*(1+H5)</f>
        <v>47874.451403631872</v>
      </c>
      <c r="I4" s="1970">
        <f>H4*(1+I5)</f>
        <v>50268.173973813471</v>
      </c>
      <c r="J4" s="1970">
        <f>I4*(1+J5)</f>
        <v>52781.582672504148</v>
      </c>
      <c r="K4" s="1959"/>
      <c r="L4" s="1959"/>
      <c r="M4" s="1959"/>
      <c r="N4" s="1959"/>
      <c r="O4" s="1959"/>
      <c r="P4" s="1959"/>
      <c r="Q4" s="1959"/>
      <c r="R4" s="1959"/>
      <c r="S4" s="1959"/>
      <c r="T4" s="1959"/>
      <c r="U4" s="1959"/>
      <c r="V4" s="1959"/>
      <c r="W4" s="1959"/>
    </row>
    <row r="5" spans="1:23">
      <c r="A5" s="1959"/>
      <c r="B5" s="1960" t="s">
        <v>816</v>
      </c>
      <c r="C5" s="1971">
        <v>4.6255243498919E-3</v>
      </c>
      <c r="D5" s="1971">
        <f>D4/C4-1</f>
        <v>5.5127871138008988E-2</v>
      </c>
      <c r="E5" s="1971">
        <f>E4/D4-1</f>
        <v>6.6279808470043999E-2</v>
      </c>
      <c r="F5" s="1971">
        <f>F4/E4-1</f>
        <v>6.360463250861903E-2</v>
      </c>
      <c r="G5" s="1971">
        <f>G4/F4-1</f>
        <v>6.2407784658905507E-2</v>
      </c>
      <c r="H5" s="1972">
        <v>0.05</v>
      </c>
      <c r="I5" s="1972">
        <v>0.05</v>
      </c>
      <c r="J5" s="1972">
        <v>0.05</v>
      </c>
      <c r="K5" s="1959"/>
      <c r="L5" s="1959"/>
      <c r="M5" s="1959"/>
      <c r="N5" s="1959"/>
      <c r="O5" s="1959"/>
      <c r="P5" s="1959"/>
      <c r="Q5" s="1959"/>
      <c r="R5" s="1959"/>
      <c r="S5" s="1959"/>
      <c r="T5" s="1959"/>
      <c r="U5" s="1959"/>
      <c r="V5" s="1959"/>
      <c r="W5" s="1959"/>
    </row>
    <row r="6" spans="1:23">
      <c r="A6" s="1959"/>
      <c r="B6" s="1960" t="s">
        <v>123</v>
      </c>
      <c r="C6" s="1969">
        <f>'yrP&amp;L'!AC28</f>
        <v>3987.4260000000031</v>
      </c>
      <c r="D6" s="1969">
        <f>'yrP&amp;L'!AD28</f>
        <v>4110.2720385813982</v>
      </c>
      <c r="E6" s="1969">
        <f>'yrP&amp;L'!AE28</f>
        <v>4458.6699465452666</v>
      </c>
      <c r="F6" s="1969">
        <f>'yrP&amp;L'!AF28</f>
        <v>4828.0948065330867</v>
      </c>
      <c r="G6" s="1969">
        <f>'yrP&amp;L'!AG28</f>
        <v>5170.4407515922476</v>
      </c>
      <c r="H6" s="1970">
        <f>H4*H7</f>
        <v>5649.185265628561</v>
      </c>
      <c r="I6" s="1970">
        <f>I4*I7</f>
        <v>6032.1808768576166</v>
      </c>
      <c r="J6" s="1970">
        <f>J4*J7</f>
        <v>6333.7899207004975</v>
      </c>
      <c r="K6" s="1959"/>
      <c r="L6" s="1959"/>
      <c r="M6" s="1959"/>
      <c r="N6" s="1959"/>
      <c r="O6" s="1959"/>
      <c r="P6" s="1959"/>
      <c r="Q6" s="1959"/>
      <c r="R6" s="1959"/>
      <c r="S6" s="1959"/>
      <c r="T6" s="1959"/>
      <c r="U6" s="1959"/>
      <c r="V6" s="1959"/>
      <c r="W6" s="1959"/>
    </row>
    <row r="7" spans="1:23">
      <c r="A7" s="1959"/>
      <c r="B7" s="1960" t="s">
        <v>817</v>
      </c>
      <c r="C7" s="1971">
        <f>C6/C4</f>
        <v>0.11117979524358579</v>
      </c>
      <c r="D7" s="1971">
        <f>D6/D4</f>
        <v>0.10861722551199186</v>
      </c>
      <c r="E7" s="1971">
        <f>E6/E4</f>
        <v>0.11050000000000004</v>
      </c>
      <c r="F7" s="1971">
        <f>F6/F4</f>
        <v>0.11249999999999995</v>
      </c>
      <c r="G7" s="1971">
        <f>G6/G4</f>
        <v>0.11340000000000013</v>
      </c>
      <c r="H7" s="1972">
        <v>0.11799999999999999</v>
      </c>
      <c r="I7" s="1972">
        <v>0.12</v>
      </c>
      <c r="J7" s="1972">
        <v>0.12</v>
      </c>
      <c r="K7" s="1959"/>
      <c r="L7" s="1959"/>
      <c r="M7" s="1959"/>
      <c r="N7" s="1959"/>
      <c r="O7" s="1959"/>
      <c r="P7" s="1959"/>
      <c r="Q7" s="1959"/>
      <c r="R7" s="1959"/>
      <c r="S7" s="1959"/>
      <c r="T7" s="1959"/>
      <c r="U7" s="1959"/>
      <c r="V7" s="1959"/>
      <c r="W7" s="1959"/>
    </row>
    <row r="8" spans="1:23" s="1977" customFormat="1">
      <c r="A8" s="1973"/>
      <c r="B8" s="1974" t="s">
        <v>465</v>
      </c>
      <c r="C8" s="1975">
        <f>'yrP&amp;L'!AC41</f>
        <v>0.32376805611592402</v>
      </c>
      <c r="D8" s="1975">
        <f>'yrP&amp;L'!AD41</f>
        <v>0.25935941259912448</v>
      </c>
      <c r="E8" s="1975">
        <f>'yrP&amp;L'!AE41</f>
        <v>0.25935941259912448</v>
      </c>
      <c r="F8" s="1975">
        <f>'yrP&amp;L'!AF41</f>
        <v>0.25935941259912448</v>
      </c>
      <c r="G8" s="1975">
        <f>'yrP&amp;L'!AG41</f>
        <v>0.25935941259912448</v>
      </c>
      <c r="H8" s="1976">
        <f>G8</f>
        <v>0.25935941259912448</v>
      </c>
      <c r="I8" s="1976">
        <f>H8</f>
        <v>0.25935941259912448</v>
      </c>
      <c r="J8" s="1976">
        <f>I8</f>
        <v>0.25935941259912448</v>
      </c>
      <c r="K8" s="1973"/>
      <c r="L8" s="1973"/>
      <c r="M8" s="1973"/>
      <c r="N8" s="1973"/>
      <c r="O8" s="1973"/>
      <c r="P8" s="1973"/>
      <c r="Q8" s="1973"/>
      <c r="R8" s="1973"/>
      <c r="S8" s="1973"/>
      <c r="T8" s="1973"/>
      <c r="U8" s="1973"/>
      <c r="V8" s="1973"/>
      <c r="W8" s="1973"/>
    </row>
    <row r="9" spans="1:23">
      <c r="A9" s="1959"/>
      <c r="B9" s="1960" t="s">
        <v>818</v>
      </c>
      <c r="C9" s="1978">
        <f t="shared" ref="C9:J9" si="0">-C6*C8</f>
        <v>-1291.0011649260955</v>
      </c>
      <c r="D9" s="1978">
        <f t="shared" si="0"/>
        <v>-1066.0377415490773</v>
      </c>
      <c r="E9" s="1978">
        <f t="shared" si="0"/>
        <v>-1156.3980183093502</v>
      </c>
      <c r="F9" s="1978">
        <f t="shared" si="0"/>
        <v>-1252.211832995305</v>
      </c>
      <c r="G9" s="1978">
        <f t="shared" si="0"/>
        <v>-1341.0024762115411</v>
      </c>
      <c r="H9" s="1979">
        <f t="shared" si="0"/>
        <v>-1465.1693721570525</v>
      </c>
      <c r="I9" s="1979">
        <f t="shared" si="0"/>
        <v>-1564.502888913463</v>
      </c>
      <c r="J9" s="1979">
        <f t="shared" si="0"/>
        <v>-1642.7280333591364</v>
      </c>
      <c r="K9" s="1959"/>
      <c r="L9" s="1959"/>
      <c r="M9" s="1959"/>
      <c r="N9" s="1959"/>
      <c r="O9" s="1959"/>
      <c r="P9" s="1959"/>
      <c r="Q9" s="1959"/>
      <c r="R9" s="1959"/>
      <c r="S9" s="1959"/>
      <c r="T9" s="1959"/>
      <c r="U9" s="1959"/>
      <c r="V9" s="1959"/>
      <c r="W9" s="1959"/>
    </row>
    <row r="10" spans="1:23">
      <c r="A10" s="1959"/>
      <c r="B10" s="1960" t="s">
        <v>347</v>
      </c>
      <c r="C10" s="1980">
        <f>C6+C9</f>
        <v>2696.4248350739076</v>
      </c>
      <c r="D10" s="1980">
        <f t="shared" ref="D10:J10" si="1">D6+D9</f>
        <v>3044.2342970323207</v>
      </c>
      <c r="E10" s="1980">
        <f t="shared" si="1"/>
        <v>3302.2719282359167</v>
      </c>
      <c r="F10" s="1980">
        <f t="shared" si="1"/>
        <v>3575.8829735377817</v>
      </c>
      <c r="G10" s="1980">
        <f>G6+G9</f>
        <v>3829.4382753807067</v>
      </c>
      <c r="H10" s="1981">
        <f t="shared" si="1"/>
        <v>4184.0158934715082</v>
      </c>
      <c r="I10" s="1981">
        <f t="shared" si="1"/>
        <v>4467.6779879441538</v>
      </c>
      <c r="J10" s="1981">
        <f t="shared" si="1"/>
        <v>4691.0618873413614</v>
      </c>
      <c r="K10" s="1959"/>
      <c r="L10" s="1959"/>
      <c r="M10" s="1959"/>
      <c r="N10" s="1959"/>
      <c r="O10" s="1959"/>
      <c r="P10" s="1959"/>
      <c r="Q10" s="1959"/>
      <c r="R10" s="1959"/>
      <c r="S10" s="1959"/>
      <c r="T10" s="1959"/>
      <c r="U10" s="1959"/>
      <c r="V10" s="1959"/>
      <c r="W10" s="1959"/>
    </row>
    <row r="11" spans="1:23" s="1986" customFormat="1">
      <c r="A11" s="1982"/>
      <c r="B11" s="1983" t="s">
        <v>819</v>
      </c>
      <c r="C11" s="1984">
        <f t="shared" ref="C11:J11" si="2">C10/C4</f>
        <v>7.518332905820356E-2</v>
      </c>
      <c r="D11" s="1984">
        <f t="shared" si="2"/>
        <v>8.0446325705055013E-2</v>
      </c>
      <c r="E11" s="1984">
        <f t="shared" si="2"/>
        <v>8.1840784907796782E-2</v>
      </c>
      <c r="F11" s="1984">
        <f t="shared" si="2"/>
        <v>8.3322066082598456E-2</v>
      </c>
      <c r="G11" s="1984">
        <f t="shared" si="2"/>
        <v>8.3988642611259379E-2</v>
      </c>
      <c r="H11" s="1985">
        <f t="shared" si="2"/>
        <v>8.739558931330331E-2</v>
      </c>
      <c r="I11" s="1985">
        <f t="shared" si="2"/>
        <v>8.8876870488105067E-2</v>
      </c>
      <c r="J11" s="1985">
        <f t="shared" si="2"/>
        <v>8.8876870488105067E-2</v>
      </c>
      <c r="K11" s="1982"/>
      <c r="L11" s="1982"/>
      <c r="M11" s="1982"/>
      <c r="N11" s="1982"/>
      <c r="O11" s="1982"/>
      <c r="P11" s="1982"/>
      <c r="Q11" s="1982"/>
      <c r="R11" s="1982"/>
      <c r="S11" s="1982"/>
      <c r="T11" s="1982"/>
      <c r="U11" s="1982"/>
      <c r="V11" s="1982"/>
      <c r="W11" s="1982"/>
    </row>
    <row r="12" spans="1:23" ht="6.75" customHeight="1">
      <c r="A12" s="1959"/>
      <c r="B12" s="1960"/>
      <c r="C12" s="1959"/>
      <c r="D12" s="1959"/>
      <c r="E12" s="1959"/>
      <c r="F12" s="1959"/>
      <c r="G12" s="1959"/>
      <c r="H12" s="1987"/>
      <c r="I12" s="1987"/>
      <c r="J12" s="1987"/>
      <c r="K12" s="1959"/>
      <c r="L12" s="1959"/>
      <c r="M12" s="1959"/>
      <c r="N12" s="1959"/>
      <c r="O12" s="1959"/>
      <c r="P12" s="1959"/>
      <c r="Q12" s="1959"/>
      <c r="R12" s="1959"/>
      <c r="S12" s="1959"/>
      <c r="T12" s="1959"/>
      <c r="U12" s="1959"/>
      <c r="V12" s="1959"/>
      <c r="W12" s="1959"/>
    </row>
    <row r="13" spans="1:23">
      <c r="A13" s="1959"/>
      <c r="B13" s="1988" t="s">
        <v>820</v>
      </c>
      <c r="C13" s="1978">
        <f>'yrP&amp;L'!AC73</f>
        <v>726</v>
      </c>
      <c r="D13" s="1978">
        <f>'yrP&amp;L'!AD73</f>
        <v>720</v>
      </c>
      <c r="E13" s="1978">
        <f>'yrP&amp;L'!AE73</f>
        <v>763.2</v>
      </c>
      <c r="F13" s="1978">
        <f>'yrP&amp;L'!AF73</f>
        <v>808.99200000000008</v>
      </c>
      <c r="G13" s="1978">
        <f>'yrP&amp;L'!AG73</f>
        <v>857.53152000000011</v>
      </c>
      <c r="H13" s="1979">
        <f>H14*H4</f>
        <v>957.48902807263744</v>
      </c>
      <c r="I13" s="1979">
        <f>I14*I4</f>
        <v>1005.3634794762694</v>
      </c>
      <c r="J13" s="1979">
        <f>J14*J4</f>
        <v>1055.6316534500829</v>
      </c>
      <c r="K13" s="1959"/>
      <c r="L13" s="1959"/>
      <c r="M13" s="1959"/>
      <c r="N13" s="1959"/>
      <c r="O13" s="1959"/>
      <c r="P13" s="1959"/>
      <c r="Q13" s="1959"/>
      <c r="R13" s="1959"/>
      <c r="S13" s="1959"/>
      <c r="T13" s="1959"/>
      <c r="U13" s="1959"/>
      <c r="V13" s="1959"/>
      <c r="W13" s="1959"/>
    </row>
    <row r="14" spans="1:23">
      <c r="A14" s="1959"/>
      <c r="B14" s="1960"/>
      <c r="C14" s="1971">
        <f>C13/C4</f>
        <v>2.0242765971542349E-2</v>
      </c>
      <c r="D14" s="1971">
        <f>D13/D4</f>
        <v>1.9026575767871871E-2</v>
      </c>
      <c r="E14" s="1971">
        <f>E13/E4</f>
        <v>1.8914519578948574E-2</v>
      </c>
      <c r="F14" s="1971">
        <f>F13/F4</f>
        <v>1.8850416913281935E-2</v>
      </c>
      <c r="G14" s="1971">
        <f>G13/G4</f>
        <v>1.8807695328111749E-2</v>
      </c>
      <c r="H14" s="1989">
        <v>0.02</v>
      </c>
      <c r="I14" s="1989">
        <v>0.02</v>
      </c>
      <c r="J14" s="1989">
        <v>0.02</v>
      </c>
      <c r="K14" s="1959"/>
      <c r="L14" s="1959"/>
      <c r="M14" s="1959"/>
      <c r="N14" s="1959"/>
      <c r="O14" s="1959"/>
      <c r="P14" s="1959"/>
      <c r="Q14" s="1959"/>
      <c r="R14" s="1959"/>
      <c r="S14" s="1959"/>
      <c r="T14" s="1959"/>
      <c r="U14" s="1959"/>
      <c r="V14" s="1959"/>
      <c r="W14" s="1959"/>
    </row>
    <row r="15" spans="1:23">
      <c r="A15" s="1959"/>
      <c r="B15" s="1988" t="s">
        <v>137</v>
      </c>
      <c r="C15" s="1969">
        <f>-flow!BF21</f>
        <v>-1057.5999999999999</v>
      </c>
      <c r="D15" s="1969">
        <f>-flow!BH21</f>
        <v>-1200</v>
      </c>
      <c r="E15" s="1969">
        <f>-flow!BJ21</f>
        <v>-1300</v>
      </c>
      <c r="F15" s="1969">
        <f>-flow!BL21</f>
        <v>-1300</v>
      </c>
      <c r="G15" s="1969">
        <f>-flow!BN21</f>
        <v>-1400</v>
      </c>
      <c r="H15" s="1970">
        <f>G15</f>
        <v>-1400</v>
      </c>
      <c r="I15" s="1970">
        <f>H15</f>
        <v>-1400</v>
      </c>
      <c r="J15" s="1970">
        <f>I15</f>
        <v>-1400</v>
      </c>
      <c r="K15" s="1959"/>
      <c r="L15" s="1959"/>
      <c r="M15" s="1959"/>
      <c r="N15" s="1959"/>
      <c r="O15" s="1959"/>
      <c r="P15" s="1959"/>
      <c r="Q15" s="1959"/>
      <c r="R15" s="1959"/>
      <c r="S15" s="1959"/>
      <c r="T15" s="1959"/>
      <c r="U15" s="1959"/>
      <c r="V15" s="1959"/>
      <c r="W15" s="1959"/>
    </row>
    <row r="16" spans="1:23">
      <c r="A16" s="1959"/>
      <c r="B16" s="1988"/>
      <c r="C16" s="1969"/>
      <c r="D16" s="1969"/>
      <c r="E16" s="1969"/>
      <c r="F16" s="1969"/>
      <c r="G16" s="1969"/>
      <c r="H16" s="1990"/>
      <c r="I16" s="1990"/>
      <c r="J16" s="1990"/>
      <c r="K16" s="1959"/>
      <c r="L16" s="1959"/>
      <c r="M16" s="1959"/>
      <c r="N16" s="1959"/>
      <c r="O16" s="1959"/>
      <c r="P16" s="1959"/>
      <c r="Q16" s="1959"/>
      <c r="R16" s="1959"/>
      <c r="S16" s="1959"/>
      <c r="T16" s="1959"/>
      <c r="U16" s="1959"/>
      <c r="V16" s="1959"/>
      <c r="W16" s="1959"/>
    </row>
    <row r="17" spans="1:23">
      <c r="A17" s="1959"/>
      <c r="B17" s="1988" t="s">
        <v>821</v>
      </c>
      <c r="C17" s="1978">
        <f>flow!BF34</f>
        <v>371.59999999999991</v>
      </c>
      <c r="D17" s="1978">
        <f>flow!BH34</f>
        <v>-702.65467825831456</v>
      </c>
      <c r="E17" s="1978">
        <f>flow!BJ34</f>
        <v>-31.968999523381115</v>
      </c>
      <c r="F17" s="1978">
        <f>flow!BL34</f>
        <v>-38.771366801231636</v>
      </c>
      <c r="G17" s="1978">
        <f>flow!BN34</f>
        <v>-38.311572482791576</v>
      </c>
      <c r="H17" s="1979">
        <f>G17</f>
        <v>-38.311572482791576</v>
      </c>
      <c r="I17" s="1979">
        <f>H17</f>
        <v>-38.311572482791576</v>
      </c>
      <c r="J17" s="1979">
        <f>I17</f>
        <v>-38.311572482791576</v>
      </c>
      <c r="K17" s="1959"/>
      <c r="L17" s="1959"/>
      <c r="M17" s="1959"/>
      <c r="N17" s="1959"/>
      <c r="O17" s="1959"/>
      <c r="P17" s="1959"/>
      <c r="Q17" s="1959"/>
      <c r="R17" s="1959"/>
      <c r="S17" s="1959"/>
      <c r="T17" s="1959"/>
      <c r="U17" s="1959"/>
      <c r="V17" s="1959"/>
      <c r="W17" s="1959"/>
    </row>
    <row r="18" spans="1:23">
      <c r="A18" s="1959"/>
      <c r="B18" s="1960" t="s">
        <v>822</v>
      </c>
      <c r="C18" s="1980">
        <f t="shared" ref="C18:J18" si="3">SUM(C15:C17)</f>
        <v>-686</v>
      </c>
      <c r="D18" s="1980">
        <f t="shared" si="3"/>
        <v>-1902.6546782583146</v>
      </c>
      <c r="E18" s="1980">
        <f t="shared" si="3"/>
        <v>-1331.9689995233812</v>
      </c>
      <c r="F18" s="1980">
        <f t="shared" si="3"/>
        <v>-1338.7713668012316</v>
      </c>
      <c r="G18" s="1980">
        <f t="shared" si="3"/>
        <v>-1438.3115724827917</v>
      </c>
      <c r="H18" s="1981">
        <f t="shared" si="3"/>
        <v>-1438.3115724827917</v>
      </c>
      <c r="I18" s="1981">
        <f t="shared" si="3"/>
        <v>-1438.3115724827917</v>
      </c>
      <c r="J18" s="1981">
        <f t="shared" si="3"/>
        <v>-1438.3115724827917</v>
      </c>
      <c r="K18" s="1959"/>
      <c r="L18" s="1959"/>
      <c r="M18" s="1959"/>
      <c r="N18" s="1959"/>
      <c r="O18" s="1959"/>
      <c r="P18" s="1959"/>
      <c r="Q18" s="1959"/>
      <c r="R18" s="1959"/>
      <c r="S18" s="1959"/>
      <c r="T18" s="1959"/>
      <c r="U18" s="1959"/>
      <c r="V18" s="1959"/>
      <c r="W18" s="1959"/>
    </row>
    <row r="19" spans="1:23" s="1986" customFormat="1">
      <c r="A19" s="1982"/>
      <c r="B19" s="1982" t="s">
        <v>823</v>
      </c>
      <c r="C19" s="1991"/>
      <c r="D19" s="1991"/>
      <c r="E19" s="1991"/>
      <c r="F19" s="1991"/>
      <c r="G19" s="1991"/>
      <c r="H19" s="1992"/>
      <c r="I19" s="1992"/>
      <c r="J19" s="1992"/>
      <c r="K19" s="1982"/>
      <c r="L19" s="1982"/>
      <c r="M19" s="1982"/>
      <c r="N19" s="1982"/>
      <c r="O19" s="1982"/>
      <c r="P19" s="1982"/>
      <c r="Q19" s="1982"/>
      <c r="R19" s="1982"/>
      <c r="S19" s="1982"/>
      <c r="T19" s="1982"/>
      <c r="U19" s="1982"/>
      <c r="V19" s="1982"/>
      <c r="W19" s="1982"/>
    </row>
    <row r="20" spans="1:23" ht="9" customHeight="1">
      <c r="A20" s="1959"/>
      <c r="B20" s="1960"/>
      <c r="C20" s="1993"/>
      <c r="D20" s="1993"/>
      <c r="E20" s="1993"/>
      <c r="F20" s="1993"/>
      <c r="G20" s="1993"/>
      <c r="H20" s="1994"/>
      <c r="I20" s="1994"/>
      <c r="J20" s="1994"/>
      <c r="K20" s="1959"/>
      <c r="L20" s="1959"/>
      <c r="M20" s="1959"/>
      <c r="N20" s="1959"/>
      <c r="O20" s="1959"/>
      <c r="P20" s="1959"/>
      <c r="Q20" s="1959"/>
      <c r="R20" s="1959"/>
      <c r="S20" s="1959"/>
      <c r="T20" s="1959"/>
      <c r="U20" s="1959"/>
      <c r="V20" s="1959"/>
      <c r="W20" s="1959"/>
    </row>
    <row r="21" spans="1:23">
      <c r="A21" s="1959"/>
      <c r="B21" s="1967" t="s">
        <v>824</v>
      </c>
      <c r="C21" s="1995">
        <f t="shared" ref="C21:J21" si="4">C10+C13+C18</f>
        <v>2736.4248350739076</v>
      </c>
      <c r="D21" s="1995">
        <f t="shared" si="4"/>
        <v>1861.5796187740061</v>
      </c>
      <c r="E21" s="1995">
        <f t="shared" si="4"/>
        <v>2733.5029287125353</v>
      </c>
      <c r="F21" s="1995">
        <f t="shared" si="4"/>
        <v>3046.1036067365499</v>
      </c>
      <c r="G21" s="1995">
        <f t="shared" si="4"/>
        <v>3248.6582228979155</v>
      </c>
      <c r="H21" s="1996">
        <f t="shared" si="4"/>
        <v>3703.1933490613542</v>
      </c>
      <c r="I21" s="1996">
        <f t="shared" si="4"/>
        <v>4034.7298949376313</v>
      </c>
      <c r="J21" s="1996">
        <f t="shared" si="4"/>
        <v>4308.3819683086531</v>
      </c>
      <c r="K21" s="1959"/>
      <c r="L21" s="1959"/>
      <c r="M21" s="1959"/>
      <c r="N21" s="1959"/>
      <c r="O21" s="1959"/>
      <c r="P21" s="1959"/>
      <c r="Q21" s="1959"/>
      <c r="R21" s="1959"/>
      <c r="S21" s="1959"/>
      <c r="T21" s="1959"/>
      <c r="U21" s="1959"/>
      <c r="V21" s="1959"/>
      <c r="W21" s="1959"/>
    </row>
    <row r="22" spans="1:23" s="1998" customFormat="1">
      <c r="A22" s="1997"/>
      <c r="B22" s="1991"/>
      <c r="C22" s="1991"/>
      <c r="D22" s="1991"/>
      <c r="E22" s="1991"/>
      <c r="F22" s="1991"/>
      <c r="G22" s="1991"/>
      <c r="H22" s="1992"/>
      <c r="I22" s="1992"/>
      <c r="J22" s="1992"/>
      <c r="K22" s="1997"/>
      <c r="L22" s="1997"/>
      <c r="M22" s="1997"/>
      <c r="N22" s="1997"/>
      <c r="O22" s="1997"/>
      <c r="P22" s="1997"/>
      <c r="Q22" s="1997"/>
      <c r="R22" s="1997"/>
      <c r="S22" s="1997"/>
      <c r="T22" s="1997"/>
      <c r="U22" s="1997"/>
      <c r="V22" s="1997"/>
      <c r="W22" s="1997"/>
    </row>
    <row r="23" spans="1:23" s="2002" customFormat="1" ht="11.25">
      <c r="A23" s="1999"/>
      <c r="B23" s="2000"/>
      <c r="C23" s="2001">
        <v>0</v>
      </c>
      <c r="D23" s="2001">
        <v>1</v>
      </c>
      <c r="E23" s="2001">
        <f t="shared" ref="E23:J23" si="5">D23+1</f>
        <v>2</v>
      </c>
      <c r="F23" s="2001">
        <f t="shared" si="5"/>
        <v>3</v>
      </c>
      <c r="G23" s="2001">
        <f t="shared" si="5"/>
        <v>4</v>
      </c>
      <c r="H23" s="2001">
        <f t="shared" si="5"/>
        <v>5</v>
      </c>
      <c r="I23" s="2001">
        <f t="shared" si="5"/>
        <v>6</v>
      </c>
      <c r="J23" s="2001">
        <f t="shared" si="5"/>
        <v>7</v>
      </c>
      <c r="K23" s="1999"/>
      <c r="L23" s="1999"/>
      <c r="M23" s="1999"/>
      <c r="N23" s="1999"/>
      <c r="O23" s="1999"/>
      <c r="P23" s="1999"/>
      <c r="Q23" s="1999"/>
      <c r="R23" s="1999"/>
      <c r="S23" s="1999"/>
      <c r="T23" s="1999"/>
      <c r="U23" s="1999"/>
      <c r="V23" s="1999"/>
      <c r="W23" s="1999"/>
    </row>
    <row r="24" spans="1:23">
      <c r="A24" s="1959"/>
      <c r="B24" s="2003" t="s">
        <v>825</v>
      </c>
      <c r="C24" s="2004">
        <f>1/(1+$H$39)^C23</f>
        <v>1</v>
      </c>
      <c r="D24" s="2004">
        <f t="shared" ref="D24:J24" si="6">1/(1+$H$39)^D23</f>
        <v>0.95432896846581883</v>
      </c>
      <c r="E24" s="2004">
        <f t="shared" si="6"/>
        <v>0.91074378005303391</v>
      </c>
      <c r="F24" s="2004">
        <f t="shared" si="6"/>
        <v>0.86914917215467258</v>
      </c>
      <c r="G24" s="2004">
        <f t="shared" si="6"/>
        <v>0.82945423290528908</v>
      </c>
      <c r="H24" s="2004">
        <f t="shared" si="6"/>
        <v>0.79157220247811166</v>
      </c>
      <c r="I24" s="2004">
        <f>1/(1+$H$39)^I23</f>
        <v>0.75542028345715273</v>
      </c>
      <c r="J24" s="2004">
        <f t="shared" si="6"/>
        <v>0.72091945986982098</v>
      </c>
      <c r="K24" s="1959"/>
      <c r="L24" s="1959"/>
      <c r="M24" s="1959"/>
      <c r="N24" s="1959"/>
      <c r="O24" s="1959"/>
      <c r="P24" s="1959"/>
      <c r="Q24" s="1959"/>
      <c r="R24" s="1959"/>
      <c r="S24" s="1959"/>
      <c r="T24" s="1959"/>
      <c r="U24" s="1959"/>
      <c r="V24" s="1959"/>
      <c r="W24" s="1959"/>
    </row>
    <row r="25" spans="1:23">
      <c r="B25" s="2024" t="s">
        <v>826</v>
      </c>
      <c r="C25" s="2025">
        <f t="shared" ref="C25:J25" si="7">C21*C24</f>
        <v>2736.4248350739076</v>
      </c>
      <c r="D25" s="2025">
        <f t="shared" si="7"/>
        <v>1776.5593573015894</v>
      </c>
      <c r="E25" s="2025">
        <f t="shared" si="7"/>
        <v>2489.5207900816931</v>
      </c>
      <c r="F25" s="2025">
        <f t="shared" si="7"/>
        <v>2647.5184280924345</v>
      </c>
      <c r="G25" s="2025">
        <f t="shared" si="7"/>
        <v>2694.61331424525</v>
      </c>
      <c r="H25" s="2025">
        <f t="shared" si="7"/>
        <v>2931.3449155187909</v>
      </c>
      <c r="I25" s="2025">
        <f t="shared" si="7"/>
        <v>3047.9168009068335</v>
      </c>
      <c r="J25" s="2026">
        <f t="shared" si="7"/>
        <v>3105.9964015059504</v>
      </c>
      <c r="K25" s="1959"/>
      <c r="L25" s="1959"/>
      <c r="M25" s="1959"/>
      <c r="N25" s="1959"/>
      <c r="O25" s="1959"/>
      <c r="P25" s="1959"/>
      <c r="Q25" s="1959"/>
      <c r="R25" s="1959"/>
      <c r="S25" s="1959"/>
      <c r="T25" s="1959"/>
      <c r="U25" s="1959"/>
      <c r="V25" s="1959"/>
      <c r="W25" s="1959"/>
    </row>
    <row r="26" spans="1:23">
      <c r="A26" s="1959"/>
      <c r="B26" s="2003" t="s">
        <v>827</v>
      </c>
      <c r="C26" s="1959"/>
      <c r="D26" s="1959"/>
      <c r="E26" s="1959"/>
      <c r="F26" s="1959"/>
      <c r="G26" s="1959"/>
      <c r="H26" s="1959"/>
      <c r="I26" s="1959"/>
      <c r="J26" s="2003">
        <f>(J21*(1+C28))/(H39-C28)</f>
        <v>114945.73544245177</v>
      </c>
      <c r="K26" s="1959"/>
      <c r="L26" s="1959"/>
      <c r="M26" s="1959"/>
      <c r="N26" s="1959"/>
      <c r="O26" s="1959"/>
      <c r="P26" s="1959"/>
      <c r="Q26" s="1959"/>
      <c r="R26" s="1959"/>
      <c r="S26" s="1959"/>
      <c r="T26" s="1959"/>
      <c r="U26" s="1959"/>
      <c r="V26" s="1959"/>
      <c r="W26" s="1959"/>
    </row>
    <row r="27" spans="1:23">
      <c r="B27" s="2027" t="s">
        <v>828</v>
      </c>
      <c r="C27" s="2028"/>
      <c r="D27" s="2028"/>
      <c r="E27" s="2028"/>
      <c r="F27" s="2028"/>
      <c r="G27" s="2028"/>
      <c r="H27" s="2028"/>
      <c r="I27" s="2028"/>
      <c r="J27" s="2026">
        <f>J26*J24</f>
        <v>82866.617509511663</v>
      </c>
      <c r="K27" s="1959"/>
      <c r="L27" s="1959"/>
      <c r="M27" s="1959"/>
      <c r="N27" s="1959"/>
      <c r="O27" s="1959"/>
      <c r="P27" s="1959"/>
      <c r="Q27" s="1959"/>
      <c r="R27" s="1959"/>
      <c r="S27" s="1959"/>
      <c r="T27" s="1959"/>
      <c r="U27" s="1959"/>
      <c r="V27" s="1959"/>
      <c r="W27" s="1959"/>
    </row>
    <row r="28" spans="1:23">
      <c r="A28" s="1959"/>
      <c r="B28" s="2003" t="s">
        <v>829</v>
      </c>
      <c r="C28" s="2005">
        <v>0.01</v>
      </c>
      <c r="D28" s="1959"/>
      <c r="E28" s="1959"/>
      <c r="F28" s="1959"/>
      <c r="G28" s="1959"/>
      <c r="H28" s="1959"/>
      <c r="I28" s="1959"/>
      <c r="J28" s="1959"/>
      <c r="K28" s="1959"/>
      <c r="L28" s="1959"/>
      <c r="M28" s="1959"/>
      <c r="N28" s="1959"/>
      <c r="O28" s="1959"/>
      <c r="P28" s="1959"/>
      <c r="Q28" s="1959"/>
      <c r="R28" s="1959"/>
      <c r="S28" s="1959"/>
      <c r="T28" s="1959"/>
      <c r="U28" s="1959"/>
      <c r="V28" s="1959"/>
      <c r="W28" s="1959"/>
    </row>
    <row r="29" spans="1:23">
      <c r="A29" s="1959"/>
      <c r="B29" s="2003"/>
      <c r="C29" s="1959"/>
      <c r="D29" s="1959"/>
      <c r="E29" s="1959"/>
      <c r="F29" s="1959"/>
      <c r="G29" s="1959"/>
      <c r="H29" s="1971"/>
      <c r="I29" s="2034" t="s">
        <v>849</v>
      </c>
      <c r="J29" s="1959"/>
      <c r="K29" s="1959"/>
      <c r="L29" s="1959"/>
      <c r="M29" s="1959"/>
      <c r="N29" s="1959"/>
      <c r="O29" s="1959"/>
      <c r="P29" s="1959"/>
      <c r="Q29" s="1959"/>
      <c r="R29" s="1959"/>
      <c r="S29" s="1959"/>
      <c r="T29" s="1959"/>
      <c r="U29" s="1959"/>
      <c r="V29" s="1959"/>
      <c r="W29" s="1959"/>
    </row>
    <row r="30" spans="1:23">
      <c r="A30" s="1959"/>
      <c r="B30" s="2003" t="s">
        <v>830</v>
      </c>
      <c r="C30" s="2003">
        <f>bal!BJ39</f>
        <v>2230.6</v>
      </c>
      <c r="D30" s="2003"/>
      <c r="E30" s="2003" t="s">
        <v>831</v>
      </c>
      <c r="F30" s="2003"/>
      <c r="G30" s="1959"/>
      <c r="H30" s="2006">
        <f>I30/100</f>
        <v>2.8999999999999998E-2</v>
      </c>
      <c r="I30" s="2035">
        <f>_xll.ThomsonONEAddinShim.SpreadsheetFormulas.TF("FRTCM10"," ","sdate=LATEST VALUE;;;DataDir=true;DispSeriesDescription=true;DispDatatypeDescription=true;source=ds;EntityType=Interest Rates")</f>
        <v>2.9</v>
      </c>
      <c r="J30" s="1959"/>
      <c r="K30" s="1959"/>
      <c r="L30" s="1959"/>
      <c r="M30" s="1959"/>
      <c r="N30" s="1959"/>
      <c r="O30" s="1959"/>
      <c r="P30" s="1959"/>
      <c r="Q30" s="1959"/>
      <c r="R30" s="1959"/>
      <c r="S30" s="1959"/>
      <c r="T30" s="1959"/>
      <c r="U30" s="1959"/>
      <c r="V30" s="1959"/>
      <c r="W30" s="1959"/>
    </row>
    <row r="31" spans="1:23">
      <c r="A31" s="1959"/>
      <c r="B31" s="2003" t="s">
        <v>832</v>
      </c>
      <c r="C31" s="2007">
        <f>bal!BJ9</f>
        <v>2579.661591194691</v>
      </c>
      <c r="D31" s="2003"/>
      <c r="E31" s="2003" t="s">
        <v>833</v>
      </c>
      <c r="F31" s="2003"/>
      <c r="G31" s="1959"/>
      <c r="H31" s="2006">
        <v>5.1299999999999998E-2</v>
      </c>
      <c r="I31" s="2036"/>
      <c r="J31" s="1959"/>
      <c r="K31" s="1959"/>
      <c r="L31" s="1959"/>
      <c r="M31" s="1959"/>
      <c r="N31" s="1959"/>
      <c r="O31" s="1959"/>
      <c r="P31" s="1959"/>
      <c r="Q31" s="1959"/>
      <c r="R31" s="1959"/>
      <c r="S31" s="1959"/>
      <c r="T31" s="1959"/>
      <c r="U31" s="1959"/>
      <c r="V31" s="1959"/>
      <c r="W31" s="1959"/>
    </row>
    <row r="32" spans="1:23">
      <c r="A32" s="1959"/>
      <c r="B32" s="2008" t="s">
        <v>834</v>
      </c>
      <c r="C32" s="2008">
        <f>C30-C31</f>
        <v>-349.06159119469112</v>
      </c>
      <c r="D32" s="2008"/>
      <c r="E32" s="2003" t="s">
        <v>835</v>
      </c>
      <c r="F32" s="2008"/>
      <c r="G32" s="1959"/>
      <c r="H32" s="2009">
        <f>I32</f>
        <v>0.39573999999999998</v>
      </c>
      <c r="I32" s="2036">
        <f>_xll.ThomsonONEAddinShim.SpreadsheetFormulas.TF("TJX-US","TF.FN.Beta()","")</f>
        <v>0.39573999999999998</v>
      </c>
      <c r="J32" s="1959"/>
      <c r="K32" s="1959"/>
      <c r="L32" s="1959"/>
      <c r="M32" s="1959"/>
      <c r="N32" s="1959"/>
      <c r="O32" s="1959"/>
      <c r="P32" s="1959"/>
      <c r="Q32" s="1959"/>
      <c r="R32" s="1959"/>
      <c r="S32" s="1959"/>
      <c r="T32" s="1959"/>
      <c r="U32" s="1959"/>
      <c r="V32" s="1959"/>
      <c r="W32" s="1959"/>
    </row>
    <row r="33" spans="1:23">
      <c r="A33" s="1959"/>
      <c r="B33" s="2010" t="s">
        <v>836</v>
      </c>
      <c r="C33" s="2022">
        <v>2.5000000000000001E-2</v>
      </c>
      <c r="D33" s="2003"/>
      <c r="E33" s="2003" t="s">
        <v>837</v>
      </c>
      <c r="F33" s="2003"/>
      <c r="G33" s="1959"/>
      <c r="H33" s="2011">
        <f>H30+H32*(H31)</f>
        <v>4.9301461999999997E-2</v>
      </c>
      <c r="I33" s="1959"/>
      <c r="J33" s="1959"/>
      <c r="K33" s="1959"/>
      <c r="L33" s="1959"/>
      <c r="M33" s="1959"/>
      <c r="N33" s="1959"/>
      <c r="O33" s="1959"/>
      <c r="P33" s="1959"/>
      <c r="Q33" s="1959"/>
      <c r="R33" s="1959"/>
      <c r="S33" s="1959"/>
      <c r="T33" s="1959"/>
      <c r="U33" s="1959"/>
      <c r="V33" s="1959"/>
      <c r="W33" s="1959"/>
    </row>
    <row r="34" spans="1:23">
      <c r="A34" s="1959"/>
      <c r="B34" s="2010" t="s">
        <v>838</v>
      </c>
      <c r="C34" s="2012">
        <f>C33*(1-0.35)</f>
        <v>1.6250000000000001E-2</v>
      </c>
      <c r="D34" s="2003"/>
      <c r="E34" s="2003"/>
      <c r="F34" s="2003"/>
      <c r="G34" s="2003"/>
      <c r="H34" s="2003"/>
      <c r="I34" s="1959"/>
      <c r="J34" s="1959"/>
      <c r="K34" s="1959"/>
      <c r="L34" s="1959"/>
      <c r="M34" s="1959"/>
      <c r="N34" s="1959"/>
      <c r="O34" s="1959"/>
      <c r="P34" s="1959"/>
      <c r="Q34" s="1959"/>
      <c r="R34" s="1959"/>
      <c r="S34" s="1959"/>
      <c r="T34" s="1959"/>
      <c r="U34" s="1959"/>
      <c r="V34" s="1959"/>
      <c r="W34" s="1959"/>
    </row>
    <row r="35" spans="1:23">
      <c r="A35" s="1959"/>
      <c r="B35" s="2003"/>
      <c r="C35" s="2003"/>
      <c r="D35" s="2003"/>
      <c r="E35" s="2003"/>
      <c r="F35" s="2003"/>
      <c r="G35" s="2003"/>
      <c r="H35" s="2003"/>
      <c r="I35" s="1959"/>
      <c r="J35" s="1959"/>
      <c r="K35" s="1959"/>
      <c r="L35" s="1959"/>
      <c r="M35" s="1959"/>
      <c r="N35" s="1959"/>
      <c r="O35" s="1959"/>
      <c r="P35" s="1959"/>
      <c r="Q35" s="1959"/>
      <c r="R35" s="1959"/>
      <c r="S35" s="1959"/>
      <c r="T35" s="1959"/>
      <c r="U35" s="1959"/>
      <c r="V35" s="1959"/>
      <c r="W35" s="1959"/>
    </row>
    <row r="36" spans="1:23">
      <c r="A36" s="1959"/>
      <c r="B36" s="2003" t="s">
        <v>839</v>
      </c>
      <c r="C36" s="2003">
        <f>'yrP&amp;L'!AD55</f>
        <v>625.93829411764705</v>
      </c>
      <c r="D36" s="2032" t="s">
        <v>849</v>
      </c>
      <c r="E36" s="2017"/>
      <c r="F36" s="2013"/>
      <c r="G36" s="2014"/>
      <c r="H36" s="2014"/>
      <c r="I36" s="1959"/>
      <c r="J36" s="1959"/>
      <c r="K36" s="1959"/>
      <c r="L36" s="1959"/>
      <c r="M36" s="1959"/>
      <c r="N36" s="1959"/>
      <c r="O36" s="1959"/>
      <c r="P36" s="1959"/>
      <c r="Q36" s="1959"/>
      <c r="R36" s="1959"/>
      <c r="S36" s="1959"/>
      <c r="T36" s="1959"/>
      <c r="U36" s="1959"/>
      <c r="V36" s="1959"/>
      <c r="W36" s="1959"/>
    </row>
    <row r="37" spans="1:23">
      <c r="A37" s="1959"/>
      <c r="B37" s="2003" t="s">
        <v>840</v>
      </c>
      <c r="C37" s="2023" t="str">
        <f>D37</f>
        <v xml:space="preserve">                $     77.96                </v>
      </c>
      <c r="D37" s="2033" t="str">
        <f>_xll.ThomsonONEAddinShim.SpreadsheetFormulas.TF("TJX-US","TF.PR.PriceClose()","")</f>
        <v xml:space="preserve">                $     77.96                </v>
      </c>
      <c r="E37" s="2015"/>
      <c r="F37" s="2016"/>
      <c r="G37" s="2014"/>
      <c r="H37" s="2014"/>
      <c r="I37" s="1959"/>
      <c r="J37" s="1959"/>
      <c r="K37" s="1959"/>
      <c r="L37" s="1959"/>
      <c r="M37" s="1959"/>
      <c r="N37" s="1959"/>
      <c r="O37" s="1959"/>
      <c r="P37" s="1959"/>
      <c r="Q37" s="1959"/>
      <c r="R37" s="1959"/>
      <c r="S37" s="1959"/>
      <c r="T37" s="1959"/>
      <c r="U37" s="1959"/>
      <c r="V37" s="1959"/>
      <c r="W37" s="1959"/>
    </row>
    <row r="38" spans="1:23">
      <c r="A38" s="1959"/>
      <c r="B38" s="2008" t="s">
        <v>317</v>
      </c>
      <c r="C38" s="2008">
        <f>C36*D37</f>
        <v>48798.149409411759</v>
      </c>
      <c r="D38" s="2017"/>
      <c r="E38" s="2014"/>
      <c r="F38" s="2016"/>
      <c r="G38" s="2014"/>
      <c r="H38" s="2014"/>
      <c r="I38" s="1959"/>
      <c r="J38" s="1959"/>
      <c r="K38" s="1959"/>
      <c r="L38" s="1959"/>
      <c r="M38" s="1959"/>
      <c r="N38" s="1959"/>
      <c r="O38" s="1959"/>
      <c r="P38" s="1959"/>
      <c r="Q38" s="1959"/>
      <c r="R38" s="1959"/>
      <c r="S38" s="1959"/>
      <c r="T38" s="1959"/>
      <c r="U38" s="1959"/>
      <c r="V38" s="1959"/>
      <c r="W38" s="1959"/>
    </row>
    <row r="39" spans="1:23">
      <c r="A39" s="1959"/>
      <c r="B39" s="2008" t="s">
        <v>841</v>
      </c>
      <c r="C39" s="2008">
        <f>C32+C38</f>
        <v>48449.087818217071</v>
      </c>
      <c r="D39" s="2003"/>
      <c r="E39" s="2024" t="s">
        <v>791</v>
      </c>
      <c r="F39" s="2030"/>
      <c r="G39" s="2030"/>
      <c r="H39" s="2031">
        <f>(C30/(C30+C38))*C34 + (C38/(C30+C38))*H33</f>
        <v>4.7856696216192603E-2</v>
      </c>
      <c r="I39" s="1959"/>
      <c r="J39" s="1959"/>
      <c r="K39" s="1959"/>
      <c r="L39" s="1959"/>
      <c r="M39" s="1959"/>
      <c r="N39" s="1959"/>
      <c r="O39" s="1959"/>
      <c r="P39" s="1959"/>
      <c r="Q39" s="1959"/>
      <c r="R39" s="1959"/>
      <c r="S39" s="1959"/>
      <c r="T39" s="1959"/>
      <c r="U39" s="1959"/>
      <c r="V39" s="1959"/>
      <c r="W39" s="1959"/>
    </row>
    <row r="40" spans="1:23">
      <c r="A40" s="1959"/>
      <c r="B40" s="2003"/>
      <c r="C40" s="2003"/>
      <c r="D40" s="2003"/>
      <c r="E40" s="2003"/>
      <c r="F40" s="2003"/>
      <c r="G40" s="2003"/>
      <c r="H40" s="2003"/>
      <c r="I40" s="1959"/>
      <c r="J40" s="1959"/>
      <c r="K40" s="1959"/>
      <c r="L40" s="1959"/>
      <c r="M40" s="1959"/>
      <c r="N40" s="1959"/>
      <c r="O40" s="1959"/>
      <c r="P40" s="1959"/>
      <c r="Q40" s="1959"/>
      <c r="R40" s="1959"/>
      <c r="S40" s="1959"/>
      <c r="T40" s="1959"/>
      <c r="U40" s="1959"/>
      <c r="V40" s="1959"/>
      <c r="W40" s="1959"/>
    </row>
    <row r="41" spans="1:23">
      <c r="A41" s="1959"/>
      <c r="B41" s="2003" t="s">
        <v>842</v>
      </c>
      <c r="C41" s="2003">
        <f>SUM(C25:J25)</f>
        <v>21429.894842726455</v>
      </c>
      <c r="D41" s="2003"/>
      <c r="E41" s="2003"/>
      <c r="F41" s="2003"/>
      <c r="G41" s="2003"/>
      <c r="H41" s="2003"/>
      <c r="I41" s="1959"/>
      <c r="J41" s="1959"/>
      <c r="K41" s="1959"/>
      <c r="L41" s="1959"/>
      <c r="M41" s="1959"/>
      <c r="N41" s="1959"/>
      <c r="O41" s="1959"/>
      <c r="P41" s="1959"/>
      <c r="Q41" s="1959"/>
      <c r="R41" s="1959"/>
      <c r="S41" s="1959"/>
      <c r="T41" s="1959"/>
      <c r="U41" s="1959"/>
      <c r="V41" s="1959"/>
      <c r="W41" s="1959"/>
    </row>
    <row r="42" spans="1:23">
      <c r="A42" s="1959"/>
      <c r="B42" s="2003" t="s">
        <v>828</v>
      </c>
      <c r="C42" s="2007">
        <f>J27</f>
        <v>82866.617509511663</v>
      </c>
      <c r="D42" s="2003"/>
      <c r="E42" s="2003"/>
      <c r="F42" s="2003"/>
      <c r="G42" s="2003"/>
      <c r="H42" s="2003"/>
      <c r="I42" s="1959"/>
      <c r="J42" s="1959"/>
      <c r="K42" s="1959"/>
      <c r="L42" s="1959"/>
      <c r="M42" s="1959"/>
      <c r="N42" s="1959"/>
      <c r="O42" s="1959"/>
      <c r="P42" s="1959"/>
      <c r="Q42" s="1959"/>
      <c r="R42" s="1959"/>
      <c r="S42" s="1959"/>
      <c r="T42" s="1959"/>
      <c r="U42" s="1959"/>
      <c r="V42" s="1959"/>
      <c r="W42" s="1959"/>
    </row>
    <row r="43" spans="1:23">
      <c r="A43" s="1959"/>
      <c r="B43" s="2008" t="s">
        <v>843</v>
      </c>
      <c r="C43" s="2008">
        <f>SUM(C41:C42)</f>
        <v>104296.51235223812</v>
      </c>
      <c r="D43" s="2003"/>
      <c r="E43" s="2003"/>
      <c r="F43" s="2003"/>
      <c r="G43" s="2003"/>
      <c r="H43" s="2003"/>
      <c r="I43" s="1959"/>
      <c r="J43" s="1959"/>
      <c r="K43" s="1959"/>
      <c r="L43" s="1959"/>
      <c r="M43" s="1959"/>
      <c r="N43" s="1959"/>
      <c r="O43" s="1959"/>
      <c r="P43" s="1959"/>
      <c r="Q43" s="1959"/>
      <c r="R43" s="1959"/>
      <c r="S43" s="1959"/>
      <c r="T43" s="1959"/>
      <c r="U43" s="1959"/>
      <c r="V43" s="1959"/>
      <c r="W43" s="1959"/>
    </row>
    <row r="44" spans="1:23">
      <c r="A44" s="1959"/>
      <c r="B44" s="2003" t="s">
        <v>844</v>
      </c>
      <c r="C44" s="2003">
        <f>-C30</f>
        <v>-2230.6</v>
      </c>
      <c r="D44" s="2015"/>
      <c r="E44" s="2015"/>
      <c r="F44" s="2015"/>
      <c r="G44" s="2015"/>
      <c r="H44" s="2015"/>
      <c r="I44" s="2015"/>
      <c r="J44" s="2015"/>
      <c r="K44" s="2015"/>
      <c r="L44" s="1959"/>
      <c r="M44" s="1959"/>
      <c r="N44" s="1959"/>
      <c r="O44" s="1959"/>
      <c r="P44" s="1959"/>
      <c r="Q44" s="1959"/>
      <c r="R44" s="1959"/>
      <c r="S44" s="1959"/>
      <c r="T44" s="1959"/>
      <c r="U44" s="1959"/>
      <c r="V44" s="1959"/>
      <c r="W44" s="1959"/>
    </row>
    <row r="45" spans="1:23">
      <c r="A45" s="1959"/>
      <c r="B45" s="2003" t="s">
        <v>845</v>
      </c>
      <c r="C45" s="2017">
        <f>+C31</f>
        <v>2579.661591194691</v>
      </c>
      <c r="D45" s="2003"/>
      <c r="E45" s="2003"/>
      <c r="F45" s="2003"/>
      <c r="G45" s="2003"/>
      <c r="H45" s="2003"/>
      <c r="I45" s="1959"/>
      <c r="J45" s="1959"/>
      <c r="K45" s="1959"/>
      <c r="L45" s="1959"/>
      <c r="M45" s="1959"/>
      <c r="N45" s="1959"/>
      <c r="O45" s="1959"/>
      <c r="P45" s="1959"/>
      <c r="Q45" s="1959"/>
      <c r="R45" s="1959"/>
      <c r="S45" s="1959"/>
      <c r="T45" s="1959"/>
      <c r="U45" s="1959"/>
      <c r="V45" s="1959"/>
      <c r="W45" s="1959"/>
    </row>
    <row r="46" spans="1:23">
      <c r="A46" s="1959"/>
      <c r="B46" s="2003" t="s">
        <v>846</v>
      </c>
      <c r="C46" s="2017">
        <v>0</v>
      </c>
      <c r="D46" s="2003"/>
      <c r="E46" s="2003"/>
      <c r="F46" s="2003"/>
      <c r="G46" s="2003"/>
      <c r="H46" s="2003"/>
      <c r="I46" s="1959"/>
      <c r="J46" s="1959"/>
      <c r="K46" s="1959"/>
      <c r="L46" s="1959"/>
      <c r="M46" s="1959"/>
      <c r="N46" s="1959"/>
      <c r="O46" s="1959"/>
      <c r="P46" s="1959"/>
      <c r="Q46" s="1959"/>
      <c r="R46" s="1959"/>
      <c r="S46" s="1959"/>
      <c r="T46" s="1959"/>
      <c r="U46" s="1959"/>
      <c r="V46" s="1959"/>
      <c r="W46" s="1959"/>
    </row>
    <row r="47" spans="1:23">
      <c r="A47" s="1959"/>
      <c r="B47" s="2003" t="s">
        <v>847</v>
      </c>
      <c r="C47" s="2018" t="s">
        <v>120</v>
      </c>
      <c r="D47" s="2003"/>
      <c r="E47" s="2003"/>
      <c r="F47" s="2003"/>
      <c r="G47" s="2003"/>
      <c r="H47" s="2003"/>
      <c r="I47" s="1959"/>
      <c r="J47" s="1959"/>
      <c r="K47" s="1959"/>
      <c r="L47" s="1959"/>
      <c r="M47" s="1959"/>
      <c r="N47" s="1959"/>
      <c r="O47" s="1959"/>
      <c r="P47" s="1959"/>
      <c r="Q47" s="1959"/>
      <c r="R47" s="1959"/>
      <c r="S47" s="1959"/>
      <c r="T47" s="1959"/>
      <c r="U47" s="1959"/>
      <c r="V47" s="1959"/>
      <c r="W47" s="1959"/>
    </row>
    <row r="48" spans="1:23">
      <c r="A48" s="1959"/>
      <c r="B48" s="2008" t="s">
        <v>136</v>
      </c>
      <c r="C48" s="2008">
        <f>SUM(C43:C47)</f>
        <v>104645.5739434328</v>
      </c>
      <c r="D48" s="2003"/>
      <c r="E48" s="2003"/>
      <c r="F48" s="2003"/>
      <c r="G48" s="2003"/>
      <c r="H48" s="2003"/>
      <c r="I48" s="1959"/>
      <c r="J48" s="1959"/>
      <c r="K48" s="1959"/>
      <c r="L48" s="1959"/>
      <c r="M48" s="1959"/>
      <c r="N48" s="1959"/>
      <c r="O48" s="1959"/>
      <c r="P48" s="1959"/>
      <c r="Q48" s="1959"/>
      <c r="R48" s="1959"/>
      <c r="S48" s="1959"/>
      <c r="T48" s="1959"/>
      <c r="U48" s="1959"/>
      <c r="V48" s="1959"/>
      <c r="W48" s="1959"/>
    </row>
    <row r="49" spans="1:23">
      <c r="A49" s="1959"/>
      <c r="B49" s="2024" t="s">
        <v>848</v>
      </c>
      <c r="C49" s="2029">
        <f>C48/C36</f>
        <v>167.18193299060937</v>
      </c>
      <c r="D49" s="2019"/>
      <c r="E49" s="2003"/>
      <c r="F49" s="2003"/>
      <c r="G49" s="2003"/>
      <c r="H49" s="2003"/>
      <c r="I49" s="1959"/>
      <c r="J49" s="1959"/>
      <c r="K49" s="1959"/>
      <c r="L49" s="1959"/>
      <c r="M49" s="1959"/>
      <c r="N49" s="1959"/>
      <c r="O49" s="1959"/>
      <c r="P49" s="1959"/>
      <c r="Q49" s="1959"/>
      <c r="R49" s="1959"/>
      <c r="S49" s="1959"/>
      <c r="T49" s="1959"/>
      <c r="U49" s="1959"/>
      <c r="V49" s="1959"/>
      <c r="W49" s="1959"/>
    </row>
    <row r="50" spans="1:23">
      <c r="A50" s="1959"/>
      <c r="B50" s="2003"/>
      <c r="C50" s="2020"/>
      <c r="D50" s="1959"/>
      <c r="E50" s="1959"/>
      <c r="F50" s="1959"/>
      <c r="G50" s="1959"/>
      <c r="H50" s="1959"/>
      <c r="I50" s="1959"/>
      <c r="J50" s="1959"/>
      <c r="K50" s="1959"/>
      <c r="L50" s="1959"/>
      <c r="M50" s="1959"/>
      <c r="N50" s="1959"/>
      <c r="O50" s="1959"/>
      <c r="P50" s="1959"/>
      <c r="Q50" s="1959"/>
      <c r="R50" s="1959"/>
      <c r="S50" s="1959"/>
      <c r="T50" s="1959"/>
      <c r="U50" s="1959"/>
      <c r="V50" s="1959"/>
      <c r="W50" s="1959"/>
    </row>
    <row r="51" spans="1:23">
      <c r="A51" s="1959"/>
      <c r="B51" s="2003"/>
      <c r="C51" s="1959"/>
      <c r="D51" s="1959"/>
      <c r="E51" s="1959"/>
      <c r="F51" s="1959"/>
      <c r="G51" s="1959"/>
      <c r="H51" s="1959"/>
      <c r="I51" s="1959"/>
      <c r="J51" s="1959"/>
      <c r="K51" s="1959"/>
      <c r="L51" s="1959"/>
      <c r="M51" s="1959"/>
      <c r="N51" s="1959"/>
      <c r="O51" s="1959"/>
      <c r="P51" s="1959"/>
      <c r="Q51" s="1959"/>
      <c r="R51" s="1959"/>
      <c r="S51" s="1959"/>
      <c r="T51" s="1959"/>
      <c r="U51" s="1959"/>
      <c r="V51" s="1959"/>
      <c r="W51" s="1959"/>
    </row>
    <row r="52" spans="1:23">
      <c r="A52" s="1959"/>
      <c r="B52" s="2003"/>
      <c r="C52" s="1959"/>
      <c r="D52" s="1959"/>
      <c r="E52" s="1959"/>
      <c r="F52" s="1959"/>
      <c r="G52" s="1959"/>
      <c r="H52" s="1959"/>
      <c r="I52" s="1959"/>
      <c r="J52" s="1959"/>
      <c r="K52" s="1959"/>
      <c r="L52" s="1959"/>
      <c r="M52" s="1959"/>
      <c r="N52" s="1959"/>
      <c r="O52" s="1959"/>
      <c r="P52" s="1959"/>
      <c r="Q52" s="1959"/>
      <c r="R52" s="1959"/>
      <c r="S52" s="1959"/>
      <c r="T52" s="1959"/>
      <c r="U52" s="1959"/>
      <c r="V52" s="1959"/>
      <c r="W52" s="1959"/>
    </row>
    <row r="53" spans="1:23">
      <c r="A53" s="1959"/>
      <c r="B53" s="2003"/>
      <c r="C53" s="1971"/>
      <c r="D53" s="1971"/>
      <c r="E53" s="1971"/>
      <c r="F53" s="1971"/>
      <c r="G53" s="1971"/>
      <c r="H53" s="1971"/>
      <c r="I53" s="1971"/>
      <c r="J53" s="1971"/>
      <c r="K53" s="1971"/>
      <c r="L53" s="1959"/>
      <c r="M53" s="1959"/>
      <c r="N53" s="1959"/>
      <c r="O53" s="1959"/>
      <c r="P53" s="1959"/>
      <c r="Q53" s="1959"/>
      <c r="R53" s="1959"/>
      <c r="S53" s="1959"/>
      <c r="T53" s="1959"/>
      <c r="U53" s="1959"/>
      <c r="V53" s="1959"/>
      <c r="W53" s="1959"/>
    </row>
    <row r="54" spans="1:23">
      <c r="A54" s="1959"/>
      <c r="B54" s="2003"/>
      <c r="C54" s="1959"/>
      <c r="D54" s="1959"/>
      <c r="E54" s="1959"/>
      <c r="F54" s="1959"/>
      <c r="G54" s="1959"/>
      <c r="H54" s="1959"/>
      <c r="I54" s="1959"/>
      <c r="J54" s="1959"/>
      <c r="K54" s="1959"/>
      <c r="L54" s="1959"/>
      <c r="M54" s="1959"/>
      <c r="N54" s="1959"/>
      <c r="O54" s="1959"/>
      <c r="P54" s="1959"/>
      <c r="Q54" s="1959"/>
      <c r="R54" s="1959"/>
      <c r="S54" s="1959"/>
      <c r="T54" s="1959"/>
      <c r="U54" s="1959"/>
      <c r="V54" s="1959"/>
      <c r="W54" s="1959"/>
    </row>
    <row r="55" spans="1:23">
      <c r="A55" s="1959"/>
      <c r="B55" s="2019"/>
    </row>
    <row r="56" spans="1:23">
      <c r="B56" s="2019"/>
    </row>
    <row r="57" spans="1:23">
      <c r="B57" s="2019"/>
    </row>
    <row r="58" spans="1:23">
      <c r="B58" s="2019"/>
    </row>
    <row r="59" spans="1:23">
      <c r="B59" s="2019"/>
    </row>
    <row r="60" spans="1:23">
      <c r="B60" s="2019"/>
    </row>
    <row r="61" spans="1:23">
      <c r="B61" s="2019"/>
    </row>
  </sheetData>
  <mergeCells count="2">
    <mergeCell ref="C1:G1"/>
    <mergeCell ref="H1:J1"/>
  </mergeCells>
  <pageMargins left="0.7" right="0.7" top="0.75" bottom="0.75" header="0.3" footer="0.3"/>
  <pageSetup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M13"/>
  <sheetViews>
    <sheetView workbookViewId="0">
      <selection activeCell="O29" sqref="O29"/>
    </sheetView>
  </sheetViews>
  <sheetFormatPr defaultRowHeight="12.75" outlineLevelRow="1"/>
  <cols>
    <col min="1" max="1" width="12.85546875" style="2041" bestFit="1" customWidth="1"/>
    <col min="2" max="16384" width="9.140625" style="2041"/>
  </cols>
  <sheetData>
    <row r="1" spans="1:13" outlineLevel="1">
      <c r="B1" s="2123">
        <v>15</v>
      </c>
      <c r="C1" s="2123"/>
      <c r="D1" s="2123"/>
      <c r="E1" s="2123"/>
      <c r="F1" s="2123">
        <v>16</v>
      </c>
      <c r="G1" s="2123"/>
      <c r="H1" s="2123"/>
      <c r="I1" s="2123"/>
      <c r="J1" s="2123">
        <v>17</v>
      </c>
      <c r="K1" s="2123"/>
      <c r="L1" s="2123"/>
      <c r="M1" s="2123"/>
    </row>
    <row r="2" spans="1:13" outlineLevel="1">
      <c r="B2" s="1961" t="s">
        <v>527</v>
      </c>
      <c r="C2" s="1961" t="s">
        <v>528</v>
      </c>
      <c r="D2" s="1961" t="s">
        <v>529</v>
      </c>
      <c r="E2" s="1961" t="s">
        <v>530</v>
      </c>
      <c r="F2" s="1961" t="s">
        <v>527</v>
      </c>
      <c r="G2" s="1961" t="s">
        <v>528</v>
      </c>
      <c r="H2" s="1961" t="s">
        <v>529</v>
      </c>
      <c r="I2" s="1961" t="s">
        <v>530</v>
      </c>
      <c r="J2" s="1961" t="s">
        <v>527</v>
      </c>
      <c r="K2" s="1961" t="s">
        <v>528</v>
      </c>
      <c r="L2" s="1961" t="s">
        <v>529</v>
      </c>
      <c r="M2" s="1961" t="s">
        <v>530</v>
      </c>
    </row>
    <row r="3" spans="1:13">
      <c r="B3" s="1961" t="str">
        <f>CONCATENATE(B2,$B$1)</f>
        <v>1Q15</v>
      </c>
      <c r="C3" s="1961" t="str">
        <f>CONCATENATE(C2,$B$1)</f>
        <v>2Q15</v>
      </c>
      <c r="D3" s="1961" t="str">
        <f>CONCATENATE(D2,$B$1)</f>
        <v>3Q15</v>
      </c>
      <c r="E3" s="1961" t="str">
        <f>CONCATENATE(E2,$B$1)</f>
        <v>4Q15</v>
      </c>
      <c r="F3" s="1961" t="str">
        <f>CONCATENATE(F2,$F$1)</f>
        <v>1Q16</v>
      </c>
      <c r="G3" s="1961" t="str">
        <f>CONCATENATE(G2,$F$1)</f>
        <v>2Q16</v>
      </c>
      <c r="H3" s="1961" t="str">
        <f>CONCATENATE(H2,$F$1)</f>
        <v>3Q16</v>
      </c>
      <c r="I3" s="1961" t="str">
        <f>CONCATENATE(I2,$F$1)</f>
        <v>4Q16</v>
      </c>
      <c r="J3" s="1961" t="str">
        <f>CONCATENATE(J2,$J$1)</f>
        <v>1Q17</v>
      </c>
      <c r="K3" s="1961" t="str">
        <f>CONCATENATE(K2,$J$1)</f>
        <v>2Q17</v>
      </c>
      <c r="L3" s="1961" t="str">
        <f>CONCATENATE(L2,$J$1)</f>
        <v>3Q17</v>
      </c>
      <c r="M3" s="1961" t="str">
        <f>CONCATENATE(M2,$J$1)</f>
        <v>4Q17</v>
      </c>
    </row>
    <row r="4" spans="1:13">
      <c r="B4" s="2042">
        <f t="array" ref="B4:E4">TRANSPOSE(work!CY10:CY13)</f>
        <v>10.070126227208975</v>
      </c>
      <c r="C4" s="2042">
        <v>10.66643055309604</v>
      </c>
      <c r="D4" s="2042">
        <v>12.211387864396507</v>
      </c>
      <c r="E4" s="2042">
        <v>14.829547220236794</v>
      </c>
      <c r="F4" s="2041">
        <f t="array" ref="F4:I4">TRANSPOSE(work!DC10:DC13)</f>
        <v>10.573111337637343</v>
      </c>
      <c r="G4" s="2041">
        <v>3.2270108811606635</v>
      </c>
      <c r="H4" s="2041">
        <v>-1.301215668617739</v>
      </c>
      <c r="I4" s="2041">
        <v>-1.3558496387107266</v>
      </c>
      <c r="J4" s="2041">
        <f t="array" ref="J4:M4">TRANSPOSE(work!DG10:DG13)</f>
        <v>-4.3252240717029489</v>
      </c>
      <c r="K4" s="2041">
        <v>-0.16018188394563149</v>
      </c>
      <c r="L4" s="2041">
        <v>7.7938962638565812</v>
      </c>
      <c r="M4" s="2041">
        <v>14.875171467764048</v>
      </c>
    </row>
    <row r="5" spans="1:13">
      <c r="A5" s="1961" t="s">
        <v>579</v>
      </c>
      <c r="B5" s="106">
        <f>B4/100</f>
        <v>0.10070126227208975</v>
      </c>
      <c r="C5" s="106">
        <f t="shared" ref="C5:M5" si="0">C4/100</f>
        <v>0.1066643055309604</v>
      </c>
      <c r="D5" s="106">
        <f t="shared" si="0"/>
        <v>0.12211387864396507</v>
      </c>
      <c r="E5" s="106">
        <f t="shared" si="0"/>
        <v>0.14829547220236794</v>
      </c>
      <c r="F5" s="106">
        <f t="shared" si="0"/>
        <v>0.10573111337637343</v>
      </c>
      <c r="G5" s="106">
        <f t="shared" si="0"/>
        <v>3.2270108811606635E-2</v>
      </c>
      <c r="H5" s="106">
        <f t="shared" si="0"/>
        <v>-1.301215668617739E-2</v>
      </c>
      <c r="I5" s="106">
        <f t="shared" si="0"/>
        <v>-1.3558496387107266E-2</v>
      </c>
      <c r="J5" s="106">
        <f t="shared" si="0"/>
        <v>-4.3252240717029489E-2</v>
      </c>
      <c r="K5" s="106">
        <f t="shared" si="0"/>
        <v>-1.6018188394563149E-3</v>
      </c>
      <c r="L5" s="106">
        <f t="shared" si="0"/>
        <v>7.7938962638565812E-2</v>
      </c>
      <c r="M5" s="106">
        <f t="shared" si="0"/>
        <v>0.14875171467764048</v>
      </c>
    </row>
    <row r="7" spans="1:13">
      <c r="B7" s="2041">
        <f t="array" ref="B7:D7">TRANSPOSE(work!CZ11:CZ13)</f>
        <v>6.4551874367881013</v>
      </c>
      <c r="C7" s="2041">
        <v>5.2596460580179416</v>
      </c>
      <c r="D7" s="2041">
        <v>7.9254061288641875</v>
      </c>
      <c r="E7" s="2041">
        <f>work!DD10</f>
        <v>9.8566090808471341</v>
      </c>
      <c r="F7" s="2041">
        <f t="array" ref="F7:H7">TRANSPOSE(work!DD11:DD13)</f>
        <v>7.0388502784797469</v>
      </c>
      <c r="G7" s="2041">
        <v>6.9412955060911274</v>
      </c>
      <c r="H7" s="2041">
        <v>5.6412382177118525</v>
      </c>
      <c r="I7" s="2041">
        <f>work!DH10</f>
        <v>3.2041446996137646</v>
      </c>
      <c r="J7" s="2041">
        <f t="array" ref="J7:L7">TRANSPOSE(work!DH11:DH13)</f>
        <v>6.0345572403535108</v>
      </c>
      <c r="K7" s="2041">
        <v>5.6747431886004396</v>
      </c>
      <c r="L7" s="2041">
        <v>15.770264776453935</v>
      </c>
      <c r="M7" s="2041">
        <f>work!DL10</f>
        <v>9.3003243566566631</v>
      </c>
    </row>
    <row r="8" spans="1:13">
      <c r="A8" s="1961" t="s">
        <v>851</v>
      </c>
      <c r="B8" s="106">
        <f>B7/100</f>
        <v>6.4551874367881013E-2</v>
      </c>
      <c r="C8" s="106">
        <f t="shared" ref="C8:M8" si="1">C7/100</f>
        <v>5.2596460580179416E-2</v>
      </c>
      <c r="D8" s="106">
        <f t="shared" si="1"/>
        <v>7.9254061288641875E-2</v>
      </c>
      <c r="E8" s="106">
        <f t="shared" si="1"/>
        <v>9.8566090808471341E-2</v>
      </c>
      <c r="F8" s="106">
        <f t="shared" si="1"/>
        <v>7.0388502784797469E-2</v>
      </c>
      <c r="G8" s="106">
        <f t="shared" si="1"/>
        <v>6.9412955060911274E-2</v>
      </c>
      <c r="H8" s="106">
        <f t="shared" si="1"/>
        <v>5.6412382177118525E-2</v>
      </c>
      <c r="I8" s="106">
        <f t="shared" si="1"/>
        <v>3.2041446996137646E-2</v>
      </c>
      <c r="J8" s="106">
        <f t="shared" si="1"/>
        <v>6.0345572403535108E-2</v>
      </c>
      <c r="K8" s="106">
        <f t="shared" si="1"/>
        <v>5.6747431886004396E-2</v>
      </c>
      <c r="L8" s="106">
        <f t="shared" si="1"/>
        <v>0.15770264776453935</v>
      </c>
      <c r="M8" s="106">
        <f t="shared" si="1"/>
        <v>9.3003243566566626E-2</v>
      </c>
    </row>
    <row r="11" spans="1:13">
      <c r="A11" s="1961" t="s">
        <v>26</v>
      </c>
      <c r="B11" s="2043">
        <f>B5-B8</f>
        <v>3.6149387904208741E-2</v>
      </c>
      <c r="C11" s="2043">
        <f t="shared" ref="C11:M11" si="2">C5-C8</f>
        <v>5.4067844950780986E-2</v>
      </c>
      <c r="D11" s="2043">
        <f t="shared" si="2"/>
        <v>4.2859817355323196E-2</v>
      </c>
      <c r="E11" s="2043">
        <f t="shared" si="2"/>
        <v>4.9729381393896599E-2</v>
      </c>
      <c r="F11" s="2043">
        <f t="shared" si="2"/>
        <v>3.5342610591575965E-2</v>
      </c>
      <c r="G11" s="2043">
        <f t="shared" si="2"/>
        <v>-3.714284624930464E-2</v>
      </c>
      <c r="H11" s="2043">
        <f t="shared" si="2"/>
        <v>-6.9424538863295915E-2</v>
      </c>
      <c r="I11" s="2043">
        <f t="shared" si="2"/>
        <v>-4.5599943383244912E-2</v>
      </c>
      <c r="J11" s="2043">
        <f t="shared" si="2"/>
        <v>-0.1035978131205646</v>
      </c>
      <c r="K11" s="2043">
        <f t="shared" si="2"/>
        <v>-5.8349250725460711E-2</v>
      </c>
      <c r="L11" s="2043">
        <f t="shared" si="2"/>
        <v>-7.9763685125973538E-2</v>
      </c>
      <c r="M11" s="2043">
        <f t="shared" si="2"/>
        <v>5.5748471111073852E-2</v>
      </c>
    </row>
    <row r="13" spans="1:13">
      <c r="B13" s="2043">
        <f>-B11</f>
        <v>-3.6149387904208741E-2</v>
      </c>
      <c r="C13" s="2043">
        <f t="shared" ref="C13:M13" si="3">-C11</f>
        <v>-5.4067844950780986E-2</v>
      </c>
      <c r="D13" s="2043">
        <f t="shared" si="3"/>
        <v>-4.2859817355323196E-2</v>
      </c>
      <c r="E13" s="2043">
        <f t="shared" si="3"/>
        <v>-4.9729381393896599E-2</v>
      </c>
      <c r="F13" s="2043">
        <f t="shared" si="3"/>
        <v>-3.5342610591575965E-2</v>
      </c>
      <c r="G13" s="2043">
        <f t="shared" si="3"/>
        <v>3.714284624930464E-2</v>
      </c>
      <c r="H13" s="2043">
        <f t="shared" si="3"/>
        <v>6.9424538863295915E-2</v>
      </c>
      <c r="I13" s="2043">
        <f t="shared" si="3"/>
        <v>4.5599943383244912E-2</v>
      </c>
      <c r="J13" s="2043">
        <f t="shared" si="3"/>
        <v>0.1035978131205646</v>
      </c>
      <c r="K13" s="2043">
        <f t="shared" si="3"/>
        <v>5.8349250725460711E-2</v>
      </c>
      <c r="L13" s="2043">
        <f t="shared" si="3"/>
        <v>7.9763685125973538E-2</v>
      </c>
      <c r="M13" s="2043">
        <f t="shared" si="3"/>
        <v>-5.5748471111073852E-2</v>
      </c>
    </row>
  </sheetData>
  <mergeCells count="3">
    <mergeCell ref="B1:E1"/>
    <mergeCell ref="F1:I1"/>
    <mergeCell ref="J1:M1"/>
  </mergeCell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3"/>
  <sheetViews>
    <sheetView workbookViewId="0">
      <selection activeCell="B42" sqref="B42"/>
    </sheetView>
  </sheetViews>
  <sheetFormatPr defaultRowHeight="12.75"/>
  <cols>
    <col min="1" max="1" width="29.5703125" style="2041" bestFit="1" customWidth="1"/>
    <col min="2" max="2" width="19.85546875" style="2145" customWidth="1"/>
    <col min="3" max="3" width="12" style="2041" bestFit="1" customWidth="1"/>
    <col min="4" max="256" width="9.140625" style="2041"/>
    <col min="257" max="257" width="29.5703125" style="2041" bestFit="1" customWidth="1"/>
    <col min="258" max="258" width="19.85546875" style="2041" customWidth="1"/>
    <col min="259" max="259" width="12" style="2041" bestFit="1" customWidth="1"/>
    <col min="260" max="512" width="9.140625" style="2041"/>
    <col min="513" max="513" width="29.5703125" style="2041" bestFit="1" customWidth="1"/>
    <col min="514" max="514" width="19.85546875" style="2041" customWidth="1"/>
    <col min="515" max="515" width="12" style="2041" bestFit="1" customWidth="1"/>
    <col min="516" max="768" width="9.140625" style="2041"/>
    <col min="769" max="769" width="29.5703125" style="2041" bestFit="1" customWidth="1"/>
    <col min="770" max="770" width="19.85546875" style="2041" customWidth="1"/>
    <col min="771" max="771" width="12" style="2041" bestFit="1" customWidth="1"/>
    <col min="772" max="1024" width="9.140625" style="2041"/>
    <col min="1025" max="1025" width="29.5703125" style="2041" bestFit="1" customWidth="1"/>
    <col min="1026" max="1026" width="19.85546875" style="2041" customWidth="1"/>
    <col min="1027" max="1027" width="12" style="2041" bestFit="1" customWidth="1"/>
    <col min="1028" max="1280" width="9.140625" style="2041"/>
    <col min="1281" max="1281" width="29.5703125" style="2041" bestFit="1" customWidth="1"/>
    <col min="1282" max="1282" width="19.85546875" style="2041" customWidth="1"/>
    <col min="1283" max="1283" width="12" style="2041" bestFit="1" customWidth="1"/>
    <col min="1284" max="1536" width="9.140625" style="2041"/>
    <col min="1537" max="1537" width="29.5703125" style="2041" bestFit="1" customWidth="1"/>
    <col min="1538" max="1538" width="19.85546875" style="2041" customWidth="1"/>
    <col min="1539" max="1539" width="12" style="2041" bestFit="1" customWidth="1"/>
    <col min="1540" max="1792" width="9.140625" style="2041"/>
    <col min="1793" max="1793" width="29.5703125" style="2041" bestFit="1" customWidth="1"/>
    <col min="1794" max="1794" width="19.85546875" style="2041" customWidth="1"/>
    <col min="1795" max="1795" width="12" style="2041" bestFit="1" customWidth="1"/>
    <col min="1796" max="2048" width="9.140625" style="2041"/>
    <col min="2049" max="2049" width="29.5703125" style="2041" bestFit="1" customWidth="1"/>
    <col min="2050" max="2050" width="19.85546875" style="2041" customWidth="1"/>
    <col min="2051" max="2051" width="12" style="2041" bestFit="1" customWidth="1"/>
    <col min="2052" max="2304" width="9.140625" style="2041"/>
    <col min="2305" max="2305" width="29.5703125" style="2041" bestFit="1" customWidth="1"/>
    <col min="2306" max="2306" width="19.85546875" style="2041" customWidth="1"/>
    <col min="2307" max="2307" width="12" style="2041" bestFit="1" customWidth="1"/>
    <col min="2308" max="2560" width="9.140625" style="2041"/>
    <col min="2561" max="2561" width="29.5703125" style="2041" bestFit="1" customWidth="1"/>
    <col min="2562" max="2562" width="19.85546875" style="2041" customWidth="1"/>
    <col min="2563" max="2563" width="12" style="2041" bestFit="1" customWidth="1"/>
    <col min="2564" max="2816" width="9.140625" style="2041"/>
    <col min="2817" max="2817" width="29.5703125" style="2041" bestFit="1" customWidth="1"/>
    <col min="2818" max="2818" width="19.85546875" style="2041" customWidth="1"/>
    <col min="2819" max="2819" width="12" style="2041" bestFit="1" customWidth="1"/>
    <col min="2820" max="3072" width="9.140625" style="2041"/>
    <col min="3073" max="3073" width="29.5703125" style="2041" bestFit="1" customWidth="1"/>
    <col min="3074" max="3074" width="19.85546875" style="2041" customWidth="1"/>
    <col min="3075" max="3075" width="12" style="2041" bestFit="1" customWidth="1"/>
    <col min="3076" max="3328" width="9.140625" style="2041"/>
    <col min="3329" max="3329" width="29.5703125" style="2041" bestFit="1" customWidth="1"/>
    <col min="3330" max="3330" width="19.85546875" style="2041" customWidth="1"/>
    <col min="3331" max="3331" width="12" style="2041" bestFit="1" customWidth="1"/>
    <col min="3332" max="3584" width="9.140625" style="2041"/>
    <col min="3585" max="3585" width="29.5703125" style="2041" bestFit="1" customWidth="1"/>
    <col min="3586" max="3586" width="19.85546875" style="2041" customWidth="1"/>
    <col min="3587" max="3587" width="12" style="2041" bestFit="1" customWidth="1"/>
    <col min="3588" max="3840" width="9.140625" style="2041"/>
    <col min="3841" max="3841" width="29.5703125" style="2041" bestFit="1" customWidth="1"/>
    <col min="3842" max="3842" width="19.85546875" style="2041" customWidth="1"/>
    <col min="3843" max="3843" width="12" style="2041" bestFit="1" customWidth="1"/>
    <col min="3844" max="4096" width="9.140625" style="2041"/>
    <col min="4097" max="4097" width="29.5703125" style="2041" bestFit="1" customWidth="1"/>
    <col min="4098" max="4098" width="19.85546875" style="2041" customWidth="1"/>
    <col min="4099" max="4099" width="12" style="2041" bestFit="1" customWidth="1"/>
    <col min="4100" max="4352" width="9.140625" style="2041"/>
    <col min="4353" max="4353" width="29.5703125" style="2041" bestFit="1" customWidth="1"/>
    <col min="4354" max="4354" width="19.85546875" style="2041" customWidth="1"/>
    <col min="4355" max="4355" width="12" style="2041" bestFit="1" customWidth="1"/>
    <col min="4356" max="4608" width="9.140625" style="2041"/>
    <col min="4609" max="4609" width="29.5703125" style="2041" bestFit="1" customWidth="1"/>
    <col min="4610" max="4610" width="19.85546875" style="2041" customWidth="1"/>
    <col min="4611" max="4611" width="12" style="2041" bestFit="1" customWidth="1"/>
    <col min="4612" max="4864" width="9.140625" style="2041"/>
    <col min="4865" max="4865" width="29.5703125" style="2041" bestFit="1" customWidth="1"/>
    <col min="4866" max="4866" width="19.85546875" style="2041" customWidth="1"/>
    <col min="4867" max="4867" width="12" style="2041" bestFit="1" customWidth="1"/>
    <col min="4868" max="5120" width="9.140625" style="2041"/>
    <col min="5121" max="5121" width="29.5703125" style="2041" bestFit="1" customWidth="1"/>
    <col min="5122" max="5122" width="19.85546875" style="2041" customWidth="1"/>
    <col min="5123" max="5123" width="12" style="2041" bestFit="1" customWidth="1"/>
    <col min="5124" max="5376" width="9.140625" style="2041"/>
    <col min="5377" max="5377" width="29.5703125" style="2041" bestFit="1" customWidth="1"/>
    <col min="5378" max="5378" width="19.85546875" style="2041" customWidth="1"/>
    <col min="5379" max="5379" width="12" style="2041" bestFit="1" customWidth="1"/>
    <col min="5380" max="5632" width="9.140625" style="2041"/>
    <col min="5633" max="5633" width="29.5703125" style="2041" bestFit="1" customWidth="1"/>
    <col min="5634" max="5634" width="19.85546875" style="2041" customWidth="1"/>
    <col min="5635" max="5635" width="12" style="2041" bestFit="1" customWidth="1"/>
    <col min="5636" max="5888" width="9.140625" style="2041"/>
    <col min="5889" max="5889" width="29.5703125" style="2041" bestFit="1" customWidth="1"/>
    <col min="5890" max="5890" width="19.85546875" style="2041" customWidth="1"/>
    <col min="5891" max="5891" width="12" style="2041" bestFit="1" customWidth="1"/>
    <col min="5892" max="6144" width="9.140625" style="2041"/>
    <col min="6145" max="6145" width="29.5703125" style="2041" bestFit="1" customWidth="1"/>
    <col min="6146" max="6146" width="19.85546875" style="2041" customWidth="1"/>
    <col min="6147" max="6147" width="12" style="2041" bestFit="1" customWidth="1"/>
    <col min="6148" max="6400" width="9.140625" style="2041"/>
    <col min="6401" max="6401" width="29.5703125" style="2041" bestFit="1" customWidth="1"/>
    <col min="6402" max="6402" width="19.85546875" style="2041" customWidth="1"/>
    <col min="6403" max="6403" width="12" style="2041" bestFit="1" customWidth="1"/>
    <col min="6404" max="6656" width="9.140625" style="2041"/>
    <col min="6657" max="6657" width="29.5703125" style="2041" bestFit="1" customWidth="1"/>
    <col min="6658" max="6658" width="19.85546875" style="2041" customWidth="1"/>
    <col min="6659" max="6659" width="12" style="2041" bestFit="1" customWidth="1"/>
    <col min="6660" max="6912" width="9.140625" style="2041"/>
    <col min="6913" max="6913" width="29.5703125" style="2041" bestFit="1" customWidth="1"/>
    <col min="6914" max="6914" width="19.85546875" style="2041" customWidth="1"/>
    <col min="6915" max="6915" width="12" style="2041" bestFit="1" customWidth="1"/>
    <col min="6916" max="7168" width="9.140625" style="2041"/>
    <col min="7169" max="7169" width="29.5703125" style="2041" bestFit="1" customWidth="1"/>
    <col min="7170" max="7170" width="19.85546875" style="2041" customWidth="1"/>
    <col min="7171" max="7171" width="12" style="2041" bestFit="1" customWidth="1"/>
    <col min="7172" max="7424" width="9.140625" style="2041"/>
    <col min="7425" max="7425" width="29.5703125" style="2041" bestFit="1" customWidth="1"/>
    <col min="7426" max="7426" width="19.85546875" style="2041" customWidth="1"/>
    <col min="7427" max="7427" width="12" style="2041" bestFit="1" customWidth="1"/>
    <col min="7428" max="7680" width="9.140625" style="2041"/>
    <col min="7681" max="7681" width="29.5703125" style="2041" bestFit="1" customWidth="1"/>
    <col min="7682" max="7682" width="19.85546875" style="2041" customWidth="1"/>
    <col min="7683" max="7683" width="12" style="2041" bestFit="1" customWidth="1"/>
    <col min="7684" max="7936" width="9.140625" style="2041"/>
    <col min="7937" max="7937" width="29.5703125" style="2041" bestFit="1" customWidth="1"/>
    <col min="7938" max="7938" width="19.85546875" style="2041" customWidth="1"/>
    <col min="7939" max="7939" width="12" style="2041" bestFit="1" customWidth="1"/>
    <col min="7940" max="8192" width="9.140625" style="2041"/>
    <col min="8193" max="8193" width="29.5703125" style="2041" bestFit="1" customWidth="1"/>
    <col min="8194" max="8194" width="19.85546875" style="2041" customWidth="1"/>
    <col min="8195" max="8195" width="12" style="2041" bestFit="1" customWidth="1"/>
    <col min="8196" max="8448" width="9.140625" style="2041"/>
    <col min="8449" max="8449" width="29.5703125" style="2041" bestFit="1" customWidth="1"/>
    <col min="8450" max="8450" width="19.85546875" style="2041" customWidth="1"/>
    <col min="8451" max="8451" width="12" style="2041" bestFit="1" customWidth="1"/>
    <col min="8452" max="8704" width="9.140625" style="2041"/>
    <col min="8705" max="8705" width="29.5703125" style="2041" bestFit="1" customWidth="1"/>
    <col min="8706" max="8706" width="19.85546875" style="2041" customWidth="1"/>
    <col min="8707" max="8707" width="12" style="2041" bestFit="1" customWidth="1"/>
    <col min="8708" max="8960" width="9.140625" style="2041"/>
    <col min="8961" max="8961" width="29.5703125" style="2041" bestFit="1" customWidth="1"/>
    <col min="8962" max="8962" width="19.85546875" style="2041" customWidth="1"/>
    <col min="8963" max="8963" width="12" style="2041" bestFit="1" customWidth="1"/>
    <col min="8964" max="9216" width="9.140625" style="2041"/>
    <col min="9217" max="9217" width="29.5703125" style="2041" bestFit="1" customWidth="1"/>
    <col min="9218" max="9218" width="19.85546875" style="2041" customWidth="1"/>
    <col min="9219" max="9219" width="12" style="2041" bestFit="1" customWidth="1"/>
    <col min="9220" max="9472" width="9.140625" style="2041"/>
    <col min="9473" max="9473" width="29.5703125" style="2041" bestFit="1" customWidth="1"/>
    <col min="9474" max="9474" width="19.85546875" style="2041" customWidth="1"/>
    <col min="9475" max="9475" width="12" style="2041" bestFit="1" customWidth="1"/>
    <col min="9476" max="9728" width="9.140625" style="2041"/>
    <col min="9729" max="9729" width="29.5703125" style="2041" bestFit="1" customWidth="1"/>
    <col min="9730" max="9730" width="19.85546875" style="2041" customWidth="1"/>
    <col min="9731" max="9731" width="12" style="2041" bestFit="1" customWidth="1"/>
    <col min="9732" max="9984" width="9.140625" style="2041"/>
    <col min="9985" max="9985" width="29.5703125" style="2041" bestFit="1" customWidth="1"/>
    <col min="9986" max="9986" width="19.85546875" style="2041" customWidth="1"/>
    <col min="9987" max="9987" width="12" style="2041" bestFit="1" customWidth="1"/>
    <col min="9988" max="10240" width="9.140625" style="2041"/>
    <col min="10241" max="10241" width="29.5703125" style="2041" bestFit="1" customWidth="1"/>
    <col min="10242" max="10242" width="19.85546875" style="2041" customWidth="1"/>
    <col min="10243" max="10243" width="12" style="2041" bestFit="1" customWidth="1"/>
    <col min="10244" max="10496" width="9.140625" style="2041"/>
    <col min="10497" max="10497" width="29.5703125" style="2041" bestFit="1" customWidth="1"/>
    <col min="10498" max="10498" width="19.85546875" style="2041" customWidth="1"/>
    <col min="10499" max="10499" width="12" style="2041" bestFit="1" customWidth="1"/>
    <col min="10500" max="10752" width="9.140625" style="2041"/>
    <col min="10753" max="10753" width="29.5703125" style="2041" bestFit="1" customWidth="1"/>
    <col min="10754" max="10754" width="19.85546875" style="2041" customWidth="1"/>
    <col min="10755" max="10755" width="12" style="2041" bestFit="1" customWidth="1"/>
    <col min="10756" max="11008" width="9.140625" style="2041"/>
    <col min="11009" max="11009" width="29.5703125" style="2041" bestFit="1" customWidth="1"/>
    <col min="11010" max="11010" width="19.85546875" style="2041" customWidth="1"/>
    <col min="11011" max="11011" width="12" style="2041" bestFit="1" customWidth="1"/>
    <col min="11012" max="11264" width="9.140625" style="2041"/>
    <col min="11265" max="11265" width="29.5703125" style="2041" bestFit="1" customWidth="1"/>
    <col min="11266" max="11266" width="19.85546875" style="2041" customWidth="1"/>
    <col min="11267" max="11267" width="12" style="2041" bestFit="1" customWidth="1"/>
    <col min="11268" max="11520" width="9.140625" style="2041"/>
    <col min="11521" max="11521" width="29.5703125" style="2041" bestFit="1" customWidth="1"/>
    <col min="11522" max="11522" width="19.85546875" style="2041" customWidth="1"/>
    <col min="11523" max="11523" width="12" style="2041" bestFit="1" customWidth="1"/>
    <col min="11524" max="11776" width="9.140625" style="2041"/>
    <col min="11777" max="11777" width="29.5703125" style="2041" bestFit="1" customWidth="1"/>
    <col min="11778" max="11778" width="19.85546875" style="2041" customWidth="1"/>
    <col min="11779" max="11779" width="12" style="2041" bestFit="1" customWidth="1"/>
    <col min="11780" max="12032" width="9.140625" style="2041"/>
    <col min="12033" max="12033" width="29.5703125" style="2041" bestFit="1" customWidth="1"/>
    <col min="12034" max="12034" width="19.85546875" style="2041" customWidth="1"/>
    <col min="12035" max="12035" width="12" style="2041" bestFit="1" customWidth="1"/>
    <col min="12036" max="12288" width="9.140625" style="2041"/>
    <col min="12289" max="12289" width="29.5703125" style="2041" bestFit="1" customWidth="1"/>
    <col min="12290" max="12290" width="19.85546875" style="2041" customWidth="1"/>
    <col min="12291" max="12291" width="12" style="2041" bestFit="1" customWidth="1"/>
    <col min="12292" max="12544" width="9.140625" style="2041"/>
    <col min="12545" max="12545" width="29.5703125" style="2041" bestFit="1" customWidth="1"/>
    <col min="12546" max="12546" width="19.85546875" style="2041" customWidth="1"/>
    <col min="12547" max="12547" width="12" style="2041" bestFit="1" customWidth="1"/>
    <col min="12548" max="12800" width="9.140625" style="2041"/>
    <col min="12801" max="12801" width="29.5703125" style="2041" bestFit="1" customWidth="1"/>
    <col min="12802" max="12802" width="19.85546875" style="2041" customWidth="1"/>
    <col min="12803" max="12803" width="12" style="2041" bestFit="1" customWidth="1"/>
    <col min="12804" max="13056" width="9.140625" style="2041"/>
    <col min="13057" max="13057" width="29.5703125" style="2041" bestFit="1" customWidth="1"/>
    <col min="13058" max="13058" width="19.85546875" style="2041" customWidth="1"/>
    <col min="13059" max="13059" width="12" style="2041" bestFit="1" customWidth="1"/>
    <col min="13060" max="13312" width="9.140625" style="2041"/>
    <col min="13313" max="13313" width="29.5703125" style="2041" bestFit="1" customWidth="1"/>
    <col min="13314" max="13314" width="19.85546875" style="2041" customWidth="1"/>
    <col min="13315" max="13315" width="12" style="2041" bestFit="1" customWidth="1"/>
    <col min="13316" max="13568" width="9.140625" style="2041"/>
    <col min="13569" max="13569" width="29.5703125" style="2041" bestFit="1" customWidth="1"/>
    <col min="13570" max="13570" width="19.85546875" style="2041" customWidth="1"/>
    <col min="13571" max="13571" width="12" style="2041" bestFit="1" customWidth="1"/>
    <col min="13572" max="13824" width="9.140625" style="2041"/>
    <col min="13825" max="13825" width="29.5703125" style="2041" bestFit="1" customWidth="1"/>
    <col min="13826" max="13826" width="19.85546875" style="2041" customWidth="1"/>
    <col min="13827" max="13827" width="12" style="2041" bestFit="1" customWidth="1"/>
    <col min="13828" max="14080" width="9.140625" style="2041"/>
    <col min="14081" max="14081" width="29.5703125" style="2041" bestFit="1" customWidth="1"/>
    <col min="14082" max="14082" width="19.85546875" style="2041" customWidth="1"/>
    <col min="14083" max="14083" width="12" style="2041" bestFit="1" customWidth="1"/>
    <col min="14084" max="14336" width="9.140625" style="2041"/>
    <col min="14337" max="14337" width="29.5703125" style="2041" bestFit="1" customWidth="1"/>
    <col min="14338" max="14338" width="19.85546875" style="2041" customWidth="1"/>
    <col min="14339" max="14339" width="12" style="2041" bestFit="1" customWidth="1"/>
    <col min="14340" max="14592" width="9.140625" style="2041"/>
    <col min="14593" max="14593" width="29.5703125" style="2041" bestFit="1" customWidth="1"/>
    <col min="14594" max="14594" width="19.85546875" style="2041" customWidth="1"/>
    <col min="14595" max="14595" width="12" style="2041" bestFit="1" customWidth="1"/>
    <col min="14596" max="14848" width="9.140625" style="2041"/>
    <col min="14849" max="14849" width="29.5703125" style="2041" bestFit="1" customWidth="1"/>
    <col min="14850" max="14850" width="19.85546875" style="2041" customWidth="1"/>
    <col min="14851" max="14851" width="12" style="2041" bestFit="1" customWidth="1"/>
    <col min="14852" max="15104" width="9.140625" style="2041"/>
    <col min="15105" max="15105" width="29.5703125" style="2041" bestFit="1" customWidth="1"/>
    <col min="15106" max="15106" width="19.85546875" style="2041" customWidth="1"/>
    <col min="15107" max="15107" width="12" style="2041" bestFit="1" customWidth="1"/>
    <col min="15108" max="15360" width="9.140625" style="2041"/>
    <col min="15361" max="15361" width="29.5703125" style="2041" bestFit="1" customWidth="1"/>
    <col min="15362" max="15362" width="19.85546875" style="2041" customWidth="1"/>
    <col min="15363" max="15363" width="12" style="2041" bestFit="1" customWidth="1"/>
    <col min="15364" max="15616" width="9.140625" style="2041"/>
    <col min="15617" max="15617" width="29.5703125" style="2041" bestFit="1" customWidth="1"/>
    <col min="15618" max="15618" width="19.85546875" style="2041" customWidth="1"/>
    <col min="15619" max="15619" width="12" style="2041" bestFit="1" customWidth="1"/>
    <col min="15620" max="15872" width="9.140625" style="2041"/>
    <col min="15873" max="15873" width="29.5703125" style="2041" bestFit="1" customWidth="1"/>
    <col min="15874" max="15874" width="19.85546875" style="2041" customWidth="1"/>
    <col min="15875" max="15875" width="12" style="2041" bestFit="1" customWidth="1"/>
    <col min="15876" max="16128" width="9.140625" style="2041"/>
    <col min="16129" max="16129" width="29.5703125" style="2041" bestFit="1" customWidth="1"/>
    <col min="16130" max="16130" width="19.85546875" style="2041" customWidth="1"/>
    <col min="16131" max="16131" width="12" style="2041" bestFit="1" customWidth="1"/>
    <col min="16132" max="16384" width="9.140625" style="2041"/>
  </cols>
  <sheetData>
    <row r="1" spans="1:2">
      <c r="A1" s="2041" t="s">
        <v>1161</v>
      </c>
      <c r="B1" s="2144">
        <v>6.1</v>
      </c>
    </row>
    <row r="2" spans="1:2">
      <c r="A2" s="2041" t="s">
        <v>1162</v>
      </c>
      <c r="B2" s="2147">
        <v>43179.381886574076</v>
      </c>
    </row>
    <row r="3" spans="1:2">
      <c r="A3" s="2041" t="s">
        <v>1163</v>
      </c>
      <c r="B3" s="2145" t="s">
        <v>866</v>
      </c>
    </row>
    <row r="4" spans="1:2">
      <c r="A4" s="2041" t="s">
        <v>1164</v>
      </c>
      <c r="B4" s="2145" t="s">
        <v>1165</v>
      </c>
    </row>
    <row r="5" spans="1:2">
      <c r="A5" s="2041" t="s">
        <v>1166</v>
      </c>
      <c r="B5" s="2145" t="s">
        <v>814</v>
      </c>
    </row>
    <row r="6" spans="1:2">
      <c r="A6" s="2041" t="s">
        <v>1167</v>
      </c>
    </row>
    <row r="7" spans="1:2">
      <c r="A7" s="2041" t="s">
        <v>1168</v>
      </c>
      <c r="B7" s="2145" t="s">
        <v>260</v>
      </c>
    </row>
    <row r="8" spans="1:2">
      <c r="A8" s="2041" t="s">
        <v>1169</v>
      </c>
      <c r="B8" s="2145" t="s">
        <v>1170</v>
      </c>
    </row>
    <row r="9" spans="1:2">
      <c r="A9" s="2041" t="s">
        <v>1171</v>
      </c>
      <c r="B9" s="2145" t="s">
        <v>1208</v>
      </c>
    </row>
    <row r="10" spans="1:2">
      <c r="A10" s="2041" t="s">
        <v>1172</v>
      </c>
    </row>
    <row r="11" spans="1:2">
      <c r="A11" s="2041" t="s">
        <v>1173</v>
      </c>
    </row>
    <row r="12" spans="1:2">
      <c r="A12" s="2041" t="s">
        <v>1174</v>
      </c>
    </row>
    <row r="13" spans="1:2">
      <c r="A13" s="2041" t="s">
        <v>1175</v>
      </c>
    </row>
    <row r="14" spans="1:2">
      <c r="A14" s="2041" t="s">
        <v>1176</v>
      </c>
    </row>
    <row r="15" spans="1:2">
      <c r="A15" s="2041" t="s">
        <v>1177</v>
      </c>
    </row>
    <row r="16" spans="1:2">
      <c r="A16" s="2041" t="s">
        <v>1178</v>
      </c>
    </row>
    <row r="17" spans="1:4">
      <c r="A17" s="2041" t="s">
        <v>1179</v>
      </c>
      <c r="B17" s="2145" t="s">
        <v>1209</v>
      </c>
    </row>
    <row r="18" spans="1:4">
      <c r="A18" s="2041" t="s">
        <v>1180</v>
      </c>
      <c r="B18" s="2145" t="s">
        <v>865</v>
      </c>
    </row>
    <row r="19" spans="1:4">
      <c r="A19" s="2041" t="s">
        <v>1181</v>
      </c>
      <c r="B19" s="2145" t="s">
        <v>259</v>
      </c>
    </row>
    <row r="20" spans="1:4">
      <c r="A20" s="2041" t="s">
        <v>1182</v>
      </c>
      <c r="B20" s="2146">
        <v>872540109</v>
      </c>
    </row>
    <row r="21" spans="1:4">
      <c r="A21" s="2041" t="s">
        <v>1183</v>
      </c>
      <c r="B21" s="2145" t="s">
        <v>259</v>
      </c>
    </row>
    <row r="22" spans="1:4">
      <c r="A22" s="2041" t="s">
        <v>1184</v>
      </c>
      <c r="B22" s="2146">
        <v>2989301</v>
      </c>
    </row>
    <row r="23" spans="1:4">
      <c r="A23" s="2041" t="s">
        <v>762</v>
      </c>
      <c r="B23" s="2144">
        <v>81.39</v>
      </c>
    </row>
    <row r="24" spans="1:4">
      <c r="A24" s="2041" t="s">
        <v>761</v>
      </c>
      <c r="B24" s="2145" t="s">
        <v>748</v>
      </c>
      <c r="D24" s="2041" t="s">
        <v>164</v>
      </c>
    </row>
    <row r="25" spans="1:4">
      <c r="A25" s="2041" t="s">
        <v>1185</v>
      </c>
      <c r="B25" s="2145" t="s">
        <v>1212</v>
      </c>
    </row>
    <row r="26" spans="1:4">
      <c r="A26" s="2041" t="s">
        <v>1186</v>
      </c>
      <c r="B26" s="2145">
        <v>0</v>
      </c>
    </row>
    <row r="27" spans="1:4">
      <c r="A27" s="2041" t="s">
        <v>1187</v>
      </c>
      <c r="B27" s="2145" t="s">
        <v>1188</v>
      </c>
    </row>
    <row r="28" spans="1:4">
      <c r="A28" s="2041" t="s">
        <v>1189</v>
      </c>
      <c r="B28" s="2145" t="s">
        <v>1190</v>
      </c>
    </row>
    <row r="29" spans="1:4">
      <c r="A29" s="2041" t="s">
        <v>1191</v>
      </c>
    </row>
    <row r="30" spans="1:4">
      <c r="A30" s="2041" t="s">
        <v>1192</v>
      </c>
    </row>
    <row r="31" spans="1:4">
      <c r="A31" s="2041" t="s">
        <v>1193</v>
      </c>
    </row>
    <row r="32" spans="1:4">
      <c r="A32" s="2041" t="s">
        <v>1194</v>
      </c>
      <c r="B32" s="2144"/>
    </row>
    <row r="33" spans="1:2">
      <c r="A33" s="2041" t="s">
        <v>1195</v>
      </c>
      <c r="B33" s="2144"/>
    </row>
    <row r="34" spans="1:2">
      <c r="A34" s="2041" t="s">
        <v>1196</v>
      </c>
      <c r="B34" s="2144"/>
    </row>
    <row r="35" spans="1:2">
      <c r="A35" s="2041" t="s">
        <v>1197</v>
      </c>
      <c r="B35" s="2145">
        <v>1000000</v>
      </c>
    </row>
    <row r="36" spans="1:2">
      <c r="A36" s="2041" t="s">
        <v>1198</v>
      </c>
      <c r="B36" s="2145" t="s">
        <v>1210</v>
      </c>
    </row>
    <row r="37" spans="1:2">
      <c r="A37" s="2041" t="s">
        <v>1199</v>
      </c>
      <c r="B37" s="2145" t="s">
        <v>1200</v>
      </c>
    </row>
    <row r="38" spans="1:2">
      <c r="A38" s="2041" t="s">
        <v>1201</v>
      </c>
      <c r="B38" s="2145" t="s">
        <v>1202</v>
      </c>
    </row>
    <row r="39" spans="1:2">
      <c r="A39" s="2041" t="s">
        <v>1203</v>
      </c>
      <c r="B39" s="2145" t="s">
        <v>1211</v>
      </c>
    </row>
    <row r="40" spans="1:2">
      <c r="A40" s="2041" t="s">
        <v>1204</v>
      </c>
      <c r="B40" s="2145">
        <v>1900000911</v>
      </c>
    </row>
    <row r="41" spans="1:2">
      <c r="A41" s="2041" t="s">
        <v>1205</v>
      </c>
      <c r="B41" s="2145">
        <v>1</v>
      </c>
    </row>
    <row r="42" spans="1:2">
      <c r="A42" s="1961" t="s">
        <v>1206</v>
      </c>
    </row>
    <row r="43" spans="1:2">
      <c r="A43" s="2041" t="s">
        <v>1207</v>
      </c>
    </row>
  </sheetData>
  <pageMargins left="0.75" right="0.75" top="1" bottom="1" header="0.5" footer="0.5"/>
  <pageSetup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E11" sqref="E11"/>
    </sheetView>
  </sheetViews>
  <sheetFormatPr defaultRowHeight="12.75"/>
  <cols>
    <col min="1" max="1" width="28.5703125" style="2041" bestFit="1" customWidth="1"/>
    <col min="2" max="256" width="9.140625" style="2041"/>
    <col min="257" max="257" width="28.5703125" style="2041" bestFit="1" customWidth="1"/>
    <col min="258" max="512" width="9.140625" style="2041"/>
    <col min="513" max="513" width="28.5703125" style="2041" bestFit="1" customWidth="1"/>
    <col min="514" max="768" width="9.140625" style="2041"/>
    <col min="769" max="769" width="28.5703125" style="2041" bestFit="1" customWidth="1"/>
    <col min="770" max="1024" width="9.140625" style="2041"/>
    <col min="1025" max="1025" width="28.5703125" style="2041" bestFit="1" customWidth="1"/>
    <col min="1026" max="1280" width="9.140625" style="2041"/>
    <col min="1281" max="1281" width="28.5703125" style="2041" bestFit="1" customWidth="1"/>
    <col min="1282" max="1536" width="9.140625" style="2041"/>
    <col min="1537" max="1537" width="28.5703125" style="2041" bestFit="1" customWidth="1"/>
    <col min="1538" max="1792" width="9.140625" style="2041"/>
    <col min="1793" max="1793" width="28.5703125" style="2041" bestFit="1" customWidth="1"/>
    <col min="1794" max="2048" width="9.140625" style="2041"/>
    <col min="2049" max="2049" width="28.5703125" style="2041" bestFit="1" customWidth="1"/>
    <col min="2050" max="2304" width="9.140625" style="2041"/>
    <col min="2305" max="2305" width="28.5703125" style="2041" bestFit="1" customWidth="1"/>
    <col min="2306" max="2560" width="9.140625" style="2041"/>
    <col min="2561" max="2561" width="28.5703125" style="2041" bestFit="1" customWidth="1"/>
    <col min="2562" max="2816" width="9.140625" style="2041"/>
    <col min="2817" max="2817" width="28.5703125" style="2041" bestFit="1" customWidth="1"/>
    <col min="2818" max="3072" width="9.140625" style="2041"/>
    <col min="3073" max="3073" width="28.5703125" style="2041" bestFit="1" customWidth="1"/>
    <col min="3074" max="3328" width="9.140625" style="2041"/>
    <col min="3329" max="3329" width="28.5703125" style="2041" bestFit="1" customWidth="1"/>
    <col min="3330" max="3584" width="9.140625" style="2041"/>
    <col min="3585" max="3585" width="28.5703125" style="2041" bestFit="1" customWidth="1"/>
    <col min="3586" max="3840" width="9.140625" style="2041"/>
    <col min="3841" max="3841" width="28.5703125" style="2041" bestFit="1" customWidth="1"/>
    <col min="3842" max="4096" width="9.140625" style="2041"/>
    <col min="4097" max="4097" width="28.5703125" style="2041" bestFit="1" customWidth="1"/>
    <col min="4098" max="4352" width="9.140625" style="2041"/>
    <col min="4353" max="4353" width="28.5703125" style="2041" bestFit="1" customWidth="1"/>
    <col min="4354" max="4608" width="9.140625" style="2041"/>
    <col min="4609" max="4609" width="28.5703125" style="2041" bestFit="1" customWidth="1"/>
    <col min="4610" max="4864" width="9.140625" style="2041"/>
    <col min="4865" max="4865" width="28.5703125" style="2041" bestFit="1" customWidth="1"/>
    <col min="4866" max="5120" width="9.140625" style="2041"/>
    <col min="5121" max="5121" width="28.5703125" style="2041" bestFit="1" customWidth="1"/>
    <col min="5122" max="5376" width="9.140625" style="2041"/>
    <col min="5377" max="5377" width="28.5703125" style="2041" bestFit="1" customWidth="1"/>
    <col min="5378" max="5632" width="9.140625" style="2041"/>
    <col min="5633" max="5633" width="28.5703125" style="2041" bestFit="1" customWidth="1"/>
    <col min="5634" max="5888" width="9.140625" style="2041"/>
    <col min="5889" max="5889" width="28.5703125" style="2041" bestFit="1" customWidth="1"/>
    <col min="5890" max="6144" width="9.140625" style="2041"/>
    <col min="6145" max="6145" width="28.5703125" style="2041" bestFit="1" customWidth="1"/>
    <col min="6146" max="6400" width="9.140625" style="2041"/>
    <col min="6401" max="6401" width="28.5703125" style="2041" bestFit="1" customWidth="1"/>
    <col min="6402" max="6656" width="9.140625" style="2041"/>
    <col min="6657" max="6657" width="28.5703125" style="2041" bestFit="1" customWidth="1"/>
    <col min="6658" max="6912" width="9.140625" style="2041"/>
    <col min="6913" max="6913" width="28.5703125" style="2041" bestFit="1" customWidth="1"/>
    <col min="6914" max="7168" width="9.140625" style="2041"/>
    <col min="7169" max="7169" width="28.5703125" style="2041" bestFit="1" customWidth="1"/>
    <col min="7170" max="7424" width="9.140625" style="2041"/>
    <col min="7425" max="7425" width="28.5703125" style="2041" bestFit="1" customWidth="1"/>
    <col min="7426" max="7680" width="9.140625" style="2041"/>
    <col min="7681" max="7681" width="28.5703125" style="2041" bestFit="1" customWidth="1"/>
    <col min="7682" max="7936" width="9.140625" style="2041"/>
    <col min="7937" max="7937" width="28.5703125" style="2041" bestFit="1" customWidth="1"/>
    <col min="7938" max="8192" width="9.140625" style="2041"/>
    <col min="8193" max="8193" width="28.5703125" style="2041" bestFit="1" customWidth="1"/>
    <col min="8194" max="8448" width="9.140625" style="2041"/>
    <col min="8449" max="8449" width="28.5703125" style="2041" bestFit="1" customWidth="1"/>
    <col min="8450" max="8704" width="9.140625" style="2041"/>
    <col min="8705" max="8705" width="28.5703125" style="2041" bestFit="1" customWidth="1"/>
    <col min="8706" max="8960" width="9.140625" style="2041"/>
    <col min="8961" max="8961" width="28.5703125" style="2041" bestFit="1" customWidth="1"/>
    <col min="8962" max="9216" width="9.140625" style="2041"/>
    <col min="9217" max="9217" width="28.5703125" style="2041" bestFit="1" customWidth="1"/>
    <col min="9218" max="9472" width="9.140625" style="2041"/>
    <col min="9473" max="9473" width="28.5703125" style="2041" bestFit="1" customWidth="1"/>
    <col min="9474" max="9728" width="9.140625" style="2041"/>
    <col min="9729" max="9729" width="28.5703125" style="2041" bestFit="1" customWidth="1"/>
    <col min="9730" max="9984" width="9.140625" style="2041"/>
    <col min="9985" max="9985" width="28.5703125" style="2041" bestFit="1" customWidth="1"/>
    <col min="9986" max="10240" width="9.140625" style="2041"/>
    <col min="10241" max="10241" width="28.5703125" style="2041" bestFit="1" customWidth="1"/>
    <col min="10242" max="10496" width="9.140625" style="2041"/>
    <col min="10497" max="10497" width="28.5703125" style="2041" bestFit="1" customWidth="1"/>
    <col min="10498" max="10752" width="9.140625" style="2041"/>
    <col min="10753" max="10753" width="28.5703125" style="2041" bestFit="1" customWidth="1"/>
    <col min="10754" max="11008" width="9.140625" style="2041"/>
    <col min="11009" max="11009" width="28.5703125" style="2041" bestFit="1" customWidth="1"/>
    <col min="11010" max="11264" width="9.140625" style="2041"/>
    <col min="11265" max="11265" width="28.5703125" style="2041" bestFit="1" customWidth="1"/>
    <col min="11266" max="11520" width="9.140625" style="2041"/>
    <col min="11521" max="11521" width="28.5703125" style="2041" bestFit="1" customWidth="1"/>
    <col min="11522" max="11776" width="9.140625" style="2041"/>
    <col min="11777" max="11777" width="28.5703125" style="2041" bestFit="1" customWidth="1"/>
    <col min="11778" max="12032" width="9.140625" style="2041"/>
    <col min="12033" max="12033" width="28.5703125" style="2041" bestFit="1" customWidth="1"/>
    <col min="12034" max="12288" width="9.140625" style="2041"/>
    <col min="12289" max="12289" width="28.5703125" style="2041" bestFit="1" customWidth="1"/>
    <col min="12290" max="12544" width="9.140625" style="2041"/>
    <col min="12545" max="12545" width="28.5703125" style="2041" bestFit="1" customWidth="1"/>
    <col min="12546" max="12800" width="9.140625" style="2041"/>
    <col min="12801" max="12801" width="28.5703125" style="2041" bestFit="1" customWidth="1"/>
    <col min="12802" max="13056" width="9.140625" style="2041"/>
    <col min="13057" max="13057" width="28.5703125" style="2041" bestFit="1" customWidth="1"/>
    <col min="13058" max="13312" width="9.140625" style="2041"/>
    <col min="13313" max="13313" width="28.5703125" style="2041" bestFit="1" customWidth="1"/>
    <col min="13314" max="13568" width="9.140625" style="2041"/>
    <col min="13569" max="13569" width="28.5703125" style="2041" bestFit="1" customWidth="1"/>
    <col min="13570" max="13824" width="9.140625" style="2041"/>
    <col min="13825" max="13825" width="28.5703125" style="2041" bestFit="1" customWidth="1"/>
    <col min="13826" max="14080" width="9.140625" style="2041"/>
    <col min="14081" max="14081" width="28.5703125" style="2041" bestFit="1" customWidth="1"/>
    <col min="14082" max="14336" width="9.140625" style="2041"/>
    <col min="14337" max="14337" width="28.5703125" style="2041" bestFit="1" customWidth="1"/>
    <col min="14338" max="14592" width="9.140625" style="2041"/>
    <col min="14593" max="14593" width="28.5703125" style="2041" bestFit="1" customWidth="1"/>
    <col min="14594" max="14848" width="9.140625" style="2041"/>
    <col min="14849" max="14849" width="28.5703125" style="2041" bestFit="1" customWidth="1"/>
    <col min="14850" max="15104" width="9.140625" style="2041"/>
    <col min="15105" max="15105" width="28.5703125" style="2041" bestFit="1" customWidth="1"/>
    <col min="15106" max="15360" width="9.140625" style="2041"/>
    <col min="15361" max="15361" width="28.5703125" style="2041" bestFit="1" customWidth="1"/>
    <col min="15362" max="15616" width="9.140625" style="2041"/>
    <col min="15617" max="15617" width="28.5703125" style="2041" bestFit="1" customWidth="1"/>
    <col min="15618" max="15872" width="9.140625" style="2041"/>
    <col min="15873" max="15873" width="28.5703125" style="2041" bestFit="1" customWidth="1"/>
    <col min="15874" max="16128" width="9.140625" style="2041"/>
    <col min="16129" max="16129" width="28.5703125" style="2041" bestFit="1" customWidth="1"/>
    <col min="16130" max="16384" width="9.140625" style="2041"/>
  </cols>
  <sheetData>
    <row r="1" spans="1:1">
      <c r="A1" s="2148" t="s">
        <v>1213</v>
      </c>
    </row>
    <row r="2" spans="1:1">
      <c r="A2" s="2148" t="s">
        <v>1218</v>
      </c>
    </row>
    <row r="3" spans="1:1">
      <c r="A3" s="2148" t="s">
        <v>1219</v>
      </c>
    </row>
    <row r="4" spans="1:1">
      <c r="A4" s="2148" t="s">
        <v>1220</v>
      </c>
    </row>
    <row r="5" spans="1:1">
      <c r="A5" s="2148" t="s">
        <v>1221</v>
      </c>
    </row>
    <row r="6" spans="1:1">
      <c r="A6" s="2148" t="s">
        <v>1214</v>
      </c>
    </row>
    <row r="7" spans="1:1">
      <c r="A7" s="2148" t="s">
        <v>1222</v>
      </c>
    </row>
    <row r="8" spans="1:1">
      <c r="A8" s="2148" t="s">
        <v>1223</v>
      </c>
    </row>
    <row r="9" spans="1:1">
      <c r="A9" s="2148" t="s">
        <v>1224</v>
      </c>
    </row>
    <row r="10" spans="1:1">
      <c r="A10" s="2148" t="s">
        <v>1215</v>
      </c>
    </row>
    <row r="11" spans="1:1">
      <c r="A11" s="2148" t="s">
        <v>1225</v>
      </c>
    </row>
    <row r="12" spans="1:1">
      <c r="A12" s="2148" t="s">
        <v>1216</v>
      </c>
    </row>
    <row r="13" spans="1:1">
      <c r="A13" s="2148" t="s">
        <v>1217</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Link>
    <GUID>63e1abd3-ec1e-48ea-96a8-c8bda662adbb</GUID>
    <SOURCE_ALTADDRESS>$A$6:$BJ$66</SOURCE_ALTADDRESS>
    <SOURCETYPE>Table</SOURCETYPE>
    <SOURCE_OBJECTNAME>Linking_Range_21</SOURCE_OBJECTNAME>
    <OBJECTTYPE>Native</OBJECTTYPE>
    <SOURCE_SHEETCODE>Sheet22</SOURCE_SHEETCODE>
    <SOURCE_SHEETNAME>flow</SOURCE_SHEETNAME>
    <SOURCEAPPLICATION>EXCEL_SOURCE</SOURCEAPPLICATION>
    <UPDATEDAT>2/24/2015 11:13:54 AM</UPDATEDAT>
    <SOURCE_ISOUTOFDATE>False</SOURCE_ISOUTOFDATE>
    <SOURCE_WORKBOOKNAME>TJX.xls</SOURCE_WORKBOOKNAME>
    <SOURCE_WORKBOOKPATH>\\MSAD\ROOT\NA\NY\LIB\ER\RETAIL\Greenberger\Companies\TJX\Models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/MSResearch/Content/ExternalAssets/2015-02/Images/WgYk3157EKXzBquMuyKyQ--.png</TARGET_BINARYFULLNAME>
    <TARGET_STORYFULLNAME>/MSResearch/Content/ExternalAssets/2015-02/Sections/20150224_121351_Linking_Range_21.xml</TARGET_STORYFULLNAME>
    <TARGET_UUID>80d3bf9c-bc48-11e4-a5e9-e3b3f180109b</TARGET_UUID>
  </Link>
  <Link>
    <GUID>d2a6ceb0-8a87-46d0-bcb5-46a620bdb725</GUID>
    <SOURCE_ALTADDRESS>$A$6:$BJ$67</SOURCE_ALTADDRESS>
    <SOURCETYPE>Table</SOURCETYPE>
    <SOURCE_OBJECTNAME>Linking_Range_23</SOURCE_OBJECTNAME>
    <OBJECTTYPE>Native</OBJECTTYPE>
    <SOURCE_SHEETCODE>Sheet22</SOURCE_SHEETCODE>
    <SOURCE_SHEETNAME>flow</SOURCE_SHEETNAME>
    <SOURCEAPPLICATION>EXCEL_SOURCE</SOURCEAPPLICATION>
    <UPDATEDAT>2/25/2015 12:35:02 PM</UPDATEDAT>
    <SOURCE_ISOUTOFDATE>False</SOURCE_ISOUTOFDATE>
    <SOURCE_WORKBOOKNAME>TJX.xls</SOURCE_WORKBOOKNAME>
    <SOURCE_WORKBOOKPATH>\\MSAD\ROOT\NA\NY\LIB\ER\RETAIL\Greenberger\Companies\TJX\Models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/MSResearch/Content/ExternalAssets/2015-02/Images/PiOKNzk4_kKGKH2Z6O2MnA--.png</TARGET_BINARYFULLNAME>
    <TARGET_STORYFULLNAME>/MSResearch/Content/ExternalAssets/2015-02/Sections/20150225_033500_Linking_Range_23.xml</TARGET_STORYFULLNAME>
    <TARGET_UUID>c4e4cc4a-bd2d-11e4-a5e9-e3b3f180109b</TARGET_UUID>
  </Link>
  <Link>
    <GUID>b383b646-e7d6-465c-8780-f6b788181e23</GUID>
    <SOURCE_ALTADDRESS>$A$6:$DG$49</SOURCE_ALTADDRESS>
    <SOURCETYPE>Table</SOURCETYPE>
    <SOURCE_OBJECTNAME>Linking_Range_19</SOURCE_OBJECTNAME>
    <OBJECTTYPE>Native</OBJECTTYPE>
    <SOURCE_SHEETCODE>Sheet2</SOURCE_SHEETCODE>
    <SOURCE_SHEETNAME>sumry</SOURCE_SHEETNAME>
    <SOURCEAPPLICATION>EXCEL_SOURCE</SOURCEAPPLICATION>
    <UPDATEDAT>5/19/2015 4:31:01 PM</UPDATEDAT>
    <SOURCE_ISOUTOFDATE>False</SOURCE_ISOUTOFDATE>
    <SOURCE_WORKBOOKNAME>TJX.xls</SOURCE_WORKBOOKNAME>
    <SOURCE_WORKBOOKPATH>\\MSAD\ROOT\NA\NY\LIB\ER\RETAIL\Greenberger\Companies\TJX\Models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/MSResearch/Content/ExternalAssets/2015-02/Images/PATQ4tXoIUSrr7pcjvonCA--.png</TARGET_BINARYFULLNAME>
    <TARGET_STORYFULLNAME>/MSResearch/Content/ExternalAssets/2015-02/Sections/20150219_061817_Linking_Range_19.xml</TARGET_STORYFULLNAME>
    <TARGET_UUID>95cf724c-b88d-11e4-8ffc-fa1973025087</TARGET_UUID>
    <TRANSPARENTBACKGROUND>False</TRANSPARENTBACKGROUND>
    <TRANSPARENTPLOTAREA>False</TRANSPARENTPLOTAREA>
    <EXTRACTSOURCEMODE>CopyToClipboard</EXTRACTSOURCEMODE>
    <LINKSTATUS>Unknown</LINKSTATUS>
  </Link>
  <Link>
    <GUID>46976add-ff06-4b1a-81d2-a3b3189b32f7</GUID>
    <SOURCE_ALTADDRESS>$A$6:$BL$58</SOURCE_ALTADDRESS>
    <SOURCETYPE>Table</SOURCETYPE>
    <SOURCE_OBJECTNAME>Linking_Range_20</SOURCE_OBJECTNAME>
    <OBJECTTYPE>Native</OBJECTTYPE>
    <SOURCE_SHEETCODE>Sheet21</SOURCE_SHEETCODE>
    <SOURCE_SHEETNAME>bal</SOURCE_SHEETNAME>
    <SOURCEAPPLICATION>EXCEL_SOURCE</SOURCEAPPLICATION>
    <UPDATEDAT>5/19/2015 4:31:26 PM</UPDATEDAT>
    <SOURCE_ISOUTOFDATE>False</SOURCE_ISOUTOFDATE>
    <SOURCE_WORKBOOKNAME>TJX.xls</SOURCE_WORKBOOKNAME>
    <SOURCE_WORKBOOKPATH>\\MSAD\ROOT\NA\NY\LIB\ER\RETAIL\Greenberger\Companies\TJX\Models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/MSResearch/Content/ExternalAssets/2015-02/Images/n8UZWoHQYEmxAwar6n5qRA--.png</TARGET_BINARYFULLNAME>
    <TARGET_STORYFULLNAME>/MSResearch/Content/ExternalAssets/2015-02/Sections/20150224_121312_Linking_Range_2.xml</TARGET_STORYFULLNAME>
    <TARGET_UUID>6997bc34-bc48-11e4-a5e9-e3b3f180109b</TARGET_UUID>
    <LINKSTATUS>Unknown</LINKSTATUS>
  </Link>
  <Link>
    <GUID>700d5bcb-d2da-42da-91c0-54d9d7bee013</GUID>
    <SOURCE_ALTADDRESS>$A$6:$BL$59</SOURCE_ALTADDRESS>
    <SOURCETYPE>Table</SOURCETYPE>
    <SOURCE_OBJECTNAME>Linking_Range_22</SOURCE_OBJECTNAME>
    <OBJECTTYPE>Native</OBJECTTYPE>
    <SOURCE_SHEETCODE>Sheet21</SOURCE_SHEETCODE>
    <SOURCE_SHEETNAME>bal</SOURCE_SHEETNAME>
    <SOURCEAPPLICATION>EXCEL_SOURCE</SOURCEAPPLICATION>
    <UPDATEDAT>5/19/2015 4:31:29 PM</UPDATEDAT>
    <SOURCE_ISOUTOFDATE>False</SOURCE_ISOUTOFDATE>
    <SOURCE_WORKBOOKNAME>TJX.xls</SOURCE_WORKBOOKNAME>
    <SOURCE_WORKBOOKPATH>\\MSAD\ROOT\NA\NY\LIB\ER\RETAIL\Greenberger\Companies\TJX\Models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/MSResearch/Content/ExternalAssets/2015-02/Images/lZdOueju6U6QKTH2DjjPZA--.png</TARGET_BINARYFULLNAME>
    <TARGET_STORYFULLNAME>/MSResearch/Content/ExternalAssets/2015-02/Sections/20150225_033419_Linking_Range_22.xml</TARGET_STORYFULLNAME>
    <TARGET_UUID>ac557de6-bd2d-11e4-a5e9-e3b3f180109b</TARGET_UUID>
    <LINKSTATUS>Unknown</LINKSTATUS>
  </Link>
  <Link>
    <GUID>99c397ca-e0d0-4f01-9504-87d5af64749e</GUID>
    <SOURCETYPE>Chart</SOURCETYPE>
    <SOURCE_OBJECTNAME>MWA_Risk_Reward</SOURCE_OBJECTNAME>
    <SOURCE_SHEETCODE>MWRSSData</SOURCE_SHEETCODE>
    <SOURCE_SHEETNAME>MWA RR</SOURCE_SHEETNAME>
    <OBJECTTYPE>Native</OBJECTTYPE>
    <SOURCEAPPLICATION>EXCEL_SOURCE</SOURCEAPPLICATION>
    <UPDATEDAT>5/19/2015 4:40:47 PM</UPDATEDAT>
    <SOURCE_ISOUTOFDATE>False</SOURCE_ISOUTOFDATE>
    <SOURCE_WORKBOOKNAME>TJX.xls</SOURCE_WORKBOOKNAME>
    <SOURCE_WORKBOOKPATH>\\MSAD\ROOT\NA\NY\LIB\ER\RETAIL\Greenberger\Companies\TJX\Models</SOURCE_WORKBOOKPATH>
    <TRANSPARENTBACKGROUND>False</TRANSPARENTBACKGROUND>
    <TRANSPARENTPLOTAREA>False</TRANSPARENTPLOTAREA>
    <TARGETTYPE>Picture</TARGETTYPE>
    <TARGETAPPLICATION>METHODE_TARGET</TARGETAPPLICATION>
    <TABLEBACKGROUND>Existing</TABLEBACKGROUND>
    <TARGET_BINARYFULLNAME>/MSResearch/Content/ExternalAssets/2015-02/Images/ot3Rls-1qk2BjgrxmrjRww--.png</TARGET_BINARYFULLNAME>
    <TARGET_STORYFULLNAME>/MSResearch/Content/ExternalAssets/2015-02/Sections/20150219_073101_MWA_Risk_Reward.xml</TARGET_STORYFULLNAME>
    <TARGET_UUID>befcd63c-b897-11e4-8ffc-fa1973025087</TARGET_UUID>
    <HIDEGRIDLINES>False</HIDEGRIDLINES>
    <EXTRACTSOURCEMODE>CopyToClipboard</EXTRACTSOURCEMODE>
    <LINKSTATUS>Unknown</LINKSTATUS>
  </Link>
</lk:Links>
</file>

<file path=customXml/itemProps1.xml><?xml version="1.0" encoding="utf-8"?>
<ds:datastoreItem xmlns:ds="http://schemas.openxmlformats.org/officeDocument/2006/customXml" ds:itemID="{42BE302F-F136-4A39-BE8B-D907D9935E79}">
  <ds:schemaRefs>
    <ds:schemaRef ds:uri="thomsonreuters.linking.metadatachange"/>
  </ds:schemaRefs>
</ds:datastoreItem>
</file>

<file path=customXml/itemProps2.xml><?xml version="1.0" encoding="utf-8"?>
<ds:datastoreItem xmlns:ds="http://schemas.openxmlformats.org/officeDocument/2006/customXml" ds:itemID="{BB3C8F01-F31E-4F2D-82DA-B3C93949C164}">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140</vt:i4>
      </vt:variant>
    </vt:vector>
  </HeadingPairs>
  <TitlesOfParts>
    <vt:vector size="161" baseType="lpstr">
      <vt:lpstr>ImportantDisclosures</vt:lpstr>
      <vt:lpstr>BullBaseBear</vt:lpstr>
      <vt:lpstr>Earnings</vt:lpstr>
      <vt:lpstr>sumry</vt:lpstr>
      <vt:lpstr>qtrSales</vt:lpstr>
      <vt:lpstr>SegqtrSales</vt:lpstr>
      <vt:lpstr>SegP&amp;L</vt:lpstr>
      <vt:lpstr>qtrP&amp;L</vt:lpstr>
      <vt:lpstr>yrP&amp;L</vt:lpstr>
      <vt:lpstr>yrSales</vt:lpstr>
      <vt:lpstr>bal</vt:lpstr>
      <vt:lpstr>flow</vt:lpstr>
      <vt:lpstr>dtc</vt:lpstr>
      <vt:lpstr>work</vt:lpstr>
      <vt:lpstr>turn</vt:lpstr>
      <vt:lpstr>Stores</vt:lpstr>
      <vt:lpstr>MWA Lease</vt:lpstr>
      <vt:lpstr>DCF</vt:lpstr>
      <vt:lpstr>inv sales spread</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'MWA Lease'!FSTicker</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Linking_14</vt:lpstr>
      <vt:lpstr>Linking_15</vt:lpstr>
      <vt:lpstr>Linking_16</vt:lpstr>
      <vt:lpstr>Linking_17</vt:lpstr>
      <vt:lpstr>Linking_18</vt:lpstr>
      <vt:lpstr>Linking_19</vt:lpstr>
      <vt:lpstr>Linking_2</vt:lpstr>
      <vt:lpstr>Linking_Range_1</vt:lpstr>
      <vt:lpstr>Earnings!Linking_Range_10</vt:lpstr>
      <vt:lpstr>Linking_Range_10</vt:lpstr>
      <vt:lpstr>Linking_Range_11</vt:lpstr>
      <vt:lpstr>Linking_Range_12</vt:lpstr>
      <vt:lpstr>Linking_Range_13</vt:lpstr>
      <vt:lpstr>Linking_Range_14</vt:lpstr>
      <vt:lpstr>Linking_Range_15</vt:lpstr>
      <vt:lpstr>Linking_Range_16</vt:lpstr>
      <vt:lpstr>Linking_Range_17</vt:lpstr>
      <vt:lpstr>Linking_Range_18</vt:lpstr>
      <vt:lpstr>Linking_Range_19</vt:lpstr>
      <vt:lpstr>Linking_Range_2</vt:lpstr>
      <vt:lpstr>Linking_Range_20</vt:lpstr>
      <vt:lpstr>Linking_Range_21</vt:lpstr>
      <vt:lpstr>Linking_Range_22</vt:lpstr>
      <vt:lpstr>Linking_Range_23</vt:lpstr>
      <vt:lpstr>Linking_Range_3</vt:lpstr>
      <vt:lpstr>Linking_Range_8</vt:lpstr>
      <vt:lpstr>Earnings!Linking_Range_9</vt:lpstr>
      <vt:lpstr>Linking_Range_9</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bal!Print_Area</vt:lpstr>
      <vt:lpstr>bal!Print_Area</vt:lpstr>
      <vt:lpstr>BullBaseBear!Print_Area</vt:lpstr>
      <vt:lpstr>BullBaseBear!Print_Area</vt:lpstr>
      <vt:lpstr>dtc!Print_Area</vt:lpstr>
      <vt:lpstr>dtc!Print_Area</vt:lpstr>
      <vt:lpstr>flow!Print_Area</vt:lpstr>
      <vt:lpstr>flow!Print_Area</vt:lpstr>
      <vt:lpstr>'qtrP&amp;L'!Print_Area</vt:lpstr>
      <vt:lpstr>'qtrP&amp;L'!Print_Area</vt:lpstr>
      <vt:lpstr>qtrSales!Print_Area</vt:lpstr>
      <vt:lpstr>qtrSales!Print_Area</vt:lpstr>
      <vt:lpstr>'SegP&amp;L'!Print_Area</vt:lpstr>
      <vt:lpstr>'SegP&amp;L'!Print_Area</vt:lpstr>
      <vt:lpstr>SegqtrSales!Print_Area</vt:lpstr>
      <vt:lpstr>SegqtrSales!Print_Area</vt:lpstr>
      <vt:lpstr>Stores!Print_Area</vt:lpstr>
      <vt:lpstr>Stores!Print_Area</vt:lpstr>
      <vt:lpstr>sumry!Print_Area</vt:lpstr>
      <vt:lpstr>sumry!Print_Area</vt:lpstr>
      <vt:lpstr>turn!Print_Area</vt:lpstr>
      <vt:lpstr>turn!Print_Area</vt:lpstr>
      <vt:lpstr>work!Print_Area</vt:lpstr>
      <vt:lpstr>work!Print_Area</vt:lpstr>
      <vt:lpstr>'yrP&amp;L'!Print_Area</vt:lpstr>
      <vt:lpstr>'yrP&amp;L'!Print_Area</vt:lpstr>
      <vt:lpstr>yrSales!Print_Area</vt:lpstr>
      <vt:lpstr>yrSales!Print_Area</vt:lpstr>
      <vt:lpstr>bal!Print_Titles</vt:lpstr>
      <vt:lpstr>bal!Print_Titles</vt:lpstr>
      <vt:lpstr>'qtrP&amp;L'!Print_Titles</vt:lpstr>
      <vt:lpstr>'qtrP&amp;L'!Print_Titles</vt:lpstr>
      <vt:lpstr>qtrSales!Print_Titles</vt:lpstr>
      <vt:lpstr>qtrSales!Print_Titles</vt:lpstr>
      <vt:lpstr>'SegP&amp;L'!Print_Titles</vt:lpstr>
      <vt:lpstr>'SegP&amp;L'!Print_Titles</vt:lpstr>
      <vt:lpstr>Stores!Print_Titles</vt:lpstr>
      <vt:lpstr>Stores!Print_Titles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'MWA Lease'!rngAppName</vt:lpstr>
      <vt:lpstr>'MWA Lease'!rngCompany</vt:lpstr>
      <vt:lpstr>'MWA Lease'!rngTicker</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2000-03-06T17:12:04Z</dcterms:created>
  <dc:creator>Kimberly Greenberger</dc:creator>
  <cp:lastModifiedBy>Roberts, Cynthia (Research)</cp:lastModifiedBy>
  <cp:lastPrinted>2018-03-01T04:28:02Z</cp:lastPrinted>
  <dcterms:modified xsi:type="dcterms:W3CDTF">2018-03-20T13:09:59Z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DealMaven.PresLink.LastVersion" pid="2">
    <vt:lpwstr/>
  </property>
  <property fmtid="{D5CDD505-2E9C-101B-9397-08002B2CF9AE}" name="LinkingAutoNameNumberLinking_Range_" pid="3">
    <vt:lpwstr>23</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757438</vt:lpwstr>
  </property>
  <property fmtid="{D5CDD505-2E9C-101B-9397-08002B2CF9AE}" name="ERModPubCompanyName" pid="7">
    <vt:lpwstr>TJX Companies Inc.</vt:lpwstr>
  </property>
  <property fmtid="{D5CDD505-2E9C-101B-9397-08002B2CF9AE}" name="MSDH34TAG" pid="8">
    <vt:lpwstr>.TEZUF76X5TAHATHESADREYAK-00-INB160+*94600-06=00c9be6c/-2c40/-11e8/-b383/-f99601a31d31,MD=20180320092255/-0400,ZZ=000Z-baf3.</vt:lpwstr>
  </property>
</Properties>
</file>